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K:\.00 Accounting Division\FY 2024\ACFR\ACFR Drafts\Period 16\"/>
    </mc:Choice>
  </mc:AlternateContent>
  <xr:revisionPtr revIDLastSave="0" documentId="13_ncr:1_{2D16B6C6-1637-4F82-A713-170A002D7344}" xr6:coauthVersionLast="47" xr6:coauthVersionMax="47" xr10:uidLastSave="{00000000-0000-0000-0000-000000000000}"/>
  <bookViews>
    <workbookView xWindow="8055" yWindow="2160" windowWidth="27015" windowHeight="15840" tabRatio="813" firstSheet="4" activeTab="5" xr2:uid="{00000000-000D-0000-FFFF-FFFF00000000}"/>
  </bookViews>
  <sheets>
    <sheet name="Sheet2" sheetId="76" r:id="rId1"/>
    <sheet name="ISF Allocation" sheetId="73" r:id="rId2"/>
    <sheet name="Cash&amp; Invest" sheetId="74" r:id="rId3"/>
    <sheet name="Analysis of Net Position" sheetId="72" r:id="rId4"/>
    <sheet name="Major Fund Calc" sheetId="64" r:id="rId5"/>
    <sheet name="SONPws" sheetId="68" r:id="rId6"/>
    <sheet name="SOAws" sheetId="66" r:id="rId7"/>
    <sheet name="BSGFws" sheetId="67" r:id="rId8"/>
    <sheet name="recon-SONPws" sheetId="70" r:id="rId9"/>
    <sheet name="SORECGFws" sheetId="69" r:id="rId10"/>
    <sheet name="recon-SOAws" sheetId="71" r:id="rId11"/>
    <sheet name="SONP" sheetId="31" r:id="rId12"/>
    <sheet name="SOActivities" sheetId="30" r:id="rId13"/>
    <sheet name="BSGF-major" sheetId="29" r:id="rId14"/>
    <sheet name="reconSONP" sheetId="28" r:id="rId15"/>
    <sheet name="SORECGF-major" sheetId="27" r:id="rId16"/>
    <sheet name="reconSOA" sheetId="26" r:id="rId17"/>
    <sheet name="SONPPF" sheetId="25" r:id="rId18"/>
    <sheet name="SORECPF" sheetId="24" r:id="rId19"/>
    <sheet name="SOCFPF" sheetId="23" r:id="rId20"/>
    <sheet name="SONPFF" sheetId="22" r:id="rId21"/>
    <sheet name="SOCFNAFF" sheetId="39" r:id="rId22"/>
    <sheet name="SONPCU" sheetId="21" r:id="rId23"/>
    <sheet name="SOACU" sheetId="20" r:id="rId24"/>
    <sheet name="Nonmajor BS" sheetId="41" r:id="rId25"/>
    <sheet name="Nonmajor SOREC" sheetId="40" r:id="rId26"/>
    <sheet name="SR Tie BS" sheetId="47" r:id="rId27"/>
    <sheet name="SR Tie SOREC" sheetId="46" r:id="rId28"/>
    <sheet name="Grants BS" sheetId="43" r:id="rId29"/>
    <sheet name="Grants SOREC" sheetId="42" r:id="rId30"/>
    <sheet name="Special BS" sheetId="19" r:id="rId31"/>
    <sheet name="Special SOREC" sheetId="18" r:id="rId32"/>
    <sheet name="Blended BS" sheetId="51" r:id="rId33"/>
    <sheet name="Blended SOREC" sheetId="50" r:id="rId34"/>
    <sheet name="Cap Tie BS" sheetId="49" r:id="rId35"/>
    <sheet name="Cap Tie SOREC" sheetId="48" r:id="rId36"/>
    <sheet name="GO BS" sheetId="53" r:id="rId37"/>
    <sheet name="GO SOREC" sheetId="52" r:id="rId38"/>
    <sheet name="CO BS" sheetId="62" r:id="rId39"/>
    <sheet name="CO SOREC" sheetId="63" r:id="rId40"/>
    <sheet name="Capital BS" sheetId="45" r:id="rId41"/>
    <sheet name="Capital SOREC" sheetId="44" r:id="rId42"/>
    <sheet name="BS Perm" sheetId="14" r:id="rId43"/>
    <sheet name="SORECGF Perm" sheetId="13" r:id="rId44"/>
    <sheet name="Nonmajor Ent BS" sheetId="55" r:id="rId45"/>
    <sheet name="Nonmajor Ent SOREC" sheetId="54" r:id="rId46"/>
    <sheet name="Nonmajor Ent CF" sheetId="56" r:id="rId47"/>
    <sheet name="ISF-SONP" sheetId="12" r:id="rId48"/>
    <sheet name="ISF-SOREC" sheetId="11" r:id="rId49"/>
    <sheet name="ISF-CASH FLOW" sheetId="10" r:id="rId50"/>
    <sheet name="SONPFF PensionHealth" sheetId="9" r:id="rId51"/>
    <sheet name="SOCFNAFF PensionHealth" sheetId="8" r:id="rId52"/>
    <sheet name="SONPCustodial" sheetId="75" r:id="rId53"/>
    <sheet name="SOCFNAFFCust" sheetId="77" r:id="rId54"/>
    <sheet name="Combining SONPCU" sheetId="2" r:id="rId55"/>
    <sheet name="Combining SOACU" sheetId="3" r:id="rId56"/>
    <sheet name="Stat Net Pos by Component" sheetId="57" r:id="rId57"/>
    <sheet name="Stat Changes in Net Pos" sheetId="58" r:id="rId58"/>
    <sheet name="Stat Fund Balances" sheetId="59" r:id="rId59"/>
    <sheet name="Stat Changes in Fund Bal" sheetId="60" r:id="rId60"/>
    <sheet name="Stat Tax Rev by Source" sheetId="61" r:id="rId61"/>
    <sheet name="MD&amp;A" sheetId="65" r:id="rId62"/>
    <sheet name="BS-agency " sheetId="5" r:id="rId63"/>
    <sheet name="Changes Assets-agency" sheetId="1" r:id="rId64"/>
    <sheet name="XCombining Operating Stmt (62M)" sheetId="15" r:id="rId65"/>
    <sheet name="XCombining BS Liability(62Mem)" sheetId="16" r:id="rId66"/>
    <sheet name="XCombining BS Assets (62-Memor)" sheetId="17" r:id="rId67"/>
    <sheet name="x-SONAFF PrivatePurpose" sheetId="7" r:id="rId68"/>
    <sheet name="x-Changes PrivatePurpose" sheetId="6" r:id="rId69"/>
  </sheets>
  <externalReferences>
    <externalReference r:id="rId70"/>
    <externalReference r:id="rId71"/>
    <externalReference r:id="rId72"/>
    <externalReference r:id="rId73"/>
  </externalReferences>
  <definedNames>
    <definedName name="_xlnm._FilterDatabase" localSheetId="63" hidden="1">'Changes Assets-agency'!$A$9:$L$257</definedName>
    <definedName name="_xlnm.Print_Area" localSheetId="3">'Analysis of Net Position'!$A$2:$S$44</definedName>
    <definedName name="_xlnm.Print_Area" localSheetId="32">'Blended BS'!$A$1:$AH$72</definedName>
    <definedName name="_xlnm.Print_Area" localSheetId="33">'Blended SOREC'!$A$1:$AG$91</definedName>
    <definedName name="_xlnm.Print_Area" localSheetId="42">'BS Perm'!$A$1:$O$69</definedName>
    <definedName name="_xlnm.Print_Area" localSheetId="62">'BS-agency '!$A$1:$P$46</definedName>
    <definedName name="_xlnm.Print_Area" localSheetId="13">'BSGF-major'!$A$1:$Y$72</definedName>
    <definedName name="_xlnm.Print_Area" localSheetId="7">BSGFws!$1:$22</definedName>
    <definedName name="_xlnm.Print_Area" localSheetId="34">'Cap Tie BS'!$A$1:$I$70</definedName>
    <definedName name="_xlnm.Print_Area" localSheetId="35">'Cap Tie SOREC'!$A$1:$I$88</definedName>
    <definedName name="_xlnm.Print_Area" localSheetId="40">'Capital BS'!$A$1:$O$71</definedName>
    <definedName name="_xlnm.Print_Area" localSheetId="41">'Capital SOREC'!$A$1:$O$90</definedName>
    <definedName name="_xlnm.Print_Area" localSheetId="2">'Cash&amp; Invest'!$A$1:$C$88</definedName>
    <definedName name="_xlnm.Print_Area" localSheetId="63">'Changes Assets-agency'!$A$1:$L$258</definedName>
    <definedName name="_xlnm.Print_Area" localSheetId="38">'CO BS'!$A$1:$W$72</definedName>
    <definedName name="_xlnm.Print_Area" localSheetId="39">'CO SOREC'!$A$1:$W$90</definedName>
    <definedName name="_xlnm.Print_Area" localSheetId="55">'Combining SOACU'!$A$1:$AN$60</definedName>
    <definedName name="_xlnm.Print_Area" localSheetId="54">'Combining SONPCU'!$A$1:$V$143</definedName>
    <definedName name="_xlnm.Print_Area" localSheetId="36">'GO BS'!$A$1:$Q$71</definedName>
    <definedName name="_xlnm.Print_Area" localSheetId="37">'GO SOREC'!$A$1:$Q$90</definedName>
    <definedName name="_xlnm.Print_Area" localSheetId="28">'Grants BS'!$A$1:$M$70</definedName>
    <definedName name="_xlnm.Print_Area" localSheetId="29">'Grants SOREC'!$A$1:$M$89</definedName>
    <definedName name="_xlnm.Print_Area" localSheetId="49">'ISF-CASH FLOW'!$A$1:$O$94</definedName>
    <definedName name="_xlnm.Print_Area" localSheetId="47">'ISF-SONP'!$A$1:$O$142</definedName>
    <definedName name="_xlnm.Print_Area" localSheetId="48">'ISF-SOREC'!$A$1:$O$59</definedName>
    <definedName name="_xlnm.Print_Area" localSheetId="4">'Major Fund Calc'!$A$4:$L$114</definedName>
    <definedName name="_xlnm.Print_Area" localSheetId="24">'Nonmajor BS'!$A$1:$H$68</definedName>
    <definedName name="_xlnm.Print_Area" localSheetId="44">'Nonmajor Ent BS'!$A$1:$K$175</definedName>
    <definedName name="_xlnm.Print_Area" localSheetId="46">'Nonmajor Ent CF'!$A$1:$K$94</definedName>
    <definedName name="_xlnm.Print_Area" localSheetId="45">'Nonmajor Ent SOREC'!$A$1:$K$63</definedName>
    <definedName name="_xlnm.Print_Area" localSheetId="25">'Nonmajor SOREC'!$A$1:$I$89</definedName>
    <definedName name="_xlnm.Print_Area" localSheetId="16">reconSOA!$A$1:$F$67</definedName>
    <definedName name="_xlnm.Print_Area" localSheetId="14">reconSONP!$A$1:$G$81</definedName>
    <definedName name="_xlnm.Print_Area" localSheetId="12">SOActivities!$A$1:$Q$86</definedName>
    <definedName name="_xlnm.Print_Area" localSheetId="23">SOACU!$A$1:$T$49</definedName>
    <definedName name="_xlnm.Print_Area" localSheetId="6">SOAws!$1:$97</definedName>
    <definedName name="_xlnm.Print_Area" localSheetId="21">SOCFNAFF!$A$1:$E$71</definedName>
    <definedName name="_xlnm.Print_Area" localSheetId="51">'SOCFNAFF PensionHealth'!$A$1:$N$58</definedName>
    <definedName name="_xlnm.Print_Area" localSheetId="53">SOCFNAFFCust!$A$1:$AB$56</definedName>
    <definedName name="_xlnm.Print_Area" localSheetId="19">SOCFPF!$A$1:$N$109</definedName>
    <definedName name="_xlnm.Print_Area" localSheetId="11">SONP!$A$1:$I$86</definedName>
    <definedName name="_xlnm.Print_Area" localSheetId="22">SONPCU!$A$1:$I$178</definedName>
    <definedName name="_xlnm.Print_Area" localSheetId="52">SONPCustodial!$A$1:$Z$45</definedName>
    <definedName name="_xlnm.Print_Area" localSheetId="20">SONPFF!$A$1:$I$76</definedName>
    <definedName name="_xlnm.Print_Area" localSheetId="50">'SONPFF PensionHealth'!$A$1:$L$71</definedName>
    <definedName name="_xlnm.Print_Area" localSheetId="17">SONPPF!$A$1:$K$179</definedName>
    <definedName name="_xlnm.Print_Area" localSheetId="5">SONPws!$A$1:$CI$147</definedName>
    <definedName name="_xlnm.Print_Area" localSheetId="43">'SORECGF Perm'!$A$1:$O$88</definedName>
    <definedName name="_xlnm.Print_Area" localSheetId="15">'SORECGF-major'!$A$1:$Y$89</definedName>
    <definedName name="_xlnm.Print_Area" localSheetId="18">SORECPF!$A$1:$K$71</definedName>
    <definedName name="_xlnm.Print_Area" localSheetId="30">'Special BS'!$A$1:$AI$71</definedName>
    <definedName name="_xlnm.Print_Area" localSheetId="31">'Special SOREC'!$A$1:$AI$90</definedName>
    <definedName name="_xlnm.Print_Area" localSheetId="26">'SR Tie BS'!$A$1:$H$68</definedName>
    <definedName name="_xlnm.Print_Area" localSheetId="27">'SR Tie SOREC'!$A$1:$I$90</definedName>
    <definedName name="_xlnm.Print_Area" localSheetId="59">'Stat Changes in Fund Bal'!$A$1:$AW$81</definedName>
    <definedName name="_xlnm.Print_Area" localSheetId="57">'Stat Changes in Net Pos'!$A$1:$AW$144</definedName>
    <definedName name="_xlnm.Print_Area" localSheetId="58">'Stat Fund Balances'!$A$1:$AV$46</definedName>
    <definedName name="_xlnm.Print_Area" localSheetId="56">'Stat Net Pos by Component'!$A$1:$AU$32</definedName>
    <definedName name="_xlnm.Print_Area" localSheetId="60">'Stat Tax Rev by Source'!$A$1:$W$46</definedName>
    <definedName name="_xlnm.Print_Area" localSheetId="68">'x-Changes PrivatePurpose'!$A$1:$N$28</definedName>
    <definedName name="_xlnm.Print_Area" localSheetId="66">'XCombining BS Assets (62-Memor)'!$A$1:$AC$98</definedName>
    <definedName name="_xlnm.Print_Area" localSheetId="65">'XCombining BS Liability(62Mem)'!$A$1:$AC$98</definedName>
    <definedName name="_xlnm.Print_Area" localSheetId="64">'XCombining Operating Stmt (62M)'!$A$1:$BD$98</definedName>
    <definedName name="_xlnm.Print_Area" localSheetId="67">'x-SONAFF PrivatePurpose'!$A$1:$L$26</definedName>
    <definedName name="_xlnm.Print_Titles" localSheetId="7">BSGFws!$A:$A</definedName>
    <definedName name="_xlnm.Print_Titles" localSheetId="63">'Changes Assets-agency'!$1:$9</definedName>
    <definedName name="_xlnm.Print_Titles" localSheetId="4">'Major Fund Calc'!$1:$5</definedName>
    <definedName name="_xlnm.Print_Titles" localSheetId="10">'recon-SOAws'!$A:$A</definedName>
    <definedName name="_xlnm.Print_Titles" localSheetId="8">'recon-SONPws'!$A:$A,'recon-SONPws'!$1:$1</definedName>
    <definedName name="_xlnm.Print_Titles" localSheetId="6">SOAws!$A:$A</definedName>
    <definedName name="_xlnm.Print_Titles" localSheetId="5">SONPws!$A:$A,SONPws!$1:$1</definedName>
    <definedName name="_xlnm.Print_Titles" localSheetId="9">SORECGFws!$A:$B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1" i="64" l="1"/>
  <c r="L12" i="64"/>
  <c r="F12" i="64"/>
  <c r="D12" i="64"/>
  <c r="B12" i="64"/>
  <c r="C78" i="40" l="1"/>
  <c r="W79" i="27"/>
  <c r="I73" i="27"/>
  <c r="I72" i="27"/>
  <c r="I53" i="27"/>
  <c r="I54" i="27"/>
  <c r="I55" i="27"/>
  <c r="I56" i="27"/>
  <c r="I52" i="27"/>
  <c r="I43" i="27"/>
  <c r="I44" i="27"/>
  <c r="I34" i="27"/>
  <c r="I35" i="27"/>
  <c r="I36" i="27"/>
  <c r="I37" i="27"/>
  <c r="I38" i="27"/>
  <c r="I39" i="27"/>
  <c r="I40" i="27"/>
  <c r="I41" i="27"/>
  <c r="I42" i="27"/>
  <c r="I33" i="27"/>
  <c r="I26" i="27"/>
  <c r="I27" i="27"/>
  <c r="I25" i="27"/>
  <c r="I21" i="27"/>
  <c r="I52" i="29"/>
  <c r="I50" i="29"/>
  <c r="I47" i="29"/>
  <c r="I48" i="29"/>
  <c r="I49" i="29"/>
  <c r="I46" i="29"/>
  <c r="I30" i="29"/>
  <c r="I27" i="29"/>
  <c r="I23" i="29"/>
  <c r="I24" i="29"/>
  <c r="I25" i="29"/>
  <c r="I22" i="29"/>
  <c r="I53" i="29"/>
  <c r="I58" i="29"/>
  <c r="I66" i="29"/>
  <c r="I62" i="29"/>
  <c r="I29" i="29"/>
  <c r="CF16" i="68"/>
  <c r="N75" i="23" l="1"/>
  <c r="O62" i="10"/>
  <c r="G51" i="67" l="1"/>
  <c r="C172" i="55" l="1"/>
  <c r="G180" i="55"/>
  <c r="CB16" i="70" l="1"/>
  <c r="CB15" i="70"/>
  <c r="AS28" i="57"/>
  <c r="AS27" i="57"/>
  <c r="AS26" i="57"/>
  <c r="AS14" i="57"/>
  <c r="AS12" i="57"/>
  <c r="AT42" i="59"/>
  <c r="C84" i="50" l="1"/>
  <c r="N39" i="72" l="1"/>
  <c r="AN49" i="3" l="1"/>
  <c r="Q79" i="30"/>
  <c r="Q75" i="30"/>
  <c r="I26" i="72" l="1"/>
  <c r="BH105" i="68"/>
  <c r="F105" i="68"/>
  <c r="G105" i="68"/>
  <c r="H105" i="68"/>
  <c r="I105" i="68"/>
  <c r="J105" i="68"/>
  <c r="K105" i="68"/>
  <c r="L105" i="68"/>
  <c r="M105" i="68"/>
  <c r="N105" i="68"/>
  <c r="O105" i="68"/>
  <c r="P105" i="68"/>
  <c r="Q105" i="68"/>
  <c r="R105" i="68"/>
  <c r="S105" i="68"/>
  <c r="T105" i="68"/>
  <c r="U105" i="68"/>
  <c r="V105" i="68"/>
  <c r="W105" i="68"/>
  <c r="X105" i="68"/>
  <c r="E105" i="68"/>
  <c r="C28" i="72"/>
  <c r="BQ109" i="68" l="1"/>
  <c r="BQ105" i="68"/>
  <c r="E30" i="51" l="1"/>
  <c r="I84" i="46"/>
  <c r="I80" i="46"/>
  <c r="AG86" i="50"/>
  <c r="AG84" i="50"/>
  <c r="G82" i="46" s="1"/>
  <c r="I82" i="46" s="1"/>
  <c r="C82" i="40" s="1"/>
  <c r="I82" i="40" s="1"/>
  <c r="W83" i="27" s="1"/>
  <c r="Y83" i="27" s="1"/>
  <c r="AG82" i="50"/>
  <c r="E84" i="50"/>
  <c r="B73" i="69"/>
  <c r="B71" i="69"/>
  <c r="B69" i="69"/>
  <c r="BQ47" i="69"/>
  <c r="BQ19" i="69"/>
  <c r="BQ64" i="66"/>
  <c r="BQ49" i="66"/>
  <c r="BQ34" i="66"/>
  <c r="BQ19" i="66"/>
  <c r="BQ50" i="69" l="1"/>
  <c r="G86" i="21"/>
  <c r="V69" i="2"/>
  <c r="C68" i="25" l="1"/>
  <c r="C74" i="25"/>
  <c r="C79" i="25"/>
  <c r="C84" i="25"/>
  <c r="C86" i="25"/>
  <c r="C90" i="25"/>
  <c r="C13" i="20" l="1"/>
  <c r="N64" i="66" l="1"/>
  <c r="N49" i="66"/>
  <c r="N34" i="66"/>
  <c r="N19" i="66"/>
  <c r="CA7" i="70" l="1"/>
  <c r="CA8" i="70"/>
  <c r="CA9" i="70"/>
  <c r="CA10" i="70"/>
  <c r="CA11" i="70"/>
  <c r="CA12" i="70"/>
  <c r="CA13" i="70"/>
  <c r="CA14" i="70"/>
  <c r="CA15" i="70"/>
  <c r="CA16" i="70"/>
  <c r="CA6" i="70"/>
  <c r="C47" i="69" l="1"/>
  <c r="C19" i="69"/>
  <c r="C50" i="69" s="1"/>
  <c r="C64" i="66"/>
  <c r="C49" i="66"/>
  <c r="C34" i="66"/>
  <c r="C19" i="66"/>
  <c r="I33" i="21" l="1"/>
  <c r="I36" i="21"/>
  <c r="I37" i="21"/>
  <c r="I40" i="21"/>
  <c r="I41" i="21"/>
  <c r="I43" i="21"/>
  <c r="I169" i="21"/>
  <c r="I172" i="21"/>
  <c r="I135" i="21"/>
  <c r="I117" i="21"/>
  <c r="I122" i="21"/>
  <c r="G152" i="21"/>
  <c r="I152" i="21" s="1"/>
  <c r="G150" i="21"/>
  <c r="I150" i="21" s="1"/>
  <c r="G78" i="21"/>
  <c r="E79" i="21"/>
  <c r="C79" i="21"/>
  <c r="C74" i="21"/>
  <c r="E74" i="21"/>
  <c r="C69" i="21"/>
  <c r="AN53" i="3"/>
  <c r="V99" i="2"/>
  <c r="G120" i="21" s="1"/>
  <c r="I120" i="21" s="1"/>
  <c r="F124" i="2"/>
  <c r="V124" i="2" s="1"/>
  <c r="F100" i="2"/>
  <c r="F95" i="2"/>
  <c r="F121" i="2"/>
  <c r="V121" i="2" s="1"/>
  <c r="F123" i="2"/>
  <c r="V123" i="2" s="1"/>
  <c r="V118" i="2"/>
  <c r="V119" i="2"/>
  <c r="V120" i="2"/>
  <c r="V122" i="2"/>
  <c r="G151" i="21" s="1"/>
  <c r="I151" i="21" s="1"/>
  <c r="C82" i="21" l="1"/>
  <c r="F113" i="2" l="1"/>
  <c r="V96" i="2"/>
  <c r="V97" i="2"/>
  <c r="V98" i="2"/>
  <c r="V100" i="2"/>
  <c r="V101" i="2"/>
  <c r="G123" i="21" s="1"/>
  <c r="I123" i="21" s="1"/>
  <c r="V102" i="2"/>
  <c r="G124" i="21" s="1"/>
  <c r="I124" i="21" s="1"/>
  <c r="F73" i="2"/>
  <c r="L63" i="2"/>
  <c r="J63" i="2"/>
  <c r="H63" i="2"/>
  <c r="F63" i="2"/>
  <c r="L58" i="2"/>
  <c r="J58" i="2"/>
  <c r="H58" i="2"/>
  <c r="F58" i="2"/>
  <c r="F53" i="2"/>
  <c r="V61" i="2"/>
  <c r="G77" i="21" s="1"/>
  <c r="I77" i="21" s="1"/>
  <c r="V60" i="2"/>
  <c r="V56" i="2"/>
  <c r="G72" i="21" s="1"/>
  <c r="I72" i="21" s="1"/>
  <c r="V55" i="2"/>
  <c r="G71" i="21" s="1"/>
  <c r="L53" i="2"/>
  <c r="J53" i="2"/>
  <c r="H53" i="2"/>
  <c r="F65" i="2" l="1"/>
  <c r="F131" i="2" s="1"/>
  <c r="I71" i="21"/>
  <c r="I74" i="21" s="1"/>
  <c r="I38" i="31" s="1"/>
  <c r="G74" i="21"/>
  <c r="V63" i="2"/>
  <c r="G76" i="21"/>
  <c r="V58" i="2"/>
  <c r="L65" i="2"/>
  <c r="H65" i="2"/>
  <c r="J65" i="2"/>
  <c r="F74" i="2"/>
  <c r="I76" i="21" l="1"/>
  <c r="I79" i="21" s="1"/>
  <c r="I39" i="31" s="1"/>
  <c r="G79" i="21"/>
  <c r="BJ28" i="71"/>
  <c r="BJ15" i="71"/>
  <c r="BJ11" i="71"/>
  <c r="BJ57" i="69"/>
  <c r="BJ43" i="69"/>
  <c r="BJ42" i="69"/>
  <c r="BJ47" i="69"/>
  <c r="BJ19" i="69"/>
  <c r="BJ30" i="70"/>
  <c r="BJ25" i="70"/>
  <c r="BJ21" i="70"/>
  <c r="BJ17" i="70"/>
  <c r="BJ64" i="66"/>
  <c r="BJ49" i="66"/>
  <c r="BJ34" i="66"/>
  <c r="BJ19" i="66"/>
  <c r="BJ62" i="68"/>
  <c r="BJ42" i="68"/>
  <c r="BJ25" i="68"/>
  <c r="BJ50" i="69" l="1"/>
  <c r="BJ43" i="68"/>
  <c r="BS31" i="69"/>
  <c r="BS47" i="69" s="1"/>
  <c r="BS18" i="69"/>
  <c r="BS19" i="69" s="1"/>
  <c r="BS63" i="69"/>
  <c r="BS75" i="69"/>
  <c r="BS85" i="69"/>
  <c r="BS86" i="69"/>
  <c r="BS64" i="66"/>
  <c r="BS44" i="66"/>
  <c r="BS49" i="66" s="1"/>
  <c r="BS34" i="66"/>
  <c r="BS10" i="66"/>
  <c r="BS19" i="66" s="1"/>
  <c r="BS42" i="68"/>
  <c r="BS25" i="68"/>
  <c r="BS43" i="68" l="1"/>
  <c r="BS50" i="69"/>
  <c r="BS65" i="69" s="1"/>
  <c r="BS83" i="69"/>
  <c r="BS77" i="69"/>
  <c r="BS81" i="69" s="1"/>
  <c r="BS89" i="69" s="1"/>
  <c r="C26" i="21" l="1"/>
  <c r="J26" i="2"/>
  <c r="V25" i="2"/>
  <c r="G24" i="21" s="1"/>
  <c r="I24" i="21" s="1"/>
  <c r="I20" i="31" s="1"/>
  <c r="J113" i="2"/>
  <c r="AN40" i="3" l="1"/>
  <c r="AN39" i="3"/>
  <c r="BP105" i="68" l="1"/>
  <c r="F64" i="66" l="1"/>
  <c r="E64" i="66"/>
  <c r="F49" i="66"/>
  <c r="E49" i="66"/>
  <c r="F38" i="66"/>
  <c r="F34" i="66"/>
  <c r="E34" i="66"/>
  <c r="E11" i="66"/>
  <c r="E19" i="66" s="1"/>
  <c r="F4" i="66"/>
  <c r="F19" i="66" s="1"/>
  <c r="K40" i="10" l="1"/>
  <c r="K26" i="10"/>
  <c r="K17" i="10"/>
  <c r="G40" i="10" l="1"/>
  <c r="E40" i="10"/>
  <c r="C40" i="10"/>
  <c r="G26" i="10"/>
  <c r="E26" i="10"/>
  <c r="C26" i="10"/>
  <c r="G17" i="10"/>
  <c r="E17" i="10"/>
  <c r="C17" i="10"/>
  <c r="G37" i="11"/>
  <c r="E37" i="11"/>
  <c r="C37" i="11"/>
  <c r="G26" i="11"/>
  <c r="E26" i="11"/>
  <c r="C26" i="11"/>
  <c r="G15" i="11"/>
  <c r="G28" i="11" s="1"/>
  <c r="G39" i="11" s="1"/>
  <c r="E15" i="11"/>
  <c r="E28" i="11" s="1"/>
  <c r="C15" i="11"/>
  <c r="C28" i="11" s="1"/>
  <c r="G114" i="12"/>
  <c r="E114" i="12"/>
  <c r="G112" i="12"/>
  <c r="E112" i="12"/>
  <c r="C112" i="12"/>
  <c r="C114" i="12" s="1"/>
  <c r="G106" i="12"/>
  <c r="E106" i="12"/>
  <c r="C106" i="12"/>
  <c r="BV64" i="66"/>
  <c r="BU64" i="66"/>
  <c r="BT64" i="66"/>
  <c r="BV49" i="66"/>
  <c r="BU49" i="66"/>
  <c r="BT49" i="66"/>
  <c r="BV34" i="66"/>
  <c r="BU34" i="66"/>
  <c r="BT34" i="66"/>
  <c r="BV19" i="66"/>
  <c r="BU19" i="66"/>
  <c r="BT19" i="66"/>
  <c r="E39" i="11" l="1"/>
  <c r="C39" i="11"/>
  <c r="G51" i="22"/>
  <c r="G54" i="22"/>
  <c r="G43" i="22"/>
  <c r="H51" i="9"/>
  <c r="J51" i="9"/>
  <c r="L51" i="9"/>
  <c r="F51" i="9"/>
  <c r="H49" i="9"/>
  <c r="J49" i="9"/>
  <c r="L49" i="9"/>
  <c r="F49" i="9"/>
  <c r="J41" i="9"/>
  <c r="H41" i="9"/>
  <c r="F41" i="9"/>
  <c r="O138" i="12" l="1"/>
  <c r="O137" i="12"/>
  <c r="K64" i="55"/>
  <c r="I88" i="25"/>
  <c r="E52" i="71" l="1"/>
  <c r="F52" i="71"/>
  <c r="G52" i="71"/>
  <c r="H52" i="71"/>
  <c r="I52" i="71"/>
  <c r="G53" i="71"/>
  <c r="H53" i="71"/>
  <c r="I53" i="71"/>
  <c r="E54" i="71"/>
  <c r="F54" i="71"/>
  <c r="G54" i="71"/>
  <c r="H54" i="71"/>
  <c r="I54" i="71"/>
  <c r="E55" i="71"/>
  <c r="F55" i="71"/>
  <c r="G55" i="71"/>
  <c r="H55" i="71"/>
  <c r="I55" i="71"/>
  <c r="E28" i="71"/>
  <c r="E17" i="71"/>
  <c r="E47" i="69"/>
  <c r="E19" i="69"/>
  <c r="E65" i="67"/>
  <c r="F65" i="67"/>
  <c r="G65" i="67"/>
  <c r="H65" i="67"/>
  <c r="I65" i="67"/>
  <c r="E67" i="67"/>
  <c r="F67" i="67"/>
  <c r="G67" i="67"/>
  <c r="H67" i="67"/>
  <c r="I67" i="67"/>
  <c r="E16" i="67"/>
  <c r="F16" i="67"/>
  <c r="G16" i="67"/>
  <c r="H16" i="67"/>
  <c r="I16" i="67"/>
  <c r="E17" i="67"/>
  <c r="F17" i="67"/>
  <c r="G17" i="67"/>
  <c r="H17" i="67"/>
  <c r="I17" i="67"/>
  <c r="E18" i="67"/>
  <c r="F18" i="67"/>
  <c r="G18" i="67"/>
  <c r="H18" i="67"/>
  <c r="I18" i="67"/>
  <c r="E43" i="67"/>
  <c r="F43" i="67"/>
  <c r="G43" i="67"/>
  <c r="H43" i="67"/>
  <c r="I43" i="67"/>
  <c r="E44" i="67"/>
  <c r="F44" i="67"/>
  <c r="G44" i="67"/>
  <c r="H44" i="67"/>
  <c r="I44" i="67"/>
  <c r="E34" i="67"/>
  <c r="F34" i="67"/>
  <c r="G34" i="67"/>
  <c r="H34" i="67"/>
  <c r="I34" i="67"/>
  <c r="E35" i="67"/>
  <c r="F35" i="67"/>
  <c r="G35" i="67"/>
  <c r="H35" i="67"/>
  <c r="I35" i="67"/>
  <c r="E25" i="68"/>
  <c r="E42" i="68"/>
  <c r="E62" i="68"/>
  <c r="E43" i="68" l="1"/>
  <c r="E50" i="69"/>
  <c r="BW76" i="66"/>
  <c r="M47" i="53"/>
  <c r="M46" i="53"/>
  <c r="E20" i="67" l="1"/>
  <c r="F20" i="67"/>
  <c r="G20" i="67"/>
  <c r="H20" i="67"/>
  <c r="I20" i="67"/>
  <c r="E21" i="67"/>
  <c r="F21" i="67"/>
  <c r="G21" i="67"/>
  <c r="H21" i="67"/>
  <c r="I21" i="67"/>
  <c r="AT58" i="66"/>
  <c r="AT57" i="66"/>
  <c r="AT64" i="66" s="1"/>
  <c r="AT54" i="66"/>
  <c r="AT49" i="66"/>
  <c r="AT34" i="66"/>
  <c r="AT19" i="66"/>
  <c r="AT72" i="68"/>
  <c r="AT62" i="68"/>
  <c r="AT42" i="68"/>
  <c r="AT25" i="68"/>
  <c r="AT43" i="68" l="1"/>
  <c r="C40" i="56" l="1"/>
  <c r="C26" i="56"/>
  <c r="C17" i="56"/>
  <c r="C36" i="54"/>
  <c r="C25" i="54"/>
  <c r="C27" i="54" s="1"/>
  <c r="C39" i="54" s="1"/>
  <c r="C14" i="54"/>
  <c r="C24" i="55"/>
  <c r="D131" i="68" l="1"/>
  <c r="E131" i="68"/>
  <c r="F131" i="68"/>
  <c r="G131" i="68"/>
  <c r="H131" i="68"/>
  <c r="I131" i="68"/>
  <c r="J131" i="68"/>
  <c r="K131" i="68"/>
  <c r="L131" i="68"/>
  <c r="M131" i="68"/>
  <c r="N131" i="68"/>
  <c r="O131" i="68"/>
  <c r="P131" i="68"/>
  <c r="Q131" i="68"/>
  <c r="R131" i="68"/>
  <c r="S131" i="68"/>
  <c r="T131" i="68"/>
  <c r="U131" i="68"/>
  <c r="V131" i="68"/>
  <c r="W131" i="68"/>
  <c r="X131" i="68"/>
  <c r="Y131" i="68"/>
  <c r="Z131" i="68"/>
  <c r="AA131" i="68"/>
  <c r="AB131" i="68"/>
  <c r="AC131" i="68"/>
  <c r="AD131" i="68"/>
  <c r="AE131" i="68"/>
  <c r="AF131" i="68"/>
  <c r="AG131" i="68"/>
  <c r="AH131" i="68"/>
  <c r="AI131" i="68"/>
  <c r="AJ131" i="68"/>
  <c r="AK131" i="68"/>
  <c r="AL131" i="68"/>
  <c r="AM131" i="68"/>
  <c r="AN131" i="68"/>
  <c r="AO131" i="68"/>
  <c r="AP131" i="68"/>
  <c r="AQ131" i="68"/>
  <c r="AR131" i="68"/>
  <c r="AS131" i="68"/>
  <c r="AT131" i="68"/>
  <c r="AU131" i="68"/>
  <c r="AV131" i="68"/>
  <c r="AW131" i="68"/>
  <c r="AX131" i="68"/>
  <c r="AY131" i="68"/>
  <c r="AZ131" i="68"/>
  <c r="BA131" i="68"/>
  <c r="BB131" i="68"/>
  <c r="BC131" i="68"/>
  <c r="BD131" i="68"/>
  <c r="BE131" i="68"/>
  <c r="BF131" i="68"/>
  <c r="BG131" i="68"/>
  <c r="BH131" i="68"/>
  <c r="BI131" i="68"/>
  <c r="BJ131" i="68"/>
  <c r="BK131" i="68"/>
  <c r="BL131" i="68"/>
  <c r="BM131" i="68"/>
  <c r="BN131" i="68"/>
  <c r="BO131" i="68"/>
  <c r="BP131" i="68"/>
  <c r="BQ131" i="68"/>
  <c r="BR131" i="68"/>
  <c r="BS131" i="68"/>
  <c r="C131" i="68"/>
  <c r="BS68" i="67" l="1"/>
  <c r="BR68" i="67"/>
  <c r="BQ68" i="67"/>
  <c r="BP68" i="67"/>
  <c r="BO68" i="67"/>
  <c r="BN68" i="67"/>
  <c r="BM68" i="67"/>
  <c r="BL68" i="67"/>
  <c r="BK68" i="67"/>
  <c r="BJ68" i="67"/>
  <c r="BI68" i="67"/>
  <c r="BH68" i="67"/>
  <c r="BG68" i="67"/>
  <c r="BF68" i="67"/>
  <c r="BE68" i="67"/>
  <c r="BD68" i="67"/>
  <c r="BC68" i="67"/>
  <c r="BB68" i="67"/>
  <c r="BA68" i="67"/>
  <c r="AZ68" i="67"/>
  <c r="AY68" i="67"/>
  <c r="AX68" i="67"/>
  <c r="AW68" i="67"/>
  <c r="AV68" i="67"/>
  <c r="AU68" i="67"/>
  <c r="AT68" i="67"/>
  <c r="AS68" i="67"/>
  <c r="AR68" i="67"/>
  <c r="AQ68" i="67"/>
  <c r="AP68" i="67"/>
  <c r="AO68" i="67"/>
  <c r="AN68" i="67"/>
  <c r="AM68" i="67"/>
  <c r="AL68" i="67"/>
  <c r="AK68" i="67"/>
  <c r="AJ68" i="67"/>
  <c r="AI68" i="67"/>
  <c r="AH68" i="67"/>
  <c r="AG68" i="67"/>
  <c r="AF68" i="67"/>
  <c r="AE68" i="67"/>
  <c r="AD68" i="67"/>
  <c r="AC68" i="67"/>
  <c r="AB68" i="67"/>
  <c r="AA68" i="67"/>
  <c r="Z68" i="67"/>
  <c r="Y68" i="67"/>
  <c r="X68" i="67"/>
  <c r="W68" i="67"/>
  <c r="V68" i="67"/>
  <c r="U68" i="67"/>
  <c r="T68" i="67"/>
  <c r="S68" i="67"/>
  <c r="R68" i="67"/>
  <c r="Q68" i="67"/>
  <c r="P68" i="67"/>
  <c r="O68" i="67"/>
  <c r="N68" i="67"/>
  <c r="M68" i="67"/>
  <c r="L68" i="67"/>
  <c r="K68" i="67"/>
  <c r="J68" i="67"/>
  <c r="I68" i="67"/>
  <c r="H68" i="67"/>
  <c r="G68" i="67"/>
  <c r="F68" i="67"/>
  <c r="E68" i="67"/>
  <c r="D68" i="67"/>
  <c r="C68" i="67"/>
  <c r="BS142" i="68"/>
  <c r="BR142" i="68"/>
  <c r="BQ142" i="68"/>
  <c r="BP142" i="68"/>
  <c r="BO142" i="68"/>
  <c r="BN142" i="68"/>
  <c r="BM142" i="68"/>
  <c r="BL142" i="68"/>
  <c r="BK142" i="68"/>
  <c r="BJ142" i="68"/>
  <c r="BI142" i="68"/>
  <c r="BH142" i="68"/>
  <c r="BG142" i="68"/>
  <c r="BF142" i="68"/>
  <c r="BE142" i="68"/>
  <c r="BD142" i="68"/>
  <c r="BC142" i="68"/>
  <c r="BB142" i="68"/>
  <c r="BA142" i="68"/>
  <c r="AZ142" i="68"/>
  <c r="AY142" i="68"/>
  <c r="AX142" i="68"/>
  <c r="AW142" i="68"/>
  <c r="AV142" i="68"/>
  <c r="AU142" i="68"/>
  <c r="AT142" i="68"/>
  <c r="AS142" i="68"/>
  <c r="AR142" i="68"/>
  <c r="AQ142" i="68"/>
  <c r="AP142" i="68"/>
  <c r="AO142" i="68"/>
  <c r="AN142" i="68"/>
  <c r="AM142" i="68"/>
  <c r="AL142" i="68"/>
  <c r="AK142" i="68"/>
  <c r="AJ142" i="68"/>
  <c r="AI142" i="68"/>
  <c r="AH142" i="68"/>
  <c r="AG142" i="68"/>
  <c r="AF142" i="68"/>
  <c r="AE142" i="68"/>
  <c r="AD142" i="68"/>
  <c r="AC142" i="68"/>
  <c r="AB142" i="68"/>
  <c r="AA142" i="68"/>
  <c r="Z142" i="68"/>
  <c r="Y142" i="68"/>
  <c r="X142" i="68"/>
  <c r="W142" i="68"/>
  <c r="V142" i="68"/>
  <c r="U142" i="68"/>
  <c r="T142" i="68"/>
  <c r="S142" i="68"/>
  <c r="R142" i="68"/>
  <c r="Q142" i="68"/>
  <c r="P142" i="68"/>
  <c r="O142" i="68"/>
  <c r="N142" i="68"/>
  <c r="M142" i="68"/>
  <c r="L142" i="68"/>
  <c r="K142" i="68"/>
  <c r="J142" i="68"/>
  <c r="I142" i="68"/>
  <c r="H142" i="68"/>
  <c r="G142" i="68"/>
  <c r="F142" i="68"/>
  <c r="E142" i="68"/>
  <c r="D142" i="68"/>
  <c r="C142" i="68"/>
  <c r="M58" i="19" l="1"/>
  <c r="N47" i="69" l="1"/>
  <c r="N19" i="69"/>
  <c r="N30" i="70"/>
  <c r="N25" i="70"/>
  <c r="N21" i="70"/>
  <c r="N50" i="69" l="1"/>
  <c r="I135" i="12"/>
  <c r="K135" i="12"/>
  <c r="C105" i="68"/>
  <c r="O42" i="68"/>
  <c r="O25" i="68"/>
  <c r="O43" i="68" l="1"/>
  <c r="B107" i="68"/>
  <c r="B109" i="68"/>
  <c r="B110" i="68"/>
  <c r="B111" i="68"/>
  <c r="B112" i="68"/>
  <c r="B113" i="68"/>
  <c r="I67" i="12"/>
  <c r="K67" i="12"/>
  <c r="M67" i="12"/>
  <c r="O67" i="12"/>
  <c r="M135" i="12"/>
  <c r="G63" i="12"/>
  <c r="G148" i="12" s="1"/>
  <c r="I63" i="12"/>
  <c r="K63" i="12"/>
  <c r="M63" i="12"/>
  <c r="O63" i="12"/>
  <c r="E63" i="12"/>
  <c r="E135" i="12" s="1"/>
  <c r="C63" i="12"/>
  <c r="C135" i="12" s="1"/>
  <c r="O13" i="72"/>
  <c r="N13" i="72"/>
  <c r="O44" i="12"/>
  <c r="O45" i="12"/>
  <c r="O46" i="12"/>
  <c r="O47" i="12"/>
  <c r="O48" i="12"/>
  <c r="CH30" i="68"/>
  <c r="CI30" i="68"/>
  <c r="CG30" i="68"/>
  <c r="E51" i="12"/>
  <c r="G51" i="12"/>
  <c r="I51" i="12"/>
  <c r="K51" i="12"/>
  <c r="M51" i="12"/>
  <c r="O43" i="12"/>
  <c r="G135" i="12" l="1"/>
  <c r="O135" i="12" s="1"/>
  <c r="G67" i="12"/>
  <c r="I72" i="55" l="1"/>
  <c r="C72" i="55"/>
  <c r="R13" i="72" s="1"/>
  <c r="K37" i="11"/>
  <c r="K26" i="11"/>
  <c r="K15" i="11"/>
  <c r="K28" i="11" s="1"/>
  <c r="K39" i="11" s="1"/>
  <c r="K128" i="12"/>
  <c r="K112" i="12"/>
  <c r="K106" i="12"/>
  <c r="K61" i="12"/>
  <c r="K56" i="12"/>
  <c r="K69" i="12"/>
  <c r="K35" i="12"/>
  <c r="K25" i="12"/>
  <c r="K37" i="12" l="1"/>
  <c r="K114" i="12"/>
  <c r="K130" i="12" s="1"/>
  <c r="E74" i="25" l="1"/>
  <c r="W58" i="19"/>
  <c r="CC58" i="70" l="1"/>
  <c r="CB58" i="70"/>
  <c r="CA58" i="70"/>
  <c r="BZ58" i="70"/>
  <c r="BY58" i="70"/>
  <c r="BX58" i="70"/>
  <c r="BW58" i="70"/>
  <c r="BV58" i="70"/>
  <c r="BU58" i="70"/>
  <c r="BT58" i="70"/>
  <c r="BS58" i="70"/>
  <c r="BR58" i="70"/>
  <c r="BQ58" i="70"/>
  <c r="BP58" i="70"/>
  <c r="BO58" i="70"/>
  <c r="BN58" i="70"/>
  <c r="BM58" i="70"/>
  <c r="BL58" i="70"/>
  <c r="BK58" i="70"/>
  <c r="BJ58" i="70"/>
  <c r="BI58" i="70"/>
  <c r="BH58" i="70"/>
  <c r="BG58" i="70"/>
  <c r="BF58" i="70"/>
  <c r="BE58" i="70"/>
  <c r="BD58" i="70"/>
  <c r="BC58" i="70"/>
  <c r="BB58" i="70"/>
  <c r="BA58" i="70"/>
  <c r="AZ58" i="70"/>
  <c r="AY58" i="70"/>
  <c r="AX58" i="70"/>
  <c r="AW58" i="70"/>
  <c r="AV58" i="70"/>
  <c r="AU58" i="70"/>
  <c r="AT58" i="70"/>
  <c r="AS58" i="70"/>
  <c r="AR58" i="70"/>
  <c r="AQ58" i="70"/>
  <c r="AP58" i="70"/>
  <c r="AO58" i="70"/>
  <c r="AN58" i="70"/>
  <c r="AM58" i="70"/>
  <c r="AL58" i="70"/>
  <c r="AK58" i="70"/>
  <c r="AJ58" i="70"/>
  <c r="AI58" i="70"/>
  <c r="AH58" i="70"/>
  <c r="AG58" i="70"/>
  <c r="AF58" i="70"/>
  <c r="AE58" i="70"/>
  <c r="AD58" i="70"/>
  <c r="AC58" i="70"/>
  <c r="AB58" i="70"/>
  <c r="AA58" i="70"/>
  <c r="Z58" i="70"/>
  <c r="Y58" i="70"/>
  <c r="X58" i="70"/>
  <c r="W58" i="70"/>
  <c r="V58" i="70"/>
  <c r="U58" i="70"/>
  <c r="T58" i="70"/>
  <c r="S58" i="70"/>
  <c r="R58" i="70"/>
  <c r="Q58" i="70"/>
  <c r="P58" i="70"/>
  <c r="O58" i="70"/>
  <c r="N58" i="70"/>
  <c r="M58" i="70"/>
  <c r="L58" i="70"/>
  <c r="K58" i="70"/>
  <c r="J58" i="70"/>
  <c r="I58" i="70"/>
  <c r="H58" i="70"/>
  <c r="G58" i="70"/>
  <c r="F58" i="70"/>
  <c r="E58" i="70"/>
  <c r="D58" i="70"/>
  <c r="CC30" i="70"/>
  <c r="CB30" i="70"/>
  <c r="CA30" i="70"/>
  <c r="BZ30" i="70"/>
  <c r="BY30" i="70"/>
  <c r="BX30" i="70"/>
  <c r="BW30" i="70"/>
  <c r="BV30" i="70"/>
  <c r="BU30" i="70"/>
  <c r="BT30" i="70"/>
  <c r="BS30" i="70"/>
  <c r="BR30" i="70"/>
  <c r="BQ30" i="70"/>
  <c r="BP30" i="70"/>
  <c r="BO30" i="70"/>
  <c r="BN30" i="70"/>
  <c r="BM30" i="70"/>
  <c r="BL30" i="70"/>
  <c r="BK30" i="70"/>
  <c r="BI30" i="70"/>
  <c r="BH30" i="70"/>
  <c r="BG30" i="70"/>
  <c r="BF30" i="70"/>
  <c r="BE30" i="70"/>
  <c r="BD30" i="70"/>
  <c r="BC30" i="70"/>
  <c r="BB30" i="70"/>
  <c r="BA30" i="70"/>
  <c r="AZ30" i="70"/>
  <c r="AY30" i="70"/>
  <c r="AX30" i="70"/>
  <c r="AW30" i="70"/>
  <c r="AV30" i="70"/>
  <c r="AU30" i="70"/>
  <c r="AT30" i="70"/>
  <c r="AS30" i="70"/>
  <c r="AR30" i="70"/>
  <c r="AQ30" i="70"/>
  <c r="AP30" i="70"/>
  <c r="AO30" i="70"/>
  <c r="AN30" i="70"/>
  <c r="AM30" i="70"/>
  <c r="AL30" i="70"/>
  <c r="AK30" i="70"/>
  <c r="AJ30" i="70"/>
  <c r="AI30" i="70"/>
  <c r="AH30" i="70"/>
  <c r="AG30" i="70"/>
  <c r="AF30" i="70"/>
  <c r="AE30" i="70"/>
  <c r="AD30" i="70"/>
  <c r="AC30" i="70"/>
  <c r="AB30" i="70"/>
  <c r="AA30" i="70"/>
  <c r="Z30" i="70"/>
  <c r="Y30" i="70"/>
  <c r="X30" i="70"/>
  <c r="W30" i="70"/>
  <c r="V30" i="70"/>
  <c r="U30" i="70"/>
  <c r="T30" i="70"/>
  <c r="S30" i="70"/>
  <c r="R30" i="70"/>
  <c r="Q30" i="70"/>
  <c r="P30" i="70"/>
  <c r="O30" i="70"/>
  <c r="M30" i="70"/>
  <c r="L30" i="70"/>
  <c r="K30" i="70"/>
  <c r="J30" i="70"/>
  <c r="I30" i="70"/>
  <c r="H30" i="70"/>
  <c r="G30" i="70"/>
  <c r="F30" i="70"/>
  <c r="E30" i="70"/>
  <c r="D30" i="70"/>
  <c r="CC25" i="70"/>
  <c r="CB25" i="70"/>
  <c r="CA25" i="70"/>
  <c r="BZ25" i="70"/>
  <c r="BY25" i="70"/>
  <c r="BX25" i="70"/>
  <c r="BW25" i="70"/>
  <c r="BV25" i="70"/>
  <c r="BU25" i="70"/>
  <c r="BT25" i="70"/>
  <c r="BS25" i="70"/>
  <c r="BR25" i="70"/>
  <c r="BQ25" i="70"/>
  <c r="BP25" i="70"/>
  <c r="BO25" i="70"/>
  <c r="BN25" i="70"/>
  <c r="BM25" i="70"/>
  <c r="BL25" i="70"/>
  <c r="BK25" i="70"/>
  <c r="BI25" i="70"/>
  <c r="BH25" i="70"/>
  <c r="BG25" i="70"/>
  <c r="BF25" i="70"/>
  <c r="BE25" i="70"/>
  <c r="BD25" i="70"/>
  <c r="BC25" i="70"/>
  <c r="BB25" i="70"/>
  <c r="BA25" i="70"/>
  <c r="AZ25" i="70"/>
  <c r="AY25" i="70"/>
  <c r="AX25" i="70"/>
  <c r="AW25" i="70"/>
  <c r="AV25" i="70"/>
  <c r="AU25" i="70"/>
  <c r="AT25" i="70"/>
  <c r="AS25" i="70"/>
  <c r="AR25" i="70"/>
  <c r="AQ25" i="70"/>
  <c r="AP25" i="70"/>
  <c r="AO25" i="70"/>
  <c r="AN25" i="70"/>
  <c r="AM25" i="70"/>
  <c r="AL25" i="70"/>
  <c r="AK25" i="70"/>
  <c r="AJ25" i="70"/>
  <c r="AI25" i="70"/>
  <c r="AH25" i="70"/>
  <c r="AG25" i="70"/>
  <c r="AF25" i="70"/>
  <c r="AE25" i="70"/>
  <c r="AD25" i="70"/>
  <c r="AC25" i="70"/>
  <c r="AB25" i="70"/>
  <c r="AA25" i="70"/>
  <c r="Z25" i="70"/>
  <c r="Y25" i="70"/>
  <c r="X25" i="70"/>
  <c r="W25" i="70"/>
  <c r="V25" i="70"/>
  <c r="U25" i="70"/>
  <c r="T25" i="70"/>
  <c r="S25" i="70"/>
  <c r="R25" i="70"/>
  <c r="Q25" i="70"/>
  <c r="P25" i="70"/>
  <c r="O25" i="70"/>
  <c r="M25" i="70"/>
  <c r="L25" i="70"/>
  <c r="K25" i="70"/>
  <c r="J25" i="70"/>
  <c r="I25" i="70"/>
  <c r="H25" i="70"/>
  <c r="G25" i="70"/>
  <c r="F25" i="70"/>
  <c r="E25" i="70"/>
  <c r="D25" i="70"/>
  <c r="CC21" i="70"/>
  <c r="CB21" i="70"/>
  <c r="CA21" i="70"/>
  <c r="BZ21" i="70"/>
  <c r="BY21" i="70"/>
  <c r="BX21" i="70"/>
  <c r="BW21" i="70"/>
  <c r="BV21" i="70"/>
  <c r="BU21" i="70"/>
  <c r="BT21" i="70"/>
  <c r="BS21" i="70"/>
  <c r="BR21" i="70"/>
  <c r="BQ21" i="70"/>
  <c r="BP21" i="70"/>
  <c r="BO21" i="70"/>
  <c r="BN21" i="70"/>
  <c r="BM21" i="70"/>
  <c r="BL21" i="70"/>
  <c r="BK21" i="70"/>
  <c r="BI21" i="70"/>
  <c r="BH21" i="70"/>
  <c r="BG21" i="70"/>
  <c r="BF21" i="70"/>
  <c r="BE21" i="70"/>
  <c r="BD21" i="70"/>
  <c r="BC21" i="70"/>
  <c r="BB21" i="70"/>
  <c r="BA21" i="70"/>
  <c r="AZ21" i="70"/>
  <c r="AY21" i="70"/>
  <c r="AX21" i="70"/>
  <c r="AW21" i="70"/>
  <c r="AV21" i="70"/>
  <c r="AU21" i="70"/>
  <c r="AT21" i="70"/>
  <c r="AS21" i="70"/>
  <c r="AR21" i="70"/>
  <c r="AQ21" i="70"/>
  <c r="AP21" i="70"/>
  <c r="AO21" i="70"/>
  <c r="AN21" i="70"/>
  <c r="AM21" i="70"/>
  <c r="AL21" i="70"/>
  <c r="AK21" i="70"/>
  <c r="AJ21" i="70"/>
  <c r="AI21" i="70"/>
  <c r="AH21" i="70"/>
  <c r="AG21" i="70"/>
  <c r="AF21" i="70"/>
  <c r="AE21" i="70"/>
  <c r="AD21" i="70"/>
  <c r="AC21" i="70"/>
  <c r="AB21" i="70"/>
  <c r="AA21" i="70"/>
  <c r="Z21" i="70"/>
  <c r="Y21" i="70"/>
  <c r="X21" i="70"/>
  <c r="W21" i="70"/>
  <c r="V21" i="70"/>
  <c r="U21" i="70"/>
  <c r="T21" i="70"/>
  <c r="S21" i="70"/>
  <c r="R21" i="70"/>
  <c r="Q21" i="70"/>
  <c r="P21" i="70"/>
  <c r="O21" i="70"/>
  <c r="M21" i="70"/>
  <c r="L21" i="70"/>
  <c r="K21" i="70"/>
  <c r="J21" i="70"/>
  <c r="I21" i="70"/>
  <c r="H21" i="70"/>
  <c r="G21" i="70"/>
  <c r="F21" i="70"/>
  <c r="E21" i="70"/>
  <c r="D21" i="70"/>
  <c r="CC17" i="70"/>
  <c r="CB17" i="70"/>
  <c r="CA17" i="70"/>
  <c r="BZ17" i="70"/>
  <c r="BY17" i="70"/>
  <c r="BX17" i="70"/>
  <c r="BW17" i="70"/>
  <c r="BV17" i="70"/>
  <c r="BU17" i="70"/>
  <c r="BT17" i="70"/>
  <c r="BS17" i="70"/>
  <c r="BR17" i="70"/>
  <c r="BQ17" i="70"/>
  <c r="BP17" i="70"/>
  <c r="BO17" i="70"/>
  <c r="BN17" i="70"/>
  <c r="BM17" i="70"/>
  <c r="BL17" i="70"/>
  <c r="BK17" i="70"/>
  <c r="BI17" i="70"/>
  <c r="BH17" i="70"/>
  <c r="BG17" i="70"/>
  <c r="BF17" i="70"/>
  <c r="BE17" i="70"/>
  <c r="BD17" i="70"/>
  <c r="BC17" i="70"/>
  <c r="BB17" i="70"/>
  <c r="BA17" i="70"/>
  <c r="AZ17" i="70"/>
  <c r="AY17" i="70"/>
  <c r="AX17" i="70"/>
  <c r="AW17" i="70"/>
  <c r="AV17" i="70"/>
  <c r="AU17" i="70"/>
  <c r="AT17" i="70"/>
  <c r="AS17" i="70"/>
  <c r="AR17" i="70"/>
  <c r="AQ17" i="70"/>
  <c r="AP17" i="70"/>
  <c r="AO17" i="70"/>
  <c r="AN17" i="70"/>
  <c r="AM17" i="70"/>
  <c r="AL17" i="70"/>
  <c r="AK17" i="70"/>
  <c r="AJ17" i="70"/>
  <c r="AI17" i="70"/>
  <c r="AH17" i="70"/>
  <c r="AG17" i="70"/>
  <c r="AF17" i="70"/>
  <c r="AE17" i="70"/>
  <c r="AD17" i="70"/>
  <c r="AC17" i="70"/>
  <c r="AB17" i="70"/>
  <c r="AA17" i="70"/>
  <c r="Z17" i="70"/>
  <c r="Y17" i="70"/>
  <c r="X17" i="70"/>
  <c r="W17" i="70"/>
  <c r="V17" i="70"/>
  <c r="U17" i="70"/>
  <c r="T17" i="70"/>
  <c r="S17" i="70"/>
  <c r="R17" i="70"/>
  <c r="Q17" i="70"/>
  <c r="P17" i="70"/>
  <c r="O17" i="70"/>
  <c r="N17" i="70"/>
  <c r="M17" i="70"/>
  <c r="L17" i="70"/>
  <c r="K17" i="70"/>
  <c r="J17" i="70"/>
  <c r="I17" i="70"/>
  <c r="H17" i="70"/>
  <c r="G17" i="70"/>
  <c r="F17" i="70"/>
  <c r="E17" i="70"/>
  <c r="D17" i="70"/>
  <c r="B57" i="70"/>
  <c r="B56" i="70"/>
  <c r="B55" i="70"/>
  <c r="B54" i="70"/>
  <c r="B53" i="70"/>
  <c r="B52" i="70"/>
  <c r="B51" i="70"/>
  <c r="B50" i="70"/>
  <c r="B49" i="70"/>
  <c r="B48" i="70"/>
  <c r="B47" i="70"/>
  <c r="B46" i="70"/>
  <c r="B45" i="70"/>
  <c r="B44" i="70"/>
  <c r="B43" i="70"/>
  <c r="B40" i="70"/>
  <c r="B38" i="70"/>
  <c r="B34" i="70"/>
  <c r="B32" i="70"/>
  <c r="B29" i="70"/>
  <c r="B28" i="70"/>
  <c r="B24" i="70"/>
  <c r="B23" i="70"/>
  <c r="B7" i="70"/>
  <c r="B8" i="70"/>
  <c r="B9" i="70"/>
  <c r="B10" i="70"/>
  <c r="B11" i="70"/>
  <c r="B12" i="70"/>
  <c r="B13" i="70"/>
  <c r="B14" i="70"/>
  <c r="B15" i="70"/>
  <c r="B16" i="70"/>
  <c r="H110" i="66"/>
  <c r="F112" i="66"/>
  <c r="F120" i="66"/>
  <c r="BW105" i="68"/>
  <c r="BV105" i="68"/>
  <c r="G45" i="56" l="1"/>
  <c r="G40" i="56"/>
  <c r="E40" i="56"/>
  <c r="E26" i="56"/>
  <c r="G20" i="56"/>
  <c r="G26" i="56" s="1"/>
  <c r="E17" i="56"/>
  <c r="G14" i="56"/>
  <c r="G17" i="56" s="1"/>
  <c r="G45" i="54"/>
  <c r="G36" i="54"/>
  <c r="E36" i="54"/>
  <c r="E25" i="54"/>
  <c r="G22" i="54"/>
  <c r="G25" i="54" s="1"/>
  <c r="G14" i="54"/>
  <c r="G27" i="54" s="1"/>
  <c r="G39" i="54" s="1"/>
  <c r="E14" i="54"/>
  <c r="E27" i="54" s="1"/>
  <c r="G161" i="55"/>
  <c r="E161" i="55"/>
  <c r="G142" i="55"/>
  <c r="E142" i="55"/>
  <c r="G127" i="55"/>
  <c r="E127" i="55"/>
  <c r="G82" i="55"/>
  <c r="E82" i="55"/>
  <c r="G77" i="55"/>
  <c r="E77" i="55"/>
  <c r="G65" i="55"/>
  <c r="G64" i="55"/>
  <c r="E64" i="55"/>
  <c r="G56" i="55"/>
  <c r="E56" i="55"/>
  <c r="G24" i="55"/>
  <c r="E24" i="55"/>
  <c r="C41" i="23"/>
  <c r="C27" i="23"/>
  <c r="C18" i="23"/>
  <c r="C38" i="24"/>
  <c r="C27" i="24"/>
  <c r="C16" i="24"/>
  <c r="C153" i="25"/>
  <c r="C143" i="25"/>
  <c r="C117" i="25"/>
  <c r="C115" i="25"/>
  <c r="C26" i="25"/>
  <c r="C29" i="24" l="1"/>
  <c r="C41" i="24" s="1"/>
  <c r="E39" i="54"/>
  <c r="E163" i="55"/>
  <c r="G72" i="55"/>
  <c r="E72" i="55"/>
  <c r="Q13" i="72" s="1"/>
  <c r="G58" i="55"/>
  <c r="E58" i="55"/>
  <c r="G163" i="55"/>
  <c r="C58" i="25"/>
  <c r="C60" i="25" s="1"/>
  <c r="C128" i="25"/>
  <c r="C145" i="25" s="1"/>
  <c r="E144" i="55"/>
  <c r="G144" i="55"/>
  <c r="G84" i="55" l="1"/>
  <c r="G90" i="55" s="1"/>
  <c r="P13" i="72"/>
  <c r="G92" i="55"/>
  <c r="E84" i="55"/>
  <c r="E90" i="55" s="1"/>
  <c r="E92" i="55" s="1"/>
  <c r="C161" i="55"/>
  <c r="C142" i="55"/>
  <c r="C127" i="55"/>
  <c r="C82" i="55"/>
  <c r="C77" i="55"/>
  <c r="C84" i="55" s="1"/>
  <c r="C90" i="55" s="1"/>
  <c r="C56" i="55"/>
  <c r="E41" i="23"/>
  <c r="E27" i="23"/>
  <c r="E18" i="23"/>
  <c r="E38" i="24"/>
  <c r="E27" i="24"/>
  <c r="D111" i="66" s="1"/>
  <c r="E16" i="24"/>
  <c r="E162" i="25"/>
  <c r="E143" i="25"/>
  <c r="E128" i="25"/>
  <c r="E84" i="25"/>
  <c r="E79" i="25"/>
  <c r="E86" i="25" s="1"/>
  <c r="E90" i="25" s="1"/>
  <c r="E58" i="25"/>
  <c r="E26" i="25"/>
  <c r="E29" i="24" l="1"/>
  <c r="E41" i="24"/>
  <c r="C163" i="55"/>
  <c r="E60" i="25"/>
  <c r="E92" i="25" s="1"/>
  <c r="E164" i="25"/>
  <c r="C58" i="55"/>
  <c r="C92" i="55" s="1"/>
  <c r="C144" i="55"/>
  <c r="E145" i="25"/>
  <c r="BY79" i="66" l="1"/>
  <c r="M40" i="10"/>
  <c r="M26" i="10"/>
  <c r="M17" i="10"/>
  <c r="M37" i="11"/>
  <c r="M26" i="11"/>
  <c r="M15" i="11"/>
  <c r="M112" i="12"/>
  <c r="M106" i="12"/>
  <c r="M61" i="12"/>
  <c r="M69" i="12"/>
  <c r="M35" i="12"/>
  <c r="M25" i="12"/>
  <c r="BY64" i="66"/>
  <c r="BY49" i="66"/>
  <c r="BY34" i="66"/>
  <c r="BY19" i="66"/>
  <c r="BY42" i="68"/>
  <c r="BY25" i="68"/>
  <c r="BW114" i="66"/>
  <c r="I40" i="10"/>
  <c r="I26" i="10"/>
  <c r="I17" i="10"/>
  <c r="I37" i="11"/>
  <c r="I26" i="11"/>
  <c r="I15" i="11"/>
  <c r="I28" i="11" s="1"/>
  <c r="I39" i="11" s="1"/>
  <c r="I112" i="12"/>
  <c r="I106" i="12"/>
  <c r="I61" i="12"/>
  <c r="I35" i="12"/>
  <c r="I25" i="12"/>
  <c r="M28" i="11" l="1"/>
  <c r="M39" i="11" s="1"/>
  <c r="BY43" i="68"/>
  <c r="M37" i="12"/>
  <c r="I37" i="12"/>
  <c r="I69" i="12"/>
  <c r="M114" i="12"/>
  <c r="I114" i="12"/>
  <c r="BX64" i="66"/>
  <c r="BX49" i="66"/>
  <c r="BX34" i="66"/>
  <c r="BX19" i="66"/>
  <c r="BX130" i="68"/>
  <c r="BX135" i="68"/>
  <c r="BX138" i="68"/>
  <c r="AQ62" i="69" l="1"/>
  <c r="AO62" i="69"/>
  <c r="AM62" i="69"/>
  <c r="AL62" i="69"/>
  <c r="AK62" i="69"/>
  <c r="AE62" i="69"/>
  <c r="AD62" i="69"/>
  <c r="AC62" i="69"/>
  <c r="AR61" i="69"/>
  <c r="AW47" i="69"/>
  <c r="AV47" i="69"/>
  <c r="AU47" i="69"/>
  <c r="AT47" i="69"/>
  <c r="AS47" i="69"/>
  <c r="AR47" i="69"/>
  <c r="AQ47" i="69"/>
  <c r="AP47" i="69"/>
  <c r="AO47" i="69"/>
  <c r="AO50" i="69" s="1"/>
  <c r="AN47" i="69"/>
  <c r="AN50" i="69" s="1"/>
  <c r="AM47" i="69"/>
  <c r="AM50" i="69" s="1"/>
  <c r="AL47" i="69"/>
  <c r="AK47" i="69"/>
  <c r="AJ47" i="69"/>
  <c r="AI47" i="69"/>
  <c r="AH47" i="69"/>
  <c r="AG47" i="69"/>
  <c r="AE47" i="69"/>
  <c r="AD47" i="69"/>
  <c r="AC47" i="69"/>
  <c r="AB47" i="69"/>
  <c r="AR35" i="69"/>
  <c r="AF47" i="69"/>
  <c r="AV19" i="69"/>
  <c r="AV50" i="69" s="1"/>
  <c r="AU19" i="69"/>
  <c r="AU50" i="69" s="1"/>
  <c r="AT19" i="69"/>
  <c r="AS19" i="69"/>
  <c r="AS50" i="69" s="1"/>
  <c r="AR19" i="69"/>
  <c r="AR50" i="69" s="1"/>
  <c r="AQ19" i="69"/>
  <c r="AQ50" i="69" s="1"/>
  <c r="AP19" i="69"/>
  <c r="AP50" i="69" s="1"/>
  <c r="AO19" i="69"/>
  <c r="AN19" i="69"/>
  <c r="AM19" i="69"/>
  <c r="AL19" i="69"/>
  <c r="AL50" i="69" s="1"/>
  <c r="AK19" i="69"/>
  <c r="AK50" i="69" s="1"/>
  <c r="AJ19" i="69"/>
  <c r="AJ50" i="69" s="1"/>
  <c r="AI19" i="69"/>
  <c r="AI50" i="69" s="1"/>
  <c r="AH19" i="69"/>
  <c r="AH50" i="69" s="1"/>
  <c r="AG19" i="69"/>
  <c r="AG50" i="69" s="1"/>
  <c r="AE19" i="69"/>
  <c r="AE50" i="69" s="1"/>
  <c r="AD19" i="69"/>
  <c r="AD50" i="69" s="1"/>
  <c r="AC19" i="69"/>
  <c r="AC50" i="69" s="1"/>
  <c r="AB19" i="69"/>
  <c r="AB50" i="69" s="1"/>
  <c r="AW16" i="69"/>
  <c r="AW19" i="69" s="1"/>
  <c r="AW50" i="69" s="1"/>
  <c r="AT12" i="69"/>
  <c r="AR12" i="69"/>
  <c r="AF19" i="69"/>
  <c r="AF41" i="67"/>
  <c r="AF38" i="67"/>
  <c r="AR78" i="66"/>
  <c r="AQ78" i="66"/>
  <c r="AO78" i="66"/>
  <c r="AM78" i="66"/>
  <c r="AL78" i="66"/>
  <c r="AK78" i="66"/>
  <c r="AE78" i="66"/>
  <c r="AD78" i="66"/>
  <c r="AC78" i="66"/>
  <c r="AW76" i="66"/>
  <c r="AW64" i="66"/>
  <c r="AV64" i="66"/>
  <c r="AU64" i="66"/>
  <c r="AS64" i="66"/>
  <c r="AR64" i="66"/>
  <c r="AP64" i="66"/>
  <c r="AO64" i="66"/>
  <c r="AN64" i="66"/>
  <c r="AM64" i="66"/>
  <c r="AL64" i="66"/>
  <c r="AK64" i="66"/>
  <c r="AJ64" i="66"/>
  <c r="AI64" i="66"/>
  <c r="AH64" i="66"/>
  <c r="AG64" i="66"/>
  <c r="AE64" i="66"/>
  <c r="AD64" i="66"/>
  <c r="AC64" i="66"/>
  <c r="AB64" i="66"/>
  <c r="AF64" i="66"/>
  <c r="AR52" i="66"/>
  <c r="AW49" i="66"/>
  <c r="AV49" i="66"/>
  <c r="AU49" i="66"/>
  <c r="AS49" i="66"/>
  <c r="AR49" i="66"/>
  <c r="AQ49" i="66"/>
  <c r="AP49" i="66"/>
  <c r="AO49" i="66"/>
  <c r="AN49" i="66"/>
  <c r="AM49" i="66"/>
  <c r="AL49" i="66"/>
  <c r="AK49" i="66"/>
  <c r="AJ49" i="66"/>
  <c r="AI49" i="66"/>
  <c r="AH49" i="66"/>
  <c r="AG49" i="66"/>
  <c r="AF49" i="66"/>
  <c r="AE49" i="66"/>
  <c r="AD49" i="66"/>
  <c r="AC49" i="66"/>
  <c r="AB49" i="66"/>
  <c r="AW34" i="66"/>
  <c r="AV34" i="66"/>
  <c r="AU34" i="66"/>
  <c r="AS34" i="66"/>
  <c r="AR34" i="66"/>
  <c r="AQ34" i="66"/>
  <c r="AP34" i="66"/>
  <c r="AO34" i="66"/>
  <c r="AN34" i="66"/>
  <c r="AM34" i="66"/>
  <c r="AL34" i="66"/>
  <c r="AK34" i="66"/>
  <c r="AJ34" i="66"/>
  <c r="AI34" i="66"/>
  <c r="AH34" i="66"/>
  <c r="AG34" i="66"/>
  <c r="AF34" i="66"/>
  <c r="AE34" i="66"/>
  <c r="AD34" i="66"/>
  <c r="AC34" i="66"/>
  <c r="AB34" i="66"/>
  <c r="AV19" i="66"/>
  <c r="AU19" i="66"/>
  <c r="AS19" i="66"/>
  <c r="AR19" i="66"/>
  <c r="AQ19" i="66"/>
  <c r="AP19" i="66"/>
  <c r="AO19" i="66"/>
  <c r="AN19" i="66"/>
  <c r="AL19" i="66"/>
  <c r="AJ19" i="66"/>
  <c r="AI19" i="66"/>
  <c r="AH19" i="66"/>
  <c r="AG19" i="66"/>
  <c r="AF19" i="66"/>
  <c r="AE19" i="66"/>
  <c r="AC19" i="66"/>
  <c r="AB19" i="66"/>
  <c r="AW15" i="66"/>
  <c r="AW19" i="66" s="1"/>
  <c r="AM15" i="66"/>
  <c r="AK15" i="66"/>
  <c r="AK19" i="66" s="1"/>
  <c r="AD10" i="66"/>
  <c r="AD19" i="66" s="1"/>
  <c r="AR5" i="66"/>
  <c r="AD4" i="66"/>
  <c r="AR3" i="66"/>
  <c r="AM3" i="66"/>
  <c r="AM19" i="66" s="1"/>
  <c r="AW95" i="68"/>
  <c r="AM95" i="68"/>
  <c r="AL95" i="68"/>
  <c r="AD95" i="68"/>
  <c r="AR72" i="68"/>
  <c r="AF72" i="68"/>
  <c r="AW62" i="68"/>
  <c r="AV62" i="68"/>
  <c r="AU62" i="68"/>
  <c r="AS62" i="68"/>
  <c r="AR62" i="68"/>
  <c r="AQ62" i="68"/>
  <c r="AP62" i="68"/>
  <c r="AO62" i="68"/>
  <c r="AN62" i="68"/>
  <c r="AM62" i="68"/>
  <c r="AL62" i="68"/>
  <c r="AK62" i="68"/>
  <c r="AJ62" i="68"/>
  <c r="AI62" i="68"/>
  <c r="AH62" i="68"/>
  <c r="AG62" i="68"/>
  <c r="AE62" i="68"/>
  <c r="AD62" i="68"/>
  <c r="AC62" i="68"/>
  <c r="AB62" i="68"/>
  <c r="AF57" i="68"/>
  <c r="AF56" i="68"/>
  <c r="AF62" i="68" s="1"/>
  <c r="AW42" i="68"/>
  <c r="AV42" i="68"/>
  <c r="AU42" i="68"/>
  <c r="AU43" i="68" s="1"/>
  <c r="AS42" i="68"/>
  <c r="AS43" i="68" s="1"/>
  <c r="AR42" i="68"/>
  <c r="AR43" i="68" s="1"/>
  <c r="AQ42" i="68"/>
  <c r="AQ43" i="68" s="1"/>
  <c r="AP42" i="68"/>
  <c r="AP43" i="68" s="1"/>
  <c r="AO42" i="68"/>
  <c r="AO43" i="68" s="1"/>
  <c r="AN42" i="68"/>
  <c r="AM42" i="68"/>
  <c r="AL42" i="68"/>
  <c r="AK42" i="68"/>
  <c r="AJ42" i="68"/>
  <c r="AI42" i="68"/>
  <c r="AH42" i="68"/>
  <c r="AG42" i="68"/>
  <c r="AF42" i="68"/>
  <c r="AE42" i="68"/>
  <c r="AD42" i="68"/>
  <c r="AC42" i="68"/>
  <c r="AB42" i="68"/>
  <c r="AB43" i="68" s="1"/>
  <c r="AV25" i="68"/>
  <c r="AU25" i="68"/>
  <c r="AS25" i="68"/>
  <c r="AR25" i="68"/>
  <c r="AQ25" i="68"/>
  <c r="AP25" i="68"/>
  <c r="AO25" i="68"/>
  <c r="AN25" i="68"/>
  <c r="AM25" i="68"/>
  <c r="AL25" i="68"/>
  <c r="AJ25" i="68"/>
  <c r="AI25" i="68"/>
  <c r="AH25" i="68"/>
  <c r="AG25" i="68"/>
  <c r="AC25" i="68"/>
  <c r="AB25" i="68"/>
  <c r="AF18" i="68"/>
  <c r="AQ16" i="68"/>
  <c r="AO16" i="68"/>
  <c r="AK16" i="68"/>
  <c r="AK25" i="68" s="1"/>
  <c r="AF16" i="68"/>
  <c r="AF25" i="68" s="1"/>
  <c r="AE16" i="68"/>
  <c r="AE25" i="68" s="1"/>
  <c r="AD16" i="68"/>
  <c r="AD25" i="68" s="1"/>
  <c r="AW4" i="68"/>
  <c r="AW25" i="68" s="1"/>
  <c r="AV43" i="68" l="1"/>
  <c r="AW43" i="68"/>
  <c r="AG43" i="68"/>
  <c r="AC43" i="68"/>
  <c r="AH43" i="68"/>
  <c r="AF50" i="69"/>
  <c r="AI43" i="68"/>
  <c r="AJ43" i="68"/>
  <c r="AK43" i="68"/>
  <c r="AN43" i="68"/>
  <c r="AL43" i="68"/>
  <c r="AM43" i="68"/>
  <c r="AT50" i="69"/>
  <c r="AD43" i="68"/>
  <c r="AE43" i="68"/>
  <c r="AF43" i="68"/>
  <c r="E97" i="66" l="1"/>
  <c r="F97" i="66"/>
  <c r="G97" i="66"/>
  <c r="H97" i="66"/>
  <c r="I97" i="66"/>
  <c r="H39" i="71"/>
  <c r="I28" i="71"/>
  <c r="H28" i="71"/>
  <c r="G28" i="71"/>
  <c r="F28" i="71"/>
  <c r="I47" i="69"/>
  <c r="H47" i="69"/>
  <c r="G47" i="69"/>
  <c r="F47" i="69"/>
  <c r="I19" i="69"/>
  <c r="I50" i="69" s="1"/>
  <c r="H19" i="69"/>
  <c r="H50" i="69" s="1"/>
  <c r="G19" i="69"/>
  <c r="G50" i="69" s="1"/>
  <c r="F19" i="69"/>
  <c r="E15" i="67"/>
  <c r="I64" i="66"/>
  <c r="H64" i="66"/>
  <c r="G64" i="66"/>
  <c r="I49" i="66"/>
  <c r="H49" i="66"/>
  <c r="G49" i="66"/>
  <c r="I34" i="66"/>
  <c r="H34" i="66"/>
  <c r="G34" i="66"/>
  <c r="I19" i="66"/>
  <c r="G19" i="66"/>
  <c r="H4" i="66"/>
  <c r="H19" i="66" s="1"/>
  <c r="I99" i="68"/>
  <c r="H99" i="68"/>
  <c r="G99" i="68"/>
  <c r="F99" i="68"/>
  <c r="E99" i="68"/>
  <c r="I62" i="68"/>
  <c r="H62" i="68"/>
  <c r="G62" i="68"/>
  <c r="F62" i="68"/>
  <c r="I42" i="68"/>
  <c r="I43" i="68" s="1"/>
  <c r="H42" i="68"/>
  <c r="H43" i="68" s="1"/>
  <c r="G42" i="68"/>
  <c r="G43" i="68" s="1"/>
  <c r="F42" i="68"/>
  <c r="I25" i="68"/>
  <c r="H25" i="68"/>
  <c r="G25" i="68"/>
  <c r="F25" i="68"/>
  <c r="F43" i="68" l="1"/>
  <c r="E100" i="68"/>
  <c r="F100" i="68"/>
  <c r="G100" i="68"/>
  <c r="H100" i="68"/>
  <c r="I100" i="68"/>
  <c r="F50" i="69"/>
  <c r="O47" i="69"/>
  <c r="O19" i="69"/>
  <c r="O64" i="66"/>
  <c r="O49" i="66"/>
  <c r="O34" i="66"/>
  <c r="O19" i="66"/>
  <c r="O99" i="68"/>
  <c r="O62" i="68"/>
  <c r="O50" i="69" l="1"/>
  <c r="O100" i="68"/>
  <c r="C99" i="68"/>
  <c r="C62" i="68"/>
  <c r="C42" i="68"/>
  <c r="C25" i="68"/>
  <c r="C43" i="68" l="1"/>
  <c r="C100" i="68"/>
  <c r="BW79" i="66"/>
  <c r="M128" i="12"/>
  <c r="BW64" i="66"/>
  <c r="BW49" i="66"/>
  <c r="BW34" i="66"/>
  <c r="BW19" i="66"/>
  <c r="BW42" i="68"/>
  <c r="BW25" i="68"/>
  <c r="BW62" i="68"/>
  <c r="BW43" i="68" l="1"/>
  <c r="M130" i="12"/>
  <c r="G128" i="12" l="1"/>
  <c r="E128" i="12"/>
  <c r="C128" i="12"/>
  <c r="G61" i="12"/>
  <c r="E61" i="12"/>
  <c r="C61" i="12"/>
  <c r="G56" i="12"/>
  <c r="E56" i="12"/>
  <c r="C56" i="12"/>
  <c r="E67" i="12"/>
  <c r="C49" i="12"/>
  <c r="C51" i="12" s="1"/>
  <c r="G35" i="12"/>
  <c r="E35" i="12"/>
  <c r="C35" i="12"/>
  <c r="G25" i="12"/>
  <c r="E25" i="12"/>
  <c r="C25" i="12"/>
  <c r="BV99" i="68"/>
  <c r="BU99" i="68"/>
  <c r="BT99" i="68"/>
  <c r="BV62" i="68"/>
  <c r="BU62" i="68"/>
  <c r="BT62" i="68"/>
  <c r="BV42" i="68"/>
  <c r="BU42" i="68"/>
  <c r="BT42" i="68"/>
  <c r="BV25" i="68"/>
  <c r="BU25" i="68"/>
  <c r="BT25" i="68"/>
  <c r="E69" i="12" l="1"/>
  <c r="BU43" i="68"/>
  <c r="BT43" i="68"/>
  <c r="BT100" i="68"/>
  <c r="BU100" i="68"/>
  <c r="BV100" i="68"/>
  <c r="O49" i="12"/>
  <c r="K72" i="25" s="1"/>
  <c r="C67" i="12"/>
  <c r="G130" i="12"/>
  <c r="G37" i="12"/>
  <c r="G69" i="12" s="1"/>
  <c r="E37" i="12"/>
  <c r="C37" i="12"/>
  <c r="E130" i="12"/>
  <c r="BV43" i="68"/>
  <c r="C130" i="12"/>
  <c r="C69" i="12" l="1"/>
  <c r="AG87" i="18"/>
  <c r="AC87" i="18"/>
  <c r="Y87" i="18"/>
  <c r="W87" i="18"/>
  <c r="U87" i="18"/>
  <c r="S87" i="18"/>
  <c r="Q87" i="18"/>
  <c r="O87" i="18"/>
  <c r="M87" i="18"/>
  <c r="I87" i="18"/>
  <c r="K87" i="18"/>
  <c r="E16" i="21"/>
  <c r="E26" i="21" s="1"/>
  <c r="AM97" i="66"/>
  <c r="AN97" i="66"/>
  <c r="AO97" i="66"/>
  <c r="AP97" i="66"/>
  <c r="AQ97" i="66"/>
  <c r="AR97" i="66"/>
  <c r="K66" i="56" l="1"/>
  <c r="K67" i="56"/>
  <c r="K68" i="56"/>
  <c r="K69" i="56"/>
  <c r="K70" i="56"/>
  <c r="K71" i="56"/>
  <c r="K72" i="56"/>
  <c r="K73" i="56"/>
  <c r="K74" i="56"/>
  <c r="K75" i="56"/>
  <c r="K76" i="56"/>
  <c r="K77" i="56"/>
  <c r="K78" i="56"/>
  <c r="K80" i="56"/>
  <c r="J97" i="23" s="1"/>
  <c r="L97" i="23" s="1"/>
  <c r="K81" i="56"/>
  <c r="K82" i="56"/>
  <c r="K83" i="56"/>
  <c r="K84" i="56"/>
  <c r="K85" i="56"/>
  <c r="K86" i="56"/>
  <c r="L83" i="23"/>
  <c r="L93" i="23"/>
  <c r="L94" i="23"/>
  <c r="L95" i="23"/>
  <c r="L109" i="23" l="1"/>
  <c r="D105" i="68" l="1"/>
  <c r="E83" i="69"/>
  <c r="G83" i="69"/>
  <c r="H83" i="69"/>
  <c r="I83" i="69"/>
  <c r="J81" i="69"/>
  <c r="E55" i="67" l="1"/>
  <c r="F55" i="67"/>
  <c r="G55" i="67"/>
  <c r="H55" i="67"/>
  <c r="I55" i="67"/>
  <c r="F83" i="69"/>
  <c r="I81" i="66"/>
  <c r="I95" i="66" s="1"/>
  <c r="F81" i="66"/>
  <c r="I104" i="66"/>
  <c r="H104" i="66"/>
  <c r="G104" i="66"/>
  <c r="F104" i="66"/>
  <c r="E104" i="66"/>
  <c r="I102" i="66"/>
  <c r="H102" i="66"/>
  <c r="G102" i="66"/>
  <c r="F102" i="66"/>
  <c r="E102" i="66"/>
  <c r="I93" i="66"/>
  <c r="H93" i="66"/>
  <c r="G93" i="66"/>
  <c r="F93" i="66"/>
  <c r="E93" i="66"/>
  <c r="I79" i="66"/>
  <c r="H79" i="66"/>
  <c r="G79" i="66"/>
  <c r="G81" i="66" s="1"/>
  <c r="G95" i="66" s="1"/>
  <c r="F79" i="66"/>
  <c r="F53" i="71" s="1"/>
  <c r="E79" i="66"/>
  <c r="F64" i="70"/>
  <c r="E64" i="70"/>
  <c r="I86" i="69"/>
  <c r="H86" i="69"/>
  <c r="G86" i="69"/>
  <c r="F86" i="69"/>
  <c r="E86" i="69"/>
  <c r="I85" i="69"/>
  <c r="H85" i="69"/>
  <c r="G85" i="69"/>
  <c r="F85" i="69"/>
  <c r="E85" i="69"/>
  <c r="I75" i="69"/>
  <c r="H75" i="69"/>
  <c r="G75" i="69"/>
  <c r="F75" i="69"/>
  <c r="E75" i="69"/>
  <c r="I63" i="69"/>
  <c r="I65" i="69" s="1"/>
  <c r="H63" i="69"/>
  <c r="G63" i="69"/>
  <c r="G65" i="69" s="1"/>
  <c r="F63" i="69"/>
  <c r="E63" i="69"/>
  <c r="E65" i="69" s="1"/>
  <c r="I48" i="71"/>
  <c r="H48" i="71"/>
  <c r="G48" i="71"/>
  <c r="F48" i="71"/>
  <c r="E48" i="71"/>
  <c r="I41" i="71"/>
  <c r="G41" i="71"/>
  <c r="F41" i="71"/>
  <c r="E41" i="71"/>
  <c r="H41" i="71"/>
  <c r="E81" i="66" l="1"/>
  <c r="E53" i="71"/>
  <c r="I70" i="67"/>
  <c r="H70" i="67"/>
  <c r="G45" i="67"/>
  <c r="G57" i="67" s="1"/>
  <c r="F70" i="67"/>
  <c r="E70" i="67"/>
  <c r="E45" i="67"/>
  <c r="E57" i="67" s="1"/>
  <c r="F65" i="69"/>
  <c r="F77" i="69" s="1"/>
  <c r="F81" i="69" s="1"/>
  <c r="F89" i="69" s="1"/>
  <c r="I45" i="67"/>
  <c r="I57" i="67" s="1"/>
  <c r="F45" i="67"/>
  <c r="F57" i="67" s="1"/>
  <c r="H45" i="67"/>
  <c r="H57" i="67" s="1"/>
  <c r="H65" i="69"/>
  <c r="H81" i="66"/>
  <c r="H95" i="66" s="1"/>
  <c r="G70" i="67"/>
  <c r="G77" i="69"/>
  <c r="G81" i="69" s="1"/>
  <c r="G89" i="69" s="1"/>
  <c r="E77" i="69"/>
  <c r="I77" i="69"/>
  <c r="I81" i="69" s="1"/>
  <c r="I89" i="69" s="1"/>
  <c r="E95" i="66"/>
  <c r="F95" i="66"/>
  <c r="E81" i="69" l="1"/>
  <c r="E89" i="69" s="1"/>
  <c r="H77" i="69"/>
  <c r="H81" i="69"/>
  <c r="H89" i="69" s="1"/>
  <c r="M49" i="52" l="1"/>
  <c r="D150" i="66" l="1"/>
  <c r="D152" i="66"/>
  <c r="D151" i="66"/>
  <c r="D149" i="66"/>
  <c r="D119" i="66"/>
  <c r="K57" i="11" l="1"/>
  <c r="C162" i="25" l="1"/>
  <c r="C164" i="25" l="1"/>
  <c r="BX42" i="68" l="1"/>
  <c r="BX25" i="68"/>
  <c r="BX43" i="68" l="1"/>
  <c r="M57" i="11" l="1"/>
  <c r="D138" i="66" l="1"/>
  <c r="D125" i="66"/>
  <c r="D130" i="66" s="1"/>
  <c r="D122" i="66"/>
  <c r="D114" i="66"/>
  <c r="D104" i="66"/>
  <c r="D102" i="66"/>
  <c r="D97" i="66"/>
  <c r="D93" i="66"/>
  <c r="D79" i="66"/>
  <c r="D64" i="66"/>
  <c r="D49" i="66"/>
  <c r="D34" i="66"/>
  <c r="D19" i="66"/>
  <c r="D81" i="66" l="1"/>
  <c r="D95" i="66"/>
  <c r="I128" i="12" l="1"/>
  <c r="S47" i="69"/>
  <c r="R47" i="69"/>
  <c r="S19" i="69"/>
  <c r="S50" i="69" s="1"/>
  <c r="R19" i="69"/>
  <c r="T19" i="69"/>
  <c r="T47" i="69"/>
  <c r="T50" i="69"/>
  <c r="S64" i="66"/>
  <c r="R64" i="66"/>
  <c r="S49" i="66"/>
  <c r="R49" i="66"/>
  <c r="S34" i="66"/>
  <c r="R34" i="66"/>
  <c r="S19" i="66"/>
  <c r="R19" i="66"/>
  <c r="R50" i="69" l="1"/>
  <c r="I130" i="12"/>
  <c r="I148" i="12"/>
  <c r="L104" i="64" l="1"/>
  <c r="G113" i="66"/>
  <c r="W47" i="69"/>
  <c r="W19" i="69"/>
  <c r="W50" i="69" s="1"/>
  <c r="W43" i="67"/>
  <c r="W44" i="67"/>
  <c r="W55" i="67"/>
  <c r="W65" i="67"/>
  <c r="W67" i="67"/>
  <c r="W64" i="66"/>
  <c r="W49" i="66"/>
  <c r="W34" i="66"/>
  <c r="W19" i="66"/>
  <c r="W99" i="68"/>
  <c r="W62" i="68"/>
  <c r="W42" i="68"/>
  <c r="W25" i="68"/>
  <c r="U47" i="69"/>
  <c r="U19" i="69"/>
  <c r="U50" i="69" s="1"/>
  <c r="U99" i="68"/>
  <c r="U62" i="68"/>
  <c r="U42" i="68"/>
  <c r="U25" i="68"/>
  <c r="T43" i="67"/>
  <c r="T44" i="67"/>
  <c r="T55" i="67"/>
  <c r="T65" i="67"/>
  <c r="T67" i="67"/>
  <c r="T64" i="66"/>
  <c r="T49" i="66"/>
  <c r="T34" i="66"/>
  <c r="T19" i="66"/>
  <c r="T99" i="68"/>
  <c r="T62" i="68"/>
  <c r="T42" i="68"/>
  <c r="T43" i="68" s="1"/>
  <c r="T25" i="68"/>
  <c r="Q47" i="69"/>
  <c r="Q19" i="69"/>
  <c r="Q50" i="69" s="1"/>
  <c r="Q42" i="68"/>
  <c r="Q25" i="68"/>
  <c r="K47" i="69"/>
  <c r="K19" i="69"/>
  <c r="K50" i="69" s="1"/>
  <c r="K43" i="67"/>
  <c r="K44" i="67"/>
  <c r="K55" i="67"/>
  <c r="K65" i="67"/>
  <c r="K67" i="67"/>
  <c r="K64" i="66"/>
  <c r="K49" i="66"/>
  <c r="K34" i="66"/>
  <c r="K19" i="66"/>
  <c r="K99" i="68"/>
  <c r="K62" i="68"/>
  <c r="K42" i="68"/>
  <c r="K25" i="68"/>
  <c r="W100" i="68" l="1"/>
  <c r="K43" i="68"/>
  <c r="W43" i="68"/>
  <c r="U43" i="68"/>
  <c r="Q43" i="68"/>
  <c r="T100" i="68"/>
  <c r="K100" i="68"/>
  <c r="U100" i="68"/>
  <c r="C28" i="71" l="1"/>
  <c r="C30" i="70"/>
  <c r="C25" i="70"/>
  <c r="C21" i="70"/>
  <c r="E148" i="12" l="1"/>
  <c r="P47" i="69" l="1"/>
  <c r="P19" i="69"/>
  <c r="P50" i="69" s="1"/>
  <c r="P64" i="66"/>
  <c r="P49" i="66"/>
  <c r="P34" i="66"/>
  <c r="P19" i="66"/>
  <c r="P99" i="68"/>
  <c r="P62" i="68"/>
  <c r="P42" i="68"/>
  <c r="P25" i="68"/>
  <c r="N99" i="68"/>
  <c r="N62" i="68"/>
  <c r="N42" i="68"/>
  <c r="N25" i="68"/>
  <c r="P43" i="68" l="1"/>
  <c r="P100" i="68"/>
  <c r="N100" i="68"/>
  <c r="N43" i="68"/>
  <c r="C156" i="21" l="1"/>
  <c r="C138" i="21"/>
  <c r="C127" i="21"/>
  <c r="C93" i="21"/>
  <c r="C51" i="21"/>
  <c r="C94" i="21" l="1"/>
  <c r="C140" i="21"/>
  <c r="C158" i="21" s="1"/>
  <c r="C53" i="21"/>
  <c r="C96" i="21" s="1"/>
  <c r="I62" i="24" l="1"/>
  <c r="I60" i="24"/>
  <c r="I58" i="24"/>
  <c r="I64" i="24" l="1"/>
  <c r="T44" i="20"/>
  <c r="T42" i="20"/>
  <c r="T40" i="20"/>
  <c r="Q77" i="30" s="1"/>
  <c r="E171" i="21"/>
  <c r="E168" i="21"/>
  <c r="E156" i="21"/>
  <c r="E130" i="21"/>
  <c r="E138" i="21" s="1"/>
  <c r="E113" i="21"/>
  <c r="E127" i="21" s="1"/>
  <c r="E91" i="21"/>
  <c r="E93" i="21" s="1"/>
  <c r="E59" i="21"/>
  <c r="E51" i="21"/>
  <c r="E69" i="21" l="1"/>
  <c r="E82" i="21" s="1"/>
  <c r="E53" i="21"/>
  <c r="E140" i="21"/>
  <c r="E158" i="21" s="1"/>
  <c r="K64" i="56"/>
  <c r="K63" i="56"/>
  <c r="J80" i="23"/>
  <c r="L80" i="23" s="1"/>
  <c r="J85" i="23"/>
  <c r="L85" i="23" s="1"/>
  <c r="J89" i="23"/>
  <c r="L89" i="23" s="1"/>
  <c r="J92" i="23"/>
  <c r="L92" i="23" s="1"/>
  <c r="J91" i="23"/>
  <c r="L91" i="23" s="1"/>
  <c r="J100" i="23"/>
  <c r="L100" i="23" s="1"/>
  <c r="J99" i="23"/>
  <c r="L99" i="23" s="1"/>
  <c r="E94" i="21" l="1"/>
  <c r="E96" i="21" s="1"/>
  <c r="K64" i="24"/>
  <c r="C87" i="18" l="1"/>
  <c r="H27" i="72" l="1"/>
  <c r="BE105" i="68"/>
  <c r="BF105" i="68"/>
  <c r="BG105" i="68"/>
  <c r="BI105" i="68"/>
  <c r="BJ105" i="68"/>
  <c r="BD105" i="68"/>
  <c r="F34" i="72"/>
  <c r="BY105" i="68"/>
  <c r="O34" i="50" l="1"/>
  <c r="BK28" i="71" l="1"/>
  <c r="BK47" i="69"/>
  <c r="BK19" i="69"/>
  <c r="BK50" i="69" s="1"/>
  <c r="BK64" i="66"/>
  <c r="BK49" i="66"/>
  <c r="BK34" i="66"/>
  <c r="BK19" i="66"/>
  <c r="BK105" i="68"/>
  <c r="BK99" i="68"/>
  <c r="BK62" i="68"/>
  <c r="BK42" i="68"/>
  <c r="BK25" i="68"/>
  <c r="BK43" i="68" l="1"/>
  <c r="BK100" i="68"/>
  <c r="BO65" i="69" l="1"/>
  <c r="BN65" i="69"/>
  <c r="BL65" i="69"/>
  <c r="BI65" i="69"/>
  <c r="BG65" i="69"/>
  <c r="BD65" i="69"/>
  <c r="BC65" i="69"/>
  <c r="BB65" i="69"/>
  <c r="BA65" i="69"/>
  <c r="AY65" i="69"/>
  <c r="AX65" i="69"/>
  <c r="AA65" i="69"/>
  <c r="Z65" i="69"/>
  <c r="Y65" i="69"/>
  <c r="V65" i="69"/>
  <c r="M65" i="69"/>
  <c r="L65" i="69"/>
  <c r="J65" i="69"/>
  <c r="I52" i="24"/>
  <c r="B151" i="66"/>
  <c r="M66" i="30" s="1"/>
  <c r="AW128" i="58" s="1"/>
  <c r="BL47" i="69" l="1"/>
  <c r="BL19" i="69"/>
  <c r="BL50" i="69" s="1"/>
  <c r="BL64" i="66"/>
  <c r="BL49" i="66"/>
  <c r="BL34" i="66"/>
  <c r="BL19" i="66"/>
  <c r="BL105" i="68"/>
  <c r="BL99" i="68"/>
  <c r="BL62" i="68"/>
  <c r="BL42" i="68"/>
  <c r="BL25" i="68"/>
  <c r="BL43" i="68" l="1"/>
  <c r="BL100" i="68"/>
  <c r="BL28" i="71" l="1"/>
  <c r="BL55" i="67"/>
  <c r="BL65" i="67"/>
  <c r="BL67" i="67"/>
  <c r="BL93" i="66"/>
  <c r="BL79" i="66"/>
  <c r="BL81" i="66"/>
  <c r="X19" i="69" l="1"/>
  <c r="X47" i="69"/>
  <c r="X50" i="69" s="1"/>
  <c r="U64" i="66"/>
  <c r="U49" i="66"/>
  <c r="U34" i="66"/>
  <c r="U19" i="66"/>
  <c r="S58" i="29" l="1"/>
  <c r="CA11" i="71" l="1"/>
  <c r="BZ105" i="68" l="1"/>
  <c r="BZ99" i="68"/>
  <c r="BZ62" i="68"/>
  <c r="X64" i="66"/>
  <c r="X49" i="66"/>
  <c r="X34" i="66"/>
  <c r="X19" i="66"/>
  <c r="X99" i="68"/>
  <c r="X62" i="68"/>
  <c r="X42" i="68"/>
  <c r="X25" i="68"/>
  <c r="S42" i="68"/>
  <c r="R42" i="68"/>
  <c r="S25" i="68"/>
  <c r="R25" i="68"/>
  <c r="D28" i="71"/>
  <c r="D47" i="69"/>
  <c r="D19" i="69"/>
  <c r="D99" i="68"/>
  <c r="D62" i="68"/>
  <c r="D42" i="68"/>
  <c r="D25" i="68"/>
  <c r="D50" i="69" l="1"/>
  <c r="D65" i="69" s="1"/>
  <c r="D83" i="69"/>
  <c r="D53" i="71"/>
  <c r="X100" i="68"/>
  <c r="BZ100" i="68"/>
  <c r="D43" i="68"/>
  <c r="R43" i="68"/>
  <c r="D100" i="68"/>
  <c r="X43" i="68"/>
  <c r="S43" i="68"/>
  <c r="G60" i="54"/>
  <c r="E60" i="54"/>
  <c r="G48" i="54"/>
  <c r="E48" i="54"/>
  <c r="E50" i="54" s="1"/>
  <c r="G50" i="54"/>
  <c r="C64" i="24"/>
  <c r="C49" i="24"/>
  <c r="C54" i="24" l="1"/>
  <c r="C60" i="54" l="1"/>
  <c r="C48" i="54"/>
  <c r="C50" i="54" s="1"/>
  <c r="E64" i="24"/>
  <c r="E49" i="24"/>
  <c r="E54" i="24"/>
  <c r="E181" i="25" l="1"/>
  <c r="CA62" i="68" l="1"/>
  <c r="BY62" i="68"/>
  <c r="BX62" i="68"/>
  <c r="BS62" i="68"/>
  <c r="BR62" i="68"/>
  <c r="BQ62" i="68"/>
  <c r="BP62" i="68"/>
  <c r="BO62" i="68"/>
  <c r="BN62" i="68"/>
  <c r="BM62" i="68"/>
  <c r="BI62" i="68"/>
  <c r="BH62" i="68"/>
  <c r="BG62" i="68"/>
  <c r="BF62" i="68"/>
  <c r="BE62" i="68"/>
  <c r="BD62" i="68"/>
  <c r="BC62" i="68"/>
  <c r="BB62" i="68"/>
  <c r="BA62" i="68"/>
  <c r="AZ62" i="68"/>
  <c r="AY62" i="68"/>
  <c r="AX62" i="68"/>
  <c r="AA62" i="68"/>
  <c r="Z62" i="68"/>
  <c r="Y62" i="68"/>
  <c r="V62" i="68"/>
  <c r="S62" i="68"/>
  <c r="R62" i="68"/>
  <c r="M62" i="68"/>
  <c r="L62" i="68"/>
  <c r="J62" i="68"/>
  <c r="CB99" i="68"/>
  <c r="CA99" i="68"/>
  <c r="BY99" i="68"/>
  <c r="BX99" i="68"/>
  <c r="BW99" i="68"/>
  <c r="BS99" i="68"/>
  <c r="BR99" i="68"/>
  <c r="BQ99" i="68"/>
  <c r="BP99" i="68"/>
  <c r="BO99" i="68"/>
  <c r="BN99" i="68"/>
  <c r="BM99" i="68"/>
  <c r="BJ99" i="68"/>
  <c r="BI99" i="68"/>
  <c r="BH99" i="68"/>
  <c r="BG99" i="68"/>
  <c r="BF99" i="68"/>
  <c r="BE99" i="68"/>
  <c r="BD99" i="68"/>
  <c r="BC99" i="68"/>
  <c r="BB99" i="68"/>
  <c r="BA99" i="68"/>
  <c r="AZ99" i="68"/>
  <c r="AY99" i="68"/>
  <c r="AX99" i="68"/>
  <c r="AA99" i="68"/>
  <c r="Z99" i="68"/>
  <c r="Y99" i="68"/>
  <c r="V99" i="68"/>
  <c r="S99" i="68"/>
  <c r="R99" i="68"/>
  <c r="M99" i="68"/>
  <c r="L99" i="68"/>
  <c r="J99" i="68"/>
  <c r="G49" i="63"/>
  <c r="I49" i="63"/>
  <c r="K49" i="63"/>
  <c r="M49" i="63"/>
  <c r="O49" i="63"/>
  <c r="Q49" i="63"/>
  <c r="S49" i="63"/>
  <c r="U49" i="63"/>
  <c r="BX114" i="66"/>
  <c r="K148" i="12" l="1"/>
  <c r="O28" i="71" l="1"/>
  <c r="AW75" i="69" l="1"/>
  <c r="AV75" i="69"/>
  <c r="AU75" i="69"/>
  <c r="AT75" i="69"/>
  <c r="AS75" i="69"/>
  <c r="AR75" i="69"/>
  <c r="AQ75" i="69"/>
  <c r="AP75" i="69"/>
  <c r="AO75" i="69"/>
  <c r="AN75" i="69"/>
  <c r="AM75" i="69"/>
  <c r="AL75" i="69"/>
  <c r="AK75" i="69"/>
  <c r="AJ75" i="69"/>
  <c r="AI75" i="69"/>
  <c r="AH75" i="69"/>
  <c r="AG75" i="69"/>
  <c r="AF75" i="69"/>
  <c r="AE75" i="69"/>
  <c r="AD75" i="69"/>
  <c r="AC75" i="69"/>
  <c r="AB75" i="69"/>
  <c r="AX47" i="69"/>
  <c r="AX19" i="69"/>
  <c r="AX50" i="69" s="1"/>
  <c r="AU105" i="68"/>
  <c r="AS105" i="68"/>
  <c r="AP105" i="68"/>
  <c r="AO105" i="68"/>
  <c r="AN105" i="68"/>
  <c r="AM105" i="68"/>
  <c r="AL105" i="68"/>
  <c r="AK105" i="68"/>
  <c r="AD105" i="68"/>
  <c r="AC105" i="68"/>
  <c r="AR105" i="68" l="1"/>
  <c r="AT105" i="68"/>
  <c r="AV105" i="68"/>
  <c r="AQ105" i="68"/>
  <c r="AW105" i="68"/>
  <c r="AF105" i="68"/>
  <c r="AE105" i="68"/>
  <c r="AU99" i="68"/>
  <c r="AU100" i="68" s="1"/>
  <c r="AV99" i="68"/>
  <c r="AV100" i="68" s="1"/>
  <c r="AW99" i="68"/>
  <c r="AW100" i="68" s="1"/>
  <c r="AB99" i="68"/>
  <c r="AB100" i="68" s="1"/>
  <c r="AS99" i="68"/>
  <c r="AS100" i="68" s="1"/>
  <c r="AD99" i="68"/>
  <c r="AD100" i="68" s="1"/>
  <c r="AJ99" i="68"/>
  <c r="AJ100" i="68" s="1"/>
  <c r="AC99" i="68"/>
  <c r="AC100" i="68" s="1"/>
  <c r="AE99" i="68"/>
  <c r="AE100" i="68" s="1"/>
  <c r="AT99" i="68"/>
  <c r="AT100" i="68" s="1"/>
  <c r="AN99" i="68"/>
  <c r="AN100" i="68" s="1"/>
  <c r="AG99" i="68"/>
  <c r="AG100" i="68" s="1"/>
  <c r="AL99" i="68"/>
  <c r="AL100" i="68" s="1"/>
  <c r="AR99" i="68"/>
  <c r="AR100" i="68" s="1"/>
  <c r="AF99" i="68"/>
  <c r="AF100" i="68" s="1"/>
  <c r="AH99" i="68"/>
  <c r="AH100" i="68" s="1"/>
  <c r="AM99" i="68"/>
  <c r="AM100" i="68" s="1"/>
  <c r="AI99" i="68"/>
  <c r="AI100" i="68" s="1"/>
  <c r="AK99" i="68"/>
  <c r="AK100" i="68" s="1"/>
  <c r="AO99" i="68"/>
  <c r="AO100" i="68" s="1"/>
  <c r="AP99" i="68"/>
  <c r="AP100" i="68" s="1"/>
  <c r="AQ99" i="68"/>
  <c r="AQ100" i="68" s="1"/>
  <c r="W26" i="50"/>
  <c r="V13" i="67" l="1"/>
  <c r="V14" i="67"/>
  <c r="V15" i="67"/>
  <c r="V16" i="67"/>
  <c r="V17" i="67"/>
  <c r="V18" i="67"/>
  <c r="V20" i="67"/>
  <c r="V21" i="67"/>
  <c r="BR28" i="71" l="1"/>
  <c r="BR47" i="69"/>
  <c r="BR19" i="69"/>
  <c r="BR64" i="66"/>
  <c r="BR49" i="66"/>
  <c r="BR34" i="66"/>
  <c r="BR19" i="66"/>
  <c r="BR100" i="68"/>
  <c r="BR42" i="68"/>
  <c r="BR25" i="68"/>
  <c r="BR50" i="69" l="1"/>
  <c r="BR43" i="68"/>
  <c r="V64" i="66"/>
  <c r="V49" i="66"/>
  <c r="V34" i="66"/>
  <c r="V19" i="66"/>
  <c r="V100" i="68"/>
  <c r="V42" i="68"/>
  <c r="V25" i="68"/>
  <c r="V43" i="68" l="1"/>
  <c r="J64" i="9"/>
  <c r="H64" i="9"/>
  <c r="F64" i="9"/>
  <c r="J47" i="9"/>
  <c r="I47" i="9"/>
  <c r="H47" i="9"/>
  <c r="F47" i="9"/>
  <c r="J30" i="9"/>
  <c r="H30" i="9"/>
  <c r="F18" i="9"/>
  <c r="F30" i="9" s="1"/>
  <c r="J53" i="9" l="1"/>
  <c r="H53" i="9"/>
  <c r="F53" i="9"/>
  <c r="J68" i="9"/>
  <c r="L26" i="8"/>
  <c r="L32" i="8" s="1"/>
  <c r="J26" i="8"/>
  <c r="J32" i="8" s="1"/>
  <c r="H26" i="8"/>
  <c r="H32" i="8" s="1"/>
  <c r="L17" i="8"/>
  <c r="J17" i="8"/>
  <c r="J34" i="8" s="1"/>
  <c r="H17" i="8"/>
  <c r="H34" i="8" s="1"/>
  <c r="L34" i="8" l="1"/>
  <c r="BC19" i="69"/>
  <c r="BB19" i="69"/>
  <c r="BA19" i="69"/>
  <c r="AZ19" i="69"/>
  <c r="AY19" i="69"/>
  <c r="BC64" i="66"/>
  <c r="BB64" i="66"/>
  <c r="BA64" i="66"/>
  <c r="AZ64" i="66"/>
  <c r="AY64" i="66"/>
  <c r="BC49" i="66"/>
  <c r="BB49" i="66"/>
  <c r="BA49" i="66"/>
  <c r="AZ49" i="66"/>
  <c r="AY49" i="66"/>
  <c r="BC34" i="66"/>
  <c r="BB34" i="66"/>
  <c r="BA34" i="66"/>
  <c r="AZ34" i="66"/>
  <c r="AY34" i="66"/>
  <c r="BC19" i="66"/>
  <c r="BB19" i="66"/>
  <c r="BA19" i="66"/>
  <c r="AZ19" i="66"/>
  <c r="AY19" i="66"/>
  <c r="BC100" i="68"/>
  <c r="BB100" i="68"/>
  <c r="BA100" i="68"/>
  <c r="AZ100" i="68"/>
  <c r="AY100" i="68"/>
  <c r="BC42" i="68"/>
  <c r="BB42" i="68"/>
  <c r="BA42" i="68"/>
  <c r="AZ42" i="68"/>
  <c r="AY42" i="68"/>
  <c r="BC25" i="68"/>
  <c r="BB25" i="68"/>
  <c r="BA25" i="68"/>
  <c r="AZ25" i="68"/>
  <c r="AY25" i="68"/>
  <c r="AY43" i="68" l="1"/>
  <c r="BA43" i="68"/>
  <c r="AZ43" i="68"/>
  <c r="BC43" i="68"/>
  <c r="BB43" i="68"/>
  <c r="Z31" i="77"/>
  <c r="Z33" i="77" s="1"/>
  <c r="X31" i="77"/>
  <c r="V31" i="77"/>
  <c r="T31" i="77"/>
  <c r="R31" i="77"/>
  <c r="P31" i="77"/>
  <c r="N31" i="77"/>
  <c r="L31" i="77"/>
  <c r="J31" i="77"/>
  <c r="H31" i="77"/>
  <c r="Z24" i="77"/>
  <c r="Z18" i="77"/>
  <c r="X18" i="77"/>
  <c r="X24" i="77" s="1"/>
  <c r="V18" i="77"/>
  <c r="V24" i="77" s="1"/>
  <c r="T18" i="77"/>
  <c r="T24" i="77" s="1"/>
  <c r="R18" i="77"/>
  <c r="R24" i="77" s="1"/>
  <c r="P18" i="77"/>
  <c r="P24" i="77" s="1"/>
  <c r="N18" i="77"/>
  <c r="N24" i="77" s="1"/>
  <c r="L18" i="77"/>
  <c r="L24" i="77" s="1"/>
  <c r="J18" i="77"/>
  <c r="J24" i="77" s="1"/>
  <c r="H18" i="77"/>
  <c r="H24" i="77" s="1"/>
  <c r="X22" i="75"/>
  <c r="X24" i="75" s="1"/>
  <c r="V22" i="75"/>
  <c r="V24" i="75" s="1"/>
  <c r="T22" i="75"/>
  <c r="T24" i="75" s="1"/>
  <c r="R22" i="75"/>
  <c r="R24" i="75" s="1"/>
  <c r="P22" i="75"/>
  <c r="P24" i="75" s="1"/>
  <c r="N22" i="75"/>
  <c r="N24" i="75" s="1"/>
  <c r="L22" i="75"/>
  <c r="L24" i="75" s="1"/>
  <c r="J22" i="75"/>
  <c r="J24" i="75" s="1"/>
  <c r="H22" i="75"/>
  <c r="H24" i="75" s="1"/>
  <c r="F22" i="75"/>
  <c r="F24" i="75" s="1"/>
  <c r="X33" i="77" l="1"/>
  <c r="H33" i="77"/>
  <c r="J33" i="77"/>
  <c r="L33" i="77"/>
  <c r="N33" i="77"/>
  <c r="P33" i="77"/>
  <c r="R33" i="77"/>
  <c r="T33" i="77"/>
  <c r="V33" i="77"/>
  <c r="C15" i="71"/>
  <c r="BU114" i="66" l="1"/>
  <c r="BV114" i="66"/>
  <c r="BY114" i="66"/>
  <c r="G45" i="11" l="1"/>
  <c r="G47" i="11" s="1"/>
  <c r="E45" i="11"/>
  <c r="E47" i="11" s="1"/>
  <c r="C45" i="11"/>
  <c r="C47" i="11" s="1"/>
  <c r="C148" i="12" l="1"/>
  <c r="K42" i="54"/>
  <c r="M45" i="11"/>
  <c r="BY100" i="68"/>
  <c r="I57" i="11"/>
  <c r="I45" i="11"/>
  <c r="I47" i="11"/>
  <c r="BW100" i="68"/>
  <c r="M47" i="11" l="1"/>
  <c r="B67" i="69" l="1"/>
  <c r="B91" i="66"/>
  <c r="B89" i="66"/>
  <c r="K79" i="30" s="1"/>
  <c r="O79" i="30" s="1"/>
  <c r="B87" i="66"/>
  <c r="B85" i="66"/>
  <c r="B16" i="69"/>
  <c r="B17" i="69"/>
  <c r="B18" i="69"/>
  <c r="B33" i="69"/>
  <c r="B35" i="69"/>
  <c r="B37" i="69"/>
  <c r="B38" i="69"/>
  <c r="B43" i="69"/>
  <c r="B61" i="69"/>
  <c r="BH97" i="66"/>
  <c r="AS97" i="66"/>
  <c r="AT97" i="66"/>
  <c r="AU97" i="66"/>
  <c r="AV97" i="66"/>
  <c r="AW97" i="66"/>
  <c r="AX97" i="66"/>
  <c r="AY97" i="66"/>
  <c r="AZ97" i="66"/>
  <c r="BA97" i="66"/>
  <c r="BB97" i="66"/>
  <c r="BC97" i="66"/>
  <c r="BD97" i="66"/>
  <c r="BE97" i="66"/>
  <c r="BF97" i="66"/>
  <c r="BG97" i="66"/>
  <c r="BI97" i="66"/>
  <c r="BJ97" i="66"/>
  <c r="BK97" i="66"/>
  <c r="BL97" i="66"/>
  <c r="BM97" i="66"/>
  <c r="BN97" i="66"/>
  <c r="BO97" i="66"/>
  <c r="BP97" i="66"/>
  <c r="BQ97" i="66"/>
  <c r="BR97" i="66"/>
  <c r="BS97" i="66"/>
  <c r="AH93" i="66"/>
  <c r="AI93" i="66"/>
  <c r="AJ93" i="66"/>
  <c r="B62" i="69"/>
  <c r="B60" i="69"/>
  <c r="B59" i="69"/>
  <c r="B58" i="69"/>
  <c r="B57" i="69"/>
  <c r="B56" i="69"/>
  <c r="B55" i="69"/>
  <c r="B54" i="69"/>
  <c r="B53" i="69"/>
  <c r="B46" i="69"/>
  <c r="B45" i="69"/>
  <c r="B44" i="69"/>
  <c r="B42" i="69"/>
  <c r="B41" i="69"/>
  <c r="B40" i="69"/>
  <c r="B39" i="69"/>
  <c r="B36" i="69"/>
  <c r="B34" i="69"/>
  <c r="B32" i="69"/>
  <c r="B31" i="69"/>
  <c r="B30" i="69"/>
  <c r="B29" i="69"/>
  <c r="B28" i="69"/>
  <c r="B27" i="69"/>
  <c r="B26" i="69"/>
  <c r="B25" i="69"/>
  <c r="B24" i="69"/>
  <c r="B23" i="69"/>
  <c r="B15" i="69"/>
  <c r="B14" i="69"/>
  <c r="B13" i="69"/>
  <c r="B12" i="69"/>
  <c r="B11" i="69"/>
  <c r="B10" i="69"/>
  <c r="B9" i="69"/>
  <c r="B8" i="69"/>
  <c r="B7" i="69"/>
  <c r="B6" i="69"/>
  <c r="AF76" i="64" l="1"/>
  <c r="BS404" i="66"/>
  <c r="BR404" i="66"/>
  <c r="AW404" i="66"/>
  <c r="AO404" i="66"/>
  <c r="AN404" i="66"/>
  <c r="AL404" i="66"/>
  <c r="B404" i="66" s="1"/>
  <c r="AE404" i="66"/>
  <c r="AD404" i="66"/>
  <c r="AC404" i="66"/>
  <c r="AB404" i="66"/>
  <c r="B403" i="66"/>
  <c r="BQ402" i="66"/>
  <c r="BH402" i="66"/>
  <c r="B402" i="66"/>
  <c r="AW401" i="66"/>
  <c r="AP401" i="66"/>
  <c r="AN401" i="66"/>
  <c r="AM401" i="66"/>
  <c r="AL401" i="66"/>
  <c r="AE401" i="66"/>
  <c r="AD401" i="66"/>
  <c r="B401" i="66" s="1"/>
  <c r="AC401" i="66"/>
  <c r="AB401" i="66"/>
  <c r="B400" i="66"/>
  <c r="B399" i="66"/>
  <c r="B398" i="66"/>
  <c r="B397" i="66"/>
  <c r="B396" i="66"/>
  <c r="B395" i="66"/>
  <c r="B394" i="66"/>
  <c r="CA390" i="66"/>
  <c r="BZ390" i="66"/>
  <c r="BY390" i="66"/>
  <c r="BX390" i="66"/>
  <c r="BW390" i="66"/>
  <c r="BV390" i="66"/>
  <c r="BU390" i="66"/>
  <c r="BT390" i="66"/>
  <c r="BS390" i="66"/>
  <c r="BR390" i="66"/>
  <c r="BQ390" i="66"/>
  <c r="BP390" i="66"/>
  <c r="BO390" i="66"/>
  <c r="BN390" i="66"/>
  <c r="BM390" i="66"/>
  <c r="BL390" i="66"/>
  <c r="BK390" i="66"/>
  <c r="BJ390" i="66"/>
  <c r="BI390" i="66"/>
  <c r="BH390" i="66"/>
  <c r="BG390" i="66"/>
  <c r="BF390" i="66"/>
  <c r="BE390" i="66"/>
  <c r="BD390" i="66"/>
  <c r="BC390" i="66"/>
  <c r="BB390" i="66"/>
  <c r="BA390" i="66"/>
  <c r="AZ390" i="66"/>
  <c r="AY390" i="66"/>
  <c r="AX390" i="66"/>
  <c r="AW390" i="66"/>
  <c r="AV390" i="66"/>
  <c r="AU390" i="66"/>
  <c r="AT390" i="66"/>
  <c r="AS390" i="66"/>
  <c r="AR390" i="66"/>
  <c r="AP390" i="66"/>
  <c r="AO390" i="66"/>
  <c r="AN390" i="66"/>
  <c r="AM390" i="66"/>
  <c r="AL390" i="66"/>
  <c r="AK390" i="66"/>
  <c r="AJ390" i="66"/>
  <c r="AI390" i="66"/>
  <c r="AH390" i="66"/>
  <c r="AG390" i="66"/>
  <c r="AF390" i="66"/>
  <c r="AE390" i="66"/>
  <c r="AD390" i="66"/>
  <c r="AC390" i="66"/>
  <c r="AB390" i="66"/>
  <c r="AA390" i="66"/>
  <c r="Z390" i="66"/>
  <c r="Y390" i="66"/>
  <c r="X390" i="66"/>
  <c r="W390" i="66"/>
  <c r="V390" i="66"/>
  <c r="U390" i="66"/>
  <c r="T390" i="66"/>
  <c r="S390" i="66"/>
  <c r="R390" i="66"/>
  <c r="Q390" i="66"/>
  <c r="P390" i="66"/>
  <c r="O390" i="66"/>
  <c r="N390" i="66"/>
  <c r="M390" i="66"/>
  <c r="L390" i="66"/>
  <c r="K390" i="66"/>
  <c r="J390" i="66"/>
  <c r="I390" i="66"/>
  <c r="H390" i="66"/>
  <c r="G390" i="66"/>
  <c r="F390" i="66"/>
  <c r="E390" i="66"/>
  <c r="D390" i="66"/>
  <c r="C390" i="66"/>
  <c r="B389" i="66"/>
  <c r="B390" i="66" s="1"/>
  <c r="B388" i="66"/>
  <c r="B387" i="66"/>
  <c r="B386" i="66"/>
  <c r="B385" i="66"/>
  <c r="B384" i="66"/>
  <c r="B383" i="66"/>
  <c r="B382" i="66"/>
  <c r="B381" i="66"/>
  <c r="AT380" i="66"/>
  <c r="AR380" i="66"/>
  <c r="AF380" i="66"/>
  <c r="B380" i="66"/>
  <c r="B379" i="66"/>
  <c r="AR378" i="66"/>
  <c r="B378" i="66"/>
  <c r="CA375" i="66"/>
  <c r="BZ375" i="66"/>
  <c r="BY375" i="66"/>
  <c r="BX375" i="66"/>
  <c r="BW375" i="66"/>
  <c r="BV375" i="66"/>
  <c r="BU375" i="66"/>
  <c r="BT375" i="66"/>
  <c r="BS375" i="66"/>
  <c r="BR375" i="66"/>
  <c r="BQ375" i="66"/>
  <c r="BP375" i="66"/>
  <c r="BO375" i="66"/>
  <c r="BN375" i="66"/>
  <c r="BM375" i="66"/>
  <c r="BL375" i="66"/>
  <c r="BK375" i="66"/>
  <c r="BJ375" i="66"/>
  <c r="BI375" i="66"/>
  <c r="BH375" i="66"/>
  <c r="BG375" i="66"/>
  <c r="BF375" i="66"/>
  <c r="BE375" i="66"/>
  <c r="BD375" i="66"/>
  <c r="BC375" i="66"/>
  <c r="BB375" i="66"/>
  <c r="BA375" i="66"/>
  <c r="AZ375" i="66"/>
  <c r="AY375" i="66"/>
  <c r="AX375" i="66"/>
  <c r="AW375" i="66"/>
  <c r="AV375" i="66"/>
  <c r="AU375" i="66"/>
  <c r="AT375" i="66"/>
  <c r="AS375" i="66"/>
  <c r="AR375" i="66"/>
  <c r="AQ375" i="66"/>
  <c r="AP375" i="66"/>
  <c r="AO375" i="66"/>
  <c r="AN375" i="66"/>
  <c r="AM375" i="66"/>
  <c r="AL375" i="66"/>
  <c r="AK375" i="66"/>
  <c r="AJ375" i="66"/>
  <c r="AI375" i="66"/>
  <c r="AH375" i="66"/>
  <c r="AG375" i="66"/>
  <c r="AF375" i="66"/>
  <c r="AE375" i="66"/>
  <c r="AD375" i="66"/>
  <c r="AC375" i="66"/>
  <c r="AB375" i="66"/>
  <c r="AA375" i="66"/>
  <c r="Z375" i="66"/>
  <c r="Y375" i="66"/>
  <c r="X375" i="66"/>
  <c r="W375" i="66"/>
  <c r="V375" i="66"/>
  <c r="U375" i="66"/>
  <c r="T375" i="66"/>
  <c r="S375" i="66"/>
  <c r="R375" i="66"/>
  <c r="Q375" i="66"/>
  <c r="P375" i="66"/>
  <c r="O375" i="66"/>
  <c r="N375" i="66"/>
  <c r="M375" i="66"/>
  <c r="L375" i="66"/>
  <c r="K375" i="66"/>
  <c r="J375" i="66"/>
  <c r="I375" i="66"/>
  <c r="H375" i="66"/>
  <c r="G375" i="66"/>
  <c r="F375" i="66"/>
  <c r="E375" i="66"/>
  <c r="D375" i="66"/>
  <c r="C375" i="66"/>
  <c r="B374" i="66"/>
  <c r="B373" i="66"/>
  <c r="B372" i="66"/>
  <c r="F371" i="66"/>
  <c r="E371" i="66"/>
  <c r="B371" i="66"/>
  <c r="B370" i="66"/>
  <c r="N369" i="66"/>
  <c r="B369" i="66"/>
  <c r="B368" i="66"/>
  <c r="B367" i="66"/>
  <c r="B366" i="66"/>
  <c r="B365" i="66"/>
  <c r="B364" i="66"/>
  <c r="B363" i="66"/>
  <c r="B375" i="66" s="1"/>
  <c r="CA360" i="66"/>
  <c r="BZ360" i="66"/>
  <c r="BY360" i="66"/>
  <c r="BX360" i="66"/>
  <c r="BW360" i="66"/>
  <c r="BV360" i="66"/>
  <c r="BU360" i="66"/>
  <c r="BT360" i="66"/>
  <c r="BS360" i="66"/>
  <c r="BR360" i="66"/>
  <c r="BO360" i="66"/>
  <c r="BN360" i="66"/>
  <c r="BM360" i="66"/>
  <c r="BL360" i="66"/>
  <c r="BK360" i="66"/>
  <c r="BJ360" i="66"/>
  <c r="BI360" i="66"/>
  <c r="BH360" i="66"/>
  <c r="BG360" i="66"/>
  <c r="BF360" i="66"/>
  <c r="BE360" i="66"/>
  <c r="BD360" i="66"/>
  <c r="BC360" i="66"/>
  <c r="BB360" i="66"/>
  <c r="BA360" i="66"/>
  <c r="AZ360" i="66"/>
  <c r="AY360" i="66"/>
  <c r="AX360" i="66"/>
  <c r="AW360" i="66"/>
  <c r="AV360" i="66"/>
  <c r="AU360" i="66"/>
  <c r="AT360" i="66"/>
  <c r="AS360" i="66"/>
  <c r="AR360" i="66"/>
  <c r="AQ360" i="66"/>
  <c r="AP360" i="66"/>
  <c r="AO360" i="66"/>
  <c r="AN360" i="66"/>
  <c r="AM360" i="66"/>
  <c r="AL360" i="66"/>
  <c r="AK360" i="66"/>
  <c r="AJ360" i="66"/>
  <c r="AI360" i="66"/>
  <c r="AH360" i="66"/>
  <c r="AG360" i="66"/>
  <c r="AF360" i="66"/>
  <c r="AE360" i="66"/>
  <c r="AD360" i="66"/>
  <c r="AC360" i="66"/>
  <c r="AB360" i="66"/>
  <c r="AA360" i="66"/>
  <c r="Z360" i="66"/>
  <c r="Y360" i="66"/>
  <c r="X360" i="66"/>
  <c r="W360" i="66"/>
  <c r="V360" i="66"/>
  <c r="U360" i="66"/>
  <c r="T360" i="66"/>
  <c r="S360" i="66"/>
  <c r="R360" i="66"/>
  <c r="Q360" i="66"/>
  <c r="P360" i="66"/>
  <c r="O360" i="66"/>
  <c r="N360" i="66"/>
  <c r="M360" i="66"/>
  <c r="L360" i="66"/>
  <c r="K360" i="66"/>
  <c r="J360" i="66"/>
  <c r="I360" i="66"/>
  <c r="H360" i="66"/>
  <c r="G360" i="66"/>
  <c r="F360" i="66"/>
  <c r="E360" i="66"/>
  <c r="D360" i="66"/>
  <c r="C360" i="66"/>
  <c r="B359" i="66"/>
  <c r="BP358" i="66"/>
  <c r="BP360" i="66" s="1"/>
  <c r="BD358" i="66"/>
  <c r="B358" i="66"/>
  <c r="BQ357" i="66"/>
  <c r="BQ360" i="66" s="1"/>
  <c r="B357" i="66"/>
  <c r="B356" i="66"/>
  <c r="B355" i="66"/>
  <c r="B354" i="66"/>
  <c r="B353" i="66"/>
  <c r="B352" i="66"/>
  <c r="B351" i="66"/>
  <c r="B350" i="66"/>
  <c r="B349" i="66"/>
  <c r="B348" i="66"/>
  <c r="B360" i="66" s="1"/>
  <c r="BZ345" i="66"/>
  <c r="BY345" i="66"/>
  <c r="BX345" i="66"/>
  <c r="BV345" i="66"/>
  <c r="BU345" i="66"/>
  <c r="BT345" i="66"/>
  <c r="BS345" i="66"/>
  <c r="BR345" i="66"/>
  <c r="BQ345" i="66"/>
  <c r="BP345" i="66"/>
  <c r="BO345" i="66"/>
  <c r="BN345" i="66"/>
  <c r="BM345" i="66"/>
  <c r="BL345" i="66"/>
  <c r="BK345" i="66"/>
  <c r="BJ345" i="66"/>
  <c r="BI345" i="66"/>
  <c r="BH345" i="66"/>
  <c r="BG345" i="66"/>
  <c r="BF345" i="66"/>
  <c r="BE345" i="66"/>
  <c r="BD345" i="66"/>
  <c r="BC345" i="66"/>
  <c r="BB345" i="66"/>
  <c r="BA345" i="66"/>
  <c r="AZ345" i="66"/>
  <c r="AY345" i="66"/>
  <c r="AX345" i="66"/>
  <c r="AW345" i="66"/>
  <c r="AV345" i="66"/>
  <c r="AU345" i="66"/>
  <c r="AS345" i="66"/>
  <c r="AQ345" i="66"/>
  <c r="AO345" i="66"/>
  <c r="AN345" i="66"/>
  <c r="AM345" i="66"/>
  <c r="AL345" i="66"/>
  <c r="AK345" i="66"/>
  <c r="AJ345" i="66"/>
  <c r="AI345" i="66"/>
  <c r="AH345" i="66"/>
  <c r="AG345" i="66"/>
  <c r="AF345" i="66"/>
  <c r="AE345" i="66"/>
  <c r="AD345" i="66"/>
  <c r="AC345" i="66"/>
  <c r="AB345" i="66"/>
  <c r="AA345" i="66"/>
  <c r="Z345" i="66"/>
  <c r="Y345" i="66"/>
  <c r="X345" i="66"/>
  <c r="W345" i="66"/>
  <c r="V345" i="66"/>
  <c r="U345" i="66"/>
  <c r="T345" i="66"/>
  <c r="S345" i="66"/>
  <c r="R345" i="66"/>
  <c r="Q345" i="66"/>
  <c r="P345" i="66"/>
  <c r="O345" i="66"/>
  <c r="N345" i="66"/>
  <c r="M345" i="66"/>
  <c r="L345" i="66"/>
  <c r="K345" i="66"/>
  <c r="J345" i="66"/>
  <c r="I345" i="66"/>
  <c r="H345" i="66"/>
  <c r="F345" i="66"/>
  <c r="D345" i="66"/>
  <c r="C345" i="66"/>
  <c r="B344" i="66"/>
  <c r="B343" i="66"/>
  <c r="B342" i="66"/>
  <c r="AP341" i="66"/>
  <c r="AP345" i="66" s="1"/>
  <c r="B341" i="66"/>
  <c r="B340" i="66"/>
  <c r="CA339" i="66"/>
  <c r="B339" i="66" s="1"/>
  <c r="BD339" i="66"/>
  <c r="BW338" i="66"/>
  <c r="B338" i="66" s="1"/>
  <c r="CA337" i="66"/>
  <c r="E337" i="66"/>
  <c r="B337" i="66" s="1"/>
  <c r="BW336" i="66"/>
  <c r="BW345" i="66" s="1"/>
  <c r="BS336" i="66"/>
  <c r="G336" i="66"/>
  <c r="G345" i="66" s="1"/>
  <c r="B336" i="66"/>
  <c r="CA335" i="66"/>
  <c r="BY335" i="66"/>
  <c r="B335" i="66"/>
  <c r="CA334" i="66"/>
  <c r="BY334" i="66"/>
  <c r="AT334" i="66"/>
  <c r="B334" i="66"/>
  <c r="CA333" i="66"/>
  <c r="B333" i="66"/>
  <c r="B332" i="66"/>
  <c r="CA331" i="66"/>
  <c r="AU331" i="66"/>
  <c r="AT331" i="66"/>
  <c r="AT345" i="66" s="1"/>
  <c r="AR331" i="66"/>
  <c r="B331" i="66" s="1"/>
  <c r="O331" i="66"/>
  <c r="CA330" i="66"/>
  <c r="CA345" i="66" s="1"/>
  <c r="CA329" i="66"/>
  <c r="BK329" i="66"/>
  <c r="AT329" i="66"/>
  <c r="AR329" i="66"/>
  <c r="B329" i="66"/>
  <c r="AS1" i="74"/>
  <c r="AS2" i="74"/>
  <c r="B37" i="74" s="1"/>
  <c r="AS3" i="74"/>
  <c r="C37" i="74" s="1"/>
  <c r="S25" i="63"/>
  <c r="S73" i="63"/>
  <c r="S72" i="63"/>
  <c r="S71" i="63"/>
  <c r="S64" i="63"/>
  <c r="S56" i="63"/>
  <c r="S55" i="63"/>
  <c r="S50" i="63"/>
  <c r="S26" i="63"/>
  <c r="S21" i="63"/>
  <c r="S87" i="63"/>
  <c r="S70" i="63"/>
  <c r="S69" i="63"/>
  <c r="S68" i="63"/>
  <c r="S67" i="63"/>
  <c r="S66" i="63"/>
  <c r="S65" i="63"/>
  <c r="S53" i="63"/>
  <c r="S52" i="63"/>
  <c r="S24" i="63"/>
  <c r="S23" i="63"/>
  <c r="S22" i="63"/>
  <c r="S47" i="62"/>
  <c r="S31" i="62"/>
  <c r="AQ41" i="71"/>
  <c r="AP11" i="71"/>
  <c r="AQ11" i="71"/>
  <c r="AR11" i="71"/>
  <c r="AP15" i="71"/>
  <c r="AQ15" i="71"/>
  <c r="AR15" i="71"/>
  <c r="AQ63" i="69"/>
  <c r="AQ65" i="69" s="1"/>
  <c r="AP123" i="68"/>
  <c r="AQ123" i="68"/>
  <c r="AP127" i="68"/>
  <c r="AQ127" i="68"/>
  <c r="AP129" i="68"/>
  <c r="AQ129" i="68"/>
  <c r="AP130" i="68"/>
  <c r="AQ130" i="68"/>
  <c r="AP132" i="68"/>
  <c r="AQ132" i="68"/>
  <c r="AQ133" i="68"/>
  <c r="AP134" i="68"/>
  <c r="AQ134" i="68"/>
  <c r="AP135" i="68"/>
  <c r="AQ135" i="68"/>
  <c r="AP136" i="68"/>
  <c r="AQ136" i="68"/>
  <c r="AP137" i="68"/>
  <c r="AQ137" i="68"/>
  <c r="AP138" i="68"/>
  <c r="AQ138" i="68"/>
  <c r="AP139" i="68"/>
  <c r="AQ139" i="68"/>
  <c r="AP144" i="68"/>
  <c r="AQ144" i="68"/>
  <c r="AP145" i="68"/>
  <c r="AQ145" i="68"/>
  <c r="AQ146" i="68"/>
  <c r="AP147" i="68"/>
  <c r="AQ147" i="68"/>
  <c r="AP148" i="68"/>
  <c r="AQ148" i="68"/>
  <c r="AQ149" i="68"/>
  <c r="AP150" i="68"/>
  <c r="AQ150" i="68"/>
  <c r="AP152" i="68"/>
  <c r="AQ152" i="68"/>
  <c r="AQ34" i="67"/>
  <c r="AQ35" i="67"/>
  <c r="AQ128" i="68" s="1"/>
  <c r="AQ43" i="67"/>
  <c r="S53" i="62" s="1"/>
  <c r="AQ13" i="67"/>
  <c r="S23" i="62" s="1"/>
  <c r="AQ14" i="67"/>
  <c r="S24" i="62" s="1"/>
  <c r="AQ15" i="67"/>
  <c r="S25" i="62" s="1"/>
  <c r="AQ16" i="67"/>
  <c r="AQ17" i="67"/>
  <c r="AQ18" i="67"/>
  <c r="AQ20" i="67"/>
  <c r="AQ140" i="68" s="1"/>
  <c r="AQ21" i="67"/>
  <c r="AQ126" i="68" s="1"/>
  <c r="AQ79" i="66"/>
  <c r="AQ93" i="66"/>
  <c r="AI105" i="68"/>
  <c r="H19" i="72"/>
  <c r="AK79" i="66"/>
  <c r="AJ105" i="68"/>
  <c r="C75" i="69"/>
  <c r="D75" i="69"/>
  <c r="J75" i="69"/>
  <c r="K75" i="69"/>
  <c r="L75" i="69"/>
  <c r="M75" i="69"/>
  <c r="N75" i="69"/>
  <c r="O75" i="69"/>
  <c r="P75" i="69"/>
  <c r="Q75" i="69"/>
  <c r="R75" i="69"/>
  <c r="S75" i="69"/>
  <c r="T75" i="69"/>
  <c r="U75" i="69"/>
  <c r="V75" i="69"/>
  <c r="W75" i="69"/>
  <c r="X75" i="69"/>
  <c r="Y75" i="69"/>
  <c r="Z75" i="69"/>
  <c r="AA75" i="69"/>
  <c r="AX75" i="69"/>
  <c r="AY75" i="69"/>
  <c r="AZ75" i="69"/>
  <c r="BA75" i="69"/>
  <c r="BB75" i="69"/>
  <c r="BC75" i="69"/>
  <c r="BD75" i="69"/>
  <c r="BE75" i="69"/>
  <c r="BF75" i="69"/>
  <c r="BG75" i="69"/>
  <c r="BH75" i="69"/>
  <c r="BI75" i="69"/>
  <c r="BJ75" i="69"/>
  <c r="BK75" i="69"/>
  <c r="BL75" i="69"/>
  <c r="BM75" i="69"/>
  <c r="BN75" i="69"/>
  <c r="BO75" i="69"/>
  <c r="BP75" i="69"/>
  <c r="BQ75" i="69"/>
  <c r="BR75" i="69"/>
  <c r="C93" i="66"/>
  <c r="J93" i="66"/>
  <c r="K93" i="66"/>
  <c r="L93" i="66"/>
  <c r="M93" i="66"/>
  <c r="N93" i="66"/>
  <c r="O93" i="66"/>
  <c r="P93" i="66"/>
  <c r="Q93" i="66"/>
  <c r="R93" i="66"/>
  <c r="S93" i="66"/>
  <c r="T93" i="66"/>
  <c r="U93" i="66"/>
  <c r="V93" i="66"/>
  <c r="W93" i="66"/>
  <c r="X93" i="66"/>
  <c r="Y93" i="66"/>
  <c r="Z93" i="66"/>
  <c r="AA93" i="66"/>
  <c r="AB93" i="66"/>
  <c r="AC93" i="66"/>
  <c r="AD93" i="66"/>
  <c r="AE93" i="66"/>
  <c r="AF93" i="66"/>
  <c r="AG93" i="66"/>
  <c r="AL93" i="66"/>
  <c r="AM93" i="66"/>
  <c r="AN93" i="66"/>
  <c r="AO93" i="66"/>
  <c r="AP93" i="66"/>
  <c r="AR93" i="66"/>
  <c r="AS93" i="66"/>
  <c r="AT93" i="66"/>
  <c r="AU93" i="66"/>
  <c r="AV93" i="66"/>
  <c r="AW93" i="66"/>
  <c r="AX93" i="66"/>
  <c r="AY93" i="66"/>
  <c r="AZ93" i="66"/>
  <c r="BA93" i="66"/>
  <c r="BB93" i="66"/>
  <c r="BC93" i="66"/>
  <c r="BD93" i="66"/>
  <c r="BE93" i="66"/>
  <c r="BF93" i="66"/>
  <c r="BG93" i="66"/>
  <c r="BH93" i="66"/>
  <c r="BI93" i="66"/>
  <c r="BJ93" i="66"/>
  <c r="BK93" i="66"/>
  <c r="BM93" i="66"/>
  <c r="BN93" i="66"/>
  <c r="BO93" i="66"/>
  <c r="BP93" i="66"/>
  <c r="BQ93" i="66"/>
  <c r="BR93" i="66"/>
  <c r="BS93" i="66"/>
  <c r="BT93" i="66"/>
  <c r="BU93" i="66"/>
  <c r="BV93" i="66"/>
  <c r="BW93" i="66"/>
  <c r="BX93" i="66"/>
  <c r="BY93" i="66"/>
  <c r="BZ93" i="66"/>
  <c r="CA93" i="66"/>
  <c r="AU73" i="60"/>
  <c r="AU54" i="60"/>
  <c r="AU56" i="60" s="1"/>
  <c r="AU75" i="60" s="1"/>
  <c r="AU23" i="60"/>
  <c r="AT44" i="59"/>
  <c r="AT35" i="59"/>
  <c r="AU141" i="58"/>
  <c r="AU133" i="58"/>
  <c r="AU121" i="58"/>
  <c r="AU95" i="58"/>
  <c r="AU74" i="58"/>
  <c r="AU62" i="58"/>
  <c r="AU39" i="58"/>
  <c r="AU41" i="58" s="1"/>
  <c r="AU30" i="58"/>
  <c r="AS30" i="57"/>
  <c r="AS23" i="57"/>
  <c r="AS16" i="57"/>
  <c r="CD393" i="66"/>
  <c r="CG390" i="66"/>
  <c r="CF390" i="66"/>
  <c r="CE390" i="66"/>
  <c r="CD390" i="66"/>
  <c r="CB390" i="66"/>
  <c r="CG375" i="66"/>
  <c r="CF375" i="66"/>
  <c r="CE375" i="66"/>
  <c r="CD375" i="66"/>
  <c r="CC375" i="66"/>
  <c r="CB375" i="66"/>
  <c r="CG360" i="66"/>
  <c r="CF360" i="66"/>
  <c r="CE360" i="66"/>
  <c r="CD360" i="66"/>
  <c r="CB360" i="66"/>
  <c r="CJ345" i="66"/>
  <c r="CI345" i="66"/>
  <c r="CG345" i="66"/>
  <c r="CF345" i="66"/>
  <c r="CE345" i="66"/>
  <c r="CD345" i="66"/>
  <c r="CB345" i="66"/>
  <c r="CK334" i="66"/>
  <c r="CK329" i="66"/>
  <c r="X57" i="3"/>
  <c r="V57" i="3"/>
  <c r="T57" i="3"/>
  <c r="N57" i="3"/>
  <c r="Z54" i="77"/>
  <c r="X54" i="77"/>
  <c r="V54" i="77"/>
  <c r="R54" i="77"/>
  <c r="N54" i="77"/>
  <c r="L54" i="77"/>
  <c r="J54" i="77"/>
  <c r="H54" i="77"/>
  <c r="L54" i="8"/>
  <c r="J54" i="8"/>
  <c r="H54" i="8"/>
  <c r="M86" i="13"/>
  <c r="K86" i="13"/>
  <c r="I86" i="13"/>
  <c r="G86" i="13"/>
  <c r="C86" i="13"/>
  <c r="M87" i="44"/>
  <c r="I87" i="44"/>
  <c r="G87" i="44"/>
  <c r="U87" i="63"/>
  <c r="Q87" i="63"/>
  <c r="O87" i="63"/>
  <c r="M87" i="63"/>
  <c r="K87" i="63"/>
  <c r="I87" i="63"/>
  <c r="G87" i="63"/>
  <c r="E87" i="63"/>
  <c r="O87" i="52"/>
  <c r="M87" i="52"/>
  <c r="K87" i="52"/>
  <c r="I87" i="52"/>
  <c r="G85" i="48"/>
  <c r="E85" i="48"/>
  <c r="C85" i="48"/>
  <c r="AE88" i="50"/>
  <c r="AC88" i="50"/>
  <c r="AA88" i="50"/>
  <c r="Y88" i="50"/>
  <c r="W88" i="50"/>
  <c r="S88" i="50"/>
  <c r="Q88" i="50"/>
  <c r="O88" i="50"/>
  <c r="M88" i="50"/>
  <c r="K88" i="50"/>
  <c r="I88" i="50"/>
  <c r="G88" i="50"/>
  <c r="E88" i="50"/>
  <c r="C88" i="50"/>
  <c r="AI88" i="50"/>
  <c r="I86" i="42"/>
  <c r="G86" i="42"/>
  <c r="E86" i="42"/>
  <c r="C86" i="42"/>
  <c r="G86" i="46"/>
  <c r="E86" i="46"/>
  <c r="C86" i="46"/>
  <c r="G86" i="40"/>
  <c r="E86" i="40"/>
  <c r="C86" i="40"/>
  <c r="P46" i="20"/>
  <c r="N46" i="20"/>
  <c r="E66" i="39"/>
  <c r="C66" i="39"/>
  <c r="G64" i="24"/>
  <c r="W87" i="27"/>
  <c r="S87" i="27"/>
  <c r="G87" i="27"/>
  <c r="E87" i="27"/>
  <c r="C87" i="27"/>
  <c r="Q83" i="30"/>
  <c r="M83" i="30"/>
  <c r="K83" i="30"/>
  <c r="E19" i="72"/>
  <c r="F19" i="72"/>
  <c r="F29" i="72" s="1"/>
  <c r="G19" i="72"/>
  <c r="I19" i="72"/>
  <c r="F20" i="72"/>
  <c r="I20" i="72"/>
  <c r="J20" i="72"/>
  <c r="J29" i="72" s="1"/>
  <c r="F22" i="72"/>
  <c r="I22" i="72"/>
  <c r="I23" i="72"/>
  <c r="E24" i="72"/>
  <c r="I25" i="72"/>
  <c r="G26" i="72"/>
  <c r="B75" i="69" l="1"/>
  <c r="G29" i="72"/>
  <c r="AU135" i="58"/>
  <c r="AU76" i="58"/>
  <c r="AQ22" i="67"/>
  <c r="S56" i="62"/>
  <c r="D76" i="64" s="1"/>
  <c r="AQ124" i="68"/>
  <c r="AQ141" i="68"/>
  <c r="S33" i="62"/>
  <c r="B76" i="64" s="1"/>
  <c r="AQ114" i="68"/>
  <c r="S58" i="63"/>
  <c r="L76" i="64" s="1"/>
  <c r="S75" i="63"/>
  <c r="AQ3" i="71"/>
  <c r="AQ45" i="71" s="1"/>
  <c r="AK81" i="66"/>
  <c r="AK95" i="66" s="1"/>
  <c r="AQ81" i="66"/>
  <c r="B93" i="66"/>
  <c r="AR345" i="66"/>
  <c r="E345" i="66"/>
  <c r="B330" i="66"/>
  <c r="B345" i="66" s="1"/>
  <c r="S29" i="63"/>
  <c r="F76" i="64" s="1"/>
  <c r="J76" i="64" s="1"/>
  <c r="AQ95" i="66"/>
  <c r="CK345" i="66"/>
  <c r="O94" i="10"/>
  <c r="N108" i="23" s="1"/>
  <c r="O93" i="10"/>
  <c r="N107" i="23" s="1"/>
  <c r="K93" i="56"/>
  <c r="J108" i="23" s="1"/>
  <c r="L108" i="23" s="1"/>
  <c r="K92" i="56"/>
  <c r="J107" i="23" s="1"/>
  <c r="L107" i="23" s="1"/>
  <c r="AQ120" i="68" l="1"/>
  <c r="AQ121" i="68"/>
  <c r="S61" i="63"/>
  <c r="S77" i="63" s="1"/>
  <c r="S89" i="63" s="1"/>
  <c r="AQ77" i="69"/>
  <c r="AQ48" i="71"/>
  <c r="S64" i="62" l="1"/>
  <c r="S69" i="62" s="1"/>
  <c r="S71" i="62" s="1"/>
  <c r="S76" i="62" s="1"/>
  <c r="AQ55" i="67"/>
  <c r="AQ57" i="67" l="1"/>
  <c r="AQ3" i="70"/>
  <c r="AQ60" i="67"/>
  <c r="S92" i="63"/>
  <c r="AQ81" i="69"/>
  <c r="AS57" i="58"/>
  <c r="AQ60" i="70" l="1"/>
  <c r="AQ62" i="70" s="1"/>
  <c r="AQ28" i="57"/>
  <c r="AQ27" i="57"/>
  <c r="AQ26" i="57"/>
  <c r="I15" i="72"/>
  <c r="E55" i="50"/>
  <c r="E56" i="50"/>
  <c r="E57" i="50"/>
  <c r="BQ100" i="68"/>
  <c r="BQ42" i="68"/>
  <c r="BQ25" i="68"/>
  <c r="AQ122" i="68" l="1"/>
  <c r="BQ43" i="68"/>
  <c r="G49" i="22" l="1"/>
  <c r="L46" i="9"/>
  <c r="C48" i="22" s="1"/>
  <c r="L45" i="9"/>
  <c r="C47" i="22" s="1"/>
  <c r="C49" i="22" l="1"/>
  <c r="L47" i="9"/>
  <c r="BM64" i="66" l="1"/>
  <c r="BM49" i="66"/>
  <c r="BM34" i="66"/>
  <c r="BM19" i="66"/>
  <c r="V109" i="2" l="1"/>
  <c r="V110" i="2"/>
  <c r="G132" i="21" s="1"/>
  <c r="I132" i="21" s="1"/>
  <c r="V111" i="2"/>
  <c r="V112" i="2"/>
  <c r="R25" i="72" l="1"/>
  <c r="P25" i="72"/>
  <c r="O25" i="72"/>
  <c r="N25" i="72"/>
  <c r="I34" i="72"/>
  <c r="J35" i="72"/>
  <c r="H37" i="72"/>
  <c r="E37" i="72" s="1"/>
  <c r="I38" i="72"/>
  <c r="F39" i="72"/>
  <c r="G39" i="72"/>
  <c r="G16" i="72"/>
  <c r="F16" i="72"/>
  <c r="C69" i="50" l="1"/>
  <c r="C70" i="50"/>
  <c r="C71" i="50"/>
  <c r="C72" i="50"/>
  <c r="C73" i="50"/>
  <c r="C74" i="50"/>
  <c r="CI94" i="68" l="1"/>
  <c r="CI93" i="68"/>
  <c r="C48" i="50" l="1"/>
  <c r="C23" i="72" l="1"/>
  <c r="AX105" i="68" l="1"/>
  <c r="AA105" i="68"/>
  <c r="BV138" i="68"/>
  <c r="BU138" i="68"/>
  <c r="BW138" i="68"/>
  <c r="BY138" i="68"/>
  <c r="BT138" i="68"/>
  <c r="I139" i="25"/>
  <c r="I114" i="25"/>
  <c r="G152" i="25"/>
  <c r="C69" i="18"/>
  <c r="E15" i="72" l="1"/>
  <c r="E14" i="72"/>
  <c r="Q25" i="72"/>
  <c r="L25" i="72" l="1"/>
  <c r="CF78" i="68"/>
  <c r="CE78" i="68"/>
  <c r="CH94" i="68"/>
  <c r="CI78" i="68"/>
  <c r="CG78" i="68"/>
  <c r="CG94" i="68"/>
  <c r="CF93" i="68"/>
  <c r="CE93" i="68"/>
  <c r="CH78" i="68"/>
  <c r="CD93" i="68" l="1"/>
  <c r="CD78" i="68"/>
  <c r="K16" i="55"/>
  <c r="K17" i="55"/>
  <c r="K18" i="55"/>
  <c r="K19" i="55"/>
  <c r="K20" i="55"/>
  <c r="K21" i="55"/>
  <c r="K22" i="55"/>
  <c r="K29" i="55"/>
  <c r="K30" i="55"/>
  <c r="K31" i="55"/>
  <c r="K32" i="55"/>
  <c r="K33" i="55"/>
  <c r="K34" i="55"/>
  <c r="K35" i="55"/>
  <c r="K36" i="55"/>
  <c r="K37" i="55"/>
  <c r="K38" i="55"/>
  <c r="K39" i="55"/>
  <c r="K40" i="55"/>
  <c r="K41" i="55"/>
  <c r="K42" i="55"/>
  <c r="K43" i="55"/>
  <c r="K44" i="55"/>
  <c r="K45" i="55"/>
  <c r="CD33" i="68"/>
  <c r="BJ100" i="68" l="1"/>
  <c r="BH47" i="69" l="1"/>
  <c r="BH19" i="69"/>
  <c r="BH64" i="66"/>
  <c r="BH49" i="66"/>
  <c r="BH34" i="66"/>
  <c r="BH19" i="66"/>
  <c r="BH42" i="68"/>
  <c r="BH25" i="68"/>
  <c r="I24" i="72" l="1"/>
  <c r="BH50" i="69"/>
  <c r="BH43" i="68"/>
  <c r="BH100" i="68"/>
  <c r="R15" i="72" l="1"/>
  <c r="CI32" i="68"/>
  <c r="Q15" i="72"/>
  <c r="CH32" i="68"/>
  <c r="P15" i="72"/>
  <c r="CG32" i="68"/>
  <c r="O15" i="72"/>
  <c r="CF32" i="68"/>
  <c r="Q64" i="66" l="1"/>
  <c r="Q49" i="66"/>
  <c r="Q34" i="66"/>
  <c r="Q19" i="66"/>
  <c r="I152" i="25" l="1"/>
  <c r="I28" i="25"/>
  <c r="I43" i="25"/>
  <c r="I46" i="25"/>
  <c r="I62" i="25"/>
  <c r="I63" i="25"/>
  <c r="G70" i="25"/>
  <c r="I70" i="25" s="1"/>
  <c r="N15" i="72" l="1"/>
  <c r="L15" i="72" s="1"/>
  <c r="CE32" i="68"/>
  <c r="CD32" i="68" s="1"/>
  <c r="E39" i="31" s="1"/>
  <c r="E34" i="28" l="1"/>
  <c r="B20" i="70"/>
  <c r="B19" i="70"/>
  <c r="C63" i="51"/>
  <c r="C64" i="51"/>
  <c r="C65" i="51"/>
  <c r="C66" i="51"/>
  <c r="C68" i="50"/>
  <c r="C27" i="50"/>
  <c r="C26" i="50"/>
  <c r="C24" i="50"/>
  <c r="C67" i="51"/>
  <c r="C38" i="51"/>
  <c r="C16" i="51"/>
  <c r="BD47" i="69"/>
  <c r="BD19" i="69"/>
  <c r="BD64" i="66"/>
  <c r="BD49" i="66"/>
  <c r="BD34" i="66"/>
  <c r="BD19" i="66"/>
  <c r="BD42" i="68"/>
  <c r="BD25" i="68"/>
  <c r="BD50" i="69" l="1"/>
  <c r="BD43" i="68"/>
  <c r="BD100" i="68"/>
  <c r="BW97" i="66" l="1"/>
  <c r="I59" i="11" l="1"/>
  <c r="J39" i="72" l="1"/>
  <c r="J125" i="2" l="1"/>
  <c r="J105" i="2"/>
  <c r="J73" i="2"/>
  <c r="J74" i="2" s="1"/>
  <c r="J40" i="2"/>
  <c r="J41" i="2" s="1"/>
  <c r="J75" i="2" l="1"/>
  <c r="J114" i="2"/>
  <c r="J126" i="2" s="1"/>
  <c r="AP146" i="68" l="1"/>
  <c r="AP133" i="68"/>
  <c r="AP149" i="68"/>
  <c r="H20" i="72"/>
  <c r="AB105" i="68"/>
  <c r="H21" i="72"/>
  <c r="N21" i="72"/>
  <c r="L21" i="72" s="1"/>
  <c r="H29" i="72" l="1"/>
  <c r="C21" i="72"/>
  <c r="R19" i="72"/>
  <c r="P19" i="72"/>
  <c r="O19" i="72"/>
  <c r="N19" i="72"/>
  <c r="H39" i="72" l="1"/>
  <c r="R24" i="72"/>
  <c r="P24" i="72"/>
  <c r="P29" i="72" s="1"/>
  <c r="O26" i="72"/>
  <c r="O24" i="72"/>
  <c r="N26" i="72"/>
  <c r="N24" i="72"/>
  <c r="J34" i="66" l="1"/>
  <c r="AS133" i="58" l="1"/>
  <c r="BS105" i="68" l="1"/>
  <c r="BO105" i="68"/>
  <c r="BN105" i="68"/>
  <c r="BM105" i="68"/>
  <c r="Z105" i="68"/>
  <c r="Y105" i="68"/>
  <c r="B41" i="68" l="1"/>
  <c r="B40" i="68"/>
  <c r="C47" i="31" s="1"/>
  <c r="B39" i="68"/>
  <c r="B38" i="68"/>
  <c r="B37" i="68"/>
  <c r="B36" i="68"/>
  <c r="B35" i="68"/>
  <c r="B34" i="68"/>
  <c r="B33" i="68"/>
  <c r="B32" i="68"/>
  <c r="B31" i="68"/>
  <c r="B30" i="68"/>
  <c r="B29" i="68"/>
  <c r="B24" i="68"/>
  <c r="B23" i="68"/>
  <c r="B22" i="68"/>
  <c r="B21" i="68"/>
  <c r="B20" i="68"/>
  <c r="B19" i="68"/>
  <c r="B18" i="68"/>
  <c r="B17" i="68"/>
  <c r="B14" i="68"/>
  <c r="B13" i="68"/>
  <c r="B12" i="68"/>
  <c r="B11" i="68"/>
  <c r="B10" i="68"/>
  <c r="B9" i="68"/>
  <c r="B8" i="68"/>
  <c r="B7" i="68"/>
  <c r="B6" i="68"/>
  <c r="B5" i="68"/>
  <c r="I39" i="72" l="1"/>
  <c r="BF42" i="68"/>
  <c r="BF25" i="68"/>
  <c r="BF43" i="68" l="1"/>
  <c r="BF100" i="68"/>
  <c r="B72" i="68" l="1"/>
  <c r="CB147" i="68" l="1"/>
  <c r="CA147" i="68"/>
  <c r="BZ147" i="68"/>
  <c r="BY147" i="68"/>
  <c r="BX147" i="68"/>
  <c r="BW147" i="68"/>
  <c r="BV147" i="68"/>
  <c r="BU147" i="68"/>
  <c r="BT147" i="68"/>
  <c r="BS147" i="68"/>
  <c r="BR147" i="68"/>
  <c r="BQ147" i="68"/>
  <c r="BP147" i="68"/>
  <c r="BO147" i="68"/>
  <c r="BN147" i="68"/>
  <c r="BM147" i="68"/>
  <c r="BL147" i="68"/>
  <c r="BK147" i="68"/>
  <c r="BJ147" i="68"/>
  <c r="BI147" i="68"/>
  <c r="BH147" i="68"/>
  <c r="BG147" i="68"/>
  <c r="BF147" i="68"/>
  <c r="BE147" i="68"/>
  <c r="BD147" i="68"/>
  <c r="BC147" i="68"/>
  <c r="BB147" i="68"/>
  <c r="BA147" i="68"/>
  <c r="AZ147" i="68"/>
  <c r="AY147" i="68"/>
  <c r="AX147" i="68"/>
  <c r="AW147" i="68"/>
  <c r="AV147" i="68"/>
  <c r="AU147" i="68"/>
  <c r="AT147" i="68"/>
  <c r="AS147" i="68"/>
  <c r="AR147" i="68"/>
  <c r="AO147" i="68"/>
  <c r="AN147" i="68"/>
  <c r="AM147" i="68"/>
  <c r="AL147" i="68"/>
  <c r="AK147" i="68"/>
  <c r="AJ147" i="68"/>
  <c r="AI147" i="68"/>
  <c r="AH147" i="68"/>
  <c r="AG147" i="68"/>
  <c r="AF147" i="68"/>
  <c r="AE147" i="68"/>
  <c r="AD147" i="68"/>
  <c r="AC147" i="68"/>
  <c r="AB147" i="68"/>
  <c r="AA147" i="68"/>
  <c r="Z147" i="68"/>
  <c r="Y147" i="68"/>
  <c r="X147" i="68"/>
  <c r="W147" i="68"/>
  <c r="V147" i="68"/>
  <c r="U147" i="68"/>
  <c r="T147" i="68"/>
  <c r="S147" i="68"/>
  <c r="R147" i="68"/>
  <c r="Q147" i="68"/>
  <c r="P147" i="68"/>
  <c r="O147" i="68"/>
  <c r="N147" i="68"/>
  <c r="M147" i="68"/>
  <c r="L147" i="68"/>
  <c r="K147" i="68"/>
  <c r="J147" i="68"/>
  <c r="I147" i="68"/>
  <c r="H147" i="68"/>
  <c r="G147" i="68"/>
  <c r="F147" i="68"/>
  <c r="E147" i="68"/>
  <c r="D147" i="68"/>
  <c r="AR146" i="68"/>
  <c r="AS146" i="68"/>
  <c r="AT146" i="68"/>
  <c r="AU146" i="68"/>
  <c r="AV146" i="68"/>
  <c r="AW146" i="68"/>
  <c r="AX146" i="68"/>
  <c r="AY146" i="68"/>
  <c r="AZ146" i="68"/>
  <c r="BA146" i="68"/>
  <c r="BB146" i="68"/>
  <c r="BC146" i="68"/>
  <c r="BD146" i="68"/>
  <c r="BE146" i="68"/>
  <c r="BF146" i="68"/>
  <c r="BG146" i="68"/>
  <c r="BH146" i="68"/>
  <c r="BI146" i="68"/>
  <c r="BJ146" i="68"/>
  <c r="BK146" i="68"/>
  <c r="BL146" i="68"/>
  <c r="BM146" i="68"/>
  <c r="BN146" i="68"/>
  <c r="BO146" i="68"/>
  <c r="BP146" i="68"/>
  <c r="K13" i="56" l="1"/>
  <c r="K14" i="56"/>
  <c r="K15" i="56"/>
  <c r="K12" i="56"/>
  <c r="K62" i="56"/>
  <c r="K65" i="56"/>
  <c r="J79" i="23"/>
  <c r="L79" i="23" s="1"/>
  <c r="J81" i="23"/>
  <c r="L81" i="23" s="1"/>
  <c r="J82" i="23"/>
  <c r="L82" i="23" s="1"/>
  <c r="J84" i="23"/>
  <c r="L84" i="23" s="1"/>
  <c r="J86" i="23"/>
  <c r="L86" i="23" s="1"/>
  <c r="J87" i="23"/>
  <c r="L87" i="23" s="1"/>
  <c r="J88" i="23"/>
  <c r="L88" i="23" s="1"/>
  <c r="J90" i="23"/>
  <c r="L90" i="23" s="1"/>
  <c r="J98" i="23"/>
  <c r="L98" i="23" s="1"/>
  <c r="J96" i="23"/>
  <c r="L96" i="23" s="1"/>
  <c r="J101" i="23"/>
  <c r="L101" i="23" s="1"/>
  <c r="V71" i="2"/>
  <c r="V72" i="2"/>
  <c r="M112" i="55" l="1"/>
  <c r="M16" i="55"/>
  <c r="AA25" i="68" l="1"/>
  <c r="AA42" i="68"/>
  <c r="AA100" i="68" l="1"/>
  <c r="AA43" i="68"/>
  <c r="AA108" i="68" s="1"/>
  <c r="H35" i="72" s="1"/>
  <c r="AX28" i="71"/>
  <c r="K151" i="12" l="1"/>
  <c r="BX100" i="68" l="1"/>
  <c r="I40" i="56" l="1"/>
  <c r="I26" i="56"/>
  <c r="I17" i="56"/>
  <c r="H75" i="41" l="1"/>
  <c r="P71" i="23" l="1"/>
  <c r="AC54" i="60"/>
  <c r="AE54" i="60"/>
  <c r="AG54" i="60"/>
  <c r="AI54" i="60"/>
  <c r="AK54" i="60"/>
  <c r="AM54" i="60"/>
  <c r="AO54" i="60"/>
  <c r="AS54" i="60"/>
  <c r="AA54" i="60"/>
  <c r="CE56" i="68"/>
  <c r="L26" i="72" l="1"/>
  <c r="BO3" i="74" l="1"/>
  <c r="G62" i="45" l="1"/>
  <c r="CE75" i="68" l="1"/>
  <c r="B97" i="68" l="1"/>
  <c r="B96" i="68"/>
  <c r="B95" i="68"/>
  <c r="B94" i="68"/>
  <c r="B93" i="68"/>
  <c r="B92" i="68"/>
  <c r="B91" i="68"/>
  <c r="B90" i="68"/>
  <c r="B89" i="68"/>
  <c r="B88" i="68"/>
  <c r="B87" i="68"/>
  <c r="B86" i="68"/>
  <c r="B85" i="68"/>
  <c r="B84" i="68"/>
  <c r="B83" i="68"/>
  <c r="B82" i="68"/>
  <c r="B81" i="68"/>
  <c r="B80" i="68"/>
  <c r="B79" i="68"/>
  <c r="E26" i="72" s="1"/>
  <c r="B78" i="68"/>
  <c r="B77" i="68"/>
  <c r="B76" i="68"/>
  <c r="B75" i="68"/>
  <c r="B74" i="68"/>
  <c r="B73" i="68"/>
  <c r="B71" i="68"/>
  <c r="B70" i="68"/>
  <c r="B69" i="68"/>
  <c r="B68" i="68"/>
  <c r="B67" i="68"/>
  <c r="B66" i="68"/>
  <c r="C26" i="72" l="1"/>
  <c r="E20" i="72"/>
  <c r="CI57" i="68" l="1"/>
  <c r="CI56" i="68"/>
  <c r="CH57" i="68"/>
  <c r="CH56" i="68"/>
  <c r="CG57" i="68"/>
  <c r="CG56" i="68"/>
  <c r="CF57" i="68"/>
  <c r="CF56" i="68"/>
  <c r="CE57" i="68"/>
  <c r="K131" i="55" l="1"/>
  <c r="G132" i="25" s="1"/>
  <c r="I132" i="25" s="1"/>
  <c r="K132" i="55"/>
  <c r="G133" i="25" s="1"/>
  <c r="I133" i="25" s="1"/>
  <c r="K133" i="55"/>
  <c r="G134" i="25" s="1"/>
  <c r="I134" i="25" s="1"/>
  <c r="K134" i="55"/>
  <c r="G135" i="25" s="1"/>
  <c r="I135" i="25" s="1"/>
  <c r="K135" i="55"/>
  <c r="G136" i="25" s="1"/>
  <c r="I136" i="25" s="1"/>
  <c r="AB415" i="66"/>
  <c r="AC415" i="66"/>
  <c r="AD415" i="66"/>
  <c r="AE415" i="66"/>
  <c r="AF415" i="66"/>
  <c r="AG415" i="66"/>
  <c r="AH415" i="66"/>
  <c r="AI415" i="66"/>
  <c r="AJ415" i="66"/>
  <c r="AK415" i="66"/>
  <c r="AL415" i="66"/>
  <c r="AM415" i="66"/>
  <c r="AN415" i="66"/>
  <c r="AO415" i="66"/>
  <c r="AP415" i="66"/>
  <c r="AR415" i="66"/>
  <c r="AS415" i="66"/>
  <c r="AT415" i="66"/>
  <c r="AU415" i="66"/>
  <c r="AV415" i="66"/>
  <c r="AW415" i="66"/>
  <c r="AB416" i="66"/>
  <c r="AC416" i="66"/>
  <c r="AD416" i="66"/>
  <c r="AE416" i="66"/>
  <c r="AF416" i="66"/>
  <c r="AG416" i="66"/>
  <c r="AH416" i="66"/>
  <c r="AI416" i="66"/>
  <c r="AJ416" i="66"/>
  <c r="AK416" i="66"/>
  <c r="AL416" i="66"/>
  <c r="AM416" i="66"/>
  <c r="AN416" i="66"/>
  <c r="AO416" i="66"/>
  <c r="AP416" i="66"/>
  <c r="AR416" i="66"/>
  <c r="AS416" i="66"/>
  <c r="AT416" i="66"/>
  <c r="AU416" i="66"/>
  <c r="AV416" i="66"/>
  <c r="AW416" i="66"/>
  <c r="AB417" i="66"/>
  <c r="AC417" i="66"/>
  <c r="AD417" i="66"/>
  <c r="AE417" i="66"/>
  <c r="AF417" i="66"/>
  <c r="AG417" i="66"/>
  <c r="AH417" i="66"/>
  <c r="AI417" i="66"/>
  <c r="AJ417" i="66"/>
  <c r="AK417" i="66"/>
  <c r="AL417" i="66"/>
  <c r="AM417" i="66"/>
  <c r="AN417" i="66"/>
  <c r="AO417" i="66"/>
  <c r="AP417" i="66"/>
  <c r="AR417" i="66"/>
  <c r="AS417" i="66"/>
  <c r="AT417" i="66"/>
  <c r="AU417" i="66"/>
  <c r="AV417" i="66"/>
  <c r="AW417" i="66"/>
  <c r="AB418" i="66"/>
  <c r="AC418" i="66"/>
  <c r="AD418" i="66"/>
  <c r="AE418" i="66"/>
  <c r="AF418" i="66"/>
  <c r="AG418" i="66"/>
  <c r="AH418" i="66"/>
  <c r="AI418" i="66"/>
  <c r="AJ418" i="66"/>
  <c r="AK418" i="66"/>
  <c r="AL418" i="66"/>
  <c r="AM418" i="66"/>
  <c r="AN418" i="66"/>
  <c r="AO418" i="66"/>
  <c r="AP418" i="66"/>
  <c r="AR418" i="66"/>
  <c r="AS418" i="66"/>
  <c r="AT418" i="66"/>
  <c r="AU418" i="66"/>
  <c r="AV418" i="66"/>
  <c r="AW418" i="66"/>
  <c r="AB419" i="66"/>
  <c r="AC419" i="66"/>
  <c r="AD419" i="66"/>
  <c r="AE419" i="66"/>
  <c r="AF419" i="66"/>
  <c r="AG419" i="66"/>
  <c r="AH419" i="66"/>
  <c r="AI419" i="66"/>
  <c r="AJ419" i="66"/>
  <c r="AK419" i="66"/>
  <c r="AL419" i="66"/>
  <c r="AM419" i="66"/>
  <c r="AN419" i="66"/>
  <c r="AO419" i="66"/>
  <c r="AP419" i="66"/>
  <c r="AR419" i="66"/>
  <c r="AS419" i="66"/>
  <c r="AT419" i="66"/>
  <c r="AU419" i="66"/>
  <c r="AV419" i="66"/>
  <c r="AW419" i="66"/>
  <c r="AB420" i="66"/>
  <c r="AC420" i="66"/>
  <c r="AD420" i="66"/>
  <c r="AE420" i="66"/>
  <c r="AF420" i="66"/>
  <c r="AG420" i="66"/>
  <c r="AH420" i="66"/>
  <c r="AI420" i="66"/>
  <c r="AJ420" i="66"/>
  <c r="AK420" i="66"/>
  <c r="AL420" i="66"/>
  <c r="AM420" i="66"/>
  <c r="AN420" i="66"/>
  <c r="AO420" i="66"/>
  <c r="AP420" i="66"/>
  <c r="AR420" i="66"/>
  <c r="AS420" i="66"/>
  <c r="AT420" i="66"/>
  <c r="AU420" i="66"/>
  <c r="AV420" i="66"/>
  <c r="AW420" i="66"/>
  <c r="AB421" i="66"/>
  <c r="AC421" i="66"/>
  <c r="AD421" i="66"/>
  <c r="AE421" i="66"/>
  <c r="AF421" i="66"/>
  <c r="AG421" i="66"/>
  <c r="AH421" i="66"/>
  <c r="AI421" i="66"/>
  <c r="AJ421" i="66"/>
  <c r="AK421" i="66"/>
  <c r="AL421" i="66"/>
  <c r="AM421" i="66"/>
  <c r="AN421" i="66"/>
  <c r="AO421" i="66"/>
  <c r="AP421" i="66"/>
  <c r="AR421" i="66"/>
  <c r="AS421" i="66"/>
  <c r="AT421" i="66"/>
  <c r="AU421" i="66"/>
  <c r="AV421" i="66"/>
  <c r="AW421" i="66"/>
  <c r="AB422" i="66"/>
  <c r="AC422" i="66"/>
  <c r="AD422" i="66"/>
  <c r="AE422" i="66"/>
  <c r="AF422" i="66"/>
  <c r="AG422" i="66"/>
  <c r="AH422" i="66"/>
  <c r="AI422" i="66"/>
  <c r="AJ422" i="66"/>
  <c r="AK422" i="66"/>
  <c r="AL422" i="66"/>
  <c r="AM422" i="66"/>
  <c r="AN422" i="66"/>
  <c r="AO422" i="66"/>
  <c r="AP422" i="66"/>
  <c r="AR422" i="66"/>
  <c r="AS422" i="66"/>
  <c r="AT422" i="66"/>
  <c r="AU422" i="66"/>
  <c r="AV422" i="66"/>
  <c r="AW422" i="66"/>
  <c r="AB423" i="66"/>
  <c r="AC423" i="66"/>
  <c r="AD423" i="66"/>
  <c r="AE423" i="66"/>
  <c r="AF423" i="66"/>
  <c r="AG423" i="66"/>
  <c r="AH423" i="66"/>
  <c r="AI423" i="66"/>
  <c r="AJ423" i="66"/>
  <c r="AK423" i="66"/>
  <c r="AL423" i="66"/>
  <c r="AM423" i="66"/>
  <c r="AN423" i="66"/>
  <c r="AO423" i="66"/>
  <c r="AP423" i="66"/>
  <c r="AR423" i="66"/>
  <c r="AS423" i="66"/>
  <c r="AT423" i="66"/>
  <c r="AU423" i="66"/>
  <c r="AV423" i="66"/>
  <c r="AW423" i="66"/>
  <c r="AB424" i="66"/>
  <c r="AC424" i="66"/>
  <c r="AD424" i="66"/>
  <c r="AE424" i="66"/>
  <c r="AF424" i="66"/>
  <c r="AG424" i="66"/>
  <c r="AH424" i="66"/>
  <c r="AI424" i="66"/>
  <c r="AJ424" i="66"/>
  <c r="AK424" i="66"/>
  <c r="AL424" i="66"/>
  <c r="AM424" i="66"/>
  <c r="AN424" i="66"/>
  <c r="AO424" i="66"/>
  <c r="AP424" i="66"/>
  <c r="AR424" i="66"/>
  <c r="AS424" i="66"/>
  <c r="AT424" i="66"/>
  <c r="AU424" i="66"/>
  <c r="AV424" i="66"/>
  <c r="AW424" i="66"/>
  <c r="AB425" i="66"/>
  <c r="AC425" i="66"/>
  <c r="AD425" i="66"/>
  <c r="AE425" i="66"/>
  <c r="AF425" i="66"/>
  <c r="AG425" i="66"/>
  <c r="AH425" i="66"/>
  <c r="AI425" i="66"/>
  <c r="AJ425" i="66"/>
  <c r="AK425" i="66"/>
  <c r="AL425" i="66"/>
  <c r="AM425" i="66"/>
  <c r="AN425" i="66"/>
  <c r="AO425" i="66"/>
  <c r="AP425" i="66"/>
  <c r="AR425" i="66"/>
  <c r="AS425" i="66"/>
  <c r="AT425" i="66"/>
  <c r="AU425" i="66"/>
  <c r="AV425" i="66"/>
  <c r="AW425" i="66"/>
  <c r="AB426" i="66"/>
  <c r="AC426" i="66"/>
  <c r="AD426" i="66"/>
  <c r="AE426" i="66"/>
  <c r="AF426" i="66"/>
  <c r="AG426" i="66"/>
  <c r="AH426" i="66"/>
  <c r="AI426" i="66"/>
  <c r="AJ426" i="66"/>
  <c r="AK426" i="66"/>
  <c r="AL426" i="66"/>
  <c r="AM426" i="66"/>
  <c r="AN426" i="66"/>
  <c r="AO426" i="66"/>
  <c r="AP426" i="66"/>
  <c r="AR426" i="66"/>
  <c r="AS426" i="66"/>
  <c r="AT426" i="66"/>
  <c r="AU426" i="66"/>
  <c r="AV426" i="66"/>
  <c r="AW426" i="66"/>
  <c r="AB427" i="66"/>
  <c r="AC427" i="66"/>
  <c r="AD427" i="66"/>
  <c r="AE427" i="66"/>
  <c r="AF427" i="66"/>
  <c r="AG427" i="66"/>
  <c r="AH427" i="66"/>
  <c r="AI427" i="66"/>
  <c r="AJ427" i="66"/>
  <c r="AK427" i="66"/>
  <c r="AL427" i="66"/>
  <c r="AM427" i="66"/>
  <c r="AN427" i="66"/>
  <c r="AO427" i="66"/>
  <c r="AP427" i="66"/>
  <c r="AR427" i="66"/>
  <c r="AS427" i="66"/>
  <c r="AT427" i="66"/>
  <c r="AU427" i="66"/>
  <c r="AV427" i="66"/>
  <c r="AW427" i="66"/>
  <c r="AB428" i="66"/>
  <c r="AC428" i="66"/>
  <c r="AD428" i="66"/>
  <c r="AE428" i="66"/>
  <c r="AF428" i="66"/>
  <c r="AG428" i="66"/>
  <c r="AH428" i="66"/>
  <c r="AI428" i="66"/>
  <c r="AJ428" i="66"/>
  <c r="AK428" i="66"/>
  <c r="AL428" i="66"/>
  <c r="AM428" i="66"/>
  <c r="AN428" i="66"/>
  <c r="AO428" i="66"/>
  <c r="AP428" i="66"/>
  <c r="AR428" i="66"/>
  <c r="AS428" i="66"/>
  <c r="AT428" i="66"/>
  <c r="AU428" i="66"/>
  <c r="AV428" i="66"/>
  <c r="AW428" i="66"/>
  <c r="AB429" i="66"/>
  <c r="AC429" i="66"/>
  <c r="AD429" i="66"/>
  <c r="AE429" i="66"/>
  <c r="AF429" i="66"/>
  <c r="AG429" i="66"/>
  <c r="AH429" i="66"/>
  <c r="AI429" i="66"/>
  <c r="AJ429" i="66"/>
  <c r="AK429" i="66"/>
  <c r="AL429" i="66"/>
  <c r="AM429" i="66"/>
  <c r="AN429" i="66"/>
  <c r="AO429" i="66"/>
  <c r="AP429" i="66"/>
  <c r="AR429" i="66"/>
  <c r="AS429" i="66"/>
  <c r="AT429" i="66"/>
  <c r="AU429" i="66"/>
  <c r="AV429" i="66"/>
  <c r="AW429" i="66"/>
  <c r="AB430" i="66"/>
  <c r="AC430" i="66"/>
  <c r="AD430" i="66"/>
  <c r="AE430" i="66"/>
  <c r="AF430" i="66"/>
  <c r="AG430" i="66"/>
  <c r="AH430" i="66"/>
  <c r="AI430" i="66"/>
  <c r="AJ430" i="66"/>
  <c r="AK430" i="66"/>
  <c r="AL430" i="66"/>
  <c r="AM430" i="66"/>
  <c r="AN430" i="66"/>
  <c r="AO430" i="66"/>
  <c r="AP430" i="66"/>
  <c r="AR430" i="66"/>
  <c r="AS430" i="66"/>
  <c r="AT430" i="66"/>
  <c r="AU430" i="66"/>
  <c r="AV430" i="66"/>
  <c r="AW430" i="66"/>
  <c r="AB434" i="66"/>
  <c r="AC434" i="66"/>
  <c r="AD434" i="66"/>
  <c r="AE434" i="66"/>
  <c r="AF434" i="66"/>
  <c r="AG434" i="66"/>
  <c r="AH434" i="66"/>
  <c r="AI434" i="66"/>
  <c r="AJ434" i="66"/>
  <c r="AK434" i="66"/>
  <c r="AL434" i="66"/>
  <c r="AM434" i="66"/>
  <c r="AN434" i="66"/>
  <c r="AO434" i="66"/>
  <c r="AP434" i="66"/>
  <c r="AR434" i="66"/>
  <c r="AS434" i="66"/>
  <c r="AT434" i="66"/>
  <c r="AU434" i="66"/>
  <c r="AV434" i="66"/>
  <c r="AW434" i="66"/>
  <c r="AB435" i="66"/>
  <c r="AC435" i="66"/>
  <c r="AD435" i="66"/>
  <c r="AE435" i="66"/>
  <c r="AF435" i="66"/>
  <c r="AG435" i="66"/>
  <c r="AH435" i="66"/>
  <c r="AI435" i="66"/>
  <c r="AJ435" i="66"/>
  <c r="AK435" i="66"/>
  <c r="AL435" i="66"/>
  <c r="AM435" i="66"/>
  <c r="AN435" i="66"/>
  <c r="AO435" i="66"/>
  <c r="AP435" i="66"/>
  <c r="AR435" i="66"/>
  <c r="AS435" i="66"/>
  <c r="AT435" i="66"/>
  <c r="AU435" i="66"/>
  <c r="AV435" i="66"/>
  <c r="AW435" i="66"/>
  <c r="AB436" i="66"/>
  <c r="AC436" i="66"/>
  <c r="AD436" i="66"/>
  <c r="AE436" i="66"/>
  <c r="AF436" i="66"/>
  <c r="AG436" i="66"/>
  <c r="AH436" i="66"/>
  <c r="AI436" i="66"/>
  <c r="AJ436" i="66"/>
  <c r="AK436" i="66"/>
  <c r="AL436" i="66"/>
  <c r="AM436" i="66"/>
  <c r="AN436" i="66"/>
  <c r="AO436" i="66"/>
  <c r="AP436" i="66"/>
  <c r="AR436" i="66"/>
  <c r="AS436" i="66"/>
  <c r="AT436" i="66"/>
  <c r="AU436" i="66"/>
  <c r="AV436" i="66"/>
  <c r="AW436" i="66"/>
  <c r="AB437" i="66"/>
  <c r="AC437" i="66"/>
  <c r="AD437" i="66"/>
  <c r="AE437" i="66"/>
  <c r="AF437" i="66"/>
  <c r="AG437" i="66"/>
  <c r="AH437" i="66"/>
  <c r="AI437" i="66"/>
  <c r="AJ437" i="66"/>
  <c r="AK437" i="66"/>
  <c r="AL437" i="66"/>
  <c r="AM437" i="66"/>
  <c r="AN437" i="66"/>
  <c r="AO437" i="66"/>
  <c r="AP437" i="66"/>
  <c r="AR437" i="66"/>
  <c r="AS437" i="66"/>
  <c r="AT437" i="66"/>
  <c r="AU437" i="66"/>
  <c r="AV437" i="66"/>
  <c r="AW437" i="66"/>
  <c r="AB438" i="66"/>
  <c r="AC438" i="66"/>
  <c r="AD438" i="66"/>
  <c r="AE438" i="66"/>
  <c r="AF438" i="66"/>
  <c r="AG438" i="66"/>
  <c r="AH438" i="66"/>
  <c r="AI438" i="66"/>
  <c r="AJ438" i="66"/>
  <c r="AK438" i="66"/>
  <c r="AL438" i="66"/>
  <c r="AM438" i="66"/>
  <c r="AN438" i="66"/>
  <c r="AO438" i="66"/>
  <c r="AP438" i="66"/>
  <c r="AR438" i="66"/>
  <c r="AS438" i="66"/>
  <c r="AT438" i="66"/>
  <c r="AU438" i="66"/>
  <c r="AV438" i="66"/>
  <c r="AW438" i="66"/>
  <c r="AB439" i="66"/>
  <c r="AC439" i="66"/>
  <c r="AD439" i="66"/>
  <c r="AE439" i="66"/>
  <c r="AF439" i="66"/>
  <c r="AG439" i="66"/>
  <c r="AH439" i="66"/>
  <c r="AI439" i="66"/>
  <c r="AJ439" i="66"/>
  <c r="AK439" i="66"/>
  <c r="AL439" i="66"/>
  <c r="AM439" i="66"/>
  <c r="AN439" i="66"/>
  <c r="AO439" i="66"/>
  <c r="AP439" i="66"/>
  <c r="AR439" i="66"/>
  <c r="AS439" i="66"/>
  <c r="AT439" i="66"/>
  <c r="AU439" i="66"/>
  <c r="AV439" i="66"/>
  <c r="AW439" i="66"/>
  <c r="AB440" i="66"/>
  <c r="AC440" i="66"/>
  <c r="AD440" i="66"/>
  <c r="AE440" i="66"/>
  <c r="AF440" i="66"/>
  <c r="AG440" i="66"/>
  <c r="AH440" i="66"/>
  <c r="AI440" i="66"/>
  <c r="AJ440" i="66"/>
  <c r="AK440" i="66"/>
  <c r="AL440" i="66"/>
  <c r="AM440" i="66"/>
  <c r="AN440" i="66"/>
  <c r="AO440" i="66"/>
  <c r="AP440" i="66"/>
  <c r="AR440" i="66"/>
  <c r="AS440" i="66"/>
  <c r="AT440" i="66"/>
  <c r="AU440" i="66"/>
  <c r="AV440" i="66"/>
  <c r="AW440" i="66"/>
  <c r="AB441" i="66"/>
  <c r="AC441" i="66"/>
  <c r="AD441" i="66"/>
  <c r="AE441" i="66"/>
  <c r="AF441" i="66"/>
  <c r="AG441" i="66"/>
  <c r="AH441" i="66"/>
  <c r="AI441" i="66"/>
  <c r="AJ441" i="66"/>
  <c r="AK441" i="66"/>
  <c r="AL441" i="66"/>
  <c r="AM441" i="66"/>
  <c r="AN441" i="66"/>
  <c r="AO441" i="66"/>
  <c r="AP441" i="66"/>
  <c r="AR441" i="66"/>
  <c r="AS441" i="66"/>
  <c r="AT441" i="66"/>
  <c r="AU441" i="66"/>
  <c r="AV441" i="66"/>
  <c r="AW441" i="66"/>
  <c r="AB442" i="66"/>
  <c r="AC442" i="66"/>
  <c r="AD442" i="66"/>
  <c r="AE442" i="66"/>
  <c r="AF442" i="66"/>
  <c r="AG442" i="66"/>
  <c r="AH442" i="66"/>
  <c r="AI442" i="66"/>
  <c r="AJ442" i="66"/>
  <c r="AK442" i="66"/>
  <c r="AL442" i="66"/>
  <c r="AM442" i="66"/>
  <c r="AN442" i="66"/>
  <c r="AO442" i="66"/>
  <c r="AP442" i="66"/>
  <c r="AR442" i="66"/>
  <c r="AS442" i="66"/>
  <c r="AT442" i="66"/>
  <c r="AU442" i="66"/>
  <c r="AV442" i="66"/>
  <c r="AW442" i="66"/>
  <c r="AB443" i="66"/>
  <c r="AC443" i="66"/>
  <c r="AD443" i="66"/>
  <c r="AE443" i="66"/>
  <c r="AF443" i="66"/>
  <c r="AG443" i="66"/>
  <c r="AH443" i="66"/>
  <c r="AI443" i="66"/>
  <c r="AJ443" i="66"/>
  <c r="AK443" i="66"/>
  <c r="AL443" i="66"/>
  <c r="AM443" i="66"/>
  <c r="AN443" i="66"/>
  <c r="AO443" i="66"/>
  <c r="AP443" i="66"/>
  <c r="AR443" i="66"/>
  <c r="AS443" i="66"/>
  <c r="AT443" i="66"/>
  <c r="AU443" i="66"/>
  <c r="AV443" i="66"/>
  <c r="AW443" i="66"/>
  <c r="AB444" i="66"/>
  <c r="AC444" i="66"/>
  <c r="AD444" i="66"/>
  <c r="AE444" i="66"/>
  <c r="AF444" i="66"/>
  <c r="AG444" i="66"/>
  <c r="AH444" i="66"/>
  <c r="AI444" i="66"/>
  <c r="AJ444" i="66"/>
  <c r="AK444" i="66"/>
  <c r="AL444" i="66"/>
  <c r="AM444" i="66"/>
  <c r="AN444" i="66"/>
  <c r="AO444" i="66"/>
  <c r="AP444" i="66"/>
  <c r="AR444" i="66"/>
  <c r="AS444" i="66"/>
  <c r="AT444" i="66"/>
  <c r="AU444" i="66"/>
  <c r="AV444" i="66"/>
  <c r="AW444" i="66"/>
  <c r="AB445" i="66"/>
  <c r="AC445" i="66"/>
  <c r="AD445" i="66"/>
  <c r="AE445" i="66"/>
  <c r="AF445" i="66"/>
  <c r="AG445" i="66"/>
  <c r="AH445" i="66"/>
  <c r="AI445" i="66"/>
  <c r="AJ445" i="66"/>
  <c r="AK445" i="66"/>
  <c r="AL445" i="66"/>
  <c r="AM445" i="66"/>
  <c r="AN445" i="66"/>
  <c r="AO445" i="66"/>
  <c r="AP445" i="66"/>
  <c r="AR445" i="66"/>
  <c r="AS445" i="66"/>
  <c r="AT445" i="66"/>
  <c r="AU445" i="66"/>
  <c r="AV445" i="66"/>
  <c r="AW445" i="66"/>
  <c r="AB449" i="66"/>
  <c r="AC449" i="66"/>
  <c r="AD449" i="66"/>
  <c r="AE449" i="66"/>
  <c r="AF449" i="66"/>
  <c r="AG449" i="66"/>
  <c r="AH449" i="66"/>
  <c r="AI449" i="66"/>
  <c r="AJ449" i="66"/>
  <c r="AK449" i="66"/>
  <c r="AL449" i="66"/>
  <c r="AM449" i="66"/>
  <c r="AN449" i="66"/>
  <c r="AO449" i="66"/>
  <c r="AP449" i="66"/>
  <c r="AR449" i="66"/>
  <c r="AS449" i="66"/>
  <c r="AT449" i="66"/>
  <c r="AU449" i="66"/>
  <c r="AV449" i="66"/>
  <c r="AW449" i="66"/>
  <c r="AB450" i="66"/>
  <c r="AC450" i="66"/>
  <c r="AD450" i="66"/>
  <c r="AE450" i="66"/>
  <c r="AF450" i="66"/>
  <c r="AG450" i="66"/>
  <c r="AH450" i="66"/>
  <c r="AI450" i="66"/>
  <c r="AJ450" i="66"/>
  <c r="AK450" i="66"/>
  <c r="AL450" i="66"/>
  <c r="AM450" i="66"/>
  <c r="AN450" i="66"/>
  <c r="AO450" i="66"/>
  <c r="AP450" i="66"/>
  <c r="AR450" i="66"/>
  <c r="AS450" i="66"/>
  <c r="AT450" i="66"/>
  <c r="AU450" i="66"/>
  <c r="AV450" i="66"/>
  <c r="AW450" i="66"/>
  <c r="AB451" i="66"/>
  <c r="AC451" i="66"/>
  <c r="AD451" i="66"/>
  <c r="AE451" i="66"/>
  <c r="AF451" i="66"/>
  <c r="AG451" i="66"/>
  <c r="AH451" i="66"/>
  <c r="AI451" i="66"/>
  <c r="AJ451" i="66"/>
  <c r="AK451" i="66"/>
  <c r="AL451" i="66"/>
  <c r="AM451" i="66"/>
  <c r="AN451" i="66"/>
  <c r="AO451" i="66"/>
  <c r="AP451" i="66"/>
  <c r="AR451" i="66"/>
  <c r="AS451" i="66"/>
  <c r="AT451" i="66"/>
  <c r="AU451" i="66"/>
  <c r="AV451" i="66"/>
  <c r="AW451" i="66"/>
  <c r="AB452" i="66"/>
  <c r="AC452" i="66"/>
  <c r="AD452" i="66"/>
  <c r="AE452" i="66"/>
  <c r="AF452" i="66"/>
  <c r="AG452" i="66"/>
  <c r="AH452" i="66"/>
  <c r="AI452" i="66"/>
  <c r="AJ452" i="66"/>
  <c r="AK452" i="66"/>
  <c r="AL452" i="66"/>
  <c r="AM452" i="66"/>
  <c r="AN452" i="66"/>
  <c r="AO452" i="66"/>
  <c r="AP452" i="66"/>
  <c r="AR452" i="66"/>
  <c r="AS452" i="66"/>
  <c r="AT452" i="66"/>
  <c r="AU452" i="66"/>
  <c r="AV452" i="66"/>
  <c r="AW452" i="66"/>
  <c r="AB453" i="66"/>
  <c r="AC453" i="66"/>
  <c r="AD453" i="66"/>
  <c r="AE453" i="66"/>
  <c r="AF453" i="66"/>
  <c r="AG453" i="66"/>
  <c r="AH453" i="66"/>
  <c r="AI453" i="66"/>
  <c r="AJ453" i="66"/>
  <c r="AK453" i="66"/>
  <c r="AL453" i="66"/>
  <c r="AM453" i="66"/>
  <c r="AN453" i="66"/>
  <c r="AO453" i="66"/>
  <c r="AP453" i="66"/>
  <c r="AR453" i="66"/>
  <c r="AS453" i="66"/>
  <c r="AT453" i="66"/>
  <c r="AU453" i="66"/>
  <c r="AV453" i="66"/>
  <c r="AW453" i="66"/>
  <c r="AB454" i="66"/>
  <c r="AC454" i="66"/>
  <c r="AD454" i="66"/>
  <c r="AE454" i="66"/>
  <c r="AF454" i="66"/>
  <c r="AG454" i="66"/>
  <c r="AH454" i="66"/>
  <c r="AI454" i="66"/>
  <c r="AJ454" i="66"/>
  <c r="AK454" i="66"/>
  <c r="AL454" i="66"/>
  <c r="AM454" i="66"/>
  <c r="AN454" i="66"/>
  <c r="AO454" i="66"/>
  <c r="AP454" i="66"/>
  <c r="AR454" i="66"/>
  <c r="AS454" i="66"/>
  <c r="AT454" i="66"/>
  <c r="AU454" i="66"/>
  <c r="AV454" i="66"/>
  <c r="AW454" i="66"/>
  <c r="AB455" i="66"/>
  <c r="AC455" i="66"/>
  <c r="AD455" i="66"/>
  <c r="AE455" i="66"/>
  <c r="AF455" i="66"/>
  <c r="AG455" i="66"/>
  <c r="AH455" i="66"/>
  <c r="AI455" i="66"/>
  <c r="AJ455" i="66"/>
  <c r="AK455" i="66"/>
  <c r="AL455" i="66"/>
  <c r="AM455" i="66"/>
  <c r="AN455" i="66"/>
  <c r="AO455" i="66"/>
  <c r="AP455" i="66"/>
  <c r="AR455" i="66"/>
  <c r="AS455" i="66"/>
  <c r="AT455" i="66"/>
  <c r="AU455" i="66"/>
  <c r="AV455" i="66"/>
  <c r="AW455" i="66"/>
  <c r="AB456" i="66"/>
  <c r="AC456" i="66"/>
  <c r="AD456" i="66"/>
  <c r="AE456" i="66"/>
  <c r="AF456" i="66"/>
  <c r="AG456" i="66"/>
  <c r="AH456" i="66"/>
  <c r="AI456" i="66"/>
  <c r="AJ456" i="66"/>
  <c r="AK456" i="66"/>
  <c r="AL456" i="66"/>
  <c r="AM456" i="66"/>
  <c r="AN456" i="66"/>
  <c r="AO456" i="66"/>
  <c r="AP456" i="66"/>
  <c r="AR456" i="66"/>
  <c r="AS456" i="66"/>
  <c r="AT456" i="66"/>
  <c r="AU456" i="66"/>
  <c r="AV456" i="66"/>
  <c r="AW456" i="66"/>
  <c r="AB457" i="66"/>
  <c r="AC457" i="66"/>
  <c r="AD457" i="66"/>
  <c r="AE457" i="66"/>
  <c r="AF457" i="66"/>
  <c r="AG457" i="66"/>
  <c r="AH457" i="66"/>
  <c r="AI457" i="66"/>
  <c r="AJ457" i="66"/>
  <c r="AK457" i="66"/>
  <c r="AL457" i="66"/>
  <c r="AM457" i="66"/>
  <c r="AN457" i="66"/>
  <c r="AO457" i="66"/>
  <c r="AP457" i="66"/>
  <c r="AR457" i="66"/>
  <c r="AS457" i="66"/>
  <c r="AT457" i="66"/>
  <c r="AU457" i="66"/>
  <c r="AV457" i="66"/>
  <c r="AW457" i="66"/>
  <c r="AB458" i="66"/>
  <c r="AC458" i="66"/>
  <c r="AD458" i="66"/>
  <c r="AE458" i="66"/>
  <c r="AF458" i="66"/>
  <c r="AG458" i="66"/>
  <c r="AH458" i="66"/>
  <c r="AI458" i="66"/>
  <c r="AJ458" i="66"/>
  <c r="AK458" i="66"/>
  <c r="AL458" i="66"/>
  <c r="AM458" i="66"/>
  <c r="AN458" i="66"/>
  <c r="AO458" i="66"/>
  <c r="AP458" i="66"/>
  <c r="AR458" i="66"/>
  <c r="AS458" i="66"/>
  <c r="AT458" i="66"/>
  <c r="AU458" i="66"/>
  <c r="AV458" i="66"/>
  <c r="AW458" i="66"/>
  <c r="AB459" i="66"/>
  <c r="AC459" i="66"/>
  <c r="AD459" i="66"/>
  <c r="AE459" i="66"/>
  <c r="AF459" i="66"/>
  <c r="AG459" i="66"/>
  <c r="AH459" i="66"/>
  <c r="AI459" i="66"/>
  <c r="AJ459" i="66"/>
  <c r="AK459" i="66"/>
  <c r="AL459" i="66"/>
  <c r="AM459" i="66"/>
  <c r="AN459" i="66"/>
  <c r="AO459" i="66"/>
  <c r="AP459" i="66"/>
  <c r="AR459" i="66"/>
  <c r="AS459" i="66"/>
  <c r="AT459" i="66"/>
  <c r="AU459" i="66"/>
  <c r="AV459" i="66"/>
  <c r="AW459" i="66"/>
  <c r="AB460" i="66"/>
  <c r="AC460" i="66"/>
  <c r="AD460" i="66"/>
  <c r="AE460" i="66"/>
  <c r="AF460" i="66"/>
  <c r="AG460" i="66"/>
  <c r="AH460" i="66"/>
  <c r="AI460" i="66"/>
  <c r="AJ460" i="66"/>
  <c r="AK460" i="66"/>
  <c r="AL460" i="66"/>
  <c r="AM460" i="66"/>
  <c r="AN460" i="66"/>
  <c r="AO460" i="66"/>
  <c r="AP460" i="66"/>
  <c r="AR460" i="66"/>
  <c r="AS460" i="66"/>
  <c r="AT460" i="66"/>
  <c r="AU460" i="66"/>
  <c r="AV460" i="66"/>
  <c r="AW460" i="66"/>
  <c r="AB464" i="66"/>
  <c r="AC464" i="66"/>
  <c r="AD464" i="66"/>
  <c r="AE464" i="66"/>
  <c r="AF464" i="66"/>
  <c r="AG464" i="66"/>
  <c r="AH464" i="66"/>
  <c r="AI464" i="66"/>
  <c r="AJ464" i="66"/>
  <c r="AK464" i="66"/>
  <c r="AL464" i="66"/>
  <c r="AM464" i="66"/>
  <c r="AN464" i="66"/>
  <c r="AO464" i="66"/>
  <c r="AP464" i="66"/>
  <c r="AR464" i="66"/>
  <c r="AS464" i="66"/>
  <c r="AT464" i="66"/>
  <c r="AU464" i="66"/>
  <c r="AV464" i="66"/>
  <c r="AW464" i="66"/>
  <c r="AB465" i="66"/>
  <c r="AC465" i="66"/>
  <c r="AD465" i="66"/>
  <c r="AE465" i="66"/>
  <c r="AF465" i="66"/>
  <c r="AG465" i="66"/>
  <c r="AH465" i="66"/>
  <c r="AI465" i="66"/>
  <c r="AJ465" i="66"/>
  <c r="AK465" i="66"/>
  <c r="AL465" i="66"/>
  <c r="AM465" i="66"/>
  <c r="AN465" i="66"/>
  <c r="AO465" i="66"/>
  <c r="AP465" i="66"/>
  <c r="AR465" i="66"/>
  <c r="AS465" i="66"/>
  <c r="AT465" i="66"/>
  <c r="AU465" i="66"/>
  <c r="AV465" i="66"/>
  <c r="AW465" i="66"/>
  <c r="AB466" i="66"/>
  <c r="AC466" i="66"/>
  <c r="AD466" i="66"/>
  <c r="AE466" i="66"/>
  <c r="AF466" i="66"/>
  <c r="AG466" i="66"/>
  <c r="AH466" i="66"/>
  <c r="AI466" i="66"/>
  <c r="AJ466" i="66"/>
  <c r="AK466" i="66"/>
  <c r="AL466" i="66"/>
  <c r="AM466" i="66"/>
  <c r="AN466" i="66"/>
  <c r="AO466" i="66"/>
  <c r="AP466" i="66"/>
  <c r="AR466" i="66"/>
  <c r="AS466" i="66"/>
  <c r="AT466" i="66"/>
  <c r="AU466" i="66"/>
  <c r="AV466" i="66"/>
  <c r="AW466" i="66"/>
  <c r="AB467" i="66"/>
  <c r="AC467" i="66"/>
  <c r="AD467" i="66"/>
  <c r="AE467" i="66"/>
  <c r="AF467" i="66"/>
  <c r="AG467" i="66"/>
  <c r="AH467" i="66"/>
  <c r="AI467" i="66"/>
  <c r="AJ467" i="66"/>
  <c r="AK467" i="66"/>
  <c r="AL467" i="66"/>
  <c r="AM467" i="66"/>
  <c r="AN467" i="66"/>
  <c r="AO467" i="66"/>
  <c r="AP467" i="66"/>
  <c r="AR467" i="66"/>
  <c r="AS467" i="66"/>
  <c r="AT467" i="66"/>
  <c r="AU467" i="66"/>
  <c r="AV467" i="66"/>
  <c r="AW467" i="66"/>
  <c r="AB468" i="66"/>
  <c r="AC468" i="66"/>
  <c r="AD468" i="66"/>
  <c r="AE468" i="66"/>
  <c r="AF468" i="66"/>
  <c r="AG468" i="66"/>
  <c r="AH468" i="66"/>
  <c r="AI468" i="66"/>
  <c r="AJ468" i="66"/>
  <c r="AK468" i="66"/>
  <c r="AL468" i="66"/>
  <c r="AM468" i="66"/>
  <c r="AN468" i="66"/>
  <c r="AO468" i="66"/>
  <c r="AP468" i="66"/>
  <c r="AR468" i="66"/>
  <c r="AS468" i="66"/>
  <c r="AT468" i="66"/>
  <c r="AU468" i="66"/>
  <c r="AV468" i="66"/>
  <c r="AW468" i="66"/>
  <c r="AB469" i="66"/>
  <c r="AC469" i="66"/>
  <c r="AD469" i="66"/>
  <c r="AE469" i="66"/>
  <c r="AF469" i="66"/>
  <c r="AG469" i="66"/>
  <c r="AH469" i="66"/>
  <c r="AI469" i="66"/>
  <c r="AJ469" i="66"/>
  <c r="AK469" i="66"/>
  <c r="AL469" i="66"/>
  <c r="AM469" i="66"/>
  <c r="AN469" i="66"/>
  <c r="AO469" i="66"/>
  <c r="AP469" i="66"/>
  <c r="AR469" i="66"/>
  <c r="AS469" i="66"/>
  <c r="AT469" i="66"/>
  <c r="AU469" i="66"/>
  <c r="AV469" i="66"/>
  <c r="AW469" i="66"/>
  <c r="AB470" i="66"/>
  <c r="AC470" i="66"/>
  <c r="AD470" i="66"/>
  <c r="AE470" i="66"/>
  <c r="AF470" i="66"/>
  <c r="AG470" i="66"/>
  <c r="AH470" i="66"/>
  <c r="AI470" i="66"/>
  <c r="AJ470" i="66"/>
  <c r="AK470" i="66"/>
  <c r="AL470" i="66"/>
  <c r="AM470" i="66"/>
  <c r="AN470" i="66"/>
  <c r="AO470" i="66"/>
  <c r="AP470" i="66"/>
  <c r="AR470" i="66"/>
  <c r="AS470" i="66"/>
  <c r="AT470" i="66"/>
  <c r="AU470" i="66"/>
  <c r="AV470" i="66"/>
  <c r="AW470" i="66"/>
  <c r="AB471" i="66"/>
  <c r="AC471" i="66"/>
  <c r="AD471" i="66"/>
  <c r="AE471" i="66"/>
  <c r="AF471" i="66"/>
  <c r="AG471" i="66"/>
  <c r="AH471" i="66"/>
  <c r="AI471" i="66"/>
  <c r="AJ471" i="66"/>
  <c r="AK471" i="66"/>
  <c r="AL471" i="66"/>
  <c r="AM471" i="66"/>
  <c r="AN471" i="66"/>
  <c r="AO471" i="66"/>
  <c r="AP471" i="66"/>
  <c r="AR471" i="66"/>
  <c r="AS471" i="66"/>
  <c r="AT471" i="66"/>
  <c r="AU471" i="66"/>
  <c r="AV471" i="66"/>
  <c r="AW471" i="66"/>
  <c r="AB472" i="66"/>
  <c r="AC472" i="66"/>
  <c r="AD472" i="66"/>
  <c r="AE472" i="66"/>
  <c r="AF472" i="66"/>
  <c r="AG472" i="66"/>
  <c r="AH472" i="66"/>
  <c r="AI472" i="66"/>
  <c r="AJ472" i="66"/>
  <c r="AK472" i="66"/>
  <c r="AL472" i="66"/>
  <c r="AM472" i="66"/>
  <c r="AN472" i="66"/>
  <c r="AO472" i="66"/>
  <c r="AP472" i="66"/>
  <c r="AR472" i="66"/>
  <c r="AS472" i="66"/>
  <c r="AT472" i="66"/>
  <c r="AU472" i="66"/>
  <c r="AV472" i="66"/>
  <c r="AW472" i="66"/>
  <c r="AB473" i="66"/>
  <c r="AC473" i="66"/>
  <c r="AD473" i="66"/>
  <c r="AE473" i="66"/>
  <c r="AF473" i="66"/>
  <c r="AG473" i="66"/>
  <c r="AH473" i="66"/>
  <c r="AI473" i="66"/>
  <c r="AJ473" i="66"/>
  <c r="AK473" i="66"/>
  <c r="AL473" i="66"/>
  <c r="AM473" i="66"/>
  <c r="AN473" i="66"/>
  <c r="AO473" i="66"/>
  <c r="AP473" i="66"/>
  <c r="AR473" i="66"/>
  <c r="AS473" i="66"/>
  <c r="AT473" i="66"/>
  <c r="AU473" i="66"/>
  <c r="AV473" i="66"/>
  <c r="AW473" i="66"/>
  <c r="AB474" i="66"/>
  <c r="AC474" i="66"/>
  <c r="AD474" i="66"/>
  <c r="AE474" i="66"/>
  <c r="AF474" i="66"/>
  <c r="AG474" i="66"/>
  <c r="AH474" i="66"/>
  <c r="AI474" i="66"/>
  <c r="AJ474" i="66"/>
  <c r="AK474" i="66"/>
  <c r="AL474" i="66"/>
  <c r="AM474" i="66"/>
  <c r="AN474" i="66"/>
  <c r="AO474" i="66"/>
  <c r="AP474" i="66"/>
  <c r="AR474" i="66"/>
  <c r="AS474" i="66"/>
  <c r="AT474" i="66"/>
  <c r="AU474" i="66"/>
  <c r="AV474" i="66"/>
  <c r="AW474" i="66"/>
  <c r="AB475" i="66"/>
  <c r="AC475" i="66"/>
  <c r="AD475" i="66"/>
  <c r="AE475" i="66"/>
  <c r="AF475" i="66"/>
  <c r="AG475" i="66"/>
  <c r="AH475" i="66"/>
  <c r="AI475" i="66"/>
  <c r="AJ475" i="66"/>
  <c r="AK475" i="66"/>
  <c r="AL475" i="66"/>
  <c r="AM475" i="66"/>
  <c r="AN475" i="66"/>
  <c r="AO475" i="66"/>
  <c r="AP475" i="66"/>
  <c r="AR475" i="66"/>
  <c r="AS475" i="66"/>
  <c r="AT475" i="66"/>
  <c r="AU475" i="66"/>
  <c r="AV475" i="66"/>
  <c r="AW475" i="66"/>
  <c r="AB480" i="66"/>
  <c r="AC480" i="66"/>
  <c r="AD480" i="66"/>
  <c r="AE480" i="66"/>
  <c r="AF480" i="66"/>
  <c r="AG480" i="66"/>
  <c r="AH480" i="66"/>
  <c r="AI480" i="66"/>
  <c r="AJ480" i="66"/>
  <c r="AK480" i="66"/>
  <c r="AL480" i="66"/>
  <c r="AM480" i="66"/>
  <c r="AN480" i="66"/>
  <c r="AO480" i="66"/>
  <c r="AP480" i="66"/>
  <c r="AR480" i="66"/>
  <c r="AS480" i="66"/>
  <c r="AT480" i="66"/>
  <c r="AU480" i="66"/>
  <c r="AV480" i="66"/>
  <c r="AW480" i="66"/>
  <c r="AB481" i="66"/>
  <c r="AC481" i="66"/>
  <c r="AD481" i="66"/>
  <c r="AE481" i="66"/>
  <c r="AF481" i="66"/>
  <c r="AG481" i="66"/>
  <c r="AH481" i="66"/>
  <c r="AI481" i="66"/>
  <c r="AJ481" i="66"/>
  <c r="AK481" i="66"/>
  <c r="AL481" i="66"/>
  <c r="AM481" i="66"/>
  <c r="AN481" i="66"/>
  <c r="AO481" i="66"/>
  <c r="AP481" i="66"/>
  <c r="AR481" i="66"/>
  <c r="AS481" i="66"/>
  <c r="AT481" i="66"/>
  <c r="AU481" i="66"/>
  <c r="AV481" i="66"/>
  <c r="AW481" i="66"/>
  <c r="AB482" i="66"/>
  <c r="AC482" i="66"/>
  <c r="AD482" i="66"/>
  <c r="AE482" i="66"/>
  <c r="AF482" i="66"/>
  <c r="AG482" i="66"/>
  <c r="AH482" i="66"/>
  <c r="AI482" i="66"/>
  <c r="AJ482" i="66"/>
  <c r="AK482" i="66"/>
  <c r="AL482" i="66"/>
  <c r="AM482" i="66"/>
  <c r="AN482" i="66"/>
  <c r="AO482" i="66"/>
  <c r="AP482" i="66"/>
  <c r="AR482" i="66"/>
  <c r="AS482" i="66"/>
  <c r="AT482" i="66"/>
  <c r="AU482" i="66"/>
  <c r="AV482" i="66"/>
  <c r="AW482" i="66"/>
  <c r="AB483" i="66"/>
  <c r="AC483" i="66"/>
  <c r="AD483" i="66"/>
  <c r="AE483" i="66"/>
  <c r="AF483" i="66"/>
  <c r="AG483" i="66"/>
  <c r="AH483" i="66"/>
  <c r="AI483" i="66"/>
  <c r="AJ483" i="66"/>
  <c r="AK483" i="66"/>
  <c r="AL483" i="66"/>
  <c r="AM483" i="66"/>
  <c r="AN483" i="66"/>
  <c r="AO483" i="66"/>
  <c r="AP483" i="66"/>
  <c r="AR483" i="66"/>
  <c r="AS483" i="66"/>
  <c r="AT483" i="66"/>
  <c r="AU483" i="66"/>
  <c r="AV483" i="66"/>
  <c r="AW483" i="66"/>
  <c r="AB484" i="66"/>
  <c r="AC484" i="66"/>
  <c r="AD484" i="66"/>
  <c r="AE484" i="66"/>
  <c r="AF484" i="66"/>
  <c r="AG484" i="66"/>
  <c r="AH484" i="66"/>
  <c r="AI484" i="66"/>
  <c r="AJ484" i="66"/>
  <c r="AK484" i="66"/>
  <c r="AL484" i="66"/>
  <c r="AM484" i="66"/>
  <c r="AN484" i="66"/>
  <c r="AO484" i="66"/>
  <c r="AP484" i="66"/>
  <c r="AR484" i="66"/>
  <c r="AS484" i="66"/>
  <c r="AT484" i="66"/>
  <c r="AU484" i="66"/>
  <c r="AV484" i="66"/>
  <c r="AW484" i="66"/>
  <c r="AB485" i="66"/>
  <c r="AC485" i="66"/>
  <c r="AD485" i="66"/>
  <c r="AE485" i="66"/>
  <c r="AF485" i="66"/>
  <c r="AG485" i="66"/>
  <c r="AH485" i="66"/>
  <c r="AI485" i="66"/>
  <c r="AJ485" i="66"/>
  <c r="AK485" i="66"/>
  <c r="AL485" i="66"/>
  <c r="AM485" i="66"/>
  <c r="AN485" i="66"/>
  <c r="AO485" i="66"/>
  <c r="AP485" i="66"/>
  <c r="AR485" i="66"/>
  <c r="AS485" i="66"/>
  <c r="AT485" i="66"/>
  <c r="AU485" i="66"/>
  <c r="AV485" i="66"/>
  <c r="AW485" i="66"/>
  <c r="AB486" i="66"/>
  <c r="AC486" i="66"/>
  <c r="AD486" i="66"/>
  <c r="AE486" i="66"/>
  <c r="AF486" i="66"/>
  <c r="AG486" i="66"/>
  <c r="AH486" i="66"/>
  <c r="AI486" i="66"/>
  <c r="AJ486" i="66"/>
  <c r="AK486" i="66"/>
  <c r="AL486" i="66"/>
  <c r="AM486" i="66"/>
  <c r="AN486" i="66"/>
  <c r="AO486" i="66"/>
  <c r="AP486" i="66"/>
  <c r="AR486" i="66"/>
  <c r="AS486" i="66"/>
  <c r="AT486" i="66"/>
  <c r="AU486" i="66"/>
  <c r="AV486" i="66"/>
  <c r="AW486" i="66"/>
  <c r="AB487" i="66"/>
  <c r="AC487" i="66"/>
  <c r="AD487" i="66"/>
  <c r="AE487" i="66"/>
  <c r="AF487" i="66"/>
  <c r="AG487" i="66"/>
  <c r="AH487" i="66"/>
  <c r="AI487" i="66"/>
  <c r="AJ487" i="66"/>
  <c r="AK487" i="66"/>
  <c r="AL487" i="66"/>
  <c r="AM487" i="66"/>
  <c r="AN487" i="66"/>
  <c r="AO487" i="66"/>
  <c r="AP487" i="66"/>
  <c r="AR487" i="66"/>
  <c r="AS487" i="66"/>
  <c r="AT487" i="66"/>
  <c r="AU487" i="66"/>
  <c r="AV487" i="66"/>
  <c r="AW487" i="66"/>
  <c r="AB488" i="66"/>
  <c r="AC488" i="66"/>
  <c r="AD488" i="66"/>
  <c r="AE488" i="66"/>
  <c r="AF488" i="66"/>
  <c r="AG488" i="66"/>
  <c r="AH488" i="66"/>
  <c r="AI488" i="66"/>
  <c r="AJ488" i="66"/>
  <c r="AK488" i="66"/>
  <c r="AL488" i="66"/>
  <c r="AM488" i="66"/>
  <c r="AN488" i="66"/>
  <c r="AO488" i="66"/>
  <c r="AP488" i="66"/>
  <c r="AR488" i="66"/>
  <c r="AS488" i="66"/>
  <c r="AT488" i="66"/>
  <c r="AU488" i="66"/>
  <c r="AV488" i="66"/>
  <c r="AW488" i="66"/>
  <c r="AB489" i="66"/>
  <c r="AC489" i="66"/>
  <c r="AD489" i="66"/>
  <c r="AE489" i="66"/>
  <c r="AF489" i="66"/>
  <c r="AG489" i="66"/>
  <c r="AH489" i="66"/>
  <c r="AI489" i="66"/>
  <c r="AJ489" i="66"/>
  <c r="AK489" i="66"/>
  <c r="AL489" i="66"/>
  <c r="AM489" i="66"/>
  <c r="AN489" i="66"/>
  <c r="AO489" i="66"/>
  <c r="AP489" i="66"/>
  <c r="AR489" i="66"/>
  <c r="AS489" i="66"/>
  <c r="AT489" i="66"/>
  <c r="AU489" i="66"/>
  <c r="AV489" i="66"/>
  <c r="AW489" i="66"/>
  <c r="AB490" i="66"/>
  <c r="AC490" i="66"/>
  <c r="AD490" i="66"/>
  <c r="AE490" i="66"/>
  <c r="AF490" i="66"/>
  <c r="AG490" i="66"/>
  <c r="AH490" i="66"/>
  <c r="AI490" i="66"/>
  <c r="AJ490" i="66"/>
  <c r="AK490" i="66"/>
  <c r="AL490" i="66"/>
  <c r="AM490" i="66"/>
  <c r="AN490" i="66"/>
  <c r="AO490" i="66"/>
  <c r="AP490" i="66"/>
  <c r="AR490" i="66"/>
  <c r="AS490" i="66"/>
  <c r="AT490" i="66"/>
  <c r="AU490" i="66"/>
  <c r="AV490" i="66"/>
  <c r="AW490" i="66"/>
  <c r="AW476" i="66" l="1"/>
  <c r="AO461" i="66"/>
  <c r="AR431" i="66"/>
  <c r="AI431" i="66"/>
  <c r="AJ491" i="66"/>
  <c r="AD491" i="66"/>
  <c r="AP446" i="66"/>
  <c r="AH446" i="66"/>
  <c r="AG461" i="66"/>
  <c r="AN476" i="66"/>
  <c r="AF476" i="66"/>
  <c r="AS491" i="66"/>
  <c r="AB491" i="66"/>
  <c r="AR491" i="66"/>
  <c r="AI491" i="66"/>
  <c r="AW446" i="66"/>
  <c r="AN446" i="66"/>
  <c r="AF446" i="66"/>
  <c r="AV446" i="66"/>
  <c r="AM446" i="66"/>
  <c r="AE446" i="66"/>
  <c r="AS446" i="66"/>
  <c r="AJ446" i="66"/>
  <c r="AB446" i="66"/>
  <c r="AO446" i="66"/>
  <c r="AG446" i="66"/>
  <c r="AU446" i="66"/>
  <c r="AL446" i="66"/>
  <c r="AD446" i="66"/>
  <c r="AP491" i="66"/>
  <c r="AE491" i="66"/>
  <c r="AL491" i="66"/>
  <c r="AO476" i="66"/>
  <c r="AG476" i="66"/>
  <c r="AJ461" i="66"/>
  <c r="AT491" i="66"/>
  <c r="AH491" i="66"/>
  <c r="AU491" i="66"/>
  <c r="AT446" i="66"/>
  <c r="AK446" i="66"/>
  <c r="AC446" i="66"/>
  <c r="AS461" i="66"/>
  <c r="AC431" i="66"/>
  <c r="AC491" i="66"/>
  <c r="AV491" i="66"/>
  <c r="AO491" i="66"/>
  <c r="AW491" i="66"/>
  <c r="AN491" i="66"/>
  <c r="AF491" i="66"/>
  <c r="AV461" i="66"/>
  <c r="AM461" i="66"/>
  <c r="AE461" i="66"/>
  <c r="AU461" i="66"/>
  <c r="AL461" i="66"/>
  <c r="AD461" i="66"/>
  <c r="AR461" i="66"/>
  <c r="AI461" i="66"/>
  <c r="AW461" i="66"/>
  <c r="AN461" i="66"/>
  <c r="AF461" i="66"/>
  <c r="AT461" i="66"/>
  <c r="AK461" i="66"/>
  <c r="AC461" i="66"/>
  <c r="AR446" i="66"/>
  <c r="AI446" i="66"/>
  <c r="AK491" i="66"/>
  <c r="AM491" i="66"/>
  <c r="AG491" i="66"/>
  <c r="AB461" i="66"/>
  <c r="AR476" i="66"/>
  <c r="AI476" i="66"/>
  <c r="AW431" i="66"/>
  <c r="AN431" i="66"/>
  <c r="AF431" i="66"/>
  <c r="AT431" i="66"/>
  <c r="AK431" i="66"/>
  <c r="AP431" i="66"/>
  <c r="AH431" i="66"/>
  <c r="AV431" i="66"/>
  <c r="AM431" i="66"/>
  <c r="AE431" i="66"/>
  <c r="AS431" i="66"/>
  <c r="AJ431" i="66"/>
  <c r="AB431" i="66"/>
  <c r="AO431" i="66"/>
  <c r="AG431" i="66"/>
  <c r="AU431" i="66"/>
  <c r="AL431" i="66"/>
  <c r="AD431" i="66"/>
  <c r="AU476" i="66"/>
  <c r="AL476" i="66"/>
  <c r="AD476" i="66"/>
  <c r="AT476" i="66"/>
  <c r="AK476" i="66"/>
  <c r="AC476" i="66"/>
  <c r="AP476" i="66"/>
  <c r="AH476" i="66"/>
  <c r="AV476" i="66"/>
  <c r="AM476" i="66"/>
  <c r="AE476" i="66"/>
  <c r="AS476" i="66"/>
  <c r="AJ476" i="66"/>
  <c r="AB476" i="66"/>
  <c r="AP461" i="66"/>
  <c r="AH461" i="66"/>
  <c r="CB411" i="66"/>
  <c r="BP409" i="66"/>
  <c r="AJ409" i="66"/>
  <c r="CB405" i="66"/>
  <c r="CA405" i="66"/>
  <c r="CA407" i="66" s="1"/>
  <c r="CA411" i="66" s="1"/>
  <c r="BZ405" i="66"/>
  <c r="BZ407" i="66" s="1"/>
  <c r="BZ411" i="66" s="1"/>
  <c r="BY405" i="66"/>
  <c r="BY407" i="66" s="1"/>
  <c r="BY411" i="66" s="1"/>
  <c r="BX405" i="66"/>
  <c r="BX407" i="66" s="1"/>
  <c r="BX411" i="66" s="1"/>
  <c r="BW405" i="66"/>
  <c r="BW407" i="66" s="1"/>
  <c r="BW411" i="66" s="1"/>
  <c r="BV405" i="66"/>
  <c r="BV407" i="66" s="1"/>
  <c r="BV411" i="66" s="1"/>
  <c r="BU405" i="66"/>
  <c r="BU407" i="66" s="1"/>
  <c r="BU411" i="66" s="1"/>
  <c r="BT405" i="66"/>
  <c r="BT407" i="66" s="1"/>
  <c r="BT411" i="66" s="1"/>
  <c r="BS405" i="66"/>
  <c r="BR405" i="66"/>
  <c r="BR407" i="66" s="1"/>
  <c r="BR411" i="66" s="1"/>
  <c r="BQ405" i="66"/>
  <c r="BQ407" i="66" s="1"/>
  <c r="BQ411" i="66" s="1"/>
  <c r="BP405" i="66"/>
  <c r="BO405" i="66"/>
  <c r="BO407" i="66" s="1"/>
  <c r="BO411" i="66" s="1"/>
  <c r="BN405" i="66"/>
  <c r="BN407" i="66" s="1"/>
  <c r="BN411" i="66" s="1"/>
  <c r="BL405" i="66"/>
  <c r="BL407" i="66" s="1"/>
  <c r="BL411" i="66" s="1"/>
  <c r="BK405" i="66"/>
  <c r="BK407" i="66" s="1"/>
  <c r="BK411" i="66" s="1"/>
  <c r="BJ405" i="66"/>
  <c r="BJ407" i="66" s="1"/>
  <c r="BJ411" i="66" s="1"/>
  <c r="BI405" i="66"/>
  <c r="BI407" i="66" s="1"/>
  <c r="BI411" i="66" s="1"/>
  <c r="BH405" i="66"/>
  <c r="BH407" i="66" s="1"/>
  <c r="BH411" i="66" s="1"/>
  <c r="BG405" i="66"/>
  <c r="BG407" i="66" s="1"/>
  <c r="BG411" i="66" s="1"/>
  <c r="BF405" i="66"/>
  <c r="BF407" i="66" s="1"/>
  <c r="BF411" i="66" s="1"/>
  <c r="BE405" i="66"/>
  <c r="BE407" i="66" s="1"/>
  <c r="BE411" i="66" s="1"/>
  <c r="BD405" i="66"/>
  <c r="BD407" i="66" s="1"/>
  <c r="BD411" i="66" s="1"/>
  <c r="BC405" i="66"/>
  <c r="BC407" i="66" s="1"/>
  <c r="BC411" i="66" s="1"/>
  <c r="BB405" i="66"/>
  <c r="BB407" i="66" s="1"/>
  <c r="BB411" i="66" s="1"/>
  <c r="BA405" i="66"/>
  <c r="BA407" i="66" s="1"/>
  <c r="BA411" i="66" s="1"/>
  <c r="AZ405" i="66"/>
  <c r="AZ407" i="66" s="1"/>
  <c r="AZ411" i="66" s="1"/>
  <c r="AY405" i="66"/>
  <c r="AY407" i="66" s="1"/>
  <c r="AY411" i="66" s="1"/>
  <c r="AX405" i="66"/>
  <c r="AX407" i="66" s="1"/>
  <c r="AX411" i="66" s="1"/>
  <c r="AV405" i="66"/>
  <c r="AV407" i="66" s="1"/>
  <c r="AV411" i="66" s="1"/>
  <c r="AT405" i="66"/>
  <c r="AS405" i="66"/>
  <c r="AS407" i="66" s="1"/>
  <c r="AS411" i="66" s="1"/>
  <c r="AJ405" i="66"/>
  <c r="AJ407" i="66" s="1"/>
  <c r="AI405" i="66"/>
  <c r="AI407" i="66" s="1"/>
  <c r="AI411" i="66" s="1"/>
  <c r="AH405" i="66"/>
  <c r="AH407" i="66" s="1"/>
  <c r="AH411" i="66" s="1"/>
  <c r="AG405" i="66"/>
  <c r="AG407" i="66" s="1"/>
  <c r="AG411" i="66" s="1"/>
  <c r="AF405" i="66"/>
  <c r="AA405" i="66"/>
  <c r="AA407" i="66" s="1"/>
  <c r="AA411" i="66" s="1"/>
  <c r="Z405" i="66"/>
  <c r="Z407" i="66" s="1"/>
  <c r="Z411" i="66" s="1"/>
  <c r="Y405" i="66"/>
  <c r="Y407" i="66" s="1"/>
  <c r="Y411" i="66" s="1"/>
  <c r="X405" i="66"/>
  <c r="X407" i="66" s="1"/>
  <c r="X411" i="66" s="1"/>
  <c r="W405" i="66"/>
  <c r="W407" i="66" s="1"/>
  <c r="W411" i="66" s="1"/>
  <c r="V405" i="66"/>
  <c r="V407" i="66" s="1"/>
  <c r="V411" i="66" s="1"/>
  <c r="U405" i="66"/>
  <c r="U407" i="66" s="1"/>
  <c r="U411" i="66" s="1"/>
  <c r="T405" i="66"/>
  <c r="S405" i="66"/>
  <c r="S407" i="66" s="1"/>
  <c r="S411" i="66" s="1"/>
  <c r="R405" i="66"/>
  <c r="R407" i="66" s="1"/>
  <c r="R411" i="66" s="1"/>
  <c r="Q405" i="66"/>
  <c r="Q407" i="66" s="1"/>
  <c r="Q411" i="66" s="1"/>
  <c r="P405" i="66"/>
  <c r="P407" i="66" s="1"/>
  <c r="P411" i="66" s="1"/>
  <c r="O405" i="66"/>
  <c r="O407" i="66" s="1"/>
  <c r="O411" i="66" s="1"/>
  <c r="M405" i="66"/>
  <c r="M407" i="66" s="1"/>
  <c r="M411" i="66" s="1"/>
  <c r="L405" i="66"/>
  <c r="L407" i="66" s="1"/>
  <c r="L411" i="66" s="1"/>
  <c r="K405" i="66"/>
  <c r="K407" i="66" s="1"/>
  <c r="K411" i="66" s="1"/>
  <c r="J405" i="66"/>
  <c r="J407" i="66" s="1"/>
  <c r="J411" i="66" s="1"/>
  <c r="I405" i="66"/>
  <c r="I407" i="66" s="1"/>
  <c r="I411" i="66" s="1"/>
  <c r="H405" i="66"/>
  <c r="H407" i="66" s="1"/>
  <c r="H411" i="66" s="1"/>
  <c r="G405" i="66"/>
  <c r="G407" i="66" s="1"/>
  <c r="G411" i="66" s="1"/>
  <c r="F405" i="66"/>
  <c r="F407" i="66" s="1"/>
  <c r="F411" i="66" s="1"/>
  <c r="E405" i="66"/>
  <c r="E407" i="66" s="1"/>
  <c r="E411" i="66" s="1"/>
  <c r="D405" i="66"/>
  <c r="D407" i="66" s="1"/>
  <c r="D411" i="66" s="1"/>
  <c r="C405" i="66"/>
  <c r="C407" i="66" s="1"/>
  <c r="C411" i="66" s="1"/>
  <c r="BM405" i="66"/>
  <c r="BM407" i="66" s="1"/>
  <c r="BM411" i="66" s="1"/>
  <c r="AW405" i="66"/>
  <c r="AW407" i="66" s="1"/>
  <c r="AW411" i="66" s="1"/>
  <c r="AU405" i="66"/>
  <c r="AU407" i="66" s="1"/>
  <c r="AU411" i="66" s="1"/>
  <c r="AR405" i="66"/>
  <c r="AR407" i="66" s="1"/>
  <c r="AR411" i="66" s="1"/>
  <c r="AO405" i="66"/>
  <c r="AO407" i="66" s="1"/>
  <c r="AO411" i="66" s="1"/>
  <c r="AN405" i="66"/>
  <c r="AN407" i="66" s="1"/>
  <c r="AN411" i="66" s="1"/>
  <c r="AM405" i="66"/>
  <c r="AM407" i="66" s="1"/>
  <c r="AM411" i="66" s="1"/>
  <c r="AD405" i="66"/>
  <c r="AD407" i="66" s="1"/>
  <c r="AD411" i="66" s="1"/>
  <c r="AC405" i="66"/>
  <c r="AC407" i="66" s="1"/>
  <c r="AC411" i="66" s="1"/>
  <c r="AB405" i="66"/>
  <c r="AB407" i="66" s="1"/>
  <c r="AB411" i="66" s="1"/>
  <c r="N405" i="66"/>
  <c r="AL405" i="66"/>
  <c r="AL407" i="66" s="1"/>
  <c r="AL411" i="66" s="1"/>
  <c r="AK405" i="66"/>
  <c r="AE405" i="66"/>
  <c r="AE407" i="66" s="1"/>
  <c r="AE411" i="66" s="1"/>
  <c r="BS407" i="66"/>
  <c r="BS411" i="66" s="1"/>
  <c r="B409" i="66" l="1"/>
  <c r="AJ411" i="66"/>
  <c r="AW493" i="66"/>
  <c r="AW497" i="66" s="1"/>
  <c r="T407" i="66"/>
  <c r="T411" i="66" s="1"/>
  <c r="AI493" i="66"/>
  <c r="AI497" i="66" s="1"/>
  <c r="AO493" i="66"/>
  <c r="AO497" i="66" s="1"/>
  <c r="AN493" i="66"/>
  <c r="AN497" i="66" s="1"/>
  <c r="AR493" i="66"/>
  <c r="AR497" i="66" s="1"/>
  <c r="AK493" i="66"/>
  <c r="AK497" i="66" s="1"/>
  <c r="AP493" i="66"/>
  <c r="AP497" i="66" s="1"/>
  <c r="AU493" i="66"/>
  <c r="AU497" i="66" s="1"/>
  <c r="AL493" i="66"/>
  <c r="AL497" i="66" s="1"/>
  <c r="AC493" i="66"/>
  <c r="AC497" i="66" s="1"/>
  <c r="AJ493" i="66"/>
  <c r="AJ497" i="66" s="1"/>
  <c r="AD493" i="66"/>
  <c r="AD497" i="66" s="1"/>
  <c r="AT493" i="66"/>
  <c r="AT497" i="66" s="1"/>
  <c r="AS493" i="66"/>
  <c r="AS497" i="66" s="1"/>
  <c r="AF493" i="66"/>
  <c r="AF497" i="66" s="1"/>
  <c r="AB493" i="66"/>
  <c r="AB497" i="66" s="1"/>
  <c r="AE493" i="66"/>
  <c r="AE497" i="66" s="1"/>
  <c r="AM493" i="66"/>
  <c r="AM497" i="66" s="1"/>
  <c r="AV493" i="66"/>
  <c r="AV497" i="66" s="1"/>
  <c r="AG493" i="66"/>
  <c r="AG497" i="66" s="1"/>
  <c r="AH493" i="66"/>
  <c r="AH497" i="66" s="1"/>
  <c r="AF407" i="66"/>
  <c r="AF411" i="66" s="1"/>
  <c r="AT407" i="66"/>
  <c r="AT411" i="66" s="1"/>
  <c r="N407" i="66"/>
  <c r="N411" i="66" s="1"/>
  <c r="BP407" i="66"/>
  <c r="BP411" i="66" s="1"/>
  <c r="AK407" i="66"/>
  <c r="AK411" i="66" s="1"/>
  <c r="B405" i="66"/>
  <c r="B407" i="66" l="1"/>
  <c r="B411" i="66" s="1"/>
  <c r="N48" i="72" l="1"/>
  <c r="BK79" i="66" l="1"/>
  <c r="BK81" i="66" s="1"/>
  <c r="BK95" i="66" s="1"/>
  <c r="D63" i="71" l="1"/>
  <c r="C38" i="72"/>
  <c r="O40" i="50"/>
  <c r="Q40" i="50"/>
  <c r="M73" i="52"/>
  <c r="M72" i="52"/>
  <c r="M71" i="52"/>
  <c r="M70" i="52"/>
  <c r="M69" i="52"/>
  <c r="M68" i="52"/>
  <c r="M67" i="52"/>
  <c r="M66" i="52"/>
  <c r="M65" i="52"/>
  <c r="M64" i="52"/>
  <c r="M56" i="52"/>
  <c r="M55" i="52"/>
  <c r="M53" i="52"/>
  <c r="M52" i="52"/>
  <c r="M50" i="52"/>
  <c r="M27" i="52"/>
  <c r="M26" i="52"/>
  <c r="M25" i="52"/>
  <c r="M24" i="52"/>
  <c r="M23" i="52"/>
  <c r="M22" i="52"/>
  <c r="M21" i="52"/>
  <c r="S73" i="27"/>
  <c r="S72" i="27"/>
  <c r="S71" i="27"/>
  <c r="S70" i="27"/>
  <c r="S69" i="27"/>
  <c r="S68" i="27"/>
  <c r="S67" i="27"/>
  <c r="S66" i="27"/>
  <c r="S65" i="27"/>
  <c r="S64" i="27"/>
  <c r="S56" i="27"/>
  <c r="S55" i="27"/>
  <c r="S54" i="27"/>
  <c r="S53" i="27"/>
  <c r="S52" i="27"/>
  <c r="S51" i="27"/>
  <c r="S50" i="27"/>
  <c r="S26" i="27"/>
  <c r="S14" i="27"/>
  <c r="S52" i="29"/>
  <c r="S37" i="29"/>
  <c r="I27" i="72" l="1"/>
  <c r="I29" i="72" s="1"/>
  <c r="BR105" i="68"/>
  <c r="B16" i="68"/>
  <c r="CA42" i="68" l="1"/>
  <c r="CA100" i="68" l="1"/>
  <c r="BZ34" i="66"/>
  <c r="BZ19" i="66"/>
  <c r="AF75" i="64" l="1"/>
  <c r="L75" i="64"/>
  <c r="F75" i="64"/>
  <c r="CB114" i="68" l="1"/>
  <c r="BZ114" i="68"/>
  <c r="BY114" i="68"/>
  <c r="BY36" i="70" s="1"/>
  <c r="BW114" i="68"/>
  <c r="BW36" i="70" s="1"/>
  <c r="BV114" i="68"/>
  <c r="BV36" i="70" s="1"/>
  <c r="BU114" i="68"/>
  <c r="BU36" i="70" s="1"/>
  <c r="BT114" i="68"/>
  <c r="BT36" i="70" s="1"/>
  <c r="BS114" i="68"/>
  <c r="BR114" i="68"/>
  <c r="BR120" i="68" s="1"/>
  <c r="BQ114" i="68"/>
  <c r="BP114" i="68"/>
  <c r="BO114" i="68"/>
  <c r="BN114" i="68"/>
  <c r="BM114" i="68"/>
  <c r="BL114" i="68"/>
  <c r="BL120" i="68" s="1"/>
  <c r="BK114" i="68"/>
  <c r="BK120" i="68" s="1"/>
  <c r="BJ114" i="68"/>
  <c r="BI114" i="68"/>
  <c r="BH114" i="68"/>
  <c r="BG114" i="68"/>
  <c r="BF114" i="68"/>
  <c r="BF120" i="68" s="1"/>
  <c r="BE114" i="68"/>
  <c r="BD114" i="68"/>
  <c r="BC114" i="68"/>
  <c r="BB114" i="68"/>
  <c r="BA114" i="68"/>
  <c r="AZ114" i="68"/>
  <c r="AY114" i="68"/>
  <c r="AX114" i="68"/>
  <c r="AI114" i="68"/>
  <c r="AH114" i="68"/>
  <c r="AG114" i="68"/>
  <c r="X114" i="68"/>
  <c r="X120" i="68" s="1"/>
  <c r="W114" i="68"/>
  <c r="W120" i="68" s="1"/>
  <c r="V114" i="68"/>
  <c r="U114" i="68"/>
  <c r="U120" i="68" s="1"/>
  <c r="T114" i="68"/>
  <c r="T120" i="68" s="1"/>
  <c r="S114" i="68"/>
  <c r="R114" i="68"/>
  <c r="Q114" i="68"/>
  <c r="Q120" i="68" s="1"/>
  <c r="P114" i="68"/>
  <c r="P120" i="68" s="1"/>
  <c r="O114" i="68"/>
  <c r="O120" i="68" s="1"/>
  <c r="N114" i="68"/>
  <c r="N120" i="68" s="1"/>
  <c r="M114" i="68"/>
  <c r="L114" i="68"/>
  <c r="K114" i="68"/>
  <c r="K120" i="68" s="1"/>
  <c r="J114" i="68"/>
  <c r="I114" i="68"/>
  <c r="H114" i="68"/>
  <c r="G114" i="68"/>
  <c r="F114" i="68"/>
  <c r="E114" i="68"/>
  <c r="E120" i="68" s="1"/>
  <c r="D114" i="68"/>
  <c r="D120" i="68" s="1"/>
  <c r="C114" i="68"/>
  <c r="AX100" i="68"/>
  <c r="CB42" i="68"/>
  <c r="BZ42" i="68"/>
  <c r="BP42" i="68"/>
  <c r="BO42" i="68"/>
  <c r="BN42" i="68"/>
  <c r="BM42" i="68"/>
  <c r="BI42" i="68"/>
  <c r="BG42" i="68"/>
  <c r="BE42" i="68"/>
  <c r="AX42" i="68"/>
  <c r="Z42" i="68"/>
  <c r="Y42" i="68"/>
  <c r="M42" i="68"/>
  <c r="L42" i="68"/>
  <c r="J42" i="68"/>
  <c r="CB25" i="68"/>
  <c r="CA25" i="68"/>
  <c r="CA43" i="68" s="1"/>
  <c r="CA105" i="68" s="1"/>
  <c r="BZ25" i="68"/>
  <c r="BO25" i="68"/>
  <c r="BN25" i="68"/>
  <c r="BI25" i="68"/>
  <c r="BG25" i="68"/>
  <c r="BE25" i="68"/>
  <c r="AX25" i="68"/>
  <c r="Z25" i="68"/>
  <c r="Y25" i="68"/>
  <c r="M25" i="68"/>
  <c r="L25" i="68"/>
  <c r="J25" i="68"/>
  <c r="B51" i="68"/>
  <c r="B52" i="68"/>
  <c r="B53" i="68"/>
  <c r="B54" i="68"/>
  <c r="B55" i="68"/>
  <c r="B57" i="68"/>
  <c r="B58" i="68"/>
  <c r="B59" i="68"/>
  <c r="C66" i="31" s="1"/>
  <c r="B60" i="68"/>
  <c r="B61" i="68"/>
  <c r="B4" i="68"/>
  <c r="B46" i="68"/>
  <c r="B50" i="68"/>
  <c r="B98" i="68"/>
  <c r="B99" i="68" s="1"/>
  <c r="H120" i="68" l="1"/>
  <c r="I120" i="68"/>
  <c r="G120" i="68"/>
  <c r="F120" i="68"/>
  <c r="AI120" i="68"/>
  <c r="AG120" i="68"/>
  <c r="AH120" i="68"/>
  <c r="BM100" i="68"/>
  <c r="CA114" i="68"/>
  <c r="CA120" i="68" s="1"/>
  <c r="BE43" i="68"/>
  <c r="BO43" i="68"/>
  <c r="BE100" i="68"/>
  <c r="M100" i="68"/>
  <c r="Z100" i="68"/>
  <c r="BU120" i="68"/>
  <c r="J43" i="68"/>
  <c r="Y43" i="68"/>
  <c r="AX43" i="68"/>
  <c r="AX120" i="68" s="1"/>
  <c r="BY120" i="68"/>
  <c r="BG100" i="68"/>
  <c r="Z43" i="68"/>
  <c r="BG43" i="68"/>
  <c r="BZ43" i="68"/>
  <c r="BZ120" i="68" s="1"/>
  <c r="BS100" i="68"/>
  <c r="L43" i="68"/>
  <c r="BH120" i="68"/>
  <c r="CB43" i="68"/>
  <c r="CB120" i="68" s="1"/>
  <c r="BI100" i="68"/>
  <c r="M43" i="68"/>
  <c r="BI43" i="68"/>
  <c r="J100" i="68"/>
  <c r="BC120" i="68"/>
  <c r="BV120" i="68"/>
  <c r="BN100" i="68"/>
  <c r="BW120" i="68"/>
  <c r="BN43" i="68"/>
  <c r="L100" i="68"/>
  <c r="Y100" i="68"/>
  <c r="BO100" i="68"/>
  <c r="R100" i="68"/>
  <c r="R120" i="68" s="1"/>
  <c r="S100" i="68"/>
  <c r="S120" i="68" s="1"/>
  <c r="J120" i="68" l="1"/>
  <c r="BO120" i="68"/>
  <c r="BN120" i="68"/>
  <c r="L120" i="68"/>
  <c r="BA120" i="68"/>
  <c r="BQ120" i="68"/>
  <c r="M120" i="68"/>
  <c r="BS120" i="68"/>
  <c r="BT120" i="68"/>
  <c r="AZ120" i="68"/>
  <c r="AY120" i="68"/>
  <c r="BD120" i="68"/>
  <c r="BE120" i="68"/>
  <c r="BB120" i="68"/>
  <c r="BI120" i="68"/>
  <c r="BG120" i="68"/>
  <c r="V120" i="68"/>
  <c r="AV114" i="68" l="1"/>
  <c r="AR114" i="68"/>
  <c r="AR120" i="68" l="1"/>
  <c r="AV120" i="68"/>
  <c r="AF114" i="68"/>
  <c r="AD114" i="68"/>
  <c r="AD120" i="68" s="1"/>
  <c r="AE114" i="68"/>
  <c r="AT114" i="68"/>
  <c r="AC114" i="68"/>
  <c r="AN114" i="68"/>
  <c r="AL114" i="68"/>
  <c r="AL120" i="68" s="1"/>
  <c r="AU114" i="68"/>
  <c r="AJ114" i="68"/>
  <c r="AK114" i="68"/>
  <c r="AO114" i="68"/>
  <c r="AB114" i="68"/>
  <c r="AS114" i="68"/>
  <c r="AP114" i="68"/>
  <c r="AM114" i="68"/>
  <c r="AW114" i="68"/>
  <c r="AW120" i="68" s="1"/>
  <c r="AM120" i="68" l="1"/>
  <c r="AO120" i="68"/>
  <c r="AC120" i="68"/>
  <c r="AS120" i="68"/>
  <c r="AK120" i="68"/>
  <c r="AJ120" i="68"/>
  <c r="AU120" i="68"/>
  <c r="AN120" i="68"/>
  <c r="AE120" i="68"/>
  <c r="AF120" i="68"/>
  <c r="AB120" i="68"/>
  <c r="AT120" i="68"/>
  <c r="AP120" i="68"/>
  <c r="CF79" i="68"/>
  <c r="CF94" i="68"/>
  <c r="N67" i="20" l="1"/>
  <c r="M148" i="12" l="1"/>
  <c r="BZ110" i="66" l="1"/>
  <c r="H161" i="66" s="1"/>
  <c r="BZ111" i="66"/>
  <c r="D161" i="66" s="1"/>
  <c r="BZ112" i="66"/>
  <c r="F161" i="66" s="1"/>
  <c r="BZ113" i="66"/>
  <c r="G161" i="66" s="1"/>
  <c r="BZ109" i="66"/>
  <c r="C161" i="66" s="1"/>
  <c r="BC47" i="69" l="1"/>
  <c r="BB47" i="69"/>
  <c r="BA47" i="69"/>
  <c r="AZ47" i="69"/>
  <c r="AY47" i="69"/>
  <c r="BC50" i="69" l="1"/>
  <c r="AY50" i="69"/>
  <c r="BA50" i="69"/>
  <c r="BB50" i="69"/>
  <c r="AZ50" i="69"/>
  <c r="AZ65" i="69" s="1"/>
  <c r="D39" i="22" l="1"/>
  <c r="E39" i="22"/>
  <c r="P71" i="8" l="1"/>
  <c r="P64" i="8"/>
  <c r="Q71" i="8"/>
  <c r="Q64" i="8"/>
  <c r="P85" i="8"/>
  <c r="P78" i="8"/>
  <c r="Q85" i="8"/>
  <c r="Q78" i="8"/>
  <c r="L38" i="9"/>
  <c r="O100" i="9"/>
  <c r="O95" i="9"/>
  <c r="L43" i="9"/>
  <c r="C45" i="22" s="1"/>
  <c r="O108" i="9" l="1"/>
  <c r="O114" i="9" s="1"/>
  <c r="Q73" i="8"/>
  <c r="P73" i="8"/>
  <c r="C40" i="22"/>
  <c r="P87" i="8"/>
  <c r="Q87" i="8"/>
  <c r="Q89" i="8" s="1"/>
  <c r="Q93" i="8" s="1"/>
  <c r="C69" i="27"/>
  <c r="E69" i="27"/>
  <c r="G69" i="27"/>
  <c r="K69" i="27"/>
  <c r="Q69" i="27"/>
  <c r="C68" i="42"/>
  <c r="E68" i="42"/>
  <c r="G68" i="42"/>
  <c r="I68" i="42"/>
  <c r="K68" i="42"/>
  <c r="I69" i="18"/>
  <c r="K69" i="18"/>
  <c r="U69" i="18"/>
  <c r="W69" i="18"/>
  <c r="Y69" i="18"/>
  <c r="AC69" i="18"/>
  <c r="AE69" i="18"/>
  <c r="AG69" i="18"/>
  <c r="E70" i="50"/>
  <c r="G70" i="50"/>
  <c r="I70" i="50"/>
  <c r="K70" i="50"/>
  <c r="M70" i="50"/>
  <c r="O70" i="50"/>
  <c r="Q70" i="50"/>
  <c r="S70" i="50"/>
  <c r="U70" i="50"/>
  <c r="W70" i="50"/>
  <c r="Y70" i="50"/>
  <c r="AC70" i="50"/>
  <c r="AE70" i="50"/>
  <c r="I69" i="52"/>
  <c r="K69" i="52"/>
  <c r="O69" i="52"/>
  <c r="E69" i="63"/>
  <c r="G69" i="63"/>
  <c r="I69" i="63"/>
  <c r="K69" i="63"/>
  <c r="M69" i="63"/>
  <c r="O69" i="63"/>
  <c r="Q69" i="63"/>
  <c r="U69" i="63"/>
  <c r="G69" i="44"/>
  <c r="I69" i="44"/>
  <c r="K69" i="44"/>
  <c r="M69" i="44"/>
  <c r="C68" i="13"/>
  <c r="G68" i="13"/>
  <c r="I68" i="13"/>
  <c r="K68" i="13"/>
  <c r="M68" i="13"/>
  <c r="E68" i="28"/>
  <c r="P89" i="8" l="1"/>
  <c r="P93" i="8" s="1"/>
  <c r="O68" i="13"/>
  <c r="G68" i="40" s="1"/>
  <c r="O69" i="44"/>
  <c r="G67" i="48" s="1"/>
  <c r="Q69" i="52"/>
  <c r="C67" i="48" s="1"/>
  <c r="M68" i="42"/>
  <c r="C68" i="46" s="1"/>
  <c r="AG70" i="50"/>
  <c r="G68" i="46" s="1"/>
  <c r="W69" i="63"/>
  <c r="E67" i="48" s="1"/>
  <c r="AI69" i="18"/>
  <c r="E68" i="46" s="1"/>
  <c r="Q99" i="8"/>
  <c r="K156" i="25"/>
  <c r="K119" i="55"/>
  <c r="K120" i="55"/>
  <c r="G120" i="25" s="1"/>
  <c r="K121" i="55"/>
  <c r="G122" i="25" s="1"/>
  <c r="I122" i="25" s="1"/>
  <c r="K122" i="55"/>
  <c r="G123" i="25" s="1"/>
  <c r="I123" i="25" s="1"/>
  <c r="K154" i="55"/>
  <c r="G155" i="25" s="1"/>
  <c r="I155" i="25" s="1"/>
  <c r="O97" i="12"/>
  <c r="O98" i="12"/>
  <c r="K120" i="25" s="1"/>
  <c r="O99" i="12"/>
  <c r="O100" i="12"/>
  <c r="O101" i="12"/>
  <c r="O102" i="12"/>
  <c r="O122" i="12"/>
  <c r="K155" i="25" s="1"/>
  <c r="O59" i="12"/>
  <c r="K82" i="25" s="1"/>
  <c r="O58" i="12"/>
  <c r="K81" i="25" s="1"/>
  <c r="I82" i="55"/>
  <c r="K80" i="55"/>
  <c r="G82" i="25" s="1"/>
  <c r="I82" i="25" s="1"/>
  <c r="K79" i="55"/>
  <c r="G81" i="25" s="1"/>
  <c r="E55" i="40"/>
  <c r="E54" i="40"/>
  <c r="I53" i="40"/>
  <c r="W54" i="27" s="1"/>
  <c r="I53" i="46"/>
  <c r="M53" i="42"/>
  <c r="E55" i="42"/>
  <c r="G55" i="42"/>
  <c r="I55" i="42"/>
  <c r="I54" i="42"/>
  <c r="G54" i="42"/>
  <c r="E54" i="42"/>
  <c r="C56" i="18"/>
  <c r="I56" i="18"/>
  <c r="K56" i="18"/>
  <c r="M56" i="18"/>
  <c r="O56" i="18"/>
  <c r="Q56" i="18"/>
  <c r="S56" i="18"/>
  <c r="U56" i="18"/>
  <c r="W56" i="18"/>
  <c r="Y56" i="18"/>
  <c r="AC56" i="18"/>
  <c r="AG56" i="18"/>
  <c r="AI54" i="18"/>
  <c r="AG55" i="18"/>
  <c r="AC55" i="18"/>
  <c r="Y55" i="18"/>
  <c r="W55" i="18"/>
  <c r="U55" i="18"/>
  <c r="S55" i="18"/>
  <c r="Q55" i="18"/>
  <c r="O55" i="18"/>
  <c r="M55" i="18"/>
  <c r="K55" i="18"/>
  <c r="I55" i="18"/>
  <c r="C55" i="18"/>
  <c r="U59" i="50"/>
  <c r="C57" i="50"/>
  <c r="AG57" i="50" s="1"/>
  <c r="G55" i="46" s="1"/>
  <c r="AG55" i="50"/>
  <c r="C56" i="50"/>
  <c r="AG56" i="50" s="1"/>
  <c r="G54" i="46" s="1"/>
  <c r="Q54" i="52"/>
  <c r="I56" i="52"/>
  <c r="K56" i="52"/>
  <c r="O56" i="52"/>
  <c r="O55" i="52"/>
  <c r="K55" i="52"/>
  <c r="I55" i="52"/>
  <c r="W54" i="63"/>
  <c r="E56" i="63"/>
  <c r="G56" i="63"/>
  <c r="I56" i="63"/>
  <c r="K56" i="63"/>
  <c r="M56" i="63"/>
  <c r="O56" i="63"/>
  <c r="Q56" i="63"/>
  <c r="U56" i="63"/>
  <c r="U55" i="63"/>
  <c r="Q55" i="63"/>
  <c r="O55" i="63"/>
  <c r="M55" i="63"/>
  <c r="K55" i="63"/>
  <c r="I55" i="63"/>
  <c r="G55" i="63"/>
  <c r="E55" i="63"/>
  <c r="O54" i="44"/>
  <c r="G56" i="44"/>
  <c r="I56" i="44"/>
  <c r="M56" i="44"/>
  <c r="M55" i="44"/>
  <c r="I55" i="44"/>
  <c r="G55" i="44"/>
  <c r="C55" i="13"/>
  <c r="G55" i="13"/>
  <c r="I55" i="13"/>
  <c r="K55" i="13"/>
  <c r="M55" i="13"/>
  <c r="M54" i="13"/>
  <c r="K54" i="13"/>
  <c r="I54" i="13"/>
  <c r="G54" i="13"/>
  <c r="C54" i="13"/>
  <c r="O53" i="13"/>
  <c r="B39" i="71"/>
  <c r="D59" i="26" s="1"/>
  <c r="Q58" i="27"/>
  <c r="U58" i="27"/>
  <c r="G56" i="27"/>
  <c r="G55" i="27"/>
  <c r="E56" i="27"/>
  <c r="E55" i="27"/>
  <c r="C56" i="27"/>
  <c r="C55" i="27"/>
  <c r="G54" i="27"/>
  <c r="E54" i="27"/>
  <c r="BP47" i="69"/>
  <c r="BO47" i="69"/>
  <c r="BN47" i="69"/>
  <c r="BM47" i="69"/>
  <c r="BI47" i="69"/>
  <c r="BG47" i="69"/>
  <c r="BF47" i="69"/>
  <c r="BE47" i="69"/>
  <c r="AA47" i="69"/>
  <c r="Z47" i="69"/>
  <c r="Y47" i="69"/>
  <c r="V47" i="69"/>
  <c r="M47" i="69"/>
  <c r="L47" i="69"/>
  <c r="J47" i="69"/>
  <c r="E33" i="28"/>
  <c r="C39" i="31"/>
  <c r="G39" i="31" s="1"/>
  <c r="H68" i="28" l="1"/>
  <c r="G121" i="25"/>
  <c r="I121" i="25" s="1"/>
  <c r="CI79" i="68"/>
  <c r="J25" i="72"/>
  <c r="E25" i="72" s="1"/>
  <c r="I120" i="25"/>
  <c r="O55" i="13"/>
  <c r="G55" i="40" s="1"/>
  <c r="W55" i="63"/>
  <c r="E53" i="48" s="1"/>
  <c r="I67" i="48"/>
  <c r="E68" i="40" s="1"/>
  <c r="Y54" i="27"/>
  <c r="G84" i="25"/>
  <c r="I81" i="25"/>
  <c r="I84" i="25" s="1"/>
  <c r="K84" i="25"/>
  <c r="J15" i="72" s="1"/>
  <c r="C15" i="72" s="1"/>
  <c r="O55" i="44"/>
  <c r="G53" i="48" s="1"/>
  <c r="Q55" i="52"/>
  <c r="C53" i="48" s="1"/>
  <c r="O56" i="44"/>
  <c r="G54" i="48" s="1"/>
  <c r="Q56" i="52"/>
  <c r="C54" i="48" s="1"/>
  <c r="M54" i="42"/>
  <c r="C54" i="46" s="1"/>
  <c r="M55" i="42"/>
  <c r="C55" i="46" s="1"/>
  <c r="I68" i="46"/>
  <c r="C68" i="40" s="1"/>
  <c r="W56" i="63"/>
  <c r="E54" i="48" s="1"/>
  <c r="AI55" i="18"/>
  <c r="E54" i="46" s="1"/>
  <c r="O61" i="12"/>
  <c r="K82" i="55"/>
  <c r="AI56" i="18"/>
  <c r="O54" i="13"/>
  <c r="B25" i="70"/>
  <c r="E35" i="28"/>
  <c r="C25" i="72" l="1"/>
  <c r="E29" i="72"/>
  <c r="I68" i="40"/>
  <c r="W69" i="27" s="1"/>
  <c r="Y69" i="27" s="1"/>
  <c r="AW66" i="60" s="1"/>
  <c r="I54" i="46"/>
  <c r="C54" i="40" s="1"/>
  <c r="E55" i="46"/>
  <c r="I55" i="46" s="1"/>
  <c r="C55" i="40" s="1"/>
  <c r="I55" i="40" s="1"/>
  <c r="W56" i="27" s="1"/>
  <c r="Y56" i="27" s="1"/>
  <c r="AW52" i="60" s="1"/>
  <c r="G54" i="40"/>
  <c r="I54" i="40" l="1"/>
  <c r="W55" i="27" s="1"/>
  <c r="Y55" i="27" s="1"/>
  <c r="W35" i="61"/>
  <c r="AS23" i="60"/>
  <c r="AS56" i="60" s="1"/>
  <c r="AS73" i="60"/>
  <c r="AR44" i="59"/>
  <c r="AR35" i="59"/>
  <c r="AS121" i="58"/>
  <c r="AS135" i="58" s="1"/>
  <c r="AS74" i="58"/>
  <c r="AS62" i="58"/>
  <c r="AS39" i="58"/>
  <c r="AS30" i="58"/>
  <c r="AQ30" i="57"/>
  <c r="AQ23" i="57"/>
  <c r="AQ16" i="57"/>
  <c r="K107" i="73"/>
  <c r="K89" i="73"/>
  <c r="Q24" i="72"/>
  <c r="AR1" i="74"/>
  <c r="AR2" i="74"/>
  <c r="B36" i="74" s="1"/>
  <c r="AR3" i="74"/>
  <c r="C36" i="74" l="1"/>
  <c r="AS75" i="60"/>
  <c r="AS93" i="58"/>
  <c r="AS139" i="58" s="1"/>
  <c r="AS92" i="58"/>
  <c r="AS138" i="58" s="1"/>
  <c r="AS76" i="58"/>
  <c r="AS41" i="58"/>
  <c r="Q73" i="63"/>
  <c r="Q72" i="63"/>
  <c r="Q71" i="63"/>
  <c r="Q64" i="63"/>
  <c r="Q70" i="63"/>
  <c r="Q68" i="63"/>
  <c r="Q67" i="63"/>
  <c r="Q66" i="63"/>
  <c r="Q65" i="63"/>
  <c r="Q50" i="63"/>
  <c r="Q53" i="63"/>
  <c r="Q52" i="63"/>
  <c r="Q26" i="63"/>
  <c r="Q21" i="63"/>
  <c r="Q25" i="63"/>
  <c r="Q24" i="63"/>
  <c r="Q23" i="63"/>
  <c r="Q22" i="63"/>
  <c r="Q47" i="62"/>
  <c r="Q31" i="62"/>
  <c r="AP41" i="71"/>
  <c r="AP63" i="69"/>
  <c r="AP65" i="69" s="1"/>
  <c r="AP34" i="67"/>
  <c r="AP35" i="67"/>
  <c r="AP128" i="68" s="1"/>
  <c r="AP43" i="67"/>
  <c r="Q53" i="62" s="1"/>
  <c r="AP13" i="67"/>
  <c r="Q23" i="62" s="1"/>
  <c r="AP14" i="67"/>
  <c r="Q24" i="62" s="1"/>
  <c r="AP15" i="67"/>
  <c r="AP16" i="67"/>
  <c r="AP17" i="67"/>
  <c r="AP18" i="67"/>
  <c r="AP20" i="67"/>
  <c r="AP140" i="68" s="1"/>
  <c r="AP21" i="67"/>
  <c r="AP126" i="68" s="1"/>
  <c r="AP79" i="66"/>
  <c r="AS141" i="58" l="1"/>
  <c r="Q25" i="62"/>
  <c r="Q33" i="62" s="1"/>
  <c r="AP124" i="68"/>
  <c r="AP141" i="68"/>
  <c r="Q58" i="63"/>
  <c r="AS95" i="58"/>
  <c r="Q56" i="62"/>
  <c r="AP45" i="67"/>
  <c r="Q29" i="63"/>
  <c r="AP22" i="67"/>
  <c r="AP77" i="69"/>
  <c r="AP81" i="66"/>
  <c r="AP95" i="66" s="1"/>
  <c r="AP121" i="68" s="1"/>
  <c r="Q75" i="63"/>
  <c r="AP55" i="67" l="1"/>
  <c r="AP3" i="70" s="1"/>
  <c r="Q64" i="62"/>
  <c r="Q69" i="62" s="1"/>
  <c r="Q71" i="62" s="1"/>
  <c r="Q76" i="62" s="1"/>
  <c r="AP3" i="71"/>
  <c r="AP45" i="71" s="1"/>
  <c r="AP48" i="71" s="1"/>
  <c r="B75" i="64"/>
  <c r="D75" i="64"/>
  <c r="Q61" i="63"/>
  <c r="Q77" i="63" s="1"/>
  <c r="I14" i="72"/>
  <c r="AP60" i="70" l="1"/>
  <c r="AP62" i="70" s="1"/>
  <c r="AP57" i="67"/>
  <c r="AP60" i="67"/>
  <c r="AP81" i="69"/>
  <c r="Q89" i="63"/>
  <c r="Q92" i="63" s="1"/>
  <c r="S59" i="51"/>
  <c r="AP122" i="68" l="1"/>
  <c r="N14" i="72"/>
  <c r="BS54" i="71" l="1"/>
  <c r="BR54" i="71"/>
  <c r="BQ54" i="71"/>
  <c r="BP54" i="71"/>
  <c r="BO54" i="71"/>
  <c r="BN54" i="71"/>
  <c r="BM54" i="71"/>
  <c r="BL54" i="71"/>
  <c r="BK54" i="71"/>
  <c r="BJ54" i="71"/>
  <c r="BI54" i="71"/>
  <c r="BH54" i="71"/>
  <c r="BG54" i="71"/>
  <c r="BF54" i="71"/>
  <c r="BE54" i="71"/>
  <c r="BD54" i="71"/>
  <c r="BC54" i="71"/>
  <c r="BB54" i="71"/>
  <c r="BA54" i="71"/>
  <c r="AZ54" i="71"/>
  <c r="AY54" i="71"/>
  <c r="AX54" i="71"/>
  <c r="AW54" i="71"/>
  <c r="AV54" i="71"/>
  <c r="AU54" i="71"/>
  <c r="AT54" i="71"/>
  <c r="AS54" i="71"/>
  <c r="AR54" i="71"/>
  <c r="AO54" i="71"/>
  <c r="AN54" i="71"/>
  <c r="AM54" i="71"/>
  <c r="AL54" i="71"/>
  <c r="AK54" i="71"/>
  <c r="AJ54" i="71"/>
  <c r="AI54" i="71"/>
  <c r="AH54" i="71"/>
  <c r="AG54" i="71"/>
  <c r="AF54" i="71"/>
  <c r="AE54" i="71"/>
  <c r="AD54" i="71"/>
  <c r="AC54" i="71"/>
  <c r="AB54" i="71"/>
  <c r="AA54" i="71"/>
  <c r="Z54" i="71"/>
  <c r="Y54" i="71"/>
  <c r="X54" i="71"/>
  <c r="W54" i="71"/>
  <c r="V54" i="71"/>
  <c r="U54" i="71"/>
  <c r="T54" i="71"/>
  <c r="S54" i="71"/>
  <c r="R54" i="71"/>
  <c r="Q54" i="71"/>
  <c r="P54" i="71"/>
  <c r="O54" i="71"/>
  <c r="N54" i="71"/>
  <c r="M54" i="71"/>
  <c r="L54" i="71"/>
  <c r="K54" i="71"/>
  <c r="J54" i="71"/>
  <c r="D54" i="71"/>
  <c r="C54" i="71"/>
  <c r="CF37" i="68" l="1"/>
  <c r="CE37" i="68"/>
  <c r="B6" i="70" l="1"/>
  <c r="I13" i="72" l="1"/>
  <c r="C55" i="67" l="1"/>
  <c r="O65" i="12" l="1"/>
  <c r="K88" i="25" s="1"/>
  <c r="AE50" i="51" l="1"/>
  <c r="U66" i="18"/>
  <c r="U67" i="18"/>
  <c r="U68" i="18"/>
  <c r="U70" i="18"/>
  <c r="U71" i="18"/>
  <c r="U72" i="18"/>
  <c r="CH37" i="68" l="1"/>
  <c r="CG37" i="68"/>
  <c r="CF13" i="68"/>
  <c r="L77" i="23"/>
  <c r="O66" i="10"/>
  <c r="N79" i="23" s="1"/>
  <c r="CD37" i="68" l="1"/>
  <c r="E46" i="31" s="1"/>
  <c r="I68" i="18"/>
  <c r="I70" i="18"/>
  <c r="I71" i="18"/>
  <c r="I58" i="19"/>
  <c r="AA28" i="71"/>
  <c r="AA19" i="69"/>
  <c r="AA64" i="66"/>
  <c r="AA49" i="66"/>
  <c r="AA34" i="66"/>
  <c r="AA19" i="66"/>
  <c r="AA50" i="69" l="1"/>
  <c r="AA114" i="68" l="1"/>
  <c r="AA120" i="68" s="1"/>
  <c r="C35" i="72"/>
  <c r="CE79" i="68"/>
  <c r="CD79" i="68" s="1"/>
  <c r="CE94" i="68"/>
  <c r="CD94" i="68" s="1"/>
  <c r="H42" i="72" l="1"/>
  <c r="BP19" i="69"/>
  <c r="BP64" i="66"/>
  <c r="BP49" i="66"/>
  <c r="BP34" i="66"/>
  <c r="BP19" i="66"/>
  <c r="BP25" i="68" l="1"/>
  <c r="BP43" i="68" s="1"/>
  <c r="B56" i="68"/>
  <c r="C62" i="31" s="1"/>
  <c r="BP100" i="68"/>
  <c r="BP50" i="69"/>
  <c r="B62" i="68" l="1"/>
  <c r="BP120" i="68"/>
  <c r="K121" i="25"/>
  <c r="K155" i="55"/>
  <c r="E69" i="28"/>
  <c r="H69" i="28" l="1"/>
  <c r="G156" i="25"/>
  <c r="I156" i="25" s="1"/>
  <c r="BM19" i="69"/>
  <c r="BM25" i="68" l="1"/>
  <c r="BM43" i="68" s="1"/>
  <c r="BM120" i="68" s="1"/>
  <c r="BM50" i="69"/>
  <c r="K67" i="25" l="1"/>
  <c r="K68" i="25"/>
  <c r="K69" i="25"/>
  <c r="O30" i="12"/>
  <c r="K31" i="25" s="1"/>
  <c r="O31" i="12"/>
  <c r="O32" i="12"/>
  <c r="O33" i="12"/>
  <c r="K38" i="25" s="1"/>
  <c r="O17" i="12"/>
  <c r="K18" i="25" s="1"/>
  <c r="O18" i="12"/>
  <c r="K19" i="25" s="1"/>
  <c r="O19" i="12"/>
  <c r="K20" i="25" s="1"/>
  <c r="O20" i="12"/>
  <c r="K21" i="25" s="1"/>
  <c r="O21" i="12"/>
  <c r="K22" i="25" s="1"/>
  <c r="O22" i="12"/>
  <c r="K23" i="25" s="1"/>
  <c r="O23" i="12"/>
  <c r="K24" i="25" s="1"/>
  <c r="K37" i="25" l="1"/>
  <c r="J27" i="72" s="1"/>
  <c r="CH13" i="68"/>
  <c r="I15" i="71"/>
  <c r="H15" i="71"/>
  <c r="G15" i="71"/>
  <c r="F15" i="71"/>
  <c r="E15" i="71"/>
  <c r="C27" i="72" l="1"/>
  <c r="CD21" i="68"/>
  <c r="K75" i="55" l="1"/>
  <c r="G77" i="25" s="1"/>
  <c r="I77" i="25" s="1"/>
  <c r="K74" i="55"/>
  <c r="G76" i="25" s="1"/>
  <c r="K87" i="55"/>
  <c r="G88" i="25" s="1"/>
  <c r="Q14" i="72"/>
  <c r="P14" i="72"/>
  <c r="I77" i="55"/>
  <c r="I84" i="55" s="1"/>
  <c r="I90" i="55" s="1"/>
  <c r="R14" i="72"/>
  <c r="I76" i="25" l="1"/>
  <c r="I79" i="25" s="1"/>
  <c r="G79" i="25"/>
  <c r="K77" i="55"/>
  <c r="K67" i="18"/>
  <c r="K68" i="18"/>
  <c r="K70" i="18"/>
  <c r="K71" i="18"/>
  <c r="C46" i="31" l="1"/>
  <c r="M52" i="13" l="1"/>
  <c r="K52" i="13"/>
  <c r="I52" i="13"/>
  <c r="G52" i="13"/>
  <c r="C52" i="13"/>
  <c r="M51" i="13"/>
  <c r="K51" i="13"/>
  <c r="I51" i="13"/>
  <c r="G51" i="13"/>
  <c r="C51" i="13"/>
  <c r="O51" i="44"/>
  <c r="M53" i="44"/>
  <c r="K53" i="44"/>
  <c r="I53" i="44"/>
  <c r="G53" i="44"/>
  <c r="M52" i="44"/>
  <c r="K52" i="44"/>
  <c r="I52" i="44"/>
  <c r="G52" i="44"/>
  <c r="W51" i="63"/>
  <c r="U53" i="63"/>
  <c r="O53" i="63"/>
  <c r="M53" i="63"/>
  <c r="K53" i="63"/>
  <c r="I53" i="63"/>
  <c r="G53" i="63"/>
  <c r="E53" i="63"/>
  <c r="C53" i="63"/>
  <c r="U52" i="63"/>
  <c r="O52" i="63"/>
  <c r="M52" i="63"/>
  <c r="K52" i="63"/>
  <c r="I52" i="63"/>
  <c r="G52" i="63"/>
  <c r="E52" i="63"/>
  <c r="C52" i="63"/>
  <c r="O50" i="63"/>
  <c r="M50" i="63"/>
  <c r="K50" i="63"/>
  <c r="AE54" i="50"/>
  <c r="AC54" i="50"/>
  <c r="Y54" i="50"/>
  <c r="AE53" i="50"/>
  <c r="AC53" i="50"/>
  <c r="Y53" i="50"/>
  <c r="W54" i="50"/>
  <c r="W53" i="50"/>
  <c r="S54" i="50"/>
  <c r="Q54" i="50"/>
  <c r="O54" i="50"/>
  <c r="M54" i="50"/>
  <c r="K54" i="50"/>
  <c r="I54" i="50"/>
  <c r="G54" i="50"/>
  <c r="S53" i="50"/>
  <c r="Q53" i="50"/>
  <c r="O53" i="50"/>
  <c r="M53" i="50"/>
  <c r="K53" i="50"/>
  <c r="I53" i="50"/>
  <c r="G53" i="50"/>
  <c r="E54" i="50"/>
  <c r="E53" i="50"/>
  <c r="Q51" i="52"/>
  <c r="O53" i="52"/>
  <c r="K53" i="52"/>
  <c r="G53" i="52"/>
  <c r="O52" i="52"/>
  <c r="K52" i="52"/>
  <c r="G52" i="52"/>
  <c r="I49" i="48"/>
  <c r="AG52" i="50"/>
  <c r="AI51" i="18"/>
  <c r="AG53" i="18"/>
  <c r="AE53" i="18"/>
  <c r="AC53" i="18"/>
  <c r="AA53" i="18"/>
  <c r="Y53" i="18"/>
  <c r="W53" i="18"/>
  <c r="U53" i="18"/>
  <c r="S53" i="18"/>
  <c r="Q53" i="18"/>
  <c r="O53" i="18"/>
  <c r="M53" i="18"/>
  <c r="K53" i="18"/>
  <c r="I53" i="18"/>
  <c r="G53" i="18"/>
  <c r="E53" i="18"/>
  <c r="C53" i="18"/>
  <c r="AG52" i="18"/>
  <c r="AE52" i="18"/>
  <c r="AC52" i="18"/>
  <c r="AA52" i="18"/>
  <c r="Y52" i="18"/>
  <c r="W52" i="18"/>
  <c r="U52" i="18"/>
  <c r="S52" i="18"/>
  <c r="Q52" i="18"/>
  <c r="O52" i="18"/>
  <c r="M52" i="18"/>
  <c r="K52" i="18"/>
  <c r="I52" i="18"/>
  <c r="G52" i="18"/>
  <c r="E52" i="18"/>
  <c r="C52" i="18"/>
  <c r="M50" i="42"/>
  <c r="G52" i="42"/>
  <c r="E52" i="42"/>
  <c r="G51" i="42"/>
  <c r="E51" i="42"/>
  <c r="I50" i="40"/>
  <c r="W51" i="27" s="1"/>
  <c r="G51" i="27"/>
  <c r="G52" i="27"/>
  <c r="G53" i="27"/>
  <c r="E51" i="27"/>
  <c r="E52" i="27"/>
  <c r="E53" i="27"/>
  <c r="C51" i="27"/>
  <c r="C52" i="27"/>
  <c r="C53" i="27"/>
  <c r="B38" i="71"/>
  <c r="D58" i="26" s="1"/>
  <c r="B24" i="71"/>
  <c r="Y51" i="27" l="1"/>
  <c r="M51" i="42"/>
  <c r="C51" i="46" s="1"/>
  <c r="Q53" i="52"/>
  <c r="C51" i="48" s="1"/>
  <c r="AI53" i="18"/>
  <c r="E52" i="46" s="1"/>
  <c r="W53" i="63"/>
  <c r="E51" i="48" s="1"/>
  <c r="O53" i="44"/>
  <c r="G51" i="48" s="1"/>
  <c r="O52" i="13"/>
  <c r="G52" i="40" s="1"/>
  <c r="O51" i="13"/>
  <c r="G51" i="40" s="1"/>
  <c r="O52" i="44"/>
  <c r="G50" i="48" s="1"/>
  <c r="M52" i="42"/>
  <c r="C52" i="46" s="1"/>
  <c r="W52" i="63"/>
  <c r="E50" i="48" s="1"/>
  <c r="Q52" i="52"/>
  <c r="C50" i="48" s="1"/>
  <c r="AG53" i="50"/>
  <c r="G51" i="46" s="1"/>
  <c r="AI52" i="18"/>
  <c r="E51" i="46" s="1"/>
  <c r="AG54" i="50"/>
  <c r="G52" i="46" s="1"/>
  <c r="I52" i="46" l="1"/>
  <c r="C52" i="40" s="1"/>
  <c r="I51" i="48"/>
  <c r="E52" i="40" s="1"/>
  <c r="I50" i="48"/>
  <c r="E51" i="40" s="1"/>
  <c r="I51" i="46"/>
  <c r="C51" i="40" s="1"/>
  <c r="I52" i="40" l="1"/>
  <c r="W53" i="27" s="1"/>
  <c r="I51" i="40"/>
  <c r="W52" i="27" s="1"/>
  <c r="G90" i="21"/>
  <c r="I90" i="21" s="1"/>
  <c r="I46" i="31" s="1"/>
  <c r="V36" i="2"/>
  <c r="V37" i="2"/>
  <c r="V38" i="2"/>
  <c r="V39" i="2"/>
  <c r="G46" i="21" s="1"/>
  <c r="H40" i="2"/>
  <c r="L40" i="2"/>
  <c r="N40" i="2"/>
  <c r="P40" i="2"/>
  <c r="R40" i="2"/>
  <c r="T40" i="2"/>
  <c r="F40" i="2"/>
  <c r="I46" i="21" l="1"/>
  <c r="I31" i="31" s="1"/>
  <c r="Y52" i="27"/>
  <c r="AW48" i="60" s="1"/>
  <c r="Y53" i="27"/>
  <c r="AW49" i="60" s="1"/>
  <c r="B25" i="68" l="1"/>
  <c r="BJ120" i="68"/>
  <c r="AA38" i="51" l="1"/>
  <c r="H42" i="77" l="1"/>
  <c r="J42" i="77"/>
  <c r="L42" i="77"/>
  <c r="N42" i="77"/>
  <c r="P42" i="77"/>
  <c r="R42" i="77"/>
  <c r="T42" i="77"/>
  <c r="V42" i="77"/>
  <c r="X42" i="77"/>
  <c r="Z42" i="77"/>
  <c r="B23" i="71" l="1"/>
  <c r="B22" i="71"/>
  <c r="AN41" i="71"/>
  <c r="AE41" i="71"/>
  <c r="AX15" i="71"/>
  <c r="AW15" i="71"/>
  <c r="AV15" i="71"/>
  <c r="AU15" i="71"/>
  <c r="AT15" i="71"/>
  <c r="AS15" i="71"/>
  <c r="AO15" i="71"/>
  <c r="AN15" i="71"/>
  <c r="AM15" i="71"/>
  <c r="AL15" i="71"/>
  <c r="AK15" i="71"/>
  <c r="AJ15" i="71"/>
  <c r="AI15" i="71"/>
  <c r="AH15" i="71"/>
  <c r="AG15" i="71"/>
  <c r="AF15" i="71"/>
  <c r="AE15" i="71"/>
  <c r="AD15" i="71"/>
  <c r="AC15" i="71"/>
  <c r="AB15" i="71"/>
  <c r="AX11" i="71"/>
  <c r="AW11" i="71"/>
  <c r="AV11" i="71"/>
  <c r="AU11" i="71"/>
  <c r="AT11" i="71"/>
  <c r="AS11" i="71"/>
  <c r="AO11" i="71"/>
  <c r="AN11" i="71"/>
  <c r="AM11" i="71"/>
  <c r="AL11" i="71"/>
  <c r="AK11" i="71"/>
  <c r="AJ11" i="71"/>
  <c r="AI11" i="71"/>
  <c r="AH11" i="71"/>
  <c r="AG11" i="71"/>
  <c r="AF11" i="71"/>
  <c r="AE11" i="71"/>
  <c r="AD11" i="71"/>
  <c r="AC11" i="71"/>
  <c r="AB11" i="71"/>
  <c r="AU41" i="71"/>
  <c r="AS41" i="71"/>
  <c r="AR41" i="71"/>
  <c r="AI41" i="71"/>
  <c r="AH41" i="71"/>
  <c r="AG41" i="71"/>
  <c r="AX41" i="71"/>
  <c r="AW41" i="71"/>
  <c r="AV41" i="71"/>
  <c r="AT41" i="71"/>
  <c r="AO41" i="71"/>
  <c r="AM41" i="71"/>
  <c r="AL41" i="71"/>
  <c r="AK41" i="71"/>
  <c r="AJ41" i="71"/>
  <c r="AF41" i="71"/>
  <c r="AD41" i="71"/>
  <c r="AC41" i="71"/>
  <c r="AB41" i="71"/>
  <c r="AB123" i="68"/>
  <c r="AC123" i="68"/>
  <c r="AD123" i="68"/>
  <c r="AE123" i="68"/>
  <c r="AF123" i="68"/>
  <c r="AG123" i="68"/>
  <c r="AH123" i="68"/>
  <c r="AI123" i="68"/>
  <c r="AJ123" i="68"/>
  <c r="AK123" i="68"/>
  <c r="AL123" i="68"/>
  <c r="AM123" i="68"/>
  <c r="AN123" i="68"/>
  <c r="AO123" i="68"/>
  <c r="AR123" i="68"/>
  <c r="AS123" i="68"/>
  <c r="AT123" i="68"/>
  <c r="AU123" i="68"/>
  <c r="AV123" i="68"/>
  <c r="AW123" i="68"/>
  <c r="J64" i="66" l="1"/>
  <c r="J49" i="66"/>
  <c r="J19" i="66"/>
  <c r="O14" i="72" l="1"/>
  <c r="L14" i="72" s="1"/>
  <c r="O72" i="10" l="1"/>
  <c r="N85" i="23" s="1"/>
  <c r="BT97" i="66" l="1"/>
  <c r="G59" i="11" l="1"/>
  <c r="BV97" i="66"/>
  <c r="E59" i="11"/>
  <c r="BU97" i="66"/>
  <c r="C59" i="11"/>
  <c r="I34" i="30" l="1"/>
  <c r="L26" i="2" l="1"/>
  <c r="L41" i="2" l="1"/>
  <c r="AO43" i="67" l="1"/>
  <c r="AB39" i="77" l="1"/>
  <c r="E50" i="39" s="1"/>
  <c r="K152" i="12"/>
  <c r="E67" i="50" l="1"/>
  <c r="E68" i="50"/>
  <c r="E69" i="50"/>
  <c r="E71" i="50"/>
  <c r="E72" i="50"/>
  <c r="BQ28" i="71"/>
  <c r="BQ15" i="71"/>
  <c r="AC66" i="51" l="1"/>
  <c r="T79" i="66" l="1"/>
  <c r="C150" i="66" l="1"/>
  <c r="P43" i="64" l="1"/>
  <c r="P35" i="64"/>
  <c r="P32" i="64"/>
  <c r="P31" i="64"/>
  <c r="P18" i="64"/>
  <c r="P17" i="64"/>
  <c r="P66" i="64"/>
  <c r="P67" i="64"/>
  <c r="P78" i="64"/>
  <c r="P79" i="64"/>
  <c r="J79" i="64"/>
  <c r="J78" i="64"/>
  <c r="J67" i="64"/>
  <c r="J66" i="64"/>
  <c r="J59" i="64"/>
  <c r="J58" i="64"/>
  <c r="J57" i="64"/>
  <c r="J56" i="64"/>
  <c r="J55" i="64"/>
  <c r="J54" i="64"/>
  <c r="J31" i="64"/>
  <c r="J32" i="64"/>
  <c r="J35" i="64"/>
  <c r="J43" i="64"/>
  <c r="G124" i="68" l="1"/>
  <c r="I124" i="68"/>
  <c r="O124" i="68"/>
  <c r="C41" i="50" l="1"/>
  <c r="D96" i="69" l="1"/>
  <c r="AB38" i="77" l="1"/>
  <c r="AB36" i="77"/>
  <c r="AB40" i="77"/>
  <c r="C49" i="50"/>
  <c r="C34" i="50"/>
  <c r="C28" i="50"/>
  <c r="E47" i="39" l="1"/>
  <c r="Q79" i="52"/>
  <c r="Q87" i="52" s="1"/>
  <c r="W66" i="50" l="1"/>
  <c r="W67" i="50"/>
  <c r="W68" i="50"/>
  <c r="W69" i="50"/>
  <c r="W71" i="50"/>
  <c r="W72" i="50"/>
  <c r="W65" i="50"/>
  <c r="W50" i="50"/>
  <c r="W51" i="50"/>
  <c r="BR85" i="69"/>
  <c r="BS79" i="66" l="1"/>
  <c r="BD28" i="71"/>
  <c r="O25" i="52" l="1"/>
  <c r="O24" i="52"/>
  <c r="M58" i="52" l="1"/>
  <c r="C4" i="67" l="1"/>
  <c r="AR43" i="67" l="1"/>
  <c r="AS43" i="67"/>
  <c r="AT43" i="67"/>
  <c r="AU43" i="67"/>
  <c r="AV43" i="67"/>
  <c r="AW43" i="67"/>
  <c r="AX43" i="67"/>
  <c r="AY43" i="67"/>
  <c r="N56" i="20" l="1"/>
  <c r="V19" i="69" l="1"/>
  <c r="CH16" i="68" l="1"/>
  <c r="K63" i="69" l="1"/>
  <c r="K65" i="69" s="1"/>
  <c r="S28" i="29" l="1"/>
  <c r="C67" i="13"/>
  <c r="G67" i="13"/>
  <c r="I67" i="13"/>
  <c r="K67" i="13"/>
  <c r="M67" i="13"/>
  <c r="C68" i="44"/>
  <c r="E68" i="44"/>
  <c r="G68" i="44"/>
  <c r="I68" i="44"/>
  <c r="K68" i="44"/>
  <c r="M68" i="44"/>
  <c r="C68" i="63"/>
  <c r="E68" i="63"/>
  <c r="G68" i="63"/>
  <c r="I68" i="63"/>
  <c r="K68" i="63"/>
  <c r="M68" i="63"/>
  <c r="O68" i="63"/>
  <c r="U68" i="63"/>
  <c r="G68" i="52"/>
  <c r="I68" i="52"/>
  <c r="K68" i="52"/>
  <c r="O68" i="52"/>
  <c r="G69" i="50"/>
  <c r="I69" i="50"/>
  <c r="K69" i="50"/>
  <c r="M69" i="50"/>
  <c r="O69" i="50"/>
  <c r="Q69" i="50"/>
  <c r="S69" i="50"/>
  <c r="U69" i="50"/>
  <c r="Y69" i="50"/>
  <c r="AC69" i="50"/>
  <c r="AE69" i="50"/>
  <c r="W68" i="18"/>
  <c r="Y68" i="18"/>
  <c r="AC68" i="18"/>
  <c r="AE68" i="18"/>
  <c r="AG68" i="18"/>
  <c r="C67" i="42"/>
  <c r="E67" i="42"/>
  <c r="G67" i="42"/>
  <c r="I67" i="42"/>
  <c r="K67" i="42"/>
  <c r="C68" i="27"/>
  <c r="E68" i="27"/>
  <c r="G68" i="27"/>
  <c r="K68" i="27"/>
  <c r="Q68" i="27"/>
  <c r="G67" i="27"/>
  <c r="O54" i="12"/>
  <c r="K77" i="25" s="1"/>
  <c r="O53" i="12"/>
  <c r="K76" i="25" s="1"/>
  <c r="CI31" i="68"/>
  <c r="CH31" i="68"/>
  <c r="CG31" i="68"/>
  <c r="CF31" i="68"/>
  <c r="CE31" i="68"/>
  <c r="CE13" i="68"/>
  <c r="CG13" i="68"/>
  <c r="CI13" i="68"/>
  <c r="C27" i="14"/>
  <c r="E27" i="14"/>
  <c r="G27" i="14"/>
  <c r="I27" i="14"/>
  <c r="K27" i="14"/>
  <c r="M27" i="14"/>
  <c r="C29" i="45"/>
  <c r="E29" i="45"/>
  <c r="G29" i="45"/>
  <c r="I29" i="45"/>
  <c r="K29" i="45"/>
  <c r="M29" i="45"/>
  <c r="C19" i="45"/>
  <c r="E19" i="45"/>
  <c r="G19" i="45"/>
  <c r="I19" i="45"/>
  <c r="K19" i="45"/>
  <c r="M19" i="45"/>
  <c r="C29" i="62"/>
  <c r="E29" i="62"/>
  <c r="G29" i="62"/>
  <c r="I29" i="62"/>
  <c r="K29" i="62"/>
  <c r="M29" i="62"/>
  <c r="O29" i="62"/>
  <c r="U29" i="62"/>
  <c r="U19" i="62"/>
  <c r="W19" i="62" s="1"/>
  <c r="E17" i="49" s="1"/>
  <c r="G29" i="53"/>
  <c r="I29" i="53"/>
  <c r="K29" i="53"/>
  <c r="M29" i="53"/>
  <c r="O29" i="53"/>
  <c r="G19" i="53"/>
  <c r="K19" i="53"/>
  <c r="G30" i="51"/>
  <c r="I30" i="51"/>
  <c r="K30" i="51"/>
  <c r="M30" i="51"/>
  <c r="O30" i="51"/>
  <c r="Q30" i="51"/>
  <c r="S30" i="51"/>
  <c r="U30" i="51"/>
  <c r="W30" i="51"/>
  <c r="Y30" i="51"/>
  <c r="AA30" i="51"/>
  <c r="AC30" i="51"/>
  <c r="AE30" i="51"/>
  <c r="G20" i="51"/>
  <c r="I20" i="51"/>
  <c r="K20" i="51"/>
  <c r="M20" i="51"/>
  <c r="O20" i="51"/>
  <c r="Q20" i="51"/>
  <c r="S20" i="51"/>
  <c r="U20" i="51"/>
  <c r="W20" i="51"/>
  <c r="Y20" i="51"/>
  <c r="AA20" i="51"/>
  <c r="AC20" i="51"/>
  <c r="AE20" i="51"/>
  <c r="C29" i="19"/>
  <c r="E29" i="19"/>
  <c r="G29" i="19"/>
  <c r="I29" i="19"/>
  <c r="K29" i="19"/>
  <c r="M29" i="19"/>
  <c r="O29" i="19"/>
  <c r="Q29" i="19"/>
  <c r="S29" i="19"/>
  <c r="U29" i="19"/>
  <c r="W29" i="19"/>
  <c r="Y29" i="19"/>
  <c r="AC29" i="19"/>
  <c r="AG29" i="19"/>
  <c r="BK29" i="19"/>
  <c r="BG29" i="19"/>
  <c r="BC29" i="19"/>
  <c r="BA29" i="19"/>
  <c r="AY29" i="19"/>
  <c r="AW29" i="19"/>
  <c r="AU29" i="19"/>
  <c r="AS29" i="19"/>
  <c r="AQ29" i="19"/>
  <c r="AO29" i="19"/>
  <c r="AM29" i="19"/>
  <c r="AK29" i="19"/>
  <c r="C19" i="19"/>
  <c r="E19" i="19"/>
  <c r="G19" i="19"/>
  <c r="I19" i="19"/>
  <c r="K19" i="19"/>
  <c r="M19" i="19"/>
  <c r="O19" i="19"/>
  <c r="Q19" i="19"/>
  <c r="S19" i="19"/>
  <c r="U19" i="19"/>
  <c r="W19" i="19"/>
  <c r="Y19" i="19"/>
  <c r="AC19" i="19"/>
  <c r="AG19" i="19"/>
  <c r="E28" i="43"/>
  <c r="G28" i="43"/>
  <c r="I28" i="43"/>
  <c r="C18" i="43"/>
  <c r="E18" i="43"/>
  <c r="G18" i="43"/>
  <c r="I18" i="43"/>
  <c r="E28" i="29"/>
  <c r="G28" i="29"/>
  <c r="M28" i="29"/>
  <c r="E18" i="29"/>
  <c r="G18" i="29"/>
  <c r="M18" i="29"/>
  <c r="G22" i="25"/>
  <c r="I22" i="25" s="1"/>
  <c r="CB15" i="71"/>
  <c r="CA15" i="71"/>
  <c r="BZ15" i="71"/>
  <c r="BY15" i="71"/>
  <c r="BX15" i="71"/>
  <c r="BW15" i="71"/>
  <c r="BV15" i="71"/>
  <c r="BU15" i="71"/>
  <c r="BT15" i="71"/>
  <c r="BS15" i="71"/>
  <c r="BR15" i="71"/>
  <c r="BP15" i="71"/>
  <c r="BO15" i="71"/>
  <c r="BN15" i="71"/>
  <c r="BM15" i="71"/>
  <c r="BL15" i="71"/>
  <c r="BK15" i="71"/>
  <c r="BI15" i="71"/>
  <c r="BH15" i="71"/>
  <c r="BG15" i="71"/>
  <c r="BF15" i="71"/>
  <c r="BE15" i="71"/>
  <c r="BD15" i="71"/>
  <c r="BC15" i="71"/>
  <c r="BB15" i="71"/>
  <c r="BA15" i="71"/>
  <c r="AZ15" i="71"/>
  <c r="AY15" i="71"/>
  <c r="AA15" i="71"/>
  <c r="Z15" i="71"/>
  <c r="Y15" i="71"/>
  <c r="X15" i="71"/>
  <c r="W15" i="71"/>
  <c r="V15" i="71"/>
  <c r="U15" i="71"/>
  <c r="T15" i="71"/>
  <c r="S15" i="71"/>
  <c r="R15" i="71"/>
  <c r="Q15" i="71"/>
  <c r="P15" i="71"/>
  <c r="O15" i="71"/>
  <c r="N15" i="71"/>
  <c r="M15" i="71"/>
  <c r="L15" i="71"/>
  <c r="K15" i="71"/>
  <c r="J15" i="71"/>
  <c r="D15" i="71"/>
  <c r="B14" i="71"/>
  <c r="D26" i="26" s="1"/>
  <c r="B13" i="71"/>
  <c r="D25" i="26" s="1"/>
  <c r="E30" i="28"/>
  <c r="I30" i="28" s="1"/>
  <c r="E29" i="28"/>
  <c r="I29" i="28" s="1"/>
  <c r="C28" i="29"/>
  <c r="C18" i="29"/>
  <c r="B19" i="67"/>
  <c r="C18" i="67"/>
  <c r="D18" i="67"/>
  <c r="J18" i="67"/>
  <c r="K18" i="67"/>
  <c r="L18" i="67"/>
  <c r="M18" i="67"/>
  <c r="N18" i="67"/>
  <c r="O18" i="67"/>
  <c r="P18" i="67"/>
  <c r="Q18" i="67"/>
  <c r="R18" i="67"/>
  <c r="S18" i="67"/>
  <c r="B9" i="67"/>
  <c r="C38" i="31"/>
  <c r="C31" i="31"/>
  <c r="G31" i="31" s="1"/>
  <c r="C20" i="31"/>
  <c r="W33" i="61"/>
  <c r="W34" i="61"/>
  <c r="Q19" i="53" l="1"/>
  <c r="C17" i="49" s="1"/>
  <c r="K79" i="25"/>
  <c r="Q29" i="53"/>
  <c r="C27" i="49" s="1"/>
  <c r="AG20" i="51"/>
  <c r="F18" i="47" s="1"/>
  <c r="O27" i="14"/>
  <c r="F28" i="41" s="1"/>
  <c r="O29" i="45"/>
  <c r="G27" i="49" s="1"/>
  <c r="M18" i="43"/>
  <c r="B18" i="47" s="1"/>
  <c r="O56" i="12"/>
  <c r="CD13" i="68"/>
  <c r="E20" i="31" s="1"/>
  <c r="G20" i="31" s="1"/>
  <c r="M28" i="43"/>
  <c r="B28" i="47" s="1"/>
  <c r="E31" i="28"/>
  <c r="AI29" i="19"/>
  <c r="D28" i="47" s="1"/>
  <c r="O68" i="44"/>
  <c r="G66" i="48" s="1"/>
  <c r="O67" i="13"/>
  <c r="G67" i="40" s="1"/>
  <c r="Q68" i="52"/>
  <c r="C66" i="48" s="1"/>
  <c r="B15" i="71"/>
  <c r="F27" i="26"/>
  <c r="M67" i="42"/>
  <c r="C67" i="46" s="1"/>
  <c r="AI19" i="19"/>
  <c r="D18" i="47" s="1"/>
  <c r="AG30" i="51"/>
  <c r="F28" i="47" s="1"/>
  <c r="W29" i="62"/>
  <c r="E27" i="49" s="1"/>
  <c r="O19" i="45"/>
  <c r="G17" i="49" s="1"/>
  <c r="I17" i="49" s="1"/>
  <c r="D18" i="41" s="1"/>
  <c r="W68" i="63"/>
  <c r="E66" i="48" s="1"/>
  <c r="AG69" i="50"/>
  <c r="G67" i="46" s="1"/>
  <c r="B21" i="70"/>
  <c r="AI68" i="18"/>
  <c r="E67" i="46" s="1"/>
  <c r="CD31" i="68"/>
  <c r="E38" i="31" s="1"/>
  <c r="G38" i="31" s="1"/>
  <c r="AQ71" i="60"/>
  <c r="AQ70" i="60"/>
  <c r="AQ67" i="60"/>
  <c r="AQ65" i="60"/>
  <c r="AQ62" i="60"/>
  <c r="AQ61" i="60"/>
  <c r="AQ60" i="60"/>
  <c r="AQ59" i="60"/>
  <c r="AQ46" i="60"/>
  <c r="AQ45" i="60"/>
  <c r="AQ43" i="60"/>
  <c r="AQ42" i="60"/>
  <c r="AQ40" i="60"/>
  <c r="AQ39" i="60"/>
  <c r="AQ38" i="60"/>
  <c r="AQ37" i="60"/>
  <c r="AQ36" i="60"/>
  <c r="AQ34" i="60"/>
  <c r="AQ33" i="60"/>
  <c r="AQ32" i="60"/>
  <c r="AQ31" i="60"/>
  <c r="AQ30" i="60"/>
  <c r="AQ29" i="60"/>
  <c r="AQ28" i="60"/>
  <c r="AQ27" i="60"/>
  <c r="AQ19" i="60"/>
  <c r="AQ18" i="60"/>
  <c r="AQ17" i="60"/>
  <c r="AQ16" i="60"/>
  <c r="AQ15" i="60"/>
  <c r="AQ14" i="60"/>
  <c r="AQ13" i="60"/>
  <c r="AQ12" i="60"/>
  <c r="AQ11" i="60"/>
  <c r="AP33" i="59"/>
  <c r="AP32" i="59"/>
  <c r="AP31" i="59"/>
  <c r="AP30" i="59"/>
  <c r="AP29" i="59"/>
  <c r="AP44" i="59"/>
  <c r="AQ131" i="58"/>
  <c r="AQ128" i="58"/>
  <c r="AQ126" i="58"/>
  <c r="AQ124" i="58"/>
  <c r="AQ119" i="58"/>
  <c r="AQ115" i="58"/>
  <c r="AQ112" i="58"/>
  <c r="AQ110" i="58"/>
  <c r="AQ108" i="58"/>
  <c r="AQ107" i="58"/>
  <c r="AQ105" i="58"/>
  <c r="AQ104" i="58"/>
  <c r="AQ103" i="58"/>
  <c r="AQ102" i="58"/>
  <c r="AQ101" i="58"/>
  <c r="AQ30" i="58"/>
  <c r="AQ39" i="58"/>
  <c r="AQ62" i="58"/>
  <c r="AQ92" i="58" s="1"/>
  <c r="AQ74" i="58"/>
  <c r="AQ93" i="58" s="1"/>
  <c r="AO30" i="57"/>
  <c r="AO23" i="57"/>
  <c r="AO16" i="57"/>
  <c r="J14" i="72" l="1"/>
  <c r="C14" i="72" s="1"/>
  <c r="AQ41" i="58"/>
  <c r="H18" i="47"/>
  <c r="B18" i="41" s="1"/>
  <c r="AQ54" i="60"/>
  <c r="AQ78" i="60" s="1"/>
  <c r="I27" i="49"/>
  <c r="D28" i="41" s="1"/>
  <c r="AQ95" i="58"/>
  <c r="AQ76" i="58"/>
  <c r="H28" i="47"/>
  <c r="B28" i="41" s="1"/>
  <c r="I66" i="48"/>
  <c r="E67" i="40" s="1"/>
  <c r="AP35" i="59"/>
  <c r="I67" i="46"/>
  <c r="C67" i="40" s="1"/>
  <c r="AQ121" i="58"/>
  <c r="AQ138" i="58" s="1"/>
  <c r="AQ73" i="60"/>
  <c r="AQ133" i="58"/>
  <c r="AQ139" i="58" s="1"/>
  <c r="AQ23" i="60"/>
  <c r="H28" i="41" l="1"/>
  <c r="W28" i="29" s="1"/>
  <c r="Y28" i="29" s="1"/>
  <c r="I67" i="40"/>
  <c r="W68" i="27" s="1"/>
  <c r="Y68" i="27" s="1"/>
  <c r="AQ56" i="60"/>
  <c r="AQ75" i="60" s="1"/>
  <c r="AQ135" i="58"/>
  <c r="AQ141" i="58"/>
  <c r="K96" i="73"/>
  <c r="K97" i="73"/>
  <c r="K98" i="73"/>
  <c r="K99" i="73"/>
  <c r="K100" i="73"/>
  <c r="K101" i="73"/>
  <c r="K102" i="73"/>
  <c r="K103" i="73"/>
  <c r="K104" i="73"/>
  <c r="K105" i="73"/>
  <c r="K106" i="73"/>
  <c r="K78" i="73"/>
  <c r="K79" i="73"/>
  <c r="K80" i="73"/>
  <c r="K81" i="73"/>
  <c r="K82" i="73"/>
  <c r="K83" i="73"/>
  <c r="K84" i="73"/>
  <c r="K85" i="73"/>
  <c r="K86" i="73"/>
  <c r="K87" i="73"/>
  <c r="K88" i="73"/>
  <c r="AW63" i="60" l="1"/>
  <c r="O73" i="63"/>
  <c r="O72" i="63"/>
  <c r="O71" i="63"/>
  <c r="O70" i="63"/>
  <c r="O67" i="63"/>
  <c r="O66" i="63"/>
  <c r="O65" i="63"/>
  <c r="O64" i="63"/>
  <c r="O48" i="63"/>
  <c r="O47" i="63"/>
  <c r="O46" i="63"/>
  <c r="O45" i="63"/>
  <c r="O27" i="63"/>
  <c r="O26" i="63"/>
  <c r="O25" i="63"/>
  <c r="O21" i="63"/>
  <c r="O44" i="63"/>
  <c r="O43" i="63"/>
  <c r="O42" i="63"/>
  <c r="O41" i="63"/>
  <c r="O40" i="63"/>
  <c r="O39" i="63"/>
  <c r="O38" i="63"/>
  <c r="O37" i="63"/>
  <c r="O36" i="63"/>
  <c r="O35" i="63"/>
  <c r="O34" i="63"/>
  <c r="O33" i="63"/>
  <c r="O24" i="63"/>
  <c r="O23" i="63"/>
  <c r="O22" i="63"/>
  <c r="O67" i="62"/>
  <c r="O54" i="62"/>
  <c r="O52" i="62"/>
  <c r="O51" i="62"/>
  <c r="O50" i="62"/>
  <c r="O49" i="62"/>
  <c r="O48" i="62"/>
  <c r="O47" i="62"/>
  <c r="O58" i="63" l="1"/>
  <c r="O29" i="63"/>
  <c r="F74" i="64" s="1"/>
  <c r="J74" i="64" s="1"/>
  <c r="O75" i="63"/>
  <c r="Z49" i="63"/>
  <c r="Z50" i="63"/>
  <c r="O66" i="62"/>
  <c r="O65" i="62"/>
  <c r="O63" i="62"/>
  <c r="O31" i="62"/>
  <c r="O30" i="62"/>
  <c r="O28" i="62"/>
  <c r="O27" i="62"/>
  <c r="O26" i="62"/>
  <c r="L68" i="53" l="1"/>
  <c r="L70" i="53" s="1"/>
  <c r="AH1" i="74"/>
  <c r="AE52" i="71"/>
  <c r="AE63" i="69"/>
  <c r="AE65" i="69" s="1"/>
  <c r="AE85" i="69"/>
  <c r="AE86" i="69"/>
  <c r="AE67" i="67"/>
  <c r="AE34" i="67"/>
  <c r="AE35" i="67"/>
  <c r="AE128" i="68" s="1"/>
  <c r="AE3" i="67"/>
  <c r="S12" i="29" s="1"/>
  <c r="AE4" i="67"/>
  <c r="AE6" i="67"/>
  <c r="AE7" i="67"/>
  <c r="AE8" i="67"/>
  <c r="AE10" i="67"/>
  <c r="AE11" i="67"/>
  <c r="AE13" i="67"/>
  <c r="S22" i="29" s="1"/>
  <c r="AE14" i="67"/>
  <c r="S23" i="29" s="1"/>
  <c r="AE15" i="67"/>
  <c r="S24" i="29" s="1"/>
  <c r="AE16" i="67"/>
  <c r="S25" i="29" s="1"/>
  <c r="AE17" i="67"/>
  <c r="S26" i="29" s="1"/>
  <c r="AE18" i="67"/>
  <c r="S27" i="29" s="1"/>
  <c r="AE20" i="67"/>
  <c r="AE21" i="67"/>
  <c r="AE126" i="68" s="1"/>
  <c r="AE79" i="66"/>
  <c r="AE97" i="66"/>
  <c r="AE127" i="68"/>
  <c r="AE129" i="68"/>
  <c r="AE130" i="68"/>
  <c r="AE132" i="68"/>
  <c r="AE133" i="68"/>
  <c r="AE134" i="68"/>
  <c r="AE135" i="68"/>
  <c r="AE136" i="68"/>
  <c r="AE137" i="68"/>
  <c r="AE138" i="68"/>
  <c r="AE139" i="68"/>
  <c r="AE144" i="68"/>
  <c r="AE145" i="68"/>
  <c r="AE146" i="68"/>
  <c r="AH2" i="74" s="1"/>
  <c r="B28" i="74" s="1"/>
  <c r="AH3" i="74"/>
  <c r="C28" i="74" s="1"/>
  <c r="AE148" i="68"/>
  <c r="AE149" i="68"/>
  <c r="AE150" i="68"/>
  <c r="AE151" i="68"/>
  <c r="AE152" i="68"/>
  <c r="AE153" i="68"/>
  <c r="AQ3" i="74"/>
  <c r="C35" i="74" s="1"/>
  <c r="AQ2" i="74"/>
  <c r="B35" i="74" s="1"/>
  <c r="AQ1" i="74"/>
  <c r="AF73" i="64"/>
  <c r="AF74" i="64"/>
  <c r="AO63" i="69"/>
  <c r="AO65" i="69" s="1"/>
  <c r="AO63" i="67"/>
  <c r="AO65" i="67"/>
  <c r="AO67" i="67"/>
  <c r="O53" i="62"/>
  <c r="O56" i="62" s="1"/>
  <c r="AO34" i="67"/>
  <c r="AO35" i="67"/>
  <c r="AO128" i="68" s="1"/>
  <c r="AO13" i="67"/>
  <c r="O23" i="62" s="1"/>
  <c r="AO14" i="67"/>
  <c r="AO15" i="67"/>
  <c r="AO124" i="68" s="1"/>
  <c r="AO16" i="67"/>
  <c r="AO17" i="67"/>
  <c r="AO18" i="67"/>
  <c r="AO20" i="67"/>
  <c r="AO140" i="68" s="1"/>
  <c r="AO21" i="67"/>
  <c r="AO126" i="68" s="1"/>
  <c r="AO79" i="66"/>
  <c r="AO127" i="68"/>
  <c r="AO129" i="68"/>
  <c r="AO130" i="68"/>
  <c r="AO132" i="68"/>
  <c r="AO133" i="68"/>
  <c r="AO134" i="68"/>
  <c r="AO135" i="68"/>
  <c r="AO136" i="68"/>
  <c r="AO137" i="68"/>
  <c r="AO138" i="68"/>
  <c r="AO139" i="68"/>
  <c r="AO144" i="68"/>
  <c r="AO145" i="68"/>
  <c r="AO146" i="68"/>
  <c r="AO148" i="68"/>
  <c r="AO149" i="68"/>
  <c r="AO150" i="68"/>
  <c r="AO152" i="68"/>
  <c r="AO153" i="68"/>
  <c r="BJ15" i="67"/>
  <c r="AE124" i="68" l="1"/>
  <c r="O24" i="62"/>
  <c r="AO64" i="67"/>
  <c r="AE64" i="67"/>
  <c r="AE140" i="68"/>
  <c r="AO141" i="68"/>
  <c r="AE141" i="68"/>
  <c r="AE66" i="67"/>
  <c r="AO69" i="67"/>
  <c r="AE69" i="67"/>
  <c r="AE22" i="67"/>
  <c r="O25" i="62"/>
  <c r="AE45" i="67"/>
  <c r="AE70" i="67"/>
  <c r="M75" i="52"/>
  <c r="L74" i="64"/>
  <c r="P74" i="64" s="1"/>
  <c r="AE77" i="69"/>
  <c r="AE81" i="66"/>
  <c r="AO53" i="71"/>
  <c r="AE83" i="69"/>
  <c r="AE53" i="71"/>
  <c r="AO66" i="67"/>
  <c r="AO83" i="69"/>
  <c r="AO22" i="67"/>
  <c r="AO81" i="66"/>
  <c r="AO45" i="67"/>
  <c r="AO70" i="67"/>
  <c r="AO55" i="67" l="1"/>
  <c r="O33" i="62"/>
  <c r="B74" i="64" s="1"/>
  <c r="AE95" i="66"/>
  <c r="AE121" i="68" s="1"/>
  <c r="AO95" i="66"/>
  <c r="AO121" i="68" s="1"/>
  <c r="AO3" i="71"/>
  <c r="AO45" i="71" s="1"/>
  <c r="AO48" i="71" s="1"/>
  <c r="AO77" i="69"/>
  <c r="O61" i="63"/>
  <c r="O77" i="63" s="1"/>
  <c r="O89" i="63" s="1"/>
  <c r="AE3" i="71"/>
  <c r="S63" i="29" l="1"/>
  <c r="AE55" i="67"/>
  <c r="AE81" i="69" s="1"/>
  <c r="AE45" i="71"/>
  <c r="AE48" i="71" s="1"/>
  <c r="O64" i="62"/>
  <c r="O69" i="62" s="1"/>
  <c r="O92" i="63" s="1"/>
  <c r="AO81" i="69"/>
  <c r="AE79" i="69"/>
  <c r="AO3" i="70" l="1"/>
  <c r="AO57" i="67"/>
  <c r="AO60" i="67"/>
  <c r="AE3" i="70"/>
  <c r="AE57" i="67"/>
  <c r="AE60" i="67"/>
  <c r="Z43" i="75"/>
  <c r="AE60" i="70" l="1"/>
  <c r="AE62" i="70" s="1"/>
  <c r="AO60" i="70"/>
  <c r="AO62" i="70" s="1"/>
  <c r="BP28" i="71"/>
  <c r="BP11" i="71"/>
  <c r="BP63" i="69"/>
  <c r="BP65" i="69" s="1"/>
  <c r="BP85" i="69"/>
  <c r="BP86" i="69"/>
  <c r="AE122" i="68" l="1"/>
  <c r="AO122" i="68"/>
  <c r="BP77" i="69"/>
  <c r="C40" i="39" l="1"/>
  <c r="L42" i="8"/>
  <c r="L44" i="8" l="1"/>
  <c r="L56" i="8" s="1"/>
  <c r="BP83" i="69" l="1"/>
  <c r="T17" i="3" l="1"/>
  <c r="AN17" i="3" s="1"/>
  <c r="BG31" i="67" l="1"/>
  <c r="CB430" i="66"/>
  <c r="CA430" i="66"/>
  <c r="BZ430" i="66"/>
  <c r="BY430" i="66"/>
  <c r="BX430" i="66"/>
  <c r="BW430" i="66"/>
  <c r="BV430" i="66"/>
  <c r="BU430" i="66"/>
  <c r="BT430" i="66"/>
  <c r="BS430" i="66"/>
  <c r="BR430" i="66"/>
  <c r="BQ430" i="66"/>
  <c r="BP430" i="66"/>
  <c r="BO430" i="66"/>
  <c r="BN430" i="66"/>
  <c r="BM430" i="66"/>
  <c r="BK430" i="66"/>
  <c r="BJ430" i="66"/>
  <c r="BI430" i="66"/>
  <c r="BH430" i="66"/>
  <c r="BG430" i="66"/>
  <c r="BF430" i="66"/>
  <c r="BE430" i="66"/>
  <c r="BD430" i="66"/>
  <c r="BC430" i="66"/>
  <c r="BB430" i="66"/>
  <c r="BA430" i="66"/>
  <c r="AZ430" i="66"/>
  <c r="AY430" i="66"/>
  <c r="AX430" i="66"/>
  <c r="AA430" i="66"/>
  <c r="Z430" i="66"/>
  <c r="Y430" i="66"/>
  <c r="X430" i="66"/>
  <c r="W430" i="66"/>
  <c r="V430" i="66"/>
  <c r="U430" i="66"/>
  <c r="T430" i="66"/>
  <c r="S430" i="66"/>
  <c r="R430" i="66"/>
  <c r="Q430" i="66"/>
  <c r="P430" i="66"/>
  <c r="O430" i="66"/>
  <c r="N430" i="66"/>
  <c r="M430" i="66"/>
  <c r="L430" i="66"/>
  <c r="K430" i="66"/>
  <c r="J430" i="66"/>
  <c r="I430" i="66"/>
  <c r="H430" i="66"/>
  <c r="G430" i="66"/>
  <c r="F430" i="66"/>
  <c r="E430" i="66"/>
  <c r="D430" i="66"/>
  <c r="CB429" i="66"/>
  <c r="CA429" i="66"/>
  <c r="BZ429" i="66"/>
  <c r="BY429" i="66"/>
  <c r="BX429" i="66"/>
  <c r="BW429" i="66"/>
  <c r="BV429" i="66"/>
  <c r="BU429" i="66"/>
  <c r="BT429" i="66"/>
  <c r="BS429" i="66"/>
  <c r="BR429" i="66"/>
  <c r="BQ429" i="66"/>
  <c r="BP429" i="66"/>
  <c r="BO429" i="66"/>
  <c r="BN429" i="66"/>
  <c r="BM429" i="66"/>
  <c r="BL429" i="66"/>
  <c r="BK429" i="66"/>
  <c r="BJ429" i="66"/>
  <c r="BI429" i="66"/>
  <c r="BH429" i="66"/>
  <c r="BG429" i="66"/>
  <c r="BF429" i="66"/>
  <c r="BE429" i="66"/>
  <c r="BD429" i="66"/>
  <c r="BC429" i="66"/>
  <c r="BB429" i="66"/>
  <c r="BA429" i="66"/>
  <c r="AZ429" i="66"/>
  <c r="AY429" i="66"/>
  <c r="AX429" i="66"/>
  <c r="AA429" i="66"/>
  <c r="Z429" i="66"/>
  <c r="Y429" i="66"/>
  <c r="X429" i="66"/>
  <c r="W429" i="66"/>
  <c r="V429" i="66"/>
  <c r="U429" i="66"/>
  <c r="T429" i="66"/>
  <c r="S429" i="66"/>
  <c r="R429" i="66"/>
  <c r="Q429" i="66"/>
  <c r="P429" i="66"/>
  <c r="O429" i="66"/>
  <c r="N429" i="66"/>
  <c r="M429" i="66"/>
  <c r="L429" i="66"/>
  <c r="K429" i="66"/>
  <c r="J429" i="66"/>
  <c r="I429" i="66"/>
  <c r="H429" i="66"/>
  <c r="G429" i="66"/>
  <c r="F429" i="66"/>
  <c r="E429" i="66"/>
  <c r="D429" i="66"/>
  <c r="CB428" i="66"/>
  <c r="CA428" i="66"/>
  <c r="BZ428" i="66"/>
  <c r="BY428" i="66"/>
  <c r="BX428" i="66"/>
  <c r="BW428" i="66"/>
  <c r="BV428" i="66"/>
  <c r="BU428" i="66"/>
  <c r="BT428" i="66"/>
  <c r="BS428" i="66"/>
  <c r="BR428" i="66"/>
  <c r="BQ428" i="66"/>
  <c r="BP428" i="66"/>
  <c r="BO428" i="66"/>
  <c r="BN428" i="66"/>
  <c r="BM428" i="66"/>
  <c r="BL428" i="66"/>
  <c r="BK428" i="66"/>
  <c r="BJ428" i="66"/>
  <c r="BI428" i="66"/>
  <c r="BH428" i="66"/>
  <c r="BG428" i="66"/>
  <c r="BF428" i="66"/>
  <c r="BE428" i="66"/>
  <c r="BD428" i="66"/>
  <c r="BC428" i="66"/>
  <c r="BB428" i="66"/>
  <c r="BA428" i="66"/>
  <c r="AZ428" i="66"/>
  <c r="AY428" i="66"/>
  <c r="AX428" i="66"/>
  <c r="AA428" i="66"/>
  <c r="Z428" i="66"/>
  <c r="Y428" i="66"/>
  <c r="X428" i="66"/>
  <c r="W428" i="66"/>
  <c r="V428" i="66"/>
  <c r="U428" i="66"/>
  <c r="T428" i="66"/>
  <c r="S428" i="66"/>
  <c r="R428" i="66"/>
  <c r="Q428" i="66"/>
  <c r="P428" i="66"/>
  <c r="O428" i="66"/>
  <c r="N428" i="66"/>
  <c r="M428" i="66"/>
  <c r="L428" i="66"/>
  <c r="K428" i="66"/>
  <c r="J428" i="66"/>
  <c r="I428" i="66"/>
  <c r="H428" i="66"/>
  <c r="G428" i="66"/>
  <c r="F428" i="66"/>
  <c r="E428" i="66"/>
  <c r="D428" i="66"/>
  <c r="CB427" i="66"/>
  <c r="CA427" i="66"/>
  <c r="BZ427" i="66"/>
  <c r="BY427" i="66"/>
  <c r="BX427" i="66"/>
  <c r="BW427" i="66"/>
  <c r="BV427" i="66"/>
  <c r="BU427" i="66"/>
  <c r="BT427" i="66"/>
  <c r="BS427" i="66"/>
  <c r="BR427" i="66"/>
  <c r="BQ427" i="66"/>
  <c r="BP427" i="66"/>
  <c r="BO427" i="66"/>
  <c r="BN427" i="66"/>
  <c r="BM427" i="66"/>
  <c r="BL427" i="66"/>
  <c r="BK427" i="66"/>
  <c r="BJ427" i="66"/>
  <c r="BI427" i="66"/>
  <c r="BH427" i="66"/>
  <c r="BG427" i="66"/>
  <c r="BF427" i="66"/>
  <c r="BE427" i="66"/>
  <c r="BD427" i="66"/>
  <c r="BC427" i="66"/>
  <c r="BB427" i="66"/>
  <c r="BA427" i="66"/>
  <c r="AZ427" i="66"/>
  <c r="AY427" i="66"/>
  <c r="AX427" i="66"/>
  <c r="AA427" i="66"/>
  <c r="Z427" i="66"/>
  <c r="Y427" i="66"/>
  <c r="X427" i="66"/>
  <c r="W427" i="66"/>
  <c r="V427" i="66"/>
  <c r="U427" i="66"/>
  <c r="T427" i="66"/>
  <c r="S427" i="66"/>
  <c r="R427" i="66"/>
  <c r="Q427" i="66"/>
  <c r="P427" i="66"/>
  <c r="O427" i="66"/>
  <c r="N427" i="66"/>
  <c r="M427" i="66"/>
  <c r="L427" i="66"/>
  <c r="K427" i="66"/>
  <c r="J427" i="66"/>
  <c r="I427" i="66"/>
  <c r="H427" i="66"/>
  <c r="G427" i="66"/>
  <c r="F427" i="66"/>
  <c r="E427" i="66"/>
  <c r="D427" i="66"/>
  <c r="CB426" i="66"/>
  <c r="CA426" i="66"/>
  <c r="BZ426" i="66"/>
  <c r="BY426" i="66"/>
  <c r="BX426" i="66"/>
  <c r="BW426" i="66"/>
  <c r="BV426" i="66"/>
  <c r="BU426" i="66"/>
  <c r="BT426" i="66"/>
  <c r="BS426" i="66"/>
  <c r="BR426" i="66"/>
  <c r="BQ426" i="66"/>
  <c r="BP426" i="66"/>
  <c r="BO426" i="66"/>
  <c r="BN426" i="66"/>
  <c r="BM426" i="66"/>
  <c r="BL426" i="66"/>
  <c r="BK426" i="66"/>
  <c r="BJ426" i="66"/>
  <c r="BI426" i="66"/>
  <c r="BH426" i="66"/>
  <c r="BG426" i="66"/>
  <c r="BF426" i="66"/>
  <c r="BE426" i="66"/>
  <c r="BD426" i="66"/>
  <c r="BC426" i="66"/>
  <c r="BB426" i="66"/>
  <c r="BA426" i="66"/>
  <c r="AZ426" i="66"/>
  <c r="AY426" i="66"/>
  <c r="AX426" i="66"/>
  <c r="AA426" i="66"/>
  <c r="Z426" i="66"/>
  <c r="Y426" i="66"/>
  <c r="X426" i="66"/>
  <c r="W426" i="66"/>
  <c r="V426" i="66"/>
  <c r="U426" i="66"/>
  <c r="T426" i="66"/>
  <c r="S426" i="66"/>
  <c r="R426" i="66"/>
  <c r="Q426" i="66"/>
  <c r="P426" i="66"/>
  <c r="O426" i="66"/>
  <c r="N426" i="66"/>
  <c r="M426" i="66"/>
  <c r="L426" i="66"/>
  <c r="K426" i="66"/>
  <c r="J426" i="66"/>
  <c r="I426" i="66"/>
  <c r="H426" i="66"/>
  <c r="G426" i="66"/>
  <c r="F426" i="66"/>
  <c r="E426" i="66"/>
  <c r="D426" i="66"/>
  <c r="CB425" i="66"/>
  <c r="CA425" i="66"/>
  <c r="BZ425" i="66"/>
  <c r="BY425" i="66"/>
  <c r="BX425" i="66"/>
  <c r="BW425" i="66"/>
  <c r="BV425" i="66"/>
  <c r="BU425" i="66"/>
  <c r="BT425" i="66"/>
  <c r="BS425" i="66"/>
  <c r="BR425" i="66"/>
  <c r="BQ425" i="66"/>
  <c r="BP425" i="66"/>
  <c r="BO425" i="66"/>
  <c r="BN425" i="66"/>
  <c r="BM425" i="66"/>
  <c r="BL425" i="66"/>
  <c r="BK425" i="66"/>
  <c r="BJ425" i="66"/>
  <c r="BI425" i="66"/>
  <c r="BH425" i="66"/>
  <c r="BG425" i="66"/>
  <c r="BF425" i="66"/>
  <c r="BE425" i="66"/>
  <c r="BD425" i="66"/>
  <c r="BC425" i="66"/>
  <c r="BB425" i="66"/>
  <c r="BA425" i="66"/>
  <c r="AZ425" i="66"/>
  <c r="AY425" i="66"/>
  <c r="AX425" i="66"/>
  <c r="AA425" i="66"/>
  <c r="Z425" i="66"/>
  <c r="Y425" i="66"/>
  <c r="X425" i="66"/>
  <c r="W425" i="66"/>
  <c r="V425" i="66"/>
  <c r="U425" i="66"/>
  <c r="T425" i="66"/>
  <c r="S425" i="66"/>
  <c r="R425" i="66"/>
  <c r="Q425" i="66"/>
  <c r="P425" i="66"/>
  <c r="O425" i="66"/>
  <c r="N425" i="66"/>
  <c r="M425" i="66"/>
  <c r="L425" i="66"/>
  <c r="K425" i="66"/>
  <c r="J425" i="66"/>
  <c r="I425" i="66"/>
  <c r="H425" i="66"/>
  <c r="G425" i="66"/>
  <c r="F425" i="66"/>
  <c r="E425" i="66"/>
  <c r="D425" i="66"/>
  <c r="CB424" i="66"/>
  <c r="CA424" i="66"/>
  <c r="BZ424" i="66"/>
  <c r="BY424" i="66"/>
  <c r="BX424" i="66"/>
  <c r="BW424" i="66"/>
  <c r="BV424" i="66"/>
  <c r="BU424" i="66"/>
  <c r="BT424" i="66"/>
  <c r="BS424" i="66"/>
  <c r="BR424" i="66"/>
  <c r="BQ424" i="66"/>
  <c r="BP424" i="66"/>
  <c r="BO424" i="66"/>
  <c r="BN424" i="66"/>
  <c r="BM424" i="66"/>
  <c r="BL424" i="66"/>
  <c r="BK424" i="66"/>
  <c r="BJ424" i="66"/>
  <c r="BI424" i="66"/>
  <c r="BH424" i="66"/>
  <c r="BG424" i="66"/>
  <c r="BF424" i="66"/>
  <c r="BE424" i="66"/>
  <c r="BD424" i="66"/>
  <c r="BC424" i="66"/>
  <c r="BB424" i="66"/>
  <c r="BA424" i="66"/>
  <c r="AZ424" i="66"/>
  <c r="AY424" i="66"/>
  <c r="AX424" i="66"/>
  <c r="AA424" i="66"/>
  <c r="Z424" i="66"/>
  <c r="Y424" i="66"/>
  <c r="X424" i="66"/>
  <c r="W424" i="66"/>
  <c r="V424" i="66"/>
  <c r="U424" i="66"/>
  <c r="T424" i="66"/>
  <c r="S424" i="66"/>
  <c r="R424" i="66"/>
  <c r="Q424" i="66"/>
  <c r="P424" i="66"/>
  <c r="O424" i="66"/>
  <c r="N424" i="66"/>
  <c r="M424" i="66"/>
  <c r="L424" i="66"/>
  <c r="K424" i="66"/>
  <c r="J424" i="66"/>
  <c r="I424" i="66"/>
  <c r="H424" i="66"/>
  <c r="G424" i="66"/>
  <c r="F424" i="66"/>
  <c r="E424" i="66"/>
  <c r="D424" i="66"/>
  <c r="CB423" i="66"/>
  <c r="CA423" i="66"/>
  <c r="BZ423" i="66"/>
  <c r="BY423" i="66"/>
  <c r="BX423" i="66"/>
  <c r="BW423" i="66"/>
  <c r="BV423" i="66"/>
  <c r="BU423" i="66"/>
  <c r="BT423" i="66"/>
  <c r="BS423" i="66"/>
  <c r="BR423" i="66"/>
  <c r="BQ423" i="66"/>
  <c r="BP423" i="66"/>
  <c r="BO423" i="66"/>
  <c r="BN423" i="66"/>
  <c r="BM423" i="66"/>
  <c r="BL423" i="66"/>
  <c r="BK423" i="66"/>
  <c r="BJ423" i="66"/>
  <c r="BI423" i="66"/>
  <c r="BH423" i="66"/>
  <c r="BG423" i="66"/>
  <c r="BF423" i="66"/>
  <c r="BE423" i="66"/>
  <c r="BD423" i="66"/>
  <c r="BC423" i="66"/>
  <c r="BB423" i="66"/>
  <c r="BA423" i="66"/>
  <c r="AZ423" i="66"/>
  <c r="AY423" i="66"/>
  <c r="AX423" i="66"/>
  <c r="AA423" i="66"/>
  <c r="Z423" i="66"/>
  <c r="Y423" i="66"/>
  <c r="X423" i="66"/>
  <c r="W423" i="66"/>
  <c r="V423" i="66"/>
  <c r="U423" i="66"/>
  <c r="T423" i="66"/>
  <c r="S423" i="66"/>
  <c r="R423" i="66"/>
  <c r="Q423" i="66"/>
  <c r="P423" i="66"/>
  <c r="O423" i="66"/>
  <c r="N423" i="66"/>
  <c r="M423" i="66"/>
  <c r="L423" i="66"/>
  <c r="K423" i="66"/>
  <c r="J423" i="66"/>
  <c r="I423" i="66"/>
  <c r="H423" i="66"/>
  <c r="G423" i="66"/>
  <c r="F423" i="66"/>
  <c r="E423" i="66"/>
  <c r="D423" i="66"/>
  <c r="CB422" i="66"/>
  <c r="CA422" i="66"/>
  <c r="BZ422" i="66"/>
  <c r="BY422" i="66"/>
  <c r="BX422" i="66"/>
  <c r="BW422" i="66"/>
  <c r="BV422" i="66"/>
  <c r="BU422" i="66"/>
  <c r="BT422" i="66"/>
  <c r="BS422" i="66"/>
  <c r="BR422" i="66"/>
  <c r="BQ422" i="66"/>
  <c r="BP422" i="66"/>
  <c r="BO422" i="66"/>
  <c r="BN422" i="66"/>
  <c r="BM422" i="66"/>
  <c r="BL422" i="66"/>
  <c r="BK422" i="66"/>
  <c r="BJ422" i="66"/>
  <c r="BI422" i="66"/>
  <c r="BH422" i="66"/>
  <c r="BG422" i="66"/>
  <c r="BF422" i="66"/>
  <c r="BE422" i="66"/>
  <c r="BD422" i="66"/>
  <c r="BC422" i="66"/>
  <c r="BB422" i="66"/>
  <c r="BA422" i="66"/>
  <c r="AZ422" i="66"/>
  <c r="AY422" i="66"/>
  <c r="AX422" i="66"/>
  <c r="AA422" i="66"/>
  <c r="Z422" i="66"/>
  <c r="Y422" i="66"/>
  <c r="X422" i="66"/>
  <c r="W422" i="66"/>
  <c r="V422" i="66"/>
  <c r="U422" i="66"/>
  <c r="T422" i="66"/>
  <c r="S422" i="66"/>
  <c r="R422" i="66"/>
  <c r="Q422" i="66"/>
  <c r="P422" i="66"/>
  <c r="O422" i="66"/>
  <c r="N422" i="66"/>
  <c r="M422" i="66"/>
  <c r="L422" i="66"/>
  <c r="K422" i="66"/>
  <c r="J422" i="66"/>
  <c r="I422" i="66"/>
  <c r="H422" i="66"/>
  <c r="G422" i="66"/>
  <c r="F422" i="66"/>
  <c r="E422" i="66"/>
  <c r="D422" i="66"/>
  <c r="CB421" i="66"/>
  <c r="CA421" i="66"/>
  <c r="BZ421" i="66"/>
  <c r="BY421" i="66"/>
  <c r="BX421" i="66"/>
  <c r="BW421" i="66"/>
  <c r="BV421" i="66"/>
  <c r="BU421" i="66"/>
  <c r="BT421" i="66"/>
  <c r="BS421" i="66"/>
  <c r="BR421" i="66"/>
  <c r="BQ421" i="66"/>
  <c r="BP421" i="66"/>
  <c r="BO421" i="66"/>
  <c r="BN421" i="66"/>
  <c r="BM421" i="66"/>
  <c r="BL421" i="66"/>
  <c r="BK421" i="66"/>
  <c r="BJ421" i="66"/>
  <c r="BI421" i="66"/>
  <c r="BH421" i="66"/>
  <c r="BG421" i="66"/>
  <c r="BF421" i="66"/>
  <c r="BE421" i="66"/>
  <c r="BD421" i="66"/>
  <c r="BC421" i="66"/>
  <c r="BB421" i="66"/>
  <c r="BA421" i="66"/>
  <c r="AZ421" i="66"/>
  <c r="AY421" i="66"/>
  <c r="AX421" i="66"/>
  <c r="AA421" i="66"/>
  <c r="Z421" i="66"/>
  <c r="Y421" i="66"/>
  <c r="X421" i="66"/>
  <c r="W421" i="66"/>
  <c r="V421" i="66"/>
  <c r="U421" i="66"/>
  <c r="T421" i="66"/>
  <c r="S421" i="66"/>
  <c r="R421" i="66"/>
  <c r="Q421" i="66"/>
  <c r="P421" i="66"/>
  <c r="O421" i="66"/>
  <c r="N421" i="66"/>
  <c r="M421" i="66"/>
  <c r="L421" i="66"/>
  <c r="K421" i="66"/>
  <c r="J421" i="66"/>
  <c r="I421" i="66"/>
  <c r="H421" i="66"/>
  <c r="G421" i="66"/>
  <c r="F421" i="66"/>
  <c r="E421" i="66"/>
  <c r="D421" i="66"/>
  <c r="CB420" i="66"/>
  <c r="CA420" i="66"/>
  <c r="BZ420" i="66"/>
  <c r="BY420" i="66"/>
  <c r="BX420" i="66"/>
  <c r="BW420" i="66"/>
  <c r="BV420" i="66"/>
  <c r="BU420" i="66"/>
  <c r="BT420" i="66"/>
  <c r="BS420" i="66"/>
  <c r="BR420" i="66"/>
  <c r="BQ420" i="66"/>
  <c r="BP420" i="66"/>
  <c r="BO420" i="66"/>
  <c r="BN420" i="66"/>
  <c r="BM420" i="66"/>
  <c r="BL420" i="66"/>
  <c r="BK420" i="66"/>
  <c r="BJ420" i="66"/>
  <c r="BI420" i="66"/>
  <c r="BH420" i="66"/>
  <c r="BG420" i="66"/>
  <c r="BF420" i="66"/>
  <c r="BE420" i="66"/>
  <c r="BD420" i="66"/>
  <c r="BC420" i="66"/>
  <c r="BB420" i="66"/>
  <c r="BA420" i="66"/>
  <c r="AZ420" i="66"/>
  <c r="AY420" i="66"/>
  <c r="AX420" i="66"/>
  <c r="AA420" i="66"/>
  <c r="Z420" i="66"/>
  <c r="Y420" i="66"/>
  <c r="X420" i="66"/>
  <c r="W420" i="66"/>
  <c r="V420" i="66"/>
  <c r="U420" i="66"/>
  <c r="T420" i="66"/>
  <c r="S420" i="66"/>
  <c r="R420" i="66"/>
  <c r="Q420" i="66"/>
  <c r="P420" i="66"/>
  <c r="O420" i="66"/>
  <c r="N420" i="66"/>
  <c r="M420" i="66"/>
  <c r="L420" i="66"/>
  <c r="K420" i="66"/>
  <c r="J420" i="66"/>
  <c r="I420" i="66"/>
  <c r="H420" i="66"/>
  <c r="G420" i="66"/>
  <c r="F420" i="66"/>
  <c r="E420" i="66"/>
  <c r="D420" i="66"/>
  <c r="CB419" i="66"/>
  <c r="CA419" i="66"/>
  <c r="BZ419" i="66"/>
  <c r="BY419" i="66"/>
  <c r="BX419" i="66"/>
  <c r="BW419" i="66"/>
  <c r="BV419" i="66"/>
  <c r="BU419" i="66"/>
  <c r="BT419" i="66"/>
  <c r="BS419" i="66"/>
  <c r="BR419" i="66"/>
  <c r="BQ419" i="66"/>
  <c r="BP419" i="66"/>
  <c r="BO419" i="66"/>
  <c r="BN419" i="66"/>
  <c r="BM419" i="66"/>
  <c r="BL419" i="66"/>
  <c r="BK419" i="66"/>
  <c r="BJ419" i="66"/>
  <c r="BI419" i="66"/>
  <c r="BH419" i="66"/>
  <c r="BG419" i="66"/>
  <c r="BF419" i="66"/>
  <c r="BE419" i="66"/>
  <c r="BD419" i="66"/>
  <c r="BC419" i="66"/>
  <c r="BB419" i="66"/>
  <c r="BA419" i="66"/>
  <c r="AZ419" i="66"/>
  <c r="AY419" i="66"/>
  <c r="AX419" i="66"/>
  <c r="AA419" i="66"/>
  <c r="Z419" i="66"/>
  <c r="Y419" i="66"/>
  <c r="X419" i="66"/>
  <c r="W419" i="66"/>
  <c r="V419" i="66"/>
  <c r="U419" i="66"/>
  <c r="T419" i="66"/>
  <c r="S419" i="66"/>
  <c r="R419" i="66"/>
  <c r="Q419" i="66"/>
  <c r="P419" i="66"/>
  <c r="O419" i="66"/>
  <c r="N419" i="66"/>
  <c r="M419" i="66"/>
  <c r="L419" i="66"/>
  <c r="K419" i="66"/>
  <c r="J419" i="66"/>
  <c r="I419" i="66"/>
  <c r="H419" i="66"/>
  <c r="G419" i="66"/>
  <c r="F419" i="66"/>
  <c r="E419" i="66"/>
  <c r="D419" i="66"/>
  <c r="CB418" i="66"/>
  <c r="CA418" i="66"/>
  <c r="BZ418" i="66"/>
  <c r="BY418" i="66"/>
  <c r="BX418" i="66"/>
  <c r="BW418" i="66"/>
  <c r="BV418" i="66"/>
  <c r="BU418" i="66"/>
  <c r="BT418" i="66"/>
  <c r="BS418" i="66"/>
  <c r="BR418" i="66"/>
  <c r="BQ418" i="66"/>
  <c r="BP418" i="66"/>
  <c r="BO418" i="66"/>
  <c r="BN418" i="66"/>
  <c r="BM418" i="66"/>
  <c r="BL418" i="66"/>
  <c r="BK418" i="66"/>
  <c r="BJ418" i="66"/>
  <c r="BI418" i="66"/>
  <c r="BH418" i="66"/>
  <c r="BG418" i="66"/>
  <c r="BF418" i="66"/>
  <c r="BE418" i="66"/>
  <c r="BD418" i="66"/>
  <c r="BC418" i="66"/>
  <c r="BB418" i="66"/>
  <c r="BA418" i="66"/>
  <c r="AZ418" i="66"/>
  <c r="AY418" i="66"/>
  <c r="AX418" i="66"/>
  <c r="AA418" i="66"/>
  <c r="Z418" i="66"/>
  <c r="Y418" i="66"/>
  <c r="X418" i="66"/>
  <c r="W418" i="66"/>
  <c r="V418" i="66"/>
  <c r="U418" i="66"/>
  <c r="T418" i="66"/>
  <c r="S418" i="66"/>
  <c r="R418" i="66"/>
  <c r="Q418" i="66"/>
  <c r="P418" i="66"/>
  <c r="O418" i="66"/>
  <c r="N418" i="66"/>
  <c r="M418" i="66"/>
  <c r="L418" i="66"/>
  <c r="K418" i="66"/>
  <c r="J418" i="66"/>
  <c r="I418" i="66"/>
  <c r="H418" i="66"/>
  <c r="G418" i="66"/>
  <c r="F418" i="66"/>
  <c r="E418" i="66"/>
  <c r="D418" i="66"/>
  <c r="CB417" i="66"/>
  <c r="CA417" i="66"/>
  <c r="BZ417" i="66"/>
  <c r="BY417" i="66"/>
  <c r="BX417" i="66"/>
  <c r="BW417" i="66"/>
  <c r="BV417" i="66"/>
  <c r="BU417" i="66"/>
  <c r="BT417" i="66"/>
  <c r="BS417" i="66"/>
  <c r="BR417" i="66"/>
  <c r="BQ417" i="66"/>
  <c r="BP417" i="66"/>
  <c r="BO417" i="66"/>
  <c r="BN417" i="66"/>
  <c r="BM417" i="66"/>
  <c r="BL417" i="66"/>
  <c r="BK417" i="66"/>
  <c r="BJ417" i="66"/>
  <c r="BI417" i="66"/>
  <c r="BH417" i="66"/>
  <c r="BG417" i="66"/>
  <c r="BF417" i="66"/>
  <c r="BE417" i="66"/>
  <c r="BD417" i="66"/>
  <c r="BC417" i="66"/>
  <c r="BB417" i="66"/>
  <c r="BA417" i="66"/>
  <c r="AZ417" i="66"/>
  <c r="AY417" i="66"/>
  <c r="AX417" i="66"/>
  <c r="AA417" i="66"/>
  <c r="Z417" i="66"/>
  <c r="Y417" i="66"/>
  <c r="X417" i="66"/>
  <c r="W417" i="66"/>
  <c r="V417" i="66"/>
  <c r="U417" i="66"/>
  <c r="T417" i="66"/>
  <c r="S417" i="66"/>
  <c r="R417" i="66"/>
  <c r="Q417" i="66"/>
  <c r="P417" i="66"/>
  <c r="O417" i="66"/>
  <c r="N417" i="66"/>
  <c r="M417" i="66"/>
  <c r="L417" i="66"/>
  <c r="K417" i="66"/>
  <c r="J417" i="66"/>
  <c r="I417" i="66"/>
  <c r="H417" i="66"/>
  <c r="G417" i="66"/>
  <c r="F417" i="66"/>
  <c r="E417" i="66"/>
  <c r="D417" i="66"/>
  <c r="CB416" i="66"/>
  <c r="CA416" i="66"/>
  <c r="BZ416" i="66"/>
  <c r="BY416" i="66"/>
  <c r="BX416" i="66"/>
  <c r="BW416" i="66"/>
  <c r="BV416" i="66"/>
  <c r="BU416" i="66"/>
  <c r="BT416" i="66"/>
  <c r="BS416" i="66"/>
  <c r="BR416" i="66"/>
  <c r="BQ416" i="66"/>
  <c r="BP416" i="66"/>
  <c r="BO416" i="66"/>
  <c r="BN416" i="66"/>
  <c r="BM416" i="66"/>
  <c r="BL416" i="66"/>
  <c r="BK416" i="66"/>
  <c r="BJ416" i="66"/>
  <c r="BI416" i="66"/>
  <c r="BH416" i="66"/>
  <c r="BG416" i="66"/>
  <c r="BF416" i="66"/>
  <c r="BE416" i="66"/>
  <c r="BD416" i="66"/>
  <c r="BC416" i="66"/>
  <c r="BB416" i="66"/>
  <c r="BA416" i="66"/>
  <c r="AZ416" i="66"/>
  <c r="AY416" i="66"/>
  <c r="AX416" i="66"/>
  <c r="AA416" i="66"/>
  <c r="Z416" i="66"/>
  <c r="Y416" i="66"/>
  <c r="X416" i="66"/>
  <c r="W416" i="66"/>
  <c r="V416" i="66"/>
  <c r="U416" i="66"/>
  <c r="T416" i="66"/>
  <c r="S416" i="66"/>
  <c r="R416" i="66"/>
  <c r="Q416" i="66"/>
  <c r="P416" i="66"/>
  <c r="O416" i="66"/>
  <c r="N416" i="66"/>
  <c r="M416" i="66"/>
  <c r="L416" i="66"/>
  <c r="K416" i="66"/>
  <c r="J416" i="66"/>
  <c r="I416" i="66"/>
  <c r="H416" i="66"/>
  <c r="G416" i="66"/>
  <c r="F416" i="66"/>
  <c r="E416" i="66"/>
  <c r="D416" i="66"/>
  <c r="CB415" i="66"/>
  <c r="CA415" i="66"/>
  <c r="BZ415" i="66"/>
  <c r="BY415" i="66"/>
  <c r="BX415" i="66"/>
  <c r="BW415" i="66"/>
  <c r="BV415" i="66"/>
  <c r="BU415" i="66"/>
  <c r="BT415" i="66"/>
  <c r="BS415" i="66"/>
  <c r="BR415" i="66"/>
  <c r="BQ415" i="66"/>
  <c r="BP415" i="66"/>
  <c r="BO415" i="66"/>
  <c r="BN415" i="66"/>
  <c r="BM415" i="66"/>
  <c r="BL415" i="66"/>
  <c r="BK415" i="66"/>
  <c r="BJ415" i="66"/>
  <c r="BI415" i="66"/>
  <c r="BH415" i="66"/>
  <c r="BG415" i="66"/>
  <c r="BF415" i="66"/>
  <c r="BE415" i="66"/>
  <c r="BD415" i="66"/>
  <c r="BC415" i="66"/>
  <c r="BB415" i="66"/>
  <c r="BA415" i="66"/>
  <c r="AZ415" i="66"/>
  <c r="AY415" i="66"/>
  <c r="AX415" i="66"/>
  <c r="AA415" i="66"/>
  <c r="Z415" i="66"/>
  <c r="Y415" i="66"/>
  <c r="X415" i="66"/>
  <c r="W415" i="66"/>
  <c r="V415" i="66"/>
  <c r="U415" i="66"/>
  <c r="T415" i="66"/>
  <c r="S415" i="66"/>
  <c r="R415" i="66"/>
  <c r="Q415" i="66"/>
  <c r="P415" i="66"/>
  <c r="O415" i="66"/>
  <c r="N415" i="66"/>
  <c r="M415" i="66"/>
  <c r="L415" i="66"/>
  <c r="K415" i="66"/>
  <c r="J415" i="66"/>
  <c r="I415" i="66"/>
  <c r="H415" i="66"/>
  <c r="G415" i="66"/>
  <c r="F415" i="66"/>
  <c r="E415" i="66"/>
  <c r="D415" i="66"/>
  <c r="C416" i="66"/>
  <c r="C417" i="66"/>
  <c r="C418" i="66"/>
  <c r="C419" i="66"/>
  <c r="C420" i="66"/>
  <c r="C421" i="66"/>
  <c r="C422" i="66"/>
  <c r="C423" i="66"/>
  <c r="C424" i="66"/>
  <c r="C425" i="66"/>
  <c r="C426" i="66"/>
  <c r="C427" i="66"/>
  <c r="C428" i="66"/>
  <c r="C429" i="66"/>
  <c r="C430" i="66"/>
  <c r="CB490" i="66"/>
  <c r="CA490" i="66"/>
  <c r="BZ490" i="66"/>
  <c r="BY490" i="66"/>
  <c r="BX490" i="66"/>
  <c r="BW490" i="66"/>
  <c r="BV490" i="66"/>
  <c r="BU490" i="66"/>
  <c r="BT490" i="66"/>
  <c r="BS490" i="66"/>
  <c r="BR490" i="66"/>
  <c r="BQ490" i="66"/>
  <c r="BP490" i="66"/>
  <c r="BO490" i="66"/>
  <c r="BN490" i="66"/>
  <c r="BM490" i="66"/>
  <c r="BL490" i="66"/>
  <c r="BK490" i="66"/>
  <c r="BI490" i="66"/>
  <c r="BH490" i="66"/>
  <c r="BG490" i="66"/>
  <c r="BF490" i="66"/>
  <c r="BE490" i="66"/>
  <c r="BD490" i="66"/>
  <c r="BC490" i="66"/>
  <c r="BB490" i="66"/>
  <c r="BA490" i="66"/>
  <c r="AZ490" i="66"/>
  <c r="AY490" i="66"/>
  <c r="AX490" i="66"/>
  <c r="Z490" i="66"/>
  <c r="Y490" i="66"/>
  <c r="X490" i="66"/>
  <c r="W490" i="66"/>
  <c r="V490" i="66"/>
  <c r="U490" i="66"/>
  <c r="T490" i="66"/>
  <c r="S490" i="66"/>
  <c r="R490" i="66"/>
  <c r="Q490" i="66"/>
  <c r="P490" i="66"/>
  <c r="N490" i="66"/>
  <c r="M490" i="66"/>
  <c r="L490" i="66"/>
  <c r="K490" i="66"/>
  <c r="J490" i="66"/>
  <c r="I490" i="66"/>
  <c r="H490" i="66"/>
  <c r="G490" i="66"/>
  <c r="F490" i="66"/>
  <c r="E490" i="66"/>
  <c r="D490" i="66"/>
  <c r="CB489" i="66"/>
  <c r="CA489" i="66"/>
  <c r="BZ489" i="66"/>
  <c r="BY489" i="66"/>
  <c r="BX489" i="66"/>
  <c r="BW489" i="66"/>
  <c r="BV489" i="66"/>
  <c r="BU489" i="66"/>
  <c r="BT489" i="66"/>
  <c r="BS489" i="66"/>
  <c r="BR489" i="66"/>
  <c r="BQ489" i="66"/>
  <c r="BP489" i="66"/>
  <c r="BO489" i="66"/>
  <c r="BN489" i="66"/>
  <c r="BM489" i="66"/>
  <c r="BL489" i="66"/>
  <c r="BK489" i="66"/>
  <c r="BJ489" i="66"/>
  <c r="BI489" i="66"/>
  <c r="BH489" i="66"/>
  <c r="BG489" i="66"/>
  <c r="BF489" i="66"/>
  <c r="BE489" i="66"/>
  <c r="BD489" i="66"/>
  <c r="BC489" i="66"/>
  <c r="BB489" i="66"/>
  <c r="BA489" i="66"/>
  <c r="AZ489" i="66"/>
  <c r="AY489" i="66"/>
  <c r="AX489" i="66"/>
  <c r="AA489" i="66"/>
  <c r="Z489" i="66"/>
  <c r="Y489" i="66"/>
  <c r="X489" i="66"/>
  <c r="W489" i="66"/>
  <c r="V489" i="66"/>
  <c r="U489" i="66"/>
  <c r="T489" i="66"/>
  <c r="S489" i="66"/>
  <c r="R489" i="66"/>
  <c r="Q489" i="66"/>
  <c r="P489" i="66"/>
  <c r="O489" i="66"/>
  <c r="N489" i="66"/>
  <c r="M489" i="66"/>
  <c r="L489" i="66"/>
  <c r="K489" i="66"/>
  <c r="J489" i="66"/>
  <c r="I489" i="66"/>
  <c r="H489" i="66"/>
  <c r="G489" i="66"/>
  <c r="F489" i="66"/>
  <c r="E489" i="66"/>
  <c r="D489" i="66"/>
  <c r="CB488" i="66"/>
  <c r="CA488" i="66"/>
  <c r="BZ488" i="66"/>
  <c r="BY488" i="66"/>
  <c r="BX488" i="66"/>
  <c r="BW488" i="66"/>
  <c r="BV488" i="66"/>
  <c r="BU488" i="66"/>
  <c r="BT488" i="66"/>
  <c r="BS488" i="66"/>
  <c r="BR488" i="66"/>
  <c r="BQ488" i="66"/>
  <c r="BP488" i="66"/>
  <c r="BO488" i="66"/>
  <c r="BN488" i="66"/>
  <c r="BM488" i="66"/>
  <c r="BL488" i="66"/>
  <c r="BK488" i="66"/>
  <c r="BJ488" i="66"/>
  <c r="BI488" i="66"/>
  <c r="BH488" i="66"/>
  <c r="BG488" i="66"/>
  <c r="BF488" i="66"/>
  <c r="BE488" i="66"/>
  <c r="BD488" i="66"/>
  <c r="BC488" i="66"/>
  <c r="BB488" i="66"/>
  <c r="BA488" i="66"/>
  <c r="AZ488" i="66"/>
  <c r="AY488" i="66"/>
  <c r="AX488" i="66"/>
  <c r="AA488" i="66"/>
  <c r="Z488" i="66"/>
  <c r="Y488" i="66"/>
  <c r="W488" i="66"/>
  <c r="V488" i="66"/>
  <c r="U488" i="66"/>
  <c r="T488" i="66"/>
  <c r="S488" i="66"/>
  <c r="R488" i="66"/>
  <c r="Q488" i="66"/>
  <c r="P488" i="66"/>
  <c r="O488" i="66"/>
  <c r="N488" i="66"/>
  <c r="M488" i="66"/>
  <c r="L488" i="66"/>
  <c r="K488" i="66"/>
  <c r="J488" i="66"/>
  <c r="I488" i="66"/>
  <c r="H488" i="66"/>
  <c r="G488" i="66"/>
  <c r="F488" i="66"/>
  <c r="E488" i="66"/>
  <c r="D488" i="66"/>
  <c r="CB487" i="66"/>
  <c r="CA487" i="66"/>
  <c r="BZ487" i="66"/>
  <c r="BY487" i="66"/>
  <c r="BX487" i="66"/>
  <c r="BW487" i="66"/>
  <c r="BV487" i="66"/>
  <c r="BU487" i="66"/>
  <c r="BT487" i="66"/>
  <c r="BS487" i="66"/>
  <c r="BR487" i="66"/>
  <c r="BQ487" i="66"/>
  <c r="BP487" i="66"/>
  <c r="BO487" i="66"/>
  <c r="BN487" i="66"/>
  <c r="BM487" i="66"/>
  <c r="BL487" i="66"/>
  <c r="BK487" i="66"/>
  <c r="BJ487" i="66"/>
  <c r="BI487" i="66"/>
  <c r="BH487" i="66"/>
  <c r="BG487" i="66"/>
  <c r="BF487" i="66"/>
  <c r="BE487" i="66"/>
  <c r="BD487" i="66"/>
  <c r="BC487" i="66"/>
  <c r="BB487" i="66"/>
  <c r="BA487" i="66"/>
  <c r="AZ487" i="66"/>
  <c r="AY487" i="66"/>
  <c r="AX487" i="66"/>
  <c r="AA487" i="66"/>
  <c r="Z487" i="66"/>
  <c r="Y487" i="66"/>
  <c r="X487" i="66"/>
  <c r="W487" i="66"/>
  <c r="V487" i="66"/>
  <c r="U487" i="66"/>
  <c r="T487" i="66"/>
  <c r="S487" i="66"/>
  <c r="R487" i="66"/>
  <c r="Q487" i="66"/>
  <c r="P487" i="66"/>
  <c r="O487" i="66"/>
  <c r="N487" i="66"/>
  <c r="M487" i="66"/>
  <c r="L487" i="66"/>
  <c r="K487" i="66"/>
  <c r="J487" i="66"/>
  <c r="I487" i="66"/>
  <c r="H487" i="66"/>
  <c r="G487" i="66"/>
  <c r="F487" i="66"/>
  <c r="E487" i="66"/>
  <c r="D487" i="66"/>
  <c r="CB486" i="66"/>
  <c r="CA486" i="66"/>
  <c r="BZ486" i="66"/>
  <c r="BY486" i="66"/>
  <c r="BX486" i="66"/>
  <c r="BW486" i="66"/>
  <c r="BV486" i="66"/>
  <c r="BU486" i="66"/>
  <c r="BT486" i="66"/>
  <c r="BS486" i="66"/>
  <c r="BR486" i="66"/>
  <c r="BQ486" i="66"/>
  <c r="BP486" i="66"/>
  <c r="BO486" i="66"/>
  <c r="BN486" i="66"/>
  <c r="BM486" i="66"/>
  <c r="BL486" i="66"/>
  <c r="BK486" i="66"/>
  <c r="BJ486" i="66"/>
  <c r="BI486" i="66"/>
  <c r="BH486" i="66"/>
  <c r="BG486" i="66"/>
  <c r="BF486" i="66"/>
  <c r="BE486" i="66"/>
  <c r="BD486" i="66"/>
  <c r="BC486" i="66"/>
  <c r="BB486" i="66"/>
  <c r="BA486" i="66"/>
  <c r="AZ486" i="66"/>
  <c r="AY486" i="66"/>
  <c r="AX486" i="66"/>
  <c r="AA486" i="66"/>
  <c r="Z486" i="66"/>
  <c r="Y486" i="66"/>
  <c r="X486" i="66"/>
  <c r="W486" i="66"/>
  <c r="V486" i="66"/>
  <c r="U486" i="66"/>
  <c r="T486" i="66"/>
  <c r="S486" i="66"/>
  <c r="R486" i="66"/>
  <c r="Q486" i="66"/>
  <c r="P486" i="66"/>
  <c r="O486" i="66"/>
  <c r="N486" i="66"/>
  <c r="M486" i="66"/>
  <c r="L486" i="66"/>
  <c r="K486" i="66"/>
  <c r="J486" i="66"/>
  <c r="I486" i="66"/>
  <c r="H486" i="66"/>
  <c r="G486" i="66"/>
  <c r="F486" i="66"/>
  <c r="E486" i="66"/>
  <c r="D486" i="66"/>
  <c r="CB485" i="66"/>
  <c r="CA485" i="66"/>
  <c r="BZ485" i="66"/>
  <c r="BY485" i="66"/>
  <c r="BX485" i="66"/>
  <c r="BW485" i="66"/>
  <c r="BV485" i="66"/>
  <c r="BU485" i="66"/>
  <c r="BT485" i="66"/>
  <c r="BS485" i="66"/>
  <c r="BR485" i="66"/>
  <c r="BQ485" i="66"/>
  <c r="BP485" i="66"/>
  <c r="BO485" i="66"/>
  <c r="BN485" i="66"/>
  <c r="BM485" i="66"/>
  <c r="BL485" i="66"/>
  <c r="BK485" i="66"/>
  <c r="BJ485" i="66"/>
  <c r="BI485" i="66"/>
  <c r="BH485" i="66"/>
  <c r="BG485" i="66"/>
  <c r="BF485" i="66"/>
  <c r="BE485" i="66"/>
  <c r="BD485" i="66"/>
  <c r="BC485" i="66"/>
  <c r="BB485" i="66"/>
  <c r="BA485" i="66"/>
  <c r="AZ485" i="66"/>
  <c r="AY485" i="66"/>
  <c r="AX485" i="66"/>
  <c r="AA485" i="66"/>
  <c r="Z485" i="66"/>
  <c r="Y485" i="66"/>
  <c r="X485" i="66"/>
  <c r="W485" i="66"/>
  <c r="V485" i="66"/>
  <c r="U485" i="66"/>
  <c r="T485" i="66"/>
  <c r="S485" i="66"/>
  <c r="R485" i="66"/>
  <c r="Q485" i="66"/>
  <c r="P485" i="66"/>
  <c r="O485" i="66"/>
  <c r="N485" i="66"/>
  <c r="M485" i="66"/>
  <c r="L485" i="66"/>
  <c r="K485" i="66"/>
  <c r="J485" i="66"/>
  <c r="I485" i="66"/>
  <c r="H485" i="66"/>
  <c r="G485" i="66"/>
  <c r="F485" i="66"/>
  <c r="E485" i="66"/>
  <c r="D485" i="66"/>
  <c r="CB484" i="66"/>
  <c r="CA484" i="66"/>
  <c r="BZ484" i="66"/>
  <c r="BY484" i="66"/>
  <c r="BX484" i="66"/>
  <c r="BW484" i="66"/>
  <c r="BV484" i="66"/>
  <c r="BU484" i="66"/>
  <c r="BT484" i="66"/>
  <c r="BS484" i="66"/>
  <c r="BR484" i="66"/>
  <c r="BQ484" i="66"/>
  <c r="BP484" i="66"/>
  <c r="BO484" i="66"/>
  <c r="BN484" i="66"/>
  <c r="BM484" i="66"/>
  <c r="BL484" i="66"/>
  <c r="BK484" i="66"/>
  <c r="BJ484" i="66"/>
  <c r="BI484" i="66"/>
  <c r="BH484" i="66"/>
  <c r="BG484" i="66"/>
  <c r="BF484" i="66"/>
  <c r="BE484" i="66"/>
  <c r="BD484" i="66"/>
  <c r="BC484" i="66"/>
  <c r="BB484" i="66"/>
  <c r="BA484" i="66"/>
  <c r="AZ484" i="66"/>
  <c r="AY484" i="66"/>
  <c r="AX484" i="66"/>
  <c r="AA484" i="66"/>
  <c r="Z484" i="66"/>
  <c r="Y484" i="66"/>
  <c r="X484" i="66"/>
  <c r="W484" i="66"/>
  <c r="V484" i="66"/>
  <c r="U484" i="66"/>
  <c r="T484" i="66"/>
  <c r="S484" i="66"/>
  <c r="R484" i="66"/>
  <c r="Q484" i="66"/>
  <c r="P484" i="66"/>
  <c r="O484" i="66"/>
  <c r="N484" i="66"/>
  <c r="M484" i="66"/>
  <c r="L484" i="66"/>
  <c r="K484" i="66"/>
  <c r="J484" i="66"/>
  <c r="I484" i="66"/>
  <c r="H484" i="66"/>
  <c r="G484" i="66"/>
  <c r="F484" i="66"/>
  <c r="E484" i="66"/>
  <c r="D484" i="66"/>
  <c r="CB483" i="66"/>
  <c r="CA483" i="66"/>
  <c r="BZ483" i="66"/>
  <c r="BY483" i="66"/>
  <c r="BX483" i="66"/>
  <c r="BW483" i="66"/>
  <c r="BV483" i="66"/>
  <c r="BU483" i="66"/>
  <c r="BT483" i="66"/>
  <c r="BS483" i="66"/>
  <c r="BR483" i="66"/>
  <c r="BQ483" i="66"/>
  <c r="BP483" i="66"/>
  <c r="BO483" i="66"/>
  <c r="BN483" i="66"/>
  <c r="BM483" i="66"/>
  <c r="BL483" i="66"/>
  <c r="BK483" i="66"/>
  <c r="BJ483" i="66"/>
  <c r="BI483" i="66"/>
  <c r="BH483" i="66"/>
  <c r="BG483" i="66"/>
  <c r="BF483" i="66"/>
  <c r="BE483" i="66"/>
  <c r="BD483" i="66"/>
  <c r="BC483" i="66"/>
  <c r="BB483" i="66"/>
  <c r="BA483" i="66"/>
  <c r="AZ483" i="66"/>
  <c r="AY483" i="66"/>
  <c r="AX483" i="66"/>
  <c r="AA483" i="66"/>
  <c r="Z483" i="66"/>
  <c r="Y483" i="66"/>
  <c r="X483" i="66"/>
  <c r="W483" i="66"/>
  <c r="V483" i="66"/>
  <c r="U483" i="66"/>
  <c r="T483" i="66"/>
  <c r="S483" i="66"/>
  <c r="R483" i="66"/>
  <c r="Q483" i="66"/>
  <c r="P483" i="66"/>
  <c r="O483" i="66"/>
  <c r="N483" i="66"/>
  <c r="M483" i="66"/>
  <c r="L483" i="66"/>
  <c r="K483" i="66"/>
  <c r="J483" i="66"/>
  <c r="I483" i="66"/>
  <c r="H483" i="66"/>
  <c r="G483" i="66"/>
  <c r="F483" i="66"/>
  <c r="E483" i="66"/>
  <c r="D483" i="66"/>
  <c r="CB482" i="66"/>
  <c r="CA482" i="66"/>
  <c r="BZ482" i="66"/>
  <c r="BY482" i="66"/>
  <c r="BX482" i="66"/>
  <c r="BW482" i="66"/>
  <c r="BV482" i="66"/>
  <c r="BU482" i="66"/>
  <c r="BT482" i="66"/>
  <c r="BS482" i="66"/>
  <c r="BR482" i="66"/>
  <c r="BQ482" i="66"/>
  <c r="BP482" i="66"/>
  <c r="BO482" i="66"/>
  <c r="BN482" i="66"/>
  <c r="BM482" i="66"/>
  <c r="BL482" i="66"/>
  <c r="BK482" i="66"/>
  <c r="BJ482" i="66"/>
  <c r="BI482" i="66"/>
  <c r="BH482" i="66"/>
  <c r="BG482" i="66"/>
  <c r="BF482" i="66"/>
  <c r="BE482" i="66"/>
  <c r="BD482" i="66"/>
  <c r="BC482" i="66"/>
  <c r="BB482" i="66"/>
  <c r="BA482" i="66"/>
  <c r="AZ482" i="66"/>
  <c r="AY482" i="66"/>
  <c r="AX482" i="66"/>
  <c r="AA482" i="66"/>
  <c r="Z482" i="66"/>
  <c r="Y482" i="66"/>
  <c r="X482" i="66"/>
  <c r="W482" i="66"/>
  <c r="V482" i="66"/>
  <c r="U482" i="66"/>
  <c r="T482" i="66"/>
  <c r="S482" i="66"/>
  <c r="R482" i="66"/>
  <c r="Q482" i="66"/>
  <c r="P482" i="66"/>
  <c r="O482" i="66"/>
  <c r="N482" i="66"/>
  <c r="M482" i="66"/>
  <c r="L482" i="66"/>
  <c r="K482" i="66"/>
  <c r="J482" i="66"/>
  <c r="I482" i="66"/>
  <c r="H482" i="66"/>
  <c r="G482" i="66"/>
  <c r="F482" i="66"/>
  <c r="E482" i="66"/>
  <c r="D482" i="66"/>
  <c r="CB481" i="66"/>
  <c r="CA481" i="66"/>
  <c r="BZ481" i="66"/>
  <c r="BY481" i="66"/>
  <c r="BX481" i="66"/>
  <c r="BW481" i="66"/>
  <c r="BV481" i="66"/>
  <c r="BU481" i="66"/>
  <c r="BT481" i="66"/>
  <c r="BS481" i="66"/>
  <c r="BR481" i="66"/>
  <c r="BQ481" i="66"/>
  <c r="BP481" i="66"/>
  <c r="BO481" i="66"/>
  <c r="BN481" i="66"/>
  <c r="BM481" i="66"/>
  <c r="BL481" i="66"/>
  <c r="BK481" i="66"/>
  <c r="BJ481" i="66"/>
  <c r="BI481" i="66"/>
  <c r="BH481" i="66"/>
  <c r="BG481" i="66"/>
  <c r="BF481" i="66"/>
  <c r="BE481" i="66"/>
  <c r="BD481" i="66"/>
  <c r="BC481" i="66"/>
  <c r="BB481" i="66"/>
  <c r="BA481" i="66"/>
  <c r="AZ481" i="66"/>
  <c r="AY481" i="66"/>
  <c r="AX481" i="66"/>
  <c r="AA481" i="66"/>
  <c r="Z481" i="66"/>
  <c r="Y481" i="66"/>
  <c r="X481" i="66"/>
  <c r="W481" i="66"/>
  <c r="V481" i="66"/>
  <c r="U481" i="66"/>
  <c r="T481" i="66"/>
  <c r="S481" i="66"/>
  <c r="R481" i="66"/>
  <c r="Q481" i="66"/>
  <c r="P481" i="66"/>
  <c r="O481" i="66"/>
  <c r="N481" i="66"/>
  <c r="M481" i="66"/>
  <c r="L481" i="66"/>
  <c r="K481" i="66"/>
  <c r="J481" i="66"/>
  <c r="I481" i="66"/>
  <c r="H481" i="66"/>
  <c r="G481" i="66"/>
  <c r="F481" i="66"/>
  <c r="E481" i="66"/>
  <c r="D481" i="66"/>
  <c r="CB480" i="66"/>
  <c r="CA480" i="66"/>
  <c r="BZ480" i="66"/>
  <c r="BY480" i="66"/>
  <c r="BX480" i="66"/>
  <c r="BW480" i="66"/>
  <c r="BV480" i="66"/>
  <c r="BU480" i="66"/>
  <c r="BT480" i="66"/>
  <c r="BS480" i="66"/>
  <c r="BR480" i="66"/>
  <c r="BQ480" i="66"/>
  <c r="BP480" i="66"/>
  <c r="BO480" i="66"/>
  <c r="BN480" i="66"/>
  <c r="BM480" i="66"/>
  <c r="BL480" i="66"/>
  <c r="BK480" i="66"/>
  <c r="BJ480" i="66"/>
  <c r="BI480" i="66"/>
  <c r="BH480" i="66"/>
  <c r="BG480" i="66"/>
  <c r="BF480" i="66"/>
  <c r="BE480" i="66"/>
  <c r="BD480" i="66"/>
  <c r="BC480" i="66"/>
  <c r="BB480" i="66"/>
  <c r="BA480" i="66"/>
  <c r="AZ480" i="66"/>
  <c r="AY480" i="66"/>
  <c r="AX480" i="66"/>
  <c r="AA480" i="66"/>
  <c r="Z480" i="66"/>
  <c r="Y480" i="66"/>
  <c r="X480" i="66"/>
  <c r="W480" i="66"/>
  <c r="V480" i="66"/>
  <c r="U480" i="66"/>
  <c r="T480" i="66"/>
  <c r="S480" i="66"/>
  <c r="R480" i="66"/>
  <c r="Q480" i="66"/>
  <c r="P480" i="66"/>
  <c r="O480" i="66"/>
  <c r="N480" i="66"/>
  <c r="M480" i="66"/>
  <c r="L480" i="66"/>
  <c r="K480" i="66"/>
  <c r="J480" i="66"/>
  <c r="I480" i="66"/>
  <c r="H480" i="66"/>
  <c r="G480" i="66"/>
  <c r="F480" i="66"/>
  <c r="E480" i="66"/>
  <c r="D480" i="66"/>
  <c r="C481" i="66"/>
  <c r="C482" i="66"/>
  <c r="C483" i="66"/>
  <c r="C484" i="66"/>
  <c r="C485" i="66"/>
  <c r="C486" i="66"/>
  <c r="C487" i="66"/>
  <c r="C488" i="66"/>
  <c r="C489" i="66"/>
  <c r="C490" i="66"/>
  <c r="CC475" i="66"/>
  <c r="CB475" i="66"/>
  <c r="CA475" i="66"/>
  <c r="BZ475" i="66"/>
  <c r="BY475" i="66"/>
  <c r="BX475" i="66"/>
  <c r="BW475" i="66"/>
  <c r="BV475" i="66"/>
  <c r="BU475" i="66"/>
  <c r="BT475" i="66"/>
  <c r="BS475" i="66"/>
  <c r="BR475" i="66"/>
  <c r="BQ475" i="66"/>
  <c r="BP475" i="66"/>
  <c r="BO475" i="66"/>
  <c r="BN475" i="66"/>
  <c r="BM475" i="66"/>
  <c r="BL475" i="66"/>
  <c r="BK475" i="66"/>
  <c r="BJ475" i="66"/>
  <c r="BI475" i="66"/>
  <c r="BH475" i="66"/>
  <c r="BG475" i="66"/>
  <c r="BF475" i="66"/>
  <c r="BE475" i="66"/>
  <c r="BD475" i="66"/>
  <c r="BC475" i="66"/>
  <c r="BB475" i="66"/>
  <c r="BA475" i="66"/>
  <c r="AZ475" i="66"/>
  <c r="AY475" i="66"/>
  <c r="AX475" i="66"/>
  <c r="AA475" i="66"/>
  <c r="Z475" i="66"/>
  <c r="Y475" i="66"/>
  <c r="X475" i="66"/>
  <c r="W475" i="66"/>
  <c r="V475" i="66"/>
  <c r="U475" i="66"/>
  <c r="T475" i="66"/>
  <c r="S475" i="66"/>
  <c r="R475" i="66"/>
  <c r="Q475" i="66"/>
  <c r="P475" i="66"/>
  <c r="O475" i="66"/>
  <c r="N475" i="66"/>
  <c r="M475" i="66"/>
  <c r="L475" i="66"/>
  <c r="K475" i="66"/>
  <c r="J475" i="66"/>
  <c r="I475" i="66"/>
  <c r="H475" i="66"/>
  <c r="G475" i="66"/>
  <c r="F475" i="66"/>
  <c r="E475" i="66"/>
  <c r="D475" i="66"/>
  <c r="CC474" i="66"/>
  <c r="CB474" i="66"/>
  <c r="CA474" i="66"/>
  <c r="BZ474" i="66"/>
  <c r="BY474" i="66"/>
  <c r="BX474" i="66"/>
  <c r="BW474" i="66"/>
  <c r="BV474" i="66"/>
  <c r="BU474" i="66"/>
  <c r="BT474" i="66"/>
  <c r="BS474" i="66"/>
  <c r="BR474" i="66"/>
  <c r="BQ474" i="66"/>
  <c r="BP474" i="66"/>
  <c r="BO474" i="66"/>
  <c r="BN474" i="66"/>
  <c r="BM474" i="66"/>
  <c r="BL474" i="66"/>
  <c r="BK474" i="66"/>
  <c r="BJ474" i="66"/>
  <c r="BI474" i="66"/>
  <c r="BH474" i="66"/>
  <c r="BG474" i="66"/>
  <c r="BF474" i="66"/>
  <c r="BE474" i="66"/>
  <c r="BD474" i="66"/>
  <c r="BC474" i="66"/>
  <c r="BB474" i="66"/>
  <c r="BA474" i="66"/>
  <c r="AZ474" i="66"/>
  <c r="AY474" i="66"/>
  <c r="AX474" i="66"/>
  <c r="AA474" i="66"/>
  <c r="Z474" i="66"/>
  <c r="Y474" i="66"/>
  <c r="X474" i="66"/>
  <c r="W474" i="66"/>
  <c r="V474" i="66"/>
  <c r="U474" i="66"/>
  <c r="T474" i="66"/>
  <c r="S474" i="66"/>
  <c r="R474" i="66"/>
  <c r="Q474" i="66"/>
  <c r="P474" i="66"/>
  <c r="O474" i="66"/>
  <c r="N474" i="66"/>
  <c r="M474" i="66"/>
  <c r="L474" i="66"/>
  <c r="K474" i="66"/>
  <c r="J474" i="66"/>
  <c r="I474" i="66"/>
  <c r="H474" i="66"/>
  <c r="G474" i="66"/>
  <c r="F474" i="66"/>
  <c r="E474" i="66"/>
  <c r="D474" i="66"/>
  <c r="CC473" i="66"/>
  <c r="CB473" i="66"/>
  <c r="CA473" i="66"/>
  <c r="BZ473" i="66"/>
  <c r="BY473" i="66"/>
  <c r="BX473" i="66"/>
  <c r="BW473" i="66"/>
  <c r="BV473" i="66"/>
  <c r="BU473" i="66"/>
  <c r="BT473" i="66"/>
  <c r="BS473" i="66"/>
  <c r="BR473" i="66"/>
  <c r="BQ473" i="66"/>
  <c r="BP473" i="66"/>
  <c r="BO473" i="66"/>
  <c r="BN473" i="66"/>
  <c r="BM473" i="66"/>
  <c r="BL473" i="66"/>
  <c r="BK473" i="66"/>
  <c r="BJ473" i="66"/>
  <c r="BI473" i="66"/>
  <c r="BH473" i="66"/>
  <c r="BG473" i="66"/>
  <c r="BF473" i="66"/>
  <c r="BE473" i="66"/>
  <c r="BD473" i="66"/>
  <c r="BC473" i="66"/>
  <c r="BB473" i="66"/>
  <c r="BA473" i="66"/>
  <c r="AZ473" i="66"/>
  <c r="AY473" i="66"/>
  <c r="AX473" i="66"/>
  <c r="AA473" i="66"/>
  <c r="Z473" i="66"/>
  <c r="Y473" i="66"/>
  <c r="X473" i="66"/>
  <c r="W473" i="66"/>
  <c r="V473" i="66"/>
  <c r="U473" i="66"/>
  <c r="T473" i="66"/>
  <c r="S473" i="66"/>
  <c r="R473" i="66"/>
  <c r="Q473" i="66"/>
  <c r="P473" i="66"/>
  <c r="O473" i="66"/>
  <c r="N473" i="66"/>
  <c r="M473" i="66"/>
  <c r="L473" i="66"/>
  <c r="K473" i="66"/>
  <c r="J473" i="66"/>
  <c r="I473" i="66"/>
  <c r="H473" i="66"/>
  <c r="G473" i="66"/>
  <c r="F473" i="66"/>
  <c r="E473" i="66"/>
  <c r="D473" i="66"/>
  <c r="CC472" i="66"/>
  <c r="CB472" i="66"/>
  <c r="CA472" i="66"/>
  <c r="BZ472" i="66"/>
  <c r="BY472" i="66"/>
  <c r="BX472" i="66"/>
  <c r="BW472" i="66"/>
  <c r="BV472" i="66"/>
  <c r="BU472" i="66"/>
  <c r="BT472" i="66"/>
  <c r="BS472" i="66"/>
  <c r="BR472" i="66"/>
  <c r="BQ472" i="66"/>
  <c r="BP472" i="66"/>
  <c r="BO472" i="66"/>
  <c r="BN472" i="66"/>
  <c r="BM472" i="66"/>
  <c r="BL472" i="66"/>
  <c r="BK472" i="66"/>
  <c r="BJ472" i="66"/>
  <c r="BI472" i="66"/>
  <c r="BH472" i="66"/>
  <c r="BG472" i="66"/>
  <c r="BF472" i="66"/>
  <c r="BE472" i="66"/>
  <c r="BD472" i="66"/>
  <c r="BC472" i="66"/>
  <c r="BB472" i="66"/>
  <c r="BA472" i="66"/>
  <c r="AZ472" i="66"/>
  <c r="AY472" i="66"/>
  <c r="AX472" i="66"/>
  <c r="AA472" i="66"/>
  <c r="Z472" i="66"/>
  <c r="Y472" i="66"/>
  <c r="X472" i="66"/>
  <c r="W472" i="66"/>
  <c r="V472" i="66"/>
  <c r="U472" i="66"/>
  <c r="T472" i="66"/>
  <c r="S472" i="66"/>
  <c r="R472" i="66"/>
  <c r="Q472" i="66"/>
  <c r="P472" i="66"/>
  <c r="O472" i="66"/>
  <c r="N472" i="66"/>
  <c r="M472" i="66"/>
  <c r="L472" i="66"/>
  <c r="K472" i="66"/>
  <c r="J472" i="66"/>
  <c r="I472" i="66"/>
  <c r="H472" i="66"/>
  <c r="G472" i="66"/>
  <c r="F472" i="66"/>
  <c r="E472" i="66"/>
  <c r="D472" i="66"/>
  <c r="CC471" i="66"/>
  <c r="CB471" i="66"/>
  <c r="CA471" i="66"/>
  <c r="BZ471" i="66"/>
  <c r="BY471" i="66"/>
  <c r="BX471" i="66"/>
  <c r="BW471" i="66"/>
  <c r="BV471" i="66"/>
  <c r="BU471" i="66"/>
  <c r="BT471" i="66"/>
  <c r="BS471" i="66"/>
  <c r="BR471" i="66"/>
  <c r="BQ471" i="66"/>
  <c r="BP471" i="66"/>
  <c r="BO471" i="66"/>
  <c r="BN471" i="66"/>
  <c r="BM471" i="66"/>
  <c r="BL471" i="66"/>
  <c r="BK471" i="66"/>
  <c r="BJ471" i="66"/>
  <c r="BI471" i="66"/>
  <c r="BH471" i="66"/>
  <c r="BG471" i="66"/>
  <c r="BF471" i="66"/>
  <c r="BE471" i="66"/>
  <c r="BD471" i="66"/>
  <c r="BC471" i="66"/>
  <c r="BB471" i="66"/>
  <c r="BA471" i="66"/>
  <c r="AZ471" i="66"/>
  <c r="AY471" i="66"/>
  <c r="AX471" i="66"/>
  <c r="AA471" i="66"/>
  <c r="Z471" i="66"/>
  <c r="Y471" i="66"/>
  <c r="X471" i="66"/>
  <c r="W471" i="66"/>
  <c r="V471" i="66"/>
  <c r="U471" i="66"/>
  <c r="T471" i="66"/>
  <c r="S471" i="66"/>
  <c r="R471" i="66"/>
  <c r="Q471" i="66"/>
  <c r="P471" i="66"/>
  <c r="O471" i="66"/>
  <c r="N471" i="66"/>
  <c r="M471" i="66"/>
  <c r="L471" i="66"/>
  <c r="K471" i="66"/>
  <c r="J471" i="66"/>
  <c r="I471" i="66"/>
  <c r="H471" i="66"/>
  <c r="G471" i="66"/>
  <c r="F471" i="66"/>
  <c r="E471" i="66"/>
  <c r="D471" i="66"/>
  <c r="CC470" i="66"/>
  <c r="CB470" i="66"/>
  <c r="CA470" i="66"/>
  <c r="BZ470" i="66"/>
  <c r="BY470" i="66"/>
  <c r="BX470" i="66"/>
  <c r="BW470" i="66"/>
  <c r="BV470" i="66"/>
  <c r="BU470" i="66"/>
  <c r="BT470" i="66"/>
  <c r="BS470" i="66"/>
  <c r="BR470" i="66"/>
  <c r="BQ470" i="66"/>
  <c r="BP470" i="66"/>
  <c r="BO470" i="66"/>
  <c r="BN470" i="66"/>
  <c r="BM470" i="66"/>
  <c r="BL470" i="66"/>
  <c r="BK470" i="66"/>
  <c r="BJ470" i="66"/>
  <c r="BI470" i="66"/>
  <c r="BH470" i="66"/>
  <c r="BG470" i="66"/>
  <c r="BF470" i="66"/>
  <c r="BE470" i="66"/>
  <c r="BD470" i="66"/>
  <c r="BC470" i="66"/>
  <c r="BB470" i="66"/>
  <c r="BA470" i="66"/>
  <c r="AZ470" i="66"/>
  <c r="AY470" i="66"/>
  <c r="AX470" i="66"/>
  <c r="AA470" i="66"/>
  <c r="Z470" i="66"/>
  <c r="Y470" i="66"/>
  <c r="X470" i="66"/>
  <c r="W470" i="66"/>
  <c r="V470" i="66"/>
  <c r="U470" i="66"/>
  <c r="T470" i="66"/>
  <c r="S470" i="66"/>
  <c r="R470" i="66"/>
  <c r="Q470" i="66"/>
  <c r="P470" i="66"/>
  <c r="O470" i="66"/>
  <c r="N470" i="66"/>
  <c r="M470" i="66"/>
  <c r="L470" i="66"/>
  <c r="K470" i="66"/>
  <c r="J470" i="66"/>
  <c r="I470" i="66"/>
  <c r="H470" i="66"/>
  <c r="G470" i="66"/>
  <c r="F470" i="66"/>
  <c r="E470" i="66"/>
  <c r="D470" i="66"/>
  <c r="CC469" i="66"/>
  <c r="CB469" i="66"/>
  <c r="CA469" i="66"/>
  <c r="BZ469" i="66"/>
  <c r="BY469" i="66"/>
  <c r="BX469" i="66"/>
  <c r="BW469" i="66"/>
  <c r="BV469" i="66"/>
  <c r="BU469" i="66"/>
  <c r="BT469" i="66"/>
  <c r="BS469" i="66"/>
  <c r="BR469" i="66"/>
  <c r="BQ469" i="66"/>
  <c r="BP469" i="66"/>
  <c r="BO469" i="66"/>
  <c r="BN469" i="66"/>
  <c r="BM469" i="66"/>
  <c r="BL469" i="66"/>
  <c r="BK469" i="66"/>
  <c r="BJ469" i="66"/>
  <c r="BI469" i="66"/>
  <c r="BH469" i="66"/>
  <c r="BG469" i="66"/>
  <c r="BF469" i="66"/>
  <c r="BE469" i="66"/>
  <c r="BD469" i="66"/>
  <c r="BC469" i="66"/>
  <c r="BB469" i="66"/>
  <c r="BA469" i="66"/>
  <c r="AZ469" i="66"/>
  <c r="AY469" i="66"/>
  <c r="AX469" i="66"/>
  <c r="AA469" i="66"/>
  <c r="Z469" i="66"/>
  <c r="Y469" i="66"/>
  <c r="X469" i="66"/>
  <c r="W469" i="66"/>
  <c r="V469" i="66"/>
  <c r="U469" i="66"/>
  <c r="T469" i="66"/>
  <c r="S469" i="66"/>
  <c r="R469" i="66"/>
  <c r="Q469" i="66"/>
  <c r="P469" i="66"/>
  <c r="O469" i="66"/>
  <c r="N469" i="66"/>
  <c r="M469" i="66"/>
  <c r="L469" i="66"/>
  <c r="K469" i="66"/>
  <c r="J469" i="66"/>
  <c r="I469" i="66"/>
  <c r="H469" i="66"/>
  <c r="G469" i="66"/>
  <c r="F469" i="66"/>
  <c r="E469" i="66"/>
  <c r="D469" i="66"/>
  <c r="CC468" i="66"/>
  <c r="CB468" i="66"/>
  <c r="CA468" i="66"/>
  <c r="BZ468" i="66"/>
  <c r="BY468" i="66"/>
  <c r="BX468" i="66"/>
  <c r="BW468" i="66"/>
  <c r="BV468" i="66"/>
  <c r="BU468" i="66"/>
  <c r="BT468" i="66"/>
  <c r="BS468" i="66"/>
  <c r="BR468" i="66"/>
  <c r="BQ468" i="66"/>
  <c r="BP468" i="66"/>
  <c r="BO468" i="66"/>
  <c r="BN468" i="66"/>
  <c r="BM468" i="66"/>
  <c r="BL468" i="66"/>
  <c r="BK468" i="66"/>
  <c r="BJ468" i="66"/>
  <c r="BI468" i="66"/>
  <c r="BH468" i="66"/>
  <c r="BG468" i="66"/>
  <c r="BF468" i="66"/>
  <c r="BE468" i="66"/>
  <c r="BD468" i="66"/>
  <c r="BC468" i="66"/>
  <c r="BB468" i="66"/>
  <c r="BA468" i="66"/>
  <c r="AZ468" i="66"/>
  <c r="AY468" i="66"/>
  <c r="AX468" i="66"/>
  <c r="AA468" i="66"/>
  <c r="Z468" i="66"/>
  <c r="Y468" i="66"/>
  <c r="X468" i="66"/>
  <c r="W468" i="66"/>
  <c r="V468" i="66"/>
  <c r="U468" i="66"/>
  <c r="T468" i="66"/>
  <c r="S468" i="66"/>
  <c r="R468" i="66"/>
  <c r="Q468" i="66"/>
  <c r="P468" i="66"/>
  <c r="O468" i="66"/>
  <c r="N468" i="66"/>
  <c r="M468" i="66"/>
  <c r="L468" i="66"/>
  <c r="K468" i="66"/>
  <c r="J468" i="66"/>
  <c r="I468" i="66"/>
  <c r="H468" i="66"/>
  <c r="G468" i="66"/>
  <c r="F468" i="66"/>
  <c r="E468" i="66"/>
  <c r="D468" i="66"/>
  <c r="CC467" i="66"/>
  <c r="CB467" i="66"/>
  <c r="CA467" i="66"/>
  <c r="BZ467" i="66"/>
  <c r="BY467" i="66"/>
  <c r="BX467" i="66"/>
  <c r="BW467" i="66"/>
  <c r="BV467" i="66"/>
  <c r="BU467" i="66"/>
  <c r="BT467" i="66"/>
  <c r="BS467" i="66"/>
  <c r="BR467" i="66"/>
  <c r="BQ467" i="66"/>
  <c r="BP467" i="66"/>
  <c r="BO467" i="66"/>
  <c r="BN467" i="66"/>
  <c r="BM467" i="66"/>
  <c r="BL467" i="66"/>
  <c r="BK467" i="66"/>
  <c r="BJ467" i="66"/>
  <c r="BI467" i="66"/>
  <c r="BH467" i="66"/>
  <c r="BG467" i="66"/>
  <c r="BF467" i="66"/>
  <c r="BE467" i="66"/>
  <c r="BD467" i="66"/>
  <c r="BC467" i="66"/>
  <c r="BB467" i="66"/>
  <c r="BA467" i="66"/>
  <c r="AZ467" i="66"/>
  <c r="AY467" i="66"/>
  <c r="AX467" i="66"/>
  <c r="AA467" i="66"/>
  <c r="Z467" i="66"/>
  <c r="Y467" i="66"/>
  <c r="X467" i="66"/>
  <c r="W467" i="66"/>
  <c r="V467" i="66"/>
  <c r="U467" i="66"/>
  <c r="T467" i="66"/>
  <c r="S467" i="66"/>
  <c r="R467" i="66"/>
  <c r="Q467" i="66"/>
  <c r="P467" i="66"/>
  <c r="O467" i="66"/>
  <c r="N467" i="66"/>
  <c r="M467" i="66"/>
  <c r="L467" i="66"/>
  <c r="K467" i="66"/>
  <c r="J467" i="66"/>
  <c r="I467" i="66"/>
  <c r="H467" i="66"/>
  <c r="G467" i="66"/>
  <c r="F467" i="66"/>
  <c r="E467" i="66"/>
  <c r="D467" i="66"/>
  <c r="CC466" i="66"/>
  <c r="CB466" i="66"/>
  <c r="CA466" i="66"/>
  <c r="BZ466" i="66"/>
  <c r="BY466" i="66"/>
  <c r="BX466" i="66"/>
  <c r="BW466" i="66"/>
  <c r="BV466" i="66"/>
  <c r="BU466" i="66"/>
  <c r="BT466" i="66"/>
  <c r="BS466" i="66"/>
  <c r="BR466" i="66"/>
  <c r="BQ466" i="66"/>
  <c r="BP466" i="66"/>
  <c r="BO466" i="66"/>
  <c r="BN466" i="66"/>
  <c r="BM466" i="66"/>
  <c r="BL466" i="66"/>
  <c r="BK466" i="66"/>
  <c r="BJ466" i="66"/>
  <c r="BI466" i="66"/>
  <c r="BH466" i="66"/>
  <c r="BG466" i="66"/>
  <c r="BF466" i="66"/>
  <c r="BE466" i="66"/>
  <c r="BD466" i="66"/>
  <c r="BC466" i="66"/>
  <c r="BB466" i="66"/>
  <c r="BA466" i="66"/>
  <c r="AZ466" i="66"/>
  <c r="AY466" i="66"/>
  <c r="AX466" i="66"/>
  <c r="AA466" i="66"/>
  <c r="Z466" i="66"/>
  <c r="Y466" i="66"/>
  <c r="X466" i="66"/>
  <c r="W466" i="66"/>
  <c r="V466" i="66"/>
  <c r="U466" i="66"/>
  <c r="T466" i="66"/>
  <c r="S466" i="66"/>
  <c r="R466" i="66"/>
  <c r="Q466" i="66"/>
  <c r="P466" i="66"/>
  <c r="O466" i="66"/>
  <c r="N466" i="66"/>
  <c r="M466" i="66"/>
  <c r="L466" i="66"/>
  <c r="K466" i="66"/>
  <c r="J466" i="66"/>
  <c r="I466" i="66"/>
  <c r="H466" i="66"/>
  <c r="G466" i="66"/>
  <c r="E466" i="66"/>
  <c r="D466" i="66"/>
  <c r="CC465" i="66"/>
  <c r="CB465" i="66"/>
  <c r="CA465" i="66"/>
  <c r="BZ465" i="66"/>
  <c r="BY465" i="66"/>
  <c r="BX465" i="66"/>
  <c r="BW465" i="66"/>
  <c r="BV465" i="66"/>
  <c r="BU465" i="66"/>
  <c r="BT465" i="66"/>
  <c r="BS465" i="66"/>
  <c r="BR465" i="66"/>
  <c r="BQ465" i="66"/>
  <c r="BP465" i="66"/>
  <c r="BO465" i="66"/>
  <c r="BN465" i="66"/>
  <c r="BM465" i="66"/>
  <c r="BL465" i="66"/>
  <c r="BK465" i="66"/>
  <c r="BJ465" i="66"/>
  <c r="BI465" i="66"/>
  <c r="BH465" i="66"/>
  <c r="BG465" i="66"/>
  <c r="BF465" i="66"/>
  <c r="BE465" i="66"/>
  <c r="BD465" i="66"/>
  <c r="BC465" i="66"/>
  <c r="BB465" i="66"/>
  <c r="BA465" i="66"/>
  <c r="AZ465" i="66"/>
  <c r="AY465" i="66"/>
  <c r="AX465" i="66"/>
  <c r="AA465" i="66"/>
  <c r="Z465" i="66"/>
  <c r="Y465" i="66"/>
  <c r="X465" i="66"/>
  <c r="W465" i="66"/>
  <c r="V465" i="66"/>
  <c r="U465" i="66"/>
  <c r="T465" i="66"/>
  <c r="S465" i="66"/>
  <c r="R465" i="66"/>
  <c r="Q465" i="66"/>
  <c r="P465" i="66"/>
  <c r="O465" i="66"/>
  <c r="N465" i="66"/>
  <c r="M465" i="66"/>
  <c r="L465" i="66"/>
  <c r="K465" i="66"/>
  <c r="J465" i="66"/>
  <c r="I465" i="66"/>
  <c r="H465" i="66"/>
  <c r="G465" i="66"/>
  <c r="F465" i="66"/>
  <c r="E465" i="66"/>
  <c r="D465" i="66"/>
  <c r="CC464" i="66"/>
  <c r="CB464" i="66"/>
  <c r="CA464" i="66"/>
  <c r="BZ464" i="66"/>
  <c r="BY464" i="66"/>
  <c r="BX464" i="66"/>
  <c r="BW464" i="66"/>
  <c r="BV464" i="66"/>
  <c r="BU464" i="66"/>
  <c r="BT464" i="66"/>
  <c r="BS464" i="66"/>
  <c r="BR464" i="66"/>
  <c r="BQ464" i="66"/>
  <c r="BP464" i="66"/>
  <c r="BO464" i="66"/>
  <c r="BN464" i="66"/>
  <c r="BM464" i="66"/>
  <c r="BL464" i="66"/>
  <c r="BK464" i="66"/>
  <c r="BJ464" i="66"/>
  <c r="BI464" i="66"/>
  <c r="BH464" i="66"/>
  <c r="BG464" i="66"/>
  <c r="BF464" i="66"/>
  <c r="BE464" i="66"/>
  <c r="BD464" i="66"/>
  <c r="BC464" i="66"/>
  <c r="BB464" i="66"/>
  <c r="BA464" i="66"/>
  <c r="AZ464" i="66"/>
  <c r="AY464" i="66"/>
  <c r="AX464" i="66"/>
  <c r="AA464" i="66"/>
  <c r="Z464" i="66"/>
  <c r="Y464" i="66"/>
  <c r="X464" i="66"/>
  <c r="W464" i="66"/>
  <c r="V464" i="66"/>
  <c r="U464" i="66"/>
  <c r="T464" i="66"/>
  <c r="S464" i="66"/>
  <c r="R464" i="66"/>
  <c r="Q464" i="66"/>
  <c r="P464" i="66"/>
  <c r="O464" i="66"/>
  <c r="N464" i="66"/>
  <c r="M464" i="66"/>
  <c r="L464" i="66"/>
  <c r="K464" i="66"/>
  <c r="J464" i="66"/>
  <c r="I464" i="66"/>
  <c r="H464" i="66"/>
  <c r="G464" i="66"/>
  <c r="F464" i="66"/>
  <c r="E464" i="66"/>
  <c r="D464" i="66"/>
  <c r="C465" i="66"/>
  <c r="C466" i="66"/>
  <c r="C467" i="66"/>
  <c r="C468" i="66"/>
  <c r="C469" i="66"/>
  <c r="C470" i="66"/>
  <c r="C471" i="66"/>
  <c r="C472" i="66"/>
  <c r="C473" i="66"/>
  <c r="C474" i="66"/>
  <c r="C475" i="66"/>
  <c r="CC460" i="66"/>
  <c r="CB460" i="66"/>
  <c r="CA460" i="66"/>
  <c r="BZ460" i="66"/>
  <c r="BY460" i="66"/>
  <c r="BX460" i="66"/>
  <c r="BW460" i="66"/>
  <c r="BV460" i="66"/>
  <c r="BU460" i="66"/>
  <c r="BT460" i="66"/>
  <c r="BS460" i="66"/>
  <c r="BR460" i="66"/>
  <c r="BQ460" i="66"/>
  <c r="BP460" i="66"/>
  <c r="BO460" i="66"/>
  <c r="BN460" i="66"/>
  <c r="BM460" i="66"/>
  <c r="BL460" i="66"/>
  <c r="BK460" i="66"/>
  <c r="BJ460" i="66"/>
  <c r="BI460" i="66"/>
  <c r="BH460" i="66"/>
  <c r="BG460" i="66"/>
  <c r="BF460" i="66"/>
  <c r="BE460" i="66"/>
  <c r="BD460" i="66"/>
  <c r="BC460" i="66"/>
  <c r="BB460" i="66"/>
  <c r="BA460" i="66"/>
  <c r="AZ460" i="66"/>
  <c r="AY460" i="66"/>
  <c r="AX460" i="66"/>
  <c r="AA460" i="66"/>
  <c r="Z460" i="66"/>
  <c r="Y460" i="66"/>
  <c r="X460" i="66"/>
  <c r="W460" i="66"/>
  <c r="V460" i="66"/>
  <c r="U460" i="66"/>
  <c r="T460" i="66"/>
  <c r="S460" i="66"/>
  <c r="R460" i="66"/>
  <c r="Q460" i="66"/>
  <c r="P460" i="66"/>
  <c r="O460" i="66"/>
  <c r="N460" i="66"/>
  <c r="M460" i="66"/>
  <c r="L460" i="66"/>
  <c r="K460" i="66"/>
  <c r="J460" i="66"/>
  <c r="I460" i="66"/>
  <c r="H460" i="66"/>
  <c r="G460" i="66"/>
  <c r="F460" i="66"/>
  <c r="E460" i="66"/>
  <c r="D460" i="66"/>
  <c r="CC459" i="66"/>
  <c r="CB459" i="66"/>
  <c r="CA459" i="66"/>
  <c r="BZ459" i="66"/>
  <c r="BY459" i="66"/>
  <c r="BX459" i="66"/>
  <c r="BW459" i="66"/>
  <c r="BV459" i="66"/>
  <c r="BU459" i="66"/>
  <c r="BT459" i="66"/>
  <c r="BS459" i="66"/>
  <c r="BR459" i="66"/>
  <c r="BQ459" i="66"/>
  <c r="BP459" i="66"/>
  <c r="BO459" i="66"/>
  <c r="BN459" i="66"/>
  <c r="BM459" i="66"/>
  <c r="BL459" i="66"/>
  <c r="BK459" i="66"/>
  <c r="BJ459" i="66"/>
  <c r="BI459" i="66"/>
  <c r="BH459" i="66"/>
  <c r="BG459" i="66"/>
  <c r="BF459" i="66"/>
  <c r="BE459" i="66"/>
  <c r="BD459" i="66"/>
  <c r="BC459" i="66"/>
  <c r="BB459" i="66"/>
  <c r="BA459" i="66"/>
  <c r="AZ459" i="66"/>
  <c r="AY459" i="66"/>
  <c r="AX459" i="66"/>
  <c r="AA459" i="66"/>
  <c r="Z459" i="66"/>
  <c r="Y459" i="66"/>
  <c r="X459" i="66"/>
  <c r="W459" i="66"/>
  <c r="V459" i="66"/>
  <c r="U459" i="66"/>
  <c r="T459" i="66"/>
  <c r="S459" i="66"/>
  <c r="R459" i="66"/>
  <c r="Q459" i="66"/>
  <c r="P459" i="66"/>
  <c r="O459" i="66"/>
  <c r="N459" i="66"/>
  <c r="M459" i="66"/>
  <c r="L459" i="66"/>
  <c r="K459" i="66"/>
  <c r="J459" i="66"/>
  <c r="I459" i="66"/>
  <c r="H459" i="66"/>
  <c r="G459" i="66"/>
  <c r="F459" i="66"/>
  <c r="E459" i="66"/>
  <c r="D459" i="66"/>
  <c r="CC458" i="66"/>
  <c r="CB458" i="66"/>
  <c r="CA458" i="66"/>
  <c r="BZ458" i="66"/>
  <c r="BY458" i="66"/>
  <c r="BX458" i="66"/>
  <c r="BW458" i="66"/>
  <c r="BV458" i="66"/>
  <c r="BU458" i="66"/>
  <c r="BT458" i="66"/>
  <c r="BS458" i="66"/>
  <c r="BR458" i="66"/>
  <c r="BQ458" i="66"/>
  <c r="BP458" i="66"/>
  <c r="BO458" i="66"/>
  <c r="BN458" i="66"/>
  <c r="BM458" i="66"/>
  <c r="BL458" i="66"/>
  <c r="BK458" i="66"/>
  <c r="BJ458" i="66"/>
  <c r="BI458" i="66"/>
  <c r="BH458" i="66"/>
  <c r="BG458" i="66"/>
  <c r="BF458" i="66"/>
  <c r="BE458" i="66"/>
  <c r="BD458" i="66"/>
  <c r="BC458" i="66"/>
  <c r="BB458" i="66"/>
  <c r="BA458" i="66"/>
  <c r="AZ458" i="66"/>
  <c r="AY458" i="66"/>
  <c r="AX458" i="66"/>
  <c r="AA458" i="66"/>
  <c r="Z458" i="66"/>
  <c r="Y458" i="66"/>
  <c r="X458" i="66"/>
  <c r="W458" i="66"/>
  <c r="V458" i="66"/>
  <c r="U458" i="66"/>
  <c r="T458" i="66"/>
  <c r="S458" i="66"/>
  <c r="R458" i="66"/>
  <c r="Q458" i="66"/>
  <c r="P458" i="66"/>
  <c r="O458" i="66"/>
  <c r="N458" i="66"/>
  <c r="M458" i="66"/>
  <c r="L458" i="66"/>
  <c r="K458" i="66"/>
  <c r="J458" i="66"/>
  <c r="I458" i="66"/>
  <c r="H458" i="66"/>
  <c r="G458" i="66"/>
  <c r="F458" i="66"/>
  <c r="E458" i="66"/>
  <c r="D458" i="66"/>
  <c r="CC457" i="66"/>
  <c r="CB457" i="66"/>
  <c r="CA457" i="66"/>
  <c r="BZ457" i="66"/>
  <c r="BY457" i="66"/>
  <c r="BX457" i="66"/>
  <c r="BW457" i="66"/>
  <c r="BV457" i="66"/>
  <c r="BU457" i="66"/>
  <c r="BT457" i="66"/>
  <c r="BS457" i="66"/>
  <c r="BR457" i="66"/>
  <c r="BQ457" i="66"/>
  <c r="BP457" i="66"/>
  <c r="BO457" i="66"/>
  <c r="BN457" i="66"/>
  <c r="BM457" i="66"/>
  <c r="BL457" i="66"/>
  <c r="BK457" i="66"/>
  <c r="BJ457" i="66"/>
  <c r="BI457" i="66"/>
  <c r="BH457" i="66"/>
  <c r="BG457" i="66"/>
  <c r="BF457" i="66"/>
  <c r="BE457" i="66"/>
  <c r="BD457" i="66"/>
  <c r="BC457" i="66"/>
  <c r="BB457" i="66"/>
  <c r="BA457" i="66"/>
  <c r="AZ457" i="66"/>
  <c r="AY457" i="66"/>
  <c r="AX457" i="66"/>
  <c r="AA457" i="66"/>
  <c r="Z457" i="66"/>
  <c r="Y457" i="66"/>
  <c r="X457" i="66"/>
  <c r="W457" i="66"/>
  <c r="V457" i="66"/>
  <c r="U457" i="66"/>
  <c r="T457" i="66"/>
  <c r="S457" i="66"/>
  <c r="R457" i="66"/>
  <c r="Q457" i="66"/>
  <c r="P457" i="66"/>
  <c r="O457" i="66"/>
  <c r="N457" i="66"/>
  <c r="M457" i="66"/>
  <c r="L457" i="66"/>
  <c r="K457" i="66"/>
  <c r="J457" i="66"/>
  <c r="I457" i="66"/>
  <c r="H457" i="66"/>
  <c r="G457" i="66"/>
  <c r="F457" i="66"/>
  <c r="D457" i="66"/>
  <c r="CC456" i="66"/>
  <c r="CB456" i="66"/>
  <c r="CA456" i="66"/>
  <c r="BZ456" i="66"/>
  <c r="BY456" i="66"/>
  <c r="BX456" i="66"/>
  <c r="BW456" i="66"/>
  <c r="BV456" i="66"/>
  <c r="BU456" i="66"/>
  <c r="BT456" i="66"/>
  <c r="BS456" i="66"/>
  <c r="BR456" i="66"/>
  <c r="BQ456" i="66"/>
  <c r="BP456" i="66"/>
  <c r="BO456" i="66"/>
  <c r="BN456" i="66"/>
  <c r="BM456" i="66"/>
  <c r="BL456" i="66"/>
  <c r="BK456" i="66"/>
  <c r="BJ456" i="66"/>
  <c r="BI456" i="66"/>
  <c r="BH456" i="66"/>
  <c r="BG456" i="66"/>
  <c r="BF456" i="66"/>
  <c r="BE456" i="66"/>
  <c r="BD456" i="66"/>
  <c r="BC456" i="66"/>
  <c r="BB456" i="66"/>
  <c r="BA456" i="66"/>
  <c r="AZ456" i="66"/>
  <c r="AY456" i="66"/>
  <c r="AX456" i="66"/>
  <c r="AA456" i="66"/>
  <c r="Z456" i="66"/>
  <c r="Y456" i="66"/>
  <c r="X456" i="66"/>
  <c r="W456" i="66"/>
  <c r="V456" i="66"/>
  <c r="U456" i="66"/>
  <c r="T456" i="66"/>
  <c r="S456" i="66"/>
  <c r="R456" i="66"/>
  <c r="Q456" i="66"/>
  <c r="P456" i="66"/>
  <c r="O456" i="66"/>
  <c r="N456" i="66"/>
  <c r="M456" i="66"/>
  <c r="L456" i="66"/>
  <c r="K456" i="66"/>
  <c r="J456" i="66"/>
  <c r="I456" i="66"/>
  <c r="H456" i="66"/>
  <c r="G456" i="66"/>
  <c r="F456" i="66"/>
  <c r="E456" i="66"/>
  <c r="D456" i="66"/>
  <c r="CC455" i="66"/>
  <c r="CB455" i="66"/>
  <c r="CA455" i="66"/>
  <c r="BZ455" i="66"/>
  <c r="BY455" i="66"/>
  <c r="BX455" i="66"/>
  <c r="BW455" i="66"/>
  <c r="BV455" i="66"/>
  <c r="BU455" i="66"/>
  <c r="BT455" i="66"/>
  <c r="BS455" i="66"/>
  <c r="BR455" i="66"/>
  <c r="BQ455" i="66"/>
  <c r="BP455" i="66"/>
  <c r="BO455" i="66"/>
  <c r="BN455" i="66"/>
  <c r="BM455" i="66"/>
  <c r="BL455" i="66"/>
  <c r="BK455" i="66"/>
  <c r="BJ455" i="66"/>
  <c r="BI455" i="66"/>
  <c r="BH455" i="66"/>
  <c r="BG455" i="66"/>
  <c r="BF455" i="66"/>
  <c r="BE455" i="66"/>
  <c r="BD455" i="66"/>
  <c r="BC455" i="66"/>
  <c r="BB455" i="66"/>
  <c r="BA455" i="66"/>
  <c r="AZ455" i="66"/>
  <c r="AY455" i="66"/>
  <c r="AX455" i="66"/>
  <c r="AA455" i="66"/>
  <c r="Z455" i="66"/>
  <c r="Y455" i="66"/>
  <c r="X455" i="66"/>
  <c r="W455" i="66"/>
  <c r="V455" i="66"/>
  <c r="U455" i="66"/>
  <c r="T455" i="66"/>
  <c r="S455" i="66"/>
  <c r="R455" i="66"/>
  <c r="Q455" i="66"/>
  <c r="P455" i="66"/>
  <c r="O455" i="66"/>
  <c r="N455" i="66"/>
  <c r="M455" i="66"/>
  <c r="L455" i="66"/>
  <c r="K455" i="66"/>
  <c r="J455" i="66"/>
  <c r="I455" i="66"/>
  <c r="H455" i="66"/>
  <c r="G455" i="66"/>
  <c r="F455" i="66"/>
  <c r="E455" i="66"/>
  <c r="D455" i="66"/>
  <c r="CC454" i="66"/>
  <c r="CB454" i="66"/>
  <c r="CA454" i="66"/>
  <c r="BZ454" i="66"/>
  <c r="BY454" i="66"/>
  <c r="BX454" i="66"/>
  <c r="BW454" i="66"/>
  <c r="BV454" i="66"/>
  <c r="BU454" i="66"/>
  <c r="BT454" i="66"/>
  <c r="BS454" i="66"/>
  <c r="BR454" i="66"/>
  <c r="BQ454" i="66"/>
  <c r="BP454" i="66"/>
  <c r="BO454" i="66"/>
  <c r="BN454" i="66"/>
  <c r="BM454" i="66"/>
  <c r="BL454" i="66"/>
  <c r="BK454" i="66"/>
  <c r="BJ454" i="66"/>
  <c r="BI454" i="66"/>
  <c r="BH454" i="66"/>
  <c r="BG454" i="66"/>
  <c r="BF454" i="66"/>
  <c r="BE454" i="66"/>
  <c r="BD454" i="66"/>
  <c r="BC454" i="66"/>
  <c r="BB454" i="66"/>
  <c r="BA454" i="66"/>
  <c r="AZ454" i="66"/>
  <c r="AY454" i="66"/>
  <c r="AX454" i="66"/>
  <c r="AA454" i="66"/>
  <c r="Z454" i="66"/>
  <c r="Y454" i="66"/>
  <c r="X454" i="66"/>
  <c r="W454" i="66"/>
  <c r="V454" i="66"/>
  <c r="U454" i="66"/>
  <c r="T454" i="66"/>
  <c r="S454" i="66"/>
  <c r="R454" i="66"/>
  <c r="Q454" i="66"/>
  <c r="P454" i="66"/>
  <c r="O454" i="66"/>
  <c r="N454" i="66"/>
  <c r="M454" i="66"/>
  <c r="L454" i="66"/>
  <c r="K454" i="66"/>
  <c r="J454" i="66"/>
  <c r="I454" i="66"/>
  <c r="H454" i="66"/>
  <c r="G454" i="66"/>
  <c r="F454" i="66"/>
  <c r="E454" i="66"/>
  <c r="D454" i="66"/>
  <c r="CC453" i="66"/>
  <c r="CB453" i="66"/>
  <c r="CA453" i="66"/>
  <c r="BZ453" i="66"/>
  <c r="BY453" i="66"/>
  <c r="BX453" i="66"/>
  <c r="BW453" i="66"/>
  <c r="BV453" i="66"/>
  <c r="BU453" i="66"/>
  <c r="BT453" i="66"/>
  <c r="BS453" i="66"/>
  <c r="BR453" i="66"/>
  <c r="BQ453" i="66"/>
  <c r="BP453" i="66"/>
  <c r="BO453" i="66"/>
  <c r="BN453" i="66"/>
  <c r="BM453" i="66"/>
  <c r="BL453" i="66"/>
  <c r="BK453" i="66"/>
  <c r="BJ453" i="66"/>
  <c r="BI453" i="66"/>
  <c r="BH453" i="66"/>
  <c r="BG453" i="66"/>
  <c r="BF453" i="66"/>
  <c r="BE453" i="66"/>
  <c r="BD453" i="66"/>
  <c r="BC453" i="66"/>
  <c r="BB453" i="66"/>
  <c r="BA453" i="66"/>
  <c r="AZ453" i="66"/>
  <c r="AY453" i="66"/>
  <c r="AX453" i="66"/>
  <c r="AA453" i="66"/>
  <c r="Z453" i="66"/>
  <c r="Y453" i="66"/>
  <c r="X453" i="66"/>
  <c r="W453" i="66"/>
  <c r="V453" i="66"/>
  <c r="U453" i="66"/>
  <c r="T453" i="66"/>
  <c r="S453" i="66"/>
  <c r="R453" i="66"/>
  <c r="Q453" i="66"/>
  <c r="P453" i="66"/>
  <c r="O453" i="66"/>
  <c r="N453" i="66"/>
  <c r="M453" i="66"/>
  <c r="L453" i="66"/>
  <c r="K453" i="66"/>
  <c r="J453" i="66"/>
  <c r="I453" i="66"/>
  <c r="H453" i="66"/>
  <c r="G453" i="66"/>
  <c r="F453" i="66"/>
  <c r="D453" i="66"/>
  <c r="CC452" i="66"/>
  <c r="CB452" i="66"/>
  <c r="CA452" i="66"/>
  <c r="BZ452" i="66"/>
  <c r="BY452" i="66"/>
  <c r="BX452" i="66"/>
  <c r="BW452" i="66"/>
  <c r="BV452" i="66"/>
  <c r="BU452" i="66"/>
  <c r="BT452" i="66"/>
  <c r="BS452" i="66"/>
  <c r="BR452" i="66"/>
  <c r="BQ452" i="66"/>
  <c r="BP452" i="66"/>
  <c r="BO452" i="66"/>
  <c r="BN452" i="66"/>
  <c r="BM452" i="66"/>
  <c r="BL452" i="66"/>
  <c r="BK452" i="66"/>
  <c r="BJ452" i="66"/>
  <c r="BI452" i="66"/>
  <c r="BH452" i="66"/>
  <c r="BG452" i="66"/>
  <c r="BF452" i="66"/>
  <c r="BE452" i="66"/>
  <c r="BD452" i="66"/>
  <c r="BC452" i="66"/>
  <c r="BB452" i="66"/>
  <c r="BA452" i="66"/>
  <c r="AZ452" i="66"/>
  <c r="AY452" i="66"/>
  <c r="AX452" i="66"/>
  <c r="AA452" i="66"/>
  <c r="Z452" i="66"/>
  <c r="Y452" i="66"/>
  <c r="X452" i="66"/>
  <c r="W452" i="66"/>
  <c r="V452" i="66"/>
  <c r="U452" i="66"/>
  <c r="T452" i="66"/>
  <c r="S452" i="66"/>
  <c r="R452" i="66"/>
  <c r="Q452" i="66"/>
  <c r="P452" i="66"/>
  <c r="O452" i="66"/>
  <c r="N452" i="66"/>
  <c r="M452" i="66"/>
  <c r="L452" i="66"/>
  <c r="K452" i="66"/>
  <c r="J452" i="66"/>
  <c r="I452" i="66"/>
  <c r="H452" i="66"/>
  <c r="G452" i="66"/>
  <c r="F452" i="66"/>
  <c r="E452" i="66"/>
  <c r="D452" i="66"/>
  <c r="CC451" i="66"/>
  <c r="CB451" i="66"/>
  <c r="CA451" i="66"/>
  <c r="BZ451" i="66"/>
  <c r="BY451" i="66"/>
  <c r="BX451" i="66"/>
  <c r="BW451" i="66"/>
  <c r="BV451" i="66"/>
  <c r="BU451" i="66"/>
  <c r="BT451" i="66"/>
  <c r="BS451" i="66"/>
  <c r="BR451" i="66"/>
  <c r="BQ451" i="66"/>
  <c r="BP451" i="66"/>
  <c r="BO451" i="66"/>
  <c r="BN451" i="66"/>
  <c r="BM451" i="66"/>
  <c r="BL451" i="66"/>
  <c r="BK451" i="66"/>
  <c r="BJ451" i="66"/>
  <c r="BI451" i="66"/>
  <c r="BH451" i="66"/>
  <c r="BG451" i="66"/>
  <c r="BF451" i="66"/>
  <c r="BE451" i="66"/>
  <c r="BD451" i="66"/>
  <c r="BC451" i="66"/>
  <c r="BB451" i="66"/>
  <c r="BA451" i="66"/>
  <c r="AZ451" i="66"/>
  <c r="AY451" i="66"/>
  <c r="AX451" i="66"/>
  <c r="AA451" i="66"/>
  <c r="Z451" i="66"/>
  <c r="Y451" i="66"/>
  <c r="X451" i="66"/>
  <c r="W451" i="66"/>
  <c r="V451" i="66"/>
  <c r="U451" i="66"/>
  <c r="T451" i="66"/>
  <c r="S451" i="66"/>
  <c r="R451" i="66"/>
  <c r="Q451" i="66"/>
  <c r="P451" i="66"/>
  <c r="O451" i="66"/>
  <c r="N451" i="66"/>
  <c r="M451" i="66"/>
  <c r="L451" i="66"/>
  <c r="K451" i="66"/>
  <c r="J451" i="66"/>
  <c r="I451" i="66"/>
  <c r="H451" i="66"/>
  <c r="G451" i="66"/>
  <c r="F451" i="66"/>
  <c r="E451" i="66"/>
  <c r="D451" i="66"/>
  <c r="CC450" i="66"/>
  <c r="CB450" i="66"/>
  <c r="CA450" i="66"/>
  <c r="BZ450" i="66"/>
  <c r="BY450" i="66"/>
  <c r="BX450" i="66"/>
  <c r="BW450" i="66"/>
  <c r="BV450" i="66"/>
  <c r="BU450" i="66"/>
  <c r="BT450" i="66"/>
  <c r="BS450" i="66"/>
  <c r="BR450" i="66"/>
  <c r="BQ450" i="66"/>
  <c r="BP450" i="66"/>
  <c r="BO450" i="66"/>
  <c r="BN450" i="66"/>
  <c r="BM450" i="66"/>
  <c r="BL450" i="66"/>
  <c r="BK450" i="66"/>
  <c r="BJ450" i="66"/>
  <c r="BI450" i="66"/>
  <c r="BH450" i="66"/>
  <c r="BG450" i="66"/>
  <c r="BF450" i="66"/>
  <c r="BE450" i="66"/>
  <c r="BD450" i="66"/>
  <c r="BC450" i="66"/>
  <c r="BB450" i="66"/>
  <c r="BA450" i="66"/>
  <c r="AZ450" i="66"/>
  <c r="AY450" i="66"/>
  <c r="AX450" i="66"/>
  <c r="AA450" i="66"/>
  <c r="Z450" i="66"/>
  <c r="Y450" i="66"/>
  <c r="X450" i="66"/>
  <c r="W450" i="66"/>
  <c r="V450" i="66"/>
  <c r="U450" i="66"/>
  <c r="T450" i="66"/>
  <c r="S450" i="66"/>
  <c r="R450" i="66"/>
  <c r="Q450" i="66"/>
  <c r="P450" i="66"/>
  <c r="O450" i="66"/>
  <c r="N450" i="66"/>
  <c r="M450" i="66"/>
  <c r="L450" i="66"/>
  <c r="K450" i="66"/>
  <c r="J450" i="66"/>
  <c r="I450" i="66"/>
  <c r="H450" i="66"/>
  <c r="G450" i="66"/>
  <c r="F450" i="66"/>
  <c r="E450" i="66"/>
  <c r="D450" i="66"/>
  <c r="CC449" i="66"/>
  <c r="CB449" i="66"/>
  <c r="CA449" i="66"/>
  <c r="BZ449" i="66"/>
  <c r="BY449" i="66"/>
  <c r="BX449" i="66"/>
  <c r="BW449" i="66"/>
  <c r="BV449" i="66"/>
  <c r="BU449" i="66"/>
  <c r="BT449" i="66"/>
  <c r="BS449" i="66"/>
  <c r="BR449" i="66"/>
  <c r="BQ449" i="66"/>
  <c r="BP449" i="66"/>
  <c r="BO449" i="66"/>
  <c r="BN449" i="66"/>
  <c r="BM449" i="66"/>
  <c r="BL449" i="66"/>
  <c r="BK449" i="66"/>
  <c r="BJ449" i="66"/>
  <c r="BI449" i="66"/>
  <c r="BH449" i="66"/>
  <c r="BG449" i="66"/>
  <c r="BF449" i="66"/>
  <c r="BE449" i="66"/>
  <c r="BD449" i="66"/>
  <c r="BC449" i="66"/>
  <c r="BB449" i="66"/>
  <c r="BA449" i="66"/>
  <c r="AZ449" i="66"/>
  <c r="AY449" i="66"/>
  <c r="AX449" i="66"/>
  <c r="AA449" i="66"/>
  <c r="Z449" i="66"/>
  <c r="Y449" i="66"/>
  <c r="X449" i="66"/>
  <c r="W449" i="66"/>
  <c r="V449" i="66"/>
  <c r="U449" i="66"/>
  <c r="T449" i="66"/>
  <c r="S449" i="66"/>
  <c r="R449" i="66"/>
  <c r="Q449" i="66"/>
  <c r="P449" i="66"/>
  <c r="O449" i="66"/>
  <c r="N449" i="66"/>
  <c r="M449" i="66"/>
  <c r="L449" i="66"/>
  <c r="K449" i="66"/>
  <c r="J449" i="66"/>
  <c r="I449" i="66"/>
  <c r="H449" i="66"/>
  <c r="G449" i="66"/>
  <c r="F449" i="66"/>
  <c r="E449" i="66"/>
  <c r="D449" i="66"/>
  <c r="C450" i="66"/>
  <c r="C451" i="66"/>
  <c r="C452" i="66"/>
  <c r="C453" i="66"/>
  <c r="C454" i="66"/>
  <c r="C455" i="66"/>
  <c r="C456" i="66"/>
  <c r="C457" i="66"/>
  <c r="C458" i="66"/>
  <c r="C459" i="66"/>
  <c r="C460" i="66"/>
  <c r="CC445" i="66"/>
  <c r="CB445" i="66"/>
  <c r="CA445" i="66"/>
  <c r="BZ445" i="66"/>
  <c r="BY445" i="66"/>
  <c r="BX445" i="66"/>
  <c r="BW445" i="66"/>
  <c r="BV445" i="66"/>
  <c r="BU445" i="66"/>
  <c r="BT445" i="66"/>
  <c r="BS445" i="66"/>
  <c r="BR445" i="66"/>
  <c r="BQ445" i="66"/>
  <c r="BP445" i="66"/>
  <c r="BO445" i="66"/>
  <c r="BN445" i="66"/>
  <c r="BM445" i="66"/>
  <c r="BL445" i="66"/>
  <c r="BK445" i="66"/>
  <c r="BJ445" i="66"/>
  <c r="BI445" i="66"/>
  <c r="BH445" i="66"/>
  <c r="BG445" i="66"/>
  <c r="BF445" i="66"/>
  <c r="BE445" i="66"/>
  <c r="BD445" i="66"/>
  <c r="BC445" i="66"/>
  <c r="BB445" i="66"/>
  <c r="BA445" i="66"/>
  <c r="AZ445" i="66"/>
  <c r="AY445" i="66"/>
  <c r="AX445" i="66"/>
  <c r="AA445" i="66"/>
  <c r="Z445" i="66"/>
  <c r="Y445" i="66"/>
  <c r="X445" i="66"/>
  <c r="W445" i="66"/>
  <c r="V445" i="66"/>
  <c r="U445" i="66"/>
  <c r="T445" i="66"/>
  <c r="S445" i="66"/>
  <c r="R445" i="66"/>
  <c r="Q445" i="66"/>
  <c r="P445" i="66"/>
  <c r="O445" i="66"/>
  <c r="N445" i="66"/>
  <c r="M445" i="66"/>
  <c r="L445" i="66"/>
  <c r="K445" i="66"/>
  <c r="J445" i="66"/>
  <c r="I445" i="66"/>
  <c r="H445" i="66"/>
  <c r="G445" i="66"/>
  <c r="F445" i="66"/>
  <c r="E445" i="66"/>
  <c r="D445" i="66"/>
  <c r="CC444" i="66"/>
  <c r="CB444" i="66"/>
  <c r="CA444" i="66"/>
  <c r="BZ444" i="66"/>
  <c r="BY444" i="66"/>
  <c r="BX444" i="66"/>
  <c r="BW444" i="66"/>
  <c r="BV444" i="66"/>
  <c r="BU444" i="66"/>
  <c r="BT444" i="66"/>
  <c r="BS444" i="66"/>
  <c r="BR444" i="66"/>
  <c r="BQ444" i="66"/>
  <c r="BP444" i="66"/>
  <c r="BO444" i="66"/>
  <c r="BN444" i="66"/>
  <c r="BM444" i="66"/>
  <c r="BL444" i="66"/>
  <c r="BK444" i="66"/>
  <c r="BJ444" i="66"/>
  <c r="BI444" i="66"/>
  <c r="BH444" i="66"/>
  <c r="BG444" i="66"/>
  <c r="BF444" i="66"/>
  <c r="BE444" i="66"/>
  <c r="BD444" i="66"/>
  <c r="BC444" i="66"/>
  <c r="BB444" i="66"/>
  <c r="BA444" i="66"/>
  <c r="AZ444" i="66"/>
  <c r="AY444" i="66"/>
  <c r="AX444" i="66"/>
  <c r="AA444" i="66"/>
  <c r="Z444" i="66"/>
  <c r="Y444" i="66"/>
  <c r="X444" i="66"/>
  <c r="W444" i="66"/>
  <c r="V444" i="66"/>
  <c r="U444" i="66"/>
  <c r="T444" i="66"/>
  <c r="S444" i="66"/>
  <c r="R444" i="66"/>
  <c r="Q444" i="66"/>
  <c r="P444" i="66"/>
  <c r="O444" i="66"/>
  <c r="N444" i="66"/>
  <c r="M444" i="66"/>
  <c r="L444" i="66"/>
  <c r="K444" i="66"/>
  <c r="J444" i="66"/>
  <c r="I444" i="66"/>
  <c r="H444" i="66"/>
  <c r="G444" i="66"/>
  <c r="F444" i="66"/>
  <c r="E444" i="66"/>
  <c r="D444" i="66"/>
  <c r="CC443" i="66"/>
  <c r="CB443" i="66"/>
  <c r="CA443" i="66"/>
  <c r="BZ443" i="66"/>
  <c r="BY443" i="66"/>
  <c r="BX443" i="66"/>
  <c r="BW443" i="66"/>
  <c r="BV443" i="66"/>
  <c r="BU443" i="66"/>
  <c r="BT443" i="66"/>
  <c r="BS443" i="66"/>
  <c r="BR443" i="66"/>
  <c r="BQ443" i="66"/>
  <c r="BP443" i="66"/>
  <c r="BO443" i="66"/>
  <c r="BN443" i="66"/>
  <c r="BM443" i="66"/>
  <c r="BL443" i="66"/>
  <c r="BK443" i="66"/>
  <c r="BJ443" i="66"/>
  <c r="BI443" i="66"/>
  <c r="BH443" i="66"/>
  <c r="BG443" i="66"/>
  <c r="BF443" i="66"/>
  <c r="BE443" i="66"/>
  <c r="BD443" i="66"/>
  <c r="BC443" i="66"/>
  <c r="BB443" i="66"/>
  <c r="BA443" i="66"/>
  <c r="AZ443" i="66"/>
  <c r="AY443" i="66"/>
  <c r="AX443" i="66"/>
  <c r="AA443" i="66"/>
  <c r="Z443" i="66"/>
  <c r="Y443" i="66"/>
  <c r="X443" i="66"/>
  <c r="W443" i="66"/>
  <c r="V443" i="66"/>
  <c r="U443" i="66"/>
  <c r="T443" i="66"/>
  <c r="S443" i="66"/>
  <c r="R443" i="66"/>
  <c r="Q443" i="66"/>
  <c r="P443" i="66"/>
  <c r="O443" i="66"/>
  <c r="N443" i="66"/>
  <c r="M443" i="66"/>
  <c r="L443" i="66"/>
  <c r="K443" i="66"/>
  <c r="J443" i="66"/>
  <c r="I443" i="66"/>
  <c r="H443" i="66"/>
  <c r="G443" i="66"/>
  <c r="F443" i="66"/>
  <c r="E443" i="66"/>
  <c r="D443" i="66"/>
  <c r="CC442" i="66"/>
  <c r="CB442" i="66"/>
  <c r="CA442" i="66"/>
  <c r="BZ442" i="66"/>
  <c r="BY442" i="66"/>
  <c r="BX442" i="66"/>
  <c r="BW442" i="66"/>
  <c r="BV442" i="66"/>
  <c r="BU442" i="66"/>
  <c r="BT442" i="66"/>
  <c r="BS442" i="66"/>
  <c r="BR442" i="66"/>
  <c r="BQ442" i="66"/>
  <c r="BP442" i="66"/>
  <c r="BO442" i="66"/>
  <c r="BN442" i="66"/>
  <c r="BM442" i="66"/>
  <c r="BL442" i="66"/>
  <c r="BK442" i="66"/>
  <c r="BJ442" i="66"/>
  <c r="BI442" i="66"/>
  <c r="BH442" i="66"/>
  <c r="BG442" i="66"/>
  <c r="BF442" i="66"/>
  <c r="BE442" i="66"/>
  <c r="BD442" i="66"/>
  <c r="BC442" i="66"/>
  <c r="BB442" i="66"/>
  <c r="BA442" i="66"/>
  <c r="AZ442" i="66"/>
  <c r="AY442" i="66"/>
  <c r="AX442" i="66"/>
  <c r="AA442" i="66"/>
  <c r="Z442" i="66"/>
  <c r="Y442" i="66"/>
  <c r="X442" i="66"/>
  <c r="W442" i="66"/>
  <c r="V442" i="66"/>
  <c r="U442" i="66"/>
  <c r="T442" i="66"/>
  <c r="S442" i="66"/>
  <c r="R442" i="66"/>
  <c r="Q442" i="66"/>
  <c r="P442" i="66"/>
  <c r="O442" i="66"/>
  <c r="N442" i="66"/>
  <c r="M442" i="66"/>
  <c r="L442" i="66"/>
  <c r="K442" i="66"/>
  <c r="J442" i="66"/>
  <c r="I442" i="66"/>
  <c r="H442" i="66"/>
  <c r="G442" i="66"/>
  <c r="F442" i="66"/>
  <c r="E442" i="66"/>
  <c r="D442" i="66"/>
  <c r="CC441" i="66"/>
  <c r="CB441" i="66"/>
  <c r="CA441" i="66"/>
  <c r="BZ441" i="66"/>
  <c r="BY441" i="66"/>
  <c r="BX441" i="66"/>
  <c r="BW441" i="66"/>
  <c r="BV441" i="66"/>
  <c r="BU441" i="66"/>
  <c r="BT441" i="66"/>
  <c r="BS441" i="66"/>
  <c r="BR441" i="66"/>
  <c r="BQ441" i="66"/>
  <c r="BP441" i="66"/>
  <c r="BO441" i="66"/>
  <c r="BN441" i="66"/>
  <c r="BM441" i="66"/>
  <c r="BL441" i="66"/>
  <c r="BK441" i="66"/>
  <c r="BJ441" i="66"/>
  <c r="BI441" i="66"/>
  <c r="BH441" i="66"/>
  <c r="BG441" i="66"/>
  <c r="BF441" i="66"/>
  <c r="BE441" i="66"/>
  <c r="BD441" i="66"/>
  <c r="BC441" i="66"/>
  <c r="BB441" i="66"/>
  <c r="BA441" i="66"/>
  <c r="AZ441" i="66"/>
  <c r="AY441" i="66"/>
  <c r="AX441" i="66"/>
  <c r="AA441" i="66"/>
  <c r="Z441" i="66"/>
  <c r="Y441" i="66"/>
  <c r="X441" i="66"/>
  <c r="W441" i="66"/>
  <c r="V441" i="66"/>
  <c r="U441" i="66"/>
  <c r="T441" i="66"/>
  <c r="S441" i="66"/>
  <c r="R441" i="66"/>
  <c r="Q441" i="66"/>
  <c r="P441" i="66"/>
  <c r="O441" i="66"/>
  <c r="N441" i="66"/>
  <c r="M441" i="66"/>
  <c r="L441" i="66"/>
  <c r="K441" i="66"/>
  <c r="J441" i="66"/>
  <c r="I441" i="66"/>
  <c r="H441" i="66"/>
  <c r="G441" i="66"/>
  <c r="F441" i="66"/>
  <c r="E441" i="66"/>
  <c r="D441" i="66"/>
  <c r="CC440" i="66"/>
  <c r="CB440" i="66"/>
  <c r="CA440" i="66"/>
  <c r="BZ440" i="66"/>
  <c r="BY440" i="66"/>
  <c r="BX440" i="66"/>
  <c r="BW440" i="66"/>
  <c r="BV440" i="66"/>
  <c r="BU440" i="66"/>
  <c r="BT440" i="66"/>
  <c r="BS440" i="66"/>
  <c r="BR440" i="66"/>
  <c r="BQ440" i="66"/>
  <c r="BP440" i="66"/>
  <c r="BO440" i="66"/>
  <c r="BN440" i="66"/>
  <c r="BM440" i="66"/>
  <c r="BL440" i="66"/>
  <c r="BK440" i="66"/>
  <c r="BJ440" i="66"/>
  <c r="BI440" i="66"/>
  <c r="BH440" i="66"/>
  <c r="BG440" i="66"/>
  <c r="BF440" i="66"/>
  <c r="BE440" i="66"/>
  <c r="BD440" i="66"/>
  <c r="BC440" i="66"/>
  <c r="BB440" i="66"/>
  <c r="BA440" i="66"/>
  <c r="AZ440" i="66"/>
  <c r="AY440" i="66"/>
  <c r="AX440" i="66"/>
  <c r="AA440" i="66"/>
  <c r="Z440" i="66"/>
  <c r="Y440" i="66"/>
  <c r="X440" i="66"/>
  <c r="W440" i="66"/>
  <c r="V440" i="66"/>
  <c r="U440" i="66"/>
  <c r="T440" i="66"/>
  <c r="S440" i="66"/>
  <c r="R440" i="66"/>
  <c r="Q440" i="66"/>
  <c r="P440" i="66"/>
  <c r="O440" i="66"/>
  <c r="N440" i="66"/>
  <c r="M440" i="66"/>
  <c r="L440" i="66"/>
  <c r="K440" i="66"/>
  <c r="J440" i="66"/>
  <c r="I440" i="66"/>
  <c r="H440" i="66"/>
  <c r="G440" i="66"/>
  <c r="F440" i="66"/>
  <c r="E440" i="66"/>
  <c r="D440" i="66"/>
  <c r="CC439" i="66"/>
  <c r="CB439" i="66"/>
  <c r="CA439" i="66"/>
  <c r="BZ439" i="66"/>
  <c r="BY439" i="66"/>
  <c r="BX439" i="66"/>
  <c r="BW439" i="66"/>
  <c r="BV439" i="66"/>
  <c r="BU439" i="66"/>
  <c r="BT439" i="66"/>
  <c r="BS439" i="66"/>
  <c r="BR439" i="66"/>
  <c r="BQ439" i="66"/>
  <c r="BP439" i="66"/>
  <c r="BO439" i="66"/>
  <c r="BN439" i="66"/>
  <c r="BM439" i="66"/>
  <c r="BL439" i="66"/>
  <c r="BK439" i="66"/>
  <c r="BI439" i="66"/>
  <c r="BH439" i="66"/>
  <c r="BG439" i="66"/>
  <c r="BF439" i="66"/>
  <c r="BE439" i="66"/>
  <c r="BD439" i="66"/>
  <c r="BC439" i="66"/>
  <c r="BB439" i="66"/>
  <c r="BA439" i="66"/>
  <c r="AZ439" i="66"/>
  <c r="AY439" i="66"/>
  <c r="AX439" i="66"/>
  <c r="AA439" i="66"/>
  <c r="Z439" i="66"/>
  <c r="Y439" i="66"/>
  <c r="X439" i="66"/>
  <c r="W439" i="66"/>
  <c r="V439" i="66"/>
  <c r="U439" i="66"/>
  <c r="T439" i="66"/>
  <c r="S439" i="66"/>
  <c r="R439" i="66"/>
  <c r="Q439" i="66"/>
  <c r="P439" i="66"/>
  <c r="O439" i="66"/>
  <c r="N439" i="66"/>
  <c r="M439" i="66"/>
  <c r="L439" i="66"/>
  <c r="K439" i="66"/>
  <c r="J439" i="66"/>
  <c r="I439" i="66"/>
  <c r="H439" i="66"/>
  <c r="G439" i="66"/>
  <c r="F439" i="66"/>
  <c r="E439" i="66"/>
  <c r="D439" i="66"/>
  <c r="CC438" i="66"/>
  <c r="CB438" i="66"/>
  <c r="CA438" i="66"/>
  <c r="BZ438" i="66"/>
  <c r="BY438" i="66"/>
  <c r="BX438" i="66"/>
  <c r="BW438" i="66"/>
  <c r="BV438" i="66"/>
  <c r="BU438" i="66"/>
  <c r="BT438" i="66"/>
  <c r="BS438" i="66"/>
  <c r="BR438" i="66"/>
  <c r="BQ438" i="66"/>
  <c r="BP438" i="66"/>
  <c r="BO438" i="66"/>
  <c r="BN438" i="66"/>
  <c r="BM438" i="66"/>
  <c r="BL438" i="66"/>
  <c r="BK438" i="66"/>
  <c r="BJ438" i="66"/>
  <c r="BI438" i="66"/>
  <c r="BH438" i="66"/>
  <c r="BG438" i="66"/>
  <c r="BF438" i="66"/>
  <c r="BE438" i="66"/>
  <c r="BD438" i="66"/>
  <c r="BC438" i="66"/>
  <c r="BB438" i="66"/>
  <c r="BA438" i="66"/>
  <c r="AZ438" i="66"/>
  <c r="AY438" i="66"/>
  <c r="AX438" i="66"/>
  <c r="AA438" i="66"/>
  <c r="Z438" i="66"/>
  <c r="Y438" i="66"/>
  <c r="X438" i="66"/>
  <c r="W438" i="66"/>
  <c r="V438" i="66"/>
  <c r="U438" i="66"/>
  <c r="T438" i="66"/>
  <c r="S438" i="66"/>
  <c r="R438" i="66"/>
  <c r="Q438" i="66"/>
  <c r="P438" i="66"/>
  <c r="O438" i="66"/>
  <c r="N438" i="66"/>
  <c r="M438" i="66"/>
  <c r="L438" i="66"/>
  <c r="K438" i="66"/>
  <c r="J438" i="66"/>
  <c r="I438" i="66"/>
  <c r="H438" i="66"/>
  <c r="G438" i="66"/>
  <c r="F438" i="66"/>
  <c r="E438" i="66"/>
  <c r="D438" i="66"/>
  <c r="CC437" i="66"/>
  <c r="CB437" i="66"/>
  <c r="CA437" i="66"/>
  <c r="BZ437" i="66"/>
  <c r="BY437" i="66"/>
  <c r="BX437" i="66"/>
  <c r="BW437" i="66"/>
  <c r="BV437" i="66"/>
  <c r="BU437" i="66"/>
  <c r="BT437" i="66"/>
  <c r="BS437" i="66"/>
  <c r="BR437" i="66"/>
  <c r="BQ437" i="66"/>
  <c r="BP437" i="66"/>
  <c r="BO437" i="66"/>
  <c r="BN437" i="66"/>
  <c r="BM437" i="66"/>
  <c r="BL437" i="66"/>
  <c r="BK437" i="66"/>
  <c r="BJ437" i="66"/>
  <c r="BI437" i="66"/>
  <c r="BH437" i="66"/>
  <c r="BG437" i="66"/>
  <c r="BF437" i="66"/>
  <c r="BE437" i="66"/>
  <c r="BD437" i="66"/>
  <c r="BC437" i="66"/>
  <c r="BB437" i="66"/>
  <c r="BA437" i="66"/>
  <c r="AZ437" i="66"/>
  <c r="AY437" i="66"/>
  <c r="AX437" i="66"/>
  <c r="AA437" i="66"/>
  <c r="Z437" i="66"/>
  <c r="Y437" i="66"/>
  <c r="X437" i="66"/>
  <c r="W437" i="66"/>
  <c r="V437" i="66"/>
  <c r="U437" i="66"/>
  <c r="T437" i="66"/>
  <c r="S437" i="66"/>
  <c r="R437" i="66"/>
  <c r="Q437" i="66"/>
  <c r="P437" i="66"/>
  <c r="O437" i="66"/>
  <c r="N437" i="66"/>
  <c r="M437" i="66"/>
  <c r="L437" i="66"/>
  <c r="K437" i="66"/>
  <c r="J437" i="66"/>
  <c r="I437" i="66"/>
  <c r="H437" i="66"/>
  <c r="G437" i="66"/>
  <c r="F437" i="66"/>
  <c r="E437" i="66"/>
  <c r="D437" i="66"/>
  <c r="CC436" i="66"/>
  <c r="CB436" i="66"/>
  <c r="CA436" i="66"/>
  <c r="BZ436" i="66"/>
  <c r="BY436" i="66"/>
  <c r="BX436" i="66"/>
  <c r="BW436" i="66"/>
  <c r="BV436" i="66"/>
  <c r="BU436" i="66"/>
  <c r="BT436" i="66"/>
  <c r="BS436" i="66"/>
  <c r="BR436" i="66"/>
  <c r="BQ436" i="66"/>
  <c r="BP436" i="66"/>
  <c r="BO436" i="66"/>
  <c r="BN436" i="66"/>
  <c r="BM436" i="66"/>
  <c r="BL436" i="66"/>
  <c r="BK436" i="66"/>
  <c r="BJ436" i="66"/>
  <c r="BI436" i="66"/>
  <c r="BH436" i="66"/>
  <c r="BG436" i="66"/>
  <c r="BF436" i="66"/>
  <c r="BE436" i="66"/>
  <c r="BD436" i="66"/>
  <c r="BC436" i="66"/>
  <c r="BB436" i="66"/>
  <c r="BA436" i="66"/>
  <c r="AZ436" i="66"/>
  <c r="AY436" i="66"/>
  <c r="AX436" i="66"/>
  <c r="AA436" i="66"/>
  <c r="Z436" i="66"/>
  <c r="Y436" i="66"/>
  <c r="X436" i="66"/>
  <c r="W436" i="66"/>
  <c r="V436" i="66"/>
  <c r="U436" i="66"/>
  <c r="T436" i="66"/>
  <c r="S436" i="66"/>
  <c r="R436" i="66"/>
  <c r="Q436" i="66"/>
  <c r="P436" i="66"/>
  <c r="O436" i="66"/>
  <c r="N436" i="66"/>
  <c r="M436" i="66"/>
  <c r="L436" i="66"/>
  <c r="K436" i="66"/>
  <c r="J436" i="66"/>
  <c r="I436" i="66"/>
  <c r="H436" i="66"/>
  <c r="G436" i="66"/>
  <c r="F436" i="66"/>
  <c r="E436" i="66"/>
  <c r="D436" i="66"/>
  <c r="CC435" i="66"/>
  <c r="CB435" i="66"/>
  <c r="CA435" i="66"/>
  <c r="BZ435" i="66"/>
  <c r="BY435" i="66"/>
  <c r="BX435" i="66"/>
  <c r="BW435" i="66"/>
  <c r="BV435" i="66"/>
  <c r="BU435" i="66"/>
  <c r="BT435" i="66"/>
  <c r="BS435" i="66"/>
  <c r="BR435" i="66"/>
  <c r="BQ435" i="66"/>
  <c r="BP435" i="66"/>
  <c r="BO435" i="66"/>
  <c r="BN435" i="66"/>
  <c r="BM435" i="66"/>
  <c r="BL435" i="66"/>
  <c r="BK435" i="66"/>
  <c r="BJ435" i="66"/>
  <c r="BI435" i="66"/>
  <c r="BH435" i="66"/>
  <c r="BG435" i="66"/>
  <c r="BF435" i="66"/>
  <c r="BE435" i="66"/>
  <c r="BD435" i="66"/>
  <c r="BC435" i="66"/>
  <c r="BB435" i="66"/>
  <c r="BA435" i="66"/>
  <c r="AZ435" i="66"/>
  <c r="AY435" i="66"/>
  <c r="AX435" i="66"/>
  <c r="AA435" i="66"/>
  <c r="Z435" i="66"/>
  <c r="Y435" i="66"/>
  <c r="X435" i="66"/>
  <c r="W435" i="66"/>
  <c r="V435" i="66"/>
  <c r="U435" i="66"/>
  <c r="T435" i="66"/>
  <c r="S435" i="66"/>
  <c r="R435" i="66"/>
  <c r="Q435" i="66"/>
  <c r="P435" i="66"/>
  <c r="O435" i="66"/>
  <c r="N435" i="66"/>
  <c r="M435" i="66"/>
  <c r="L435" i="66"/>
  <c r="K435" i="66"/>
  <c r="J435" i="66"/>
  <c r="I435" i="66"/>
  <c r="H435" i="66"/>
  <c r="G435" i="66"/>
  <c r="F435" i="66"/>
  <c r="E435" i="66"/>
  <c r="D435" i="66"/>
  <c r="CC434" i="66"/>
  <c r="CB434" i="66"/>
  <c r="CA434" i="66"/>
  <c r="BZ434" i="66"/>
  <c r="BY434" i="66"/>
  <c r="BX434" i="66"/>
  <c r="BW434" i="66"/>
  <c r="BV434" i="66"/>
  <c r="BU434" i="66"/>
  <c r="BT434" i="66"/>
  <c r="BS434" i="66"/>
  <c r="BR434" i="66"/>
  <c r="BQ434" i="66"/>
  <c r="BP434" i="66"/>
  <c r="BO434" i="66"/>
  <c r="BN434" i="66"/>
  <c r="BM434" i="66"/>
  <c r="BL434" i="66"/>
  <c r="BK434" i="66"/>
  <c r="BJ434" i="66"/>
  <c r="BI434" i="66"/>
  <c r="BH434" i="66"/>
  <c r="BG434" i="66"/>
  <c r="BF434" i="66"/>
  <c r="BE434" i="66"/>
  <c r="BD434" i="66"/>
  <c r="BC434" i="66"/>
  <c r="BB434" i="66"/>
  <c r="BA434" i="66"/>
  <c r="AZ434" i="66"/>
  <c r="AY434" i="66"/>
  <c r="AX434" i="66"/>
  <c r="AA434" i="66"/>
  <c r="Z434" i="66"/>
  <c r="Y434" i="66"/>
  <c r="X434" i="66"/>
  <c r="W434" i="66"/>
  <c r="V434" i="66"/>
  <c r="U434" i="66"/>
  <c r="T434" i="66"/>
  <c r="S434" i="66"/>
  <c r="R434" i="66"/>
  <c r="Q434" i="66"/>
  <c r="P434" i="66"/>
  <c r="O434" i="66"/>
  <c r="N434" i="66"/>
  <c r="M434" i="66"/>
  <c r="L434" i="66"/>
  <c r="K434" i="66"/>
  <c r="J434" i="66"/>
  <c r="I434" i="66"/>
  <c r="H434" i="66"/>
  <c r="G434" i="66"/>
  <c r="F434" i="66"/>
  <c r="E434" i="66"/>
  <c r="D434" i="66"/>
  <c r="C435" i="66"/>
  <c r="C436" i="66"/>
  <c r="C437" i="66"/>
  <c r="C438" i="66"/>
  <c r="C439" i="66"/>
  <c r="C440" i="66"/>
  <c r="C441" i="66"/>
  <c r="C442" i="66"/>
  <c r="C443" i="66"/>
  <c r="C444" i="66"/>
  <c r="C445" i="66"/>
  <c r="X105" i="2"/>
  <c r="Y93" i="2"/>
  <c r="V117" i="2"/>
  <c r="V141" i="2"/>
  <c r="V140" i="2"/>
  <c r="V139" i="2"/>
  <c r="V138" i="2"/>
  <c r="V137" i="2"/>
  <c r="V136" i="2"/>
  <c r="V135" i="2"/>
  <c r="V134" i="2"/>
  <c r="V133" i="2"/>
  <c r="V132" i="2"/>
  <c r="V131" i="2"/>
  <c r="V95" i="2"/>
  <c r="V50" i="2"/>
  <c r="V49" i="2"/>
  <c r="V48" i="2"/>
  <c r="V47" i="2"/>
  <c r="V46" i="2"/>
  <c r="V45" i="2"/>
  <c r="V35" i="2"/>
  <c r="V34" i="2"/>
  <c r="V33" i="2"/>
  <c r="V32" i="2"/>
  <c r="V31" i="2"/>
  <c r="V30" i="2"/>
  <c r="V29" i="2"/>
  <c r="V24" i="2"/>
  <c r="V23" i="2"/>
  <c r="V22" i="2"/>
  <c r="V21" i="2"/>
  <c r="V20" i="2"/>
  <c r="V19" i="2"/>
  <c r="V18" i="2"/>
  <c r="V17" i="2"/>
  <c r="V16" i="2"/>
  <c r="F125" i="2"/>
  <c r="F105" i="2"/>
  <c r="F26" i="2"/>
  <c r="K446" i="66" l="1"/>
  <c r="CA446" i="66"/>
  <c r="R461" i="66"/>
  <c r="BB461" i="66"/>
  <c r="BR461" i="66"/>
  <c r="R476" i="66"/>
  <c r="B426" i="66"/>
  <c r="S446" i="66"/>
  <c r="AA446" i="66"/>
  <c r="BC446" i="66"/>
  <c r="BK446" i="66"/>
  <c r="BS446" i="66"/>
  <c r="H461" i="66"/>
  <c r="P461" i="66"/>
  <c r="X461" i="66"/>
  <c r="AZ461" i="66"/>
  <c r="BH461" i="66"/>
  <c r="BP461" i="66"/>
  <c r="BX461" i="66"/>
  <c r="F461" i="66"/>
  <c r="N461" i="66"/>
  <c r="V461" i="66"/>
  <c r="AX461" i="66"/>
  <c r="BF461" i="66"/>
  <c r="BN461" i="66"/>
  <c r="BV461" i="66"/>
  <c r="D461" i="66"/>
  <c r="L461" i="66"/>
  <c r="T461" i="66"/>
  <c r="BD461" i="66"/>
  <c r="BL461" i="66"/>
  <c r="BT461" i="66"/>
  <c r="CB461" i="66"/>
  <c r="J461" i="66"/>
  <c r="Z461" i="66"/>
  <c r="BJ461" i="66"/>
  <c r="BZ461" i="66"/>
  <c r="BS461" i="66"/>
  <c r="BB476" i="66"/>
  <c r="BR476" i="66"/>
  <c r="B470" i="66"/>
  <c r="B483" i="66"/>
  <c r="B482" i="66"/>
  <c r="B489" i="66"/>
  <c r="B486" i="66"/>
  <c r="B485" i="66"/>
  <c r="B481" i="66"/>
  <c r="N476" i="66"/>
  <c r="V476" i="66"/>
  <c r="B484" i="66"/>
  <c r="AX476" i="66"/>
  <c r="BF476" i="66"/>
  <c r="BN476" i="66"/>
  <c r="BV476" i="66"/>
  <c r="D476" i="66"/>
  <c r="L476" i="66"/>
  <c r="T476" i="66"/>
  <c r="BD476" i="66"/>
  <c r="BL476" i="66"/>
  <c r="BT476" i="66"/>
  <c r="CB476" i="66"/>
  <c r="B440" i="66"/>
  <c r="B441" i="66"/>
  <c r="B443" i="66"/>
  <c r="B444" i="66"/>
  <c r="B445" i="66"/>
  <c r="K461" i="66"/>
  <c r="S461" i="66"/>
  <c r="AA461" i="66"/>
  <c r="BC461" i="66"/>
  <c r="BK461" i="66"/>
  <c r="CA461" i="66"/>
  <c r="D446" i="66"/>
  <c r="L446" i="66"/>
  <c r="T446" i="66"/>
  <c r="BD446" i="66"/>
  <c r="BL446" i="66"/>
  <c r="BT446" i="66"/>
  <c r="CB446" i="66"/>
  <c r="B435" i="66"/>
  <c r="R446" i="66"/>
  <c r="Z446" i="66"/>
  <c r="BB446" i="66"/>
  <c r="BR446" i="66"/>
  <c r="BZ446" i="66"/>
  <c r="H446" i="66"/>
  <c r="P446" i="66"/>
  <c r="X446" i="66"/>
  <c r="AZ446" i="66"/>
  <c r="BH446" i="66"/>
  <c r="BP446" i="66"/>
  <c r="BX446" i="66"/>
  <c r="B437" i="66"/>
  <c r="N446" i="66"/>
  <c r="V446" i="66"/>
  <c r="AX446" i="66"/>
  <c r="BF446" i="66"/>
  <c r="BN446" i="66"/>
  <c r="BV446" i="66"/>
  <c r="B438" i="66"/>
  <c r="BA476" i="66"/>
  <c r="BI476" i="66"/>
  <c r="BQ476" i="66"/>
  <c r="BY476" i="66"/>
  <c r="O476" i="66"/>
  <c r="W476" i="66"/>
  <c r="AY476" i="66"/>
  <c r="BG476" i="66"/>
  <c r="BO476" i="66"/>
  <c r="BW476" i="66"/>
  <c r="BJ476" i="66"/>
  <c r="BZ476" i="66"/>
  <c r="H476" i="66"/>
  <c r="P476" i="66"/>
  <c r="X476" i="66"/>
  <c r="AZ476" i="66"/>
  <c r="BH476" i="66"/>
  <c r="BP476" i="66"/>
  <c r="BX476" i="66"/>
  <c r="Q476" i="66"/>
  <c r="Y476" i="66"/>
  <c r="E476" i="66"/>
  <c r="M476" i="66"/>
  <c r="U476" i="66"/>
  <c r="BE476" i="66"/>
  <c r="BM476" i="66"/>
  <c r="BU476" i="66"/>
  <c r="K476" i="66"/>
  <c r="S476" i="66"/>
  <c r="AA476" i="66"/>
  <c r="BC476" i="66"/>
  <c r="BK476" i="66"/>
  <c r="BS476" i="66"/>
  <c r="CA476" i="66"/>
  <c r="J476" i="66"/>
  <c r="Z476" i="66"/>
  <c r="J446" i="66"/>
  <c r="B467" i="66"/>
  <c r="B468" i="66"/>
  <c r="B473" i="66"/>
  <c r="B474" i="66"/>
  <c r="B475" i="66"/>
  <c r="E446" i="66"/>
  <c r="M446" i="66"/>
  <c r="U446" i="66"/>
  <c r="BE446" i="66"/>
  <c r="BM446" i="66"/>
  <c r="BU446" i="66"/>
  <c r="I446" i="66"/>
  <c r="Q446" i="66"/>
  <c r="Y446" i="66"/>
  <c r="BA446" i="66"/>
  <c r="BI446" i="66"/>
  <c r="BQ446" i="66"/>
  <c r="BY446" i="66"/>
  <c r="G446" i="66"/>
  <c r="O446" i="66"/>
  <c r="W446" i="66"/>
  <c r="AY446" i="66"/>
  <c r="BG446" i="66"/>
  <c r="BO446" i="66"/>
  <c r="BW446" i="66"/>
  <c r="B442" i="66"/>
  <c r="B456" i="66"/>
  <c r="M461" i="66"/>
  <c r="U461" i="66"/>
  <c r="BE461" i="66"/>
  <c r="BM461" i="66"/>
  <c r="BU461" i="66"/>
  <c r="B450" i="66"/>
  <c r="B451" i="66"/>
  <c r="Q461" i="66"/>
  <c r="Y461" i="66"/>
  <c r="BA461" i="66"/>
  <c r="BI461" i="66"/>
  <c r="BQ461" i="66"/>
  <c r="BY461" i="66"/>
  <c r="G461" i="66"/>
  <c r="O461" i="66"/>
  <c r="W461" i="66"/>
  <c r="AY461" i="66"/>
  <c r="BG461" i="66"/>
  <c r="BO461" i="66"/>
  <c r="BW461" i="66"/>
  <c r="B454" i="66"/>
  <c r="B455" i="66"/>
  <c r="B458" i="66"/>
  <c r="B459" i="66"/>
  <c r="B460" i="66"/>
  <c r="B436" i="66"/>
  <c r="B472" i="66"/>
  <c r="G476" i="66"/>
  <c r="I476" i="66"/>
  <c r="B465" i="66"/>
  <c r="B471" i="66"/>
  <c r="I461" i="66"/>
  <c r="B452" i="66"/>
  <c r="F446" i="66"/>
  <c r="F41" i="2"/>
  <c r="F75" i="2" s="1"/>
  <c r="F114" i="2"/>
  <c r="F126" i="2" s="1"/>
  <c r="P47" i="72" l="1"/>
  <c r="O67" i="10" l="1"/>
  <c r="N80" i="23" s="1"/>
  <c r="O68" i="10"/>
  <c r="N81" i="23" s="1"/>
  <c r="O69" i="10"/>
  <c r="N82" i="23" s="1"/>
  <c r="O70" i="10"/>
  <c r="N83" i="23" s="1"/>
  <c r="O71" i="10"/>
  <c r="N84" i="23" s="1"/>
  <c r="O73" i="10"/>
  <c r="N86" i="23" s="1"/>
  <c r="O74" i="10"/>
  <c r="N87" i="23" s="1"/>
  <c r="O75" i="10"/>
  <c r="N88" i="23" s="1"/>
  <c r="O76" i="10"/>
  <c r="N89" i="23" s="1"/>
  <c r="O77" i="10"/>
  <c r="N90" i="23" s="1"/>
  <c r="O78" i="10"/>
  <c r="N91" i="23" s="1"/>
  <c r="O79" i="10"/>
  <c r="N92" i="23" s="1"/>
  <c r="O80" i="10"/>
  <c r="N93" i="23" s="1"/>
  <c r="O81" i="10"/>
  <c r="N97" i="23" s="1"/>
  <c r="O82" i="10"/>
  <c r="N98" i="23" s="1"/>
  <c r="O83" i="10"/>
  <c r="O84" i="10"/>
  <c r="O85" i="10"/>
  <c r="N100" i="23" s="1"/>
  <c r="O86" i="10"/>
  <c r="O87" i="10"/>
  <c r="N101" i="23" s="1"/>
  <c r="O71" i="62" l="1"/>
  <c r="O76" i="62" s="1"/>
  <c r="D74" i="64"/>
  <c r="F466" i="66" l="1"/>
  <c r="F476" i="66" l="1"/>
  <c r="E457" i="66" l="1"/>
  <c r="B457" i="66" s="1"/>
  <c r="E453" i="66" l="1"/>
  <c r="B453" i="66" l="1"/>
  <c r="E461" i="66"/>
  <c r="BE5" i="67" l="1"/>
  <c r="L35" i="9" l="1"/>
  <c r="C37" i="22" l="1"/>
  <c r="AE49" i="51"/>
  <c r="L52" i="23" l="1"/>
  <c r="BF64" i="66" l="1"/>
  <c r="BF49" i="66"/>
  <c r="BF34" i="66"/>
  <c r="BF19" i="66"/>
  <c r="I47" i="72" l="1"/>
  <c r="M67" i="62" l="1"/>
  <c r="I67" i="62"/>
  <c r="AY28" i="71" l="1"/>
  <c r="AZ28" i="71"/>
  <c r="BA28" i="71"/>
  <c r="BB28" i="71"/>
  <c r="BC28" i="71"/>
  <c r="BE28" i="71"/>
  <c r="BF28" i="71"/>
  <c r="BG28" i="71"/>
  <c r="BH28" i="71"/>
  <c r="BI28" i="71"/>
  <c r="BM28" i="71"/>
  <c r="BN28" i="71"/>
  <c r="BO28" i="71"/>
  <c r="BS28" i="71"/>
  <c r="BT28" i="71"/>
  <c r="BU28" i="71"/>
  <c r="BV28" i="71"/>
  <c r="BW28" i="71"/>
  <c r="AA490" i="66"/>
  <c r="K154" i="12" l="1"/>
  <c r="AE48" i="51" l="1"/>
  <c r="BT130" i="68"/>
  <c r="E149" i="12"/>
  <c r="G149" i="12"/>
  <c r="I149" i="12"/>
  <c r="K149" i="12"/>
  <c r="M149" i="12"/>
  <c r="C149" i="12"/>
  <c r="D67" i="67"/>
  <c r="J67" i="67"/>
  <c r="L67" i="67"/>
  <c r="M67" i="67"/>
  <c r="N67" i="67"/>
  <c r="O67" i="67"/>
  <c r="P67" i="67"/>
  <c r="Q67" i="67"/>
  <c r="R67" i="67"/>
  <c r="S67" i="67"/>
  <c r="U67" i="67"/>
  <c r="V67" i="67"/>
  <c r="X67" i="67"/>
  <c r="Y67" i="67"/>
  <c r="Z67" i="67"/>
  <c r="AA67" i="67"/>
  <c r="AB67" i="67"/>
  <c r="AC67" i="67"/>
  <c r="AD67" i="67"/>
  <c r="AF67" i="67"/>
  <c r="AG67" i="67"/>
  <c r="AH67" i="67"/>
  <c r="AI67" i="67"/>
  <c r="AJ67" i="67"/>
  <c r="AK67" i="67"/>
  <c r="AL67" i="67"/>
  <c r="AM67" i="67"/>
  <c r="AN67" i="67"/>
  <c r="AR67" i="67"/>
  <c r="AS67" i="67"/>
  <c r="AT67" i="67"/>
  <c r="AU67" i="67"/>
  <c r="AV67" i="67"/>
  <c r="AW67" i="67"/>
  <c r="AX67" i="67"/>
  <c r="AY67" i="67"/>
  <c r="AZ67" i="67"/>
  <c r="BA67" i="67"/>
  <c r="BB67" i="67"/>
  <c r="BC67" i="67"/>
  <c r="BD67" i="67"/>
  <c r="BE67" i="67"/>
  <c r="BF67" i="67"/>
  <c r="BG67" i="67"/>
  <c r="BH67" i="67"/>
  <c r="BI67" i="67"/>
  <c r="BJ67" i="67"/>
  <c r="BK67" i="67"/>
  <c r="BM67" i="67"/>
  <c r="BN67" i="67"/>
  <c r="BO67" i="67"/>
  <c r="BP67" i="67"/>
  <c r="BQ67" i="67"/>
  <c r="BR67" i="67"/>
  <c r="BS67" i="67"/>
  <c r="O149" i="12" l="1"/>
  <c r="BY130" i="68"/>
  <c r="BW130" i="68"/>
  <c r="BV130" i="68"/>
  <c r="BU130" i="68"/>
  <c r="D55" i="71"/>
  <c r="J55" i="71"/>
  <c r="K55" i="71"/>
  <c r="L55" i="71"/>
  <c r="M55" i="71"/>
  <c r="N55" i="71"/>
  <c r="O55" i="71"/>
  <c r="P55" i="71"/>
  <c r="Q55" i="71"/>
  <c r="R55" i="71"/>
  <c r="S55" i="71"/>
  <c r="T55" i="71"/>
  <c r="U55" i="71"/>
  <c r="V55" i="71"/>
  <c r="W55" i="71"/>
  <c r="X55" i="71"/>
  <c r="Y55" i="71"/>
  <c r="Z55" i="71"/>
  <c r="AA55" i="71"/>
  <c r="AX55" i="71"/>
  <c r="AY55" i="71"/>
  <c r="AZ55" i="71"/>
  <c r="BA55" i="71"/>
  <c r="BB55" i="71"/>
  <c r="BC55" i="71"/>
  <c r="BD55" i="71"/>
  <c r="BE55" i="71"/>
  <c r="BF55" i="71"/>
  <c r="BG55" i="71"/>
  <c r="BH55" i="71"/>
  <c r="BI55" i="71"/>
  <c r="BJ55" i="71"/>
  <c r="BK55" i="71"/>
  <c r="BL55" i="71"/>
  <c r="BM55" i="71"/>
  <c r="BN55" i="71"/>
  <c r="BO55" i="71"/>
  <c r="BP55" i="71"/>
  <c r="BQ55" i="71"/>
  <c r="BR55" i="71"/>
  <c r="BS55" i="71"/>
  <c r="BT55" i="71"/>
  <c r="BU55" i="71"/>
  <c r="BV55" i="71"/>
  <c r="BW55" i="71"/>
  <c r="BX55" i="71"/>
  <c r="BY55" i="71"/>
  <c r="BZ55" i="71"/>
  <c r="CA55" i="71"/>
  <c r="CB55" i="71"/>
  <c r="C55" i="71"/>
  <c r="AE47" i="51"/>
  <c r="C87" i="74" l="1"/>
  <c r="BL430" i="66" l="1"/>
  <c r="L113" i="2" l="1"/>
  <c r="L114" i="2" s="1"/>
  <c r="L73" i="2"/>
  <c r="L74" i="2" s="1"/>
  <c r="L75" i="2" s="1"/>
  <c r="N152" i="68" l="1"/>
  <c r="C84" i="74"/>
  <c r="AP3" i="74"/>
  <c r="AP2" i="74"/>
  <c r="B69" i="66" l="1"/>
  <c r="B70" i="66"/>
  <c r="B71" i="66"/>
  <c r="B72" i="66"/>
  <c r="B73" i="66"/>
  <c r="B74" i="66"/>
  <c r="B75" i="66"/>
  <c r="B76" i="66"/>
  <c r="B77" i="66"/>
  <c r="K66" i="30" s="1"/>
  <c r="B78" i="66"/>
  <c r="B53" i="66"/>
  <c r="B54" i="66"/>
  <c r="B55" i="66"/>
  <c r="B56" i="66"/>
  <c r="B57" i="66"/>
  <c r="B58" i="66"/>
  <c r="B59" i="66"/>
  <c r="B60" i="66"/>
  <c r="B61" i="66"/>
  <c r="B62" i="66"/>
  <c r="B63" i="66"/>
  <c r="B38" i="66"/>
  <c r="B39" i="66"/>
  <c r="B40" i="66"/>
  <c r="B41" i="66"/>
  <c r="B42" i="66"/>
  <c r="B43" i="66"/>
  <c r="B44" i="66"/>
  <c r="B45" i="66"/>
  <c r="B46" i="66"/>
  <c r="B47" i="66"/>
  <c r="B48" i="66"/>
  <c r="B23" i="66"/>
  <c r="B24" i="66"/>
  <c r="B25" i="66"/>
  <c r="B26" i="66"/>
  <c r="B27" i="66"/>
  <c r="B28" i="66"/>
  <c r="B29" i="66"/>
  <c r="B30" i="66"/>
  <c r="B31" i="66"/>
  <c r="B32" i="66"/>
  <c r="B33" i="66"/>
  <c r="B4" i="66"/>
  <c r="B5" i="66"/>
  <c r="B6" i="66"/>
  <c r="B7" i="66"/>
  <c r="B8" i="66"/>
  <c r="B9" i="66"/>
  <c r="B10" i="66"/>
  <c r="B11" i="66"/>
  <c r="B12" i="66"/>
  <c r="B13" i="66"/>
  <c r="B14" i="66"/>
  <c r="B15" i="66"/>
  <c r="B16" i="66"/>
  <c r="B17" i="66"/>
  <c r="B18" i="66"/>
  <c r="E36" i="72"/>
  <c r="E39" i="72"/>
  <c r="O66" i="30" l="1"/>
  <c r="AW115" i="58"/>
  <c r="C37" i="72"/>
  <c r="BD15" i="67"/>
  <c r="C26" i="51" s="1"/>
  <c r="AX64" i="66" l="1"/>
  <c r="AX49" i="66"/>
  <c r="AX34" i="66"/>
  <c r="AX19" i="66"/>
  <c r="J44" i="77" l="1"/>
  <c r="J56" i="77" s="1"/>
  <c r="K47" i="10" l="1"/>
  <c r="K49" i="10" l="1"/>
  <c r="K53" i="10" s="1"/>
  <c r="M47" i="10"/>
  <c r="M49" i="10" s="1"/>
  <c r="M53" i="10" s="1"/>
  <c r="I47" i="10"/>
  <c r="I49" i="10" s="1"/>
  <c r="I53" i="10" s="1"/>
  <c r="G47" i="10" l="1"/>
  <c r="G49" i="10" s="1"/>
  <c r="G53" i="10" s="1"/>
  <c r="E47" i="10"/>
  <c r="E49" i="10" s="1"/>
  <c r="E53" i="10" s="1"/>
  <c r="C47" i="10"/>
  <c r="C49" i="10" s="1"/>
  <c r="C53" i="10" s="1"/>
  <c r="C57" i="10" l="1"/>
  <c r="C90" i="10" s="1"/>
  <c r="E57" i="10" l="1"/>
  <c r="E90" i="10" s="1"/>
  <c r="G57" i="10"/>
  <c r="G90" i="10" s="1"/>
  <c r="K57" i="10" l="1"/>
  <c r="AW55" i="71"/>
  <c r="AV55" i="71"/>
  <c r="AU55" i="71"/>
  <c r="AT55" i="71"/>
  <c r="AS55" i="71"/>
  <c r="AR55" i="71"/>
  <c r="AN55" i="71"/>
  <c r="AM55" i="71"/>
  <c r="AL55" i="71"/>
  <c r="AK55" i="71"/>
  <c r="AJ55" i="71"/>
  <c r="AI55" i="71"/>
  <c r="AH55" i="71"/>
  <c r="AG55" i="71"/>
  <c r="AF55" i="71"/>
  <c r="AD55" i="71"/>
  <c r="AC55" i="71"/>
  <c r="AB55" i="71"/>
  <c r="C69" i="31" l="1"/>
  <c r="I57" i="10" l="1"/>
  <c r="C80" i="74" l="1"/>
  <c r="B80" i="74"/>
  <c r="B84" i="74"/>
  <c r="C86" i="74"/>
  <c r="B86" i="74"/>
  <c r="B85" i="74"/>
  <c r="C83" i="74"/>
  <c r="B83" i="74"/>
  <c r="C82" i="74"/>
  <c r="B82" i="74"/>
  <c r="C81" i="74"/>
  <c r="B81" i="74"/>
  <c r="C79" i="74"/>
  <c r="B79" i="74"/>
  <c r="C34" i="74"/>
  <c r="B34" i="74"/>
  <c r="AP1" i="74"/>
  <c r="AO2" i="74"/>
  <c r="AO3" i="74"/>
  <c r="CB64" i="66" l="1"/>
  <c r="CA64" i="66"/>
  <c r="BZ64" i="66"/>
  <c r="BO64" i="66"/>
  <c r="BN64" i="66"/>
  <c r="BI64" i="66"/>
  <c r="BG64" i="66"/>
  <c r="BE64" i="66"/>
  <c r="Z64" i="66"/>
  <c r="Y64" i="66"/>
  <c r="M64" i="66"/>
  <c r="L64" i="66"/>
  <c r="CC49" i="66"/>
  <c r="CB49" i="66"/>
  <c r="CA49" i="66"/>
  <c r="BZ49" i="66"/>
  <c r="BO49" i="66"/>
  <c r="BN49" i="66"/>
  <c r="BI49" i="66"/>
  <c r="BG49" i="66"/>
  <c r="BE49" i="66"/>
  <c r="Z49" i="66"/>
  <c r="Y49" i="66"/>
  <c r="M49" i="66"/>
  <c r="L49" i="66"/>
  <c r="CB34" i="66"/>
  <c r="CA34" i="66"/>
  <c r="BO34" i="66"/>
  <c r="BN34" i="66"/>
  <c r="BI34" i="66"/>
  <c r="BG34" i="66"/>
  <c r="BE34" i="66"/>
  <c r="Z34" i="66"/>
  <c r="Y34" i="66"/>
  <c r="M34" i="66"/>
  <c r="L34" i="66"/>
  <c r="CB19" i="66"/>
  <c r="CA19" i="66"/>
  <c r="BO19" i="66"/>
  <c r="BN19" i="66"/>
  <c r="BI19" i="66"/>
  <c r="BG19" i="66"/>
  <c r="BE19" i="66"/>
  <c r="Z19" i="66"/>
  <c r="Y19" i="66"/>
  <c r="M19" i="66"/>
  <c r="L19" i="66"/>
  <c r="AO73" i="60"/>
  <c r="AO23" i="60"/>
  <c r="AO56" i="60" s="1"/>
  <c r="AN44" i="59"/>
  <c r="AN35" i="59"/>
  <c r="AO133" i="58"/>
  <c r="AO121" i="58"/>
  <c r="AO138" i="58" s="1"/>
  <c r="AO95" i="58"/>
  <c r="AM74" i="58"/>
  <c r="AO74" i="58"/>
  <c r="AM62" i="58"/>
  <c r="AO62" i="58"/>
  <c r="AO39" i="58"/>
  <c r="AM39" i="58"/>
  <c r="AO30" i="58"/>
  <c r="AM30" i="58"/>
  <c r="AM30" i="57"/>
  <c r="AM23" i="57"/>
  <c r="AM16" i="57"/>
  <c r="BJ490" i="66"/>
  <c r="O490" i="66"/>
  <c r="X488" i="66"/>
  <c r="B488" i="66" s="1"/>
  <c r="B469" i="66"/>
  <c r="AB46" i="77"/>
  <c r="AB54" i="77" s="1"/>
  <c r="AB45" i="77"/>
  <c r="E52" i="39"/>
  <c r="E49" i="39"/>
  <c r="AB37" i="77"/>
  <c r="AB22" i="77"/>
  <c r="AB21" i="77"/>
  <c r="AB20" i="77"/>
  <c r="AB19" i="77"/>
  <c r="AB16" i="77"/>
  <c r="AB15" i="77"/>
  <c r="E23" i="39" s="1"/>
  <c r="AB14" i="77"/>
  <c r="E21" i="39" s="1"/>
  <c r="AB29" i="77"/>
  <c r="E38" i="39" s="1"/>
  <c r="AB27" i="77"/>
  <c r="E36" i="39" s="1"/>
  <c r="T45" i="75"/>
  <c r="T48" i="75" s="1"/>
  <c r="Z34" i="75"/>
  <c r="Z33" i="75"/>
  <c r="Z32" i="75"/>
  <c r="Z31" i="75"/>
  <c r="Z30" i="75"/>
  <c r="Z29" i="75"/>
  <c r="G60" i="22" s="1"/>
  <c r="Z28" i="75"/>
  <c r="G59" i="22" s="1"/>
  <c r="V45" i="75"/>
  <c r="R45" i="75"/>
  <c r="L45" i="75"/>
  <c r="L48" i="75" s="1"/>
  <c r="F45" i="75"/>
  <c r="F48" i="75" s="1"/>
  <c r="Z20" i="75"/>
  <c r="Z19" i="75"/>
  <c r="Z18" i="75"/>
  <c r="G27" i="22" s="1"/>
  <c r="Z16" i="75"/>
  <c r="Z15" i="75"/>
  <c r="Z14" i="75"/>
  <c r="Z13" i="75"/>
  <c r="G14" i="22" s="1"/>
  <c r="S14" i="18"/>
  <c r="S15" i="18"/>
  <c r="S16" i="18"/>
  <c r="S17" i="18"/>
  <c r="S18" i="18"/>
  <c r="S19" i="18"/>
  <c r="S20" i="18"/>
  <c r="S21" i="18"/>
  <c r="S22" i="18"/>
  <c r="S23" i="18"/>
  <c r="S24" i="18"/>
  <c r="S25" i="18"/>
  <c r="S26" i="18"/>
  <c r="S27" i="18"/>
  <c r="S33" i="18"/>
  <c r="S34" i="18"/>
  <c r="S35" i="18"/>
  <c r="S36" i="18"/>
  <c r="S37" i="18"/>
  <c r="S38" i="18"/>
  <c r="S39" i="18"/>
  <c r="S40" i="18"/>
  <c r="S41" i="18"/>
  <c r="S42" i="18"/>
  <c r="S43" i="18"/>
  <c r="S44" i="18"/>
  <c r="S45" i="18"/>
  <c r="S46" i="18"/>
  <c r="S47" i="18"/>
  <c r="S48" i="18"/>
  <c r="S49" i="18"/>
  <c r="S50" i="18"/>
  <c r="S72" i="18"/>
  <c r="S73" i="18"/>
  <c r="S15" i="19"/>
  <c r="S22" i="19"/>
  <c r="S37" i="19"/>
  <c r="S38" i="19"/>
  <c r="S39" i="19"/>
  <c r="S41" i="19"/>
  <c r="S42" i="19"/>
  <c r="S45" i="19"/>
  <c r="S46" i="19"/>
  <c r="S47" i="19"/>
  <c r="S48" i="19"/>
  <c r="S49" i="19"/>
  <c r="S50" i="19"/>
  <c r="S51" i="19"/>
  <c r="S62" i="19"/>
  <c r="S63" i="19"/>
  <c r="S64" i="19"/>
  <c r="S65" i="19"/>
  <c r="S66" i="19"/>
  <c r="P123" i="68"/>
  <c r="Q123" i="68"/>
  <c r="R123" i="68"/>
  <c r="S123" i="68"/>
  <c r="P127" i="68"/>
  <c r="Q127" i="68"/>
  <c r="R127" i="68"/>
  <c r="S127" i="68"/>
  <c r="M21" i="63"/>
  <c r="M22" i="63"/>
  <c r="M23" i="63"/>
  <c r="M24" i="63"/>
  <c r="M25" i="63"/>
  <c r="M26" i="63"/>
  <c r="M27" i="63"/>
  <c r="M33" i="63"/>
  <c r="M34" i="63"/>
  <c r="M35" i="63"/>
  <c r="M36" i="63"/>
  <c r="M37" i="63"/>
  <c r="M38" i="63"/>
  <c r="M39" i="63"/>
  <c r="M40" i="63"/>
  <c r="M41" i="63"/>
  <c r="M42" i="63"/>
  <c r="M43" i="63"/>
  <c r="M44" i="63"/>
  <c r="M45" i="63"/>
  <c r="M46" i="63"/>
  <c r="M47" i="63"/>
  <c r="M48" i="63"/>
  <c r="M64" i="63"/>
  <c r="M65" i="63"/>
  <c r="M66" i="63"/>
  <c r="M67" i="63"/>
  <c r="M70" i="63"/>
  <c r="M71" i="63"/>
  <c r="M72" i="63"/>
  <c r="M73" i="63"/>
  <c r="M47" i="62"/>
  <c r="M48" i="62"/>
  <c r="M49" i="62"/>
  <c r="M50" i="62"/>
  <c r="M51" i="62"/>
  <c r="M52" i="62"/>
  <c r="M54" i="62"/>
  <c r="M63" i="62"/>
  <c r="M65" i="62"/>
  <c r="M66" i="62"/>
  <c r="M26" i="62"/>
  <c r="M27" i="62"/>
  <c r="M28" i="62"/>
  <c r="M30" i="62"/>
  <c r="M31" i="62"/>
  <c r="AN63" i="69"/>
  <c r="AN65" i="69" s="1"/>
  <c r="AN63" i="67"/>
  <c r="AN65" i="67"/>
  <c r="M53" i="62"/>
  <c r="AN34" i="67"/>
  <c r="AN35" i="67"/>
  <c r="AN128" i="68" s="1"/>
  <c r="AN13" i="67"/>
  <c r="M23" i="62" s="1"/>
  <c r="AN14" i="67"/>
  <c r="AN15" i="67"/>
  <c r="AN124" i="68" s="1"/>
  <c r="AN16" i="67"/>
  <c r="AN17" i="67"/>
  <c r="AN18" i="67"/>
  <c r="AN20" i="67"/>
  <c r="AN140" i="68" s="1"/>
  <c r="AN21" i="67"/>
  <c r="AN126" i="68" s="1"/>
  <c r="AN79" i="66"/>
  <c r="AM127" i="68"/>
  <c r="AN127" i="68"/>
  <c r="AM129" i="68"/>
  <c r="AN129" i="68"/>
  <c r="AM130" i="68"/>
  <c r="AN130" i="68"/>
  <c r="AM132" i="68"/>
  <c r="AN132" i="68"/>
  <c r="AM133" i="68"/>
  <c r="AN133" i="68"/>
  <c r="AM134" i="68"/>
  <c r="AN134" i="68"/>
  <c r="AM135" i="68"/>
  <c r="AN135" i="68"/>
  <c r="AM136" i="68"/>
  <c r="AN136" i="68"/>
  <c r="AM137" i="68"/>
  <c r="AN137" i="68"/>
  <c r="AM138" i="68"/>
  <c r="AN138" i="68"/>
  <c r="AM139" i="68"/>
  <c r="AN139" i="68"/>
  <c r="AM144" i="68"/>
  <c r="AN144" i="68"/>
  <c r="AM145" i="68"/>
  <c r="AN145" i="68"/>
  <c r="AN146" i="68"/>
  <c r="AM148" i="68"/>
  <c r="AN148" i="68"/>
  <c r="AM149" i="68"/>
  <c r="AN149" i="68"/>
  <c r="AM150" i="68"/>
  <c r="AN150" i="68"/>
  <c r="AM152" i="68"/>
  <c r="AN152" i="68"/>
  <c r="AN153" i="68"/>
  <c r="AO76" i="58" l="1"/>
  <c r="AM76" i="58"/>
  <c r="S58" i="18"/>
  <c r="L25" i="64" s="1"/>
  <c r="P25" i="64" s="1"/>
  <c r="M58" i="63"/>
  <c r="L73" i="64" s="1"/>
  <c r="P73" i="64" s="1"/>
  <c r="E48" i="39"/>
  <c r="AB42" i="77"/>
  <c r="AM41" i="58"/>
  <c r="AO41" i="58"/>
  <c r="M24" i="62"/>
  <c r="AN64" i="67"/>
  <c r="S75" i="18"/>
  <c r="AO75" i="60"/>
  <c r="AO135" i="58"/>
  <c r="AO139" i="58"/>
  <c r="AO141" i="58" s="1"/>
  <c r="B487" i="66"/>
  <c r="BJ439" i="66"/>
  <c r="G18" i="22"/>
  <c r="M25" i="62"/>
  <c r="S29" i="18"/>
  <c r="F25" i="64" s="1"/>
  <c r="J25" i="64" s="1"/>
  <c r="T44" i="77"/>
  <c r="T56" i="77" s="1"/>
  <c r="T59" i="77" s="1"/>
  <c r="N45" i="75"/>
  <c r="N48" i="75" s="1"/>
  <c r="G67" i="22"/>
  <c r="Z36" i="75"/>
  <c r="X44" i="77"/>
  <c r="H44" i="77"/>
  <c r="H56" i="77" s="1"/>
  <c r="Z44" i="77"/>
  <c r="Z56" i="77" s="1"/>
  <c r="L44" i="77"/>
  <c r="L56" i="77" s="1"/>
  <c r="N44" i="77"/>
  <c r="P44" i="77"/>
  <c r="P56" i="77" s="1"/>
  <c r="V44" i="77"/>
  <c r="R44" i="77"/>
  <c r="R56" i="77" s="1"/>
  <c r="AB18" i="77"/>
  <c r="AB24" i="77" s="1"/>
  <c r="AB28" i="77"/>
  <c r="P45" i="75"/>
  <c r="P48" i="75" s="1"/>
  <c r="J45" i="75"/>
  <c r="J48" i="75" s="1"/>
  <c r="H45" i="75"/>
  <c r="J59" i="77" s="1"/>
  <c r="X45" i="75"/>
  <c r="Z17" i="75"/>
  <c r="G26" i="22" s="1"/>
  <c r="R48" i="75"/>
  <c r="V48" i="75"/>
  <c r="S68" i="19"/>
  <c r="M29" i="63"/>
  <c r="F73" i="64" s="1"/>
  <c r="J73" i="64" s="1"/>
  <c r="AN83" i="69"/>
  <c r="AN81" i="66"/>
  <c r="M56" i="62"/>
  <c r="D73" i="64" s="1"/>
  <c r="AN77" i="69"/>
  <c r="AN53" i="71"/>
  <c r="AN22" i="67"/>
  <c r="AN141" i="68"/>
  <c r="AN66" i="67"/>
  <c r="AN45" i="67"/>
  <c r="AN70" i="67"/>
  <c r="AN69" i="67"/>
  <c r="M75" i="63"/>
  <c r="AN55" i="67" l="1"/>
  <c r="V56" i="77"/>
  <c r="V59" i="77" s="1"/>
  <c r="N56" i="77"/>
  <c r="N59" i="77" s="1"/>
  <c r="X56" i="77"/>
  <c r="X59" i="77" s="1"/>
  <c r="AN95" i="66"/>
  <c r="AN121" i="68" s="1"/>
  <c r="G31" i="22"/>
  <c r="G56" i="22" s="1"/>
  <c r="M33" i="62"/>
  <c r="B73" i="64" s="1"/>
  <c r="B466" i="66"/>
  <c r="B439" i="66"/>
  <c r="BJ446" i="66"/>
  <c r="L59" i="77"/>
  <c r="S61" i="18"/>
  <c r="S77" i="18" s="1"/>
  <c r="P59" i="77"/>
  <c r="R59" i="77"/>
  <c r="H48" i="75"/>
  <c r="Z22" i="75"/>
  <c r="Z24" i="75" s="1"/>
  <c r="E54" i="39"/>
  <c r="AB31" i="77"/>
  <c r="AB33" i="77" s="1"/>
  <c r="E37" i="39"/>
  <c r="E40" i="39" s="1"/>
  <c r="X48" i="75"/>
  <c r="Z59" i="77"/>
  <c r="H59" i="77"/>
  <c r="AB44" i="77"/>
  <c r="AB56" i="77" s="1"/>
  <c r="M61" i="63"/>
  <c r="M77" i="63" s="1"/>
  <c r="M89" i="63" s="1"/>
  <c r="AN3" i="71"/>
  <c r="M64" i="62" l="1"/>
  <c r="M69" i="62" s="1"/>
  <c r="M71" i="62" s="1"/>
  <c r="M76" i="62" s="1"/>
  <c r="S89" i="18"/>
  <c r="S92" i="18" s="1"/>
  <c r="AN57" i="67"/>
  <c r="AN45" i="71"/>
  <c r="AN48" i="71" s="1"/>
  <c r="Z45" i="75"/>
  <c r="Z48" i="75" s="1"/>
  <c r="G73" i="22"/>
  <c r="G75" i="22" s="1"/>
  <c r="G80" i="22" s="1"/>
  <c r="M92" i="63" l="1"/>
  <c r="AN3" i="70"/>
  <c r="AN60" i="67"/>
  <c r="AN81" i="69"/>
  <c r="AB59" i="77"/>
  <c r="O88" i="10"/>
  <c r="N102" i="23" s="1"/>
  <c r="AN60" i="70" l="1"/>
  <c r="AN62" i="70" s="1"/>
  <c r="AN122" i="68" l="1"/>
  <c r="AA74" i="50"/>
  <c r="AA73" i="50"/>
  <c r="AJ48" i="3" l="1"/>
  <c r="AD48" i="3"/>
  <c r="AN48" i="3" l="1"/>
  <c r="C79" i="66"/>
  <c r="C97" i="66"/>
  <c r="C102" i="66"/>
  <c r="C104" i="66"/>
  <c r="C81" i="66" l="1"/>
  <c r="C95" i="66" s="1"/>
  <c r="S74" i="50" l="1"/>
  <c r="Q22" i="72" l="1"/>
  <c r="Q29" i="72" s="1"/>
  <c r="AF65" i="67" l="1"/>
  <c r="AG65" i="67"/>
  <c r="AH65" i="67"/>
  <c r="AI65" i="67"/>
  <c r="AJ65" i="67"/>
  <c r="AK65" i="67"/>
  <c r="AR65" i="67"/>
  <c r="AS65" i="67"/>
  <c r="AT65" i="67"/>
  <c r="AM153" i="68" l="1"/>
  <c r="AM146" i="68"/>
  <c r="C109" i="66" l="1"/>
  <c r="C114" i="66" s="1"/>
  <c r="J42" i="5" l="1"/>
  <c r="J41" i="5"/>
  <c r="J40" i="5"/>
  <c r="J39" i="5"/>
  <c r="J38" i="5"/>
  <c r="J37" i="5"/>
  <c r="J36" i="5"/>
  <c r="J35" i="5"/>
  <c r="J34" i="5"/>
  <c r="J33" i="5"/>
  <c r="BF11" i="71" l="1"/>
  <c r="BF19" i="69"/>
  <c r="BF50" i="69" s="1"/>
  <c r="AB31" i="3" l="1"/>
  <c r="O39" i="72" l="1"/>
  <c r="L36" i="72" l="1"/>
  <c r="L37" i="72"/>
  <c r="L38" i="72"/>
  <c r="N35" i="72"/>
  <c r="K47" i="28" l="1"/>
  <c r="K46" i="28"/>
  <c r="I30" i="26"/>
  <c r="S84" i="29" l="1"/>
  <c r="W84" i="29"/>
  <c r="Y84" i="29" s="1"/>
  <c r="Y86" i="29" s="1"/>
  <c r="O49" i="31"/>
  <c r="G58" i="29" l="1"/>
  <c r="P79" i="66" l="1"/>
  <c r="BJ166" i="68" l="1"/>
  <c r="AC22" i="50" l="1"/>
  <c r="AX85" i="69" l="1"/>
  <c r="E22" i="50" l="1"/>
  <c r="E28" i="50"/>
  <c r="E27" i="50"/>
  <c r="E26" i="50"/>
  <c r="E24" i="50"/>
  <c r="E74" i="50"/>
  <c r="E73" i="50"/>
  <c r="E65" i="50"/>
  <c r="E40" i="50"/>
  <c r="E36" i="50"/>
  <c r="E37" i="50"/>
  <c r="E38" i="50"/>
  <c r="E39" i="50"/>
  <c r="E41" i="50"/>
  <c r="E42" i="50"/>
  <c r="E43" i="50"/>
  <c r="E44" i="50"/>
  <c r="E45" i="50"/>
  <c r="E46" i="50"/>
  <c r="E47" i="50"/>
  <c r="E48" i="50"/>
  <c r="E49" i="50"/>
  <c r="E50" i="50"/>
  <c r="E51" i="50"/>
  <c r="E35" i="50"/>
  <c r="E34" i="50"/>
  <c r="E64" i="51"/>
  <c r="E65" i="51"/>
  <c r="E66" i="51"/>
  <c r="E67" i="51"/>
  <c r="E63" i="51"/>
  <c r="E51" i="51"/>
  <c r="E50" i="51"/>
  <c r="E49" i="51"/>
  <c r="E48" i="51"/>
  <c r="E47" i="51"/>
  <c r="E46" i="51"/>
  <c r="E43" i="51"/>
  <c r="E42" i="51"/>
  <c r="E40" i="51"/>
  <c r="E39" i="51"/>
  <c r="E38" i="51"/>
  <c r="E69" i="51" l="1"/>
  <c r="E59" i="50"/>
  <c r="L45" i="64" s="1"/>
  <c r="P45" i="64" s="1"/>
  <c r="E30" i="50"/>
  <c r="F45" i="64" s="1"/>
  <c r="J45" i="64" s="1"/>
  <c r="E76" i="50"/>
  <c r="E62" i="50" l="1"/>
  <c r="E78" i="50" s="1"/>
  <c r="E90" i="50" l="1"/>
  <c r="E93" i="50" s="1"/>
  <c r="O47" i="72"/>
  <c r="N47" i="72"/>
  <c r="R47" i="72"/>
  <c r="Q97" i="18" l="1"/>
  <c r="B87" i="74" l="1"/>
  <c r="H3" i="71" l="1"/>
  <c r="I3" i="71"/>
  <c r="I45" i="71" l="1"/>
  <c r="I79" i="69"/>
  <c r="H45" i="71"/>
  <c r="H79" i="69"/>
  <c r="F3" i="71"/>
  <c r="G3" i="71"/>
  <c r="G45" i="71" l="1"/>
  <c r="G79" i="69"/>
  <c r="F45" i="71"/>
  <c r="F79" i="69"/>
  <c r="E3" i="71"/>
  <c r="E45" i="71" l="1"/>
  <c r="E79" i="69"/>
  <c r="M57" i="10"/>
  <c r="F49" i="72" l="1"/>
  <c r="I49" i="72"/>
  <c r="O49" i="72"/>
  <c r="P49" i="72"/>
  <c r="Q49" i="72"/>
  <c r="R49" i="72"/>
  <c r="R22" i="72" s="1"/>
  <c r="N49" i="72"/>
  <c r="V19" i="3" l="1"/>
  <c r="CI17" i="68" l="1"/>
  <c r="CI23" i="68"/>
  <c r="K65" i="63"/>
  <c r="K64" i="63"/>
  <c r="L97" i="31" l="1"/>
  <c r="N137" i="68" l="1"/>
  <c r="K73" i="63" l="1"/>
  <c r="K72" i="63"/>
  <c r="K71" i="63"/>
  <c r="K70" i="63"/>
  <c r="K67" i="63"/>
  <c r="K66" i="63"/>
  <c r="AA11" i="71" l="1"/>
  <c r="AM34" i="67"/>
  <c r="AM35" i="67"/>
  <c r="AM128" i="68" s="1"/>
  <c r="AM6" i="67"/>
  <c r="AM7" i="67"/>
  <c r="AM8" i="67"/>
  <c r="AM10" i="67"/>
  <c r="AM11" i="67"/>
  <c r="AM13" i="67"/>
  <c r="AM14" i="67"/>
  <c r="AM15" i="67"/>
  <c r="AM124" i="68" s="1"/>
  <c r="AM16" i="67"/>
  <c r="AM17" i="67"/>
  <c r="AM18" i="67"/>
  <c r="AM20" i="67"/>
  <c r="AM21" i="67"/>
  <c r="AM126" i="68" s="1"/>
  <c r="K24" i="62" l="1"/>
  <c r="AM64" i="67"/>
  <c r="K25" i="62"/>
  <c r="AM45" i="67"/>
  <c r="AM141" i="68"/>
  <c r="AM140" i="68"/>
  <c r="I14" i="54"/>
  <c r="I25" i="54"/>
  <c r="I27" i="54" s="1"/>
  <c r="G72" i="27" l="1"/>
  <c r="G73" i="27"/>
  <c r="I47" i="19" l="1"/>
  <c r="I48" i="19"/>
  <c r="I49" i="19"/>
  <c r="I50" i="19"/>
  <c r="I46" i="19"/>
  <c r="O103" i="12" l="1"/>
  <c r="K123" i="25"/>
  <c r="O96" i="12"/>
  <c r="O95" i="12"/>
  <c r="O94" i="12"/>
  <c r="O93" i="12"/>
  <c r="O92" i="12"/>
  <c r="O91" i="12"/>
  <c r="O90" i="12"/>
  <c r="O89" i="12"/>
  <c r="O88" i="12"/>
  <c r="K66" i="25"/>
  <c r="O29" i="12"/>
  <c r="K30" i="25" s="1"/>
  <c r="O16" i="12"/>
  <c r="K17" i="25" s="1"/>
  <c r="BX105" i="68" l="1"/>
  <c r="BX114" i="68" s="1"/>
  <c r="K58" i="25"/>
  <c r="K45" i="11"/>
  <c r="BX97" i="66" s="1"/>
  <c r="K141" i="12"/>
  <c r="BX120" i="68" l="1"/>
  <c r="BX36" i="70"/>
  <c r="B36" i="70" s="1"/>
  <c r="K79" i="66"/>
  <c r="K81" i="66" s="1"/>
  <c r="K95" i="66" s="1"/>
  <c r="K97" i="66"/>
  <c r="K102" i="66"/>
  <c r="K104" i="66"/>
  <c r="BR79" i="66" l="1"/>
  <c r="P31" i="67"/>
  <c r="F195" i="1" l="1"/>
  <c r="V50" i="69"/>
  <c r="F257" i="1" l="1"/>
  <c r="F217" i="1"/>
  <c r="F209" i="1"/>
  <c r="F187" i="1"/>
  <c r="F153" i="1"/>
  <c r="F145" i="1"/>
  <c r="F113" i="1"/>
  <c r="F105" i="1"/>
  <c r="F92" i="1"/>
  <c r="F84" i="1"/>
  <c r="F50" i="1"/>
  <c r="F42" i="1"/>
  <c r="F29" i="1"/>
  <c r="F21" i="1"/>
  <c r="F243" i="1"/>
  <c r="F250" i="1" s="1"/>
  <c r="J230" i="1"/>
  <c r="H230" i="1"/>
  <c r="J217" i="1"/>
  <c r="H217" i="1"/>
  <c r="J209" i="1"/>
  <c r="H209" i="1"/>
  <c r="J195" i="1"/>
  <c r="H195" i="1"/>
  <c r="J187" i="1"/>
  <c r="H187" i="1"/>
  <c r="J174" i="1"/>
  <c r="H174" i="1"/>
  <c r="J166" i="1"/>
  <c r="H166" i="1"/>
  <c r="J153" i="1"/>
  <c r="H153" i="1"/>
  <c r="J145" i="1"/>
  <c r="H145" i="1"/>
  <c r="J132" i="1"/>
  <c r="H132" i="1"/>
  <c r="J113" i="1"/>
  <c r="H113" i="1"/>
  <c r="J105" i="1"/>
  <c r="H105" i="1"/>
  <c r="J92" i="1"/>
  <c r="H92" i="1"/>
  <c r="J84" i="1"/>
  <c r="H84" i="1"/>
  <c r="J71" i="1"/>
  <c r="H71" i="1"/>
  <c r="J63" i="1"/>
  <c r="H63" i="1"/>
  <c r="J50" i="1"/>
  <c r="H50" i="1"/>
  <c r="J42" i="1"/>
  <c r="H42" i="1"/>
  <c r="J29" i="1"/>
  <c r="H29" i="1"/>
  <c r="J21" i="1"/>
  <c r="H21" i="1"/>
  <c r="N61" i="20" l="1"/>
  <c r="G50" i="27" l="1"/>
  <c r="G49" i="27"/>
  <c r="G48" i="27"/>
  <c r="G47" i="27"/>
  <c r="G46" i="27"/>
  <c r="G45" i="27"/>
  <c r="G44" i="27"/>
  <c r="G43" i="27"/>
  <c r="G42" i="27"/>
  <c r="G41" i="27"/>
  <c r="G40" i="27"/>
  <c r="G39" i="27"/>
  <c r="G38" i="27"/>
  <c r="G37" i="27"/>
  <c r="G36" i="27"/>
  <c r="G35" i="27"/>
  <c r="G34" i="27"/>
  <c r="G33" i="27"/>
  <c r="G27" i="27"/>
  <c r="G26" i="27"/>
  <c r="G25" i="27"/>
  <c r="G24" i="27"/>
  <c r="G23" i="27"/>
  <c r="G22" i="27"/>
  <c r="G21" i="27"/>
  <c r="G20" i="27"/>
  <c r="G19" i="27"/>
  <c r="G18" i="27"/>
  <c r="G17" i="27"/>
  <c r="G16" i="27"/>
  <c r="G15" i="27"/>
  <c r="G14" i="27"/>
  <c r="G63" i="29"/>
  <c r="G64" i="29"/>
  <c r="G65" i="29"/>
  <c r="G66" i="29"/>
  <c r="G62" i="29"/>
  <c r="G51" i="29"/>
  <c r="G50" i="29"/>
  <c r="G49" i="29"/>
  <c r="G48" i="29"/>
  <c r="G47" i="29"/>
  <c r="G46" i="29"/>
  <c r="G45" i="29"/>
  <c r="G42" i="29"/>
  <c r="G41" i="29"/>
  <c r="G39" i="29"/>
  <c r="G38" i="29"/>
  <c r="G37" i="29"/>
  <c r="G58" i="27" l="1"/>
  <c r="G68" i="29"/>
  <c r="E123" i="68"/>
  <c r="E127" i="68"/>
  <c r="E132" i="68"/>
  <c r="E133" i="68"/>
  <c r="E134" i="68"/>
  <c r="E135" i="68"/>
  <c r="E136" i="68"/>
  <c r="E137" i="68"/>
  <c r="E138" i="68"/>
  <c r="E139" i="68"/>
  <c r="E144" i="68"/>
  <c r="E145" i="68"/>
  <c r="E146" i="68"/>
  <c r="H2" i="74" s="1"/>
  <c r="H3" i="74"/>
  <c r="E148" i="68"/>
  <c r="E149" i="68"/>
  <c r="E150" i="68"/>
  <c r="E151" i="68"/>
  <c r="W32" i="61"/>
  <c r="AL44" i="59"/>
  <c r="AL35" i="59"/>
  <c r="AM73" i="60"/>
  <c r="AM23" i="60"/>
  <c r="AM141" i="58"/>
  <c r="AM135" i="58"/>
  <c r="AM95" i="58"/>
  <c r="AK30" i="57"/>
  <c r="AK23" i="57"/>
  <c r="AK16" i="57"/>
  <c r="C33" i="74"/>
  <c r="B33" i="74"/>
  <c r="AO1" i="74"/>
  <c r="K47" i="63"/>
  <c r="K46" i="63"/>
  <c r="K45" i="63"/>
  <c r="K27" i="63"/>
  <c r="K26" i="63"/>
  <c r="K25" i="63"/>
  <c r="K21" i="63"/>
  <c r="K44" i="63"/>
  <c r="K43" i="63"/>
  <c r="K42" i="63"/>
  <c r="K41" i="63"/>
  <c r="K40" i="63"/>
  <c r="K39" i="63"/>
  <c r="K38" i="63"/>
  <c r="K37" i="63"/>
  <c r="K36" i="63"/>
  <c r="K35" i="63"/>
  <c r="K34" i="63"/>
  <c r="K33" i="63"/>
  <c r="K24" i="63"/>
  <c r="K23" i="63"/>
  <c r="K22" i="63"/>
  <c r="U21" i="63"/>
  <c r="U25" i="63"/>
  <c r="U26" i="63"/>
  <c r="U27" i="63"/>
  <c r="U45" i="63"/>
  <c r="U46" i="63"/>
  <c r="U47" i="63"/>
  <c r="U48" i="63"/>
  <c r="U50" i="63"/>
  <c r="U64" i="63"/>
  <c r="U65" i="63"/>
  <c r="U66" i="63"/>
  <c r="U67" i="63"/>
  <c r="U70" i="63"/>
  <c r="U71" i="63"/>
  <c r="U72" i="63"/>
  <c r="U73" i="63"/>
  <c r="K49" i="62"/>
  <c r="K50" i="62"/>
  <c r="K51" i="62"/>
  <c r="K52" i="62"/>
  <c r="K53" i="62"/>
  <c r="K54" i="62"/>
  <c r="K48" i="62"/>
  <c r="K47" i="62"/>
  <c r="K26" i="62"/>
  <c r="K27" i="62"/>
  <c r="K28" i="62"/>
  <c r="K30" i="62"/>
  <c r="K31" i="62"/>
  <c r="K23" i="62"/>
  <c r="K66" i="62"/>
  <c r="K65" i="62"/>
  <c r="K63" i="62"/>
  <c r="AM63" i="69"/>
  <c r="AM22" i="67"/>
  <c r="AM55" i="67" s="1"/>
  <c r="AM79" i="66"/>
  <c r="K24" i="42"/>
  <c r="K42" i="42"/>
  <c r="AM65" i="69" l="1"/>
  <c r="AM77" i="69" s="1"/>
  <c r="C4" i="74"/>
  <c r="B4" i="74"/>
  <c r="K58" i="63"/>
  <c r="L72" i="64" s="1"/>
  <c r="P72" i="64" s="1"/>
  <c r="AM56" i="60"/>
  <c r="AM75" i="60" s="1"/>
  <c r="K56" i="62"/>
  <c r="D72" i="64" s="1"/>
  <c r="K33" i="62"/>
  <c r="B72" i="64" s="1"/>
  <c r="K75" i="63"/>
  <c r="AM53" i="71"/>
  <c r="AM83" i="69"/>
  <c r="AM81" i="66"/>
  <c r="K29" i="63"/>
  <c r="F72" i="64" s="1"/>
  <c r="J72" i="64" s="1"/>
  <c r="G92" i="27"/>
  <c r="G75" i="27"/>
  <c r="G29" i="27"/>
  <c r="G14" i="29"/>
  <c r="G21" i="29"/>
  <c r="E11" i="71"/>
  <c r="G52" i="29"/>
  <c r="G29" i="29"/>
  <c r="G26" i="29"/>
  <c r="G25" i="29"/>
  <c r="E124" i="68"/>
  <c r="E14" i="67"/>
  <c r="E13" i="67"/>
  <c r="E11" i="67"/>
  <c r="E66" i="67" s="1"/>
  <c r="E10" i="67"/>
  <c r="E8" i="67"/>
  <c r="G17" i="29" s="1"/>
  <c r="E7" i="67"/>
  <c r="G16" i="29" s="1"/>
  <c r="E6" i="67"/>
  <c r="E4" i="67"/>
  <c r="E3" i="67"/>
  <c r="E323" i="66"/>
  <c r="E318" i="66"/>
  <c r="E317" i="66"/>
  <c r="E316" i="66"/>
  <c r="E315" i="66"/>
  <c r="E314" i="66"/>
  <c r="E313" i="66"/>
  <c r="E312" i="66"/>
  <c r="E311" i="66"/>
  <c r="E310" i="66"/>
  <c r="E309" i="66"/>
  <c r="E304" i="66"/>
  <c r="E303" i="66"/>
  <c r="E302" i="66"/>
  <c r="E301" i="66"/>
  <c r="E300" i="66"/>
  <c r="E299" i="66"/>
  <c r="E298" i="66"/>
  <c r="E297" i="66"/>
  <c r="E296" i="66"/>
  <c r="E295" i="66"/>
  <c r="E290" i="66"/>
  <c r="E288" i="66"/>
  <c r="E287" i="66"/>
  <c r="E286" i="66"/>
  <c r="E285" i="66"/>
  <c r="E284" i="66"/>
  <c r="E283" i="66"/>
  <c r="E282" i="66"/>
  <c r="E281" i="66"/>
  <c r="E277" i="66"/>
  <c r="E276" i="66"/>
  <c r="E275" i="66"/>
  <c r="E274" i="66"/>
  <c r="E273" i="66"/>
  <c r="E272" i="66"/>
  <c r="E271" i="66"/>
  <c r="E270" i="66"/>
  <c r="E269" i="66"/>
  <c r="E268" i="66"/>
  <c r="E264" i="66"/>
  <c r="E262" i="66"/>
  <c r="E261" i="66"/>
  <c r="E260" i="66"/>
  <c r="E259" i="66"/>
  <c r="E258" i="66"/>
  <c r="E256" i="66"/>
  <c r="E255" i="66"/>
  <c r="E254" i="66"/>
  <c r="E253" i="66"/>
  <c r="E252" i="66"/>
  <c r="E251" i="66"/>
  <c r="E250" i="66"/>
  <c r="E235" i="66"/>
  <c r="E221" i="66"/>
  <c r="E208" i="66"/>
  <c r="E195" i="66"/>
  <c r="E182" i="66"/>
  <c r="E157" i="66"/>
  <c r="E152" i="66"/>
  <c r="E150" i="66"/>
  <c r="E149" i="66"/>
  <c r="E138" i="66"/>
  <c r="E130" i="66"/>
  <c r="E120" i="66"/>
  <c r="E122" i="66" s="1"/>
  <c r="E114" i="66"/>
  <c r="E177" i="68"/>
  <c r="E176" i="68"/>
  <c r="E175" i="68"/>
  <c r="E174" i="68"/>
  <c r="E173" i="68"/>
  <c r="E166" i="68"/>
  <c r="E164" i="68"/>
  <c r="E163" i="68"/>
  <c r="E162" i="68"/>
  <c r="E161" i="68"/>
  <c r="E156" i="68"/>
  <c r="E157" i="68" s="1"/>
  <c r="F123" i="68"/>
  <c r="F127" i="68"/>
  <c r="F132" i="68"/>
  <c r="F133" i="68"/>
  <c r="F134" i="68"/>
  <c r="F135" i="68"/>
  <c r="F136" i="68"/>
  <c r="F137" i="68"/>
  <c r="F138" i="68"/>
  <c r="F139" i="68"/>
  <c r="F144" i="68"/>
  <c r="F145" i="68"/>
  <c r="F146" i="68"/>
  <c r="F148" i="68"/>
  <c r="F149" i="68"/>
  <c r="F150" i="68"/>
  <c r="F151" i="68"/>
  <c r="F156" i="68"/>
  <c r="F157" i="68" s="1"/>
  <c r="F161" i="68"/>
  <c r="F162" i="68"/>
  <c r="F163" i="68"/>
  <c r="F164" i="68"/>
  <c r="F166" i="68"/>
  <c r="F173" i="68"/>
  <c r="F174" i="68"/>
  <c r="F175" i="68"/>
  <c r="F176" i="68"/>
  <c r="F177" i="68"/>
  <c r="G12" i="29" l="1"/>
  <c r="E63" i="67"/>
  <c r="E64" i="67"/>
  <c r="G13" i="29"/>
  <c r="G15" i="29"/>
  <c r="E69" i="67"/>
  <c r="G20" i="29"/>
  <c r="G22" i="29"/>
  <c r="E22" i="67"/>
  <c r="E60" i="67" s="1"/>
  <c r="AM95" i="66"/>
  <c r="AM121" i="68" s="1"/>
  <c r="G23" i="29"/>
  <c r="F121" i="68"/>
  <c r="E121" i="68"/>
  <c r="K64" i="62"/>
  <c r="K69" i="62" s="1"/>
  <c r="K71" i="62" s="1"/>
  <c r="K76" i="62" s="1"/>
  <c r="E237" i="66"/>
  <c r="E241" i="66" s="1"/>
  <c r="E3" i="70"/>
  <c r="E60" i="70" s="1"/>
  <c r="E62" i="70" s="1"/>
  <c r="K61" i="63"/>
  <c r="K77" i="63" s="1"/>
  <c r="K89" i="63" s="1"/>
  <c r="F11" i="64"/>
  <c r="G61" i="27"/>
  <c r="F167" i="68"/>
  <c r="F170" i="68" s="1"/>
  <c r="F178" i="68" s="1"/>
  <c r="E167" i="68"/>
  <c r="E170" i="68" s="1"/>
  <c r="E178" i="68" s="1"/>
  <c r="G40" i="29"/>
  <c r="E152" i="68"/>
  <c r="G43" i="29"/>
  <c r="E141" i="68"/>
  <c r="G24" i="29"/>
  <c r="G44" i="29"/>
  <c r="E128" i="68"/>
  <c r="G30" i="29"/>
  <c r="E126" i="68"/>
  <c r="G53" i="29"/>
  <c r="E129" i="68"/>
  <c r="G19" i="29"/>
  <c r="E140" i="68"/>
  <c r="AM3" i="71"/>
  <c r="AM45" i="71" s="1"/>
  <c r="E319" i="66"/>
  <c r="E305" i="66"/>
  <c r="E278" i="66"/>
  <c r="E153" i="66"/>
  <c r="E155" i="66" s="1"/>
  <c r="E159" i="66" s="1"/>
  <c r="E163" i="66" s="1"/>
  <c r="E491" i="66"/>
  <c r="E431" i="66"/>
  <c r="E291" i="66"/>
  <c r="E289" i="66"/>
  <c r="E257" i="66"/>
  <c r="E130" i="68" l="1"/>
  <c r="AM81" i="69"/>
  <c r="AM89" i="69" s="1"/>
  <c r="E122" i="68"/>
  <c r="K92" i="63"/>
  <c r="AM57" i="67"/>
  <c r="AM3" i="70"/>
  <c r="AM60" i="67"/>
  <c r="AM48" i="71"/>
  <c r="AM79" i="69"/>
  <c r="G55" i="29"/>
  <c r="G77" i="27"/>
  <c r="L11" i="64"/>
  <c r="P11" i="64" s="1"/>
  <c r="E292" i="66"/>
  <c r="E493" i="66"/>
  <c r="E497" i="66" s="1"/>
  <c r="E263" i="66"/>
  <c r="E265" i="66" s="1"/>
  <c r="N15" i="3"/>
  <c r="AM60" i="70" l="1"/>
  <c r="AM62" i="70" s="1"/>
  <c r="G89" i="27"/>
  <c r="G93" i="27" s="1"/>
  <c r="G70" i="29"/>
  <c r="D11" i="64"/>
  <c r="E321" i="66"/>
  <c r="E325" i="66" s="1"/>
  <c r="AW52" i="71"/>
  <c r="AV52" i="71"/>
  <c r="AR52" i="71"/>
  <c r="AD52" i="71"/>
  <c r="AU85" i="69"/>
  <c r="AC85" i="69"/>
  <c r="AB85" i="69"/>
  <c r="AU133" i="68"/>
  <c r="AT133" i="68"/>
  <c r="AJ133" i="68"/>
  <c r="AH133" i="68"/>
  <c r="AG133" i="68"/>
  <c r="AC133" i="68"/>
  <c r="AU132" i="68"/>
  <c r="AD132" i="68"/>
  <c r="AW79" i="66"/>
  <c r="AD83" i="69"/>
  <c r="C152" i="66"/>
  <c r="R125" i="2"/>
  <c r="R113" i="2"/>
  <c r="R105" i="2"/>
  <c r="R65" i="2"/>
  <c r="R26" i="2"/>
  <c r="E146" i="12"/>
  <c r="BH83" i="69"/>
  <c r="BH152" i="68"/>
  <c r="B32" i="71"/>
  <c r="D53" i="26" s="1"/>
  <c r="B33" i="71"/>
  <c r="D54" i="26" s="1"/>
  <c r="B34" i="71"/>
  <c r="D55" i="26" s="1"/>
  <c r="BT54" i="71"/>
  <c r="BU54" i="71"/>
  <c r="BV54" i="71"/>
  <c r="BW54" i="71"/>
  <c r="BY54" i="71"/>
  <c r="BZ54" i="71"/>
  <c r="AB149" i="68"/>
  <c r="AC149" i="68"/>
  <c r="AD149" i="68"/>
  <c r="AF149" i="68"/>
  <c r="AG149" i="68"/>
  <c r="AH149" i="68"/>
  <c r="AI149" i="68"/>
  <c r="AJ149" i="68"/>
  <c r="AK149" i="68"/>
  <c r="AL149" i="68"/>
  <c r="AR149" i="68"/>
  <c r="AS149" i="68"/>
  <c r="AT149" i="68"/>
  <c r="AU149" i="68"/>
  <c r="AV149" i="68"/>
  <c r="AW149" i="68"/>
  <c r="AX149" i="68"/>
  <c r="D64" i="70"/>
  <c r="C64" i="70"/>
  <c r="M99" i="10"/>
  <c r="J19" i="69"/>
  <c r="AC58" i="19"/>
  <c r="U25" i="18"/>
  <c r="U23" i="18"/>
  <c r="AG23" i="18"/>
  <c r="C15" i="18"/>
  <c r="R34" i="72"/>
  <c r="G146" i="12"/>
  <c r="C146" i="12"/>
  <c r="B109" i="66"/>
  <c r="C30" i="30" s="1"/>
  <c r="D80" i="65" s="1"/>
  <c r="O76" i="29"/>
  <c r="V35" i="59"/>
  <c r="X35" i="59"/>
  <c r="Z35" i="59"/>
  <c r="AB35" i="59"/>
  <c r="AD35" i="59"/>
  <c r="AF35" i="59"/>
  <c r="AH35" i="59"/>
  <c r="AJ35" i="59"/>
  <c r="AK133" i="58"/>
  <c r="AS83" i="69"/>
  <c r="N83" i="69"/>
  <c r="BS130" i="68"/>
  <c r="BR130" i="68"/>
  <c r="BQ130" i="68"/>
  <c r="BP130" i="68"/>
  <c r="BO130" i="68"/>
  <c r="BN130" i="68"/>
  <c r="BM130" i="68"/>
  <c r="BL130" i="68"/>
  <c r="BK130" i="68"/>
  <c r="BJ130" i="68"/>
  <c r="BI130" i="68"/>
  <c r="BH130" i="68"/>
  <c r="BG130" i="68"/>
  <c r="BF130" i="68"/>
  <c r="BE130" i="68"/>
  <c r="BD130" i="68"/>
  <c r="BC130" i="68"/>
  <c r="BB130" i="68"/>
  <c r="BA130" i="68"/>
  <c r="AZ130" i="68"/>
  <c r="AY130" i="68"/>
  <c r="AX130" i="68"/>
  <c r="AW130" i="68"/>
  <c r="AV130" i="68"/>
  <c r="AU130" i="68"/>
  <c r="AT130" i="68"/>
  <c r="AS130" i="68"/>
  <c r="AR130" i="68"/>
  <c r="AL130" i="68"/>
  <c r="AK130" i="68"/>
  <c r="AJ130" i="68"/>
  <c r="AI130" i="68"/>
  <c r="AH130" i="68"/>
  <c r="AG130" i="68"/>
  <c r="AF130" i="68"/>
  <c r="AD130" i="68"/>
  <c r="AC130" i="68"/>
  <c r="AB130" i="68"/>
  <c r="AA130" i="68"/>
  <c r="Z130" i="68"/>
  <c r="Y130" i="68"/>
  <c r="X130" i="68"/>
  <c r="W130" i="68"/>
  <c r="V130" i="68"/>
  <c r="U130" i="68"/>
  <c r="T130" i="68"/>
  <c r="R130" i="68"/>
  <c r="Q130" i="68"/>
  <c r="P130" i="68"/>
  <c r="S130" i="68"/>
  <c r="O130" i="68"/>
  <c r="N130" i="68"/>
  <c r="M130" i="68"/>
  <c r="L130" i="68"/>
  <c r="K130" i="68"/>
  <c r="J130" i="68"/>
  <c r="I130" i="68"/>
  <c r="H130" i="68"/>
  <c r="G130" i="68"/>
  <c r="H245" i="1"/>
  <c r="J245" i="1"/>
  <c r="H246" i="1"/>
  <c r="J246" i="1"/>
  <c r="J244" i="1"/>
  <c r="H244" i="1"/>
  <c r="BP152" i="68"/>
  <c r="BC152" i="68"/>
  <c r="AZ152" i="68"/>
  <c r="AW152" i="68"/>
  <c r="AV152" i="68"/>
  <c r="AU152" i="68"/>
  <c r="AT152" i="68"/>
  <c r="AS152" i="68"/>
  <c r="AR152" i="68"/>
  <c r="AL152" i="68"/>
  <c r="AK152" i="68"/>
  <c r="AJ152" i="68"/>
  <c r="AI152" i="68"/>
  <c r="AH152" i="68"/>
  <c r="AG152" i="68"/>
  <c r="AF152" i="68"/>
  <c r="AD152" i="68"/>
  <c r="AC152" i="68"/>
  <c r="AB152" i="68"/>
  <c r="AA152" i="68"/>
  <c r="Z152" i="68"/>
  <c r="Y152" i="68"/>
  <c r="X152" i="68"/>
  <c r="W152" i="68"/>
  <c r="V152" i="68"/>
  <c r="U152" i="68"/>
  <c r="R152" i="68"/>
  <c r="Q152" i="68"/>
  <c r="O152" i="68"/>
  <c r="K152" i="68"/>
  <c r="O136" i="12"/>
  <c r="K171" i="25"/>
  <c r="J34" i="72" s="1"/>
  <c r="K172" i="25"/>
  <c r="O125" i="12"/>
  <c r="K159" i="25" s="1"/>
  <c r="O124" i="12"/>
  <c r="K157" i="25" s="1"/>
  <c r="O121" i="12"/>
  <c r="K154" i="25" s="1"/>
  <c r="O120" i="12"/>
  <c r="K153" i="25" s="1"/>
  <c r="O119" i="12"/>
  <c r="K152" i="25" s="1"/>
  <c r="O118" i="12"/>
  <c r="K149" i="25" s="1"/>
  <c r="O110" i="12"/>
  <c r="O112" i="12" s="1"/>
  <c r="K113" i="25"/>
  <c r="K18" i="54"/>
  <c r="M18" i="54" s="1"/>
  <c r="K19" i="54"/>
  <c r="M19" i="54" s="1"/>
  <c r="K20" i="54"/>
  <c r="M20" i="54" s="1"/>
  <c r="K21" i="54"/>
  <c r="M21" i="54" s="1"/>
  <c r="K22" i="54"/>
  <c r="M22" i="54" s="1"/>
  <c r="K23" i="54"/>
  <c r="G25" i="24" s="1"/>
  <c r="I25" i="24" s="1"/>
  <c r="C62" i="54"/>
  <c r="I24" i="55"/>
  <c r="I56" i="55"/>
  <c r="O27" i="72"/>
  <c r="O29" i="72" s="1"/>
  <c r="R39" i="72"/>
  <c r="AL153" i="68"/>
  <c r="C63" i="69"/>
  <c r="R27" i="72"/>
  <c r="R29" i="72" s="1"/>
  <c r="R35" i="72"/>
  <c r="O78" i="13"/>
  <c r="O86" i="13" s="1"/>
  <c r="O63" i="69"/>
  <c r="C47" i="56"/>
  <c r="C49" i="56" s="1"/>
  <c r="C53" i="56" s="1"/>
  <c r="E48" i="23"/>
  <c r="N135" i="68"/>
  <c r="N136" i="68"/>
  <c r="N138" i="68"/>
  <c r="N139" i="68"/>
  <c r="N144" i="68"/>
  <c r="CB144" i="68"/>
  <c r="CA144" i="68"/>
  <c r="BZ144" i="68"/>
  <c r="BY144" i="68"/>
  <c r="BX144" i="68"/>
  <c r="BW144" i="68"/>
  <c r="BV144" i="68"/>
  <c r="BT144" i="68"/>
  <c r="BS144" i="68"/>
  <c r="BR144" i="68"/>
  <c r="BQ144" i="68"/>
  <c r="BP144" i="68"/>
  <c r="BO144" i="68"/>
  <c r="BN144" i="68"/>
  <c r="BM144" i="68"/>
  <c r="BL144" i="68"/>
  <c r="BK144" i="68"/>
  <c r="BJ144" i="68"/>
  <c r="BI144" i="68"/>
  <c r="BH144" i="68"/>
  <c r="BG144" i="68"/>
  <c r="BF144" i="68"/>
  <c r="BE144" i="68"/>
  <c r="BD144" i="68"/>
  <c r="BC144" i="68"/>
  <c r="BB144" i="68"/>
  <c r="BA144" i="68"/>
  <c r="AZ144" i="68"/>
  <c r="AY144" i="68"/>
  <c r="AX144" i="68"/>
  <c r="AW144" i="68"/>
  <c r="AV144" i="68"/>
  <c r="AU144" i="68"/>
  <c r="AT144" i="68"/>
  <c r="AS144" i="68"/>
  <c r="AR144" i="68"/>
  <c r="AL144" i="68"/>
  <c r="AK144" i="68"/>
  <c r="AJ144" i="68"/>
  <c r="AI144" i="68"/>
  <c r="AH144" i="68"/>
  <c r="AG144" i="68"/>
  <c r="AF144" i="68"/>
  <c r="AD144" i="68"/>
  <c r="AC144" i="68"/>
  <c r="AB144" i="68"/>
  <c r="AA144" i="68"/>
  <c r="Z144" i="68"/>
  <c r="Y144" i="68"/>
  <c r="X144" i="68"/>
  <c r="W144" i="68"/>
  <c r="V144" i="68"/>
  <c r="U144" i="68"/>
  <c r="T144" i="68"/>
  <c r="R144" i="68"/>
  <c r="Q144" i="68"/>
  <c r="P144" i="68"/>
  <c r="S144" i="68"/>
  <c r="O144" i="68"/>
  <c r="M144" i="68"/>
  <c r="L144" i="68"/>
  <c r="K144" i="68"/>
  <c r="J144" i="68"/>
  <c r="I144" i="68"/>
  <c r="H144" i="68"/>
  <c r="G144" i="68"/>
  <c r="D144" i="68"/>
  <c r="C144" i="68"/>
  <c r="CD106" i="68"/>
  <c r="CD109" i="68"/>
  <c r="CD110" i="68"/>
  <c r="CD111" i="68"/>
  <c r="E82" i="31" s="1"/>
  <c r="CD112" i="68"/>
  <c r="E83" i="31" s="1"/>
  <c r="CD95" i="68"/>
  <c r="CD91" i="68"/>
  <c r="CD88" i="68"/>
  <c r="CD86" i="68"/>
  <c r="CD84" i="68"/>
  <c r="CD83" i="68"/>
  <c r="CD81" i="68"/>
  <c r="CD76" i="68"/>
  <c r="CD74" i="68"/>
  <c r="CD70" i="68"/>
  <c r="CD68" i="68"/>
  <c r="CD67" i="68"/>
  <c r="CD55" i="68"/>
  <c r="CD57" i="68"/>
  <c r="E64" i="31" s="1"/>
  <c r="CD59" i="68"/>
  <c r="CD61" i="68"/>
  <c r="E65" i="31" s="1"/>
  <c r="CD34" i="68"/>
  <c r="E40" i="31" s="1"/>
  <c r="G40" i="31" s="1"/>
  <c r="CD35" i="68"/>
  <c r="CD36" i="68"/>
  <c r="E43" i="31" s="1"/>
  <c r="CD38" i="68"/>
  <c r="E44" i="31" s="1"/>
  <c r="CD39" i="68"/>
  <c r="E45" i="31" s="1"/>
  <c r="G45" i="31" s="1"/>
  <c r="CD40" i="68"/>
  <c r="E47" i="31" s="1"/>
  <c r="G47" i="31" s="1"/>
  <c r="CD15" i="68"/>
  <c r="E23" i="31" s="1"/>
  <c r="G23" i="31" s="1"/>
  <c r="CD19" i="68"/>
  <c r="E27" i="31" s="1"/>
  <c r="CD22" i="68"/>
  <c r="H157" i="66"/>
  <c r="BC83" i="69"/>
  <c r="G47" i="56"/>
  <c r="E47" i="56"/>
  <c r="CI66" i="68"/>
  <c r="CI16" i="68"/>
  <c r="CI18" i="68"/>
  <c r="CI12" i="68"/>
  <c r="H114" i="66"/>
  <c r="H150" i="66"/>
  <c r="C48" i="23"/>
  <c r="K158" i="25"/>
  <c r="J254" i="1"/>
  <c r="H254" i="1"/>
  <c r="J253" i="1"/>
  <c r="H253" i="1"/>
  <c r="J248" i="1"/>
  <c r="H248" i="1"/>
  <c r="J247" i="1"/>
  <c r="H247" i="1"/>
  <c r="J243" i="1"/>
  <c r="H243" i="1"/>
  <c r="J238" i="1"/>
  <c r="H238" i="1"/>
  <c r="R63" i="69"/>
  <c r="O126" i="12"/>
  <c r="O61" i="10"/>
  <c r="N74" i="23" s="1"/>
  <c r="AN1" i="74"/>
  <c r="CE73" i="68"/>
  <c r="CD73" i="68" s="1"/>
  <c r="CE97" i="68"/>
  <c r="CD97" i="68" s="1"/>
  <c r="O104" i="12"/>
  <c r="K126" i="25" s="1"/>
  <c r="K124" i="25"/>
  <c r="K157" i="55"/>
  <c r="K158" i="55"/>
  <c r="G159" i="25" s="1"/>
  <c r="I159" i="25" s="1"/>
  <c r="K118" i="55"/>
  <c r="G119" i="25" s="1"/>
  <c r="I119" i="25" s="1"/>
  <c r="K123" i="55"/>
  <c r="G124" i="25" s="1"/>
  <c r="I124" i="25" s="1"/>
  <c r="I73" i="63"/>
  <c r="I72" i="63"/>
  <c r="I71" i="63"/>
  <c r="I70" i="63"/>
  <c r="I67" i="63"/>
  <c r="I66" i="63"/>
  <c r="I65" i="63"/>
  <c r="I64" i="63"/>
  <c r="I50" i="63"/>
  <c r="I48" i="63"/>
  <c r="I47" i="63"/>
  <c r="I46" i="63"/>
  <c r="I45" i="63"/>
  <c r="I44" i="63"/>
  <c r="I43" i="63"/>
  <c r="I42" i="63"/>
  <c r="I41" i="63"/>
  <c r="I40" i="63"/>
  <c r="I39" i="63"/>
  <c r="I38" i="63"/>
  <c r="I37" i="63"/>
  <c r="I36" i="63"/>
  <c r="I35" i="63"/>
  <c r="I34" i="63"/>
  <c r="I33" i="63"/>
  <c r="I27" i="63"/>
  <c r="I26" i="63"/>
  <c r="I25" i="63"/>
  <c r="I24" i="63"/>
  <c r="I23" i="63"/>
  <c r="I22" i="63"/>
  <c r="I21" i="63"/>
  <c r="I66" i="62"/>
  <c r="I65" i="62"/>
  <c r="I63" i="62"/>
  <c r="I52" i="62"/>
  <c r="I51" i="62"/>
  <c r="I50" i="62"/>
  <c r="I49" i="62"/>
  <c r="I48" i="62"/>
  <c r="I47" i="62"/>
  <c r="AL127" i="68"/>
  <c r="AL129" i="68"/>
  <c r="AL133" i="68"/>
  <c r="AL134" i="68"/>
  <c r="AL135" i="68"/>
  <c r="AL136" i="68"/>
  <c r="AL137" i="68"/>
  <c r="AL138" i="68"/>
  <c r="AL139" i="68"/>
  <c r="AL145" i="68"/>
  <c r="AL146" i="68"/>
  <c r="AN2" i="74" s="1"/>
  <c r="B32" i="74" s="1"/>
  <c r="AN3" i="74"/>
  <c r="C32" i="74" s="1"/>
  <c r="AL148" i="68"/>
  <c r="AL150" i="68"/>
  <c r="AL97" i="66"/>
  <c r="AL63" i="69"/>
  <c r="I53" i="62"/>
  <c r="AL34" i="67"/>
  <c r="AL35" i="67"/>
  <c r="AL128" i="68" s="1"/>
  <c r="AL6" i="67"/>
  <c r="AL7" i="67"/>
  <c r="AL8" i="67"/>
  <c r="AL10" i="67"/>
  <c r="AL11" i="67"/>
  <c r="AL13" i="67"/>
  <c r="AL14" i="67"/>
  <c r="AL15" i="67"/>
  <c r="AL16" i="67"/>
  <c r="I26" i="62" s="1"/>
  <c r="AL17" i="67"/>
  <c r="I27" i="62" s="1"/>
  <c r="AL18" i="67"/>
  <c r="I28" i="62" s="1"/>
  <c r="AL20" i="67"/>
  <c r="AL21" i="67"/>
  <c r="AL126" i="68" s="1"/>
  <c r="AL79" i="66"/>
  <c r="G34" i="30"/>
  <c r="G33" i="30"/>
  <c r="I33" i="30"/>
  <c r="H149" i="66"/>
  <c r="H118" i="66"/>
  <c r="H122" i="66" s="1"/>
  <c r="H138" i="66"/>
  <c r="H130" i="66"/>
  <c r="W23" i="61"/>
  <c r="W24" i="61"/>
  <c r="W25" i="61"/>
  <c r="W26" i="61"/>
  <c r="W27" i="61"/>
  <c r="W28" i="61"/>
  <c r="W29" i="61"/>
  <c r="W30" i="61"/>
  <c r="W31" i="61"/>
  <c r="W22" i="61"/>
  <c r="AH44" i="59"/>
  <c r="AJ44" i="59"/>
  <c r="AK73" i="60"/>
  <c r="AI73" i="60"/>
  <c r="AK23" i="60"/>
  <c r="AI23" i="60"/>
  <c r="AK141" i="58"/>
  <c r="AK121" i="58"/>
  <c r="AK95" i="58"/>
  <c r="AK74" i="58"/>
  <c r="AK62" i="58"/>
  <c r="AK39" i="58"/>
  <c r="AK30" i="58"/>
  <c r="AI23" i="57"/>
  <c r="AI16" i="57"/>
  <c r="AI30" i="57"/>
  <c r="G145" i="21"/>
  <c r="I145" i="21" s="1"/>
  <c r="C177" i="21"/>
  <c r="N51" i="20" s="1"/>
  <c r="I23" i="31"/>
  <c r="G175" i="21"/>
  <c r="G173" i="21"/>
  <c r="G168" i="21"/>
  <c r="I168" i="21" s="1"/>
  <c r="I78" i="31" s="1"/>
  <c r="G165" i="21"/>
  <c r="G149" i="21"/>
  <c r="G144" i="21"/>
  <c r="I144" i="21" s="1"/>
  <c r="V108" i="2"/>
  <c r="G130" i="21" s="1"/>
  <c r="I130" i="21" s="1"/>
  <c r="I62" i="31" s="1"/>
  <c r="V103" i="2"/>
  <c r="G125" i="21" s="1"/>
  <c r="I125" i="21" s="1"/>
  <c r="G119" i="21"/>
  <c r="G118" i="21"/>
  <c r="I118" i="21" s="1"/>
  <c r="G116" i="21"/>
  <c r="I116" i="21" s="1"/>
  <c r="I58" i="31" s="1"/>
  <c r="G88" i="21"/>
  <c r="I88" i="21" s="1"/>
  <c r="I44" i="31" s="1"/>
  <c r="V70" i="2"/>
  <c r="G87" i="21" s="1"/>
  <c r="I87" i="21" s="1"/>
  <c r="G62" i="21"/>
  <c r="I62" i="21" s="1"/>
  <c r="G65" i="21"/>
  <c r="I65" i="21" s="1"/>
  <c r="G31" i="21"/>
  <c r="I31" i="21" s="1"/>
  <c r="G47" i="21"/>
  <c r="I47" i="21" s="1"/>
  <c r="I28" i="31" s="1"/>
  <c r="G16" i="21"/>
  <c r="I16" i="21" s="1"/>
  <c r="I12" i="31" s="1"/>
  <c r="G18" i="21"/>
  <c r="I18" i="21" s="1"/>
  <c r="G19" i="21"/>
  <c r="I19" i="21" s="1"/>
  <c r="I15" i="31" s="1"/>
  <c r="G20" i="21"/>
  <c r="G22" i="21"/>
  <c r="I22" i="21" s="1"/>
  <c r="I19" i="31" s="1"/>
  <c r="G23" i="21"/>
  <c r="I23" i="21" s="1"/>
  <c r="I21" i="31" s="1"/>
  <c r="G64" i="21"/>
  <c r="I64" i="21" s="1"/>
  <c r="G61" i="21"/>
  <c r="I61" i="21" s="1"/>
  <c r="T113" i="2"/>
  <c r="C42" i="31"/>
  <c r="G42" i="31" s="1"/>
  <c r="G41" i="31"/>
  <c r="BM79" i="66"/>
  <c r="BM102" i="66"/>
  <c r="H113" i="2"/>
  <c r="BH5" i="67"/>
  <c r="BH123" i="68" s="1"/>
  <c r="C15" i="67"/>
  <c r="C124" i="68" s="1"/>
  <c r="G133" i="66"/>
  <c r="G138" i="66" s="1"/>
  <c r="I31" i="30" s="1"/>
  <c r="CJ116" i="68"/>
  <c r="AG21" i="57"/>
  <c r="AG23" i="57" s="1"/>
  <c r="AG14" i="57"/>
  <c r="AG12" i="57"/>
  <c r="AG26" i="57" s="1"/>
  <c r="AG13" i="57"/>
  <c r="AG27" i="57" s="1"/>
  <c r="BT114" i="66"/>
  <c r="F109" i="73"/>
  <c r="F110" i="73" s="1"/>
  <c r="G109" i="73"/>
  <c r="G110" i="73" s="1"/>
  <c r="H109" i="73"/>
  <c r="H110" i="73" s="1"/>
  <c r="I109" i="73"/>
  <c r="I110" i="73" s="1"/>
  <c r="J109" i="73"/>
  <c r="J110" i="73" s="1"/>
  <c r="I141" i="12"/>
  <c r="C175" i="25"/>
  <c r="C75" i="24" s="1"/>
  <c r="AD29" i="3"/>
  <c r="AN29" i="3" s="1"/>
  <c r="AB27" i="3"/>
  <c r="AB35" i="3" s="1"/>
  <c r="B36" i="71"/>
  <c r="D45" i="26" s="1"/>
  <c r="B37" i="67"/>
  <c r="BZ28" i="71"/>
  <c r="R79" i="66"/>
  <c r="R97" i="66"/>
  <c r="R102" i="66"/>
  <c r="R104" i="66"/>
  <c r="C174" i="55"/>
  <c r="R42" i="72" s="1"/>
  <c r="E174" i="55"/>
  <c r="Q42" i="72" s="1"/>
  <c r="Q39" i="72"/>
  <c r="P39" i="72"/>
  <c r="K146" i="12"/>
  <c r="I146" i="12"/>
  <c r="BZ125" i="68"/>
  <c r="CA125" i="68"/>
  <c r="BZ126" i="68"/>
  <c r="CA126" i="68"/>
  <c r="BZ127" i="68"/>
  <c r="CA127" i="68"/>
  <c r="BZ128" i="68"/>
  <c r="CA128" i="68"/>
  <c r="BZ129" i="68"/>
  <c r="CA129" i="68"/>
  <c r="BZ131" i="68"/>
  <c r="CA131" i="68"/>
  <c r="BZ132" i="68"/>
  <c r="CA132" i="68"/>
  <c r="BZ133" i="68"/>
  <c r="CA133" i="68"/>
  <c r="BZ134" i="68"/>
  <c r="CA134" i="68"/>
  <c r="BT135" i="68"/>
  <c r="BU135" i="68"/>
  <c r="BV135" i="68"/>
  <c r="BW135" i="68"/>
  <c r="BY135" i="68"/>
  <c r="BZ135" i="68"/>
  <c r="CA135" i="68"/>
  <c r="BZ136" i="68"/>
  <c r="CA136" i="68"/>
  <c r="BZ137" i="68"/>
  <c r="CA137" i="68"/>
  <c r="BZ138" i="68"/>
  <c r="CA138" i="68"/>
  <c r="BZ139" i="68"/>
  <c r="CA139" i="68"/>
  <c r="BZ140" i="68"/>
  <c r="CA140" i="68"/>
  <c r="BZ141" i="68"/>
  <c r="CA141" i="68"/>
  <c r="BT145" i="68"/>
  <c r="BU145" i="68"/>
  <c r="BV145" i="68"/>
  <c r="BW145" i="68"/>
  <c r="BX145" i="68"/>
  <c r="BY145" i="68"/>
  <c r="BZ145" i="68"/>
  <c r="CA145" i="68"/>
  <c r="BT70" i="67"/>
  <c r="AZ70" i="67"/>
  <c r="V70" i="67"/>
  <c r="O70" i="67"/>
  <c r="Y52" i="19"/>
  <c r="O31" i="13"/>
  <c r="BC63" i="69"/>
  <c r="BC77" i="69" s="1"/>
  <c r="BC123" i="68"/>
  <c r="BC127" i="68"/>
  <c r="BC129" i="68"/>
  <c r="BC132" i="68"/>
  <c r="BC133" i="68"/>
  <c r="BC134" i="68"/>
  <c r="BC135" i="68"/>
  <c r="BC136" i="68"/>
  <c r="BC137" i="68"/>
  <c r="BC138" i="68"/>
  <c r="BC139" i="68"/>
  <c r="BC145" i="68"/>
  <c r="BE2" i="74"/>
  <c r="B49" i="74" s="1"/>
  <c r="BE3" i="74"/>
  <c r="C49" i="74" s="1"/>
  <c r="BC148" i="68"/>
  <c r="BC149" i="68"/>
  <c r="I23" i="30"/>
  <c r="G23" i="30"/>
  <c r="C44" i="27"/>
  <c r="E44" i="27"/>
  <c r="E41" i="42"/>
  <c r="G41" i="42"/>
  <c r="I41" i="42"/>
  <c r="K41" i="42"/>
  <c r="E42" i="42"/>
  <c r="G42" i="42"/>
  <c r="I42" i="42"/>
  <c r="E43" i="42"/>
  <c r="G43" i="42"/>
  <c r="I43" i="42"/>
  <c r="K43" i="42"/>
  <c r="C42" i="18"/>
  <c r="E42" i="18"/>
  <c r="G42" i="18"/>
  <c r="I42" i="18"/>
  <c r="K42" i="18"/>
  <c r="M42" i="18"/>
  <c r="O42" i="18"/>
  <c r="Q42" i="18"/>
  <c r="U42" i="18"/>
  <c r="W42" i="18"/>
  <c r="Y42" i="18"/>
  <c r="AC42" i="18"/>
  <c r="AG42" i="18"/>
  <c r="C43" i="18"/>
  <c r="E43" i="18"/>
  <c r="G43" i="18"/>
  <c r="I43" i="18"/>
  <c r="K43" i="18"/>
  <c r="AI100" i="15" s="1"/>
  <c r="M43" i="18"/>
  <c r="O43" i="18"/>
  <c r="Q43" i="18"/>
  <c r="U43" i="18"/>
  <c r="W43" i="18"/>
  <c r="Y43" i="18"/>
  <c r="AC43" i="18"/>
  <c r="AG43" i="18"/>
  <c r="C44" i="18"/>
  <c r="E44" i="18"/>
  <c r="G44" i="18"/>
  <c r="I44" i="18"/>
  <c r="K44" i="18"/>
  <c r="M44" i="18"/>
  <c r="O44" i="18"/>
  <c r="Q44" i="18"/>
  <c r="U44" i="18"/>
  <c r="W44" i="18"/>
  <c r="Y44" i="18"/>
  <c r="AC44" i="18"/>
  <c r="AG44" i="18"/>
  <c r="G45" i="50"/>
  <c r="I45" i="50"/>
  <c r="K45" i="50"/>
  <c r="M45" i="50"/>
  <c r="O45" i="50"/>
  <c r="Q45" i="50"/>
  <c r="S45" i="50"/>
  <c r="W45" i="50"/>
  <c r="Y45" i="50"/>
  <c r="AA45" i="50"/>
  <c r="AC45" i="50"/>
  <c r="AE45" i="50"/>
  <c r="G34" i="52"/>
  <c r="I34" i="52"/>
  <c r="K34" i="52"/>
  <c r="O34" i="52"/>
  <c r="G35" i="52"/>
  <c r="I35" i="52"/>
  <c r="K35" i="52"/>
  <c r="O35" i="52"/>
  <c r="G36" i="52"/>
  <c r="I36" i="52"/>
  <c r="K36" i="52"/>
  <c r="O36" i="52"/>
  <c r="G37" i="52"/>
  <c r="I37" i="52"/>
  <c r="K37" i="52"/>
  <c r="O37" i="52"/>
  <c r="G38" i="52"/>
  <c r="I38" i="52"/>
  <c r="K38" i="52"/>
  <c r="O38" i="52"/>
  <c r="G39" i="52"/>
  <c r="I39" i="52"/>
  <c r="K39" i="52"/>
  <c r="O39" i="52"/>
  <c r="G40" i="52"/>
  <c r="I40" i="52"/>
  <c r="K40" i="52"/>
  <c r="O40" i="52"/>
  <c r="G41" i="52"/>
  <c r="I41" i="52"/>
  <c r="K41" i="52"/>
  <c r="O41" i="52"/>
  <c r="G42" i="52"/>
  <c r="I42" i="52"/>
  <c r="K42" i="52"/>
  <c r="O42" i="52"/>
  <c r="G43" i="52"/>
  <c r="I43" i="52"/>
  <c r="K43" i="52"/>
  <c r="O43" i="52"/>
  <c r="G44" i="52"/>
  <c r="I44" i="52"/>
  <c r="K44" i="52"/>
  <c r="O44" i="52"/>
  <c r="C42" i="63"/>
  <c r="E42" i="63"/>
  <c r="G42" i="63"/>
  <c r="U42" i="63"/>
  <c r="C43" i="63"/>
  <c r="E43" i="63"/>
  <c r="G43" i="63"/>
  <c r="U43" i="63"/>
  <c r="C44" i="63"/>
  <c r="E44" i="63"/>
  <c r="G44" i="63"/>
  <c r="U44" i="63"/>
  <c r="C35" i="44"/>
  <c r="E35" i="44"/>
  <c r="G35" i="44"/>
  <c r="I35" i="44"/>
  <c r="K35" i="44"/>
  <c r="M35" i="44"/>
  <c r="C36" i="44"/>
  <c r="E36" i="44"/>
  <c r="G36" i="44"/>
  <c r="I36" i="44"/>
  <c r="K36" i="44"/>
  <c r="M36" i="44"/>
  <c r="C37" i="44"/>
  <c r="E37" i="44"/>
  <c r="G37" i="44"/>
  <c r="I37" i="44"/>
  <c r="K37" i="44"/>
  <c r="M37" i="44"/>
  <c r="C38" i="44"/>
  <c r="E38" i="44"/>
  <c r="G38" i="44"/>
  <c r="I38" i="44"/>
  <c r="K38" i="44"/>
  <c r="M38" i="44"/>
  <c r="C39" i="44"/>
  <c r="E39" i="44"/>
  <c r="G39" i="44"/>
  <c r="I39" i="44"/>
  <c r="K39" i="44"/>
  <c r="M39" i="44"/>
  <c r="C40" i="44"/>
  <c r="E40" i="44"/>
  <c r="G40" i="44"/>
  <c r="I40" i="44"/>
  <c r="K40" i="44"/>
  <c r="M40" i="44"/>
  <c r="C41" i="44"/>
  <c r="E41" i="44"/>
  <c r="G41" i="44"/>
  <c r="I41" i="44"/>
  <c r="K41" i="44"/>
  <c r="M41" i="44"/>
  <c r="C42" i="44"/>
  <c r="E42" i="44"/>
  <c r="G42" i="44"/>
  <c r="I42" i="44"/>
  <c r="K42" i="44"/>
  <c r="M42" i="44"/>
  <c r="C43" i="44"/>
  <c r="E43" i="44"/>
  <c r="G43" i="44"/>
  <c r="I43" i="44"/>
  <c r="K43" i="44"/>
  <c r="M43" i="44"/>
  <c r="C44" i="44"/>
  <c r="E44" i="44"/>
  <c r="G44" i="44"/>
  <c r="I44" i="44"/>
  <c r="K44" i="44"/>
  <c r="M44" i="44"/>
  <c r="C43" i="13"/>
  <c r="G43" i="13"/>
  <c r="I43" i="13"/>
  <c r="K43" i="13"/>
  <c r="M43" i="13"/>
  <c r="C23" i="30"/>
  <c r="AW26" i="58" s="1"/>
  <c r="O56" i="14"/>
  <c r="O43" i="14"/>
  <c r="M72" i="13"/>
  <c r="M71" i="13"/>
  <c r="M70" i="13"/>
  <c r="M69" i="13"/>
  <c r="M66" i="13"/>
  <c r="M65" i="13"/>
  <c r="M64" i="13"/>
  <c r="M63" i="13"/>
  <c r="M49" i="13"/>
  <c r="M48" i="13"/>
  <c r="M47" i="13"/>
  <c r="M46" i="13"/>
  <c r="M45" i="13"/>
  <c r="M44" i="13"/>
  <c r="M42" i="13"/>
  <c r="M41" i="13"/>
  <c r="M40" i="13"/>
  <c r="M39" i="13"/>
  <c r="M38" i="13"/>
  <c r="M37" i="13"/>
  <c r="M36" i="13"/>
  <c r="M35" i="13"/>
  <c r="M34" i="13"/>
  <c r="M33" i="13"/>
  <c r="M32" i="13"/>
  <c r="M26" i="13"/>
  <c r="M25" i="13"/>
  <c r="M24" i="13"/>
  <c r="M23" i="13"/>
  <c r="M22" i="13"/>
  <c r="M21" i="13"/>
  <c r="M20" i="13"/>
  <c r="M19" i="13"/>
  <c r="M18" i="13"/>
  <c r="M17" i="13"/>
  <c r="M16" i="13"/>
  <c r="M15" i="13"/>
  <c r="M14" i="13"/>
  <c r="M13" i="13"/>
  <c r="M12" i="13"/>
  <c r="M64" i="14"/>
  <c r="M63" i="14"/>
  <c r="M62" i="14"/>
  <c r="M61" i="14"/>
  <c r="M60" i="14"/>
  <c r="M51" i="14"/>
  <c r="M49" i="14"/>
  <c r="M48" i="14"/>
  <c r="M47" i="14"/>
  <c r="M46" i="14"/>
  <c r="M45" i="14"/>
  <c r="M44" i="14"/>
  <c r="M40" i="14"/>
  <c r="M39" i="14"/>
  <c r="M38" i="14"/>
  <c r="M37" i="14"/>
  <c r="M36" i="14"/>
  <c r="M35" i="14"/>
  <c r="M20" i="14"/>
  <c r="M14" i="14"/>
  <c r="BC11" i="71"/>
  <c r="BC41" i="71"/>
  <c r="BC52" i="71"/>
  <c r="BC85" i="69"/>
  <c r="BC86" i="69"/>
  <c r="BC55" i="67"/>
  <c r="BC3" i="70" s="1"/>
  <c r="BC65" i="67"/>
  <c r="BC34" i="67"/>
  <c r="BC35" i="67"/>
  <c r="BC43" i="67"/>
  <c r="M50" i="14" s="1"/>
  <c r="BC3" i="67"/>
  <c r="BC63" i="67" s="1"/>
  <c r="BC4" i="67"/>
  <c r="BC6" i="67"/>
  <c r="BC7" i="67"/>
  <c r="M16" i="14" s="1"/>
  <c r="BC8" i="67"/>
  <c r="M17" i="14" s="1"/>
  <c r="BC10" i="67"/>
  <c r="BC11" i="67"/>
  <c r="BC13" i="67"/>
  <c r="M21" i="14" s="1"/>
  <c r="BC14" i="67"/>
  <c r="M22" i="14" s="1"/>
  <c r="BC15" i="67"/>
  <c r="M23" i="14" s="1"/>
  <c r="BC16" i="67"/>
  <c r="M24" i="14" s="1"/>
  <c r="BC17" i="67"/>
  <c r="M25" i="14" s="1"/>
  <c r="BC18" i="67"/>
  <c r="M26" i="14" s="1"/>
  <c r="BC20" i="67"/>
  <c r="M28" i="14" s="1"/>
  <c r="BC21" i="67"/>
  <c r="BC126" i="68" s="1"/>
  <c r="BC79" i="66"/>
  <c r="AI141" i="58"/>
  <c r="AI121" i="58"/>
  <c r="AI135" i="58" s="1"/>
  <c r="AI95" i="58"/>
  <c r="AI74" i="58"/>
  <c r="AI62" i="58"/>
  <c r="AI39" i="58"/>
  <c r="AI30" i="58"/>
  <c r="O117" i="12"/>
  <c r="B31" i="71"/>
  <c r="O20" i="10"/>
  <c r="N21" i="23" s="1"/>
  <c r="O21" i="10"/>
  <c r="N22" i="23" s="1"/>
  <c r="O22" i="10"/>
  <c r="N23" i="23" s="1"/>
  <c r="O23" i="10"/>
  <c r="N24" i="23" s="1"/>
  <c r="O12" i="10"/>
  <c r="N13" i="23" s="1"/>
  <c r="O13" i="10"/>
  <c r="N14" i="23" s="1"/>
  <c r="O14" i="10"/>
  <c r="N15" i="23" s="1"/>
  <c r="O15" i="10"/>
  <c r="N16" i="23" s="1"/>
  <c r="L61" i="9"/>
  <c r="L60" i="9"/>
  <c r="C64" i="22" s="1"/>
  <c r="O17" i="67"/>
  <c r="K27" i="19" s="1"/>
  <c r="L28" i="9"/>
  <c r="C29" i="22" s="1"/>
  <c r="L27" i="9"/>
  <c r="C28" i="22" s="1"/>
  <c r="L26" i="9"/>
  <c r="C27" i="22" s="1"/>
  <c r="L25" i="9"/>
  <c r="C26" i="22" s="1"/>
  <c r="L24" i="9"/>
  <c r="L22" i="9"/>
  <c r="C23" i="22" s="1"/>
  <c r="L21" i="9"/>
  <c r="C22" i="22" s="1"/>
  <c r="L20" i="9"/>
  <c r="C21" i="22" s="1"/>
  <c r="L19" i="9"/>
  <c r="C20" i="22" s="1"/>
  <c r="L18" i="9"/>
  <c r="C19" i="22" s="1"/>
  <c r="L17" i="9"/>
  <c r="C18" i="22" s="1"/>
  <c r="L16" i="9"/>
  <c r="C17" i="22" s="1"/>
  <c r="L15" i="9"/>
  <c r="N46" i="8"/>
  <c r="N54" i="8" s="1"/>
  <c r="N39" i="8"/>
  <c r="C47" i="39" s="1"/>
  <c r="N38" i="8"/>
  <c r="C46" i="39" s="1"/>
  <c r="N37" i="8"/>
  <c r="C45" i="39" s="1"/>
  <c r="N30" i="8"/>
  <c r="C31" i="39" s="1"/>
  <c r="N28" i="8"/>
  <c r="C29" i="39" s="1"/>
  <c r="N24" i="8"/>
  <c r="C25" i="39" s="1"/>
  <c r="N23" i="8"/>
  <c r="C24" i="39" s="1"/>
  <c r="N22" i="8"/>
  <c r="C23" i="39" s="1"/>
  <c r="N21" i="8"/>
  <c r="C22" i="39" s="1"/>
  <c r="N20" i="8"/>
  <c r="C21" i="39" s="1"/>
  <c r="N15" i="8"/>
  <c r="N14" i="8"/>
  <c r="S58" i="27"/>
  <c r="Z1" i="74"/>
  <c r="F1" i="74"/>
  <c r="CE3" i="74"/>
  <c r="B72" i="74"/>
  <c r="CJ1" i="74"/>
  <c r="CK1" i="74"/>
  <c r="CE2" i="74"/>
  <c r="CI1" i="74"/>
  <c r="CH1" i="74"/>
  <c r="CG1" i="74"/>
  <c r="CF1" i="74"/>
  <c r="CE1" i="74"/>
  <c r="CD1" i="74"/>
  <c r="CC1" i="74"/>
  <c r="CB1" i="74"/>
  <c r="CA1" i="74"/>
  <c r="BZ1" i="74"/>
  <c r="BY1" i="74"/>
  <c r="BX1" i="74"/>
  <c r="BW1" i="74"/>
  <c r="BV1" i="74"/>
  <c r="BU1" i="74"/>
  <c r="BT1" i="74"/>
  <c r="BS1" i="74"/>
  <c r="BR1" i="74"/>
  <c r="BQ1" i="74"/>
  <c r="BP1" i="74"/>
  <c r="BO1" i="74"/>
  <c r="BN1" i="74"/>
  <c r="BM1" i="74"/>
  <c r="BL1" i="74"/>
  <c r="BK1" i="74"/>
  <c r="BJ1" i="74"/>
  <c r="BI1" i="74"/>
  <c r="BH1" i="74"/>
  <c r="BG1" i="74"/>
  <c r="BF1" i="74"/>
  <c r="BD1" i="74"/>
  <c r="BC1" i="74"/>
  <c r="BB1" i="74"/>
  <c r="BA1" i="74"/>
  <c r="AZ1" i="74"/>
  <c r="AY1" i="74"/>
  <c r="AX1" i="74"/>
  <c r="AW1" i="74"/>
  <c r="AV1" i="74"/>
  <c r="AU1" i="74"/>
  <c r="AT1" i="74"/>
  <c r="AM1" i="74"/>
  <c r="AL1" i="74"/>
  <c r="AK1" i="74"/>
  <c r="AJ1" i="74"/>
  <c r="AI1" i="74"/>
  <c r="AG1" i="74"/>
  <c r="AF1" i="74"/>
  <c r="AE1" i="74"/>
  <c r="AD1" i="74"/>
  <c r="AC1" i="74"/>
  <c r="AB1" i="74"/>
  <c r="AA1" i="74"/>
  <c r="Y1" i="74"/>
  <c r="X1" i="74"/>
  <c r="W1" i="74"/>
  <c r="V1" i="74"/>
  <c r="U1" i="74"/>
  <c r="T1" i="74"/>
  <c r="S1" i="74"/>
  <c r="R1" i="74"/>
  <c r="Q1" i="74"/>
  <c r="P1" i="74"/>
  <c r="O1" i="74"/>
  <c r="N1" i="74"/>
  <c r="M1" i="74"/>
  <c r="L1" i="74"/>
  <c r="K1" i="74"/>
  <c r="J1" i="74"/>
  <c r="I1" i="74"/>
  <c r="G1" i="74"/>
  <c r="CD3" i="74"/>
  <c r="CC3" i="74"/>
  <c r="CB3" i="74"/>
  <c r="CA3" i="74"/>
  <c r="C71" i="74" s="1"/>
  <c r="BZ3" i="74"/>
  <c r="C70" i="74" s="1"/>
  <c r="BY3" i="74"/>
  <c r="C69" i="74" s="1"/>
  <c r="BX3" i="74"/>
  <c r="C68" i="74" s="1"/>
  <c r="BW3" i="74"/>
  <c r="C67" i="74" s="1"/>
  <c r="BV3" i="74"/>
  <c r="C66" i="74" s="1"/>
  <c r="BU3" i="74"/>
  <c r="C65" i="74" s="1"/>
  <c r="BT3" i="74"/>
  <c r="C64" i="74" s="1"/>
  <c r="BS3" i="74"/>
  <c r="C63" i="74" s="1"/>
  <c r="BR3" i="74"/>
  <c r="C62" i="74" s="1"/>
  <c r="BQ3" i="74"/>
  <c r="C61" i="74" s="1"/>
  <c r="BP3" i="74"/>
  <c r="C60" i="74" s="1"/>
  <c r="C59" i="74"/>
  <c r="BN3" i="74"/>
  <c r="C58" i="74" s="1"/>
  <c r="BM3" i="74"/>
  <c r="C57" i="74" s="1"/>
  <c r="BL3" i="74"/>
  <c r="C56" i="74" s="1"/>
  <c r="BK3" i="74"/>
  <c r="C55" i="74" s="1"/>
  <c r="BJ3" i="74"/>
  <c r="C54" i="74" s="1"/>
  <c r="BI3" i="74"/>
  <c r="C53" i="74" s="1"/>
  <c r="BH3" i="74"/>
  <c r="C52" i="74" s="1"/>
  <c r="BG3" i="74"/>
  <c r="C51" i="74" s="1"/>
  <c r="BF3" i="74"/>
  <c r="C50" i="74" s="1"/>
  <c r="BD3" i="74"/>
  <c r="C48" i="74" s="1"/>
  <c r="BC3" i="74"/>
  <c r="C47" i="74" s="1"/>
  <c r="BB3" i="74"/>
  <c r="C46" i="74" s="1"/>
  <c r="BA3" i="74"/>
  <c r="C45" i="74" s="1"/>
  <c r="AZ3" i="74"/>
  <c r="C44" i="74" s="1"/>
  <c r="AY3" i="74"/>
  <c r="C43" i="74" s="1"/>
  <c r="AX3" i="74"/>
  <c r="C42" i="74" s="1"/>
  <c r="AW3" i="74"/>
  <c r="C41" i="74" s="1"/>
  <c r="AV3" i="74"/>
  <c r="C40" i="74" s="1"/>
  <c r="AU3" i="74"/>
  <c r="C39" i="74" s="1"/>
  <c r="AT3" i="74"/>
  <c r="C38" i="74" s="1"/>
  <c r="AM3" i="74"/>
  <c r="C31" i="74" s="1"/>
  <c r="AL3" i="74"/>
  <c r="C30" i="74" s="1"/>
  <c r="AK3" i="74"/>
  <c r="AJ3" i="74"/>
  <c r="AI3" i="74"/>
  <c r="C29" i="74" s="1"/>
  <c r="AG3" i="74"/>
  <c r="C27" i="74" s="1"/>
  <c r="AF3" i="74"/>
  <c r="C26" i="74" s="1"/>
  <c r="AE3" i="74"/>
  <c r="C25" i="74" s="1"/>
  <c r="AD3" i="74"/>
  <c r="C24" i="74" s="1"/>
  <c r="AC3" i="74"/>
  <c r="C23" i="74" s="1"/>
  <c r="AB3" i="74"/>
  <c r="C22" i="74" s="1"/>
  <c r="AA3" i="74"/>
  <c r="C21" i="74" s="1"/>
  <c r="Z3" i="74"/>
  <c r="C20" i="74" s="1"/>
  <c r="Y3" i="74"/>
  <c r="C19" i="74" s="1"/>
  <c r="X3" i="74"/>
  <c r="C18" i="74" s="1"/>
  <c r="W3" i="74"/>
  <c r="C17" i="74" s="1"/>
  <c r="V3" i="74"/>
  <c r="C16" i="74" s="1"/>
  <c r="U3" i="74"/>
  <c r="C15" i="74" s="1"/>
  <c r="T3" i="74"/>
  <c r="C14" i="74" s="1"/>
  <c r="S3" i="74"/>
  <c r="C13" i="74" s="1"/>
  <c r="R3" i="74"/>
  <c r="C12" i="74" s="1"/>
  <c r="Q3" i="74"/>
  <c r="C11" i="74" s="1"/>
  <c r="P3" i="74"/>
  <c r="O3" i="74"/>
  <c r="N3" i="74"/>
  <c r="C10" i="74" s="1"/>
  <c r="M3" i="74"/>
  <c r="C9" i="74" s="1"/>
  <c r="L3" i="74"/>
  <c r="C8" i="74" s="1"/>
  <c r="K3" i="74"/>
  <c r="C7" i="74" s="1"/>
  <c r="J3" i="74"/>
  <c r="C6" i="74" s="1"/>
  <c r="I3" i="74"/>
  <c r="G3" i="74"/>
  <c r="C3" i="74" s="1"/>
  <c r="CB146" i="68"/>
  <c r="CD2" i="74" s="1"/>
  <c r="CA146" i="68"/>
  <c r="CC2" i="74" s="1"/>
  <c r="BZ146" i="68"/>
  <c r="CB2" i="74" s="1"/>
  <c r="BY146" i="68"/>
  <c r="CA2" i="74" s="1"/>
  <c r="B71" i="74" s="1"/>
  <c r="BX146" i="68"/>
  <c r="BZ2" i="74" s="1"/>
  <c r="B70" i="74" s="1"/>
  <c r="BW146" i="68"/>
  <c r="BY2" i="74" s="1"/>
  <c r="B69" i="74" s="1"/>
  <c r="BV146" i="68"/>
  <c r="BX2" i="74" s="1"/>
  <c r="B68" i="74" s="1"/>
  <c r="BU146" i="68"/>
  <c r="BW2" i="74" s="1"/>
  <c r="B67" i="74" s="1"/>
  <c r="BT146" i="68"/>
  <c r="BV2" i="74" s="1"/>
  <c r="B66" i="74" s="1"/>
  <c r="BS146" i="68"/>
  <c r="BU2" i="74" s="1"/>
  <c r="B65" i="74" s="1"/>
  <c r="BR146" i="68"/>
  <c r="BT2" i="74" s="1"/>
  <c r="B64" i="74" s="1"/>
  <c r="BQ146" i="68"/>
  <c r="BS2" i="74" s="1"/>
  <c r="B63" i="74" s="1"/>
  <c r="BR2" i="74"/>
  <c r="B62" i="74" s="1"/>
  <c r="BQ2" i="74"/>
  <c r="B61" i="74" s="1"/>
  <c r="BP2" i="74"/>
  <c r="B60" i="74" s="1"/>
  <c r="BO2" i="74"/>
  <c r="B59" i="74" s="1"/>
  <c r="BN2" i="74"/>
  <c r="B58" i="74" s="1"/>
  <c r="BM2" i="74"/>
  <c r="B57" i="74" s="1"/>
  <c r="BL2" i="74"/>
  <c r="B56" i="74" s="1"/>
  <c r="BK2" i="74"/>
  <c r="B55" i="74" s="1"/>
  <c r="BJ2" i="74"/>
  <c r="B54" i="74" s="1"/>
  <c r="BI2" i="74"/>
  <c r="B53" i="74" s="1"/>
  <c r="BH2" i="74"/>
  <c r="B52" i="74" s="1"/>
  <c r="BG2" i="74"/>
  <c r="B51" i="74" s="1"/>
  <c r="BF2" i="74"/>
  <c r="B50" i="74" s="1"/>
  <c r="BD2" i="74"/>
  <c r="B48" i="74" s="1"/>
  <c r="BC2" i="74"/>
  <c r="B47" i="74" s="1"/>
  <c r="BB2" i="74"/>
  <c r="B46" i="74" s="1"/>
  <c r="BA2" i="74"/>
  <c r="B45" i="74" s="1"/>
  <c r="AZ2" i="74"/>
  <c r="B44" i="74" s="1"/>
  <c r="AY2" i="74"/>
  <c r="B43" i="74" s="1"/>
  <c r="AX2" i="74"/>
  <c r="B42" i="74" s="1"/>
  <c r="AW2" i="74"/>
  <c r="B41" i="74" s="1"/>
  <c r="AV2" i="74"/>
  <c r="B40" i="74" s="1"/>
  <c r="AU2" i="74"/>
  <c r="B39" i="74" s="1"/>
  <c r="AT2" i="74"/>
  <c r="B38" i="74" s="1"/>
  <c r="AK146" i="68"/>
  <c r="AM2" i="74" s="1"/>
  <c r="B31" i="74" s="1"/>
  <c r="AJ146" i="68"/>
  <c r="AL2" i="74" s="1"/>
  <c r="B30" i="74" s="1"/>
  <c r="AI146" i="68"/>
  <c r="AK2" i="74" s="1"/>
  <c r="AH146" i="68"/>
  <c r="AJ2" i="74" s="1"/>
  <c r="AG146" i="68"/>
  <c r="AF146" i="68"/>
  <c r="AI2" i="74" s="1"/>
  <c r="B29" i="74" s="1"/>
  <c r="AD146" i="68"/>
  <c r="AG2" i="74" s="1"/>
  <c r="B27" i="74" s="1"/>
  <c r="AC146" i="68"/>
  <c r="AF2" i="74" s="1"/>
  <c r="B26" i="74" s="1"/>
  <c r="AB146" i="68"/>
  <c r="AE2" i="74" s="1"/>
  <c r="B25" i="74" s="1"/>
  <c r="AA146" i="68"/>
  <c r="AD2" i="74" s="1"/>
  <c r="B24" i="74" s="1"/>
  <c r="Z146" i="68"/>
  <c r="AC2" i="74" s="1"/>
  <c r="B23" i="74" s="1"/>
  <c r="Y146" i="68"/>
  <c r="AB2" i="74" s="1"/>
  <c r="B22" i="74" s="1"/>
  <c r="X146" i="68"/>
  <c r="AA2" i="74" s="1"/>
  <c r="B21" i="74" s="1"/>
  <c r="W146" i="68"/>
  <c r="Z2" i="74" s="1"/>
  <c r="B20" i="74" s="1"/>
  <c r="V146" i="68"/>
  <c r="Y2" i="74" s="1"/>
  <c r="B19" i="74" s="1"/>
  <c r="U146" i="68"/>
  <c r="X2" i="74" s="1"/>
  <c r="B18" i="74" s="1"/>
  <c r="T146" i="68"/>
  <c r="W2" i="74" s="1"/>
  <c r="B17" i="74" s="1"/>
  <c r="R146" i="68"/>
  <c r="V2" i="74" s="1"/>
  <c r="B16" i="74" s="1"/>
  <c r="Q146" i="68"/>
  <c r="U2" i="74" s="1"/>
  <c r="B15" i="74" s="1"/>
  <c r="P146" i="68"/>
  <c r="T2" i="74" s="1"/>
  <c r="B14" i="74" s="1"/>
  <c r="S146" i="68"/>
  <c r="S2" i="74" s="1"/>
  <c r="B13" i="74" s="1"/>
  <c r="O146" i="68"/>
  <c r="R2" i="74" s="1"/>
  <c r="B12" i="74" s="1"/>
  <c r="N146" i="68"/>
  <c r="Q2" i="74" s="1"/>
  <c r="B11" i="74" s="1"/>
  <c r="M146" i="68"/>
  <c r="P2" i="74" s="1"/>
  <c r="L146" i="68"/>
  <c r="O2" i="74" s="1"/>
  <c r="K146" i="68"/>
  <c r="N2" i="74" s="1"/>
  <c r="B10" i="74" s="1"/>
  <c r="J146" i="68"/>
  <c r="M2" i="74" s="1"/>
  <c r="B9" i="74" s="1"/>
  <c r="I146" i="68"/>
  <c r="L2" i="74" s="1"/>
  <c r="B8" i="74" s="1"/>
  <c r="H146" i="68"/>
  <c r="K2" i="74" s="1"/>
  <c r="B7" i="74" s="1"/>
  <c r="G146" i="68"/>
  <c r="J2" i="74" s="1"/>
  <c r="B6" i="74" s="1"/>
  <c r="I2" i="74"/>
  <c r="D146" i="68"/>
  <c r="G2" i="74" s="1"/>
  <c r="B3" i="74" s="1"/>
  <c r="O75" i="30"/>
  <c r="O83" i="30" s="1"/>
  <c r="J28" i="71"/>
  <c r="BK63" i="69"/>
  <c r="BL63" i="69"/>
  <c r="BL77" i="69" s="1"/>
  <c r="BK85" i="69"/>
  <c r="BL85" i="69"/>
  <c r="BK86" i="69"/>
  <c r="BL86" i="69"/>
  <c r="T25" i="20"/>
  <c r="T26" i="20"/>
  <c r="T27" i="20"/>
  <c r="T28" i="20"/>
  <c r="T29" i="20"/>
  <c r="Q68" i="30" s="1"/>
  <c r="T30" i="20"/>
  <c r="Q67" i="30" s="1"/>
  <c r="P32" i="20"/>
  <c r="C41" i="71"/>
  <c r="O14" i="67"/>
  <c r="K25" i="19"/>
  <c r="O16" i="67"/>
  <c r="K26" i="19" s="1"/>
  <c r="O20" i="67"/>
  <c r="K30" i="19" s="1"/>
  <c r="O21" i="67"/>
  <c r="O126" i="68" s="1"/>
  <c r="V79" i="66"/>
  <c r="CE30" i="68"/>
  <c r="L19" i="69"/>
  <c r="AK97" i="66"/>
  <c r="AK127" i="68"/>
  <c r="AK129" i="68"/>
  <c r="AK132" i="68"/>
  <c r="AK134" i="68"/>
  <c r="AK135" i="68"/>
  <c r="AK136" i="68"/>
  <c r="AK137" i="68"/>
  <c r="AK138" i="68"/>
  <c r="AK139" i="68"/>
  <c r="AK145" i="68"/>
  <c r="AK148" i="68"/>
  <c r="AK150" i="68"/>
  <c r="AK151" i="68"/>
  <c r="AK153" i="68"/>
  <c r="G73" i="63"/>
  <c r="G72" i="63"/>
  <c r="G71" i="63"/>
  <c r="G70" i="63"/>
  <c r="G67" i="63"/>
  <c r="G66" i="63"/>
  <c r="G65" i="63"/>
  <c r="G64" i="63"/>
  <c r="G50" i="63"/>
  <c r="G48" i="63"/>
  <c r="G47" i="63"/>
  <c r="G46" i="63"/>
  <c r="G45" i="63"/>
  <c r="G41" i="63"/>
  <c r="G40" i="63"/>
  <c r="G39" i="63"/>
  <c r="G38" i="63"/>
  <c r="G37" i="63"/>
  <c r="G36" i="63"/>
  <c r="G35" i="63"/>
  <c r="G34" i="63"/>
  <c r="G33" i="63"/>
  <c r="G27" i="63"/>
  <c r="G26" i="63"/>
  <c r="G25" i="63"/>
  <c r="G24" i="63"/>
  <c r="G23" i="63"/>
  <c r="G22" i="63"/>
  <c r="G21" i="63"/>
  <c r="G66" i="62"/>
  <c r="G65" i="62"/>
  <c r="G63" i="62"/>
  <c r="G52" i="62"/>
  <c r="G51" i="62"/>
  <c r="G50" i="62"/>
  <c r="G49" i="62"/>
  <c r="G48" i="62"/>
  <c r="G47" i="62"/>
  <c r="AK63" i="69"/>
  <c r="AK34" i="67"/>
  <c r="AK35" i="67"/>
  <c r="AK70" i="67" s="1"/>
  <c r="G53" i="62"/>
  <c r="AK3" i="67"/>
  <c r="AK63" i="67" s="1"/>
  <c r="AK4" i="67"/>
  <c r="AK6" i="67"/>
  <c r="AK7" i="67"/>
  <c r="AK8" i="67"/>
  <c r="AK10" i="67"/>
  <c r="AK11" i="67"/>
  <c r="AK13" i="67"/>
  <c r="G23" i="62" s="1"/>
  <c r="AK14" i="67"/>
  <c r="G24" i="62" s="1"/>
  <c r="AK15" i="67"/>
  <c r="AK124" i="68" s="1"/>
  <c r="AK16" i="67"/>
  <c r="AK17" i="67"/>
  <c r="G27" i="62" s="1"/>
  <c r="AK18" i="67"/>
  <c r="G28" i="62" s="1"/>
  <c r="AK20" i="67"/>
  <c r="G30" i="62" s="1"/>
  <c r="AK21" i="67"/>
  <c r="AK126" i="68" s="1"/>
  <c r="N29" i="8"/>
  <c r="N27" i="8"/>
  <c r="N13" i="8"/>
  <c r="C14" i="39" s="1"/>
  <c r="L68" i="9"/>
  <c r="C71" i="22" s="1"/>
  <c r="L67" i="9"/>
  <c r="C70" i="22" s="1"/>
  <c r="L62" i="9"/>
  <c r="C65" i="22" s="1"/>
  <c r="L59" i="9"/>
  <c r="L58" i="9"/>
  <c r="C61" i="22" s="1"/>
  <c r="L57" i="9"/>
  <c r="C60" i="22" s="1"/>
  <c r="L56" i="9"/>
  <c r="L39" i="9"/>
  <c r="C41" i="22" s="1"/>
  <c r="L37" i="9"/>
  <c r="L36" i="9"/>
  <c r="L14" i="9"/>
  <c r="C15" i="22" s="1"/>
  <c r="L13" i="9"/>
  <c r="C14" i="22" s="1"/>
  <c r="J70" i="9"/>
  <c r="G45" i="30"/>
  <c r="AG19" i="58"/>
  <c r="AG30" i="58" s="1"/>
  <c r="AE12" i="57"/>
  <c r="AE26" i="57" s="1"/>
  <c r="AE30" i="57" s="1"/>
  <c r="G51" i="30"/>
  <c r="AL33" i="3"/>
  <c r="AN33" i="3" s="1"/>
  <c r="BJ85" i="69"/>
  <c r="BD52" i="71"/>
  <c r="AC74" i="50"/>
  <c r="AC73" i="50"/>
  <c r="AC26" i="50"/>
  <c r="BH63" i="69"/>
  <c r="AC63" i="51"/>
  <c r="AC65" i="51"/>
  <c r="AC67" i="51"/>
  <c r="S73" i="50"/>
  <c r="K70" i="25"/>
  <c r="Y19" i="69"/>
  <c r="Z19" i="69"/>
  <c r="Z28" i="71"/>
  <c r="Y28" i="71"/>
  <c r="F45" i="5"/>
  <c r="I59" i="22" s="1"/>
  <c r="AB20" i="61"/>
  <c r="V69" i="67"/>
  <c r="BT69" i="67"/>
  <c r="S24" i="50"/>
  <c r="CE23" i="68"/>
  <c r="F150" i="66"/>
  <c r="C149" i="66"/>
  <c r="C133" i="66"/>
  <c r="C138" i="66" s="1"/>
  <c r="I30" i="30" s="1"/>
  <c r="CG18" i="68"/>
  <c r="AW153" i="68"/>
  <c r="AU153" i="68"/>
  <c r="AJ153" i="68"/>
  <c r="AI153" i="68"/>
  <c r="AH153" i="68"/>
  <c r="AG153" i="68"/>
  <c r="AD153" i="68"/>
  <c r="AC153" i="68"/>
  <c r="AB153" i="68"/>
  <c r="I12" i="72"/>
  <c r="I16" i="72" s="1"/>
  <c r="J42" i="8"/>
  <c r="AD127" i="68"/>
  <c r="AD129" i="68"/>
  <c r="AD133" i="68"/>
  <c r="AD134" i="68"/>
  <c r="AD135" i="68"/>
  <c r="AD136" i="68"/>
  <c r="AD137" i="68"/>
  <c r="AD138" i="68"/>
  <c r="AD139" i="68"/>
  <c r="AD145" i="68"/>
  <c r="AD148" i="68"/>
  <c r="AD150" i="68"/>
  <c r="AD151" i="68"/>
  <c r="O65" i="52"/>
  <c r="O66" i="52"/>
  <c r="O67" i="52"/>
  <c r="O70" i="52"/>
  <c r="O71" i="52"/>
  <c r="O72" i="52"/>
  <c r="O73" i="52"/>
  <c r="O64" i="52"/>
  <c r="O45" i="52"/>
  <c r="O46" i="52"/>
  <c r="O47" i="52"/>
  <c r="O48" i="52"/>
  <c r="O49" i="52"/>
  <c r="O33" i="52"/>
  <c r="O15" i="52"/>
  <c r="O16" i="52"/>
  <c r="O17" i="52"/>
  <c r="O18" i="52"/>
  <c r="O19" i="52"/>
  <c r="O20" i="52"/>
  <c r="O21" i="52"/>
  <c r="O22" i="52"/>
  <c r="O23" i="52"/>
  <c r="O27" i="52"/>
  <c r="O14" i="52"/>
  <c r="O64" i="53"/>
  <c r="O65" i="53"/>
  <c r="O62" i="53"/>
  <c r="O53" i="53"/>
  <c r="O51" i="53"/>
  <c r="O50" i="53"/>
  <c r="O49" i="53"/>
  <c r="O48" i="53"/>
  <c r="O47" i="53"/>
  <c r="O46" i="53"/>
  <c r="K65" i="52"/>
  <c r="K66" i="52"/>
  <c r="K67" i="52"/>
  <c r="K70" i="52"/>
  <c r="K71" i="52"/>
  <c r="K72" i="52"/>
  <c r="K73" i="52"/>
  <c r="K64" i="52"/>
  <c r="K45" i="52"/>
  <c r="K46" i="52"/>
  <c r="K47" i="52"/>
  <c r="K48" i="52"/>
  <c r="K49" i="52"/>
  <c r="K33" i="52"/>
  <c r="K15" i="52"/>
  <c r="K16" i="52"/>
  <c r="K17" i="52"/>
  <c r="K18" i="52"/>
  <c r="K19" i="52"/>
  <c r="K20" i="52"/>
  <c r="K21" i="52"/>
  <c r="K22" i="52"/>
  <c r="K23" i="52"/>
  <c r="K24" i="52"/>
  <c r="K27" i="52"/>
  <c r="K14" i="52"/>
  <c r="K64" i="53"/>
  <c r="K65" i="53"/>
  <c r="K66" i="53"/>
  <c r="K62" i="53"/>
  <c r="K47" i="53"/>
  <c r="K48" i="53"/>
  <c r="K49" i="53"/>
  <c r="K50" i="53"/>
  <c r="K51" i="53"/>
  <c r="K53" i="53"/>
  <c r="K46" i="53"/>
  <c r="K37" i="53"/>
  <c r="K22" i="53"/>
  <c r="K15" i="53"/>
  <c r="W48" i="50"/>
  <c r="BD124" i="68"/>
  <c r="R28" i="52"/>
  <c r="R30" i="52"/>
  <c r="R31" i="52"/>
  <c r="R32" i="52"/>
  <c r="R57" i="52"/>
  <c r="R59" i="52"/>
  <c r="R60" i="52"/>
  <c r="R62" i="52"/>
  <c r="R63" i="52"/>
  <c r="R74" i="52"/>
  <c r="R76" i="52"/>
  <c r="R78" i="52"/>
  <c r="R88" i="52"/>
  <c r="M64" i="53"/>
  <c r="M65" i="53"/>
  <c r="O42" i="12"/>
  <c r="B143" i="68"/>
  <c r="N28" i="71"/>
  <c r="AD97" i="66"/>
  <c r="AF97" i="66"/>
  <c r="AG97" i="66"/>
  <c r="AH97" i="66"/>
  <c r="AI97" i="66"/>
  <c r="AJ97" i="66"/>
  <c r="O50" i="52"/>
  <c r="O26" i="52"/>
  <c r="K26" i="52"/>
  <c r="K25" i="52"/>
  <c r="K50" i="52"/>
  <c r="Q63" i="69"/>
  <c r="CG17" i="68"/>
  <c r="C62" i="14"/>
  <c r="G62" i="14"/>
  <c r="I62" i="14"/>
  <c r="K62" i="14"/>
  <c r="G64" i="53"/>
  <c r="I64" i="53"/>
  <c r="G65" i="53"/>
  <c r="I65" i="53"/>
  <c r="G66" i="53"/>
  <c r="I66" i="53"/>
  <c r="M66" i="53"/>
  <c r="U53" i="51"/>
  <c r="U44" i="51"/>
  <c r="U47" i="51"/>
  <c r="U48" i="51"/>
  <c r="U49" i="51"/>
  <c r="U50" i="51"/>
  <c r="G64" i="51"/>
  <c r="I64" i="51"/>
  <c r="K64" i="51"/>
  <c r="M64" i="51"/>
  <c r="O64" i="51"/>
  <c r="Q64" i="51"/>
  <c r="S64" i="51"/>
  <c r="U64" i="51"/>
  <c r="W64" i="51"/>
  <c r="Y64" i="51"/>
  <c r="AA64" i="51"/>
  <c r="AE64" i="51"/>
  <c r="G65" i="51"/>
  <c r="I65" i="51"/>
  <c r="K65" i="51"/>
  <c r="M65" i="51"/>
  <c r="O65" i="51"/>
  <c r="Q65" i="51"/>
  <c r="S65" i="51"/>
  <c r="U65" i="51"/>
  <c r="W65" i="51"/>
  <c r="Y65" i="51"/>
  <c r="AA65" i="51"/>
  <c r="AE65" i="51"/>
  <c r="G66" i="51"/>
  <c r="I66" i="51"/>
  <c r="K66" i="51"/>
  <c r="M66" i="51"/>
  <c r="O66" i="51"/>
  <c r="Q66" i="51"/>
  <c r="S66" i="51"/>
  <c r="U66" i="51"/>
  <c r="W66" i="51"/>
  <c r="Y66" i="51"/>
  <c r="AA66" i="51"/>
  <c r="AE66" i="51"/>
  <c r="G67" i="51"/>
  <c r="I67" i="51"/>
  <c r="K67" i="51"/>
  <c r="M67" i="51"/>
  <c r="O67" i="51"/>
  <c r="Q67" i="51"/>
  <c r="S67" i="51"/>
  <c r="U67" i="51"/>
  <c r="W67" i="51"/>
  <c r="Y67" i="51"/>
  <c r="AA67" i="51"/>
  <c r="AE67" i="51"/>
  <c r="C63" i="19"/>
  <c r="I63" i="19"/>
  <c r="K63" i="19"/>
  <c r="M63" i="19"/>
  <c r="O63" i="19"/>
  <c r="Q63" i="19"/>
  <c r="U63" i="19"/>
  <c r="W63" i="19"/>
  <c r="Y63" i="19"/>
  <c r="AA63" i="19"/>
  <c r="AG63" i="19"/>
  <c r="C64" i="19"/>
  <c r="I64" i="19"/>
  <c r="K64" i="19"/>
  <c r="M64" i="19"/>
  <c r="O64" i="19"/>
  <c r="Q64" i="19"/>
  <c r="U64" i="19"/>
  <c r="W64" i="19"/>
  <c r="Y64" i="19"/>
  <c r="AA64" i="19"/>
  <c r="AC64" i="19"/>
  <c r="AG64" i="19"/>
  <c r="C65" i="19"/>
  <c r="I65" i="19"/>
  <c r="K65" i="19"/>
  <c r="M65" i="19"/>
  <c r="O65" i="19"/>
  <c r="Q65" i="19"/>
  <c r="U65" i="19"/>
  <c r="W65" i="19"/>
  <c r="Y65" i="19"/>
  <c r="AA65" i="19"/>
  <c r="AC65" i="19"/>
  <c r="AG65" i="19"/>
  <c r="C66" i="19"/>
  <c r="I66" i="19"/>
  <c r="K66" i="19"/>
  <c r="M66" i="19"/>
  <c r="O66" i="19"/>
  <c r="Q66" i="19"/>
  <c r="U66" i="19"/>
  <c r="W66" i="19"/>
  <c r="Y66" i="19"/>
  <c r="AA66" i="19"/>
  <c r="AC66" i="19"/>
  <c r="AG66" i="19"/>
  <c r="W43" i="19"/>
  <c r="G62" i="43"/>
  <c r="I62" i="43"/>
  <c r="K62" i="43"/>
  <c r="G63" i="43"/>
  <c r="I63" i="43"/>
  <c r="K63" i="43"/>
  <c r="G64" i="43"/>
  <c r="I64" i="43"/>
  <c r="K64" i="43"/>
  <c r="G65" i="43"/>
  <c r="I65" i="43"/>
  <c r="K65" i="43"/>
  <c r="E62" i="43"/>
  <c r="E63" i="43"/>
  <c r="E64" i="43"/>
  <c r="E65" i="43"/>
  <c r="C62" i="43"/>
  <c r="C63" i="43"/>
  <c r="C64" i="43"/>
  <c r="I61" i="43"/>
  <c r="K50" i="43"/>
  <c r="I50" i="43"/>
  <c r="G50" i="43"/>
  <c r="E50" i="43"/>
  <c r="E19" i="43"/>
  <c r="H42" i="8"/>
  <c r="N26" i="8"/>
  <c r="I146" i="21"/>
  <c r="I147" i="21"/>
  <c r="M20" i="52"/>
  <c r="M19" i="52"/>
  <c r="M18" i="52"/>
  <c r="M17" i="52"/>
  <c r="M16" i="52"/>
  <c r="M15" i="52"/>
  <c r="M14" i="52"/>
  <c r="M53" i="53"/>
  <c r="M51" i="53"/>
  <c r="M50" i="53"/>
  <c r="M49" i="53"/>
  <c r="M48" i="53"/>
  <c r="E73" i="63"/>
  <c r="E72" i="63"/>
  <c r="E71" i="63"/>
  <c r="E70" i="63"/>
  <c r="E67" i="63"/>
  <c r="E66" i="63"/>
  <c r="E65" i="63"/>
  <c r="E64" i="63"/>
  <c r="E50" i="63"/>
  <c r="E49" i="63"/>
  <c r="E48" i="63"/>
  <c r="E47" i="63"/>
  <c r="E46" i="63"/>
  <c r="E45" i="63"/>
  <c r="E41" i="63"/>
  <c r="E40" i="63"/>
  <c r="E39" i="63"/>
  <c r="E38" i="63"/>
  <c r="E37" i="63"/>
  <c r="E36" i="63"/>
  <c r="E35" i="63"/>
  <c r="E34" i="63"/>
  <c r="E33" i="63"/>
  <c r="E27" i="63"/>
  <c r="E26" i="63"/>
  <c r="E25" i="63"/>
  <c r="E24" i="63"/>
  <c r="E23" i="63"/>
  <c r="E22" i="63"/>
  <c r="E21" i="63"/>
  <c r="E66" i="62"/>
  <c r="E65" i="62"/>
  <c r="E63" i="62"/>
  <c r="E52" i="62"/>
  <c r="E51" i="62"/>
  <c r="E50" i="62"/>
  <c r="E49" i="62"/>
  <c r="E48" i="62"/>
  <c r="E47" i="62"/>
  <c r="U47" i="62"/>
  <c r="U48" i="62"/>
  <c r="U49" i="62"/>
  <c r="U50" i="62"/>
  <c r="U51" i="62"/>
  <c r="U52" i="62"/>
  <c r="U54" i="62"/>
  <c r="U65" i="62"/>
  <c r="U66" i="62"/>
  <c r="AI127" i="68"/>
  <c r="AJ127" i="68"/>
  <c r="AI129" i="68"/>
  <c r="AJ129" i="68"/>
  <c r="AI132" i="68"/>
  <c r="AJ132" i="68"/>
  <c r="AI133" i="68"/>
  <c r="AI134" i="68"/>
  <c r="AJ134" i="68"/>
  <c r="AI135" i="68"/>
  <c r="AJ135" i="68"/>
  <c r="AI136" i="68"/>
  <c r="AJ136" i="68"/>
  <c r="AI137" i="68"/>
  <c r="AJ137" i="68"/>
  <c r="AI138" i="68"/>
  <c r="AJ138" i="68"/>
  <c r="AI139" i="68"/>
  <c r="AJ139" i="68"/>
  <c r="AI145" i="68"/>
  <c r="AJ145" i="68"/>
  <c r="AI148" i="68"/>
  <c r="AJ148" i="68"/>
  <c r="AI150" i="68"/>
  <c r="AJ150" i="68"/>
  <c r="AJ63" i="69"/>
  <c r="AJ3" i="67"/>
  <c r="AJ63" i="67" s="1"/>
  <c r="AJ4" i="67"/>
  <c r="AJ6" i="67"/>
  <c r="AJ7" i="67"/>
  <c r="AJ8" i="67"/>
  <c r="AJ10" i="67"/>
  <c r="AJ11" i="67"/>
  <c r="AJ13" i="67"/>
  <c r="E23" i="62" s="1"/>
  <c r="AJ14" i="67"/>
  <c r="E24" i="62" s="1"/>
  <c r="AJ15" i="67"/>
  <c r="AJ124" i="68" s="1"/>
  <c r="AJ16" i="67"/>
  <c r="AJ17" i="67"/>
  <c r="E27" i="62" s="1"/>
  <c r="AJ18" i="67"/>
  <c r="E28" i="62" s="1"/>
  <c r="AJ20" i="67"/>
  <c r="E30" i="62" s="1"/>
  <c r="AJ21" i="67"/>
  <c r="AJ126" i="68" s="1"/>
  <c r="AJ34" i="67"/>
  <c r="AJ35" i="67"/>
  <c r="AJ70" i="67" s="1"/>
  <c r="E53" i="62"/>
  <c r="AJ151" i="68"/>
  <c r="AJ79" i="66"/>
  <c r="AJ53" i="71" s="1"/>
  <c r="AJ102" i="66"/>
  <c r="AD63" i="69"/>
  <c r="AD65" i="69" s="1"/>
  <c r="AD85" i="69"/>
  <c r="AD86" i="69"/>
  <c r="AD3" i="67"/>
  <c r="AD4" i="67"/>
  <c r="AD6" i="67"/>
  <c r="AD7" i="67"/>
  <c r="AD8" i="67"/>
  <c r="AD10" i="67"/>
  <c r="AD11" i="67"/>
  <c r="AD13" i="67"/>
  <c r="M23" i="53" s="1"/>
  <c r="AD14" i="67"/>
  <c r="M24" i="53" s="1"/>
  <c r="AD15" i="67"/>
  <c r="M25" i="53" s="1"/>
  <c r="AD16" i="67"/>
  <c r="AD17" i="67"/>
  <c r="AD18" i="67"/>
  <c r="AD20" i="67"/>
  <c r="AD21" i="67"/>
  <c r="AD126" i="68" s="1"/>
  <c r="AD34" i="67"/>
  <c r="AD35" i="67"/>
  <c r="AD70" i="67" s="1"/>
  <c r="AD79" i="66"/>
  <c r="AD102" i="66"/>
  <c r="AD104" i="66"/>
  <c r="CI490" i="66"/>
  <c r="CH490" i="66"/>
  <c r="CG490" i="66"/>
  <c r="CF490" i="66"/>
  <c r="CE490" i="66"/>
  <c r="CC490" i="66"/>
  <c r="CI488" i="66"/>
  <c r="CH488" i="66"/>
  <c r="CG488" i="66"/>
  <c r="CF488" i="66"/>
  <c r="CE488" i="66"/>
  <c r="CC488" i="66"/>
  <c r="CI487" i="66"/>
  <c r="CH487" i="66"/>
  <c r="CG487" i="66"/>
  <c r="CF487" i="66"/>
  <c r="CE487" i="66"/>
  <c r="CC487" i="66"/>
  <c r="CI486" i="66"/>
  <c r="CH486" i="66"/>
  <c r="CG486" i="66"/>
  <c r="CF486" i="66"/>
  <c r="CE486" i="66"/>
  <c r="CC486" i="66"/>
  <c r="CI485" i="66"/>
  <c r="CH485" i="66"/>
  <c r="CG485" i="66"/>
  <c r="CF485" i="66"/>
  <c r="CE485" i="66"/>
  <c r="CC485" i="66"/>
  <c r="CI484" i="66"/>
  <c r="CH484" i="66"/>
  <c r="CG484" i="66"/>
  <c r="CF484" i="66"/>
  <c r="CE484" i="66"/>
  <c r="CC484" i="66"/>
  <c r="CI483" i="66"/>
  <c r="CH483" i="66"/>
  <c r="CG483" i="66"/>
  <c r="CF483" i="66"/>
  <c r="CE483" i="66"/>
  <c r="CC483" i="66"/>
  <c r="CI482" i="66"/>
  <c r="CH482" i="66"/>
  <c r="CG482" i="66"/>
  <c r="CF482" i="66"/>
  <c r="CE482" i="66"/>
  <c r="CC482" i="66"/>
  <c r="CI481" i="66"/>
  <c r="CH481" i="66"/>
  <c r="CG481" i="66"/>
  <c r="CF481" i="66"/>
  <c r="CE481" i="66"/>
  <c r="CC481" i="66"/>
  <c r="CI480" i="66"/>
  <c r="CH480" i="66"/>
  <c r="CG480" i="66"/>
  <c r="CF480" i="66"/>
  <c r="CE480" i="66"/>
  <c r="CC480" i="66"/>
  <c r="CI474" i="66"/>
  <c r="CH474" i="66"/>
  <c r="CG474" i="66"/>
  <c r="CF474" i="66"/>
  <c r="CE474" i="66"/>
  <c r="CI473" i="66"/>
  <c r="CH473" i="66"/>
  <c r="CG473" i="66"/>
  <c r="CF473" i="66"/>
  <c r="CE473" i="66"/>
  <c r="CD473" i="66"/>
  <c r="CI472" i="66"/>
  <c r="CH472" i="66"/>
  <c r="CG472" i="66"/>
  <c r="CF472" i="66"/>
  <c r="CE472" i="66"/>
  <c r="CI471" i="66"/>
  <c r="CH471" i="66"/>
  <c r="CG471" i="66"/>
  <c r="CF471" i="66"/>
  <c r="CE471" i="66"/>
  <c r="CI470" i="66"/>
  <c r="CH470" i="66"/>
  <c r="CG470" i="66"/>
  <c r="CF470" i="66"/>
  <c r="CE470" i="66"/>
  <c r="CI469" i="66"/>
  <c r="CH469" i="66"/>
  <c r="CG469" i="66"/>
  <c r="CF469" i="66"/>
  <c r="CE469" i="66"/>
  <c r="CI468" i="66"/>
  <c r="CH468" i="66"/>
  <c r="CG468" i="66"/>
  <c r="CF468" i="66"/>
  <c r="CE468" i="66"/>
  <c r="CI467" i="66"/>
  <c r="CH467" i="66"/>
  <c r="CG467" i="66"/>
  <c r="CF467" i="66"/>
  <c r="CE467" i="66"/>
  <c r="CI466" i="66"/>
  <c r="CH466" i="66"/>
  <c r="CG466" i="66"/>
  <c r="CF466" i="66"/>
  <c r="CE466" i="66"/>
  <c r="CI465" i="66"/>
  <c r="CH465" i="66"/>
  <c r="CG465" i="66"/>
  <c r="CF465" i="66"/>
  <c r="CE465" i="66"/>
  <c r="CI464" i="66"/>
  <c r="CH464" i="66"/>
  <c r="CG464" i="66"/>
  <c r="CF464" i="66"/>
  <c r="CE464" i="66"/>
  <c r="CI459" i="66"/>
  <c r="CH459" i="66"/>
  <c r="CG459" i="66"/>
  <c r="CF459" i="66"/>
  <c r="CE459" i="66"/>
  <c r="CI458" i="66"/>
  <c r="CH458" i="66"/>
  <c r="CG458" i="66"/>
  <c r="CF458" i="66"/>
  <c r="CE458" i="66"/>
  <c r="CD458" i="66"/>
  <c r="CI457" i="66"/>
  <c r="CH457" i="66"/>
  <c r="CG457" i="66"/>
  <c r="CF457" i="66"/>
  <c r="CE457" i="66"/>
  <c r="CI456" i="66"/>
  <c r="CH456" i="66"/>
  <c r="CG456" i="66"/>
  <c r="CF456" i="66"/>
  <c r="CE456" i="66"/>
  <c r="CI455" i="66"/>
  <c r="CH455" i="66"/>
  <c r="CG455" i="66"/>
  <c r="CF455" i="66"/>
  <c r="CE455" i="66"/>
  <c r="CI454" i="66"/>
  <c r="CH454" i="66"/>
  <c r="CG454" i="66"/>
  <c r="CF454" i="66"/>
  <c r="CE454" i="66"/>
  <c r="CI453" i="66"/>
  <c r="CH453" i="66"/>
  <c r="CG453" i="66"/>
  <c r="CF453" i="66"/>
  <c r="CE453" i="66"/>
  <c r="CI452" i="66"/>
  <c r="CH452" i="66"/>
  <c r="CG452" i="66"/>
  <c r="CF452" i="66"/>
  <c r="CE452" i="66"/>
  <c r="CI451" i="66"/>
  <c r="CH451" i="66"/>
  <c r="CG451" i="66"/>
  <c r="CF451" i="66"/>
  <c r="CE451" i="66"/>
  <c r="CI450" i="66"/>
  <c r="CH450" i="66"/>
  <c r="CG450" i="66"/>
  <c r="CF450" i="66"/>
  <c r="CE450" i="66"/>
  <c r="CI449" i="66"/>
  <c r="CH449" i="66"/>
  <c r="CG449" i="66"/>
  <c r="CF449" i="66"/>
  <c r="CE449" i="66"/>
  <c r="CI444" i="66"/>
  <c r="CH444" i="66"/>
  <c r="CG444" i="66"/>
  <c r="CF444" i="66"/>
  <c r="CE444" i="66"/>
  <c r="CD444" i="66"/>
  <c r="CI443" i="66"/>
  <c r="CH443" i="66"/>
  <c r="CG443" i="66"/>
  <c r="CF443" i="66"/>
  <c r="CE443" i="66"/>
  <c r="CD443" i="66"/>
  <c r="CI442" i="66"/>
  <c r="CH442" i="66"/>
  <c r="CG442" i="66"/>
  <c r="CF442" i="66"/>
  <c r="CE442" i="66"/>
  <c r="CD442" i="66"/>
  <c r="CI441" i="66"/>
  <c r="CH441" i="66"/>
  <c r="CG441" i="66"/>
  <c r="CF441" i="66"/>
  <c r="CE441" i="66"/>
  <c r="CD441" i="66"/>
  <c r="CI440" i="66"/>
  <c r="CH440" i="66"/>
  <c r="CG440" i="66"/>
  <c r="CF440" i="66"/>
  <c r="CE440" i="66"/>
  <c r="CD440" i="66"/>
  <c r="CI439" i="66"/>
  <c r="CH439" i="66"/>
  <c r="CG439" i="66"/>
  <c r="CF439" i="66"/>
  <c r="CE439" i="66"/>
  <c r="CD439" i="66"/>
  <c r="CI438" i="66"/>
  <c r="CH438" i="66"/>
  <c r="CG438" i="66"/>
  <c r="CF438" i="66"/>
  <c r="CE438" i="66"/>
  <c r="CD438" i="66"/>
  <c r="CI437" i="66"/>
  <c r="CH437" i="66"/>
  <c r="CG437" i="66"/>
  <c r="CF437" i="66"/>
  <c r="CE437" i="66"/>
  <c r="CD437" i="66"/>
  <c r="CI436" i="66"/>
  <c r="CH436" i="66"/>
  <c r="CG436" i="66"/>
  <c r="CF436" i="66"/>
  <c r="CE436" i="66"/>
  <c r="CD436" i="66"/>
  <c r="CI435" i="66"/>
  <c r="CH435" i="66"/>
  <c r="CG435" i="66"/>
  <c r="CF435" i="66"/>
  <c r="CE435" i="66"/>
  <c r="CD435" i="66"/>
  <c r="CI434" i="66"/>
  <c r="CH434" i="66"/>
  <c r="CG434" i="66"/>
  <c r="CF434" i="66"/>
  <c r="CE434" i="66"/>
  <c r="CD434" i="66"/>
  <c r="CC415" i="66"/>
  <c r="CD415" i="66"/>
  <c r="CE415" i="66"/>
  <c r="CF415" i="66"/>
  <c r="CG415" i="66"/>
  <c r="CH415" i="66"/>
  <c r="CI415" i="66"/>
  <c r="CC416" i="66"/>
  <c r="CD416" i="66"/>
  <c r="CE416" i="66"/>
  <c r="CF416" i="66"/>
  <c r="CG416" i="66"/>
  <c r="CH416" i="66"/>
  <c r="CI416" i="66"/>
  <c r="CC417" i="66"/>
  <c r="CD417" i="66"/>
  <c r="CE417" i="66"/>
  <c r="CF417" i="66"/>
  <c r="CG417" i="66"/>
  <c r="CH417" i="66"/>
  <c r="CI417" i="66"/>
  <c r="CC418" i="66"/>
  <c r="CD418" i="66"/>
  <c r="CE418" i="66"/>
  <c r="CF418" i="66"/>
  <c r="CG418" i="66"/>
  <c r="CH418" i="66"/>
  <c r="CI418" i="66"/>
  <c r="CC419" i="66"/>
  <c r="CD419" i="66"/>
  <c r="CE419" i="66"/>
  <c r="CF419" i="66"/>
  <c r="CG419" i="66"/>
  <c r="CH419" i="66"/>
  <c r="CI419" i="66"/>
  <c r="CC420" i="66"/>
  <c r="CD420" i="66"/>
  <c r="CE420" i="66"/>
  <c r="CF420" i="66"/>
  <c r="CG420" i="66"/>
  <c r="CH420" i="66"/>
  <c r="CI420" i="66"/>
  <c r="CC421" i="66"/>
  <c r="CD421" i="66"/>
  <c r="CE421" i="66"/>
  <c r="CF421" i="66"/>
  <c r="CG421" i="66"/>
  <c r="CH421" i="66"/>
  <c r="CI421" i="66"/>
  <c r="CC422" i="66"/>
  <c r="CD422" i="66"/>
  <c r="CE422" i="66"/>
  <c r="CF422" i="66"/>
  <c r="CG422" i="66"/>
  <c r="CH422" i="66"/>
  <c r="CI422" i="66"/>
  <c r="CC423" i="66"/>
  <c r="CD423" i="66"/>
  <c r="CE423" i="66"/>
  <c r="CF423" i="66"/>
  <c r="CG423" i="66"/>
  <c r="CH423" i="66"/>
  <c r="CI423" i="66"/>
  <c r="CC424" i="66"/>
  <c r="CD424" i="66"/>
  <c r="CE424" i="66"/>
  <c r="CF424" i="66"/>
  <c r="CG424" i="66"/>
  <c r="CH424" i="66"/>
  <c r="CI424" i="66"/>
  <c r="CC425" i="66"/>
  <c r="CD425" i="66"/>
  <c r="CE425" i="66"/>
  <c r="CF425" i="66"/>
  <c r="CG425" i="66"/>
  <c r="CH425" i="66"/>
  <c r="CI425" i="66"/>
  <c r="CC427" i="66"/>
  <c r="CD427" i="66"/>
  <c r="CE427" i="66"/>
  <c r="CF427" i="66"/>
  <c r="CG427" i="66"/>
  <c r="CH427" i="66"/>
  <c r="CI427" i="66"/>
  <c r="CC428" i="66"/>
  <c r="CD428" i="66"/>
  <c r="CE428" i="66"/>
  <c r="CF428" i="66"/>
  <c r="CG428" i="66"/>
  <c r="CH428" i="66"/>
  <c r="CI428" i="66"/>
  <c r="CC429" i="66"/>
  <c r="CD429" i="66"/>
  <c r="CE429" i="66"/>
  <c r="CF429" i="66"/>
  <c r="CG429" i="66"/>
  <c r="CH429" i="66"/>
  <c r="CI429" i="66"/>
  <c r="CC430" i="66"/>
  <c r="CD430" i="66"/>
  <c r="CE430" i="66"/>
  <c r="CF430" i="66"/>
  <c r="CG430" i="66"/>
  <c r="CH430" i="66"/>
  <c r="CI430" i="66"/>
  <c r="B416" i="66"/>
  <c r="B417" i="66"/>
  <c r="B418" i="66"/>
  <c r="B419" i="66"/>
  <c r="B420" i="66"/>
  <c r="B421" i="66"/>
  <c r="B422" i="66"/>
  <c r="B423" i="66"/>
  <c r="B424" i="66"/>
  <c r="B425" i="66"/>
  <c r="B427" i="66"/>
  <c r="B428" i="66"/>
  <c r="B429" i="66"/>
  <c r="B430" i="66"/>
  <c r="CD490" i="66"/>
  <c r="CD488" i="66"/>
  <c r="CD487" i="66"/>
  <c r="CD486" i="66"/>
  <c r="CD485" i="66"/>
  <c r="CD484" i="66"/>
  <c r="CD483" i="66"/>
  <c r="CD482" i="66"/>
  <c r="CD481" i="66"/>
  <c r="CD480" i="66"/>
  <c r="CD474" i="66"/>
  <c r="CD472" i="66"/>
  <c r="CD471" i="66"/>
  <c r="CD470" i="66"/>
  <c r="CD469" i="66"/>
  <c r="CD468" i="66"/>
  <c r="CD467" i="66"/>
  <c r="CD466" i="66"/>
  <c r="CD465" i="66"/>
  <c r="CD464" i="66"/>
  <c r="CD459" i="66"/>
  <c r="CD457" i="66"/>
  <c r="CD456" i="66"/>
  <c r="CD455" i="66"/>
  <c r="CD454" i="66"/>
  <c r="CD453" i="66"/>
  <c r="CD452" i="66"/>
  <c r="CD451" i="66"/>
  <c r="CD450" i="66"/>
  <c r="CD449" i="66"/>
  <c r="G157" i="66"/>
  <c r="F157" i="66"/>
  <c r="D157" i="66"/>
  <c r="C157" i="66"/>
  <c r="AF44" i="59"/>
  <c r="AG73" i="60"/>
  <c r="AG23" i="60"/>
  <c r="AG141" i="58"/>
  <c r="AG133" i="58"/>
  <c r="AG121" i="58"/>
  <c r="AG95" i="58"/>
  <c r="AG39" i="58"/>
  <c r="AE39" i="58"/>
  <c r="AC39" i="58"/>
  <c r="AG62" i="58"/>
  <c r="AG74" i="58"/>
  <c r="AE23" i="57"/>
  <c r="AD39" i="59"/>
  <c r="AD41" i="59"/>
  <c r="AC20" i="57"/>
  <c r="AC27" i="57" s="1"/>
  <c r="AC26" i="57"/>
  <c r="AC14" i="57"/>
  <c r="AC28" i="57" s="1"/>
  <c r="N35" i="3"/>
  <c r="L35" i="3"/>
  <c r="L17" i="20" s="1"/>
  <c r="L19" i="20" s="1"/>
  <c r="J35" i="3"/>
  <c r="J17" i="20" s="1"/>
  <c r="J19" i="20" s="1"/>
  <c r="H35" i="3"/>
  <c r="H17" i="20" s="1"/>
  <c r="H19" i="20" s="1"/>
  <c r="B19" i="71"/>
  <c r="F32" i="26" s="1"/>
  <c r="G46" i="28"/>
  <c r="E43" i="28"/>
  <c r="E51" i="30"/>
  <c r="C51" i="30"/>
  <c r="AN15" i="3"/>
  <c r="AK59" i="3"/>
  <c r="AL44" i="3"/>
  <c r="AK44" i="3"/>
  <c r="AK35" i="3"/>
  <c r="E75" i="22"/>
  <c r="H70" i="9"/>
  <c r="F70" i="9"/>
  <c r="V35" i="3"/>
  <c r="AN19" i="3"/>
  <c r="S26" i="50"/>
  <c r="AJ31" i="3"/>
  <c r="AJ35" i="3" s="1"/>
  <c r="BE19" i="69"/>
  <c r="BE83" i="69" s="1"/>
  <c r="BF83" i="69"/>
  <c r="B40" i="71"/>
  <c r="D60" i="26" s="1"/>
  <c r="B37" i="71"/>
  <c r="D57" i="26" s="1"/>
  <c r="B35" i="71"/>
  <c r="B27" i="71"/>
  <c r="D47" i="26" s="1"/>
  <c r="B25" i="71"/>
  <c r="D44" i="26" s="1"/>
  <c r="D43" i="26"/>
  <c r="B17" i="71"/>
  <c r="F30" i="26" s="1"/>
  <c r="B10" i="71"/>
  <c r="D22" i="26" s="1"/>
  <c r="B9" i="71"/>
  <c r="D21" i="26" s="1"/>
  <c r="B8" i="71"/>
  <c r="D20" i="26" s="1"/>
  <c r="B7" i="71"/>
  <c r="D19" i="26" s="1"/>
  <c r="B6" i="71"/>
  <c r="D18" i="26" s="1"/>
  <c r="C127" i="68"/>
  <c r="K69" i="55"/>
  <c r="G71" i="25" s="1"/>
  <c r="I71" i="25" s="1"/>
  <c r="K67" i="55"/>
  <c r="G69" i="25" s="1"/>
  <c r="I69" i="25" s="1"/>
  <c r="K66" i="55"/>
  <c r="G68" i="25" s="1"/>
  <c r="I68" i="25" s="1"/>
  <c r="K65" i="55"/>
  <c r="G67" i="25" s="1"/>
  <c r="I67" i="25" s="1"/>
  <c r="G66" i="25"/>
  <c r="I66" i="25" s="1"/>
  <c r="K63" i="55"/>
  <c r="K46" i="55"/>
  <c r="G48" i="25" s="1"/>
  <c r="I48" i="25" s="1"/>
  <c r="G47" i="25"/>
  <c r="I47" i="25" s="1"/>
  <c r="G45" i="25"/>
  <c r="I45" i="25" s="1"/>
  <c r="G44" i="25"/>
  <c r="I44" i="25" s="1"/>
  <c r="G50" i="25"/>
  <c r="I50" i="25" s="1"/>
  <c r="G42" i="25"/>
  <c r="I42" i="25" s="1"/>
  <c r="G41" i="25"/>
  <c r="I41" i="25" s="1"/>
  <c r="G39" i="25"/>
  <c r="I39" i="25" s="1"/>
  <c r="G40" i="25"/>
  <c r="I40" i="25" s="1"/>
  <c r="G38" i="25"/>
  <c r="I38" i="25" s="1"/>
  <c r="G37" i="25"/>
  <c r="I37" i="25" s="1"/>
  <c r="G36" i="25"/>
  <c r="I36" i="25" s="1"/>
  <c r="G35" i="25"/>
  <c r="I35" i="25" s="1"/>
  <c r="G34" i="25"/>
  <c r="I34" i="25" s="1"/>
  <c r="G33" i="25"/>
  <c r="I33" i="25" s="1"/>
  <c r="G32" i="25"/>
  <c r="I32" i="25" s="1"/>
  <c r="G31" i="25"/>
  <c r="I31" i="25" s="1"/>
  <c r="G19" i="25"/>
  <c r="I19" i="25" s="1"/>
  <c r="G20" i="25"/>
  <c r="I20" i="25" s="1"/>
  <c r="G21" i="25"/>
  <c r="I21" i="25" s="1"/>
  <c r="CF23" i="68"/>
  <c r="X23" i="3"/>
  <c r="X35" i="3" s="1"/>
  <c r="W43" i="51"/>
  <c r="W47" i="51"/>
  <c r="W48" i="51"/>
  <c r="W49" i="51"/>
  <c r="W51" i="51"/>
  <c r="W52" i="51"/>
  <c r="AA40" i="51"/>
  <c r="AA41" i="51"/>
  <c r="AA47" i="51"/>
  <c r="AA48" i="51"/>
  <c r="AA49" i="51"/>
  <c r="AA50" i="51"/>
  <c r="AA51" i="51"/>
  <c r="AA52" i="51"/>
  <c r="K31" i="56"/>
  <c r="J32" i="23" s="1"/>
  <c r="L32" i="23" s="1"/>
  <c r="CG24" i="68"/>
  <c r="W129" i="68"/>
  <c r="W63" i="51"/>
  <c r="D110" i="73"/>
  <c r="C110" i="73"/>
  <c r="K95" i="73"/>
  <c r="D92" i="73"/>
  <c r="C92" i="73"/>
  <c r="K77" i="73"/>
  <c r="K73" i="73"/>
  <c r="J69" i="73"/>
  <c r="I69" i="73"/>
  <c r="H69" i="73"/>
  <c r="G69" i="73"/>
  <c r="F69" i="73"/>
  <c r="E69" i="73"/>
  <c r="D69" i="73"/>
  <c r="C69" i="73"/>
  <c r="K67" i="73"/>
  <c r="K69" i="73" s="1"/>
  <c r="J64" i="73"/>
  <c r="I64" i="73"/>
  <c r="H64" i="73"/>
  <c r="G64" i="73"/>
  <c r="F64" i="73"/>
  <c r="E64" i="73"/>
  <c r="D64" i="73"/>
  <c r="C64" i="73"/>
  <c r="K63" i="73"/>
  <c r="K62" i="73"/>
  <c r="K58" i="73"/>
  <c r="J54" i="73"/>
  <c r="I54" i="73"/>
  <c r="H54" i="73"/>
  <c r="G54" i="73"/>
  <c r="F54" i="73"/>
  <c r="E54" i="73"/>
  <c r="D54" i="73"/>
  <c r="C54" i="73"/>
  <c r="K53" i="73"/>
  <c r="K52" i="73"/>
  <c r="J49" i="73"/>
  <c r="H49" i="73"/>
  <c r="G49" i="73"/>
  <c r="F49" i="73"/>
  <c r="E49" i="73"/>
  <c r="D49" i="73"/>
  <c r="C49" i="73"/>
  <c r="K48" i="73"/>
  <c r="I47" i="73"/>
  <c r="I49" i="73" s="1"/>
  <c r="K42" i="73"/>
  <c r="J38" i="73"/>
  <c r="I38" i="73"/>
  <c r="H38" i="73"/>
  <c r="G38" i="73"/>
  <c r="F38" i="73"/>
  <c r="E38" i="73"/>
  <c r="D38" i="73"/>
  <c r="C38" i="73"/>
  <c r="K37" i="73"/>
  <c r="K36" i="73"/>
  <c r="J33" i="73"/>
  <c r="H33" i="73"/>
  <c r="G33" i="73"/>
  <c r="F33" i="73"/>
  <c r="E33" i="73"/>
  <c r="D33" i="73"/>
  <c r="C33" i="73"/>
  <c r="K32" i="73"/>
  <c r="I31" i="73"/>
  <c r="I33" i="73" s="1"/>
  <c r="I26" i="73"/>
  <c r="K26" i="73" s="1"/>
  <c r="J22" i="73"/>
  <c r="I22" i="73"/>
  <c r="H22" i="73"/>
  <c r="G22" i="73"/>
  <c r="F22" i="73"/>
  <c r="E22" i="73"/>
  <c r="D22" i="73"/>
  <c r="C22" i="73"/>
  <c r="K21" i="73"/>
  <c r="K20" i="73"/>
  <c r="J17" i="73"/>
  <c r="H17" i="73"/>
  <c r="G17" i="73"/>
  <c r="F17" i="73"/>
  <c r="E17" i="73"/>
  <c r="D17" i="73"/>
  <c r="C17" i="73"/>
  <c r="I16" i="73"/>
  <c r="K16" i="73" s="1"/>
  <c r="I15" i="73"/>
  <c r="K15" i="73" s="1"/>
  <c r="J10" i="73"/>
  <c r="I10" i="73"/>
  <c r="H10" i="73"/>
  <c r="G10" i="73"/>
  <c r="F10" i="73"/>
  <c r="E10" i="73"/>
  <c r="D10" i="73"/>
  <c r="C10" i="73"/>
  <c r="K9" i="73"/>
  <c r="K8" i="73"/>
  <c r="J5" i="73"/>
  <c r="H5" i="73"/>
  <c r="G5" i="73"/>
  <c r="F5" i="73"/>
  <c r="D5" i="73"/>
  <c r="D12" i="73" s="1"/>
  <c r="C5" i="73"/>
  <c r="I4" i="73"/>
  <c r="I5" i="73" s="1"/>
  <c r="E4" i="73"/>
  <c r="E5" i="73" s="1"/>
  <c r="K3" i="73"/>
  <c r="CA28" i="71"/>
  <c r="I72" i="42"/>
  <c r="I71" i="42"/>
  <c r="C63" i="29"/>
  <c r="AV30" i="59" s="1"/>
  <c r="C64" i="29"/>
  <c r="AV31" i="59" s="1"/>
  <c r="C65" i="29"/>
  <c r="C66" i="29"/>
  <c r="C14" i="65" s="1"/>
  <c r="C65" i="63"/>
  <c r="C66" i="63"/>
  <c r="C67" i="63"/>
  <c r="C70" i="63"/>
  <c r="C71" i="63"/>
  <c r="C72" i="63"/>
  <c r="C73" i="63"/>
  <c r="C64" i="63"/>
  <c r="C34" i="63"/>
  <c r="C35" i="63"/>
  <c r="C36" i="63"/>
  <c r="C37" i="63"/>
  <c r="C38" i="63"/>
  <c r="C39" i="63"/>
  <c r="C40" i="63"/>
  <c r="C41" i="63"/>
  <c r="C45" i="63"/>
  <c r="C46" i="63"/>
  <c r="C47" i="63"/>
  <c r="C48" i="63"/>
  <c r="C49" i="63"/>
  <c r="C33" i="63"/>
  <c r="C23" i="63"/>
  <c r="C24" i="63"/>
  <c r="C25" i="63"/>
  <c r="C26" i="63"/>
  <c r="C27" i="63"/>
  <c r="C22" i="63"/>
  <c r="C21" i="63"/>
  <c r="C65" i="62"/>
  <c r="C66" i="62"/>
  <c r="C67" i="62"/>
  <c r="C63" i="62"/>
  <c r="C49" i="62"/>
  <c r="C50" i="62"/>
  <c r="C51" i="62"/>
  <c r="C52" i="62"/>
  <c r="C48" i="62"/>
  <c r="C47" i="62"/>
  <c r="C50" i="63"/>
  <c r="N104" i="66"/>
  <c r="J104" i="66"/>
  <c r="L104" i="66"/>
  <c r="M104" i="66"/>
  <c r="O104" i="66"/>
  <c r="S104" i="66"/>
  <c r="P104" i="66"/>
  <c r="Q104" i="66"/>
  <c r="T104" i="66"/>
  <c r="U104" i="66"/>
  <c r="V104" i="66"/>
  <c r="W104" i="66"/>
  <c r="X104" i="66"/>
  <c r="Y104" i="66"/>
  <c r="Z104" i="66"/>
  <c r="AA104" i="66"/>
  <c r="AB104" i="66"/>
  <c r="AC104" i="66"/>
  <c r="AF104" i="66"/>
  <c r="G61" i="43"/>
  <c r="C62" i="29"/>
  <c r="AV29" i="59" s="1"/>
  <c r="AZ15" i="67"/>
  <c r="G23" i="14" s="1"/>
  <c r="B52" i="67"/>
  <c r="B53" i="67"/>
  <c r="BK11" i="71"/>
  <c r="AX79" i="66"/>
  <c r="AX53" i="71" s="1"/>
  <c r="B148" i="66"/>
  <c r="B147" i="66"/>
  <c r="B146" i="66"/>
  <c r="B145" i="66"/>
  <c r="B144" i="66"/>
  <c r="B143" i="66"/>
  <c r="B142" i="66"/>
  <c r="B137" i="66"/>
  <c r="B136" i="66"/>
  <c r="B135" i="66"/>
  <c r="B134" i="66"/>
  <c r="B129" i="66"/>
  <c r="B128" i="66"/>
  <c r="B127" i="66"/>
  <c r="B126" i="66"/>
  <c r="F149" i="66"/>
  <c r="G150" i="66"/>
  <c r="G149" i="66"/>
  <c r="G121" i="66"/>
  <c r="B121" i="66" s="1"/>
  <c r="B119" i="66"/>
  <c r="G121" i="68"/>
  <c r="C141" i="12"/>
  <c r="C144" i="12" s="1"/>
  <c r="N63" i="69"/>
  <c r="N79" i="66"/>
  <c r="N81" i="66" s="1"/>
  <c r="N95" i="66" s="1"/>
  <c r="K69" i="30"/>
  <c r="AW119" i="58" s="1"/>
  <c r="K65" i="30"/>
  <c r="AW112" i="58" s="1"/>
  <c r="K64" i="30"/>
  <c r="AW110" i="58" s="1"/>
  <c r="K63" i="30"/>
  <c r="AW108" i="58" s="1"/>
  <c r="K62" i="30"/>
  <c r="AW107" i="58" s="1"/>
  <c r="K61" i="30"/>
  <c r="K60" i="30"/>
  <c r="K59" i="30"/>
  <c r="K58" i="30"/>
  <c r="AW102" i="58" s="1"/>
  <c r="B68" i="66"/>
  <c r="K57" i="30" s="1"/>
  <c r="AW101" i="58" s="1"/>
  <c r="AI151" i="68"/>
  <c r="AI63" i="69"/>
  <c r="AI3" i="67"/>
  <c r="AI63" i="67" s="1"/>
  <c r="AI4" i="67"/>
  <c r="AI6" i="67"/>
  <c r="AI7" i="67"/>
  <c r="AI8" i="67"/>
  <c r="AI10" i="67"/>
  <c r="AI11" i="67"/>
  <c r="AI13" i="67"/>
  <c r="C23" i="62" s="1"/>
  <c r="AI14" i="67"/>
  <c r="C24" i="62" s="1"/>
  <c r="AI15" i="67"/>
  <c r="AI16" i="67"/>
  <c r="C26" i="62" s="1"/>
  <c r="AI17" i="67"/>
  <c r="C27" i="62" s="1"/>
  <c r="AI18" i="67"/>
  <c r="C28" i="62" s="1"/>
  <c r="AI20" i="67"/>
  <c r="AI21" i="67"/>
  <c r="AI126" i="68" s="1"/>
  <c r="AI34" i="67"/>
  <c r="AI35" i="67"/>
  <c r="C53" i="62"/>
  <c r="AI79" i="66"/>
  <c r="AI102" i="66"/>
  <c r="T36" i="20"/>
  <c r="G153" i="21"/>
  <c r="I153" i="21" s="1"/>
  <c r="V128" i="2"/>
  <c r="G161" i="21" s="1"/>
  <c r="I161" i="21" s="1"/>
  <c r="I73" i="31" s="1"/>
  <c r="N113" i="2"/>
  <c r="P113" i="2"/>
  <c r="P15" i="20"/>
  <c r="T15" i="20" s="1"/>
  <c r="Z35" i="3"/>
  <c r="AE73" i="60"/>
  <c r="AE23" i="60"/>
  <c r="AE141" i="58"/>
  <c r="AE133" i="58"/>
  <c r="AE121" i="58"/>
  <c r="AE95" i="58"/>
  <c r="AE74" i="58"/>
  <c r="AE62" i="58"/>
  <c r="AE30" i="58"/>
  <c r="AE41" i="58" s="1"/>
  <c r="AA14" i="57"/>
  <c r="AA12" i="57"/>
  <c r="AA26" i="57" s="1"/>
  <c r="AB42" i="59"/>
  <c r="AB41" i="59"/>
  <c r="AA63" i="51"/>
  <c r="Y59" i="51"/>
  <c r="B83" i="66"/>
  <c r="AA28" i="57"/>
  <c r="AA27" i="57"/>
  <c r="AC133" i="58"/>
  <c r="AC121" i="58"/>
  <c r="AC135" i="58" s="1"/>
  <c r="AC74" i="58"/>
  <c r="AC93" i="58" s="1"/>
  <c r="AC62" i="58"/>
  <c r="AC30" i="58"/>
  <c r="AC41" i="58" s="1"/>
  <c r="BJ124" i="68"/>
  <c r="G58" i="28"/>
  <c r="I86" i="21"/>
  <c r="I42" i="31" s="1"/>
  <c r="I89" i="21"/>
  <c r="I45" i="31" s="1"/>
  <c r="I60" i="21"/>
  <c r="I48" i="21"/>
  <c r="S27" i="50"/>
  <c r="S28" i="50"/>
  <c r="L20" i="72"/>
  <c r="L12" i="72"/>
  <c r="L22" i="72"/>
  <c r="CI102" i="68"/>
  <c r="CH102" i="68"/>
  <c r="CG102" i="68"/>
  <c r="CF102" i="68"/>
  <c r="CE102" i="68"/>
  <c r="K165" i="55"/>
  <c r="G166" i="25" s="1"/>
  <c r="I166" i="25" s="1"/>
  <c r="O71" i="12"/>
  <c r="K94" i="25" s="1"/>
  <c r="O35" i="72"/>
  <c r="O34" i="72"/>
  <c r="F103" i="64"/>
  <c r="J103" i="64" s="1"/>
  <c r="CF51" i="68"/>
  <c r="CF113" i="68"/>
  <c r="CF107" i="68"/>
  <c r="CF108" i="68"/>
  <c r="CF105" i="68"/>
  <c r="CF98" i="68"/>
  <c r="CF92" i="68"/>
  <c r="CF90" i="68"/>
  <c r="CF89" i="68"/>
  <c r="CF82" i="68"/>
  <c r="CF80" i="68"/>
  <c r="CF77" i="68"/>
  <c r="CF75" i="68"/>
  <c r="CF66" i="68"/>
  <c r="CF60" i="68"/>
  <c r="CF58" i="68"/>
  <c r="CF53" i="68"/>
  <c r="CF52" i="68"/>
  <c r="CF50" i="68"/>
  <c r="CF46" i="68"/>
  <c r="CF30" i="68"/>
  <c r="CF29" i="68"/>
  <c r="CF18" i="68"/>
  <c r="CF17" i="68"/>
  <c r="CF5" i="68"/>
  <c r="CF6" i="68"/>
  <c r="CF7" i="68"/>
  <c r="CF8" i="68"/>
  <c r="CD8" i="68" s="1"/>
  <c r="CF9" i="68"/>
  <c r="CF10" i="68"/>
  <c r="CD10" i="68" s="1"/>
  <c r="CF11" i="68"/>
  <c r="CF14" i="68"/>
  <c r="CF4" i="68"/>
  <c r="K87" i="56"/>
  <c r="J102" i="23" s="1"/>
  <c r="L102" i="23" s="1"/>
  <c r="J78" i="23"/>
  <c r="L78" i="23" s="1"/>
  <c r="J76" i="23"/>
  <c r="L76" i="23" s="1"/>
  <c r="K45" i="56"/>
  <c r="J46" i="23" s="1"/>
  <c r="L46" i="23" s="1"/>
  <c r="K44" i="56"/>
  <c r="J45" i="23" s="1"/>
  <c r="L45" i="23" s="1"/>
  <c r="K43" i="56"/>
  <c r="J44" i="23" s="1"/>
  <c r="K38" i="56"/>
  <c r="J39" i="23" s="1"/>
  <c r="L39" i="23" s="1"/>
  <c r="K37" i="56"/>
  <c r="J38" i="23" s="1"/>
  <c r="L38" i="23" s="1"/>
  <c r="K36" i="56"/>
  <c r="J37" i="23" s="1"/>
  <c r="L37" i="23" s="1"/>
  <c r="K35" i="56"/>
  <c r="J36" i="23" s="1"/>
  <c r="L36" i="23" s="1"/>
  <c r="K34" i="56"/>
  <c r="J35" i="23" s="1"/>
  <c r="L35" i="23" s="1"/>
  <c r="K33" i="56"/>
  <c r="J34" i="23" s="1"/>
  <c r="L34" i="23" s="1"/>
  <c r="K32" i="56"/>
  <c r="J33" i="23" s="1"/>
  <c r="L33" i="23" s="1"/>
  <c r="K30" i="56"/>
  <c r="J31" i="23" s="1"/>
  <c r="K29" i="56"/>
  <c r="J30" i="23" s="1"/>
  <c r="L30" i="23" s="1"/>
  <c r="K24" i="56"/>
  <c r="J25" i="23" s="1"/>
  <c r="L25" i="23" s="1"/>
  <c r="K23" i="56"/>
  <c r="J24" i="23" s="1"/>
  <c r="L24" i="23" s="1"/>
  <c r="K22" i="56"/>
  <c r="J23" i="23" s="1"/>
  <c r="L23" i="23" s="1"/>
  <c r="K21" i="56"/>
  <c r="J22" i="23" s="1"/>
  <c r="L22" i="23" s="1"/>
  <c r="K20" i="56"/>
  <c r="J21" i="23" s="1"/>
  <c r="J16" i="23"/>
  <c r="L16" i="23" s="1"/>
  <c r="J15" i="23"/>
  <c r="L15" i="23" s="1"/>
  <c r="K42" i="56"/>
  <c r="J14" i="23"/>
  <c r="CE72" i="68"/>
  <c r="CD72" i="68" s="1"/>
  <c r="BS43" i="67"/>
  <c r="AA53" i="51" s="1"/>
  <c r="BQ43" i="67"/>
  <c r="BP43" i="67"/>
  <c r="Y53" i="51" s="1"/>
  <c r="BO43" i="67"/>
  <c r="BN43" i="67"/>
  <c r="U54" i="51" s="1"/>
  <c r="BM43" i="67"/>
  <c r="S53" i="51" s="1"/>
  <c r="BL43" i="67"/>
  <c r="Q53" i="51" s="1"/>
  <c r="BK43" i="67"/>
  <c r="BJ43" i="67"/>
  <c r="M53" i="51" s="1"/>
  <c r="BI43" i="67"/>
  <c r="BH43" i="67"/>
  <c r="AC53" i="51" s="1"/>
  <c r="BG43" i="67"/>
  <c r="BF43" i="67"/>
  <c r="AE53" i="51" s="1"/>
  <c r="BE43" i="67"/>
  <c r="G53" i="51" s="1"/>
  <c r="BD43" i="67"/>
  <c r="BB43" i="67"/>
  <c r="K50" i="14" s="1"/>
  <c r="BA43" i="67"/>
  <c r="I50" i="14" s="1"/>
  <c r="AZ43" i="67"/>
  <c r="C50" i="14"/>
  <c r="E52" i="45"/>
  <c r="K52" i="45"/>
  <c r="C52" i="45"/>
  <c r="O52" i="53"/>
  <c r="K52" i="53"/>
  <c r="I52" i="53"/>
  <c r="G52" i="53"/>
  <c r="X43" i="67"/>
  <c r="AC52" i="19" s="1"/>
  <c r="V43" i="67"/>
  <c r="W53" i="19" s="1"/>
  <c r="U43" i="67"/>
  <c r="AG52" i="19"/>
  <c r="R43" i="67"/>
  <c r="Q52" i="19" s="1"/>
  <c r="Q43" i="67"/>
  <c r="O52" i="19" s="1"/>
  <c r="P43" i="67"/>
  <c r="S43" i="67"/>
  <c r="S52" i="19" s="1"/>
  <c r="O43" i="67"/>
  <c r="K52" i="19" s="1"/>
  <c r="N43" i="67"/>
  <c r="M43" i="67"/>
  <c r="L43" i="67"/>
  <c r="E52" i="19" s="1"/>
  <c r="C52" i="19"/>
  <c r="J43" i="67"/>
  <c r="K51" i="43" s="1"/>
  <c r="G51" i="43"/>
  <c r="E51" i="43"/>
  <c r="D43" i="67"/>
  <c r="E52" i="29" s="1"/>
  <c r="BS34" i="67"/>
  <c r="BR34" i="67"/>
  <c r="BQ34" i="67"/>
  <c r="E44" i="51" s="1"/>
  <c r="BP34" i="67"/>
  <c r="BO34" i="67"/>
  <c r="BN34" i="67"/>
  <c r="U45" i="51" s="1"/>
  <c r="BM34" i="67"/>
  <c r="S44" i="51" s="1"/>
  <c r="BL34" i="67"/>
  <c r="Q44" i="51" s="1"/>
  <c r="BK34" i="67"/>
  <c r="O44" i="51" s="1"/>
  <c r="BJ34" i="67"/>
  <c r="M44" i="51" s="1"/>
  <c r="BI34" i="67"/>
  <c r="K44" i="51" s="1"/>
  <c r="BH34" i="67"/>
  <c r="BG34" i="67"/>
  <c r="I44" i="51" s="1"/>
  <c r="BF34" i="67"/>
  <c r="AE44" i="51" s="1"/>
  <c r="BE34" i="67"/>
  <c r="BD34" i="67"/>
  <c r="BB34" i="67"/>
  <c r="BA34" i="67"/>
  <c r="AZ34" i="67"/>
  <c r="G41" i="14" s="1"/>
  <c r="AY34" i="67"/>
  <c r="AX34" i="67"/>
  <c r="E43" i="45" s="1"/>
  <c r="AW34" i="67"/>
  <c r="AV34" i="67"/>
  <c r="AU34" i="67"/>
  <c r="I43" i="45" s="1"/>
  <c r="AT34" i="67"/>
  <c r="AS34" i="67"/>
  <c r="AR34" i="67"/>
  <c r="U44" i="62" s="1"/>
  <c r="AH34" i="67"/>
  <c r="AG34" i="67"/>
  <c r="AF34" i="67"/>
  <c r="AC34" i="67"/>
  <c r="AB34" i="67"/>
  <c r="AA34" i="67"/>
  <c r="Z34" i="67"/>
  <c r="Y34" i="67"/>
  <c r="X34" i="67"/>
  <c r="W34" i="67"/>
  <c r="V34" i="67"/>
  <c r="W44" i="19" s="1"/>
  <c r="U34" i="67"/>
  <c r="U43" i="19" s="1"/>
  <c r="T34" i="67"/>
  <c r="R34" i="67"/>
  <c r="Q43" i="19" s="1"/>
  <c r="Q34" i="67"/>
  <c r="P34" i="67"/>
  <c r="M43" i="19" s="1"/>
  <c r="S34" i="67"/>
  <c r="O34" i="67"/>
  <c r="N34" i="67"/>
  <c r="I43" i="19" s="1"/>
  <c r="M34" i="67"/>
  <c r="G43" i="19" s="1"/>
  <c r="L34" i="67"/>
  <c r="K34" i="67"/>
  <c r="J34" i="67"/>
  <c r="D34" i="67"/>
  <c r="BS20" i="67"/>
  <c r="BR20" i="67"/>
  <c r="BQ20" i="67"/>
  <c r="BP20" i="67"/>
  <c r="Y31" i="51" s="1"/>
  <c r="BO20" i="67"/>
  <c r="W31" i="51" s="1"/>
  <c r="BN20" i="67"/>
  <c r="U31" i="51" s="1"/>
  <c r="BM20" i="67"/>
  <c r="S31" i="51" s="1"/>
  <c r="BL20" i="67"/>
  <c r="BK20" i="67"/>
  <c r="O31" i="51" s="1"/>
  <c r="BJ20" i="67"/>
  <c r="BI20" i="67"/>
  <c r="K31" i="51" s="1"/>
  <c r="BH20" i="67"/>
  <c r="AC31" i="51" s="1"/>
  <c r="BG20" i="67"/>
  <c r="BF20" i="67"/>
  <c r="AE31" i="51" s="1"/>
  <c r="BE20" i="67"/>
  <c r="G31" i="51" s="1"/>
  <c r="BD20" i="67"/>
  <c r="BB20" i="67"/>
  <c r="K28" i="14" s="1"/>
  <c r="BA20" i="67"/>
  <c r="AZ20" i="67"/>
  <c r="G28" i="14" s="1"/>
  <c r="AY20" i="67"/>
  <c r="C28" i="14" s="1"/>
  <c r="AX20" i="67"/>
  <c r="E30" i="45" s="1"/>
  <c r="AW20" i="67"/>
  <c r="M30" i="45" s="1"/>
  <c r="AV20" i="67"/>
  <c r="K30" i="45" s="1"/>
  <c r="AU20" i="67"/>
  <c r="AT20" i="67"/>
  <c r="G30" i="45" s="1"/>
  <c r="AS20" i="67"/>
  <c r="AR20" i="67"/>
  <c r="U30" i="62" s="1"/>
  <c r="AH20" i="67"/>
  <c r="AG20" i="67"/>
  <c r="AF20" i="67"/>
  <c r="O30" i="53" s="1"/>
  <c r="AC20" i="67"/>
  <c r="K30" i="53" s="1"/>
  <c r="AB20" i="67"/>
  <c r="I30" i="53" s="1"/>
  <c r="AA20" i="67"/>
  <c r="G30" i="53" s="1"/>
  <c r="Z20" i="67"/>
  <c r="Y20" i="67"/>
  <c r="X20" i="67"/>
  <c r="AC30" i="19" s="1"/>
  <c r="W20" i="67"/>
  <c r="Y30" i="19" s="1"/>
  <c r="W30" i="19"/>
  <c r="U20" i="67"/>
  <c r="U30" i="19" s="1"/>
  <c r="T20" i="67"/>
  <c r="R20" i="67"/>
  <c r="Q30" i="19" s="1"/>
  <c r="Q20" i="67"/>
  <c r="O30" i="19" s="1"/>
  <c r="P20" i="67"/>
  <c r="M30" i="19" s="1"/>
  <c r="S20" i="67"/>
  <c r="N20" i="67"/>
  <c r="I30" i="19" s="1"/>
  <c r="M20" i="67"/>
  <c r="G30" i="19" s="1"/>
  <c r="L20" i="67"/>
  <c r="E30" i="19" s="1"/>
  <c r="K20" i="67"/>
  <c r="C30" i="19" s="1"/>
  <c r="J20" i="67"/>
  <c r="K19" i="43" s="1"/>
  <c r="I29" i="43"/>
  <c r="G29" i="43"/>
  <c r="C19" i="43"/>
  <c r="BS10" i="67"/>
  <c r="AA21" i="51" s="1"/>
  <c r="BR10" i="67"/>
  <c r="BQ10" i="67"/>
  <c r="BP10" i="67"/>
  <c r="BO10" i="67"/>
  <c r="W21" i="51" s="1"/>
  <c r="BN10" i="67"/>
  <c r="BM10" i="67"/>
  <c r="S21" i="51" s="1"/>
  <c r="BL10" i="67"/>
  <c r="Q21" i="51" s="1"/>
  <c r="BK10" i="67"/>
  <c r="BJ10" i="67"/>
  <c r="M21" i="51" s="1"/>
  <c r="BI10" i="67"/>
  <c r="BH10" i="67"/>
  <c r="BG10" i="67"/>
  <c r="I21" i="51" s="1"/>
  <c r="BF10" i="67"/>
  <c r="AE21" i="51" s="1"/>
  <c r="BE10" i="67"/>
  <c r="G21" i="51" s="1"/>
  <c r="BD10" i="67"/>
  <c r="BB10" i="67"/>
  <c r="K18" i="14" s="1"/>
  <c r="BA10" i="67"/>
  <c r="I18" i="14" s="1"/>
  <c r="AZ10" i="67"/>
  <c r="AY10" i="67"/>
  <c r="AX10" i="67"/>
  <c r="AW10" i="67"/>
  <c r="AV10" i="67"/>
  <c r="AU10" i="67"/>
  <c r="I20" i="45" s="1"/>
  <c r="AT10" i="67"/>
  <c r="G20" i="45" s="1"/>
  <c r="AS10" i="67"/>
  <c r="C20" i="45" s="1"/>
  <c r="AR10" i="67"/>
  <c r="AH10" i="67"/>
  <c r="AG10" i="67"/>
  <c r="AF10" i="67"/>
  <c r="AC10" i="67"/>
  <c r="K20" i="53" s="1"/>
  <c r="AB10" i="67"/>
  <c r="AA10" i="67"/>
  <c r="G20" i="53" s="1"/>
  <c r="Z10" i="67"/>
  <c r="Y10" i="67"/>
  <c r="C20" i="53" s="1"/>
  <c r="X10" i="67"/>
  <c r="AC20" i="19" s="1"/>
  <c r="W10" i="67"/>
  <c r="Y20" i="19" s="1"/>
  <c r="V10" i="67"/>
  <c r="W20" i="19" s="1"/>
  <c r="U10" i="67"/>
  <c r="U20" i="19" s="1"/>
  <c r="T10" i="67"/>
  <c r="AG20" i="19" s="1"/>
  <c r="R10" i="67"/>
  <c r="Q10" i="67"/>
  <c r="P10" i="67"/>
  <c r="S10" i="67"/>
  <c r="S20" i="19" s="1"/>
  <c r="O10" i="67"/>
  <c r="K20" i="19" s="1"/>
  <c r="W100" i="17" s="1"/>
  <c r="N10" i="67"/>
  <c r="I20" i="19" s="1"/>
  <c r="M10" i="67"/>
  <c r="G20" i="19" s="1"/>
  <c r="L10" i="67"/>
  <c r="E20" i="19" s="1"/>
  <c r="K10" i="67"/>
  <c r="C20" i="19" s="1"/>
  <c r="J10" i="67"/>
  <c r="K20" i="43" s="1"/>
  <c r="I10" i="67"/>
  <c r="H10" i="67"/>
  <c r="G20" i="43" s="1"/>
  <c r="G10" i="67"/>
  <c r="E20" i="43" s="1"/>
  <c r="F10" i="67"/>
  <c r="C20" i="43" s="1"/>
  <c r="D10" i="67"/>
  <c r="BR43" i="67"/>
  <c r="W53" i="51" s="1"/>
  <c r="C3" i="70"/>
  <c r="W63" i="69"/>
  <c r="D20" i="67"/>
  <c r="E29" i="29" s="1"/>
  <c r="Q35" i="72"/>
  <c r="Q34" i="72"/>
  <c r="P35" i="72"/>
  <c r="P34" i="72"/>
  <c r="N34" i="72"/>
  <c r="XFC16" i="72"/>
  <c r="C34" i="67"/>
  <c r="C43" i="29" s="1"/>
  <c r="C35" i="67"/>
  <c r="C128" i="68" s="1"/>
  <c r="K58" i="19"/>
  <c r="W74" i="50"/>
  <c r="W73" i="50"/>
  <c r="W49" i="50"/>
  <c r="W27" i="50"/>
  <c r="C64" i="42"/>
  <c r="C65" i="42"/>
  <c r="C66" i="42"/>
  <c r="C69" i="42"/>
  <c r="C70" i="42"/>
  <c r="C63" i="42"/>
  <c r="AF105" i="64"/>
  <c r="AF104" i="64"/>
  <c r="AF44" i="64"/>
  <c r="AF42" i="64"/>
  <c r="AF8" i="64"/>
  <c r="AF9" i="64"/>
  <c r="AF10" i="64"/>
  <c r="AF17" i="64"/>
  <c r="AF18" i="64"/>
  <c r="AF31" i="64"/>
  <c r="AF32" i="64"/>
  <c r="AF50" i="64"/>
  <c r="AF51" i="64"/>
  <c r="AF52" i="64"/>
  <c r="AF54" i="64"/>
  <c r="AF55" i="64"/>
  <c r="AF56" i="64"/>
  <c r="AF66" i="64"/>
  <c r="AF67" i="64"/>
  <c r="AF86" i="64"/>
  <c r="AF87" i="64"/>
  <c r="AF88" i="64"/>
  <c r="AF94" i="64"/>
  <c r="AF95" i="64"/>
  <c r="AF96" i="64"/>
  <c r="AF97" i="64"/>
  <c r="AF98" i="64"/>
  <c r="AF99" i="64"/>
  <c r="AF100" i="64"/>
  <c r="V3" i="67"/>
  <c r="W13" i="19" s="1"/>
  <c r="V4" i="67"/>
  <c r="O132" i="12"/>
  <c r="K166" i="25" s="1"/>
  <c r="L25" i="1"/>
  <c r="L24" i="1"/>
  <c r="V124" i="68"/>
  <c r="BR123" i="68"/>
  <c r="BQ123" i="68"/>
  <c r="BO123" i="68"/>
  <c r="BN123" i="68"/>
  <c r="BL123" i="68"/>
  <c r="BK123" i="68"/>
  <c r="BJ123" i="68"/>
  <c r="BI123" i="68"/>
  <c r="BG123" i="68"/>
  <c r="BF123" i="68"/>
  <c r="BE123" i="68"/>
  <c r="BD123" i="68"/>
  <c r="BB123" i="68"/>
  <c r="BA123" i="68"/>
  <c r="AZ123" i="68"/>
  <c r="AY123" i="68"/>
  <c r="AX123" i="68"/>
  <c r="AA123" i="68"/>
  <c r="Z123" i="68"/>
  <c r="Y123" i="68"/>
  <c r="X123" i="68"/>
  <c r="W123" i="68"/>
  <c r="V123" i="68"/>
  <c r="U123" i="68"/>
  <c r="T123" i="68"/>
  <c r="O123" i="68"/>
  <c r="N123" i="68"/>
  <c r="M123" i="68"/>
  <c r="L123" i="68"/>
  <c r="K123" i="68"/>
  <c r="J123" i="68"/>
  <c r="I123" i="68"/>
  <c r="H123" i="68"/>
  <c r="G123" i="68"/>
  <c r="D123" i="68"/>
  <c r="C123" i="68"/>
  <c r="BQ85" i="69"/>
  <c r="BO85" i="69"/>
  <c r="BN85" i="69"/>
  <c r="BM85" i="69"/>
  <c r="BI85" i="69"/>
  <c r="BH85" i="69"/>
  <c r="BG85" i="69"/>
  <c r="BF85" i="69"/>
  <c r="BE85" i="69"/>
  <c r="BD85" i="69"/>
  <c r="BB85" i="69"/>
  <c r="BA85" i="69"/>
  <c r="AZ85" i="69"/>
  <c r="AY85" i="69"/>
  <c r="AV85" i="69"/>
  <c r="AS85" i="69"/>
  <c r="AR85" i="69"/>
  <c r="AH85" i="69"/>
  <c r="AG85" i="69"/>
  <c r="AF85" i="69"/>
  <c r="Z85" i="69"/>
  <c r="Y85" i="69"/>
  <c r="X85" i="69"/>
  <c r="W85" i="69"/>
  <c r="V85" i="69"/>
  <c r="U85" i="69"/>
  <c r="T85" i="69"/>
  <c r="R85" i="69"/>
  <c r="Q85" i="69"/>
  <c r="P85" i="69"/>
  <c r="S85" i="69"/>
  <c r="O85" i="69"/>
  <c r="N85" i="69"/>
  <c r="M85" i="69"/>
  <c r="L85" i="69"/>
  <c r="K85" i="69"/>
  <c r="J85" i="69"/>
  <c r="D85" i="69"/>
  <c r="C85" i="69"/>
  <c r="V63" i="69"/>
  <c r="V77" i="69" s="1"/>
  <c r="V55" i="67"/>
  <c r="V3" i="70" s="1"/>
  <c r="CK36" i="68"/>
  <c r="O65" i="10"/>
  <c r="N78" i="23" s="1"/>
  <c r="O63" i="10"/>
  <c r="O45" i="10"/>
  <c r="N46" i="23" s="1"/>
  <c r="O44" i="10"/>
  <c r="O43" i="10"/>
  <c r="N44" i="23" s="1"/>
  <c r="O38" i="10"/>
  <c r="N39" i="23" s="1"/>
  <c r="O29" i="10"/>
  <c r="BY152" i="68"/>
  <c r="BX152" i="68"/>
  <c r="BW152" i="68"/>
  <c r="BV152" i="68"/>
  <c r="BZ152" i="68"/>
  <c r="BU152" i="68"/>
  <c r="BT152" i="68"/>
  <c r="CB152" i="68"/>
  <c r="CA152" i="68"/>
  <c r="C152" i="68"/>
  <c r="CG23" i="68"/>
  <c r="K32" i="29"/>
  <c r="K71" i="25"/>
  <c r="G24" i="25"/>
  <c r="I24" i="25" s="1"/>
  <c r="K23" i="55"/>
  <c r="B120" i="66"/>
  <c r="G99" i="10"/>
  <c r="C99" i="10"/>
  <c r="E98" i="10"/>
  <c r="B47" i="67"/>
  <c r="BU47" i="67"/>
  <c r="O30" i="10"/>
  <c r="N31" i="23" s="1"/>
  <c r="O31" i="10"/>
  <c r="N32" i="23" s="1"/>
  <c r="O32" i="10"/>
  <c r="N33" i="23" s="1"/>
  <c r="O33" i="10"/>
  <c r="N34" i="23" s="1"/>
  <c r="O34" i="10"/>
  <c r="N35" i="23" s="1"/>
  <c r="O35" i="10"/>
  <c r="N36" i="23" s="1"/>
  <c r="O36" i="10"/>
  <c r="N37" i="23" s="1"/>
  <c r="O37" i="10"/>
  <c r="N38" i="23" s="1"/>
  <c r="AH127" i="68"/>
  <c r="AH129" i="68"/>
  <c r="AH134" i="68"/>
  <c r="AH135" i="68"/>
  <c r="AH136" i="68"/>
  <c r="AH137" i="68"/>
  <c r="AH138" i="68"/>
  <c r="AH139" i="68"/>
  <c r="AH145" i="68"/>
  <c r="AH148" i="68"/>
  <c r="AH150" i="68"/>
  <c r="AH151" i="68"/>
  <c r="AH52" i="71"/>
  <c r="AH63" i="69"/>
  <c r="AH86" i="69"/>
  <c r="AH3" i="67"/>
  <c r="AH63" i="67" s="1"/>
  <c r="AH4" i="67"/>
  <c r="AH6" i="67"/>
  <c r="AH7" i="67"/>
  <c r="AH8" i="67"/>
  <c r="AH11" i="67"/>
  <c r="AH13" i="67"/>
  <c r="AH14" i="67"/>
  <c r="AH15" i="67"/>
  <c r="AH124" i="68" s="1"/>
  <c r="AH16" i="67"/>
  <c r="AH17" i="67"/>
  <c r="AH18" i="67"/>
  <c r="AH21" i="67"/>
  <c r="AH35" i="67"/>
  <c r="AH70" i="67" s="1"/>
  <c r="AH79" i="66"/>
  <c r="AH102" i="66"/>
  <c r="CI46" i="68"/>
  <c r="CH46" i="68"/>
  <c r="CG46" i="68"/>
  <c r="CE46" i="68"/>
  <c r="I166" i="21"/>
  <c r="I115" i="21"/>
  <c r="I114" i="21"/>
  <c r="I49" i="21"/>
  <c r="C17" i="30"/>
  <c r="B3" i="66"/>
  <c r="C12" i="30" s="1"/>
  <c r="AW12" i="58" s="1"/>
  <c r="C15" i="30"/>
  <c r="AW15" i="58" s="1"/>
  <c r="C16" i="30"/>
  <c r="C18" i="30"/>
  <c r="C74" i="65" s="1"/>
  <c r="H74" i="65" s="1"/>
  <c r="C19" i="30"/>
  <c r="C20" i="30"/>
  <c r="C21" i="30"/>
  <c r="AW24" i="58" s="1"/>
  <c r="C22" i="30"/>
  <c r="C24" i="30"/>
  <c r="G46" i="26" s="1"/>
  <c r="AC73" i="60"/>
  <c r="AA73" i="60"/>
  <c r="Y73" i="60"/>
  <c r="AA78" i="60"/>
  <c r="Y54" i="60"/>
  <c r="Y78" i="60" s="1"/>
  <c r="AC23" i="60"/>
  <c r="AA23" i="60"/>
  <c r="Y23" i="60"/>
  <c r="Z44" i="59"/>
  <c r="AA141" i="58"/>
  <c r="Y141" i="58"/>
  <c r="AA121" i="58"/>
  <c r="AA135" i="58" s="1"/>
  <c r="Y121" i="58"/>
  <c r="Y135" i="58" s="1"/>
  <c r="AA95" i="58"/>
  <c r="Y95" i="58"/>
  <c r="AA62" i="58"/>
  <c r="AA76" i="58" s="1"/>
  <c r="Y62" i="58"/>
  <c r="Y76" i="58" s="1"/>
  <c r="AA39" i="58"/>
  <c r="Y39" i="58"/>
  <c r="Y30" i="57"/>
  <c r="U23" i="57"/>
  <c r="W23" i="57"/>
  <c r="Y23" i="57"/>
  <c r="AA23" i="57"/>
  <c r="AA16" i="57"/>
  <c r="Y16" i="57"/>
  <c r="C22" i="72"/>
  <c r="N13" i="20"/>
  <c r="T13" i="20" s="1"/>
  <c r="E48" i="30"/>
  <c r="C48" i="30"/>
  <c r="P87" i="9"/>
  <c r="P86" i="9"/>
  <c r="P85" i="9"/>
  <c r="P84" i="9"/>
  <c r="P83" i="9"/>
  <c r="P82" i="9"/>
  <c r="P81" i="9"/>
  <c r="P80" i="9"/>
  <c r="O81" i="9"/>
  <c r="O82" i="9"/>
  <c r="O83" i="9"/>
  <c r="O84" i="9"/>
  <c r="O85" i="9"/>
  <c r="O86" i="9"/>
  <c r="O80" i="9"/>
  <c r="BE153" i="68"/>
  <c r="BF153" i="68"/>
  <c r="BG153" i="68"/>
  <c r="BH153" i="68"/>
  <c r="BI153" i="68"/>
  <c r="BJ153" i="68"/>
  <c r="BK153" i="68"/>
  <c r="BL153" i="68"/>
  <c r="BM153" i="68"/>
  <c r="BN153" i="68"/>
  <c r="BO153" i="68"/>
  <c r="BP153" i="68"/>
  <c r="BQ153" i="68"/>
  <c r="BR153" i="68"/>
  <c r="BS153" i="68"/>
  <c r="BD153" i="68"/>
  <c r="BE150" i="68"/>
  <c r="BF150" i="68"/>
  <c r="BG150" i="68"/>
  <c r="BH150" i="68"/>
  <c r="BI150" i="68"/>
  <c r="BJ150" i="68"/>
  <c r="BK150" i="68"/>
  <c r="BL150" i="68"/>
  <c r="BM150" i="68"/>
  <c r="BN150" i="68"/>
  <c r="BO150" i="68"/>
  <c r="BP150" i="68"/>
  <c r="BQ150" i="68"/>
  <c r="BR150" i="68"/>
  <c r="BS150" i="68"/>
  <c r="BD150" i="68"/>
  <c r="BD14" i="67"/>
  <c r="BS5" i="67"/>
  <c r="AB79" i="66"/>
  <c r="AA79" i="66"/>
  <c r="AA53" i="71" s="1"/>
  <c r="Y79" i="66"/>
  <c r="Z79" i="66"/>
  <c r="AC79" i="66"/>
  <c r="AF79" i="66"/>
  <c r="AF53" i="71" s="1"/>
  <c r="AG79" i="66"/>
  <c r="AG81" i="66" s="1"/>
  <c r="AG95" i="66" s="1"/>
  <c r="AR79" i="66"/>
  <c r="AS79" i="66"/>
  <c r="AS53" i="71" s="1"/>
  <c r="AT79" i="66"/>
  <c r="AU79" i="66"/>
  <c r="AU53" i="71" s="1"/>
  <c r="AV79" i="66"/>
  <c r="Y97" i="66"/>
  <c r="Z97" i="66"/>
  <c r="AA97" i="66"/>
  <c r="AB97" i="66"/>
  <c r="AC97" i="66"/>
  <c r="Y102" i="66"/>
  <c r="Z102" i="66"/>
  <c r="AA102" i="66"/>
  <c r="AB102" i="66"/>
  <c r="AC102" i="66"/>
  <c r="AF102" i="66"/>
  <c r="AG102" i="66"/>
  <c r="AR102" i="66"/>
  <c r="AS102" i="66"/>
  <c r="AT102" i="66"/>
  <c r="AU102" i="66"/>
  <c r="AV102" i="66"/>
  <c r="AW102" i="66"/>
  <c r="W73" i="18"/>
  <c r="W72" i="18"/>
  <c r="W71" i="18"/>
  <c r="W70" i="18"/>
  <c r="W67" i="18"/>
  <c r="W66" i="18"/>
  <c r="W65" i="18"/>
  <c r="W64" i="18"/>
  <c r="W50" i="18"/>
  <c r="W49" i="18"/>
  <c r="W48" i="18"/>
  <c r="W47" i="18"/>
  <c r="W46" i="18"/>
  <c r="W45" i="18"/>
  <c r="W41" i="18"/>
  <c r="W40" i="18"/>
  <c r="W39" i="18"/>
  <c r="W38" i="18"/>
  <c r="W37" i="18"/>
  <c r="W36" i="18"/>
  <c r="W35" i="18"/>
  <c r="W34" i="18"/>
  <c r="W33" i="18"/>
  <c r="W27" i="18"/>
  <c r="W26" i="18"/>
  <c r="W25" i="18"/>
  <c r="W24" i="18"/>
  <c r="W23" i="18"/>
  <c r="W22" i="18"/>
  <c r="W21" i="18"/>
  <c r="W20" i="18"/>
  <c r="W19" i="18"/>
  <c r="W18" i="18"/>
  <c r="W17" i="18"/>
  <c r="W16" i="18"/>
  <c r="W15" i="18"/>
  <c r="W14" i="18"/>
  <c r="W62" i="19"/>
  <c r="W52" i="19"/>
  <c r="W50" i="19"/>
  <c r="W49" i="19"/>
  <c r="W48" i="19"/>
  <c r="W47" i="19"/>
  <c r="W46" i="19"/>
  <c r="W42" i="19"/>
  <c r="W41" i="19"/>
  <c r="W39" i="19"/>
  <c r="W38" i="19"/>
  <c r="W37" i="19"/>
  <c r="W22" i="19"/>
  <c r="W15" i="19"/>
  <c r="BZ41" i="71"/>
  <c r="E23" i="28"/>
  <c r="E24" i="28"/>
  <c r="E25" i="28"/>
  <c r="L143" i="2"/>
  <c r="N143" i="2"/>
  <c r="P143" i="2"/>
  <c r="R143" i="2"/>
  <c r="T143" i="2"/>
  <c r="K57" i="43"/>
  <c r="I57" i="43"/>
  <c r="G57" i="43"/>
  <c r="E57" i="43"/>
  <c r="G58" i="45"/>
  <c r="O58" i="45" s="1"/>
  <c r="G56" i="49" s="1"/>
  <c r="U59" i="62"/>
  <c r="W59" i="62" s="1"/>
  <c r="E56" i="49" s="1"/>
  <c r="I49" i="43"/>
  <c r="I48" i="43"/>
  <c r="I47" i="43"/>
  <c r="I46" i="43"/>
  <c r="I45" i="43"/>
  <c r="O58" i="53"/>
  <c r="Q58" i="53" s="1"/>
  <c r="C56" i="49" s="1"/>
  <c r="I21" i="52"/>
  <c r="O38" i="53"/>
  <c r="O37" i="53"/>
  <c r="I47" i="42"/>
  <c r="I46" i="42"/>
  <c r="I45" i="42"/>
  <c r="I44" i="42"/>
  <c r="I40" i="42"/>
  <c r="I39" i="42"/>
  <c r="I38" i="42"/>
  <c r="I37" i="42"/>
  <c r="I36" i="42"/>
  <c r="I35" i="42"/>
  <c r="I34" i="42"/>
  <c r="I33" i="42"/>
  <c r="I32" i="42"/>
  <c r="I26" i="42"/>
  <c r="I25" i="42"/>
  <c r="I24" i="42"/>
  <c r="I23" i="42"/>
  <c r="I22" i="42"/>
  <c r="I21" i="42"/>
  <c r="I20" i="42"/>
  <c r="E52" i="43"/>
  <c r="H129" i="68"/>
  <c r="I129" i="68"/>
  <c r="J44" i="67"/>
  <c r="K52" i="43" s="1"/>
  <c r="Q58" i="29"/>
  <c r="Q65" i="27"/>
  <c r="Q66" i="27"/>
  <c r="Q70" i="27"/>
  <c r="Q71" i="27"/>
  <c r="Q73" i="27"/>
  <c r="Q64" i="27"/>
  <c r="K94" i="56"/>
  <c r="J143" i="2"/>
  <c r="G49" i="30"/>
  <c r="I49" i="30"/>
  <c r="E49" i="30"/>
  <c r="C49" i="30"/>
  <c r="BM123" i="68"/>
  <c r="BP5" i="67"/>
  <c r="BP123" i="68" s="1"/>
  <c r="E64" i="42"/>
  <c r="G64" i="42"/>
  <c r="I64" i="42"/>
  <c r="K64" i="42"/>
  <c r="E65" i="42"/>
  <c r="G65" i="42"/>
  <c r="I65" i="42"/>
  <c r="K65" i="42"/>
  <c r="E66" i="42"/>
  <c r="G66" i="42"/>
  <c r="I66" i="42"/>
  <c r="K66" i="42"/>
  <c r="E69" i="42"/>
  <c r="G69" i="42"/>
  <c r="I69" i="42"/>
  <c r="K69" i="42"/>
  <c r="E70" i="42"/>
  <c r="G70" i="42"/>
  <c r="I70" i="42"/>
  <c r="K70" i="42"/>
  <c r="C65" i="18"/>
  <c r="E65" i="18"/>
  <c r="G65" i="18"/>
  <c r="I65" i="18"/>
  <c r="K65" i="18"/>
  <c r="M65" i="18"/>
  <c r="O65" i="18"/>
  <c r="U65" i="18"/>
  <c r="Y65" i="18"/>
  <c r="AC65" i="18"/>
  <c r="AE65" i="18"/>
  <c r="AG65" i="18"/>
  <c r="G66" i="50"/>
  <c r="I66" i="50"/>
  <c r="AC66" i="50"/>
  <c r="K66" i="50"/>
  <c r="M66" i="50"/>
  <c r="O66" i="50"/>
  <c r="Q66" i="50"/>
  <c r="S66" i="50"/>
  <c r="U66" i="50"/>
  <c r="Y66" i="50"/>
  <c r="AA66" i="50"/>
  <c r="AE66" i="50"/>
  <c r="G65" i="52"/>
  <c r="I65" i="52"/>
  <c r="G66" i="52"/>
  <c r="I66" i="52"/>
  <c r="G67" i="52"/>
  <c r="I67" i="52"/>
  <c r="C65" i="44"/>
  <c r="E65" i="44"/>
  <c r="G65" i="44"/>
  <c r="I65" i="44"/>
  <c r="K65" i="44"/>
  <c r="M65" i="44"/>
  <c r="C64" i="13"/>
  <c r="G64" i="13"/>
  <c r="I64" i="13"/>
  <c r="K64" i="13"/>
  <c r="M64" i="27"/>
  <c r="M65" i="27"/>
  <c r="M66" i="27"/>
  <c r="M67" i="27"/>
  <c r="M70" i="27"/>
  <c r="M71" i="27"/>
  <c r="I64" i="27"/>
  <c r="I65" i="27"/>
  <c r="I66" i="27"/>
  <c r="I67" i="27"/>
  <c r="I70" i="27"/>
  <c r="I71" i="27"/>
  <c r="C65" i="27"/>
  <c r="E65" i="27"/>
  <c r="AG80" i="50"/>
  <c r="AG88" i="50" s="1"/>
  <c r="AE28" i="50"/>
  <c r="AE27" i="50"/>
  <c r="AE26" i="50"/>
  <c r="AE25" i="50"/>
  <c r="AE23" i="50"/>
  <c r="AE24" i="50"/>
  <c r="O94" i="30"/>
  <c r="G56" i="28"/>
  <c r="E64" i="14"/>
  <c r="E63" i="14"/>
  <c r="I61" i="14"/>
  <c r="K61" i="14"/>
  <c r="G61" i="14"/>
  <c r="C63" i="14"/>
  <c r="C61" i="14"/>
  <c r="CD45" i="68"/>
  <c r="CG66" i="68"/>
  <c r="K136" i="55"/>
  <c r="K94" i="55"/>
  <c r="G94" i="25" s="1"/>
  <c r="I94" i="25" s="1"/>
  <c r="C117" i="66"/>
  <c r="C122" i="66" s="1"/>
  <c r="L101" i="64"/>
  <c r="P101" i="64" s="1"/>
  <c r="X151" i="68"/>
  <c r="W151" i="68"/>
  <c r="U151" i="68"/>
  <c r="T151" i="68"/>
  <c r="R151" i="68"/>
  <c r="Q151" i="68"/>
  <c r="P151" i="68"/>
  <c r="S151" i="68"/>
  <c r="O151" i="68"/>
  <c r="N151" i="68"/>
  <c r="M151" i="68"/>
  <c r="L151" i="68"/>
  <c r="K151" i="68"/>
  <c r="J151" i="68"/>
  <c r="I151" i="68"/>
  <c r="H151" i="68"/>
  <c r="G151" i="68"/>
  <c r="D151" i="68"/>
  <c r="X150" i="68"/>
  <c r="W150" i="68"/>
  <c r="U150" i="68"/>
  <c r="T150" i="68"/>
  <c r="R150" i="68"/>
  <c r="Q150" i="68"/>
  <c r="P150" i="68"/>
  <c r="S150" i="68"/>
  <c r="O150" i="68"/>
  <c r="N150" i="68"/>
  <c r="M150" i="68"/>
  <c r="L150" i="68"/>
  <c r="K150" i="68"/>
  <c r="J150" i="68"/>
  <c r="I150" i="68"/>
  <c r="H150" i="68"/>
  <c r="G150" i="68"/>
  <c r="D150" i="68"/>
  <c r="C150" i="68"/>
  <c r="X149" i="68"/>
  <c r="W149" i="68"/>
  <c r="U149" i="68"/>
  <c r="T149" i="68"/>
  <c r="R149" i="68"/>
  <c r="Q149" i="68"/>
  <c r="P149" i="68"/>
  <c r="S149" i="68"/>
  <c r="O149" i="68"/>
  <c r="N149" i="68"/>
  <c r="M149" i="68"/>
  <c r="L149" i="68"/>
  <c r="K149" i="68"/>
  <c r="J149" i="68"/>
  <c r="I149" i="68"/>
  <c r="H149" i="68"/>
  <c r="G149" i="68"/>
  <c r="D149" i="68"/>
  <c r="C149" i="68"/>
  <c r="X148" i="68"/>
  <c r="W148" i="68"/>
  <c r="U148" i="68"/>
  <c r="T148" i="68"/>
  <c r="R148" i="68"/>
  <c r="Q148" i="68"/>
  <c r="S148" i="68"/>
  <c r="O148" i="68"/>
  <c r="N148" i="68"/>
  <c r="M148" i="68"/>
  <c r="L148" i="68"/>
  <c r="K148" i="68"/>
  <c r="J148" i="68"/>
  <c r="I148" i="68"/>
  <c r="H148" i="68"/>
  <c r="G148" i="68"/>
  <c r="D148" i="68"/>
  <c r="C148" i="68"/>
  <c r="N35" i="67"/>
  <c r="N128" i="68" s="1"/>
  <c r="C80" i="31"/>
  <c r="G80" i="31" s="1"/>
  <c r="C81" i="31"/>
  <c r="BY97" i="66"/>
  <c r="CE89" i="68"/>
  <c r="CE92" i="68"/>
  <c r="CE90" i="68"/>
  <c r="CE96" i="68"/>
  <c r="CD96" i="68" s="1"/>
  <c r="V68" i="2"/>
  <c r="G85" i="21" s="1"/>
  <c r="I85" i="21" s="1"/>
  <c r="I41" i="31" s="1"/>
  <c r="D52" i="71"/>
  <c r="J52" i="71"/>
  <c r="K52" i="71"/>
  <c r="L52" i="71"/>
  <c r="M52" i="71"/>
  <c r="N52" i="71"/>
  <c r="O52" i="71"/>
  <c r="S52" i="71"/>
  <c r="P52" i="71"/>
  <c r="Q52" i="71"/>
  <c r="R52" i="71"/>
  <c r="T52" i="71"/>
  <c r="U52" i="71"/>
  <c r="W52" i="71"/>
  <c r="X52" i="71"/>
  <c r="Y52" i="71"/>
  <c r="Z52" i="71"/>
  <c r="AA52" i="71"/>
  <c r="AB52" i="71"/>
  <c r="AF52" i="71"/>
  <c r="AG52" i="71"/>
  <c r="AS52" i="71"/>
  <c r="AT52" i="71"/>
  <c r="AU52" i="71"/>
  <c r="AX52" i="71"/>
  <c r="AY52" i="71"/>
  <c r="V52" i="71"/>
  <c r="AZ52" i="71"/>
  <c r="BA52" i="71"/>
  <c r="BB52" i="71"/>
  <c r="BE52" i="71"/>
  <c r="BF52" i="71"/>
  <c r="BG52" i="71"/>
  <c r="BH52" i="71"/>
  <c r="BI52" i="71"/>
  <c r="BJ52" i="71"/>
  <c r="BK52" i="71"/>
  <c r="BL52" i="71"/>
  <c r="BM52" i="71"/>
  <c r="BN52" i="71"/>
  <c r="BO52" i="71"/>
  <c r="BP52" i="71"/>
  <c r="BQ52" i="71"/>
  <c r="BR52" i="71"/>
  <c r="BS52" i="71"/>
  <c r="BT52" i="71"/>
  <c r="BU52" i="71"/>
  <c r="BV52" i="71"/>
  <c r="BW52" i="71"/>
  <c r="BX52" i="71"/>
  <c r="BY52" i="71"/>
  <c r="BZ52" i="71"/>
  <c r="CA52" i="71"/>
  <c r="CB52" i="71"/>
  <c r="C52" i="71"/>
  <c r="G61" i="31"/>
  <c r="I47" i="56"/>
  <c r="K169" i="25"/>
  <c r="I44" i="48"/>
  <c r="E45" i="40" s="1"/>
  <c r="F15" i="67"/>
  <c r="F124" i="68" s="1"/>
  <c r="H15" i="67"/>
  <c r="H124" i="68" s="1"/>
  <c r="I24" i="43"/>
  <c r="J15" i="67"/>
  <c r="J124" i="68" s="1"/>
  <c r="I46" i="27"/>
  <c r="I47" i="27"/>
  <c r="I48" i="27"/>
  <c r="I49" i="27"/>
  <c r="I50" i="27"/>
  <c r="I45" i="27"/>
  <c r="I68" i="29"/>
  <c r="I92" i="27" s="1"/>
  <c r="I29" i="27"/>
  <c r="F101" i="64"/>
  <c r="J101" i="64" s="1"/>
  <c r="I70" i="52"/>
  <c r="I71" i="52"/>
  <c r="I72" i="52"/>
  <c r="I73" i="52"/>
  <c r="I64" i="52"/>
  <c r="I33" i="52"/>
  <c r="I26" i="52"/>
  <c r="I25" i="52"/>
  <c r="I48" i="53"/>
  <c r="I49" i="53"/>
  <c r="I50" i="53"/>
  <c r="I51" i="53"/>
  <c r="I53" i="53"/>
  <c r="I47" i="53"/>
  <c r="I46" i="53"/>
  <c r="AG145" i="68"/>
  <c r="AR145" i="68"/>
  <c r="AS145" i="68"/>
  <c r="AT145" i="68"/>
  <c r="AU145" i="68"/>
  <c r="AV145" i="68"/>
  <c r="AW145" i="68"/>
  <c r="AX145" i="68"/>
  <c r="AY145" i="68"/>
  <c r="V145" i="68"/>
  <c r="AZ145" i="68"/>
  <c r="BA145" i="68"/>
  <c r="BB145" i="68"/>
  <c r="BD145" i="68"/>
  <c r="BE145" i="68"/>
  <c r="BF145" i="68"/>
  <c r="BG145" i="68"/>
  <c r="BH145" i="68"/>
  <c r="BI145" i="68"/>
  <c r="BJ145" i="68"/>
  <c r="BK145" i="68"/>
  <c r="BL145" i="68"/>
  <c r="BM145" i="68"/>
  <c r="BN145" i="68"/>
  <c r="BO145" i="68"/>
  <c r="BP145" i="68"/>
  <c r="BQ145" i="68"/>
  <c r="BR145" i="68"/>
  <c r="BS145" i="68"/>
  <c r="CB145" i="68"/>
  <c r="AR148" i="68"/>
  <c r="AT148" i="68"/>
  <c r="AV148" i="68"/>
  <c r="AX148" i="68"/>
  <c r="AY148" i="68"/>
  <c r="V148" i="68"/>
  <c r="AZ148" i="68"/>
  <c r="BA148" i="68"/>
  <c r="BB148" i="68"/>
  <c r="BD148" i="68"/>
  <c r="BE148" i="68"/>
  <c r="BF148" i="68"/>
  <c r="BG148" i="68"/>
  <c r="BH148" i="68"/>
  <c r="BI148" i="68"/>
  <c r="BJ148" i="68"/>
  <c r="BK148" i="68"/>
  <c r="BL148" i="68"/>
  <c r="BM148" i="68"/>
  <c r="BN148" i="68"/>
  <c r="BO148" i="68"/>
  <c r="BP148" i="68"/>
  <c r="BQ148" i="68"/>
  <c r="BR148" i="68"/>
  <c r="BS148" i="68"/>
  <c r="BT148" i="68"/>
  <c r="BU148" i="68"/>
  <c r="BV148" i="68"/>
  <c r="BW148" i="68"/>
  <c r="BX148" i="68"/>
  <c r="BY148" i="68"/>
  <c r="BZ148" i="68"/>
  <c r="CA148" i="68"/>
  <c r="CB148" i="68"/>
  <c r="AY149" i="68"/>
  <c r="V149" i="68"/>
  <c r="AZ149" i="68"/>
  <c r="BA149" i="68"/>
  <c r="BB149" i="68"/>
  <c r="BD149" i="68"/>
  <c r="BE149" i="68"/>
  <c r="BF149" i="68"/>
  <c r="BG149" i="68"/>
  <c r="BH149" i="68"/>
  <c r="BI149" i="68"/>
  <c r="BJ149" i="68"/>
  <c r="BK149" i="68"/>
  <c r="BL149" i="68"/>
  <c r="BM149" i="68"/>
  <c r="BN149" i="68"/>
  <c r="BO149" i="68"/>
  <c r="BP149" i="68"/>
  <c r="BQ149" i="68"/>
  <c r="BR149" i="68"/>
  <c r="BS149" i="68"/>
  <c r="BT149" i="68"/>
  <c r="BU149" i="68"/>
  <c r="BV149" i="68"/>
  <c r="BW149" i="68"/>
  <c r="BX149" i="68"/>
  <c r="BY149" i="68"/>
  <c r="BZ149" i="68"/>
  <c r="CA149" i="68"/>
  <c r="CB149" i="68"/>
  <c r="AF127" i="68"/>
  <c r="AF129" i="68"/>
  <c r="AF132" i="68"/>
  <c r="AF133" i="68"/>
  <c r="AF134" i="68"/>
  <c r="AF135" i="68"/>
  <c r="AF136" i="68"/>
  <c r="AF137" i="68"/>
  <c r="AF138" i="68"/>
  <c r="AF139" i="68"/>
  <c r="AF145" i="68"/>
  <c r="AF148" i="68"/>
  <c r="AF150" i="68"/>
  <c r="AF151" i="68"/>
  <c r="AA41" i="71"/>
  <c r="Z41" i="71"/>
  <c r="Y41" i="71"/>
  <c r="Z11" i="71"/>
  <c r="Y11" i="71"/>
  <c r="AW148" i="68"/>
  <c r="AU148" i="68"/>
  <c r="AG148" i="68"/>
  <c r="AS148" i="68"/>
  <c r="F56" i="41"/>
  <c r="O58" i="29"/>
  <c r="M58" i="29"/>
  <c r="E58" i="29"/>
  <c r="C58" i="29"/>
  <c r="K65" i="29"/>
  <c r="K64" i="29"/>
  <c r="C52" i="31"/>
  <c r="J79" i="66"/>
  <c r="J255" i="1"/>
  <c r="H255" i="1"/>
  <c r="L215" i="1"/>
  <c r="L214" i="1"/>
  <c r="L213" i="1"/>
  <c r="L212" i="1"/>
  <c r="L207" i="1"/>
  <c r="L206" i="1"/>
  <c r="L205" i="1"/>
  <c r="L204" i="1"/>
  <c r="L203" i="1"/>
  <c r="L202" i="1"/>
  <c r="L201" i="1"/>
  <c r="L193" i="1"/>
  <c r="L192" i="1"/>
  <c r="L191" i="1"/>
  <c r="L190" i="1"/>
  <c r="L185" i="1"/>
  <c r="L184" i="1"/>
  <c r="L183" i="1"/>
  <c r="L182" i="1"/>
  <c r="L181" i="1"/>
  <c r="L180" i="1"/>
  <c r="L179" i="1"/>
  <c r="L172" i="1"/>
  <c r="L171" i="1"/>
  <c r="L170" i="1"/>
  <c r="L169" i="1"/>
  <c r="L174" i="1" s="1"/>
  <c r="L164" i="1"/>
  <c r="L163" i="1"/>
  <c r="L162" i="1"/>
  <c r="L161" i="1"/>
  <c r="L160" i="1"/>
  <c r="L159" i="1"/>
  <c r="L158" i="1"/>
  <c r="L151" i="1"/>
  <c r="L150" i="1"/>
  <c r="L149" i="1"/>
  <c r="L153" i="1" s="1"/>
  <c r="L148" i="1"/>
  <c r="L143" i="1"/>
  <c r="L142" i="1"/>
  <c r="L141" i="1"/>
  <c r="L140" i="1"/>
  <c r="L139" i="1"/>
  <c r="L138" i="1"/>
  <c r="L137" i="1"/>
  <c r="L130" i="1"/>
  <c r="L129" i="1"/>
  <c r="L132" i="1" s="1"/>
  <c r="O132" i="1" s="1"/>
  <c r="L124" i="1"/>
  <c r="L123" i="1"/>
  <c r="L122" i="1"/>
  <c r="L121" i="1"/>
  <c r="L120" i="1"/>
  <c r="L119" i="1"/>
  <c r="L118" i="1"/>
  <c r="L111" i="1"/>
  <c r="L110" i="1"/>
  <c r="L109" i="1"/>
  <c r="L108" i="1"/>
  <c r="L103" i="1"/>
  <c r="L102" i="1"/>
  <c r="L101" i="1"/>
  <c r="L100" i="1"/>
  <c r="L99" i="1"/>
  <c r="L98" i="1"/>
  <c r="L97" i="1"/>
  <c r="L90" i="1"/>
  <c r="L89" i="1"/>
  <c r="L88" i="1"/>
  <c r="L87" i="1"/>
  <c r="L82" i="1"/>
  <c r="L81" i="1"/>
  <c r="L80" i="1"/>
  <c r="L79" i="1"/>
  <c r="L78" i="1"/>
  <c r="L77" i="1"/>
  <c r="L76" i="1"/>
  <c r="L68" i="1"/>
  <c r="L67" i="1"/>
  <c r="L66" i="1"/>
  <c r="L71" i="1" s="1"/>
  <c r="L61" i="1"/>
  <c r="L60" i="1"/>
  <c r="L59" i="1"/>
  <c r="L58" i="1"/>
  <c r="L63" i="1" s="1"/>
  <c r="L57" i="1"/>
  <c r="L56" i="1"/>
  <c r="L55" i="1"/>
  <c r="L48" i="1"/>
  <c r="L47" i="1"/>
  <c r="L46" i="1"/>
  <c r="L45" i="1"/>
  <c r="L40" i="1"/>
  <c r="L39" i="1"/>
  <c r="L38" i="1"/>
  <c r="L37" i="1"/>
  <c r="L36" i="1"/>
  <c r="L35" i="1"/>
  <c r="L34" i="1"/>
  <c r="L27" i="1"/>
  <c r="L26" i="1"/>
  <c r="L19" i="1"/>
  <c r="L18" i="1"/>
  <c r="L17" i="1"/>
  <c r="L16" i="1"/>
  <c r="L15" i="1"/>
  <c r="L14" i="1"/>
  <c r="L13" i="1"/>
  <c r="P23" i="5"/>
  <c r="P22" i="5"/>
  <c r="Q22" i="5" s="1"/>
  <c r="P21" i="5"/>
  <c r="P20" i="5"/>
  <c r="P19" i="5"/>
  <c r="Q19" i="5" s="1"/>
  <c r="P18" i="5"/>
  <c r="P17" i="5"/>
  <c r="Q17" i="5" s="1"/>
  <c r="P16" i="5"/>
  <c r="P15" i="5"/>
  <c r="P14" i="5"/>
  <c r="P13" i="5"/>
  <c r="Q13" i="5" s="1"/>
  <c r="Q14" i="5"/>
  <c r="Q18" i="5"/>
  <c r="Q21" i="5"/>
  <c r="Q16" i="5"/>
  <c r="L92" i="1"/>
  <c r="O92" i="1" s="1"/>
  <c r="BR53" i="71"/>
  <c r="Q44" i="67"/>
  <c r="O53" i="19" s="1"/>
  <c r="U79" i="66"/>
  <c r="U81" i="66" s="1"/>
  <c r="U95" i="66" s="1"/>
  <c r="AX63" i="69"/>
  <c r="CE20" i="68"/>
  <c r="D102" i="64"/>
  <c r="D105" i="64"/>
  <c r="I89" i="56"/>
  <c r="G152" i="66"/>
  <c r="R16" i="72"/>
  <c r="O139" i="12"/>
  <c r="K173" i="25" s="1"/>
  <c r="B102" i="68"/>
  <c r="C73" i="31" s="1"/>
  <c r="E22" i="28"/>
  <c r="C480" i="66"/>
  <c r="R79" i="52"/>
  <c r="BD102" i="66"/>
  <c r="BE102" i="66"/>
  <c r="BF102" i="66"/>
  <c r="BG102" i="66"/>
  <c r="BH102" i="66"/>
  <c r="BI102" i="66"/>
  <c r="BJ102" i="66"/>
  <c r="BK102" i="66"/>
  <c r="BL102" i="66"/>
  <c r="BN102" i="66"/>
  <c r="BO102" i="66"/>
  <c r="BP102" i="66"/>
  <c r="BQ102" i="66"/>
  <c r="BR102" i="66"/>
  <c r="BS102" i="66"/>
  <c r="BT102" i="66"/>
  <c r="BU102" i="66"/>
  <c r="BV102" i="66"/>
  <c r="BW102" i="66"/>
  <c r="BX102" i="66"/>
  <c r="BY102" i="66"/>
  <c r="BZ102" i="66"/>
  <c r="CA102" i="66"/>
  <c r="B100" i="66"/>
  <c r="B101" i="66"/>
  <c r="J102" i="66"/>
  <c r="L102" i="66"/>
  <c r="M102" i="66"/>
  <c r="N102" i="66"/>
  <c r="O102" i="66"/>
  <c r="S102" i="66"/>
  <c r="P102" i="66"/>
  <c r="Q102" i="66"/>
  <c r="T102" i="66"/>
  <c r="U102" i="66"/>
  <c r="W102" i="66"/>
  <c r="X102" i="66"/>
  <c r="AX102" i="66"/>
  <c r="AY102" i="66"/>
  <c r="V102" i="66"/>
  <c r="AZ102" i="66"/>
  <c r="BA102" i="66"/>
  <c r="BB102" i="66"/>
  <c r="Y67" i="50"/>
  <c r="Y68" i="50"/>
  <c r="Y71" i="50"/>
  <c r="Y72" i="50"/>
  <c r="Y73" i="50"/>
  <c r="Y74" i="50"/>
  <c r="Y65" i="50"/>
  <c r="U74" i="50"/>
  <c r="U73" i="50"/>
  <c r="BN14" i="67"/>
  <c r="U25" i="51" s="1"/>
  <c r="BN15" i="67"/>
  <c r="BN16" i="67"/>
  <c r="U27" i="51" s="1"/>
  <c r="M74" i="50"/>
  <c r="BX28" i="71"/>
  <c r="BY28" i="71"/>
  <c r="Z151" i="68"/>
  <c r="AA151" i="68"/>
  <c r="AB151" i="68"/>
  <c r="AC151" i="68"/>
  <c r="AG151" i="68"/>
  <c r="AR151" i="68"/>
  <c r="AS151" i="68"/>
  <c r="AT151" i="68"/>
  <c r="AU151" i="68"/>
  <c r="AV151" i="68"/>
  <c r="AW151" i="68"/>
  <c r="AX151" i="68"/>
  <c r="Y151" i="68"/>
  <c r="Z149" i="68"/>
  <c r="AA149" i="68"/>
  <c r="Z150" i="68"/>
  <c r="AA150" i="68"/>
  <c r="AB150" i="68"/>
  <c r="AC150" i="68"/>
  <c r="AG150" i="68"/>
  <c r="AR150" i="68"/>
  <c r="AS150" i="68"/>
  <c r="AT150" i="68"/>
  <c r="AU150" i="68"/>
  <c r="AV150" i="68"/>
  <c r="AW150" i="68"/>
  <c r="AX150" i="68"/>
  <c r="Y150" i="68"/>
  <c r="Y149" i="68"/>
  <c r="AC148" i="68"/>
  <c r="AB148" i="68"/>
  <c r="AA148" i="68"/>
  <c r="Z148" i="68"/>
  <c r="Y148" i="68"/>
  <c r="AE67" i="50"/>
  <c r="AE68" i="50"/>
  <c r="AE71" i="50"/>
  <c r="AE72" i="50"/>
  <c r="AE73" i="50"/>
  <c r="AE74" i="50"/>
  <c r="AE65" i="50"/>
  <c r="C42" i="27"/>
  <c r="E42" i="27"/>
  <c r="AE43" i="50"/>
  <c r="G43" i="50"/>
  <c r="I43" i="50"/>
  <c r="AC43" i="50"/>
  <c r="K43" i="50"/>
  <c r="M43" i="50"/>
  <c r="O43" i="50"/>
  <c r="Q43" i="50"/>
  <c r="S43" i="50"/>
  <c r="W43" i="50"/>
  <c r="Y43" i="50"/>
  <c r="AA43" i="50"/>
  <c r="C41" i="13"/>
  <c r="G41" i="13"/>
  <c r="I41" i="13"/>
  <c r="K41" i="13"/>
  <c r="I21" i="30"/>
  <c r="G21" i="30"/>
  <c r="E16" i="30"/>
  <c r="AW50" i="58" s="1"/>
  <c r="E17" i="30"/>
  <c r="AW51" i="58" s="1"/>
  <c r="E18" i="30"/>
  <c r="AW52" i="58" s="1"/>
  <c r="E19" i="30"/>
  <c r="AW54" i="58" s="1"/>
  <c r="E20" i="30"/>
  <c r="AW55" i="58" s="1"/>
  <c r="E21" i="30"/>
  <c r="AW56" i="58" s="1"/>
  <c r="J43" i="5"/>
  <c r="Q23" i="5"/>
  <c r="U63" i="51"/>
  <c r="CK3" i="66"/>
  <c r="CK8" i="66"/>
  <c r="CJ19" i="66"/>
  <c r="CI19" i="66"/>
  <c r="I28" i="22"/>
  <c r="BJ136" i="68"/>
  <c r="X42" i="59"/>
  <c r="X44" i="59" s="1"/>
  <c r="W27" i="57"/>
  <c r="W14" i="57"/>
  <c r="W12" i="57"/>
  <c r="W26" i="57" s="1"/>
  <c r="C146" i="68"/>
  <c r="F2" i="74" s="1"/>
  <c r="B2" i="74" s="1"/>
  <c r="K36" i="30"/>
  <c r="BR86" i="69"/>
  <c r="BQ86" i="69"/>
  <c r="BO86" i="69"/>
  <c r="BN86" i="69"/>
  <c r="BM86" i="69"/>
  <c r="BJ86" i="69"/>
  <c r="BI86" i="69"/>
  <c r="BH86" i="69"/>
  <c r="BG86" i="69"/>
  <c r="BF86" i="69"/>
  <c r="BE86" i="69"/>
  <c r="BD86" i="69"/>
  <c r="BB86" i="69"/>
  <c r="BA86" i="69"/>
  <c r="AZ86" i="69"/>
  <c r="V86" i="69"/>
  <c r="AY86" i="69"/>
  <c r="AX86" i="69"/>
  <c r="AW86" i="69"/>
  <c r="AV86" i="69"/>
  <c r="AU86" i="69"/>
  <c r="AT86" i="69"/>
  <c r="AS86" i="69"/>
  <c r="AR86" i="69"/>
  <c r="AG86" i="69"/>
  <c r="AF86" i="69"/>
  <c r="AC86" i="69"/>
  <c r="AB86" i="69"/>
  <c r="AA86" i="69"/>
  <c r="Z86" i="69"/>
  <c r="Y86" i="69"/>
  <c r="X86" i="69"/>
  <c r="W86" i="69"/>
  <c r="U86" i="69"/>
  <c r="T86" i="69"/>
  <c r="R86" i="69"/>
  <c r="Q86" i="69"/>
  <c r="P86" i="69"/>
  <c r="S86" i="69"/>
  <c r="O86" i="69"/>
  <c r="N86" i="69"/>
  <c r="M86" i="69"/>
  <c r="L86" i="69"/>
  <c r="K86" i="69"/>
  <c r="J86" i="69"/>
  <c r="D86" i="69"/>
  <c r="C86" i="69"/>
  <c r="X145" i="68"/>
  <c r="Y145" i="68"/>
  <c r="Z145" i="68"/>
  <c r="AA145" i="68"/>
  <c r="AB145" i="68"/>
  <c r="AC145" i="68"/>
  <c r="D145" i="68"/>
  <c r="G145" i="68"/>
  <c r="H145" i="68"/>
  <c r="I145" i="68"/>
  <c r="J145" i="68"/>
  <c r="K145" i="68"/>
  <c r="L145" i="68"/>
  <c r="M145" i="68"/>
  <c r="N145" i="68"/>
  <c r="O145" i="68"/>
  <c r="S145" i="68"/>
  <c r="P145" i="68"/>
  <c r="Q145" i="68"/>
  <c r="R145" i="68"/>
  <c r="T145" i="68"/>
  <c r="U145" i="68"/>
  <c r="W145" i="68"/>
  <c r="C145" i="68"/>
  <c r="D135" i="68"/>
  <c r="G135" i="68"/>
  <c r="H135" i="68"/>
  <c r="I135" i="68"/>
  <c r="J135" i="68"/>
  <c r="K135" i="68"/>
  <c r="L135" i="68"/>
  <c r="M135" i="68"/>
  <c r="O135" i="68"/>
  <c r="S135" i="68"/>
  <c r="P135" i="68"/>
  <c r="Q135" i="68"/>
  <c r="R135" i="68"/>
  <c r="T135" i="68"/>
  <c r="U135" i="68"/>
  <c r="W135" i="68"/>
  <c r="X135" i="68"/>
  <c r="Y135" i="68"/>
  <c r="Z135" i="68"/>
  <c r="AA135" i="68"/>
  <c r="AB135" i="68"/>
  <c r="AC135" i="68"/>
  <c r="AG135" i="68"/>
  <c r="AR135" i="68"/>
  <c r="AS135" i="68"/>
  <c r="AT135" i="68"/>
  <c r="AU135" i="68"/>
  <c r="AV135" i="68"/>
  <c r="AW135" i="68"/>
  <c r="AX135" i="68"/>
  <c r="AY135" i="68"/>
  <c r="V135" i="68"/>
  <c r="AZ135" i="68"/>
  <c r="BA135" i="68"/>
  <c r="BB135" i="68"/>
  <c r="BD135" i="68"/>
  <c r="BE135" i="68"/>
  <c r="BF135" i="68"/>
  <c r="BG135" i="68"/>
  <c r="BH135" i="68"/>
  <c r="BI135" i="68"/>
  <c r="BJ135" i="68"/>
  <c r="BK135" i="68"/>
  <c r="BL135" i="68"/>
  <c r="BM135" i="68"/>
  <c r="BN135" i="68"/>
  <c r="BO135" i="68"/>
  <c r="BP135" i="68"/>
  <c r="BQ135" i="68"/>
  <c r="BR135" i="68"/>
  <c r="BS135" i="68"/>
  <c r="CB135" i="68"/>
  <c r="BJ65" i="67"/>
  <c r="G63" i="21"/>
  <c r="I63" i="21" s="1"/>
  <c r="CB41" i="71"/>
  <c r="CA41" i="71"/>
  <c r="BY41" i="71"/>
  <c r="BX41" i="71"/>
  <c r="BW41" i="71"/>
  <c r="BV41" i="71"/>
  <c r="BU41" i="71"/>
  <c r="BT41" i="71"/>
  <c r="BS41" i="71"/>
  <c r="BR41" i="71"/>
  <c r="BQ41" i="71"/>
  <c r="BP41" i="71"/>
  <c r="BO41" i="71"/>
  <c r="BN41" i="71"/>
  <c r="BM41" i="71"/>
  <c r="BL41" i="71"/>
  <c r="BK41" i="71"/>
  <c r="BJ41" i="71"/>
  <c r="BI41" i="71"/>
  <c r="BH41" i="71"/>
  <c r="BG41" i="71"/>
  <c r="BF41" i="71"/>
  <c r="BE41" i="71"/>
  <c r="BD41" i="71"/>
  <c r="BB41" i="71"/>
  <c r="BA41" i="71"/>
  <c r="AZ41" i="71"/>
  <c r="V41" i="71"/>
  <c r="AY41" i="71"/>
  <c r="X41" i="71"/>
  <c r="W41" i="71"/>
  <c r="U41" i="71"/>
  <c r="T41" i="71"/>
  <c r="R41" i="71"/>
  <c r="Q41" i="71"/>
  <c r="P41" i="71"/>
  <c r="S41" i="71"/>
  <c r="O41" i="71"/>
  <c r="N41" i="71"/>
  <c r="M41" i="71"/>
  <c r="L41" i="71"/>
  <c r="K41" i="71"/>
  <c r="J41" i="71"/>
  <c r="D41" i="71"/>
  <c r="L79" i="66"/>
  <c r="M79" i="66"/>
  <c r="O79" i="66"/>
  <c r="S79" i="66"/>
  <c r="Q79" i="66"/>
  <c r="T81" i="66"/>
  <c r="T95" i="66" s="1"/>
  <c r="W79" i="66"/>
  <c r="X79" i="66"/>
  <c r="X53" i="71" s="1"/>
  <c r="Y35" i="50"/>
  <c r="Y36" i="50"/>
  <c r="Y37" i="50"/>
  <c r="Y38" i="50"/>
  <c r="Y39" i="50"/>
  <c r="Y40" i="50"/>
  <c r="Y41" i="50"/>
  <c r="Y42" i="50"/>
  <c r="Y44" i="50"/>
  <c r="Y46" i="50"/>
  <c r="Y47" i="50"/>
  <c r="Y48" i="50"/>
  <c r="Y49" i="50"/>
  <c r="Y50" i="50"/>
  <c r="Y51" i="50"/>
  <c r="Y34" i="50"/>
  <c r="Y28" i="50"/>
  <c r="Y27" i="50"/>
  <c r="Y26" i="50"/>
  <c r="Y25" i="50"/>
  <c r="Y24" i="50"/>
  <c r="Y23" i="50"/>
  <c r="Y22" i="50"/>
  <c r="Y21" i="50"/>
  <c r="Y20" i="50"/>
  <c r="Y19" i="50"/>
  <c r="Y18" i="50"/>
  <c r="Y17" i="50"/>
  <c r="Y16" i="50"/>
  <c r="Y15" i="50"/>
  <c r="W47" i="50"/>
  <c r="W46" i="50"/>
  <c r="W44" i="50"/>
  <c r="W42" i="50"/>
  <c r="W41" i="50"/>
  <c r="W40" i="50"/>
  <c r="W39" i="50"/>
  <c r="W38" i="50"/>
  <c r="W37" i="50"/>
  <c r="W36" i="50"/>
  <c r="W35" i="50"/>
  <c r="W34" i="50"/>
  <c r="I104" i="56"/>
  <c r="M13" i="54"/>
  <c r="M15" i="54"/>
  <c r="M16" i="54"/>
  <c r="M24" i="54"/>
  <c r="M26" i="54"/>
  <c r="M28" i="54"/>
  <c r="M29" i="54"/>
  <c r="M35" i="54"/>
  <c r="M37" i="54"/>
  <c r="M40" i="54"/>
  <c r="M43" i="54"/>
  <c r="M44" i="54"/>
  <c r="M47" i="54"/>
  <c r="M49" i="54"/>
  <c r="M51" i="54"/>
  <c r="M61" i="54"/>
  <c r="M63" i="54"/>
  <c r="M64" i="54"/>
  <c r="K66" i="27"/>
  <c r="K67" i="27"/>
  <c r="K70" i="27"/>
  <c r="K71" i="27"/>
  <c r="K64" i="27"/>
  <c r="K48" i="27"/>
  <c r="K49" i="27"/>
  <c r="K50" i="27"/>
  <c r="C19" i="42"/>
  <c r="C18" i="42"/>
  <c r="C17" i="42"/>
  <c r="C16" i="42"/>
  <c r="C15" i="42"/>
  <c r="C14" i="42"/>
  <c r="C13" i="42"/>
  <c r="C21" i="43"/>
  <c r="C14" i="43"/>
  <c r="CF41" i="68"/>
  <c r="U29" i="27"/>
  <c r="S29" i="27"/>
  <c r="F63" i="64" s="1"/>
  <c r="J63" i="64" s="1"/>
  <c r="U75" i="27"/>
  <c r="K59" i="56"/>
  <c r="K51" i="56"/>
  <c r="K15" i="55"/>
  <c r="G17" i="25" s="1"/>
  <c r="I17" i="25" s="1"/>
  <c r="G18" i="25"/>
  <c r="G23" i="25"/>
  <c r="I23" i="25" s="1"/>
  <c r="K172" i="55"/>
  <c r="K171" i="55"/>
  <c r="G172" i="25" s="1"/>
  <c r="K170" i="55"/>
  <c r="G171" i="25" s="1"/>
  <c r="I171" i="25" s="1"/>
  <c r="K168" i="55"/>
  <c r="K159" i="55"/>
  <c r="G160" i="25" s="1"/>
  <c r="I160" i="25" s="1"/>
  <c r="K156" i="55"/>
  <c r="K153" i="55"/>
  <c r="K152" i="55"/>
  <c r="K150" i="55"/>
  <c r="K149" i="55"/>
  <c r="K148" i="55"/>
  <c r="G149" i="25" s="1"/>
  <c r="I149" i="25" s="1"/>
  <c r="K140" i="55"/>
  <c r="G141" i="25" s="1"/>
  <c r="I141" i="25" s="1"/>
  <c r="K139" i="55"/>
  <c r="K138" i="55"/>
  <c r="G140" i="25" s="1"/>
  <c r="I140" i="25" s="1"/>
  <c r="K137" i="55"/>
  <c r="K130" i="55"/>
  <c r="G131" i="25" s="1"/>
  <c r="I131" i="25" s="1"/>
  <c r="K113" i="55"/>
  <c r="K114" i="55"/>
  <c r="G115" i="25" s="1"/>
  <c r="I115" i="25" s="1"/>
  <c r="K115" i="55"/>
  <c r="G116" i="25" s="1"/>
  <c r="I116" i="25" s="1"/>
  <c r="K116" i="55"/>
  <c r="G117" i="25" s="1"/>
  <c r="I117" i="25" s="1"/>
  <c r="K117" i="55"/>
  <c r="G118" i="25" s="1"/>
  <c r="I118" i="25" s="1"/>
  <c r="K124" i="55"/>
  <c r="G125" i="25" s="1"/>
  <c r="I125" i="25" s="1"/>
  <c r="K125" i="55"/>
  <c r="G126" i="25" s="1"/>
  <c r="I126" i="25" s="1"/>
  <c r="K52" i="54"/>
  <c r="K46" i="54"/>
  <c r="M46" i="54" s="1"/>
  <c r="K45" i="54"/>
  <c r="M45" i="54" s="1"/>
  <c r="K34" i="54"/>
  <c r="M34" i="54" s="1"/>
  <c r="K33" i="54"/>
  <c r="M33" i="54" s="1"/>
  <c r="K32" i="54"/>
  <c r="M32" i="54" s="1"/>
  <c r="K31" i="54"/>
  <c r="M31" i="54" s="1"/>
  <c r="K30" i="54"/>
  <c r="K17" i="54"/>
  <c r="M17" i="54" s="1"/>
  <c r="K12" i="54"/>
  <c r="M12" i="54" s="1"/>
  <c r="K169" i="55"/>
  <c r="G170" i="25" s="1"/>
  <c r="I170" i="25" s="1"/>
  <c r="K112" i="55"/>
  <c r="G113" i="25" s="1"/>
  <c r="I113" i="25" s="1"/>
  <c r="K111" i="55"/>
  <c r="G112" i="25" s="1"/>
  <c r="I112" i="25" s="1"/>
  <c r="K88" i="55"/>
  <c r="K70" i="55"/>
  <c r="G72" i="25" s="1"/>
  <c r="I72" i="25" s="1"/>
  <c r="K28" i="55"/>
  <c r="G30" i="25" s="1"/>
  <c r="K14" i="55"/>
  <c r="G16" i="25" s="1"/>
  <c r="I16" i="25" s="1"/>
  <c r="I174" i="55"/>
  <c r="I65" i="54" s="1"/>
  <c r="N27" i="72"/>
  <c r="N29" i="72" s="1"/>
  <c r="H13" i="72"/>
  <c r="H16" i="72" s="1"/>
  <c r="D44" i="72"/>
  <c r="O97" i="66"/>
  <c r="V77" i="2"/>
  <c r="G98" i="21" s="1"/>
  <c r="I98" i="21" s="1"/>
  <c r="I52" i="31" s="1"/>
  <c r="Q65" i="50"/>
  <c r="Q68" i="50"/>
  <c r="Q71" i="50"/>
  <c r="Q72" i="50"/>
  <c r="Q73" i="50"/>
  <c r="Q74" i="50"/>
  <c r="M48" i="51"/>
  <c r="M49" i="51"/>
  <c r="M50" i="51"/>
  <c r="M51" i="51"/>
  <c r="M52" i="51"/>
  <c r="M47" i="51"/>
  <c r="G104" i="56"/>
  <c r="O24" i="10"/>
  <c r="N25" i="23" s="1"/>
  <c r="F105" i="64"/>
  <c r="F104" i="64"/>
  <c r="J104" i="64" s="1"/>
  <c r="F102" i="64"/>
  <c r="J102" i="64" s="1"/>
  <c r="N86" i="64"/>
  <c r="H86" i="64"/>
  <c r="Q62" i="19"/>
  <c r="Q51" i="19"/>
  <c r="Q50" i="19"/>
  <c r="Q49" i="19"/>
  <c r="Q48" i="19"/>
  <c r="Q47" i="19"/>
  <c r="Q46" i="19"/>
  <c r="Q45" i="19"/>
  <c r="Q42" i="19"/>
  <c r="Q41" i="19"/>
  <c r="Q40" i="19"/>
  <c r="Q39" i="19"/>
  <c r="Q38" i="19"/>
  <c r="Q37" i="19"/>
  <c r="Q73" i="18"/>
  <c r="Q72" i="18"/>
  <c r="Q34" i="18"/>
  <c r="Q35" i="18"/>
  <c r="Q36" i="18"/>
  <c r="Q37" i="18"/>
  <c r="Q38" i="18"/>
  <c r="Q39" i="18"/>
  <c r="Q40" i="18"/>
  <c r="Q41" i="18"/>
  <c r="Q45" i="18"/>
  <c r="Q46" i="18"/>
  <c r="Q47" i="18"/>
  <c r="Q48" i="18"/>
  <c r="Q33" i="18"/>
  <c r="Q27" i="18"/>
  <c r="Q26" i="18"/>
  <c r="Q25" i="18"/>
  <c r="Q24" i="18"/>
  <c r="Q23" i="18"/>
  <c r="Q22" i="18"/>
  <c r="Q21" i="18"/>
  <c r="Q20" i="18"/>
  <c r="Q19" i="18"/>
  <c r="Q18" i="18"/>
  <c r="Q17" i="18"/>
  <c r="Q16" i="18"/>
  <c r="Q15" i="18"/>
  <c r="Q14" i="18"/>
  <c r="Q22" i="19"/>
  <c r="Q15" i="19"/>
  <c r="W28" i="50"/>
  <c r="W25" i="50"/>
  <c r="W24" i="50"/>
  <c r="W23" i="50"/>
  <c r="W22" i="50"/>
  <c r="W21" i="50"/>
  <c r="W20" i="50"/>
  <c r="W19" i="50"/>
  <c r="W18" i="50"/>
  <c r="W17" i="50"/>
  <c r="W16" i="50"/>
  <c r="W15" i="50"/>
  <c r="M65" i="29"/>
  <c r="M66" i="29"/>
  <c r="M51" i="29"/>
  <c r="M50" i="29"/>
  <c r="M49" i="29"/>
  <c r="M48" i="29"/>
  <c r="M45" i="29"/>
  <c r="M42" i="29"/>
  <c r="M41" i="29"/>
  <c r="M39" i="29"/>
  <c r="M38" i="29"/>
  <c r="M37" i="29"/>
  <c r="M21" i="29"/>
  <c r="M14" i="29"/>
  <c r="BR63" i="69"/>
  <c r="BQ63" i="69"/>
  <c r="BO63" i="69"/>
  <c r="BN63" i="69"/>
  <c r="BM63" i="69"/>
  <c r="BM65" i="69" s="1"/>
  <c r="BJ63" i="69"/>
  <c r="BI63" i="69"/>
  <c r="BG63" i="69"/>
  <c r="BF63" i="69"/>
  <c r="BF65" i="69" s="1"/>
  <c r="BE63" i="69"/>
  <c r="BD63" i="69"/>
  <c r="BD77" i="69" s="1"/>
  <c r="BB63" i="69"/>
  <c r="BA63" i="69"/>
  <c r="AZ63" i="69"/>
  <c r="AZ77" i="69" s="1"/>
  <c r="AY63" i="69"/>
  <c r="AY77" i="69" s="1"/>
  <c r="AW63" i="69"/>
  <c r="AV63" i="69"/>
  <c r="AU63" i="69"/>
  <c r="AT63" i="69"/>
  <c r="AS63" i="69"/>
  <c r="AS65" i="69" s="1"/>
  <c r="AR63" i="69"/>
  <c r="AG63" i="69"/>
  <c r="AF63" i="69"/>
  <c r="AC63" i="69"/>
  <c r="AC65" i="69" s="1"/>
  <c r="AB63" i="69"/>
  <c r="AA63" i="69"/>
  <c r="Z63" i="69"/>
  <c r="Y63" i="69"/>
  <c r="X63" i="69"/>
  <c r="X65" i="69" s="1"/>
  <c r="U63" i="69"/>
  <c r="T63" i="69"/>
  <c r="P63" i="69"/>
  <c r="S63" i="69"/>
  <c r="S65" i="69" s="1"/>
  <c r="M63" i="69"/>
  <c r="L63" i="69"/>
  <c r="J63" i="69"/>
  <c r="D63" i="69"/>
  <c r="BO19" i="69"/>
  <c r="BO83" i="69" s="1"/>
  <c r="BN19" i="69"/>
  <c r="BI19" i="69"/>
  <c r="BG19" i="69"/>
  <c r="M19" i="69"/>
  <c r="M83" i="69" s="1"/>
  <c r="C17" i="70"/>
  <c r="B28" i="67"/>
  <c r="B29" i="67"/>
  <c r="B30" i="67"/>
  <c r="B32" i="67"/>
  <c r="B33" i="67"/>
  <c r="B38" i="67"/>
  <c r="B39" i="67"/>
  <c r="B40" i="67"/>
  <c r="B41" i="67"/>
  <c r="U55" i="29"/>
  <c r="C135" i="68"/>
  <c r="C58" i="70"/>
  <c r="C53" i="19"/>
  <c r="AA68" i="50"/>
  <c r="AA67" i="50"/>
  <c r="AA65" i="50"/>
  <c r="AA50" i="50"/>
  <c r="AA49" i="50"/>
  <c r="AA48" i="50"/>
  <c r="AA47" i="50"/>
  <c r="AA46" i="50"/>
  <c r="AA44" i="50"/>
  <c r="AA42" i="50"/>
  <c r="AA40" i="50"/>
  <c r="AA39" i="50"/>
  <c r="AA38" i="50"/>
  <c r="AA37" i="50"/>
  <c r="AA36" i="50"/>
  <c r="AA35" i="50"/>
  <c r="AA34" i="50"/>
  <c r="AA28" i="50"/>
  <c r="AA27" i="50"/>
  <c r="AA25" i="50"/>
  <c r="AA24" i="50"/>
  <c r="AA23" i="50"/>
  <c r="AA22" i="50"/>
  <c r="AA21" i="50"/>
  <c r="AA20" i="50"/>
  <c r="AA19" i="50"/>
  <c r="AA18" i="50"/>
  <c r="AA17" i="50"/>
  <c r="AA16" i="50"/>
  <c r="AA15" i="50"/>
  <c r="AA23" i="51"/>
  <c r="B47" i="69"/>
  <c r="B5" i="69"/>
  <c r="B42" i="67"/>
  <c r="BS11" i="71"/>
  <c r="BS31" i="67"/>
  <c r="AA42" i="51" s="1"/>
  <c r="BS35" i="67"/>
  <c r="BS44" i="67"/>
  <c r="AA54" i="51" s="1"/>
  <c r="BS55" i="67"/>
  <c r="BS3" i="67"/>
  <c r="AA14" i="51" s="1"/>
  <c r="BS4" i="67"/>
  <c r="BS6" i="67"/>
  <c r="BS7" i="67"/>
  <c r="AA18" i="51" s="1"/>
  <c r="BS8" i="67"/>
  <c r="AA19" i="51" s="1"/>
  <c r="BS11" i="67"/>
  <c r="BS125" i="68" s="1"/>
  <c r="BS13" i="67"/>
  <c r="AA24" i="51" s="1"/>
  <c r="BS14" i="67"/>
  <c r="AA25" i="51" s="1"/>
  <c r="BS15" i="67"/>
  <c r="AA26" i="51" s="1"/>
  <c r="BS16" i="67"/>
  <c r="AA27" i="51" s="1"/>
  <c r="BS17" i="67"/>
  <c r="AA28" i="51" s="1"/>
  <c r="BS18" i="67"/>
  <c r="AA29" i="51" s="1"/>
  <c r="BS21" i="67"/>
  <c r="AA32" i="51" s="1"/>
  <c r="BQ127" i="68"/>
  <c r="BR127" i="68"/>
  <c r="BS127" i="68"/>
  <c r="BQ132" i="68"/>
  <c r="BR132" i="68"/>
  <c r="BS132" i="68"/>
  <c r="BQ133" i="68"/>
  <c r="BR133" i="68"/>
  <c r="BS133" i="68"/>
  <c r="BQ134" i="68"/>
  <c r="BR134" i="68"/>
  <c r="BS134" i="68"/>
  <c r="BQ136" i="68"/>
  <c r="BR136" i="68"/>
  <c r="BS136" i="68"/>
  <c r="BQ137" i="68"/>
  <c r="BR137" i="68"/>
  <c r="BS137" i="68"/>
  <c r="BQ138" i="68"/>
  <c r="BR138" i="68"/>
  <c r="BS138" i="68"/>
  <c r="BQ139" i="68"/>
  <c r="BR139" i="68"/>
  <c r="BS139" i="68"/>
  <c r="U68" i="50"/>
  <c r="U67" i="50"/>
  <c r="U65" i="50"/>
  <c r="U27" i="50"/>
  <c r="U26" i="50"/>
  <c r="U25" i="50"/>
  <c r="U24" i="50"/>
  <c r="U23" i="50"/>
  <c r="U21" i="50"/>
  <c r="U20" i="50"/>
  <c r="U19" i="50"/>
  <c r="U18" i="50"/>
  <c r="U17" i="50"/>
  <c r="U16" i="50"/>
  <c r="U15" i="50"/>
  <c r="U51" i="51"/>
  <c r="U41" i="51"/>
  <c r="U40" i="51"/>
  <c r="U39" i="51"/>
  <c r="U38" i="51"/>
  <c r="U23" i="51"/>
  <c r="U16" i="51"/>
  <c r="BN11" i="71"/>
  <c r="BN55" i="67"/>
  <c r="BN3" i="70" s="1"/>
  <c r="BN65" i="67"/>
  <c r="BN31" i="67"/>
  <c r="BN152" i="68" s="1"/>
  <c r="BN35" i="67"/>
  <c r="BN128" i="68" s="1"/>
  <c r="BN44" i="67"/>
  <c r="BN129" i="68" s="1"/>
  <c r="BN3" i="67"/>
  <c r="U14" i="51" s="1"/>
  <c r="BN4" i="67"/>
  <c r="BN6" i="67"/>
  <c r="BN7" i="67"/>
  <c r="U18" i="51" s="1"/>
  <c r="BN8" i="67"/>
  <c r="U19" i="51" s="1"/>
  <c r="BN11" i="67"/>
  <c r="BN13" i="67"/>
  <c r="U24" i="51" s="1"/>
  <c r="BN17" i="67"/>
  <c r="U28" i="51" s="1"/>
  <c r="BN18" i="67"/>
  <c r="U29" i="51" s="1"/>
  <c r="BN21" i="67"/>
  <c r="U32" i="51" s="1"/>
  <c r="BN79" i="66"/>
  <c r="BN127" i="68"/>
  <c r="BN132" i="68"/>
  <c r="BN133" i="68"/>
  <c r="BN134" i="68"/>
  <c r="BN136" i="68"/>
  <c r="BN137" i="68"/>
  <c r="BN138" i="68"/>
  <c r="BN139" i="68"/>
  <c r="CB28" i="71"/>
  <c r="V28" i="71"/>
  <c r="X28" i="71"/>
  <c r="W28" i="71"/>
  <c r="U28" i="71"/>
  <c r="T28" i="71"/>
  <c r="R28" i="71"/>
  <c r="Q28" i="71"/>
  <c r="P28" i="71"/>
  <c r="S28" i="71"/>
  <c r="M28" i="71"/>
  <c r="L28" i="71"/>
  <c r="K28" i="71"/>
  <c r="CB11" i="71"/>
  <c r="BZ11" i="71"/>
  <c r="BY11" i="71"/>
  <c r="BX11" i="71"/>
  <c r="BW11" i="71"/>
  <c r="BV11" i="71"/>
  <c r="BU11" i="71"/>
  <c r="BT11" i="71"/>
  <c r="BR11" i="71"/>
  <c r="BQ11" i="71"/>
  <c r="BO11" i="71"/>
  <c r="BM11" i="71"/>
  <c r="BL11" i="71"/>
  <c r="BI11" i="71"/>
  <c r="BH11" i="71"/>
  <c r="BG11" i="71"/>
  <c r="BE11" i="71"/>
  <c r="BD11" i="71"/>
  <c r="BB11" i="71"/>
  <c r="BA11" i="71"/>
  <c r="AZ11" i="71"/>
  <c r="V11" i="71"/>
  <c r="AY11" i="71"/>
  <c r="X11" i="71"/>
  <c r="W11" i="71"/>
  <c r="U11" i="71"/>
  <c r="T11" i="71"/>
  <c r="R11" i="71"/>
  <c r="Q11" i="71"/>
  <c r="P11" i="71"/>
  <c r="S11" i="71"/>
  <c r="O11" i="71"/>
  <c r="N11" i="71"/>
  <c r="M11" i="71"/>
  <c r="L11" i="71"/>
  <c r="K11" i="71"/>
  <c r="J11" i="71"/>
  <c r="I11" i="71"/>
  <c r="H11" i="71"/>
  <c r="G11" i="71"/>
  <c r="F11" i="71"/>
  <c r="D11" i="71"/>
  <c r="C11" i="71"/>
  <c r="D127" i="68"/>
  <c r="G127" i="68"/>
  <c r="H127" i="68"/>
  <c r="I127" i="68"/>
  <c r="J127" i="68"/>
  <c r="K127" i="68"/>
  <c r="L127" i="68"/>
  <c r="M127" i="68"/>
  <c r="N127" i="68"/>
  <c r="O127" i="68"/>
  <c r="T127" i="68"/>
  <c r="U127" i="68"/>
  <c r="W127" i="68"/>
  <c r="X127" i="68"/>
  <c r="Y127" i="68"/>
  <c r="Z127" i="68"/>
  <c r="AA127" i="68"/>
  <c r="AB127" i="68"/>
  <c r="AC127" i="68"/>
  <c r="AG127" i="68"/>
  <c r="AR127" i="68"/>
  <c r="AS127" i="68"/>
  <c r="AT127" i="68"/>
  <c r="AU127" i="68"/>
  <c r="AV127" i="68"/>
  <c r="AW127" i="68"/>
  <c r="AX127" i="68"/>
  <c r="AY127" i="68"/>
  <c r="V127" i="68"/>
  <c r="AZ127" i="68"/>
  <c r="BA127" i="68"/>
  <c r="BB127" i="68"/>
  <c r="BD127" i="68"/>
  <c r="BE127" i="68"/>
  <c r="BF127" i="68"/>
  <c r="BG127" i="68"/>
  <c r="BH127" i="68"/>
  <c r="BI127" i="68"/>
  <c r="BJ127" i="68"/>
  <c r="BK127" i="68"/>
  <c r="BL127" i="68"/>
  <c r="BM127" i="68"/>
  <c r="BO127" i="68"/>
  <c r="BP127" i="68"/>
  <c r="CB127" i="68"/>
  <c r="CB125" i="68"/>
  <c r="CB126" i="68"/>
  <c r="CB128" i="68"/>
  <c r="CB129" i="68"/>
  <c r="CB131" i="68"/>
  <c r="CB132" i="68"/>
  <c r="CB133" i="68"/>
  <c r="CB134" i="68"/>
  <c r="CB136" i="68"/>
  <c r="CB137" i="68"/>
  <c r="CB138" i="68"/>
  <c r="CB139" i="68"/>
  <c r="CB140" i="68"/>
  <c r="CB141" i="68"/>
  <c r="K119" i="25"/>
  <c r="O3" i="67"/>
  <c r="O4" i="67"/>
  <c r="K14" i="19" s="1"/>
  <c r="H100" i="17" s="1"/>
  <c r="O6" i="67"/>
  <c r="K16" i="19" s="1"/>
  <c r="O7" i="67"/>
  <c r="K17" i="19" s="1"/>
  <c r="O8" i="67"/>
  <c r="K18" i="19" s="1"/>
  <c r="O11" i="67"/>
  <c r="O13" i="67"/>
  <c r="K23" i="19" s="1"/>
  <c r="X13" i="67"/>
  <c r="AC23" i="19" s="1"/>
  <c r="X14" i="67"/>
  <c r="AC24" i="19" s="1"/>
  <c r="X15" i="67"/>
  <c r="X124" i="68" s="1"/>
  <c r="X21" i="67"/>
  <c r="X126" i="68" s="1"/>
  <c r="X35" i="67"/>
  <c r="AC44" i="19" s="1"/>
  <c r="X44" i="67"/>
  <c r="X129" i="68" s="1"/>
  <c r="C24" i="31"/>
  <c r="CE16" i="68"/>
  <c r="CG16" i="68"/>
  <c r="H139" i="68"/>
  <c r="H138" i="68"/>
  <c r="H137" i="68"/>
  <c r="H136" i="68"/>
  <c r="H134" i="68"/>
  <c r="H133" i="68"/>
  <c r="H132" i="68"/>
  <c r="CH18" i="68"/>
  <c r="CH17" i="68"/>
  <c r="CH14" i="68"/>
  <c r="CH12" i="68"/>
  <c r="CH11" i="68"/>
  <c r="CI9" i="68"/>
  <c r="CI11" i="68"/>
  <c r="CH9" i="68"/>
  <c r="CE29" i="68"/>
  <c r="BU37" i="67"/>
  <c r="BU38" i="67"/>
  <c r="BU39" i="67"/>
  <c r="BU40" i="67"/>
  <c r="BU41" i="67"/>
  <c r="L103" i="64"/>
  <c r="P103" i="64" s="1"/>
  <c r="E65" i="45"/>
  <c r="E66" i="45"/>
  <c r="I66" i="45"/>
  <c r="C3" i="67"/>
  <c r="C63" i="67" s="1"/>
  <c r="C13" i="29"/>
  <c r="C6" i="67"/>
  <c r="C15" i="29" s="1"/>
  <c r="C7" i="67"/>
  <c r="C16" i="29" s="1"/>
  <c r="C8" i="67"/>
  <c r="C17" i="29" s="1"/>
  <c r="C10" i="67"/>
  <c r="C11" i="67"/>
  <c r="C20" i="29" s="1"/>
  <c r="C13" i="67"/>
  <c r="C22" i="29" s="1"/>
  <c r="C14" i="67"/>
  <c r="C16" i="67"/>
  <c r="C25" i="29" s="1"/>
  <c r="C17" i="67"/>
  <c r="C26" i="29" s="1"/>
  <c r="C20" i="67"/>
  <c r="C21" i="67"/>
  <c r="C126" i="68" s="1"/>
  <c r="W13" i="67"/>
  <c r="Y23" i="19" s="1"/>
  <c r="W14" i="67"/>
  <c r="W15" i="67"/>
  <c r="W124" i="68" s="1"/>
  <c r="W16" i="67"/>
  <c r="Y26" i="19" s="1"/>
  <c r="W17" i="67"/>
  <c r="Y27" i="19" s="1"/>
  <c r="W18" i="67"/>
  <c r="Y28" i="19" s="1"/>
  <c r="W21" i="67"/>
  <c r="W126" i="68" s="1"/>
  <c r="AT21" i="67"/>
  <c r="AT126" i="68" s="1"/>
  <c r="E141" i="12"/>
  <c r="G174" i="55"/>
  <c r="P42" i="72" s="1"/>
  <c r="P16" i="72"/>
  <c r="BR16" i="67"/>
  <c r="BQ16" i="67"/>
  <c r="M25" i="29" s="1"/>
  <c r="BP16" i="67"/>
  <c r="Y27" i="51" s="1"/>
  <c r="BO16" i="67"/>
  <c r="BM16" i="67"/>
  <c r="S27" i="51" s="1"/>
  <c r="BL16" i="67"/>
  <c r="BK16" i="67"/>
  <c r="O27" i="51" s="1"/>
  <c r="BJ16" i="67"/>
  <c r="BI16" i="67"/>
  <c r="BH16" i="67"/>
  <c r="AC27" i="51" s="1"/>
  <c r="BG16" i="67"/>
  <c r="I27" i="51" s="1"/>
  <c r="BF16" i="67"/>
  <c r="AE27" i="51" s="1"/>
  <c r="BE16" i="67"/>
  <c r="G27" i="51" s="1"/>
  <c r="BD16" i="67"/>
  <c r="BB16" i="67"/>
  <c r="E27" i="51" s="1"/>
  <c r="BA16" i="67"/>
  <c r="I24" i="14" s="1"/>
  <c r="W26" i="19"/>
  <c r="AY16" i="67"/>
  <c r="C24" i="14" s="1"/>
  <c r="AX16" i="67"/>
  <c r="E26" i="45" s="1"/>
  <c r="AW16" i="67"/>
  <c r="M26" i="45" s="1"/>
  <c r="AV16" i="67"/>
  <c r="K26" i="45" s="1"/>
  <c r="AU16" i="67"/>
  <c r="I26" i="45" s="1"/>
  <c r="AT16" i="67"/>
  <c r="G26" i="45" s="1"/>
  <c r="AS16" i="67"/>
  <c r="C26" i="45" s="1"/>
  <c r="AR16" i="67"/>
  <c r="AG16" i="67"/>
  <c r="AF16" i="67"/>
  <c r="O26" i="53" s="1"/>
  <c r="AC16" i="67"/>
  <c r="K26" i="53" s="1"/>
  <c r="AB16" i="67"/>
  <c r="I26" i="53" s="1"/>
  <c r="AA16" i="67"/>
  <c r="G26" i="53" s="1"/>
  <c r="Z16" i="67"/>
  <c r="Y16" i="67"/>
  <c r="U16" i="67"/>
  <c r="U26" i="19" s="1"/>
  <c r="T16" i="67"/>
  <c r="AG26" i="19" s="1"/>
  <c r="R16" i="67"/>
  <c r="Q26" i="19" s="1"/>
  <c r="Q16" i="67"/>
  <c r="O26" i="19" s="1"/>
  <c r="P16" i="67"/>
  <c r="M26" i="19" s="1"/>
  <c r="S16" i="67"/>
  <c r="S26" i="19" s="1"/>
  <c r="N16" i="67"/>
  <c r="M16" i="67"/>
  <c r="L16" i="67"/>
  <c r="E26" i="19" s="1"/>
  <c r="K16" i="67"/>
  <c r="C26" i="19" s="1"/>
  <c r="J16" i="67"/>
  <c r="K25" i="43" s="1"/>
  <c r="I25" i="43"/>
  <c r="G25" i="43"/>
  <c r="E25" i="43"/>
  <c r="D16" i="67"/>
  <c r="E25" i="29" s="1"/>
  <c r="C27" i="31"/>
  <c r="Q16" i="72"/>
  <c r="U97" i="66"/>
  <c r="B24" i="67"/>
  <c r="O75" i="27"/>
  <c r="O49" i="27"/>
  <c r="O34" i="27"/>
  <c r="O33" i="27"/>
  <c r="AG35" i="67"/>
  <c r="AG70" i="67" s="1"/>
  <c r="AG3" i="67"/>
  <c r="AG4" i="67"/>
  <c r="AG6" i="67"/>
  <c r="AG7" i="67"/>
  <c r="AG8" i="67"/>
  <c r="AG11" i="67"/>
  <c r="AG13" i="67"/>
  <c r="AG14" i="67"/>
  <c r="AG15" i="67"/>
  <c r="AG124" i="68" s="1"/>
  <c r="AG17" i="67"/>
  <c r="AG18" i="67"/>
  <c r="AG21" i="67"/>
  <c r="AG126" i="68" s="1"/>
  <c r="AG132" i="68"/>
  <c r="AG134" i="68"/>
  <c r="AG136" i="68"/>
  <c r="AG137" i="68"/>
  <c r="AG138" i="68"/>
  <c r="AG139" i="68"/>
  <c r="BQ55" i="67"/>
  <c r="BQ3" i="70" s="1"/>
  <c r="BQ60" i="70" s="1"/>
  <c r="BR55" i="67"/>
  <c r="BR3" i="70" s="1"/>
  <c r="BR60" i="70" s="1"/>
  <c r="BR3" i="67"/>
  <c r="BR63" i="67" s="1"/>
  <c r="BR4" i="67"/>
  <c r="BR6" i="67"/>
  <c r="BR7" i="67"/>
  <c r="BR8" i="67"/>
  <c r="BR11" i="67"/>
  <c r="BR125" i="68" s="1"/>
  <c r="BR13" i="67"/>
  <c r="W24" i="51" s="1"/>
  <c r="BR14" i="67"/>
  <c r="BR15" i="67"/>
  <c r="W26" i="51" s="1"/>
  <c r="BR17" i="67"/>
  <c r="W28" i="51" s="1"/>
  <c r="BR18" i="67"/>
  <c r="BR21" i="67"/>
  <c r="BR126" i="68" s="1"/>
  <c r="BR31" i="67"/>
  <c r="BR35" i="67"/>
  <c r="BR44" i="67"/>
  <c r="BR129" i="68" s="1"/>
  <c r="BR65" i="67"/>
  <c r="M73" i="27"/>
  <c r="M50" i="27"/>
  <c r="M49" i="27"/>
  <c r="M48" i="27"/>
  <c r="M14" i="27"/>
  <c r="BQ65" i="67"/>
  <c r="BQ31" i="67"/>
  <c r="BQ35" i="67"/>
  <c r="BQ128" i="68" s="1"/>
  <c r="BQ44" i="67"/>
  <c r="BQ3" i="67"/>
  <c r="E14" i="51" s="1"/>
  <c r="BQ4" i="67"/>
  <c r="M13" i="29" s="1"/>
  <c r="BQ6" i="67"/>
  <c r="M15" i="29" s="1"/>
  <c r="BQ7" i="67"/>
  <c r="M16" i="29" s="1"/>
  <c r="BQ8" i="67"/>
  <c r="M17" i="29" s="1"/>
  <c r="BQ11" i="67"/>
  <c r="M20" i="29" s="1"/>
  <c r="BQ13" i="67"/>
  <c r="E24" i="51" s="1"/>
  <c r="BQ14" i="67"/>
  <c r="BQ15" i="67"/>
  <c r="E26" i="51" s="1"/>
  <c r="BQ17" i="67"/>
  <c r="M26" i="29" s="1"/>
  <c r="BQ18" i="67"/>
  <c r="E29" i="51" s="1"/>
  <c r="BQ21" i="67"/>
  <c r="BQ79" i="66"/>
  <c r="BQ53" i="71" s="1"/>
  <c r="Q50" i="18"/>
  <c r="Q49" i="18"/>
  <c r="O35" i="50"/>
  <c r="AG129" i="68"/>
  <c r="O29" i="27"/>
  <c r="BR81" i="66"/>
  <c r="BR95" i="66" s="1"/>
  <c r="O68" i="29"/>
  <c r="O92" i="27" s="1"/>
  <c r="W25" i="58"/>
  <c r="W22" i="58"/>
  <c r="W121" i="58"/>
  <c r="W74" i="58"/>
  <c r="W62" i="58"/>
  <c r="W76" i="58" s="1"/>
  <c r="W39" i="58"/>
  <c r="W13" i="58"/>
  <c r="O32" i="29"/>
  <c r="O55" i="29"/>
  <c r="V42" i="59"/>
  <c r="V44" i="59" s="1"/>
  <c r="U27" i="57"/>
  <c r="U26" i="57"/>
  <c r="U14" i="57"/>
  <c r="U28" i="57" s="1"/>
  <c r="G171" i="21"/>
  <c r="I171" i="21" s="1"/>
  <c r="H125" i="2"/>
  <c r="L125" i="2"/>
  <c r="N125" i="2"/>
  <c r="P125" i="2"/>
  <c r="T125" i="2"/>
  <c r="O32" i="11"/>
  <c r="P32" i="11" s="1"/>
  <c r="O33" i="11"/>
  <c r="P33" i="11" s="1"/>
  <c r="O34" i="11"/>
  <c r="K35" i="24" s="1"/>
  <c r="O35" i="11"/>
  <c r="K36" i="24" s="1"/>
  <c r="D137" i="68"/>
  <c r="AB137" i="68"/>
  <c r="G137" i="68"/>
  <c r="I137" i="68"/>
  <c r="J137" i="68"/>
  <c r="K137" i="68"/>
  <c r="L137" i="68"/>
  <c r="M137" i="68"/>
  <c r="O137" i="68"/>
  <c r="S137" i="68"/>
  <c r="X137" i="68"/>
  <c r="P137" i="68"/>
  <c r="R137" i="68"/>
  <c r="T137" i="68"/>
  <c r="Q137" i="68"/>
  <c r="W137" i="68"/>
  <c r="U137" i="68"/>
  <c r="Y137" i="68"/>
  <c r="Z137" i="68"/>
  <c r="AA137" i="68"/>
  <c r="AC137" i="68"/>
  <c r="AR137" i="68"/>
  <c r="AS137" i="68"/>
  <c r="AT137" i="68"/>
  <c r="AU137" i="68"/>
  <c r="AV137" i="68"/>
  <c r="AW137" i="68"/>
  <c r="AX137" i="68"/>
  <c r="AY137" i="68"/>
  <c r="V137" i="68"/>
  <c r="AZ137" i="68"/>
  <c r="BA137" i="68"/>
  <c r="BB137" i="68"/>
  <c r="BD137" i="68"/>
  <c r="BH137" i="68"/>
  <c r="BJ137" i="68"/>
  <c r="BL137" i="68"/>
  <c r="BK137" i="68"/>
  <c r="BM137" i="68"/>
  <c r="BO137" i="68"/>
  <c r="BF137" i="68"/>
  <c r="BG137" i="68"/>
  <c r="BE137" i="68"/>
  <c r="BI137" i="68"/>
  <c r="BP137" i="68"/>
  <c r="C137" i="68"/>
  <c r="O21" i="50"/>
  <c r="O22" i="50"/>
  <c r="O23" i="50"/>
  <c r="O24" i="50"/>
  <c r="O25" i="50"/>
  <c r="J110" i="23"/>
  <c r="L110" i="23" s="1"/>
  <c r="C36" i="27"/>
  <c r="C36" i="18"/>
  <c r="C36" i="13"/>
  <c r="H73" i="2"/>
  <c r="H74" i="2" s="1"/>
  <c r="P73" i="2"/>
  <c r="BP14" i="67"/>
  <c r="Y25" i="51" s="1"/>
  <c r="BI14" i="67"/>
  <c r="K25" i="51" s="1"/>
  <c r="BE14" i="67"/>
  <c r="G25" i="51" s="1"/>
  <c r="BG14" i="67"/>
  <c r="I25" i="51" s="1"/>
  <c r="BF14" i="67"/>
  <c r="AE25" i="51" s="1"/>
  <c r="BO14" i="67"/>
  <c r="S25" i="51"/>
  <c r="BK14" i="67"/>
  <c r="O25" i="51" s="1"/>
  <c r="BL14" i="67"/>
  <c r="BJ14" i="67"/>
  <c r="M25" i="51" s="1"/>
  <c r="BH14" i="67"/>
  <c r="AC25" i="51" s="1"/>
  <c r="BB14" i="67"/>
  <c r="K22" i="14" s="1"/>
  <c r="BA14" i="67"/>
  <c r="I22" i="14" s="1"/>
  <c r="AZ14" i="67"/>
  <c r="G22" i="14" s="1"/>
  <c r="W24" i="19"/>
  <c r="AY14" i="67"/>
  <c r="C22" i="14" s="1"/>
  <c r="AX14" i="67"/>
  <c r="E24" i="45" s="1"/>
  <c r="AW14" i="67"/>
  <c r="M24" i="45" s="1"/>
  <c r="AV14" i="67"/>
  <c r="K24" i="45" s="1"/>
  <c r="AU14" i="67"/>
  <c r="I24" i="45" s="1"/>
  <c r="AT14" i="67"/>
  <c r="G24" i="45" s="1"/>
  <c r="AS14" i="67"/>
  <c r="C24" i="45" s="1"/>
  <c r="AR14" i="67"/>
  <c r="U24" i="62" s="1"/>
  <c r="AF14" i="67"/>
  <c r="O24" i="53" s="1"/>
  <c r="AC14" i="67"/>
  <c r="K24" i="53" s="1"/>
  <c r="AA14" i="67"/>
  <c r="G24" i="53" s="1"/>
  <c r="Z14" i="67"/>
  <c r="Y14" i="67"/>
  <c r="U14" i="67"/>
  <c r="U24" i="19" s="1"/>
  <c r="Q14" i="67"/>
  <c r="T14" i="67"/>
  <c r="R14" i="67"/>
  <c r="P14" i="67"/>
  <c r="S14" i="67"/>
  <c r="N14" i="67"/>
  <c r="I24" i="19" s="1"/>
  <c r="M14" i="67"/>
  <c r="G24" i="19" s="1"/>
  <c r="L14" i="67"/>
  <c r="E24" i="19" s="1"/>
  <c r="K14" i="67"/>
  <c r="J14" i="67"/>
  <c r="K23" i="43" s="1"/>
  <c r="I14" i="67"/>
  <c r="H14" i="67"/>
  <c r="G14" i="67"/>
  <c r="F14" i="67"/>
  <c r="AB14" i="67"/>
  <c r="I24" i="53" s="1"/>
  <c r="D14" i="67"/>
  <c r="E23" i="29" s="1"/>
  <c r="S44" i="50"/>
  <c r="O27" i="50"/>
  <c r="O28" i="50"/>
  <c r="I148" i="21"/>
  <c r="C147" i="68"/>
  <c r="L72" i="23"/>
  <c r="L71" i="23"/>
  <c r="E120" i="23"/>
  <c r="H114" i="64"/>
  <c r="N114" i="64"/>
  <c r="E175" i="25"/>
  <c r="O16" i="72"/>
  <c r="F128" i="25"/>
  <c r="E188" i="25"/>
  <c r="D103" i="64"/>
  <c r="D139" i="68"/>
  <c r="AB139" i="68"/>
  <c r="G139" i="68"/>
  <c r="I139" i="68"/>
  <c r="J139" i="68"/>
  <c r="K139" i="68"/>
  <c r="L139" i="68"/>
  <c r="M139" i="68"/>
  <c r="O139" i="68"/>
  <c r="S139" i="68"/>
  <c r="X139" i="68"/>
  <c r="P139" i="68"/>
  <c r="R139" i="68"/>
  <c r="T139" i="68"/>
  <c r="Q139" i="68"/>
  <c r="W139" i="68"/>
  <c r="U139" i="68"/>
  <c r="Y139" i="68"/>
  <c r="Z139" i="68"/>
  <c r="AA139" i="68"/>
  <c r="AC139" i="68"/>
  <c r="AR139" i="68"/>
  <c r="AS139" i="68"/>
  <c r="AT139" i="68"/>
  <c r="AU139" i="68"/>
  <c r="AV139" i="68"/>
  <c r="AW139" i="68"/>
  <c r="AX139" i="68"/>
  <c r="AY139" i="68"/>
  <c r="V139" i="68"/>
  <c r="AZ139" i="68"/>
  <c r="BA139" i="68"/>
  <c r="BB139" i="68"/>
  <c r="BD139" i="68"/>
  <c r="BH139" i="68"/>
  <c r="BJ139" i="68"/>
  <c r="BL139" i="68"/>
  <c r="BK139" i="68"/>
  <c r="BM139" i="68"/>
  <c r="BO139" i="68"/>
  <c r="BF139" i="68"/>
  <c r="BG139" i="68"/>
  <c r="BE139" i="68"/>
  <c r="BI139" i="68"/>
  <c r="BP139" i="68"/>
  <c r="C139" i="68"/>
  <c r="D138" i="68"/>
  <c r="AB138" i="68"/>
  <c r="G138" i="68"/>
  <c r="I138" i="68"/>
  <c r="J138" i="68"/>
  <c r="K138" i="68"/>
  <c r="L138" i="68"/>
  <c r="M138" i="68"/>
  <c r="O138" i="68"/>
  <c r="S138" i="68"/>
  <c r="X138" i="68"/>
  <c r="P138" i="68"/>
  <c r="R138" i="68"/>
  <c r="T138" i="68"/>
  <c r="Q138" i="68"/>
  <c r="W138" i="68"/>
  <c r="U138" i="68"/>
  <c r="Y138" i="68"/>
  <c r="Z138" i="68"/>
  <c r="AA138" i="68"/>
  <c r="AC138" i="68"/>
  <c r="AR138" i="68"/>
  <c r="AS138" i="68"/>
  <c r="AT138" i="68"/>
  <c r="AU138" i="68"/>
  <c r="AV138" i="68"/>
  <c r="AW138" i="68"/>
  <c r="AX138" i="68"/>
  <c r="AY138" i="68"/>
  <c r="V138" i="68"/>
  <c r="AZ138" i="68"/>
  <c r="BA138" i="68"/>
  <c r="BB138" i="68"/>
  <c r="BD138" i="68"/>
  <c r="BH138" i="68"/>
  <c r="BJ138" i="68"/>
  <c r="BL138" i="68"/>
  <c r="BK138" i="68"/>
  <c r="BM138" i="68"/>
  <c r="BO138" i="68"/>
  <c r="BF138" i="68"/>
  <c r="BG138" i="68"/>
  <c r="BE138" i="68"/>
  <c r="BI138" i="68"/>
  <c r="BP138" i="68"/>
  <c r="C138" i="68"/>
  <c r="D31" i="67"/>
  <c r="E40" i="29" s="1"/>
  <c r="F152" i="68"/>
  <c r="G152" i="68"/>
  <c r="H152" i="68"/>
  <c r="I152" i="68"/>
  <c r="J31" i="67"/>
  <c r="J152" i="68" s="1"/>
  <c r="C49" i="19"/>
  <c r="L31" i="67"/>
  <c r="L152" i="68" s="1"/>
  <c r="M31" i="67"/>
  <c r="S31" i="67"/>
  <c r="AC49" i="19"/>
  <c r="P152" i="68"/>
  <c r="T152" i="68"/>
  <c r="Y49" i="19"/>
  <c r="AX31" i="67"/>
  <c r="AX152" i="68" s="1"/>
  <c r="AY31" i="67"/>
  <c r="BA152" i="68"/>
  <c r="BB31" i="67"/>
  <c r="BB152" i="68" s="1"/>
  <c r="BD31" i="67"/>
  <c r="BD152" i="68" s="1"/>
  <c r="BJ31" i="67"/>
  <c r="BJ152" i="68" s="1"/>
  <c r="BL31" i="67"/>
  <c r="BL152" i="68" s="1"/>
  <c r="BK31" i="67"/>
  <c r="BM31" i="67"/>
  <c r="BM152" i="68" s="1"/>
  <c r="BO31" i="67"/>
  <c r="BO152" i="68" s="1"/>
  <c r="BF152" i="68"/>
  <c r="BG152" i="68"/>
  <c r="BE31" i="67"/>
  <c r="BE152" i="68" s="1"/>
  <c r="BI31" i="67"/>
  <c r="BI152" i="68" s="1"/>
  <c r="W40" i="19"/>
  <c r="D132" i="68"/>
  <c r="AB132" i="68"/>
  <c r="G132" i="68"/>
  <c r="I132" i="68"/>
  <c r="J132" i="68"/>
  <c r="K132" i="68"/>
  <c r="L132" i="68"/>
  <c r="M132" i="68"/>
  <c r="N132" i="68"/>
  <c r="O132" i="68"/>
  <c r="S132" i="68"/>
  <c r="X132" i="68"/>
  <c r="P132" i="68"/>
  <c r="R132" i="68"/>
  <c r="T132" i="68"/>
  <c r="Q132" i="68"/>
  <c r="W132" i="68"/>
  <c r="U132" i="68"/>
  <c r="Y132" i="68"/>
  <c r="Z132" i="68"/>
  <c r="AA132" i="68"/>
  <c r="AC132" i="68"/>
  <c r="AR132" i="68"/>
  <c r="AS132" i="68"/>
  <c r="AT132" i="68"/>
  <c r="AV132" i="68"/>
  <c r="AW132" i="68"/>
  <c r="AX132" i="68"/>
  <c r="AY132" i="68"/>
  <c r="V132" i="68"/>
  <c r="AZ132" i="68"/>
  <c r="BA132" i="68"/>
  <c r="BB132" i="68"/>
  <c r="BD132" i="68"/>
  <c r="BH132" i="68"/>
  <c r="BJ132" i="68"/>
  <c r="BL132" i="68"/>
  <c r="BK132" i="68"/>
  <c r="BM132" i="68"/>
  <c r="BO132" i="68"/>
  <c r="BF132" i="68"/>
  <c r="BG132" i="68"/>
  <c r="BE132" i="68"/>
  <c r="BI132" i="68"/>
  <c r="BP132" i="68"/>
  <c r="D133" i="68"/>
  <c r="G133" i="68"/>
  <c r="I133" i="68"/>
  <c r="J133" i="68"/>
  <c r="K133" i="68"/>
  <c r="L133" i="68"/>
  <c r="M133" i="68"/>
  <c r="N133" i="68"/>
  <c r="O133" i="68"/>
  <c r="S133" i="68"/>
  <c r="X133" i="68"/>
  <c r="P133" i="68"/>
  <c r="R133" i="68"/>
  <c r="T133" i="68"/>
  <c r="Q133" i="68"/>
  <c r="W133" i="68"/>
  <c r="U133" i="68"/>
  <c r="Y133" i="68"/>
  <c r="Z133" i="68"/>
  <c r="AA133" i="68"/>
  <c r="AR133" i="68"/>
  <c r="AS133" i="68"/>
  <c r="AV133" i="68"/>
  <c r="AW133" i="68"/>
  <c r="AX133" i="68"/>
  <c r="AY133" i="68"/>
  <c r="V133" i="68"/>
  <c r="AZ133" i="68"/>
  <c r="BA133" i="68"/>
  <c r="BB133" i="68"/>
  <c r="BD133" i="68"/>
  <c r="BH133" i="68"/>
  <c r="BJ133" i="68"/>
  <c r="BL133" i="68"/>
  <c r="BK133" i="68"/>
  <c r="BM133" i="68"/>
  <c r="BO133" i="68"/>
  <c r="BF133" i="68"/>
  <c r="BG133" i="68"/>
  <c r="BE133" i="68"/>
  <c r="BI133" i="68"/>
  <c r="BP133" i="68"/>
  <c r="D134" i="68"/>
  <c r="AB134" i="68"/>
  <c r="G134" i="68"/>
  <c r="I134" i="68"/>
  <c r="J134" i="68"/>
  <c r="K134" i="68"/>
  <c r="L134" i="68"/>
  <c r="M134" i="68"/>
  <c r="N134" i="68"/>
  <c r="O134" i="68"/>
  <c r="S134" i="68"/>
  <c r="X134" i="68"/>
  <c r="P134" i="68"/>
  <c r="R134" i="68"/>
  <c r="T134" i="68"/>
  <c r="Q134" i="68"/>
  <c r="W134" i="68"/>
  <c r="U134" i="68"/>
  <c r="Y134" i="68"/>
  <c r="Z134" i="68"/>
  <c r="AA134" i="68"/>
  <c r="AC134" i="68"/>
  <c r="AR134" i="68"/>
  <c r="AS134" i="68"/>
  <c r="AT134" i="68"/>
  <c r="AU134" i="68"/>
  <c r="AV134" i="68"/>
  <c r="AW134" i="68"/>
  <c r="AX134" i="68"/>
  <c r="AY134" i="68"/>
  <c r="V134" i="68"/>
  <c r="AZ134" i="68"/>
  <c r="BA134" i="68"/>
  <c r="BB134" i="68"/>
  <c r="BD134" i="68"/>
  <c r="BH134" i="68"/>
  <c r="BJ134" i="68"/>
  <c r="BL134" i="68"/>
  <c r="BK134" i="68"/>
  <c r="BM134" i="68"/>
  <c r="BO134" i="68"/>
  <c r="BF134" i="68"/>
  <c r="BG134" i="68"/>
  <c r="BE134" i="68"/>
  <c r="BI134" i="68"/>
  <c r="BP134" i="68"/>
  <c r="D136" i="68"/>
  <c r="AB136" i="68"/>
  <c r="G136" i="68"/>
  <c r="I136" i="68"/>
  <c r="J136" i="68"/>
  <c r="K136" i="68"/>
  <c r="L136" i="68"/>
  <c r="M136" i="68"/>
  <c r="O136" i="68"/>
  <c r="S136" i="68"/>
  <c r="X136" i="68"/>
  <c r="P136" i="68"/>
  <c r="R136" i="68"/>
  <c r="T136" i="68"/>
  <c r="Q136" i="68"/>
  <c r="W136" i="68"/>
  <c r="U136" i="68"/>
  <c r="Y136" i="68"/>
  <c r="Z136" i="68"/>
  <c r="AA136" i="68"/>
  <c r="AC136" i="68"/>
  <c r="AR136" i="68"/>
  <c r="AS136" i="68"/>
  <c r="AT136" i="68"/>
  <c r="AU136" i="68"/>
  <c r="AV136" i="68"/>
  <c r="AW136" i="68"/>
  <c r="AY136" i="68"/>
  <c r="V136" i="68"/>
  <c r="AZ136" i="68"/>
  <c r="BA136" i="68"/>
  <c r="BB136" i="68"/>
  <c r="BD136" i="68"/>
  <c r="BH136" i="68"/>
  <c r="BL136" i="68"/>
  <c r="BK136" i="68"/>
  <c r="BM136" i="68"/>
  <c r="BO136" i="68"/>
  <c r="BF136" i="68"/>
  <c r="BG136" i="68"/>
  <c r="BE136" i="68"/>
  <c r="BI136" i="68"/>
  <c r="BP136" i="68"/>
  <c r="C136" i="68"/>
  <c r="C134" i="68"/>
  <c r="C133" i="68"/>
  <c r="C132" i="68"/>
  <c r="AX136" i="68"/>
  <c r="AR129" i="68"/>
  <c r="O48" i="51"/>
  <c r="O47" i="51"/>
  <c r="Q63" i="51"/>
  <c r="O63" i="51"/>
  <c r="K63" i="51"/>
  <c r="I63" i="51"/>
  <c r="G63" i="51"/>
  <c r="AE63" i="51"/>
  <c r="Y51" i="51"/>
  <c r="S51" i="51"/>
  <c r="Y50" i="51"/>
  <c r="S50" i="51"/>
  <c r="Y49" i="51"/>
  <c r="S49" i="51"/>
  <c r="Y48" i="51"/>
  <c r="S48" i="51"/>
  <c r="CE50" i="68"/>
  <c r="CE52" i="68"/>
  <c r="CG50" i="68"/>
  <c r="CG113" i="68"/>
  <c r="CG108" i="68"/>
  <c r="CG107" i="68"/>
  <c r="CG105" i="68"/>
  <c r="CG98" i="68"/>
  <c r="CG92" i="68"/>
  <c r="CG90" i="68"/>
  <c r="CG89" i="68"/>
  <c r="CG87" i="68"/>
  <c r="CG85" i="68"/>
  <c r="CG82" i="68"/>
  <c r="CG80" i="68"/>
  <c r="CG77" i="68"/>
  <c r="CG75" i="68"/>
  <c r="CG71" i="68"/>
  <c r="CG69" i="68"/>
  <c r="CG60" i="68"/>
  <c r="CG58" i="68"/>
  <c r="CG54" i="68"/>
  <c r="CG53" i="68"/>
  <c r="CG52" i="68"/>
  <c r="CG51" i="68"/>
  <c r="CG41" i="68"/>
  <c r="CG29" i="68"/>
  <c r="CG12" i="68"/>
  <c r="CG7" i="68"/>
  <c r="CG11" i="68"/>
  <c r="CG9" i="68"/>
  <c r="CG6" i="68"/>
  <c r="CG5" i="68"/>
  <c r="CG4" i="68"/>
  <c r="CH113" i="68"/>
  <c r="CH108" i="68"/>
  <c r="CH107" i="68"/>
  <c r="CH105" i="68"/>
  <c r="CH98" i="68"/>
  <c r="CH92" i="68"/>
  <c r="CH90" i="68"/>
  <c r="CH89" i="68"/>
  <c r="CH87" i="68"/>
  <c r="CH85" i="68"/>
  <c r="CH82" i="68"/>
  <c r="CH80" i="68"/>
  <c r="CH77" i="68"/>
  <c r="CH75" i="68"/>
  <c r="CH71" i="68"/>
  <c r="CH69" i="68"/>
  <c r="CH66" i="68"/>
  <c r="CH60" i="68"/>
  <c r="CH58" i="68"/>
  <c r="CH54" i="68"/>
  <c r="CH53" i="68"/>
  <c r="CH52" i="68"/>
  <c r="CH51" i="68"/>
  <c r="CH50" i="68"/>
  <c r="CH29" i="68"/>
  <c r="CH42" i="68" s="1"/>
  <c r="CH20" i="68"/>
  <c r="CH7" i="68"/>
  <c r="CH6" i="68"/>
  <c r="CH5" i="68"/>
  <c r="CH4" i="68"/>
  <c r="CI113" i="68"/>
  <c r="CI108" i="68"/>
  <c r="CI107" i="68"/>
  <c r="CI105" i="68"/>
  <c r="CI98" i="68"/>
  <c r="CI92" i="68"/>
  <c r="CI90" i="68"/>
  <c r="CI89" i="68"/>
  <c r="CI87" i="68"/>
  <c r="CI85" i="68"/>
  <c r="CI82" i="68"/>
  <c r="CI80" i="68"/>
  <c r="CI77" i="68"/>
  <c r="CI75" i="68"/>
  <c r="CI71" i="68"/>
  <c r="CI69" i="68"/>
  <c r="CI60" i="68"/>
  <c r="CI58" i="68"/>
  <c r="CI54" i="68"/>
  <c r="CI53" i="68"/>
  <c r="CI52" i="68"/>
  <c r="CI51" i="68"/>
  <c r="CI50" i="68"/>
  <c r="CI29" i="68"/>
  <c r="CI42" i="68" s="1"/>
  <c r="CI6" i="68"/>
  <c r="CI5" i="68"/>
  <c r="CI147" i="68" s="1"/>
  <c r="CK3" i="74" s="1"/>
  <c r="C76" i="74" s="1"/>
  <c r="CI4" i="68"/>
  <c r="CE51" i="68"/>
  <c r="BZ60" i="70"/>
  <c r="BZ62" i="70" s="1"/>
  <c r="BY60" i="70"/>
  <c r="BX60" i="70"/>
  <c r="BW60" i="70"/>
  <c r="BV60" i="70"/>
  <c r="BM60" i="70"/>
  <c r="V60" i="70"/>
  <c r="AX55" i="67"/>
  <c r="AX3" i="70" s="1"/>
  <c r="CE113" i="68"/>
  <c r="CE108" i="68"/>
  <c r="CE107" i="68"/>
  <c r="CE105" i="68"/>
  <c r="CE98" i="68"/>
  <c r="CE87" i="68"/>
  <c r="CE85" i="68"/>
  <c r="CE82" i="68"/>
  <c r="CE77" i="68"/>
  <c r="CE71" i="68"/>
  <c r="CE69" i="68"/>
  <c r="CE66" i="68"/>
  <c r="CE11" i="68"/>
  <c r="CE60" i="68"/>
  <c r="CE58" i="68"/>
  <c r="CE53" i="68"/>
  <c r="CE24" i="68"/>
  <c r="CE18" i="68"/>
  <c r="CE17" i="68"/>
  <c r="CE14" i="68"/>
  <c r="CE12" i="68"/>
  <c r="CE7" i="68"/>
  <c r="CE9" i="68"/>
  <c r="CE5" i="68"/>
  <c r="CE6" i="68"/>
  <c r="CE4" i="68"/>
  <c r="K50" i="55"/>
  <c r="G52" i="25" s="1"/>
  <c r="I52" i="25" s="1"/>
  <c r="K51" i="55"/>
  <c r="G53" i="25" s="1"/>
  <c r="I53" i="25" s="1"/>
  <c r="K52" i="55"/>
  <c r="G54" i="25" s="1"/>
  <c r="I54" i="25" s="1"/>
  <c r="K53" i="55"/>
  <c r="G55" i="25" s="1"/>
  <c r="I55" i="25" s="1"/>
  <c r="K54" i="55"/>
  <c r="G56" i="25" s="1"/>
  <c r="I56" i="25" s="1"/>
  <c r="K49" i="55"/>
  <c r="G51" i="25" s="1"/>
  <c r="I51" i="25" s="1"/>
  <c r="K47" i="55"/>
  <c r="G49" i="25" s="1"/>
  <c r="I49" i="25" s="1"/>
  <c r="K48" i="55"/>
  <c r="I14" i="52"/>
  <c r="I15" i="52"/>
  <c r="I16" i="52"/>
  <c r="I17" i="52"/>
  <c r="I18" i="52"/>
  <c r="I19" i="52"/>
  <c r="I20" i="52"/>
  <c r="AC35" i="67"/>
  <c r="AC70" i="67" s="1"/>
  <c r="AC4" i="67"/>
  <c r="AC6" i="67"/>
  <c r="K16" i="53" s="1"/>
  <c r="AC7" i="67"/>
  <c r="K17" i="53" s="1"/>
  <c r="AC8" i="67"/>
  <c r="K18" i="53" s="1"/>
  <c r="AC11" i="67"/>
  <c r="AC13" i="67"/>
  <c r="K23" i="53" s="1"/>
  <c r="AC15" i="67"/>
  <c r="AC17" i="67"/>
  <c r="K27" i="53" s="1"/>
  <c r="AC18" i="67"/>
  <c r="K28" i="53" s="1"/>
  <c r="AC21" i="67"/>
  <c r="K31" i="53" s="1"/>
  <c r="AC3" i="67"/>
  <c r="K13" i="53" s="1"/>
  <c r="BI3" i="67"/>
  <c r="BI63" i="67" s="1"/>
  <c r="BI4" i="67"/>
  <c r="BI6" i="67"/>
  <c r="K17" i="51" s="1"/>
  <c r="BI7" i="67"/>
  <c r="K18" i="51" s="1"/>
  <c r="BI8" i="67"/>
  <c r="K19" i="51" s="1"/>
  <c r="BI11" i="67"/>
  <c r="BI13" i="67"/>
  <c r="K24" i="51" s="1"/>
  <c r="BI15" i="67"/>
  <c r="BI124" i="68" s="1"/>
  <c r="BI17" i="67"/>
  <c r="K28" i="51" s="1"/>
  <c r="BI18" i="67"/>
  <c r="K29" i="51" s="1"/>
  <c r="BI21" i="67"/>
  <c r="BI126" i="68" s="1"/>
  <c r="BE3" i="67"/>
  <c r="BE63" i="67" s="1"/>
  <c r="BE4" i="67"/>
  <c r="BE6" i="67"/>
  <c r="G17" i="51" s="1"/>
  <c r="BE7" i="67"/>
  <c r="G18" i="51" s="1"/>
  <c r="BE8" i="67"/>
  <c r="G19" i="51" s="1"/>
  <c r="BE11" i="67"/>
  <c r="BE13" i="67"/>
  <c r="G24" i="51" s="1"/>
  <c r="BE15" i="67"/>
  <c r="BE124" i="68" s="1"/>
  <c r="BE17" i="67"/>
  <c r="G28" i="51" s="1"/>
  <c r="BE18" i="67"/>
  <c r="G29" i="51" s="1"/>
  <c r="BE21" i="67"/>
  <c r="BE126" i="68" s="1"/>
  <c r="BG3" i="67"/>
  <c r="I14" i="51" s="1"/>
  <c r="BG4" i="67"/>
  <c r="BG6" i="67"/>
  <c r="I17" i="51" s="1"/>
  <c r="BG7" i="67"/>
  <c r="I18" i="51" s="1"/>
  <c r="BG8" i="67"/>
  <c r="I19" i="51" s="1"/>
  <c r="BG11" i="67"/>
  <c r="I22" i="51" s="1"/>
  <c r="BG13" i="67"/>
  <c r="I24" i="51" s="1"/>
  <c r="BG15" i="67"/>
  <c r="I26" i="51" s="1"/>
  <c r="BG17" i="67"/>
  <c r="BG18" i="67"/>
  <c r="I29" i="51" s="1"/>
  <c r="BG21" i="67"/>
  <c r="BG126" i="68" s="1"/>
  <c r="BF3" i="67"/>
  <c r="BF63" i="67" s="1"/>
  <c r="BF4" i="67"/>
  <c r="BF6" i="67"/>
  <c r="AE17" i="51" s="1"/>
  <c r="BF7" i="67"/>
  <c r="BF8" i="67"/>
  <c r="AE19" i="51" s="1"/>
  <c r="BF11" i="67"/>
  <c r="AE22" i="51" s="1"/>
  <c r="BF13" i="67"/>
  <c r="AE24" i="51" s="1"/>
  <c r="BF15" i="67"/>
  <c r="AE26" i="51" s="1"/>
  <c r="BF17" i="67"/>
  <c r="AE28" i="51" s="1"/>
  <c r="BF18" i="67"/>
  <c r="BF21" i="67"/>
  <c r="BO3" i="67"/>
  <c r="W14" i="51" s="1"/>
  <c r="BO4" i="67"/>
  <c r="BO6" i="67"/>
  <c r="W17" i="51" s="1"/>
  <c r="BO7" i="67"/>
  <c r="W18" i="51" s="1"/>
  <c r="BO8" i="67"/>
  <c r="W19" i="51" s="1"/>
  <c r="BO11" i="67"/>
  <c r="W22" i="51" s="1"/>
  <c r="BO13" i="67"/>
  <c r="BO15" i="67"/>
  <c r="BO124" i="68" s="1"/>
  <c r="BO17" i="67"/>
  <c r="BO18" i="67"/>
  <c r="W29" i="51" s="1"/>
  <c r="BO21" i="67"/>
  <c r="BO126" i="68" s="1"/>
  <c r="BM3" i="67"/>
  <c r="S14" i="51" s="1"/>
  <c r="BM4" i="67"/>
  <c r="BM64" i="67" s="1"/>
  <c r="BM6" i="67"/>
  <c r="S17" i="51" s="1"/>
  <c r="BM7" i="67"/>
  <c r="BM8" i="67"/>
  <c r="S19" i="51" s="1"/>
  <c r="BM11" i="67"/>
  <c r="S22" i="51" s="1"/>
  <c r="BM13" i="67"/>
  <c r="S24" i="51" s="1"/>
  <c r="S26" i="51"/>
  <c r="BM17" i="67"/>
  <c r="S28" i="51" s="1"/>
  <c r="BM18" i="67"/>
  <c r="S29" i="51" s="1"/>
  <c r="BM21" i="67"/>
  <c r="BM126" i="68" s="1"/>
  <c r="BK3" i="67"/>
  <c r="BK63" i="67" s="1"/>
  <c r="BK4" i="67"/>
  <c r="BK6" i="67"/>
  <c r="O17" i="51" s="1"/>
  <c r="BK7" i="67"/>
  <c r="BK8" i="67"/>
  <c r="O19" i="51" s="1"/>
  <c r="BK11" i="67"/>
  <c r="O22" i="51" s="1"/>
  <c r="BK13" i="67"/>
  <c r="O24" i="51" s="1"/>
  <c r="BK15" i="67"/>
  <c r="O26" i="51" s="1"/>
  <c r="BK17" i="67"/>
  <c r="O28" i="51" s="1"/>
  <c r="BK18" i="67"/>
  <c r="O29" i="51" s="1"/>
  <c r="BK21" i="67"/>
  <c r="BL3" i="67"/>
  <c r="BL4" i="67"/>
  <c r="BL6" i="67"/>
  <c r="Q17" i="51" s="1"/>
  <c r="BL7" i="67"/>
  <c r="Q18" i="51" s="1"/>
  <c r="BL8" i="67"/>
  <c r="Q19" i="51" s="1"/>
  <c r="BL11" i="67"/>
  <c r="Q22" i="51" s="1"/>
  <c r="BL13" i="67"/>
  <c r="Q24" i="51" s="1"/>
  <c r="BL15" i="67"/>
  <c r="Q26" i="51" s="1"/>
  <c r="BL17" i="67"/>
  <c r="Q28" i="51" s="1"/>
  <c r="BL18" i="67"/>
  <c r="Q29" i="51" s="1"/>
  <c r="BL21" i="67"/>
  <c r="BJ3" i="67"/>
  <c r="BJ63" i="67" s="1"/>
  <c r="BJ4" i="67"/>
  <c r="BJ6" i="67"/>
  <c r="BJ7" i="67"/>
  <c r="M18" i="51" s="1"/>
  <c r="BJ8" i="67"/>
  <c r="M19" i="51" s="1"/>
  <c r="BJ11" i="67"/>
  <c r="M22" i="51" s="1"/>
  <c r="BJ13" i="67"/>
  <c r="M24" i="51" s="1"/>
  <c r="BJ17" i="67"/>
  <c r="M28" i="51" s="1"/>
  <c r="BJ18" i="67"/>
  <c r="M29" i="51" s="1"/>
  <c r="BJ21" i="67"/>
  <c r="BH3" i="67"/>
  <c r="BH63" i="67" s="1"/>
  <c r="BH4" i="67"/>
  <c r="BH6" i="67"/>
  <c r="AC17" i="51" s="1"/>
  <c r="BH7" i="67"/>
  <c r="AC18" i="51" s="1"/>
  <c r="BH8" i="67"/>
  <c r="AC19" i="51" s="1"/>
  <c r="BH11" i="67"/>
  <c r="AC22" i="51" s="1"/>
  <c r="BH13" i="67"/>
  <c r="AC24" i="51" s="1"/>
  <c r="BH15" i="67"/>
  <c r="BH17" i="67"/>
  <c r="AC28" i="51" s="1"/>
  <c r="BH18" i="67"/>
  <c r="AC29" i="51" s="1"/>
  <c r="BH21" i="67"/>
  <c r="BH126" i="68" s="1"/>
  <c r="BD3" i="67"/>
  <c r="C14" i="51" s="1"/>
  <c r="BD4" i="67"/>
  <c r="BD6" i="67"/>
  <c r="BD7" i="67"/>
  <c r="BD8" i="67"/>
  <c r="C19" i="51" s="1"/>
  <c r="BD11" i="67"/>
  <c r="BD13" i="67"/>
  <c r="BD17" i="67"/>
  <c r="BD18" i="67"/>
  <c r="BD21" i="67"/>
  <c r="BD126" i="68" s="1"/>
  <c r="BB3" i="67"/>
  <c r="BB4" i="67"/>
  <c r="BB6" i="67"/>
  <c r="K15" i="14" s="1"/>
  <c r="BB7" i="67"/>
  <c r="K16" i="14" s="1"/>
  <c r="BB8" i="67"/>
  <c r="K17" i="14" s="1"/>
  <c r="BB11" i="67"/>
  <c r="K19" i="14" s="1"/>
  <c r="BB13" i="67"/>
  <c r="K21" i="14" s="1"/>
  <c r="BB15" i="67"/>
  <c r="BB17" i="67"/>
  <c r="BB18" i="67"/>
  <c r="BB21" i="67"/>
  <c r="BB126" i="68" s="1"/>
  <c r="BA3" i="67"/>
  <c r="I12" i="14" s="1"/>
  <c r="BA4" i="67"/>
  <c r="BA6" i="67"/>
  <c r="I15" i="14" s="1"/>
  <c r="BA7" i="67"/>
  <c r="I16" i="14" s="1"/>
  <c r="BA8" i="67"/>
  <c r="I17" i="14" s="1"/>
  <c r="BA11" i="67"/>
  <c r="I19" i="14" s="1"/>
  <c r="BA13" i="67"/>
  <c r="I21" i="14" s="1"/>
  <c r="BA15" i="67"/>
  <c r="I23" i="14" s="1"/>
  <c r="BA17" i="67"/>
  <c r="I25" i="14" s="1"/>
  <c r="BA18" i="67"/>
  <c r="I26" i="14" s="1"/>
  <c r="BA21" i="67"/>
  <c r="I29" i="14" s="1"/>
  <c r="AZ3" i="67"/>
  <c r="G12" i="14" s="1"/>
  <c r="AZ4" i="67"/>
  <c r="AZ6" i="67"/>
  <c r="G15" i="14" s="1"/>
  <c r="AZ7" i="67"/>
  <c r="G16" i="14" s="1"/>
  <c r="AZ8" i="67"/>
  <c r="G17" i="14" s="1"/>
  <c r="AZ11" i="67"/>
  <c r="AZ66" i="67" s="1"/>
  <c r="AZ13" i="67"/>
  <c r="G21" i="14" s="1"/>
  <c r="G25" i="14"/>
  <c r="G26" i="14"/>
  <c r="AZ126" i="68"/>
  <c r="W16" i="19"/>
  <c r="W17" i="19"/>
  <c r="W18" i="19"/>
  <c r="W21" i="19"/>
  <c r="W23" i="19"/>
  <c r="W25" i="19"/>
  <c r="V126" i="68"/>
  <c r="AY3" i="67"/>
  <c r="E13" i="45" s="1"/>
  <c r="AY4" i="67"/>
  <c r="AY6" i="67"/>
  <c r="E16" i="45" s="1"/>
  <c r="AY7" i="67"/>
  <c r="AY8" i="67"/>
  <c r="C17" i="14" s="1"/>
  <c r="AY11" i="67"/>
  <c r="C19" i="14" s="1"/>
  <c r="AY13" i="67"/>
  <c r="C21" i="14" s="1"/>
  <c r="AY15" i="67"/>
  <c r="C23" i="14" s="1"/>
  <c r="AY17" i="67"/>
  <c r="C25" i="14" s="1"/>
  <c r="AY18" i="67"/>
  <c r="C26" i="14" s="1"/>
  <c r="AY21" i="67"/>
  <c r="AY126" i="68" s="1"/>
  <c r="AW3" i="67"/>
  <c r="AW63" i="67" s="1"/>
  <c r="AW4" i="67"/>
  <c r="AW6" i="67"/>
  <c r="M16" i="45" s="1"/>
  <c r="AW7" i="67"/>
  <c r="M17" i="45" s="1"/>
  <c r="AW8" i="67"/>
  <c r="M18" i="45" s="1"/>
  <c r="AW11" i="67"/>
  <c r="M21" i="45" s="1"/>
  <c r="AW13" i="67"/>
  <c r="M23" i="45" s="1"/>
  <c r="AW15" i="67"/>
  <c r="AW17" i="67"/>
  <c r="AW18" i="67"/>
  <c r="M28" i="45" s="1"/>
  <c r="AW21" i="67"/>
  <c r="AW126" i="68" s="1"/>
  <c r="AX3" i="67"/>
  <c r="AX63" i="67" s="1"/>
  <c r="AX4" i="67"/>
  <c r="AX6" i="67"/>
  <c r="AX7" i="67"/>
  <c r="AX8" i="67"/>
  <c r="AX11" i="67"/>
  <c r="AX13" i="67"/>
  <c r="E23" i="45" s="1"/>
  <c r="AX15" i="67"/>
  <c r="E25" i="45" s="1"/>
  <c r="AX17" i="67"/>
  <c r="E27" i="45" s="1"/>
  <c r="AX18" i="67"/>
  <c r="E28" i="45" s="1"/>
  <c r="AX21" i="67"/>
  <c r="AX126" i="68" s="1"/>
  <c r="AV3" i="67"/>
  <c r="K13" i="45" s="1"/>
  <c r="AV4" i="67"/>
  <c r="AV6" i="67"/>
  <c r="AV7" i="67"/>
  <c r="K17" i="45" s="1"/>
  <c r="AV8" i="67"/>
  <c r="K18" i="45" s="1"/>
  <c r="AV11" i="67"/>
  <c r="K21" i="45" s="1"/>
  <c r="AV13" i="67"/>
  <c r="K23" i="45" s="1"/>
  <c r="AV15" i="67"/>
  <c r="AV17" i="67"/>
  <c r="K27" i="45" s="1"/>
  <c r="AV18" i="67"/>
  <c r="K28" i="45" s="1"/>
  <c r="AV21" i="67"/>
  <c r="AV126" i="68" s="1"/>
  <c r="AU3" i="67"/>
  <c r="AU63" i="67" s="1"/>
  <c r="AU4" i="67"/>
  <c r="AU6" i="67"/>
  <c r="I16" i="45" s="1"/>
  <c r="AU7" i="67"/>
  <c r="I17" i="45" s="1"/>
  <c r="AU8" i="67"/>
  <c r="I18" i="45" s="1"/>
  <c r="AU11" i="67"/>
  <c r="I21" i="45" s="1"/>
  <c r="AU13" i="67"/>
  <c r="I23" i="45" s="1"/>
  <c r="AU15" i="67"/>
  <c r="AU17" i="67"/>
  <c r="AU18" i="67"/>
  <c r="I28" i="45" s="1"/>
  <c r="AU21" i="67"/>
  <c r="AU126" i="68" s="1"/>
  <c r="AT3" i="67"/>
  <c r="AT4" i="67"/>
  <c r="AT6" i="67"/>
  <c r="G16" i="45" s="1"/>
  <c r="AT7" i="67"/>
  <c r="G17" i="45" s="1"/>
  <c r="AT8" i="67"/>
  <c r="AT11" i="67"/>
  <c r="AT13" i="67"/>
  <c r="G23" i="45" s="1"/>
  <c r="AT15" i="67"/>
  <c r="AT17" i="67"/>
  <c r="G27" i="45" s="1"/>
  <c r="AT18" i="67"/>
  <c r="G28" i="45" s="1"/>
  <c r="AS3" i="67"/>
  <c r="AS63" i="67" s="1"/>
  <c r="AS4" i="67"/>
  <c r="AS6" i="67"/>
  <c r="AS7" i="67"/>
  <c r="C17" i="45" s="1"/>
  <c r="AS8" i="67"/>
  <c r="C18" i="45" s="1"/>
  <c r="AS11" i="67"/>
  <c r="AS13" i="67"/>
  <c r="C23" i="45" s="1"/>
  <c r="AS15" i="67"/>
  <c r="AS17" i="67"/>
  <c r="C27" i="45" s="1"/>
  <c r="AS18" i="67"/>
  <c r="C28" i="45" s="1"/>
  <c r="AS21" i="67"/>
  <c r="AS126" i="68" s="1"/>
  <c r="AR3" i="67"/>
  <c r="AR4" i="67"/>
  <c r="AR6" i="67"/>
  <c r="AR7" i="67"/>
  <c r="U17" i="62" s="1"/>
  <c r="W17" i="62" s="1"/>
  <c r="AR8" i="67"/>
  <c r="U18" i="62" s="1"/>
  <c r="W18" i="62" s="1"/>
  <c r="AR11" i="67"/>
  <c r="AR13" i="67"/>
  <c r="U23" i="62" s="1"/>
  <c r="AR15" i="67"/>
  <c r="AR17" i="67"/>
  <c r="U27" i="62" s="1"/>
  <c r="AR18" i="67"/>
  <c r="U28" i="62" s="1"/>
  <c r="AR21" i="67"/>
  <c r="U31" i="62" s="1"/>
  <c r="AA3" i="67"/>
  <c r="AA63" i="67" s="1"/>
  <c r="AA4" i="67"/>
  <c r="AA6" i="67"/>
  <c r="G16" i="53" s="1"/>
  <c r="AA7" i="67"/>
  <c r="G17" i="53" s="1"/>
  <c r="AA8" i="67"/>
  <c r="G18" i="53" s="1"/>
  <c r="AA11" i="67"/>
  <c r="G21" i="53" s="1"/>
  <c r="AA13" i="67"/>
  <c r="G23" i="53" s="1"/>
  <c r="AA15" i="67"/>
  <c r="AA124" i="68" s="1"/>
  <c r="AA17" i="67"/>
  <c r="G27" i="53" s="1"/>
  <c r="AA18" i="67"/>
  <c r="G28" i="53" s="1"/>
  <c r="AA21" i="67"/>
  <c r="AA126" i="68" s="1"/>
  <c r="Z3" i="67"/>
  <c r="E13" i="53" s="1"/>
  <c r="Z4" i="67"/>
  <c r="Z6" i="67"/>
  <c r="E16" i="53" s="1"/>
  <c r="Z7" i="67"/>
  <c r="E17" i="53" s="1"/>
  <c r="Z8" i="67"/>
  <c r="E18" i="53" s="1"/>
  <c r="Z11" i="67"/>
  <c r="E21" i="53" s="1"/>
  <c r="Z13" i="67"/>
  <c r="Z15" i="67"/>
  <c r="Z124" i="68" s="1"/>
  <c r="Z17" i="67"/>
  <c r="Z18" i="67"/>
  <c r="Z21" i="67"/>
  <c r="Z126" i="68" s="1"/>
  <c r="Y3" i="67"/>
  <c r="Y63" i="67" s="1"/>
  <c r="Y4" i="67"/>
  <c r="Y6" i="67"/>
  <c r="C16" i="53" s="1"/>
  <c r="Y7" i="67"/>
  <c r="C17" i="53" s="1"/>
  <c r="Y8" i="67"/>
  <c r="C18" i="53" s="1"/>
  <c r="Y11" i="67"/>
  <c r="Y13" i="67"/>
  <c r="Y15" i="67"/>
  <c r="Y124" i="68" s="1"/>
  <c r="Y17" i="67"/>
  <c r="Y18" i="67"/>
  <c r="Y21" i="67"/>
  <c r="Y126" i="68" s="1"/>
  <c r="U3" i="67"/>
  <c r="U63" i="67" s="1"/>
  <c r="U4" i="67"/>
  <c r="U6" i="67"/>
  <c r="U16" i="19" s="1"/>
  <c r="U7" i="67"/>
  <c r="U17" i="19" s="1"/>
  <c r="U8" i="67"/>
  <c r="U18" i="19" s="1"/>
  <c r="U11" i="67"/>
  <c r="U21" i="19" s="1"/>
  <c r="U13" i="67"/>
  <c r="U23" i="19" s="1"/>
  <c r="U15" i="67"/>
  <c r="U17" i="67"/>
  <c r="U27" i="19" s="1"/>
  <c r="U18" i="67"/>
  <c r="U28" i="19" s="1"/>
  <c r="U21" i="67"/>
  <c r="U126" i="68" s="1"/>
  <c r="W3" i="67"/>
  <c r="W4" i="67"/>
  <c r="W6" i="67"/>
  <c r="W7" i="67"/>
  <c r="Y17" i="19" s="1"/>
  <c r="W8" i="67"/>
  <c r="Y18" i="19" s="1"/>
  <c r="W11" i="67"/>
  <c r="Q3" i="67"/>
  <c r="O13" i="19" s="1"/>
  <c r="Q4" i="67"/>
  <c r="O14" i="19" s="1"/>
  <c r="Q6" i="67"/>
  <c r="Q7" i="67"/>
  <c r="O17" i="19" s="1"/>
  <c r="Q8" i="67"/>
  <c r="O18" i="19" s="1"/>
  <c r="Q11" i="67"/>
  <c r="O21" i="19" s="1"/>
  <c r="Q13" i="67"/>
  <c r="O23" i="19" s="1"/>
  <c r="Q15" i="67"/>
  <c r="Q17" i="67"/>
  <c r="O27" i="19" s="1"/>
  <c r="Q21" i="67"/>
  <c r="Q126" i="68" s="1"/>
  <c r="T3" i="67"/>
  <c r="T4" i="67"/>
  <c r="T6" i="67"/>
  <c r="T7" i="67"/>
  <c r="AG17" i="19" s="1"/>
  <c r="T8" i="67"/>
  <c r="T11" i="67"/>
  <c r="T13" i="67"/>
  <c r="AG23" i="19" s="1"/>
  <c r="T15" i="67"/>
  <c r="AG25" i="19" s="1"/>
  <c r="T17" i="67"/>
  <c r="AG27" i="19" s="1"/>
  <c r="T18" i="67"/>
  <c r="AG28" i="19" s="1"/>
  <c r="T21" i="67"/>
  <c r="T126" i="68" s="1"/>
  <c r="R3" i="67"/>
  <c r="R4" i="67"/>
  <c r="Q14" i="19" s="1"/>
  <c r="R6" i="67"/>
  <c r="R7" i="67"/>
  <c r="Q17" i="19" s="1"/>
  <c r="R8" i="67"/>
  <c r="Q18" i="19" s="1"/>
  <c r="R11" i="67"/>
  <c r="Q21" i="19" s="1"/>
  <c r="R13" i="67"/>
  <c r="Q23" i="19" s="1"/>
  <c r="R15" i="67"/>
  <c r="R17" i="67"/>
  <c r="R21" i="67"/>
  <c r="P3" i="67"/>
  <c r="P63" i="67" s="1"/>
  <c r="P4" i="67"/>
  <c r="M14" i="19" s="1"/>
  <c r="P6" i="67"/>
  <c r="P7" i="67"/>
  <c r="M17" i="19" s="1"/>
  <c r="P8" i="67"/>
  <c r="M18" i="19" s="1"/>
  <c r="P11" i="67"/>
  <c r="M21" i="19" s="1"/>
  <c r="P13" i="67"/>
  <c r="M23" i="19" s="1"/>
  <c r="P15" i="67"/>
  <c r="P17" i="67"/>
  <c r="M27" i="19" s="1"/>
  <c r="P21" i="67"/>
  <c r="P126" i="68" s="1"/>
  <c r="X3" i="67"/>
  <c r="AC13" i="19" s="1"/>
  <c r="X4" i="67"/>
  <c r="X6" i="67"/>
  <c r="AC16" i="19" s="1"/>
  <c r="X7" i="67"/>
  <c r="AC17" i="19" s="1"/>
  <c r="X8" i="67"/>
  <c r="AC18" i="19" s="1"/>
  <c r="X11" i="67"/>
  <c r="AC21" i="19" s="1"/>
  <c r="S3" i="67"/>
  <c r="S4" i="67"/>
  <c r="S6" i="67"/>
  <c r="S16" i="19" s="1"/>
  <c r="S7" i="67"/>
  <c r="S17" i="19" s="1"/>
  <c r="S8" i="67"/>
  <c r="S11" i="67"/>
  <c r="S13" i="67"/>
  <c r="S15" i="67"/>
  <c r="S17" i="67"/>
  <c r="S21" i="67"/>
  <c r="N3" i="67"/>
  <c r="I13" i="19" s="1"/>
  <c r="N4" i="67"/>
  <c r="N6" i="67"/>
  <c r="I16" i="19" s="1"/>
  <c r="N7" i="67"/>
  <c r="I17" i="19" s="1"/>
  <c r="N8" i="67"/>
  <c r="I18" i="19" s="1"/>
  <c r="N11" i="67"/>
  <c r="I21" i="19" s="1"/>
  <c r="N13" i="67"/>
  <c r="I23" i="19" s="1"/>
  <c r="N15" i="67"/>
  <c r="N17" i="67"/>
  <c r="I27" i="19" s="1"/>
  <c r="N21" i="67"/>
  <c r="N126" i="68" s="1"/>
  <c r="M3" i="67"/>
  <c r="M63" i="67" s="1"/>
  <c r="M4" i="67"/>
  <c r="M6" i="67"/>
  <c r="G16" i="19" s="1"/>
  <c r="M7" i="67"/>
  <c r="G17" i="19" s="1"/>
  <c r="M8" i="67"/>
  <c r="G18" i="19" s="1"/>
  <c r="M11" i="67"/>
  <c r="M13" i="67"/>
  <c r="G23" i="19" s="1"/>
  <c r="M15" i="67"/>
  <c r="M17" i="67"/>
  <c r="G27" i="19" s="1"/>
  <c r="M21" i="67"/>
  <c r="M126" i="68" s="1"/>
  <c r="L3" i="67"/>
  <c r="E13" i="19" s="1"/>
  <c r="L4" i="67"/>
  <c r="L6" i="67"/>
  <c r="L7" i="67"/>
  <c r="E17" i="19" s="1"/>
  <c r="L8" i="67"/>
  <c r="E18" i="19" s="1"/>
  <c r="L11" i="67"/>
  <c r="E21" i="19" s="1"/>
  <c r="L13" i="67"/>
  <c r="E23" i="19" s="1"/>
  <c r="L15" i="67"/>
  <c r="L124" i="68" s="1"/>
  <c r="L17" i="67"/>
  <c r="E27" i="19" s="1"/>
  <c r="L21" i="67"/>
  <c r="L126" i="68" s="1"/>
  <c r="K3" i="67"/>
  <c r="K4" i="67"/>
  <c r="K6" i="67"/>
  <c r="K7" i="67"/>
  <c r="C17" i="19" s="1"/>
  <c r="K8" i="67"/>
  <c r="C18" i="19" s="1"/>
  <c r="K11" i="67"/>
  <c r="K13" i="67"/>
  <c r="K15" i="67"/>
  <c r="K17" i="67"/>
  <c r="C27" i="19" s="1"/>
  <c r="K21" i="67"/>
  <c r="K126" i="68" s="1"/>
  <c r="J3" i="67"/>
  <c r="K12" i="43" s="1"/>
  <c r="J4" i="67"/>
  <c r="J6" i="67"/>
  <c r="J7" i="67"/>
  <c r="K16" i="43" s="1"/>
  <c r="J8" i="67"/>
  <c r="K17" i="43" s="1"/>
  <c r="J11" i="67"/>
  <c r="J13" i="67"/>
  <c r="K22" i="43" s="1"/>
  <c r="J17" i="67"/>
  <c r="J21" i="67"/>
  <c r="J126" i="68" s="1"/>
  <c r="I3" i="67"/>
  <c r="I63" i="67" s="1"/>
  <c r="I4" i="67"/>
  <c r="I64" i="67" s="1"/>
  <c r="I6" i="67"/>
  <c r="I7" i="67"/>
  <c r="I8" i="67"/>
  <c r="I17" i="43" s="1"/>
  <c r="I11" i="67"/>
  <c r="I66" i="67" s="1"/>
  <c r="I13" i="67"/>
  <c r="I26" i="43"/>
  <c r="I30" i="43"/>
  <c r="H3" i="67"/>
  <c r="H63" i="67" s="1"/>
  <c r="H4" i="67"/>
  <c r="H64" i="67" s="1"/>
  <c r="H6" i="67"/>
  <c r="H7" i="67"/>
  <c r="G16" i="43" s="1"/>
  <c r="H8" i="67"/>
  <c r="G17" i="43" s="1"/>
  <c r="H11" i="67"/>
  <c r="H66" i="67" s="1"/>
  <c r="H13" i="67"/>
  <c r="G26" i="43"/>
  <c r="H126" i="68"/>
  <c r="G3" i="67"/>
  <c r="G4" i="67"/>
  <c r="G64" i="67" s="1"/>
  <c r="G6" i="67"/>
  <c r="G7" i="67"/>
  <c r="E16" i="43" s="1"/>
  <c r="G8" i="67"/>
  <c r="G11" i="67"/>
  <c r="G66" i="67" s="1"/>
  <c r="G13" i="67"/>
  <c r="E26" i="43"/>
  <c r="G126" i="68"/>
  <c r="BP4" i="67"/>
  <c r="BP6" i="67"/>
  <c r="Y17" i="51" s="1"/>
  <c r="BP7" i="67"/>
  <c r="Y18" i="51" s="1"/>
  <c r="BP8" i="67"/>
  <c r="Y19" i="51" s="1"/>
  <c r="BP11" i="67"/>
  <c r="BU12" i="67"/>
  <c r="BP13" i="67"/>
  <c r="Y24" i="51" s="1"/>
  <c r="BP15" i="67"/>
  <c r="Y26" i="51" s="1"/>
  <c r="BP17" i="67"/>
  <c r="Y28" i="51" s="1"/>
  <c r="BP18" i="67"/>
  <c r="Y29" i="51" s="1"/>
  <c r="BP21" i="67"/>
  <c r="BP126" i="68" s="1"/>
  <c r="BP3" i="67"/>
  <c r="Y14" i="51" s="1"/>
  <c r="AF3" i="67"/>
  <c r="AF63" i="67" s="1"/>
  <c r="AF4" i="67"/>
  <c r="AF6" i="67"/>
  <c r="AF7" i="67"/>
  <c r="AF8" i="67"/>
  <c r="AF11" i="67"/>
  <c r="AF13" i="67"/>
  <c r="O23" i="53" s="1"/>
  <c r="AF15" i="67"/>
  <c r="AF17" i="67"/>
  <c r="O27" i="53" s="1"/>
  <c r="AF18" i="67"/>
  <c r="O28" i="53" s="1"/>
  <c r="AF21" i="67"/>
  <c r="O31" i="53" s="1"/>
  <c r="AB3" i="67"/>
  <c r="AB63" i="67" s="1"/>
  <c r="AB4" i="67"/>
  <c r="AB6" i="67"/>
  <c r="AB7" i="67"/>
  <c r="AB8" i="67"/>
  <c r="AB11" i="67"/>
  <c r="AB13" i="67"/>
  <c r="I23" i="53" s="1"/>
  <c r="AB15" i="67"/>
  <c r="AB17" i="67"/>
  <c r="I27" i="53" s="1"/>
  <c r="AB18" i="67"/>
  <c r="I28" i="53" s="1"/>
  <c r="AB21" i="67"/>
  <c r="F3" i="67"/>
  <c r="F63" i="67" s="1"/>
  <c r="F4" i="67"/>
  <c r="F6" i="67"/>
  <c r="F7" i="67"/>
  <c r="C16" i="43" s="1"/>
  <c r="F8" i="67"/>
  <c r="C17" i="43" s="1"/>
  <c r="F11" i="67"/>
  <c r="F66" i="67" s="1"/>
  <c r="F13" i="67"/>
  <c r="D3" i="67"/>
  <c r="D4" i="67"/>
  <c r="D6" i="67"/>
  <c r="E15" i="29" s="1"/>
  <c r="D7" i="67"/>
  <c r="E16" i="29" s="1"/>
  <c r="D8" i="67"/>
  <c r="E17" i="29" s="1"/>
  <c r="D11" i="67"/>
  <c r="D13" i="67"/>
  <c r="E22" i="29" s="1"/>
  <c r="D15" i="67"/>
  <c r="D124" i="68" s="1"/>
  <c r="D17" i="67"/>
  <c r="E26" i="29" s="1"/>
  <c r="D21" i="67"/>
  <c r="E30" i="29" s="1"/>
  <c r="BU53" i="67"/>
  <c r="L44" i="67"/>
  <c r="E53" i="19" s="1"/>
  <c r="M44" i="67"/>
  <c r="M129" i="68" s="1"/>
  <c r="N44" i="67"/>
  <c r="N129" i="68" s="1"/>
  <c r="O129" i="68"/>
  <c r="S44" i="67"/>
  <c r="P44" i="67"/>
  <c r="P129" i="68" s="1"/>
  <c r="R44" i="67"/>
  <c r="R129" i="68" s="1"/>
  <c r="AG53" i="19"/>
  <c r="U44" i="67"/>
  <c r="AA129" i="68"/>
  <c r="AS129" i="68"/>
  <c r="AT129" i="68"/>
  <c r="AV129" i="68"/>
  <c r="AX44" i="67"/>
  <c r="E53" i="45" s="1"/>
  <c r="AW129" i="68"/>
  <c r="AY129" i="68"/>
  <c r="V129" i="68"/>
  <c r="AZ129" i="68"/>
  <c r="BA129" i="68"/>
  <c r="BD44" i="67"/>
  <c r="BH44" i="67"/>
  <c r="BH129" i="68" s="1"/>
  <c r="BJ44" i="67"/>
  <c r="BJ129" i="68" s="1"/>
  <c r="BL44" i="67"/>
  <c r="BK44" i="67"/>
  <c r="O54" i="51" s="1"/>
  <c r="BM44" i="67"/>
  <c r="BO44" i="67"/>
  <c r="BO129" i="68" s="1"/>
  <c r="BF44" i="67"/>
  <c r="BF129" i="68" s="1"/>
  <c r="BG44" i="67"/>
  <c r="I54" i="51" s="1"/>
  <c r="BE44" i="67"/>
  <c r="G54" i="51" s="1"/>
  <c r="BI44" i="67"/>
  <c r="BI129" i="68" s="1"/>
  <c r="BP44" i="67"/>
  <c r="Y54" i="51" s="1"/>
  <c r="G52" i="45"/>
  <c r="BU42" i="67"/>
  <c r="BU36" i="67"/>
  <c r="W45" i="29" s="1"/>
  <c r="G128" i="68"/>
  <c r="H128" i="68"/>
  <c r="I128" i="68"/>
  <c r="J35" i="67"/>
  <c r="K35" i="67"/>
  <c r="L35" i="67"/>
  <c r="L128" i="68" s="1"/>
  <c r="M35" i="67"/>
  <c r="G44" i="19" s="1"/>
  <c r="S35" i="67"/>
  <c r="P35" i="67"/>
  <c r="R35" i="67"/>
  <c r="Q44" i="19" s="1"/>
  <c r="T35" i="67"/>
  <c r="Q35" i="67"/>
  <c r="O44" i="19" s="1"/>
  <c r="W35" i="67"/>
  <c r="U35" i="67"/>
  <c r="U44" i="19" s="1"/>
  <c r="Y35" i="67"/>
  <c r="Y70" i="67" s="1"/>
  <c r="Z35" i="67"/>
  <c r="Z70" i="67" s="1"/>
  <c r="AA35" i="67"/>
  <c r="AA128" i="68" s="1"/>
  <c r="AR35" i="67"/>
  <c r="AR70" i="67" s="1"/>
  <c r="AS35" i="67"/>
  <c r="AS70" i="67" s="1"/>
  <c r="AT35" i="67"/>
  <c r="AT70" i="67" s="1"/>
  <c r="AU35" i="67"/>
  <c r="AU70" i="67" s="1"/>
  <c r="AV35" i="67"/>
  <c r="K44" i="45" s="1"/>
  <c r="AX35" i="67"/>
  <c r="E44" i="45" s="1"/>
  <c r="AW35" i="67"/>
  <c r="AW70" i="67" s="1"/>
  <c r="AY35" i="67"/>
  <c r="AY70" i="67" s="1"/>
  <c r="AZ128" i="68"/>
  <c r="BA35" i="67"/>
  <c r="BB35" i="67"/>
  <c r="BB70" i="67" s="1"/>
  <c r="BD35" i="67"/>
  <c r="BD128" i="68" s="1"/>
  <c r="BH35" i="67"/>
  <c r="BH128" i="68" s="1"/>
  <c r="BJ35" i="67"/>
  <c r="BJ128" i="68" s="1"/>
  <c r="BL35" i="67"/>
  <c r="BL128" i="68" s="1"/>
  <c r="BK35" i="67"/>
  <c r="BK128" i="68" s="1"/>
  <c r="BM35" i="67"/>
  <c r="BM128" i="68" s="1"/>
  <c r="BO35" i="67"/>
  <c r="W45" i="51" s="1"/>
  <c r="BF35" i="67"/>
  <c r="BF128" i="68" s="1"/>
  <c r="BG35" i="67"/>
  <c r="BG128" i="68" s="1"/>
  <c r="BE35" i="67"/>
  <c r="BE128" i="68" s="1"/>
  <c r="BI35" i="67"/>
  <c r="BI128" i="68" s="1"/>
  <c r="BP35" i="67"/>
  <c r="BU33" i="67"/>
  <c r="BU32" i="67"/>
  <c r="BU144" i="68" s="1"/>
  <c r="BU30" i="67"/>
  <c r="BU29" i="67"/>
  <c r="BU28" i="67"/>
  <c r="D44" i="67"/>
  <c r="C44" i="67"/>
  <c r="C43" i="67"/>
  <c r="C52" i="29" s="1"/>
  <c r="D35" i="67"/>
  <c r="E44" i="29" s="1"/>
  <c r="AB35" i="67"/>
  <c r="AB128" i="68" s="1"/>
  <c r="AF35" i="67"/>
  <c r="AF70" i="67" s="1"/>
  <c r="CB156" i="68"/>
  <c r="CB157" i="68" s="1"/>
  <c r="CA156" i="68"/>
  <c r="CA157" i="68" s="1"/>
  <c r="BZ156" i="68"/>
  <c r="BZ157" i="68" s="1"/>
  <c r="BY156" i="68"/>
  <c r="BY157" i="68" s="1"/>
  <c r="BX156" i="68"/>
  <c r="BX157" i="68" s="1"/>
  <c r="BW156" i="68"/>
  <c r="BW157" i="68" s="1"/>
  <c r="BV156" i="68"/>
  <c r="BV157" i="68" s="1"/>
  <c r="BU156" i="68"/>
  <c r="BU157" i="68" s="1"/>
  <c r="BT156" i="68"/>
  <c r="BT157" i="68" s="1"/>
  <c r="BP156" i="68"/>
  <c r="BP157" i="68" s="1"/>
  <c r="BI156" i="68"/>
  <c r="BI157" i="68" s="1"/>
  <c r="BE156" i="68"/>
  <c r="BE157" i="68" s="1"/>
  <c r="BG156" i="68"/>
  <c r="BG157" i="68" s="1"/>
  <c r="BF156" i="68"/>
  <c r="BF157" i="68" s="1"/>
  <c r="BO156" i="68"/>
  <c r="BO157" i="68" s="1"/>
  <c r="BM156" i="68"/>
  <c r="BM157" i="68" s="1"/>
  <c r="BK156" i="68"/>
  <c r="BL156" i="68"/>
  <c r="BL157" i="68" s="1"/>
  <c r="BJ156" i="68"/>
  <c r="BJ157" i="68" s="1"/>
  <c r="BH156" i="68"/>
  <c r="BH157" i="68" s="1"/>
  <c r="BD156" i="68"/>
  <c r="BD157" i="68" s="1"/>
  <c r="BB156" i="68"/>
  <c r="BB157" i="68" s="1"/>
  <c r="BA156" i="68"/>
  <c r="BA157" i="68" s="1"/>
  <c r="AZ156" i="68"/>
  <c r="AZ157" i="68" s="1"/>
  <c r="V156" i="68"/>
  <c r="V157" i="68" s="1"/>
  <c r="AY156" i="68"/>
  <c r="AY157" i="68" s="1"/>
  <c r="AW156" i="68"/>
  <c r="AX156" i="68"/>
  <c r="AX157" i="68" s="1"/>
  <c r="AV156" i="68"/>
  <c r="AV157" i="68" s="1"/>
  <c r="AU156" i="68"/>
  <c r="AT156" i="68"/>
  <c r="AT157" i="68" s="1"/>
  <c r="AS156" i="68"/>
  <c r="AS157" i="68" s="1"/>
  <c r="AR156" i="68"/>
  <c r="AR157" i="68" s="1"/>
  <c r="AA156" i="68"/>
  <c r="Z156" i="68"/>
  <c r="Y156" i="68"/>
  <c r="U156" i="68"/>
  <c r="U157" i="68" s="1"/>
  <c r="W156" i="68"/>
  <c r="W157" i="68" s="1"/>
  <c r="Q156" i="68"/>
  <c r="Q157" i="68" s="1"/>
  <c r="BP55" i="67"/>
  <c r="BP81" i="69" s="1"/>
  <c r="BP89" i="69" s="1"/>
  <c r="BI55" i="67"/>
  <c r="BI3" i="70" s="1"/>
  <c r="BI60" i="70" s="1"/>
  <c r="BE55" i="67"/>
  <c r="BE3" i="70" s="1"/>
  <c r="BE60" i="70" s="1"/>
  <c r="BG55" i="67"/>
  <c r="BG3" i="70" s="1"/>
  <c r="BG60" i="70" s="1"/>
  <c r="BF55" i="67"/>
  <c r="BF3" i="70" s="1"/>
  <c r="BF60" i="70" s="1"/>
  <c r="BO55" i="67"/>
  <c r="BO3" i="70" s="1"/>
  <c r="BO60" i="70" s="1"/>
  <c r="BM55" i="67"/>
  <c r="BM3" i="70" s="1"/>
  <c r="BK55" i="67"/>
  <c r="BK3" i="70" s="1"/>
  <c r="BK60" i="70" s="1"/>
  <c r="BL3" i="70"/>
  <c r="BL60" i="70" s="1"/>
  <c r="BH55" i="67"/>
  <c r="BH3" i="70" s="1"/>
  <c r="BH60" i="70" s="1"/>
  <c r="BB55" i="67"/>
  <c r="BB3" i="70" s="1"/>
  <c r="BA55" i="67"/>
  <c r="BA3" i="70" s="1"/>
  <c r="AZ55" i="67"/>
  <c r="AZ3" i="70" s="1"/>
  <c r="AY55" i="67"/>
  <c r="AY3" i="70" s="1"/>
  <c r="U55" i="67"/>
  <c r="U3" i="70" s="1"/>
  <c r="W3" i="70"/>
  <c r="Q55" i="67"/>
  <c r="Q3" i="70" s="1"/>
  <c r="Q60" i="70" s="1"/>
  <c r="T3" i="70"/>
  <c r="R55" i="67"/>
  <c r="R3" i="70" s="1"/>
  <c r="R60" i="70" s="1"/>
  <c r="P55" i="67"/>
  <c r="P3" i="70" s="1"/>
  <c r="S55" i="67"/>
  <c r="S3" i="70" s="1"/>
  <c r="S60" i="70" s="1"/>
  <c r="O55" i="67"/>
  <c r="O3" i="70" s="1"/>
  <c r="O60" i="70" s="1"/>
  <c r="N55" i="67"/>
  <c r="N3" i="70" s="1"/>
  <c r="N60" i="70" s="1"/>
  <c r="M55" i="67"/>
  <c r="M3" i="70" s="1"/>
  <c r="M60" i="70" s="1"/>
  <c r="L55" i="67"/>
  <c r="L3" i="70" s="1"/>
  <c r="K3" i="70"/>
  <c r="K60" i="70" s="1"/>
  <c r="J55" i="67"/>
  <c r="J3" i="70" s="1"/>
  <c r="J60" i="70" s="1"/>
  <c r="W73" i="60"/>
  <c r="W54" i="60"/>
  <c r="W78" i="60" s="1"/>
  <c r="W23" i="60"/>
  <c r="W133" i="58"/>
  <c r="AB155" i="68"/>
  <c r="AF155" i="68"/>
  <c r="Y155" i="68"/>
  <c r="Z155" i="68"/>
  <c r="AA155" i="68"/>
  <c r="AU155" i="68"/>
  <c r="AW155" i="68"/>
  <c r="BK155" i="68"/>
  <c r="D156" i="68"/>
  <c r="D157" i="68" s="1"/>
  <c r="AB156" i="68"/>
  <c r="AF156" i="68"/>
  <c r="G156" i="68"/>
  <c r="H156" i="68"/>
  <c r="H157" i="68" s="1"/>
  <c r="I156" i="68"/>
  <c r="I157" i="68" s="1"/>
  <c r="J156" i="68"/>
  <c r="J157" i="68" s="1"/>
  <c r="K156" i="68"/>
  <c r="K157" i="68" s="1"/>
  <c r="L156" i="68"/>
  <c r="L157" i="68" s="1"/>
  <c r="M156" i="68"/>
  <c r="M157" i="68" s="1"/>
  <c r="N156" i="68"/>
  <c r="N157" i="68" s="1"/>
  <c r="O156" i="68"/>
  <c r="O157" i="68" s="1"/>
  <c r="S156" i="68"/>
  <c r="S157" i="68" s="1"/>
  <c r="X156" i="68"/>
  <c r="X157" i="68" s="1"/>
  <c r="P156" i="68"/>
  <c r="P157" i="68" s="1"/>
  <c r="R156" i="68"/>
  <c r="R157" i="68" s="1"/>
  <c r="T156" i="68"/>
  <c r="T157" i="68" s="1"/>
  <c r="C161" i="68"/>
  <c r="D161" i="68"/>
  <c r="AB161" i="68"/>
  <c r="AF161" i="68"/>
  <c r="G161" i="68"/>
  <c r="H161" i="68"/>
  <c r="I161" i="68"/>
  <c r="J161" i="68"/>
  <c r="K161" i="68"/>
  <c r="L161" i="68"/>
  <c r="M161" i="68"/>
  <c r="N161" i="68"/>
  <c r="O161" i="68"/>
  <c r="S161" i="68"/>
  <c r="X161" i="68"/>
  <c r="P161" i="68"/>
  <c r="R161" i="68"/>
  <c r="T161" i="68"/>
  <c r="Q161" i="68"/>
  <c r="W161" i="68"/>
  <c r="U161" i="68"/>
  <c r="Y161" i="68"/>
  <c r="Z161" i="68"/>
  <c r="AA161" i="68"/>
  <c r="AR161" i="68"/>
  <c r="AS161" i="68"/>
  <c r="AT161" i="68"/>
  <c r="AU161" i="68"/>
  <c r="AV161" i="68"/>
  <c r="AX161" i="68"/>
  <c r="AW161" i="68"/>
  <c r="AY161" i="68"/>
  <c r="V161" i="68"/>
  <c r="AZ161" i="68"/>
  <c r="BA161" i="68"/>
  <c r="BB161" i="68"/>
  <c r="BD161" i="68"/>
  <c r="BH161" i="68"/>
  <c r="BJ161" i="68"/>
  <c r="BL161" i="68"/>
  <c r="BK161" i="68"/>
  <c r="BM161" i="68"/>
  <c r="BO161" i="68"/>
  <c r="BF161" i="68"/>
  <c r="BG161" i="68"/>
  <c r="BE161" i="68"/>
  <c r="BI161" i="68"/>
  <c r="BP161" i="68"/>
  <c r="BT161" i="68"/>
  <c r="BU161" i="68"/>
  <c r="BV161" i="68"/>
  <c r="BW161" i="68"/>
  <c r="BX161" i="68"/>
  <c r="BY161" i="68"/>
  <c r="BZ161" i="68"/>
  <c r="CA161" i="68"/>
  <c r="CB161" i="68"/>
  <c r="C162" i="68"/>
  <c r="D162" i="68"/>
  <c r="AB162" i="68"/>
  <c r="AF162" i="68"/>
  <c r="G162" i="68"/>
  <c r="H162" i="68"/>
  <c r="I162" i="68"/>
  <c r="J162" i="68"/>
  <c r="K162" i="68"/>
  <c r="L162" i="68"/>
  <c r="M162" i="68"/>
  <c r="N162" i="68"/>
  <c r="O162" i="68"/>
  <c r="S162" i="68"/>
  <c r="X162" i="68"/>
  <c r="P162" i="68"/>
  <c r="R162" i="68"/>
  <c r="T162" i="68"/>
  <c r="Q162" i="68"/>
  <c r="W162" i="68"/>
  <c r="U162" i="68"/>
  <c r="Y162" i="68"/>
  <c r="Z162" i="68"/>
  <c r="AA162" i="68"/>
  <c r="AR162" i="68"/>
  <c r="AS162" i="68"/>
  <c r="AT162" i="68"/>
  <c r="AU162" i="68"/>
  <c r="AV162" i="68"/>
  <c r="AX162" i="68"/>
  <c r="AW162" i="68"/>
  <c r="AY162" i="68"/>
  <c r="V162" i="68"/>
  <c r="AZ162" i="68"/>
  <c r="BA162" i="68"/>
  <c r="BB162" i="68"/>
  <c r="BD162" i="68"/>
  <c r="BH162" i="68"/>
  <c r="BJ162" i="68"/>
  <c r="BL162" i="68"/>
  <c r="BK162" i="68"/>
  <c r="BM162" i="68"/>
  <c r="BO162" i="68"/>
  <c r="BF162" i="68"/>
  <c r="BG162" i="68"/>
  <c r="BE162" i="68"/>
  <c r="BI162" i="68"/>
  <c r="BP162" i="68"/>
  <c r="BT162" i="68"/>
  <c r="BU162" i="68"/>
  <c r="BV162" i="68"/>
  <c r="BW162" i="68"/>
  <c r="BX162" i="68"/>
  <c r="BY162" i="68"/>
  <c r="BZ162" i="68"/>
  <c r="CA162" i="68"/>
  <c r="CB162" i="68"/>
  <c r="C163" i="68"/>
  <c r="D163" i="68"/>
  <c r="AB163" i="68"/>
  <c r="AF163" i="68"/>
  <c r="G163" i="68"/>
  <c r="H163" i="68"/>
  <c r="I163" i="68"/>
  <c r="J163" i="68"/>
  <c r="K163" i="68"/>
  <c r="L163" i="68"/>
  <c r="M163" i="68"/>
  <c r="N163" i="68"/>
  <c r="O163" i="68"/>
  <c r="S163" i="68"/>
  <c r="X163" i="68"/>
  <c r="P163" i="68"/>
  <c r="R163" i="68"/>
  <c r="T163" i="68"/>
  <c r="Q163" i="68"/>
  <c r="W163" i="68"/>
  <c r="U163" i="68"/>
  <c r="Y163" i="68"/>
  <c r="Z163" i="68"/>
  <c r="AA163" i="68"/>
  <c r="AR163" i="68"/>
  <c r="AS163" i="68"/>
  <c r="AT163" i="68"/>
  <c r="AU163" i="68"/>
  <c r="AV163" i="68"/>
  <c r="AX163" i="68"/>
  <c r="AW163" i="68"/>
  <c r="AY163" i="68"/>
  <c r="V163" i="68"/>
  <c r="AZ163" i="68"/>
  <c r="BA163" i="68"/>
  <c r="BB163" i="68"/>
  <c r="BD163" i="68"/>
  <c r="BH163" i="68"/>
  <c r="BJ163" i="68"/>
  <c r="BL163" i="68"/>
  <c r="BK163" i="68"/>
  <c r="BM163" i="68"/>
  <c r="BO163" i="68"/>
  <c r="BF163" i="68"/>
  <c r="BG163" i="68"/>
  <c r="BE163" i="68"/>
  <c r="BI163" i="68"/>
  <c r="BP163" i="68"/>
  <c r="BT163" i="68"/>
  <c r="BU163" i="68"/>
  <c r="BV163" i="68"/>
  <c r="BW163" i="68"/>
  <c r="BX163" i="68"/>
  <c r="BY163" i="68"/>
  <c r="BZ163" i="68"/>
  <c r="CA163" i="68"/>
  <c r="CB163" i="68"/>
  <c r="C164" i="68"/>
  <c r="D164" i="68"/>
  <c r="AB164" i="68"/>
  <c r="AF164" i="68"/>
  <c r="G164" i="68"/>
  <c r="H164" i="68"/>
  <c r="I164" i="68"/>
  <c r="J164" i="68"/>
  <c r="K164" i="68"/>
  <c r="L164" i="68"/>
  <c r="M164" i="68"/>
  <c r="N164" i="68"/>
  <c r="O164" i="68"/>
  <c r="S164" i="68"/>
  <c r="X164" i="68"/>
  <c r="P164" i="68"/>
  <c r="R164" i="68"/>
  <c r="T164" i="68"/>
  <c r="Q164" i="68"/>
  <c r="W164" i="68"/>
  <c r="U164" i="68"/>
  <c r="Y164" i="68"/>
  <c r="Z164" i="68"/>
  <c r="AA164" i="68"/>
  <c r="AR164" i="68"/>
  <c r="AS164" i="68"/>
  <c r="AT164" i="68"/>
  <c r="AU164" i="68"/>
  <c r="AV164" i="68"/>
  <c r="AX164" i="68"/>
  <c r="AW164" i="68"/>
  <c r="AY164" i="68"/>
  <c r="V164" i="68"/>
  <c r="AZ164" i="68"/>
  <c r="BA164" i="68"/>
  <c r="BB164" i="68"/>
  <c r="BD164" i="68"/>
  <c r="BH164" i="68"/>
  <c r="BJ164" i="68"/>
  <c r="BL164" i="68"/>
  <c r="BK164" i="68"/>
  <c r="BM164" i="68"/>
  <c r="BO164" i="68"/>
  <c r="BF164" i="68"/>
  <c r="BG164" i="68"/>
  <c r="BE164" i="68"/>
  <c r="BI164" i="68"/>
  <c r="BP164" i="68"/>
  <c r="BT164" i="68"/>
  <c r="BU164" i="68"/>
  <c r="BV164" i="68"/>
  <c r="BW164" i="68"/>
  <c r="BX164" i="68"/>
  <c r="BY164" i="68"/>
  <c r="BZ164" i="68"/>
  <c r="CA164" i="68"/>
  <c r="CB164" i="68"/>
  <c r="C166" i="68"/>
  <c r="D166" i="68"/>
  <c r="AB166" i="68"/>
  <c r="AF166" i="68"/>
  <c r="G166" i="68"/>
  <c r="H166" i="68"/>
  <c r="I166" i="68"/>
  <c r="J166" i="68"/>
  <c r="K166" i="68"/>
  <c r="L166" i="68"/>
  <c r="M166" i="68"/>
  <c r="N166" i="68"/>
  <c r="O166" i="68"/>
  <c r="S166" i="68"/>
  <c r="X166" i="68"/>
  <c r="P166" i="68"/>
  <c r="R166" i="68"/>
  <c r="T166" i="68"/>
  <c r="Q166" i="68"/>
  <c r="W166" i="68"/>
  <c r="U166" i="68"/>
  <c r="Y166" i="68"/>
  <c r="Z166" i="68"/>
  <c r="AA166" i="68"/>
  <c r="AR166" i="68"/>
  <c r="AS166" i="68"/>
  <c r="AT166" i="68"/>
  <c r="AU166" i="68"/>
  <c r="AV166" i="68"/>
  <c r="AX166" i="68"/>
  <c r="AW166" i="68"/>
  <c r="AY166" i="68"/>
  <c r="V166" i="68"/>
  <c r="AZ166" i="68"/>
  <c r="BA166" i="68"/>
  <c r="BB166" i="68"/>
  <c r="BD166" i="68"/>
  <c r="BH166" i="68"/>
  <c r="BL166" i="68"/>
  <c r="BK166" i="68"/>
  <c r="BM166" i="68"/>
  <c r="BO166" i="68"/>
  <c r="BF166" i="68"/>
  <c r="BG166" i="68"/>
  <c r="BE166" i="68"/>
  <c r="BI166" i="68"/>
  <c r="BP166" i="68"/>
  <c r="BT166" i="68"/>
  <c r="BU166" i="68"/>
  <c r="BV166" i="68"/>
  <c r="BW166" i="68"/>
  <c r="BX166" i="68"/>
  <c r="BY166" i="68"/>
  <c r="BZ166" i="68"/>
  <c r="CA166" i="68"/>
  <c r="CB166" i="68"/>
  <c r="C173" i="68"/>
  <c r="D173" i="68"/>
  <c r="AB173" i="68"/>
  <c r="AF173" i="68"/>
  <c r="G173" i="68"/>
  <c r="H173" i="68"/>
  <c r="I173" i="68"/>
  <c r="J173" i="68"/>
  <c r="K173" i="68"/>
  <c r="L173" i="68"/>
  <c r="M173" i="68"/>
  <c r="N173" i="68"/>
  <c r="O173" i="68"/>
  <c r="S173" i="68"/>
  <c r="X173" i="68"/>
  <c r="P173" i="68"/>
  <c r="R173" i="68"/>
  <c r="T173" i="68"/>
  <c r="Q173" i="68"/>
  <c r="W173" i="68"/>
  <c r="U173" i="68"/>
  <c r="Y173" i="68"/>
  <c r="Z173" i="68"/>
  <c r="AA173" i="68"/>
  <c r="AR173" i="68"/>
  <c r="AS173" i="68"/>
  <c r="AT173" i="68"/>
  <c r="AU173" i="68"/>
  <c r="AV173" i="68"/>
  <c r="AX173" i="68"/>
  <c r="AW173" i="68"/>
  <c r="AY173" i="68"/>
  <c r="V173" i="68"/>
  <c r="AZ173" i="68"/>
  <c r="BA173" i="68"/>
  <c r="BB173" i="68"/>
  <c r="BD173" i="68"/>
  <c r="BH173" i="68"/>
  <c r="BJ173" i="68"/>
  <c r="BL173" i="68"/>
  <c r="BK173" i="68"/>
  <c r="BM173" i="68"/>
  <c r="BO173" i="68"/>
  <c r="BF173" i="68"/>
  <c r="BG173" i="68"/>
  <c r="BE173" i="68"/>
  <c r="BI173" i="68"/>
  <c r="BP173" i="68"/>
  <c r="BT173" i="68"/>
  <c r="BU173" i="68"/>
  <c r="BV173" i="68"/>
  <c r="BW173" i="68"/>
  <c r="BX173" i="68"/>
  <c r="BY173" i="68"/>
  <c r="BZ173" i="68"/>
  <c r="CA173" i="68"/>
  <c r="CB173" i="68"/>
  <c r="C174" i="68"/>
  <c r="D174" i="68"/>
  <c r="AB174" i="68"/>
  <c r="AF174" i="68"/>
  <c r="G174" i="68"/>
  <c r="H174" i="68"/>
  <c r="I174" i="68"/>
  <c r="J174" i="68"/>
  <c r="K174" i="68"/>
  <c r="L174" i="68"/>
  <c r="M174" i="68"/>
  <c r="N174" i="68"/>
  <c r="O174" i="68"/>
  <c r="S174" i="68"/>
  <c r="X174" i="68"/>
  <c r="P174" i="68"/>
  <c r="R174" i="68"/>
  <c r="T174" i="68"/>
  <c r="Q174" i="68"/>
  <c r="W174" i="68"/>
  <c r="U174" i="68"/>
  <c r="AA174" i="68"/>
  <c r="AR174" i="68"/>
  <c r="AS174" i="68"/>
  <c r="AT174" i="68"/>
  <c r="AV174" i="68"/>
  <c r="AX174" i="68"/>
  <c r="AW174" i="68"/>
  <c r="AY174" i="68"/>
  <c r="V174" i="68"/>
  <c r="AZ174" i="68"/>
  <c r="BA174" i="68"/>
  <c r="BB174" i="68"/>
  <c r="BD174" i="68"/>
  <c r="BH174" i="68"/>
  <c r="BJ174" i="68"/>
  <c r="BL174" i="68"/>
  <c r="BK174" i="68"/>
  <c r="BM174" i="68"/>
  <c r="BO174" i="68"/>
  <c r="BF174" i="68"/>
  <c r="BG174" i="68"/>
  <c r="BE174" i="68"/>
  <c r="BI174" i="68"/>
  <c r="BP174" i="68"/>
  <c r="BT174" i="68"/>
  <c r="BU174" i="68"/>
  <c r="BV174" i="68"/>
  <c r="BW174" i="68"/>
  <c r="BX174" i="68"/>
  <c r="BY174" i="68"/>
  <c r="BZ174" i="68"/>
  <c r="CA174" i="68"/>
  <c r="CB174" i="68"/>
  <c r="C175" i="68"/>
  <c r="D175" i="68"/>
  <c r="AB175" i="68"/>
  <c r="AF175" i="68"/>
  <c r="G175" i="68"/>
  <c r="H175" i="68"/>
  <c r="I175" i="68"/>
  <c r="J175" i="68"/>
  <c r="K175" i="68"/>
  <c r="L175" i="68"/>
  <c r="M175" i="68"/>
  <c r="N175" i="68"/>
  <c r="O175" i="68"/>
  <c r="S175" i="68"/>
  <c r="X175" i="68"/>
  <c r="P175" i="68"/>
  <c r="R175" i="68"/>
  <c r="T175" i="68"/>
  <c r="Q175" i="68"/>
  <c r="W175" i="68"/>
  <c r="U175" i="68"/>
  <c r="Y175" i="68"/>
  <c r="Z175" i="68"/>
  <c r="AA175" i="68"/>
  <c r="AR175" i="68"/>
  <c r="AS175" i="68"/>
  <c r="AT175" i="68"/>
  <c r="AU175" i="68"/>
  <c r="AV175" i="68"/>
  <c r="AX175" i="68"/>
  <c r="AW175" i="68"/>
  <c r="AY175" i="68"/>
  <c r="V175" i="68"/>
  <c r="AZ175" i="68"/>
  <c r="BA175" i="68"/>
  <c r="BB175" i="68"/>
  <c r="BD175" i="68"/>
  <c r="BH175" i="68"/>
  <c r="BJ175" i="68"/>
  <c r="BL175" i="68"/>
  <c r="BK175" i="68"/>
  <c r="BM175" i="68"/>
  <c r="BO175" i="68"/>
  <c r="BF175" i="68"/>
  <c r="BG175" i="68"/>
  <c r="BE175" i="68"/>
  <c r="BI175" i="68"/>
  <c r="BP175" i="68"/>
  <c r="BT175" i="68"/>
  <c r="BU175" i="68"/>
  <c r="BV175" i="68"/>
  <c r="BW175" i="68"/>
  <c r="BX175" i="68"/>
  <c r="BY175" i="68"/>
  <c r="BZ175" i="68"/>
  <c r="CA175" i="68"/>
  <c r="CB175" i="68"/>
  <c r="C176" i="68"/>
  <c r="D176" i="68"/>
  <c r="AB176" i="68"/>
  <c r="AF176" i="68"/>
  <c r="G176" i="68"/>
  <c r="H176" i="68"/>
  <c r="I176" i="68"/>
  <c r="J176" i="68"/>
  <c r="K176" i="68"/>
  <c r="L176" i="68"/>
  <c r="M176" i="68"/>
  <c r="N176" i="68"/>
  <c r="O176" i="68"/>
  <c r="S176" i="68"/>
  <c r="X176" i="68"/>
  <c r="P176" i="68"/>
  <c r="R176" i="68"/>
  <c r="T176" i="68"/>
  <c r="Q176" i="68"/>
  <c r="W176" i="68"/>
  <c r="U176" i="68"/>
  <c r="Y176" i="68"/>
  <c r="Z176" i="68"/>
  <c r="AA176" i="68"/>
  <c r="AR176" i="68"/>
  <c r="AS176" i="68"/>
  <c r="AT176" i="68"/>
  <c r="AU176" i="68"/>
  <c r="AV176" i="68"/>
  <c r="AX176" i="68"/>
  <c r="AW176" i="68"/>
  <c r="AY176" i="68"/>
  <c r="V176" i="68"/>
  <c r="AZ176" i="68"/>
  <c r="BA176" i="68"/>
  <c r="BB176" i="68"/>
  <c r="BD176" i="68"/>
  <c r="BH176" i="68"/>
  <c r="BJ176" i="68"/>
  <c r="BL176" i="68"/>
  <c r="BK176" i="68"/>
  <c r="BM176" i="68"/>
  <c r="BO176" i="68"/>
  <c r="BF176" i="68"/>
  <c r="BG176" i="68"/>
  <c r="BE176" i="68"/>
  <c r="BI176" i="68"/>
  <c r="BP176" i="68"/>
  <c r="BT176" i="68"/>
  <c r="BU176" i="68"/>
  <c r="BV176" i="68"/>
  <c r="BW176" i="68"/>
  <c r="BX176" i="68"/>
  <c r="BY176" i="68"/>
  <c r="BZ176" i="68"/>
  <c r="CA176" i="68"/>
  <c r="CB176" i="68"/>
  <c r="C177" i="68"/>
  <c r="D177" i="68"/>
  <c r="AB177" i="68"/>
  <c r="G177" i="68"/>
  <c r="H177" i="68"/>
  <c r="I177" i="68"/>
  <c r="J177" i="68"/>
  <c r="K177" i="68"/>
  <c r="L177" i="68"/>
  <c r="M177" i="68"/>
  <c r="N177" i="68"/>
  <c r="O177" i="68"/>
  <c r="S177" i="68"/>
  <c r="X177" i="68"/>
  <c r="P177" i="68"/>
  <c r="R177" i="68"/>
  <c r="T177" i="68"/>
  <c r="Q177" i="68"/>
  <c r="W177" i="68"/>
  <c r="U177" i="68"/>
  <c r="Y177" i="68"/>
  <c r="Z177" i="68"/>
  <c r="AA177" i="68"/>
  <c r="AR177" i="68"/>
  <c r="AS177" i="68"/>
  <c r="AU177" i="68"/>
  <c r="AV177" i="68"/>
  <c r="AX177" i="68"/>
  <c r="AW177" i="68"/>
  <c r="AY177" i="68"/>
  <c r="V177" i="68"/>
  <c r="AZ177" i="68"/>
  <c r="BA177" i="68"/>
  <c r="BB177" i="68"/>
  <c r="BD177" i="68"/>
  <c r="BH177" i="68"/>
  <c r="BJ177" i="68"/>
  <c r="BL177" i="68"/>
  <c r="BK177" i="68"/>
  <c r="BM177" i="68"/>
  <c r="BO177" i="68"/>
  <c r="BF177" i="68"/>
  <c r="BG177" i="68"/>
  <c r="BE177" i="68"/>
  <c r="BI177" i="68"/>
  <c r="BP177" i="68"/>
  <c r="BT177" i="68"/>
  <c r="BU177" i="68"/>
  <c r="BV177" i="68"/>
  <c r="BW177" i="68"/>
  <c r="BX177" i="68"/>
  <c r="BY177" i="68"/>
  <c r="BZ177" i="68"/>
  <c r="CA177" i="68"/>
  <c r="CB177" i="68"/>
  <c r="CC166" i="68"/>
  <c r="CC157" i="68"/>
  <c r="CC161" i="68"/>
  <c r="CC162" i="68"/>
  <c r="CC163" i="68"/>
  <c r="CC164" i="68"/>
  <c r="CC173" i="68"/>
  <c r="CC174" i="68"/>
  <c r="CC175" i="68"/>
  <c r="CC176" i="68"/>
  <c r="CC177" i="68"/>
  <c r="O59" i="10"/>
  <c r="N72" i="23" s="1"/>
  <c r="S28" i="57"/>
  <c r="S30" i="57" s="1"/>
  <c r="C60" i="14"/>
  <c r="G60" i="14"/>
  <c r="I60" i="14"/>
  <c r="K60" i="14"/>
  <c r="I63" i="14"/>
  <c r="K63" i="14"/>
  <c r="O74" i="58"/>
  <c r="O93" i="58" s="1"/>
  <c r="O139" i="58" s="1"/>
  <c r="O39" i="58"/>
  <c r="Q74" i="58"/>
  <c r="Q39" i="58"/>
  <c r="S74" i="58"/>
  <c r="S39" i="58"/>
  <c r="U66" i="58"/>
  <c r="U74" i="58" s="1"/>
  <c r="U39" i="58"/>
  <c r="F138" i="66"/>
  <c r="I32" i="30" s="1"/>
  <c r="U133" i="58"/>
  <c r="N12" i="6"/>
  <c r="E16" i="39" s="1"/>
  <c r="E18" i="39" s="1"/>
  <c r="N13" i="6"/>
  <c r="N14" i="6"/>
  <c r="H16" i="6"/>
  <c r="J16" i="6"/>
  <c r="L16" i="6"/>
  <c r="N19" i="6"/>
  <c r="N21" i="6" s="1"/>
  <c r="H21" i="6"/>
  <c r="J21" i="6"/>
  <c r="L21" i="6"/>
  <c r="N25" i="6"/>
  <c r="L11" i="7"/>
  <c r="L12" i="7"/>
  <c r="L14" i="7"/>
  <c r="F16" i="7"/>
  <c r="H16" i="7"/>
  <c r="H28" i="7" s="1"/>
  <c r="J16" i="7"/>
  <c r="L19" i="7"/>
  <c r="L21" i="7" s="1"/>
  <c r="F21" i="7"/>
  <c r="H21" i="7"/>
  <c r="J21" i="7"/>
  <c r="L25" i="7"/>
  <c r="AC13" i="17"/>
  <c r="AC14" i="17"/>
  <c r="AC15" i="17"/>
  <c r="AC16" i="17"/>
  <c r="AC17" i="17"/>
  <c r="AC18" i="17"/>
  <c r="AC19" i="17"/>
  <c r="AC20" i="17"/>
  <c r="AC21" i="17"/>
  <c r="AC22" i="17"/>
  <c r="AC23" i="17"/>
  <c r="AC24" i="17"/>
  <c r="AC25" i="17"/>
  <c r="AC26" i="17"/>
  <c r="AC27" i="17"/>
  <c r="AC28" i="17"/>
  <c r="AC29" i="17"/>
  <c r="AC30" i="17"/>
  <c r="AC31" i="17"/>
  <c r="AC32" i="17"/>
  <c r="AC33" i="17"/>
  <c r="AC34" i="17"/>
  <c r="AC35" i="17"/>
  <c r="AC36" i="17"/>
  <c r="AC37" i="17"/>
  <c r="AC38" i="17"/>
  <c r="AC39" i="17"/>
  <c r="AC40" i="17"/>
  <c r="AC41" i="17"/>
  <c r="AC42" i="17"/>
  <c r="AC43" i="17"/>
  <c r="AC44" i="17"/>
  <c r="AC45" i="17"/>
  <c r="AC46" i="17"/>
  <c r="AC47" i="17"/>
  <c r="AC48" i="17"/>
  <c r="AC49" i="17"/>
  <c r="AC50" i="17"/>
  <c r="AC51" i="17"/>
  <c r="AC52" i="17"/>
  <c r="AE52" i="16" s="1"/>
  <c r="AC53" i="17"/>
  <c r="AC54" i="17"/>
  <c r="AC55" i="17"/>
  <c r="AC56" i="17"/>
  <c r="AC57" i="17"/>
  <c r="AC58" i="17"/>
  <c r="AC59" i="17"/>
  <c r="AC60" i="17"/>
  <c r="AE60" i="16" s="1"/>
  <c r="AC61" i="17"/>
  <c r="AC62" i="17"/>
  <c r="AC63" i="17"/>
  <c r="AC64" i="17"/>
  <c r="AC65" i="17"/>
  <c r="AC66" i="17"/>
  <c r="AC67" i="17"/>
  <c r="AC68" i="17"/>
  <c r="AC69" i="17"/>
  <c r="AC70" i="17"/>
  <c r="AC71" i="17"/>
  <c r="AC72" i="17"/>
  <c r="AC73" i="17"/>
  <c r="AC74" i="17"/>
  <c r="AC75" i="17"/>
  <c r="AC76" i="17"/>
  <c r="AE76" i="16" s="1"/>
  <c r="AC77" i="17"/>
  <c r="AC78" i="17"/>
  <c r="AC79" i="17"/>
  <c r="AC80" i="17"/>
  <c r="AC81" i="17"/>
  <c r="AC82" i="17"/>
  <c r="AC83" i="17"/>
  <c r="AC84" i="17"/>
  <c r="AC85" i="17"/>
  <c r="AC86" i="17"/>
  <c r="AC87" i="17"/>
  <c r="AC88" i="17"/>
  <c r="AC89" i="17"/>
  <c r="AC90" i="17"/>
  <c r="AC91" i="17"/>
  <c r="AC92" i="17"/>
  <c r="AC93" i="17"/>
  <c r="AC94" i="17"/>
  <c r="AC95" i="17"/>
  <c r="AC96" i="17"/>
  <c r="E98" i="17"/>
  <c r="H98" i="17"/>
  <c r="K98" i="17"/>
  <c r="N98" i="17"/>
  <c r="N100" i="17" s="1"/>
  <c r="Q98" i="17"/>
  <c r="Q100" i="17" s="1"/>
  <c r="T98" i="17"/>
  <c r="T100" i="17" s="1"/>
  <c r="W98" i="17"/>
  <c r="Z98" i="17"/>
  <c r="K15" i="19"/>
  <c r="K22" i="19"/>
  <c r="W13" i="16"/>
  <c r="W14" i="16"/>
  <c r="AC14" i="16"/>
  <c r="W15" i="16"/>
  <c r="AC15" i="16" s="1"/>
  <c r="AE15" i="16" s="1"/>
  <c r="W16" i="16"/>
  <c r="AC16" i="16" s="1"/>
  <c r="AE16" i="16" s="1"/>
  <c r="W17" i="16"/>
  <c r="AC17" i="16" s="1"/>
  <c r="W18" i="16"/>
  <c r="AC18" i="16" s="1"/>
  <c r="AE18" i="16" s="1"/>
  <c r="W19" i="16"/>
  <c r="AC19" i="16"/>
  <c r="AE19" i="16" s="1"/>
  <c r="W20" i="16"/>
  <c r="AC20" i="16" s="1"/>
  <c r="W21" i="16"/>
  <c r="AC21" i="16" s="1"/>
  <c r="W22" i="16"/>
  <c r="AC22" i="16" s="1"/>
  <c r="W23" i="16"/>
  <c r="AC23" i="16" s="1"/>
  <c r="AE23" i="16" s="1"/>
  <c r="W24" i="16"/>
  <c r="AC24" i="16" s="1"/>
  <c r="W25" i="16"/>
  <c r="AC25" i="16" s="1"/>
  <c r="W26" i="16"/>
  <c r="AC26" i="16" s="1"/>
  <c r="W27" i="16"/>
  <c r="AC27" i="16" s="1"/>
  <c r="AE27" i="16" s="1"/>
  <c r="W28" i="16"/>
  <c r="AC28" i="16"/>
  <c r="W29" i="16"/>
  <c r="AC29" i="16" s="1"/>
  <c r="W30" i="16"/>
  <c r="AC30" i="16" s="1"/>
  <c r="AE30" i="16" s="1"/>
  <c r="W31" i="16"/>
  <c r="AC31" i="16" s="1"/>
  <c r="AE31" i="16" s="1"/>
  <c r="W32" i="16"/>
  <c r="AC32" i="16"/>
  <c r="W33" i="16"/>
  <c r="AC33" i="16"/>
  <c r="W34" i="16"/>
  <c r="AC34" i="16" s="1"/>
  <c r="W35" i="16"/>
  <c r="AC35" i="16"/>
  <c r="W36" i="16"/>
  <c r="AC36" i="16" s="1"/>
  <c r="W37" i="16"/>
  <c r="AC37" i="16"/>
  <c r="W38" i="16"/>
  <c r="AC38" i="16" s="1"/>
  <c r="W39" i="16"/>
  <c r="AC39" i="16"/>
  <c r="AE39" i="16" s="1"/>
  <c r="W40" i="16"/>
  <c r="AC40" i="16"/>
  <c r="W41" i="16"/>
  <c r="AC41" i="16" s="1"/>
  <c r="W42" i="16"/>
  <c r="AC42" i="16" s="1"/>
  <c r="W43" i="16"/>
  <c r="AC43" i="16" s="1"/>
  <c r="W44" i="16"/>
  <c r="AC44" i="16"/>
  <c r="W45" i="16"/>
  <c r="AC45" i="16" s="1"/>
  <c r="W46" i="16"/>
  <c r="AC46" i="16" s="1"/>
  <c r="W47" i="16"/>
  <c r="AC47" i="16" s="1"/>
  <c r="W48" i="16"/>
  <c r="AC48" i="16"/>
  <c r="W49" i="16"/>
  <c r="AC49" i="16" s="1"/>
  <c r="W50" i="16"/>
  <c r="AC50" i="16" s="1"/>
  <c r="W51" i="16"/>
  <c r="AC51" i="16" s="1"/>
  <c r="AE51" i="16" s="1"/>
  <c r="W52" i="16"/>
  <c r="AC52" i="16"/>
  <c r="W53" i="16"/>
  <c r="AC53" i="16" s="1"/>
  <c r="W54" i="16"/>
  <c r="AC54" i="16" s="1"/>
  <c r="W55" i="16"/>
  <c r="AC55" i="16" s="1"/>
  <c r="AE55" i="16" s="1"/>
  <c r="W56" i="16"/>
  <c r="AC56" i="16" s="1"/>
  <c r="W57" i="16"/>
  <c r="AC57" i="16"/>
  <c r="W58" i="16"/>
  <c r="AC58" i="16" s="1"/>
  <c r="W59" i="16"/>
  <c r="AC59" i="16"/>
  <c r="W60" i="16"/>
  <c r="AC60" i="16"/>
  <c r="W61" i="16"/>
  <c r="AC61" i="16" s="1"/>
  <c r="W62" i="16"/>
  <c r="AC62" i="16" s="1"/>
  <c r="W63" i="16"/>
  <c r="AC63" i="16" s="1"/>
  <c r="AE63" i="16" s="1"/>
  <c r="W64" i="16"/>
  <c r="AC64" i="16"/>
  <c r="AE64" i="16" s="1"/>
  <c r="W65" i="16"/>
  <c r="AC65" i="16" s="1"/>
  <c r="W66" i="16"/>
  <c r="AC66" i="16"/>
  <c r="W67" i="16"/>
  <c r="AC67" i="16"/>
  <c r="W68" i="16"/>
  <c r="AC68" i="16"/>
  <c r="W69" i="16"/>
  <c r="AC69" i="16" s="1"/>
  <c r="AE69" i="16" s="1"/>
  <c r="W70" i="16"/>
  <c r="AC70" i="16"/>
  <c r="W71" i="16"/>
  <c r="AC71" i="16"/>
  <c r="W72" i="16"/>
  <c r="AC72" i="16"/>
  <c r="W73" i="16"/>
  <c r="AC73" i="16" s="1"/>
  <c r="W74" i="16"/>
  <c r="AC74" i="16"/>
  <c r="W75" i="16"/>
  <c r="AC75" i="16"/>
  <c r="W76" i="16"/>
  <c r="AC76" i="16"/>
  <c r="W77" i="16"/>
  <c r="AC77" i="16"/>
  <c r="W78" i="16"/>
  <c r="W79" i="16"/>
  <c r="AC79" i="16" s="1"/>
  <c r="W80" i="16"/>
  <c r="AC80" i="16" s="1"/>
  <c r="W81" i="16"/>
  <c r="AC81" i="16" s="1"/>
  <c r="W82" i="16"/>
  <c r="AC82" i="16" s="1"/>
  <c r="W83" i="16"/>
  <c r="AC83" i="16" s="1"/>
  <c r="W84" i="16"/>
  <c r="AC84" i="16" s="1"/>
  <c r="W85" i="16"/>
  <c r="AC85" i="16" s="1"/>
  <c r="W86" i="16"/>
  <c r="AC86" i="16" s="1"/>
  <c r="AE86" i="16" s="1"/>
  <c r="W87" i="16"/>
  <c r="AC87" i="16" s="1"/>
  <c r="W88" i="16"/>
  <c r="AC88" i="16" s="1"/>
  <c r="W89" i="16"/>
  <c r="AC89" i="16" s="1"/>
  <c r="W90" i="16"/>
  <c r="AC90" i="16" s="1"/>
  <c r="W91" i="16"/>
  <c r="AC91" i="16" s="1"/>
  <c r="W92" i="16"/>
  <c r="AC92" i="16" s="1"/>
  <c r="W93" i="16"/>
  <c r="AC93" i="16" s="1"/>
  <c r="W94" i="16"/>
  <c r="AC94" i="16" s="1"/>
  <c r="AE94" i="16" s="1"/>
  <c r="W95" i="16"/>
  <c r="AC95" i="16" s="1"/>
  <c r="W96" i="16"/>
  <c r="AC96" i="16" s="1"/>
  <c r="E98" i="16"/>
  <c r="H98" i="16"/>
  <c r="K98" i="16"/>
  <c r="N98" i="16"/>
  <c r="Q98" i="16"/>
  <c r="T98" i="16"/>
  <c r="T100" i="16"/>
  <c r="Z98" i="16"/>
  <c r="Z100" i="16"/>
  <c r="K37" i="19"/>
  <c r="E100" i="16" s="1"/>
  <c r="K38" i="19"/>
  <c r="H100" i="16" s="1"/>
  <c r="K39" i="19"/>
  <c r="K100" i="16" s="1"/>
  <c r="K40" i="19"/>
  <c r="N100" i="16" s="1"/>
  <c r="K41" i="19"/>
  <c r="Q100" i="16" s="1"/>
  <c r="K42" i="19"/>
  <c r="K44" i="19"/>
  <c r="K45" i="19"/>
  <c r="K46" i="19"/>
  <c r="K47" i="19"/>
  <c r="K48" i="19"/>
  <c r="K49" i="19"/>
  <c r="K50" i="19"/>
  <c r="K51" i="19"/>
  <c r="K53" i="19"/>
  <c r="K62" i="19"/>
  <c r="T13" i="15"/>
  <c r="AR13" i="15"/>
  <c r="T14" i="15"/>
  <c r="AR14" i="15"/>
  <c r="T15" i="15"/>
  <c r="AR15" i="15"/>
  <c r="T16" i="15"/>
  <c r="AR16" i="15"/>
  <c r="T17" i="15"/>
  <c r="AR17" i="15"/>
  <c r="T18" i="15"/>
  <c r="AR18" i="15"/>
  <c r="T19" i="15"/>
  <c r="AR19" i="15"/>
  <c r="T20" i="15"/>
  <c r="AR20" i="15"/>
  <c r="T21" i="15"/>
  <c r="AR21" i="15"/>
  <c r="T22" i="15"/>
  <c r="AR22" i="15"/>
  <c r="T23" i="15"/>
  <c r="AR23" i="15"/>
  <c r="T24" i="15"/>
  <c r="AR24" i="15"/>
  <c r="T25" i="15"/>
  <c r="AR25" i="15"/>
  <c r="T26" i="15"/>
  <c r="AR26" i="15"/>
  <c r="T27" i="15"/>
  <c r="AR27" i="15"/>
  <c r="T28" i="15"/>
  <c r="AR28" i="15"/>
  <c r="AU28" i="15"/>
  <c r="BD28" i="15" s="1"/>
  <c r="BF28" i="15" s="1"/>
  <c r="T29" i="15"/>
  <c r="AR29" i="15"/>
  <c r="T30" i="15"/>
  <c r="AR30" i="15"/>
  <c r="T31" i="15"/>
  <c r="AR31" i="15"/>
  <c r="T32" i="15"/>
  <c r="AR32" i="15"/>
  <c r="T33" i="15"/>
  <c r="AR33" i="15"/>
  <c r="T34" i="15"/>
  <c r="AU34" i="15" s="1"/>
  <c r="BD34" i="15" s="1"/>
  <c r="BF34" i="15" s="1"/>
  <c r="AR34" i="15"/>
  <c r="T35" i="15"/>
  <c r="AR35" i="15"/>
  <c r="T36" i="15"/>
  <c r="AR36" i="15"/>
  <c r="T37" i="15"/>
  <c r="AR37" i="15"/>
  <c r="T38" i="15"/>
  <c r="AR38" i="15"/>
  <c r="T39" i="15"/>
  <c r="AR39" i="15"/>
  <c r="T40" i="15"/>
  <c r="AR40" i="15"/>
  <c r="T41" i="15"/>
  <c r="AR41" i="15"/>
  <c r="T42" i="15"/>
  <c r="AR42" i="15"/>
  <c r="T43" i="15"/>
  <c r="AR43" i="15"/>
  <c r="T44" i="15"/>
  <c r="AR44" i="15"/>
  <c r="T45" i="15"/>
  <c r="AU45" i="15" s="1"/>
  <c r="BD45" i="15" s="1"/>
  <c r="BF45" i="15" s="1"/>
  <c r="T46" i="15"/>
  <c r="AU46" i="15" s="1"/>
  <c r="BD46" i="15" s="1"/>
  <c r="BF46" i="15" s="1"/>
  <c r="T47" i="15"/>
  <c r="AU47" i="15" s="1"/>
  <c r="BD47" i="15"/>
  <c r="BF47" i="15" s="1"/>
  <c r="T48" i="15"/>
  <c r="AU48" i="15" s="1"/>
  <c r="BD48" i="15"/>
  <c r="BF48" i="15" s="1"/>
  <c r="T49" i="15"/>
  <c r="AU49" i="15" s="1"/>
  <c r="BD49" i="15" s="1"/>
  <c r="BF49" i="15" s="1"/>
  <c r="T50" i="15"/>
  <c r="AU50" i="15" s="1"/>
  <c r="BD50" i="15" s="1"/>
  <c r="BF50" i="15" s="1"/>
  <c r="T51" i="15"/>
  <c r="AU51" i="15" s="1"/>
  <c r="BD51" i="15"/>
  <c r="BF51" i="15" s="1"/>
  <c r="T52" i="15"/>
  <c r="AU52" i="15" s="1"/>
  <c r="BD52" i="15"/>
  <c r="BF52" i="15" s="1"/>
  <c r="T53" i="15"/>
  <c r="AU53" i="15" s="1"/>
  <c r="BD53" i="15" s="1"/>
  <c r="BF53" i="15" s="1"/>
  <c r="T54" i="15"/>
  <c r="AU54" i="15"/>
  <c r="BD54" i="15" s="1"/>
  <c r="BF54" i="15" s="1"/>
  <c r="T55" i="15"/>
  <c r="AU55" i="15" s="1"/>
  <c r="BD55" i="15" s="1"/>
  <c r="BF55" i="15" s="1"/>
  <c r="T56" i="15"/>
  <c r="AU56" i="15"/>
  <c r="BD56" i="15" s="1"/>
  <c r="BF56" i="15" s="1"/>
  <c r="T57" i="15"/>
  <c r="AR57" i="15"/>
  <c r="T58" i="15"/>
  <c r="AR58" i="15"/>
  <c r="T59" i="15"/>
  <c r="AR59" i="15"/>
  <c r="T60" i="15"/>
  <c r="AR60" i="15"/>
  <c r="T61" i="15"/>
  <c r="AR61" i="15"/>
  <c r="T62" i="15"/>
  <c r="AR62" i="15"/>
  <c r="T63" i="15"/>
  <c r="AR63" i="15"/>
  <c r="T64" i="15"/>
  <c r="AR64" i="15"/>
  <c r="T65" i="15"/>
  <c r="AR65" i="15"/>
  <c r="T66" i="15"/>
  <c r="AR66" i="15"/>
  <c r="T67" i="15"/>
  <c r="AR67" i="15"/>
  <c r="T68" i="15"/>
  <c r="AR68" i="15"/>
  <c r="T69" i="15"/>
  <c r="AR69" i="15"/>
  <c r="T70" i="15"/>
  <c r="AU70" i="15" s="1"/>
  <c r="BD70" i="15" s="1"/>
  <c r="BF70" i="15" s="1"/>
  <c r="AR70" i="15"/>
  <c r="T71" i="15"/>
  <c r="AR71" i="15"/>
  <c r="T72" i="15"/>
  <c r="AR72" i="15"/>
  <c r="T73" i="15"/>
  <c r="AR73" i="15"/>
  <c r="T74" i="15"/>
  <c r="AR74" i="15"/>
  <c r="T75" i="15"/>
  <c r="AU75" i="15" s="1"/>
  <c r="AR75" i="15"/>
  <c r="T76" i="15"/>
  <c r="AR76" i="15"/>
  <c r="T77" i="15"/>
  <c r="AR77" i="15"/>
  <c r="T78" i="15"/>
  <c r="AR78" i="15"/>
  <c r="AU78" i="15"/>
  <c r="BD78" i="15" s="1"/>
  <c r="BF78" i="15" s="1"/>
  <c r="T79" i="15"/>
  <c r="AR79" i="15"/>
  <c r="T80" i="15"/>
  <c r="AR80" i="15"/>
  <c r="T81" i="15"/>
  <c r="AR81" i="15"/>
  <c r="AU81" i="15" s="1"/>
  <c r="BD81" i="15" s="1"/>
  <c r="BF81" i="15" s="1"/>
  <c r="T82" i="15"/>
  <c r="AU82" i="15" s="1"/>
  <c r="BD82" i="15" s="1"/>
  <c r="BF82" i="15" s="1"/>
  <c r="AR82" i="15"/>
  <c r="T83" i="15"/>
  <c r="AR83" i="15"/>
  <c r="T84" i="15"/>
  <c r="AR84" i="15"/>
  <c r="T85" i="15"/>
  <c r="AR85" i="15"/>
  <c r="T86" i="15"/>
  <c r="AR86" i="15"/>
  <c r="T87" i="15"/>
  <c r="AR87" i="15"/>
  <c r="T88" i="15"/>
  <c r="AR88" i="15"/>
  <c r="T89" i="15"/>
  <c r="AR89" i="15"/>
  <c r="T90" i="15"/>
  <c r="AR90" i="15"/>
  <c r="T91" i="15"/>
  <c r="AR91" i="15"/>
  <c r="T92" i="15"/>
  <c r="AR92" i="15"/>
  <c r="T93" i="15"/>
  <c r="AR93" i="15"/>
  <c r="T94" i="15"/>
  <c r="AR94" i="15"/>
  <c r="T95" i="15"/>
  <c r="AR95" i="15"/>
  <c r="T96" i="15"/>
  <c r="AU96" i="15" s="1"/>
  <c r="AR96" i="15"/>
  <c r="E98" i="15"/>
  <c r="H98" i="15"/>
  <c r="K98" i="15"/>
  <c r="N98" i="15"/>
  <c r="Q98" i="15"/>
  <c r="W98" i="15"/>
  <c r="W100" i="15"/>
  <c r="Z98" i="15"/>
  <c r="AC98" i="15"/>
  <c r="AF98" i="15"/>
  <c r="AI98" i="15"/>
  <c r="AL98" i="15"/>
  <c r="AO98" i="15"/>
  <c r="AX98" i="15"/>
  <c r="BA98" i="15"/>
  <c r="BA100" i="15" s="1"/>
  <c r="K23" i="18"/>
  <c r="E100" i="15" s="1"/>
  <c r="K14" i="18"/>
  <c r="H100" i="15" s="1"/>
  <c r="K22" i="18"/>
  <c r="K100" i="15" s="1"/>
  <c r="K25" i="18"/>
  <c r="N100" i="15" s="1"/>
  <c r="K26" i="18"/>
  <c r="Q100" i="15" s="1"/>
  <c r="K15" i="18"/>
  <c r="K16" i="18"/>
  <c r="K17" i="18"/>
  <c r="K18" i="18"/>
  <c r="K19" i="18"/>
  <c r="K20" i="18"/>
  <c r="K21" i="18"/>
  <c r="K24" i="18"/>
  <c r="K27" i="18"/>
  <c r="K33" i="18"/>
  <c r="K34" i="18"/>
  <c r="AC100" i="15" s="1"/>
  <c r="K40" i="18"/>
  <c r="AF100" i="15" s="1"/>
  <c r="K45" i="18"/>
  <c r="AL100" i="15" s="1"/>
  <c r="K49" i="18"/>
  <c r="K35" i="18"/>
  <c r="K36" i="18"/>
  <c r="K37" i="18"/>
  <c r="K38" i="18"/>
  <c r="K39" i="18"/>
  <c r="K41" i="18"/>
  <c r="K46" i="18"/>
  <c r="K47" i="18"/>
  <c r="K48" i="18"/>
  <c r="K50" i="18"/>
  <c r="K64" i="18"/>
  <c r="K66" i="18"/>
  <c r="K72" i="18"/>
  <c r="K73" i="18"/>
  <c r="C14" i="29"/>
  <c r="C37" i="29"/>
  <c r="C38" i="29"/>
  <c r="C39" i="29"/>
  <c r="C40" i="29"/>
  <c r="C41" i="29"/>
  <c r="C46" i="29"/>
  <c r="C47" i="29"/>
  <c r="C48" i="29"/>
  <c r="C49" i="29"/>
  <c r="C50" i="29"/>
  <c r="C51" i="29"/>
  <c r="C25" i="27"/>
  <c r="C21" i="27"/>
  <c r="C14" i="27"/>
  <c r="C15" i="27"/>
  <c r="C16" i="27"/>
  <c r="C17" i="27"/>
  <c r="C18" i="27"/>
  <c r="C19" i="27"/>
  <c r="C20" i="27"/>
  <c r="C22" i="27"/>
  <c r="C23" i="27"/>
  <c r="C24" i="27"/>
  <c r="C26" i="27"/>
  <c r="C27" i="27"/>
  <c r="C72" i="27"/>
  <c r="C33" i="27"/>
  <c r="C34" i="27"/>
  <c r="C35" i="27"/>
  <c r="C37" i="27"/>
  <c r="C38" i="27"/>
  <c r="C39" i="27"/>
  <c r="C40" i="27"/>
  <c r="C41" i="27"/>
  <c r="C43" i="27"/>
  <c r="C45" i="27"/>
  <c r="C46" i="27"/>
  <c r="C47" i="27"/>
  <c r="C48" i="27"/>
  <c r="C49" i="27"/>
  <c r="C50" i="27"/>
  <c r="C73" i="27"/>
  <c r="C15" i="19"/>
  <c r="C22" i="19"/>
  <c r="E15" i="19"/>
  <c r="E22" i="19"/>
  <c r="G15" i="19"/>
  <c r="G22" i="19"/>
  <c r="I15" i="19"/>
  <c r="I22" i="19"/>
  <c r="AC15" i="19"/>
  <c r="AC22" i="19"/>
  <c r="AC26" i="19"/>
  <c r="AC27" i="19"/>
  <c r="AC28" i="19"/>
  <c r="M15" i="19"/>
  <c r="M22" i="19"/>
  <c r="AG15" i="19"/>
  <c r="AG22" i="19"/>
  <c r="O15" i="19"/>
  <c r="O22" i="19"/>
  <c r="Y15" i="19"/>
  <c r="Y22" i="19"/>
  <c r="U15" i="19"/>
  <c r="U22" i="19"/>
  <c r="M16" i="51"/>
  <c r="Q16" i="51"/>
  <c r="O16" i="51"/>
  <c r="S16" i="51"/>
  <c r="W16" i="51"/>
  <c r="AE16" i="51"/>
  <c r="I16" i="51"/>
  <c r="G16" i="51"/>
  <c r="K16" i="51"/>
  <c r="E14" i="29"/>
  <c r="E21" i="29"/>
  <c r="C15" i="53"/>
  <c r="C22" i="53"/>
  <c r="E15" i="53"/>
  <c r="E22" i="53"/>
  <c r="G15" i="53"/>
  <c r="G22" i="53"/>
  <c r="U15" i="62"/>
  <c r="W15" i="62" s="1"/>
  <c r="U22" i="62"/>
  <c r="W22" i="62" s="1"/>
  <c r="E20" i="49" s="1"/>
  <c r="C15" i="45"/>
  <c r="C22" i="45"/>
  <c r="G15" i="45"/>
  <c r="G22" i="45"/>
  <c r="I15" i="45"/>
  <c r="I22" i="45"/>
  <c r="K15" i="45"/>
  <c r="K22" i="45"/>
  <c r="M15" i="45"/>
  <c r="M22" i="45"/>
  <c r="G14" i="14"/>
  <c r="G20" i="14"/>
  <c r="G24" i="14"/>
  <c r="C14" i="14"/>
  <c r="C20" i="14"/>
  <c r="I14" i="14"/>
  <c r="I20" i="14"/>
  <c r="E24" i="14"/>
  <c r="K14" i="14"/>
  <c r="K20" i="14"/>
  <c r="C37" i="19"/>
  <c r="C38" i="19"/>
  <c r="C39" i="19"/>
  <c r="C41" i="19"/>
  <c r="C42" i="19"/>
  <c r="C45" i="19"/>
  <c r="C46" i="19"/>
  <c r="C47" i="19"/>
  <c r="C48" i="19"/>
  <c r="C50" i="19"/>
  <c r="C51" i="19"/>
  <c r="E37" i="19"/>
  <c r="E38" i="19"/>
  <c r="E39" i="19"/>
  <c r="E41" i="19"/>
  <c r="E42" i="19"/>
  <c r="E45" i="19"/>
  <c r="E46" i="19"/>
  <c r="E47" i="19"/>
  <c r="E48" i="19"/>
  <c r="E49" i="19"/>
  <c r="E50" i="19"/>
  <c r="E51" i="19"/>
  <c r="G37" i="19"/>
  <c r="G38" i="19"/>
  <c r="G39" i="19"/>
  <c r="G41" i="19"/>
  <c r="G42" i="19"/>
  <c r="G45" i="19"/>
  <c r="G46" i="19"/>
  <c r="G47" i="19"/>
  <c r="G48" i="19"/>
  <c r="G49" i="19"/>
  <c r="G50" i="19"/>
  <c r="G51" i="19"/>
  <c r="I37" i="19"/>
  <c r="I38" i="19"/>
  <c r="I39" i="19"/>
  <c r="I40" i="19"/>
  <c r="I41" i="19"/>
  <c r="I42" i="19"/>
  <c r="I45" i="19"/>
  <c r="I51" i="19"/>
  <c r="AC37" i="19"/>
  <c r="AC38" i="19"/>
  <c r="AC39" i="19"/>
  <c r="AC41" i="19"/>
  <c r="AC42" i="19"/>
  <c r="AC45" i="19"/>
  <c r="AC46" i="19"/>
  <c r="AC47" i="19"/>
  <c r="AC48" i="19"/>
  <c r="AC50" i="19"/>
  <c r="AC51" i="19"/>
  <c r="M37" i="19"/>
  <c r="M38" i="19"/>
  <c r="M39" i="19"/>
  <c r="M41" i="19"/>
  <c r="M42" i="19"/>
  <c r="M45" i="19"/>
  <c r="M46" i="19"/>
  <c r="M47" i="19"/>
  <c r="M48" i="19"/>
  <c r="M49" i="19"/>
  <c r="M50" i="19"/>
  <c r="M51" i="19"/>
  <c r="AG37" i="19"/>
  <c r="AG38" i="19"/>
  <c r="AG39" i="19"/>
  <c r="AG41" i="19"/>
  <c r="AG42" i="19"/>
  <c r="AG45" i="19"/>
  <c r="AG46" i="19"/>
  <c r="AG47" i="19"/>
  <c r="AG48" i="19"/>
  <c r="AG49" i="19"/>
  <c r="AG50" i="19"/>
  <c r="AG51" i="19"/>
  <c r="O37" i="19"/>
  <c r="O38" i="19"/>
  <c r="O39" i="19"/>
  <c r="O40" i="19"/>
  <c r="O41" i="19"/>
  <c r="O42" i="19"/>
  <c r="O45" i="19"/>
  <c r="O46" i="19"/>
  <c r="O47" i="19"/>
  <c r="O48" i="19"/>
  <c r="O49" i="19"/>
  <c r="O50" i="19"/>
  <c r="O51" i="19"/>
  <c r="Y37" i="19"/>
  <c r="Y38" i="19"/>
  <c r="Y39" i="19"/>
  <c r="Y41" i="19"/>
  <c r="Y42" i="19"/>
  <c r="Y45" i="19"/>
  <c r="Y46" i="19"/>
  <c r="Y47" i="19"/>
  <c r="Y48" i="19"/>
  <c r="Y50" i="19"/>
  <c r="Y51" i="19"/>
  <c r="U37" i="19"/>
  <c r="U38" i="19"/>
  <c r="U39" i="19"/>
  <c r="U40" i="19"/>
  <c r="U41" i="19"/>
  <c r="U42" i="19"/>
  <c r="U45" i="19"/>
  <c r="U46" i="19"/>
  <c r="U47" i="19"/>
  <c r="U48" i="19"/>
  <c r="U49" i="19"/>
  <c r="U50" i="19"/>
  <c r="U51" i="19"/>
  <c r="E36" i="43"/>
  <c r="E37" i="43"/>
  <c r="E45" i="43"/>
  <c r="E46" i="43"/>
  <c r="E47" i="43"/>
  <c r="E48" i="43"/>
  <c r="E49" i="43"/>
  <c r="G36" i="43"/>
  <c r="G37" i="43"/>
  <c r="G45" i="43"/>
  <c r="G46" i="43"/>
  <c r="G47" i="43"/>
  <c r="G48" i="43"/>
  <c r="G49" i="43"/>
  <c r="K36" i="43"/>
  <c r="K37" i="43"/>
  <c r="K45" i="43"/>
  <c r="K46" i="43"/>
  <c r="K47" i="43"/>
  <c r="K48" i="43"/>
  <c r="K49" i="43"/>
  <c r="C56" i="51"/>
  <c r="D33" i="64" s="1"/>
  <c r="AC38" i="51"/>
  <c r="AC39" i="51"/>
  <c r="AC40" i="51"/>
  <c r="AC42" i="51"/>
  <c r="AC43" i="51"/>
  <c r="M38" i="51"/>
  <c r="M39" i="51"/>
  <c r="M40" i="51"/>
  <c r="M42" i="51"/>
  <c r="M43" i="51"/>
  <c r="Q38" i="51"/>
  <c r="Q39" i="51"/>
  <c r="Q40" i="51"/>
  <c r="Q42" i="51"/>
  <c r="Q43" i="51"/>
  <c r="O38" i="51"/>
  <c r="O39" i="51"/>
  <c r="O40" i="51"/>
  <c r="O42" i="51"/>
  <c r="O43" i="51"/>
  <c r="S38" i="51"/>
  <c r="S39" i="51"/>
  <c r="S40" i="51"/>
  <c r="S42" i="51"/>
  <c r="S43" i="51"/>
  <c r="S47" i="51"/>
  <c r="S52" i="51"/>
  <c r="W38" i="51"/>
  <c r="W39" i="51"/>
  <c r="W40" i="51"/>
  <c r="W42" i="51"/>
  <c r="AE40" i="51"/>
  <c r="AE43" i="51"/>
  <c r="I38" i="51"/>
  <c r="I39" i="51"/>
  <c r="I40" i="51"/>
  <c r="I42" i="51"/>
  <c r="I43" i="51"/>
  <c r="G38" i="51"/>
  <c r="G39" i="51"/>
  <c r="G40" i="51"/>
  <c r="G42" i="51"/>
  <c r="G43" i="51"/>
  <c r="K38" i="51"/>
  <c r="K39" i="51"/>
  <c r="K40" i="51"/>
  <c r="K42" i="51"/>
  <c r="K43" i="51"/>
  <c r="E37" i="29"/>
  <c r="E38" i="29"/>
  <c r="E39" i="29"/>
  <c r="E41" i="29"/>
  <c r="E42" i="29"/>
  <c r="E45" i="29"/>
  <c r="E46" i="29"/>
  <c r="E47" i="29"/>
  <c r="E48" i="29"/>
  <c r="E49" i="29"/>
  <c r="E50" i="29"/>
  <c r="E51" i="29"/>
  <c r="G37" i="53"/>
  <c r="G38" i="53"/>
  <c r="G39" i="53"/>
  <c r="Q39" i="53" s="1"/>
  <c r="C37" i="49" s="1"/>
  <c r="G40" i="53"/>
  <c r="Q40" i="53" s="1"/>
  <c r="C38" i="49" s="1"/>
  <c r="G41" i="53"/>
  <c r="Q41" i="53" s="1"/>
  <c r="C39" i="49" s="1"/>
  <c r="G42" i="53"/>
  <c r="Q42" i="53" s="1"/>
  <c r="C40" i="49" s="1"/>
  <c r="G45" i="53"/>
  <c r="Q45" i="53" s="1"/>
  <c r="C43" i="49" s="1"/>
  <c r="G46" i="53"/>
  <c r="G47" i="53"/>
  <c r="G48" i="53"/>
  <c r="G49" i="53"/>
  <c r="G50" i="53"/>
  <c r="G51" i="53"/>
  <c r="U37" i="62"/>
  <c r="U38" i="62"/>
  <c r="U39" i="62"/>
  <c r="U40" i="62"/>
  <c r="U41" i="62"/>
  <c r="U42" i="62"/>
  <c r="W42" i="62" s="1"/>
  <c r="E40" i="49" s="1"/>
  <c r="U46" i="62"/>
  <c r="C37" i="45"/>
  <c r="C38" i="45"/>
  <c r="C39" i="45"/>
  <c r="C40" i="45"/>
  <c r="C41" i="45"/>
  <c r="C42" i="45"/>
  <c r="C45" i="45"/>
  <c r="C46" i="45"/>
  <c r="C47" i="45"/>
  <c r="C48" i="45"/>
  <c r="C49" i="45"/>
  <c r="C50" i="45"/>
  <c r="C51" i="45"/>
  <c r="C53" i="45"/>
  <c r="G37" i="45"/>
  <c r="G38" i="45"/>
  <c r="G39" i="45"/>
  <c r="G40" i="45"/>
  <c r="G41" i="45"/>
  <c r="G42" i="45"/>
  <c r="G45" i="45"/>
  <c r="G46" i="45"/>
  <c r="G47" i="45"/>
  <c r="G48" i="45"/>
  <c r="G49" i="45"/>
  <c r="G50" i="45"/>
  <c r="G51" i="45"/>
  <c r="G53" i="45"/>
  <c r="I37" i="45"/>
  <c r="I38" i="45"/>
  <c r="I39" i="45"/>
  <c r="I40" i="45"/>
  <c r="I41" i="45"/>
  <c r="I42" i="45"/>
  <c r="I45" i="45"/>
  <c r="I46" i="45"/>
  <c r="I47" i="45"/>
  <c r="I48" i="45"/>
  <c r="I49" i="45"/>
  <c r="I50" i="45"/>
  <c r="I51" i="45"/>
  <c r="K37" i="45"/>
  <c r="K38" i="45"/>
  <c r="K39" i="45"/>
  <c r="K40" i="45"/>
  <c r="K41" i="45"/>
  <c r="K42" i="45"/>
  <c r="K45" i="45"/>
  <c r="K46" i="45"/>
  <c r="K47" i="45"/>
  <c r="K48" i="45"/>
  <c r="K49" i="45"/>
  <c r="K50" i="45"/>
  <c r="K51" i="45"/>
  <c r="M37" i="45"/>
  <c r="M38" i="45"/>
  <c r="M39" i="45"/>
  <c r="M40" i="45"/>
  <c r="M41" i="45"/>
  <c r="M42" i="45"/>
  <c r="M45" i="45"/>
  <c r="M46" i="45"/>
  <c r="M47" i="45"/>
  <c r="M48" i="45"/>
  <c r="M49" i="45"/>
  <c r="M50" i="45"/>
  <c r="M51" i="45"/>
  <c r="G35" i="14"/>
  <c r="G36" i="14"/>
  <c r="G37" i="14"/>
  <c r="G38" i="14"/>
  <c r="G39" i="14"/>
  <c r="G40" i="14"/>
  <c r="G44" i="14"/>
  <c r="G45" i="14"/>
  <c r="G46" i="14"/>
  <c r="G47" i="14"/>
  <c r="G48" i="14"/>
  <c r="G49" i="14"/>
  <c r="C35" i="14"/>
  <c r="C36" i="14"/>
  <c r="C37" i="14"/>
  <c r="C39" i="14"/>
  <c r="C40" i="14"/>
  <c r="C44" i="14"/>
  <c r="C45" i="14"/>
  <c r="C46" i="14"/>
  <c r="C47" i="14"/>
  <c r="C48" i="14"/>
  <c r="C49" i="14"/>
  <c r="I35" i="14"/>
  <c r="I36" i="14"/>
  <c r="I37" i="14"/>
  <c r="I39" i="14"/>
  <c r="I40" i="14"/>
  <c r="I44" i="14"/>
  <c r="I45" i="14"/>
  <c r="I46" i="14"/>
  <c r="I47" i="14"/>
  <c r="I48" i="14"/>
  <c r="I49" i="14"/>
  <c r="E45" i="14"/>
  <c r="E46" i="14"/>
  <c r="E47" i="14"/>
  <c r="E48" i="14"/>
  <c r="E49" i="14"/>
  <c r="K35" i="14"/>
  <c r="K36" i="14"/>
  <c r="K37" i="14"/>
  <c r="K39" i="14"/>
  <c r="K40" i="14"/>
  <c r="K44" i="14"/>
  <c r="K45" i="14"/>
  <c r="K46" i="14"/>
  <c r="K47" i="14"/>
  <c r="K48" i="14"/>
  <c r="K49" i="14"/>
  <c r="H91" i="64"/>
  <c r="I12" i="13"/>
  <c r="I13" i="13"/>
  <c r="I14" i="13"/>
  <c r="I15" i="13"/>
  <c r="I16" i="13"/>
  <c r="I17" i="13"/>
  <c r="I18" i="13"/>
  <c r="I19" i="13"/>
  <c r="I20" i="13"/>
  <c r="I21" i="13"/>
  <c r="I22" i="13"/>
  <c r="I23" i="13"/>
  <c r="I24" i="13"/>
  <c r="I25" i="13"/>
  <c r="I26" i="13"/>
  <c r="G12" i="13"/>
  <c r="G13" i="13"/>
  <c r="G14" i="13"/>
  <c r="G15" i="13"/>
  <c r="G16" i="13"/>
  <c r="G17" i="13"/>
  <c r="G18" i="13"/>
  <c r="G19" i="13"/>
  <c r="G20" i="13"/>
  <c r="G21" i="13"/>
  <c r="G22" i="13"/>
  <c r="G23" i="13"/>
  <c r="G24" i="13"/>
  <c r="G25" i="13"/>
  <c r="G26" i="13"/>
  <c r="G71" i="13"/>
  <c r="C12" i="13"/>
  <c r="C13" i="13"/>
  <c r="C14" i="13"/>
  <c r="C15" i="13"/>
  <c r="C16" i="13"/>
  <c r="C17" i="13"/>
  <c r="C18" i="13"/>
  <c r="C19" i="13"/>
  <c r="C20" i="13"/>
  <c r="C21" i="13"/>
  <c r="C22" i="13"/>
  <c r="C23" i="13"/>
  <c r="C24" i="13"/>
  <c r="C25" i="13"/>
  <c r="C26" i="13"/>
  <c r="C71" i="13"/>
  <c r="E12" i="13"/>
  <c r="E13" i="13"/>
  <c r="E14" i="13"/>
  <c r="E15" i="13"/>
  <c r="E16" i="13"/>
  <c r="E17" i="13"/>
  <c r="E18" i="13"/>
  <c r="E19" i="13"/>
  <c r="E20" i="13"/>
  <c r="E21" i="13"/>
  <c r="H27" i="64"/>
  <c r="H50" i="64" s="1"/>
  <c r="K12" i="13"/>
  <c r="K13" i="13"/>
  <c r="K14" i="13"/>
  <c r="K15" i="13"/>
  <c r="K16" i="13"/>
  <c r="K17" i="13"/>
  <c r="K18" i="13"/>
  <c r="K19" i="13"/>
  <c r="K20" i="13"/>
  <c r="K21" i="13"/>
  <c r="K22" i="13"/>
  <c r="K23" i="13"/>
  <c r="K24" i="13"/>
  <c r="K25" i="13"/>
  <c r="K26" i="13"/>
  <c r="K71" i="13"/>
  <c r="H92" i="64" s="1"/>
  <c r="E13" i="42"/>
  <c r="E14" i="42"/>
  <c r="E15" i="42"/>
  <c r="E16" i="42"/>
  <c r="E17" i="42"/>
  <c r="E18" i="42"/>
  <c r="E19" i="42"/>
  <c r="E20" i="42"/>
  <c r="E21" i="42"/>
  <c r="E22" i="42"/>
  <c r="E24" i="42"/>
  <c r="E25" i="42"/>
  <c r="E26" i="42"/>
  <c r="E71" i="42"/>
  <c r="G13" i="42"/>
  <c r="G14" i="42"/>
  <c r="G15" i="42"/>
  <c r="G16" i="42"/>
  <c r="G17" i="42"/>
  <c r="G18" i="42"/>
  <c r="G19" i="42"/>
  <c r="G20" i="42"/>
  <c r="G21" i="42"/>
  <c r="G22" i="42"/>
  <c r="G23" i="42"/>
  <c r="G24" i="42"/>
  <c r="G25" i="42"/>
  <c r="G26" i="42"/>
  <c r="G71" i="42"/>
  <c r="K13" i="42"/>
  <c r="K14" i="42"/>
  <c r="K15" i="42"/>
  <c r="K16" i="42"/>
  <c r="K17" i="42"/>
  <c r="K18" i="42"/>
  <c r="K19" i="42"/>
  <c r="K20" i="42"/>
  <c r="K21" i="42"/>
  <c r="K22" i="42"/>
  <c r="K23" i="42"/>
  <c r="K25" i="42"/>
  <c r="K26" i="42"/>
  <c r="K71" i="42"/>
  <c r="C14" i="18"/>
  <c r="C16" i="18"/>
  <c r="C17" i="18"/>
  <c r="C18" i="18"/>
  <c r="C19" i="18"/>
  <c r="C20" i="18"/>
  <c r="C21" i="18"/>
  <c r="C22" i="18"/>
  <c r="C23" i="18"/>
  <c r="C24" i="18"/>
  <c r="C25" i="18"/>
  <c r="C27" i="18"/>
  <c r="C72" i="18"/>
  <c r="E14" i="18"/>
  <c r="E15" i="18"/>
  <c r="E16" i="18"/>
  <c r="E17" i="18"/>
  <c r="E18" i="18"/>
  <c r="E19" i="18"/>
  <c r="E20" i="18"/>
  <c r="E21" i="18"/>
  <c r="E22" i="18"/>
  <c r="E23" i="18"/>
  <c r="E24" i="18"/>
  <c r="E25" i="18"/>
  <c r="E26" i="18"/>
  <c r="E27" i="18"/>
  <c r="E72" i="18"/>
  <c r="G14" i="18"/>
  <c r="G15" i="18"/>
  <c r="G16" i="18"/>
  <c r="G17" i="18"/>
  <c r="G18" i="18"/>
  <c r="G19" i="18"/>
  <c r="G20" i="18"/>
  <c r="G21" i="18"/>
  <c r="G22" i="18"/>
  <c r="G23" i="18"/>
  <c r="G24" i="18"/>
  <c r="G25" i="18"/>
  <c r="G26" i="18"/>
  <c r="G27" i="18"/>
  <c r="G72" i="18"/>
  <c r="I14" i="18"/>
  <c r="I15" i="18"/>
  <c r="I16" i="18"/>
  <c r="I17" i="18"/>
  <c r="I18" i="18"/>
  <c r="I19" i="18"/>
  <c r="I20" i="18"/>
  <c r="I21" i="18"/>
  <c r="I22" i="18"/>
  <c r="I23" i="18"/>
  <c r="I24" i="18"/>
  <c r="I25" i="18"/>
  <c r="I26" i="18"/>
  <c r="I27" i="18"/>
  <c r="I72" i="18"/>
  <c r="AC14" i="18"/>
  <c r="AC15" i="18"/>
  <c r="AC16" i="18"/>
  <c r="AC17" i="18"/>
  <c r="AC18" i="18"/>
  <c r="AC19" i="18"/>
  <c r="AC20" i="18"/>
  <c r="AC21" i="18"/>
  <c r="AC22" i="18"/>
  <c r="AC23" i="18"/>
  <c r="AC24" i="18"/>
  <c r="AC25" i="18"/>
  <c r="AC26" i="18"/>
  <c r="AC27" i="18"/>
  <c r="AC72" i="18"/>
  <c r="M14" i="18"/>
  <c r="M15" i="18"/>
  <c r="M16" i="18"/>
  <c r="M17" i="18"/>
  <c r="M18" i="18"/>
  <c r="M19" i="18"/>
  <c r="M20" i="18"/>
  <c r="M21" i="18"/>
  <c r="M22" i="18"/>
  <c r="M23" i="18"/>
  <c r="M24" i="18"/>
  <c r="M25" i="18"/>
  <c r="M26" i="18"/>
  <c r="M27" i="18"/>
  <c r="M72" i="18"/>
  <c r="AG14" i="18"/>
  <c r="AG15" i="18"/>
  <c r="AG16" i="18"/>
  <c r="AG17" i="18"/>
  <c r="AG18" i="18"/>
  <c r="AG19" i="18"/>
  <c r="AG20" i="18"/>
  <c r="AG21" i="18"/>
  <c r="AG22" i="18"/>
  <c r="AG24" i="18"/>
  <c r="AG25" i="18"/>
  <c r="AG26" i="18"/>
  <c r="AG27" i="18"/>
  <c r="AG72" i="18"/>
  <c r="O14" i="18"/>
  <c r="O15" i="18"/>
  <c r="O16" i="18"/>
  <c r="O17" i="18"/>
  <c r="O18" i="18"/>
  <c r="O19" i="18"/>
  <c r="O20" i="18"/>
  <c r="O21" i="18"/>
  <c r="O22" i="18"/>
  <c r="O23" i="18"/>
  <c r="O24" i="18"/>
  <c r="O25" i="18"/>
  <c r="O26" i="18"/>
  <c r="O27" i="18"/>
  <c r="Y14" i="18"/>
  <c r="Y15" i="18"/>
  <c r="Y16" i="18"/>
  <c r="Y17" i="18"/>
  <c r="Y18" i="18"/>
  <c r="Y19" i="18"/>
  <c r="Y20" i="18"/>
  <c r="Y21" i="18"/>
  <c r="Y22" i="18"/>
  <c r="Y23" i="18"/>
  <c r="Y24" i="18"/>
  <c r="Y25" i="18"/>
  <c r="Y26" i="18"/>
  <c r="Y27" i="18"/>
  <c r="Y72" i="18"/>
  <c r="U14" i="18"/>
  <c r="U15" i="18"/>
  <c r="U16" i="18"/>
  <c r="U17" i="18"/>
  <c r="U18" i="18"/>
  <c r="U19" i="18"/>
  <c r="U20" i="18"/>
  <c r="U21" i="18"/>
  <c r="U22" i="18"/>
  <c r="U24" i="18"/>
  <c r="U26" i="18"/>
  <c r="U27" i="18"/>
  <c r="C15" i="50"/>
  <c r="C16" i="50"/>
  <c r="C17" i="50"/>
  <c r="C18" i="50"/>
  <c r="C19" i="50"/>
  <c r="C20" i="50"/>
  <c r="C21" i="50"/>
  <c r="AC15" i="50"/>
  <c r="AC16" i="50"/>
  <c r="AC17" i="50"/>
  <c r="AC18" i="50"/>
  <c r="AC19" i="50"/>
  <c r="AC20" i="50"/>
  <c r="AC21" i="50"/>
  <c r="AC23" i="50"/>
  <c r="AC24" i="50"/>
  <c r="AC25" i="50"/>
  <c r="AC27" i="50"/>
  <c r="AC28" i="50"/>
  <c r="M15" i="50"/>
  <c r="M16" i="50"/>
  <c r="M17" i="50"/>
  <c r="M18" i="50"/>
  <c r="M19" i="50"/>
  <c r="M20" i="50"/>
  <c r="M21" i="50"/>
  <c r="M22" i="50"/>
  <c r="M23" i="50"/>
  <c r="M24" i="50"/>
  <c r="M25" i="50"/>
  <c r="M26" i="50"/>
  <c r="M27" i="50"/>
  <c r="M28" i="50"/>
  <c r="M73" i="50"/>
  <c r="Q15" i="50"/>
  <c r="Q16" i="50"/>
  <c r="Q17" i="50"/>
  <c r="Q18" i="50"/>
  <c r="Q19" i="50"/>
  <c r="Q20" i="50"/>
  <c r="Q21" i="50"/>
  <c r="Q22" i="50"/>
  <c r="Q23" i="50"/>
  <c r="Q24" i="50"/>
  <c r="Q25" i="50"/>
  <c r="Q26" i="50"/>
  <c r="Q27" i="50"/>
  <c r="Q28" i="50"/>
  <c r="O15" i="50"/>
  <c r="O16" i="50"/>
  <c r="O17" i="50"/>
  <c r="O18" i="50"/>
  <c r="O19" i="50"/>
  <c r="O20" i="50"/>
  <c r="O26" i="50"/>
  <c r="O65" i="50"/>
  <c r="O72" i="50"/>
  <c r="O73" i="50"/>
  <c r="S15" i="50"/>
  <c r="S16" i="50"/>
  <c r="S17" i="50"/>
  <c r="S18" i="50"/>
  <c r="S19" i="50"/>
  <c r="S20" i="50"/>
  <c r="S21" i="50"/>
  <c r="S23" i="50"/>
  <c r="S25" i="50"/>
  <c r="AE15" i="50"/>
  <c r="AE16" i="50"/>
  <c r="AE17" i="50"/>
  <c r="AE18" i="50"/>
  <c r="AE19" i="50"/>
  <c r="AE20" i="50"/>
  <c r="AE21" i="50"/>
  <c r="AE22" i="50"/>
  <c r="I15" i="50"/>
  <c r="I16" i="50"/>
  <c r="I17" i="50"/>
  <c r="I18" i="50"/>
  <c r="I19" i="50"/>
  <c r="I20" i="50"/>
  <c r="I21" i="50"/>
  <c r="I22" i="50"/>
  <c r="I23" i="50"/>
  <c r="I24" i="50"/>
  <c r="I25" i="50"/>
  <c r="I26" i="50"/>
  <c r="I27" i="50"/>
  <c r="I28" i="50"/>
  <c r="G15" i="50"/>
  <c r="G16" i="50"/>
  <c r="G17" i="50"/>
  <c r="G18" i="50"/>
  <c r="G19" i="50"/>
  <c r="G20" i="50"/>
  <c r="G21" i="50"/>
  <c r="G22" i="50"/>
  <c r="G23" i="50"/>
  <c r="G24" i="50"/>
  <c r="G25" i="50"/>
  <c r="G26" i="50"/>
  <c r="G27" i="50"/>
  <c r="G28" i="50"/>
  <c r="K73" i="50"/>
  <c r="K15" i="50"/>
  <c r="K16" i="50"/>
  <c r="K17" i="50"/>
  <c r="K18" i="50"/>
  <c r="K19" i="50"/>
  <c r="K20" i="50"/>
  <c r="K21" i="50"/>
  <c r="K22" i="50"/>
  <c r="K23" i="50"/>
  <c r="K24" i="50"/>
  <c r="K25" i="50"/>
  <c r="K26" i="50"/>
  <c r="K27" i="50"/>
  <c r="K28" i="50"/>
  <c r="E14" i="27"/>
  <c r="E15" i="27"/>
  <c r="E16" i="27"/>
  <c r="E17" i="27"/>
  <c r="E18" i="27"/>
  <c r="E19" i="27"/>
  <c r="E20" i="27"/>
  <c r="E21" i="27"/>
  <c r="E22" i="27"/>
  <c r="E23" i="27"/>
  <c r="E24" i="27"/>
  <c r="E25" i="27"/>
  <c r="E26" i="27"/>
  <c r="E27" i="27"/>
  <c r="E72" i="27"/>
  <c r="C14" i="52"/>
  <c r="C15" i="52"/>
  <c r="C16" i="52"/>
  <c r="C17" i="52"/>
  <c r="C18" i="52"/>
  <c r="C19" i="52"/>
  <c r="C20" i="52"/>
  <c r="E14" i="52"/>
  <c r="E15" i="52"/>
  <c r="E16" i="52"/>
  <c r="E17" i="52"/>
  <c r="E18" i="52"/>
  <c r="E19" i="52"/>
  <c r="E20" i="52"/>
  <c r="G14" i="52"/>
  <c r="G15" i="52"/>
  <c r="G16" i="52"/>
  <c r="G17" i="52"/>
  <c r="G18" i="52"/>
  <c r="G19" i="52"/>
  <c r="G20" i="52"/>
  <c r="G21" i="52"/>
  <c r="G22" i="52"/>
  <c r="G23" i="52"/>
  <c r="G24" i="52"/>
  <c r="G25" i="52"/>
  <c r="G26" i="52"/>
  <c r="G27" i="52"/>
  <c r="G72" i="52"/>
  <c r="U14" i="63"/>
  <c r="U15" i="63"/>
  <c r="U16" i="63"/>
  <c r="U17" i="63"/>
  <c r="U18" i="63"/>
  <c r="U19" i="63"/>
  <c r="U20" i="63"/>
  <c r="U22" i="63"/>
  <c r="U23" i="63"/>
  <c r="U24" i="63"/>
  <c r="C14" i="44"/>
  <c r="C15" i="44"/>
  <c r="C16" i="44"/>
  <c r="C17" i="44"/>
  <c r="C18" i="44"/>
  <c r="C19" i="44"/>
  <c r="C20" i="44"/>
  <c r="C21" i="44"/>
  <c r="C22" i="44"/>
  <c r="C23" i="44"/>
  <c r="C24" i="44"/>
  <c r="C25" i="44"/>
  <c r="C26" i="44"/>
  <c r="C27" i="44"/>
  <c r="C72" i="44"/>
  <c r="G14" i="44"/>
  <c r="G15" i="44"/>
  <c r="G16" i="44"/>
  <c r="G17" i="44"/>
  <c r="G18" i="44"/>
  <c r="G19" i="44"/>
  <c r="G20" i="44"/>
  <c r="G21" i="44"/>
  <c r="G22" i="44"/>
  <c r="G23" i="44"/>
  <c r="G24" i="44"/>
  <c r="G25" i="44"/>
  <c r="G26" i="44"/>
  <c r="G27" i="44"/>
  <c r="G72" i="44"/>
  <c r="I14" i="44"/>
  <c r="I15" i="44"/>
  <c r="I16" i="44"/>
  <c r="I17" i="44"/>
  <c r="I18" i="44"/>
  <c r="I19" i="44"/>
  <c r="I20" i="44"/>
  <c r="I21" i="44"/>
  <c r="I22" i="44"/>
  <c r="I23" i="44"/>
  <c r="I24" i="44"/>
  <c r="I25" i="44"/>
  <c r="I26" i="44"/>
  <c r="I27" i="44"/>
  <c r="I72" i="44"/>
  <c r="K14" i="44"/>
  <c r="K15" i="44"/>
  <c r="K16" i="44"/>
  <c r="K17" i="44"/>
  <c r="K18" i="44"/>
  <c r="K19" i="44"/>
  <c r="K20" i="44"/>
  <c r="K21" i="44"/>
  <c r="K22" i="44"/>
  <c r="K23" i="44"/>
  <c r="K24" i="44"/>
  <c r="K25" i="44"/>
  <c r="K26" i="44"/>
  <c r="K27" i="44"/>
  <c r="K72" i="44"/>
  <c r="M14" i="44"/>
  <c r="M15" i="44"/>
  <c r="M16" i="44"/>
  <c r="M17" i="44"/>
  <c r="M18" i="44"/>
  <c r="M19" i="44"/>
  <c r="M20" i="44"/>
  <c r="M21" i="44"/>
  <c r="M22" i="44"/>
  <c r="M23" i="44"/>
  <c r="M24" i="44"/>
  <c r="M25" i="44"/>
  <c r="M26" i="44"/>
  <c r="M27" i="44"/>
  <c r="M64" i="44"/>
  <c r="M71" i="44"/>
  <c r="M72" i="44"/>
  <c r="E32" i="42"/>
  <c r="E33" i="42"/>
  <c r="E34" i="42"/>
  <c r="E35" i="42"/>
  <c r="E36" i="42"/>
  <c r="E37" i="42"/>
  <c r="E38" i="42"/>
  <c r="E39" i="42"/>
  <c r="E40" i="42"/>
  <c r="E44" i="42"/>
  <c r="E45" i="42"/>
  <c r="E46" i="42"/>
  <c r="E47" i="42"/>
  <c r="E48" i="42"/>
  <c r="E49" i="42"/>
  <c r="E72" i="42"/>
  <c r="G32" i="42"/>
  <c r="G33" i="42"/>
  <c r="G34" i="42"/>
  <c r="G35" i="42"/>
  <c r="G37" i="42"/>
  <c r="G38" i="42"/>
  <c r="G39" i="42"/>
  <c r="G40" i="42"/>
  <c r="G44" i="42"/>
  <c r="G45" i="42"/>
  <c r="G46" i="42"/>
  <c r="G47" i="42"/>
  <c r="G48" i="42"/>
  <c r="G49" i="42"/>
  <c r="G72" i="42"/>
  <c r="K32" i="42"/>
  <c r="K33" i="42"/>
  <c r="K34" i="42"/>
  <c r="K35" i="42"/>
  <c r="K36" i="42"/>
  <c r="K37" i="42"/>
  <c r="K38" i="42"/>
  <c r="K39" i="42"/>
  <c r="K40" i="42"/>
  <c r="K44" i="42"/>
  <c r="K45" i="42"/>
  <c r="K46" i="42"/>
  <c r="K47" i="42"/>
  <c r="K48" i="42"/>
  <c r="K49" i="42"/>
  <c r="K72" i="42"/>
  <c r="C33" i="18"/>
  <c r="C34" i="18"/>
  <c r="C37" i="18"/>
  <c r="C38" i="18"/>
  <c r="C39" i="18"/>
  <c r="C40" i="18"/>
  <c r="C41" i="18"/>
  <c r="C45" i="18"/>
  <c r="C46" i="18"/>
  <c r="C47" i="18"/>
  <c r="C48" i="18"/>
  <c r="C49" i="18"/>
  <c r="C50" i="18"/>
  <c r="C73" i="18"/>
  <c r="E33" i="18"/>
  <c r="E34" i="18"/>
  <c r="E35" i="18"/>
  <c r="E36" i="18"/>
  <c r="E37" i="18"/>
  <c r="E38" i="18"/>
  <c r="E39" i="18"/>
  <c r="E40" i="18"/>
  <c r="E41" i="18"/>
  <c r="E45" i="18"/>
  <c r="E46" i="18"/>
  <c r="E47" i="18"/>
  <c r="E48" i="18"/>
  <c r="E49" i="18"/>
  <c r="E50" i="18"/>
  <c r="E73" i="18"/>
  <c r="G33" i="18"/>
  <c r="G34" i="18"/>
  <c r="G35" i="18"/>
  <c r="G36" i="18"/>
  <c r="G37" i="18"/>
  <c r="G38" i="18"/>
  <c r="G39" i="18"/>
  <c r="G40" i="18"/>
  <c r="G41" i="18"/>
  <c r="G45" i="18"/>
  <c r="G46" i="18"/>
  <c r="G47" i="18"/>
  <c r="G48" i="18"/>
  <c r="G49" i="18"/>
  <c r="G50" i="18"/>
  <c r="G73" i="18"/>
  <c r="I33" i="18"/>
  <c r="I34" i="18"/>
  <c r="I35" i="18"/>
  <c r="I37" i="18"/>
  <c r="I38" i="18"/>
  <c r="I39" i="18"/>
  <c r="I40" i="18"/>
  <c r="I41" i="18"/>
  <c r="I45" i="18"/>
  <c r="I46" i="18"/>
  <c r="I47" i="18"/>
  <c r="I48" i="18"/>
  <c r="I49" i="18"/>
  <c r="I50" i="18"/>
  <c r="I73" i="18"/>
  <c r="AA45" i="18"/>
  <c r="AA46" i="18"/>
  <c r="AA47" i="18"/>
  <c r="AA48" i="18"/>
  <c r="AA49" i="18"/>
  <c r="AA50" i="18"/>
  <c r="AC33" i="18"/>
  <c r="AC34" i="18"/>
  <c r="AC35" i="18"/>
  <c r="AC36" i="18"/>
  <c r="AC37" i="18"/>
  <c r="AC38" i="18"/>
  <c r="AC39" i="18"/>
  <c r="AC40" i="18"/>
  <c r="AC41" i="18"/>
  <c r="AC45" i="18"/>
  <c r="AC46" i="18"/>
  <c r="AC47" i="18"/>
  <c r="AC48" i="18"/>
  <c r="AC49" i="18"/>
  <c r="AC50" i="18"/>
  <c r="AC73" i="18"/>
  <c r="M33" i="18"/>
  <c r="M34" i="18"/>
  <c r="M35" i="18"/>
  <c r="M36" i="18"/>
  <c r="M37" i="18"/>
  <c r="M38" i="18"/>
  <c r="M39" i="18"/>
  <c r="M40" i="18"/>
  <c r="M41" i="18"/>
  <c r="M45" i="18"/>
  <c r="M46" i="18"/>
  <c r="M47" i="18"/>
  <c r="M48" i="18"/>
  <c r="M49" i="18"/>
  <c r="M50" i="18"/>
  <c r="M73" i="18"/>
  <c r="AE45" i="18"/>
  <c r="AE46" i="18"/>
  <c r="AE47" i="18"/>
  <c r="AE48" i="18"/>
  <c r="AE49" i="18"/>
  <c r="AE50" i="18"/>
  <c r="AG33" i="18"/>
  <c r="AG34" i="18"/>
  <c r="AG35" i="18"/>
  <c r="AG36" i="18"/>
  <c r="AG38" i="18"/>
  <c r="AG39" i="18"/>
  <c r="AG40" i="18"/>
  <c r="AG41" i="18"/>
  <c r="AG45" i="18"/>
  <c r="AG46" i="18"/>
  <c r="AG47" i="18"/>
  <c r="AG48" i="18"/>
  <c r="AG49" i="18"/>
  <c r="AG50" i="18"/>
  <c r="AG73" i="18"/>
  <c r="O33" i="18"/>
  <c r="O34" i="18"/>
  <c r="O35" i="18"/>
  <c r="O36" i="18"/>
  <c r="O37" i="18"/>
  <c r="O38" i="18"/>
  <c r="O39" i="18"/>
  <c r="O40" i="18"/>
  <c r="O41" i="18"/>
  <c r="O45" i="18"/>
  <c r="O46" i="18"/>
  <c r="O47" i="18"/>
  <c r="O48" i="18"/>
  <c r="O49" i="18"/>
  <c r="O50" i="18"/>
  <c r="O73" i="18"/>
  <c r="Y33" i="18"/>
  <c r="Y34" i="18"/>
  <c r="Y35" i="18"/>
  <c r="Y36" i="18"/>
  <c r="Y37" i="18"/>
  <c r="Y38" i="18"/>
  <c r="Y39" i="18"/>
  <c r="Y40" i="18"/>
  <c r="Y41" i="18"/>
  <c r="Y45" i="18"/>
  <c r="Y46" i="18"/>
  <c r="Y47" i="18"/>
  <c r="Y48" i="18"/>
  <c r="Y49" i="18"/>
  <c r="Y50" i="18"/>
  <c r="Y73" i="18"/>
  <c r="U33" i="18"/>
  <c r="U34" i="18"/>
  <c r="U35" i="18"/>
  <c r="U36" i="18"/>
  <c r="U37" i="18"/>
  <c r="U38" i="18"/>
  <c r="U39" i="18"/>
  <c r="U40" i="18"/>
  <c r="U41" i="18"/>
  <c r="U45" i="18"/>
  <c r="U46" i="18"/>
  <c r="U47" i="18"/>
  <c r="U48" i="18"/>
  <c r="U49" i="18"/>
  <c r="U50" i="18"/>
  <c r="U73" i="18"/>
  <c r="AC34" i="50"/>
  <c r="AC35" i="50"/>
  <c r="AC36" i="50"/>
  <c r="AC37" i="50"/>
  <c r="AC38" i="50"/>
  <c r="AC39" i="50"/>
  <c r="AC40" i="50"/>
  <c r="AC41" i="50"/>
  <c r="AC42" i="50"/>
  <c r="AC44" i="50"/>
  <c r="AC46" i="50"/>
  <c r="AC47" i="50"/>
  <c r="AC48" i="50"/>
  <c r="AC49" i="50"/>
  <c r="AC50" i="50"/>
  <c r="AC51" i="50"/>
  <c r="M34" i="50"/>
  <c r="M35" i="50"/>
  <c r="M36" i="50"/>
  <c r="M37" i="50"/>
  <c r="M38" i="50"/>
  <c r="M39" i="50"/>
  <c r="M40" i="50"/>
  <c r="M41" i="50"/>
  <c r="M42" i="50"/>
  <c r="M44" i="50"/>
  <c r="M46" i="50"/>
  <c r="M47" i="50"/>
  <c r="M48" i="50"/>
  <c r="M49" i="50"/>
  <c r="M50" i="50"/>
  <c r="M51" i="50"/>
  <c r="Q34" i="50"/>
  <c r="Q35" i="50"/>
  <c r="Q36" i="50"/>
  <c r="Q37" i="50"/>
  <c r="Q38" i="50"/>
  <c r="Q39" i="50"/>
  <c r="Q41" i="50"/>
  <c r="Q42" i="50"/>
  <c r="Q44" i="50"/>
  <c r="Q46" i="50"/>
  <c r="Q47" i="50"/>
  <c r="Q48" i="50"/>
  <c r="Q49" i="50"/>
  <c r="Q50" i="50"/>
  <c r="Q51" i="50"/>
  <c r="O36" i="50"/>
  <c r="O37" i="50"/>
  <c r="O38" i="50"/>
  <c r="O39" i="50"/>
  <c r="O41" i="50"/>
  <c r="O42" i="50"/>
  <c r="O44" i="50"/>
  <c r="O46" i="50"/>
  <c r="O47" i="50"/>
  <c r="O48" i="50"/>
  <c r="O49" i="50"/>
  <c r="O50" i="50"/>
  <c r="O51" i="50"/>
  <c r="S34" i="50"/>
  <c r="S35" i="50"/>
  <c r="S36" i="50"/>
  <c r="S37" i="50"/>
  <c r="S38" i="50"/>
  <c r="S39" i="50"/>
  <c r="S40" i="50"/>
  <c r="S41" i="50"/>
  <c r="S46" i="50"/>
  <c r="S47" i="50"/>
  <c r="S48" i="50"/>
  <c r="S49" i="50"/>
  <c r="S50" i="50"/>
  <c r="S51" i="50"/>
  <c r="AE34" i="50"/>
  <c r="AE35" i="50"/>
  <c r="AE36" i="50"/>
  <c r="AE37" i="50"/>
  <c r="AE38" i="50"/>
  <c r="AE39" i="50"/>
  <c r="AE40" i="50"/>
  <c r="AE41" i="50"/>
  <c r="AE42" i="50"/>
  <c r="AE44" i="50"/>
  <c r="AE46" i="50"/>
  <c r="AE47" i="50"/>
  <c r="AE48" i="50"/>
  <c r="AE49" i="50"/>
  <c r="AE50" i="50"/>
  <c r="AE51" i="50"/>
  <c r="I34" i="50"/>
  <c r="I35" i="50"/>
  <c r="I37" i="50"/>
  <c r="I38" i="50"/>
  <c r="I39" i="50"/>
  <c r="I40" i="50"/>
  <c r="I41" i="50"/>
  <c r="I42" i="50"/>
  <c r="I44" i="50"/>
  <c r="I46" i="50"/>
  <c r="I47" i="50"/>
  <c r="I48" i="50"/>
  <c r="I49" i="50"/>
  <c r="I50" i="50"/>
  <c r="I51" i="50"/>
  <c r="G34" i="50"/>
  <c r="G35" i="50"/>
  <c r="G36" i="50"/>
  <c r="G37" i="50"/>
  <c r="G38" i="50"/>
  <c r="G39" i="50"/>
  <c r="G40" i="50"/>
  <c r="G41" i="50"/>
  <c r="G42" i="50"/>
  <c r="G44" i="50"/>
  <c r="G46" i="50"/>
  <c r="G47" i="50"/>
  <c r="G48" i="50"/>
  <c r="G49" i="50"/>
  <c r="G50" i="50"/>
  <c r="G51" i="50"/>
  <c r="K34" i="50"/>
  <c r="K35" i="50"/>
  <c r="K36" i="50"/>
  <c r="K37" i="50"/>
  <c r="K38" i="50"/>
  <c r="K39" i="50"/>
  <c r="K40" i="50"/>
  <c r="K41" i="50"/>
  <c r="K42" i="50"/>
  <c r="K44" i="50"/>
  <c r="K46" i="50"/>
  <c r="K47" i="50"/>
  <c r="K48" i="50"/>
  <c r="K49" i="50"/>
  <c r="K50" i="50"/>
  <c r="K51" i="50"/>
  <c r="C33" i="44"/>
  <c r="C34" i="44"/>
  <c r="C45" i="44"/>
  <c r="C46" i="44"/>
  <c r="C47" i="44"/>
  <c r="C48" i="44"/>
  <c r="C49" i="44"/>
  <c r="C50" i="44"/>
  <c r="C73" i="44"/>
  <c r="G33" i="44"/>
  <c r="G34" i="44"/>
  <c r="G45" i="44"/>
  <c r="G46" i="44"/>
  <c r="G47" i="44"/>
  <c r="G48" i="44"/>
  <c r="G49" i="44"/>
  <c r="G50" i="44"/>
  <c r="G73" i="44"/>
  <c r="I33" i="44"/>
  <c r="I34" i="44"/>
  <c r="I45" i="44"/>
  <c r="I46" i="44"/>
  <c r="I47" i="44"/>
  <c r="I48" i="44"/>
  <c r="I49" i="44"/>
  <c r="I50" i="44"/>
  <c r="I73" i="44"/>
  <c r="K33" i="44"/>
  <c r="K34" i="44"/>
  <c r="K45" i="44"/>
  <c r="K46" i="44"/>
  <c r="K47" i="44"/>
  <c r="K48" i="44"/>
  <c r="K49" i="44"/>
  <c r="K50" i="44"/>
  <c r="K73" i="44"/>
  <c r="M33" i="44"/>
  <c r="M34" i="44"/>
  <c r="M45" i="44"/>
  <c r="M46" i="44"/>
  <c r="M47" i="44"/>
  <c r="M48" i="44"/>
  <c r="M49" i="44"/>
  <c r="M50" i="44"/>
  <c r="M73" i="44"/>
  <c r="G33" i="52"/>
  <c r="G45" i="52"/>
  <c r="G46" i="52"/>
  <c r="G47" i="52"/>
  <c r="G48" i="52"/>
  <c r="G49" i="52"/>
  <c r="G50" i="52"/>
  <c r="G73" i="52"/>
  <c r="U33" i="63"/>
  <c r="U34" i="63"/>
  <c r="U35" i="63"/>
  <c r="U36" i="63"/>
  <c r="U37" i="63"/>
  <c r="U38" i="63"/>
  <c r="U39" i="63"/>
  <c r="U40" i="63"/>
  <c r="U41" i="63"/>
  <c r="E33" i="27"/>
  <c r="E34" i="27"/>
  <c r="E35" i="27"/>
  <c r="E36" i="27"/>
  <c r="E37" i="27"/>
  <c r="E38" i="27"/>
  <c r="E39" i="27"/>
  <c r="E40" i="27"/>
  <c r="E41" i="27"/>
  <c r="E43" i="27"/>
  <c r="E45" i="27"/>
  <c r="E46" i="27"/>
  <c r="E47" i="27"/>
  <c r="E48" i="27"/>
  <c r="E49" i="27"/>
  <c r="E50" i="27"/>
  <c r="E73" i="27"/>
  <c r="G32" i="13"/>
  <c r="G33" i="13"/>
  <c r="G34" i="13"/>
  <c r="G35" i="13"/>
  <c r="G36" i="13"/>
  <c r="G37" i="13"/>
  <c r="G38" i="13"/>
  <c r="G39" i="13"/>
  <c r="G40" i="13"/>
  <c r="G42" i="13"/>
  <c r="G44" i="13"/>
  <c r="G45" i="13"/>
  <c r="G46" i="13"/>
  <c r="G47" i="13"/>
  <c r="G48" i="13"/>
  <c r="G49" i="13"/>
  <c r="G72" i="13"/>
  <c r="N89" i="64" s="1"/>
  <c r="C32" i="13"/>
  <c r="C33" i="13"/>
  <c r="C34" i="13"/>
  <c r="C35" i="13"/>
  <c r="C37" i="13"/>
  <c r="C38" i="13"/>
  <c r="C39" i="13"/>
  <c r="C40" i="13"/>
  <c r="C42" i="13"/>
  <c r="C44" i="13"/>
  <c r="C45" i="13"/>
  <c r="C46" i="13"/>
  <c r="C47" i="13"/>
  <c r="C48" i="13"/>
  <c r="C49" i="13"/>
  <c r="C72" i="13"/>
  <c r="N90" i="64" s="1"/>
  <c r="I32" i="13"/>
  <c r="I33" i="13"/>
  <c r="I34" i="13"/>
  <c r="I35" i="13"/>
  <c r="I37" i="13"/>
  <c r="I38" i="13"/>
  <c r="I39" i="13"/>
  <c r="I40" i="13"/>
  <c r="I42" i="13"/>
  <c r="I44" i="13"/>
  <c r="I45" i="13"/>
  <c r="I46" i="13"/>
  <c r="I47" i="13"/>
  <c r="I48" i="13"/>
  <c r="I49" i="13"/>
  <c r="I72" i="13"/>
  <c r="N91" i="64" s="1"/>
  <c r="N27" i="64"/>
  <c r="N50" i="64" s="1"/>
  <c r="K32" i="13"/>
  <c r="K33" i="13"/>
  <c r="K34" i="13"/>
  <c r="K35" i="13"/>
  <c r="K36" i="13"/>
  <c r="K37" i="13"/>
  <c r="K38" i="13"/>
  <c r="K39" i="13"/>
  <c r="K40" i="13"/>
  <c r="K42" i="13"/>
  <c r="K44" i="13"/>
  <c r="K45" i="13"/>
  <c r="K46" i="13"/>
  <c r="K47" i="13"/>
  <c r="K48" i="13"/>
  <c r="K49" i="13"/>
  <c r="K72" i="13"/>
  <c r="J8" i="64"/>
  <c r="P8" i="64"/>
  <c r="J9" i="64"/>
  <c r="P9" i="64"/>
  <c r="E98" i="64"/>
  <c r="K98" i="64"/>
  <c r="AF106" i="64"/>
  <c r="C78" i="31"/>
  <c r="C82" i="31"/>
  <c r="C83" i="31"/>
  <c r="E61" i="43"/>
  <c r="K61" i="43"/>
  <c r="C62" i="19"/>
  <c r="I62" i="19"/>
  <c r="M62" i="19"/>
  <c r="O62" i="19"/>
  <c r="U62" i="19"/>
  <c r="Y62" i="19"/>
  <c r="AA62" i="19"/>
  <c r="AC62" i="19"/>
  <c r="AG62" i="19"/>
  <c r="S63" i="51"/>
  <c r="Y63" i="51"/>
  <c r="G62" i="53"/>
  <c r="U63" i="62"/>
  <c r="C62" i="45"/>
  <c r="E62" i="45"/>
  <c r="I62" i="45"/>
  <c r="K62" i="45"/>
  <c r="M62" i="45"/>
  <c r="E62" i="29"/>
  <c r="E63" i="45"/>
  <c r="C64" i="45"/>
  <c r="E64" i="45"/>
  <c r="G64" i="45"/>
  <c r="I64" i="45"/>
  <c r="K64" i="45"/>
  <c r="M64" i="45"/>
  <c r="E64" i="29"/>
  <c r="G63" i="14"/>
  <c r="K65" i="45"/>
  <c r="M65" i="45"/>
  <c r="E65" i="29"/>
  <c r="C64" i="14"/>
  <c r="G64" i="14"/>
  <c r="I64" i="14"/>
  <c r="K64" i="14"/>
  <c r="E66" i="29"/>
  <c r="E25" i="44"/>
  <c r="E23" i="44"/>
  <c r="E21" i="44"/>
  <c r="E14" i="44"/>
  <c r="E15" i="44"/>
  <c r="E16" i="44"/>
  <c r="E17" i="44"/>
  <c r="E18" i="44"/>
  <c r="E19" i="44"/>
  <c r="E20" i="44"/>
  <c r="E22" i="44"/>
  <c r="E24" i="44"/>
  <c r="E26" i="44"/>
  <c r="E27" i="44"/>
  <c r="E33" i="44"/>
  <c r="E45" i="44"/>
  <c r="E47" i="44"/>
  <c r="E48" i="44"/>
  <c r="E49" i="44"/>
  <c r="E50" i="44"/>
  <c r="E34" i="44"/>
  <c r="C64" i="27"/>
  <c r="E64" i="27"/>
  <c r="E63" i="42"/>
  <c r="G63" i="42"/>
  <c r="I63" i="42"/>
  <c r="K63" i="42"/>
  <c r="C64" i="18"/>
  <c r="E64" i="18"/>
  <c r="G64" i="18"/>
  <c r="I64" i="18"/>
  <c r="M64" i="18"/>
  <c r="O64" i="18"/>
  <c r="U64" i="18"/>
  <c r="Y64" i="18"/>
  <c r="AC64" i="18"/>
  <c r="AE64" i="18"/>
  <c r="AG64" i="18"/>
  <c r="G65" i="50"/>
  <c r="I65" i="50"/>
  <c r="AC65" i="50"/>
  <c r="K65" i="50"/>
  <c r="M65" i="50"/>
  <c r="Q67" i="50"/>
  <c r="S65" i="50"/>
  <c r="G64" i="52"/>
  <c r="C64" i="44"/>
  <c r="E64" i="44"/>
  <c r="G64" i="44"/>
  <c r="I64" i="44"/>
  <c r="K64" i="44"/>
  <c r="C63" i="13"/>
  <c r="G63" i="13"/>
  <c r="I63" i="13"/>
  <c r="K63" i="13"/>
  <c r="C66" i="27"/>
  <c r="E66" i="27"/>
  <c r="C66" i="18"/>
  <c r="E66" i="18"/>
  <c r="G66" i="18"/>
  <c r="I66" i="18"/>
  <c r="M66" i="18"/>
  <c r="O66" i="18"/>
  <c r="Y66" i="18"/>
  <c r="AC66" i="18"/>
  <c r="AE66" i="18"/>
  <c r="AG66" i="18"/>
  <c r="G67" i="50"/>
  <c r="I67" i="50"/>
  <c r="AC67" i="50"/>
  <c r="K67" i="50"/>
  <c r="M67" i="50"/>
  <c r="O67" i="50"/>
  <c r="S67" i="50"/>
  <c r="C66" i="44"/>
  <c r="E66" i="44"/>
  <c r="G66" i="44"/>
  <c r="I66" i="44"/>
  <c r="K66" i="44"/>
  <c r="M66" i="44"/>
  <c r="C65" i="13"/>
  <c r="G65" i="13"/>
  <c r="I65" i="13"/>
  <c r="K65" i="13"/>
  <c r="C67" i="27"/>
  <c r="E67" i="27"/>
  <c r="C67" i="18"/>
  <c r="E67" i="18"/>
  <c r="G67" i="18"/>
  <c r="I67" i="18"/>
  <c r="M67" i="18"/>
  <c r="O67" i="18"/>
  <c r="Y67" i="18"/>
  <c r="AC67" i="18"/>
  <c r="AE67" i="18"/>
  <c r="AG67" i="18"/>
  <c r="G68" i="50"/>
  <c r="I68" i="50"/>
  <c r="AC68" i="50"/>
  <c r="K68" i="50"/>
  <c r="M68" i="50"/>
  <c r="O68" i="50"/>
  <c r="S68" i="50"/>
  <c r="C67" i="44"/>
  <c r="E67" i="44"/>
  <c r="G67" i="44"/>
  <c r="I67" i="44"/>
  <c r="K67" i="44"/>
  <c r="M67" i="44"/>
  <c r="C66" i="13"/>
  <c r="G66" i="13"/>
  <c r="I66" i="13"/>
  <c r="K66" i="13"/>
  <c r="C70" i="27"/>
  <c r="E70" i="27"/>
  <c r="C70" i="18"/>
  <c r="E70" i="18"/>
  <c r="G70" i="18"/>
  <c r="M70" i="18"/>
  <c r="O70" i="18"/>
  <c r="Y70" i="18"/>
  <c r="AC70" i="18"/>
  <c r="AE70" i="18"/>
  <c r="AG70" i="18"/>
  <c r="G71" i="50"/>
  <c r="I71" i="50"/>
  <c r="AC71" i="50"/>
  <c r="K71" i="50"/>
  <c r="M71" i="50"/>
  <c r="O71" i="50"/>
  <c r="S71" i="50"/>
  <c r="G70" i="52"/>
  <c r="C70" i="44"/>
  <c r="E70" i="44"/>
  <c r="G70" i="44"/>
  <c r="I70" i="44"/>
  <c r="K70" i="44"/>
  <c r="M70" i="44"/>
  <c r="C69" i="13"/>
  <c r="G69" i="13"/>
  <c r="I69" i="13"/>
  <c r="K69" i="13"/>
  <c r="C71" i="27"/>
  <c r="E71" i="27"/>
  <c r="C71" i="18"/>
  <c r="E71" i="18"/>
  <c r="G71" i="18"/>
  <c r="M71" i="18"/>
  <c r="O71" i="18"/>
  <c r="Y71" i="18"/>
  <c r="AC71" i="18"/>
  <c r="AE71" i="18"/>
  <c r="AG71" i="18"/>
  <c r="G72" i="50"/>
  <c r="I72" i="50"/>
  <c r="AC72" i="50"/>
  <c r="K72" i="50"/>
  <c r="M72" i="50"/>
  <c r="S72" i="50"/>
  <c r="G71" i="52"/>
  <c r="C71" i="44"/>
  <c r="E71" i="44"/>
  <c r="G71" i="44"/>
  <c r="I71" i="44"/>
  <c r="K71" i="44"/>
  <c r="C70" i="13"/>
  <c r="G70" i="13"/>
  <c r="I70" i="13"/>
  <c r="K70" i="13"/>
  <c r="O72" i="18"/>
  <c r="G73" i="50"/>
  <c r="I73" i="50"/>
  <c r="E72" i="44"/>
  <c r="I71" i="13"/>
  <c r="G74" i="50"/>
  <c r="I74" i="50"/>
  <c r="K74" i="50"/>
  <c r="O74" i="50"/>
  <c r="E73" i="44"/>
  <c r="C44" i="31"/>
  <c r="C48" i="31"/>
  <c r="C26" i="31"/>
  <c r="C10" i="31"/>
  <c r="C11" i="31"/>
  <c r="C12" i="31"/>
  <c r="C17" i="31"/>
  <c r="C14" i="31"/>
  <c r="C19" i="31"/>
  <c r="C25" i="31"/>
  <c r="C29" i="31"/>
  <c r="C30" i="31"/>
  <c r="C32" i="31"/>
  <c r="C56" i="31"/>
  <c r="C58" i="31"/>
  <c r="C64" i="31"/>
  <c r="C57" i="31"/>
  <c r="C60" i="31"/>
  <c r="C63" i="31"/>
  <c r="C65" i="31"/>
  <c r="E13" i="30"/>
  <c r="AW47" i="58" s="1"/>
  <c r="B22" i="66"/>
  <c r="E12" i="30" s="1"/>
  <c r="AW46" i="58" s="1"/>
  <c r="E14" i="30"/>
  <c r="AW48" i="58" s="1"/>
  <c r="E15" i="30"/>
  <c r="AW49" i="58" s="1"/>
  <c r="E22" i="30"/>
  <c r="AW57" i="58" s="1"/>
  <c r="B37" i="66"/>
  <c r="G12" i="30" s="1"/>
  <c r="G13" i="30"/>
  <c r="G14" i="30"/>
  <c r="G15" i="30"/>
  <c r="G16" i="30"/>
  <c r="G17" i="30"/>
  <c r="G18" i="30"/>
  <c r="G19" i="30"/>
  <c r="G20" i="30"/>
  <c r="G22" i="30"/>
  <c r="B52" i="66"/>
  <c r="I12" i="30" s="1"/>
  <c r="I13" i="30"/>
  <c r="I14" i="30"/>
  <c r="I15" i="30"/>
  <c r="I17" i="30"/>
  <c r="I18" i="30"/>
  <c r="I19" i="30"/>
  <c r="I20" i="30"/>
  <c r="I22" i="30"/>
  <c r="E57" i="65"/>
  <c r="K57" i="65"/>
  <c r="J63" i="65"/>
  <c r="E79" i="65"/>
  <c r="H79" i="65"/>
  <c r="C91" i="65"/>
  <c r="D91" i="65"/>
  <c r="W12" i="61"/>
  <c r="W13" i="61"/>
  <c r="W14" i="61"/>
  <c r="W15" i="61"/>
  <c r="W16" i="61"/>
  <c r="W17" i="61"/>
  <c r="W18" i="61"/>
  <c r="W19" i="61"/>
  <c r="W20" i="61"/>
  <c r="W21" i="61"/>
  <c r="E11" i="60"/>
  <c r="G11" i="60"/>
  <c r="I11" i="60"/>
  <c r="I23" i="60" s="1"/>
  <c r="K11" i="60"/>
  <c r="K23" i="60" s="1"/>
  <c r="M11" i="60"/>
  <c r="E18" i="60"/>
  <c r="G18" i="60"/>
  <c r="M18" i="60"/>
  <c r="O23" i="60"/>
  <c r="Q23" i="60"/>
  <c r="S23" i="60"/>
  <c r="U23" i="60"/>
  <c r="E54" i="60"/>
  <c r="E78" i="60" s="1"/>
  <c r="G54" i="60"/>
  <c r="G78" i="60" s="1"/>
  <c r="I54" i="60"/>
  <c r="I78" i="60" s="1"/>
  <c r="K54" i="60"/>
  <c r="K78" i="60" s="1"/>
  <c r="M54" i="60"/>
  <c r="M78" i="60" s="1"/>
  <c r="O54" i="60"/>
  <c r="O78" i="60" s="1"/>
  <c r="Q54" i="60"/>
  <c r="Q78" i="60" s="1"/>
  <c r="S54" i="60"/>
  <c r="S78" i="60" s="1"/>
  <c r="U54" i="60"/>
  <c r="U78" i="60" s="1"/>
  <c r="E73" i="60"/>
  <c r="G73" i="60"/>
  <c r="I73" i="60"/>
  <c r="K73" i="60"/>
  <c r="M73" i="60"/>
  <c r="O73" i="60"/>
  <c r="Q73" i="60"/>
  <c r="S73" i="60"/>
  <c r="U73" i="60"/>
  <c r="E30" i="58"/>
  <c r="G30" i="58"/>
  <c r="I30" i="58"/>
  <c r="K30" i="58"/>
  <c r="M30" i="58"/>
  <c r="O30" i="58"/>
  <c r="Q30" i="58"/>
  <c r="Q41" i="58" s="1"/>
  <c r="S30" i="58"/>
  <c r="U30" i="58"/>
  <c r="U41" i="58" s="1"/>
  <c r="E39" i="58"/>
  <c r="E41" i="58" s="1"/>
  <c r="G39" i="58"/>
  <c r="I39" i="58"/>
  <c r="I41" i="58" s="1"/>
  <c r="K39" i="58"/>
  <c r="K93" i="58" s="1"/>
  <c r="M39" i="58"/>
  <c r="U47" i="58"/>
  <c r="U62" i="58" s="1"/>
  <c r="E62" i="58"/>
  <c r="E92" i="58" s="1"/>
  <c r="E95" i="58" s="1"/>
  <c r="G62" i="58"/>
  <c r="G92" i="58" s="1"/>
  <c r="G95" i="58" s="1"/>
  <c r="I62" i="58"/>
  <c r="I76" i="58" s="1"/>
  <c r="K62" i="58"/>
  <c r="M62" i="58"/>
  <c r="O62" i="58"/>
  <c r="Q62" i="58"/>
  <c r="S62" i="58"/>
  <c r="E74" i="58"/>
  <c r="E93" i="58" s="1"/>
  <c r="G74" i="58"/>
  <c r="I74" i="58"/>
  <c r="K74" i="58"/>
  <c r="K76" i="58" s="1"/>
  <c r="M74" i="58"/>
  <c r="E110" i="58"/>
  <c r="E121" i="58" s="1"/>
  <c r="G110" i="58"/>
  <c r="G121" i="58" s="1"/>
  <c r="I121" i="58"/>
  <c r="K121" i="58"/>
  <c r="K135" i="58" s="1"/>
  <c r="M121" i="58"/>
  <c r="M135" i="58" s="1"/>
  <c r="O121" i="58"/>
  <c r="Q121" i="58"/>
  <c r="S121" i="58"/>
  <c r="S138" i="58" s="1"/>
  <c r="U121" i="58"/>
  <c r="U135" i="58" s="1"/>
  <c r="E124" i="58"/>
  <c r="E133" i="58" s="1"/>
  <c r="E139" i="58" s="1"/>
  <c r="G124" i="58"/>
  <c r="G133" i="58" s="1"/>
  <c r="I133" i="58"/>
  <c r="K133" i="58"/>
  <c r="M133" i="58"/>
  <c r="O133" i="58"/>
  <c r="O135" i="58" s="1"/>
  <c r="Q133" i="58"/>
  <c r="S133" i="58"/>
  <c r="D12" i="59"/>
  <c r="F12" i="59"/>
  <c r="H12" i="59"/>
  <c r="J12" i="59"/>
  <c r="J15" i="59" s="1"/>
  <c r="L12" i="59"/>
  <c r="D13" i="59"/>
  <c r="D15" i="59" s="1"/>
  <c r="F13" i="59"/>
  <c r="F15" i="59" s="1"/>
  <c r="H13" i="59"/>
  <c r="L13" i="59"/>
  <c r="N15" i="59"/>
  <c r="P15" i="59"/>
  <c r="R15" i="59"/>
  <c r="T15" i="59"/>
  <c r="D18" i="59"/>
  <c r="D25" i="59" s="1"/>
  <c r="F18" i="59"/>
  <c r="H18" i="59"/>
  <c r="J18" i="59"/>
  <c r="L18" i="59"/>
  <c r="D20" i="59"/>
  <c r="F20" i="59"/>
  <c r="H20" i="59"/>
  <c r="J20" i="59"/>
  <c r="R20" i="59"/>
  <c r="R25" i="59" s="1"/>
  <c r="D21" i="59"/>
  <c r="F21" i="59"/>
  <c r="H21" i="59"/>
  <c r="J21" i="59"/>
  <c r="J22" i="59"/>
  <c r="L22" i="59"/>
  <c r="L23" i="59"/>
  <c r="N25" i="59"/>
  <c r="P25" i="59"/>
  <c r="T25" i="59"/>
  <c r="AW63" i="59"/>
  <c r="C13" i="57"/>
  <c r="C16" i="57" s="1"/>
  <c r="E13" i="57"/>
  <c r="E16" i="57" s="1"/>
  <c r="G13" i="57"/>
  <c r="I13" i="57"/>
  <c r="I16" i="57" s="1"/>
  <c r="Q14" i="57"/>
  <c r="Q28" i="57" s="1"/>
  <c r="K16" i="57"/>
  <c r="M16" i="57"/>
  <c r="O16" i="57"/>
  <c r="S16" i="57"/>
  <c r="C20" i="57"/>
  <c r="E20" i="57"/>
  <c r="E23" i="57" s="1"/>
  <c r="G23" i="57"/>
  <c r="I23" i="57"/>
  <c r="K23" i="57"/>
  <c r="M23" i="57"/>
  <c r="O23" i="57"/>
  <c r="Q23" i="57"/>
  <c r="S23" i="57"/>
  <c r="C26" i="57"/>
  <c r="E26" i="57"/>
  <c r="G26" i="57"/>
  <c r="I26" i="57"/>
  <c r="K26" i="57"/>
  <c r="M26" i="57"/>
  <c r="M30" i="57" s="1"/>
  <c r="Q26" i="57"/>
  <c r="K27" i="57"/>
  <c r="M27" i="57"/>
  <c r="Q27" i="57"/>
  <c r="C28" i="57"/>
  <c r="E28" i="57"/>
  <c r="G28" i="57"/>
  <c r="I28" i="57"/>
  <c r="K28" i="57"/>
  <c r="M28" i="57"/>
  <c r="O30" i="57"/>
  <c r="BA61" i="57"/>
  <c r="AZ66" i="57"/>
  <c r="AN21" i="3"/>
  <c r="AN24" i="3"/>
  <c r="AN25" i="3"/>
  <c r="F35" i="3"/>
  <c r="C17" i="20" s="1"/>
  <c r="C19" i="20" s="1"/>
  <c r="P35" i="3"/>
  <c r="AF35" i="3"/>
  <c r="AH35" i="3"/>
  <c r="AI35" i="3"/>
  <c r="R23" i="20"/>
  <c r="T23" i="20" s="1"/>
  <c r="Q64" i="30" s="1"/>
  <c r="R24" i="20"/>
  <c r="T24" i="20" s="1"/>
  <c r="AN41" i="3"/>
  <c r="AN42" i="3"/>
  <c r="N44" i="3"/>
  <c r="P44" i="3"/>
  <c r="R44" i="3"/>
  <c r="T44" i="3"/>
  <c r="V44" i="3"/>
  <c r="X44" i="3"/>
  <c r="Z44" i="3"/>
  <c r="AB44" i="3"/>
  <c r="AD44" i="3"/>
  <c r="AF44" i="3"/>
  <c r="AH44" i="3"/>
  <c r="AI44" i="3"/>
  <c r="AJ44" i="3"/>
  <c r="AN47" i="3"/>
  <c r="R37" i="20" s="1"/>
  <c r="AI59" i="3"/>
  <c r="F143" i="2"/>
  <c r="H143" i="2"/>
  <c r="G167" i="21"/>
  <c r="I167" i="21" s="1"/>
  <c r="G170" i="21"/>
  <c r="G174" i="21"/>
  <c r="I174" i="21" s="1"/>
  <c r="V15" i="2"/>
  <c r="G15" i="21"/>
  <c r="I15" i="21" s="1"/>
  <c r="I11" i="31" s="1"/>
  <c r="G17" i="21"/>
  <c r="I17" i="21" s="1"/>
  <c r="I13" i="31" s="1"/>
  <c r="G21" i="21"/>
  <c r="I21" i="21" s="1"/>
  <c r="I17" i="31" s="1"/>
  <c r="H26" i="2"/>
  <c r="H41" i="2" s="1"/>
  <c r="N26" i="2"/>
  <c r="P26" i="2"/>
  <c r="T26" i="2"/>
  <c r="V28" i="2"/>
  <c r="V40" i="2" s="1"/>
  <c r="G30" i="21"/>
  <c r="I30" i="21" s="1"/>
  <c r="G32" i="21"/>
  <c r="I32" i="21" s="1"/>
  <c r="G44" i="21"/>
  <c r="I44" i="21" s="1"/>
  <c r="G45" i="21"/>
  <c r="I45" i="21" s="1"/>
  <c r="G58" i="21"/>
  <c r="N65" i="2"/>
  <c r="P65" i="2"/>
  <c r="T65" i="2"/>
  <c r="V51" i="2"/>
  <c r="I81" i="21"/>
  <c r="I40" i="31" s="1"/>
  <c r="N73" i="2"/>
  <c r="R73" i="2"/>
  <c r="T73" i="2"/>
  <c r="G113" i="21"/>
  <c r="G121" i="21"/>
  <c r="I121" i="21" s="1"/>
  <c r="H105" i="2"/>
  <c r="L105" i="2"/>
  <c r="N105" i="2"/>
  <c r="P105" i="2"/>
  <c r="T105" i="2"/>
  <c r="G134" i="21"/>
  <c r="I134" i="21" s="1"/>
  <c r="G136" i="21"/>
  <c r="I136" i="21" s="1"/>
  <c r="G154" i="21"/>
  <c r="I154" i="21" s="1"/>
  <c r="V142" i="2"/>
  <c r="L222" i="1"/>
  <c r="L223" i="1"/>
  <c r="L224" i="1"/>
  <c r="L225" i="1"/>
  <c r="L226" i="1"/>
  <c r="L227" i="1"/>
  <c r="L228" i="1"/>
  <c r="L233" i="1"/>
  <c r="L234" i="1"/>
  <c r="L235" i="1"/>
  <c r="L236" i="1"/>
  <c r="F25" i="5"/>
  <c r="I14" i="22" s="1"/>
  <c r="H25" i="5"/>
  <c r="I18" i="22"/>
  <c r="J25" i="5"/>
  <c r="I26" i="22" s="1"/>
  <c r="L25" i="5"/>
  <c r="I27" i="22" s="1"/>
  <c r="N25" i="5"/>
  <c r="H45" i="5"/>
  <c r="I60" i="22" s="1"/>
  <c r="C15" i="39"/>
  <c r="C16" i="39"/>
  <c r="N40" i="8"/>
  <c r="N45" i="8"/>
  <c r="C39" i="22"/>
  <c r="C62" i="22"/>
  <c r="O51" i="10"/>
  <c r="O58" i="10"/>
  <c r="N71" i="23" s="1"/>
  <c r="O15" i="12"/>
  <c r="K16" i="25" s="1"/>
  <c r="K26" i="25" s="1"/>
  <c r="K60" i="25" s="1"/>
  <c r="O13" i="11"/>
  <c r="P13" i="11" s="1"/>
  <c r="O18" i="11"/>
  <c r="K19" i="24" s="1"/>
  <c r="O19" i="11"/>
  <c r="K20" i="24" s="1"/>
  <c r="O20" i="11"/>
  <c r="K21" i="24" s="1"/>
  <c r="O21" i="11"/>
  <c r="K22" i="24" s="1"/>
  <c r="O22" i="11"/>
  <c r="K23" i="24" s="1"/>
  <c r="O23" i="11"/>
  <c r="P23" i="11" s="1"/>
  <c r="O24" i="11"/>
  <c r="K25" i="24" s="1"/>
  <c r="O31" i="11"/>
  <c r="K32" i="24" s="1"/>
  <c r="O38" i="11"/>
  <c r="O42" i="11"/>
  <c r="K46" i="24" s="1"/>
  <c r="O43" i="11"/>
  <c r="K47" i="24" s="1"/>
  <c r="O49" i="11"/>
  <c r="O57" i="11" s="1"/>
  <c r="G141" i="12"/>
  <c r="M141" i="12"/>
  <c r="J114" i="73" s="1"/>
  <c r="O40" i="12"/>
  <c r="II40" i="12" s="1"/>
  <c r="K112" i="25"/>
  <c r="K125" i="25"/>
  <c r="C101" i="56"/>
  <c r="E101" i="56"/>
  <c r="G101" i="56"/>
  <c r="B49" i="56"/>
  <c r="D49" i="56"/>
  <c r="C104" i="56"/>
  <c r="E104" i="56"/>
  <c r="K41" i="54"/>
  <c r="G43" i="24" s="1"/>
  <c r="E46" i="44"/>
  <c r="O79" i="44"/>
  <c r="O87" i="44" s="1"/>
  <c r="E15" i="45"/>
  <c r="E22" i="45"/>
  <c r="E37" i="45"/>
  <c r="E38" i="45"/>
  <c r="E39" i="45"/>
  <c r="E41" i="45"/>
  <c r="E42" i="45"/>
  <c r="E45" i="45"/>
  <c r="E46" i="45"/>
  <c r="E47" i="45"/>
  <c r="E48" i="45"/>
  <c r="E49" i="45"/>
  <c r="E50" i="45"/>
  <c r="E51" i="45"/>
  <c r="W32" i="63"/>
  <c r="W79" i="63"/>
  <c r="W87" i="63" s="1"/>
  <c r="I69" i="49"/>
  <c r="Y38" i="51"/>
  <c r="Y39" i="51"/>
  <c r="Y40" i="51"/>
  <c r="Y41" i="51"/>
  <c r="Y42" i="51"/>
  <c r="Y43" i="51"/>
  <c r="Y47" i="51"/>
  <c r="Y52" i="51"/>
  <c r="AH77" i="18"/>
  <c r="AI79" i="18"/>
  <c r="AI87" i="18" s="1"/>
  <c r="M78" i="42"/>
  <c r="M86" i="42" s="1"/>
  <c r="E14" i="43"/>
  <c r="G14" i="43"/>
  <c r="I14" i="43"/>
  <c r="K14" i="43"/>
  <c r="E21" i="43"/>
  <c r="G21" i="43"/>
  <c r="K21" i="43"/>
  <c r="K74" i="46"/>
  <c r="K76" i="46" s="1"/>
  <c r="K88" i="46" s="1"/>
  <c r="M74" i="46"/>
  <c r="B42" i="47"/>
  <c r="I30" i="40"/>
  <c r="I31" i="40"/>
  <c r="F44" i="41"/>
  <c r="T14" i="20"/>
  <c r="T16" i="20"/>
  <c r="F19" i="20"/>
  <c r="N32" i="20"/>
  <c r="E177" i="21"/>
  <c r="P51" i="20" s="1"/>
  <c r="I14" i="21"/>
  <c r="G34" i="21"/>
  <c r="I34" i="21" s="1"/>
  <c r="G35" i="21"/>
  <c r="I35" i="21" s="1"/>
  <c r="G38" i="21"/>
  <c r="I38" i="21" s="1"/>
  <c r="G39" i="21"/>
  <c r="I39" i="21" s="1"/>
  <c r="G59" i="21"/>
  <c r="I59" i="21" s="1"/>
  <c r="G66" i="21"/>
  <c r="I66" i="21" s="1"/>
  <c r="G92" i="21"/>
  <c r="I92" i="21" s="1"/>
  <c r="I48" i="31" s="1"/>
  <c r="B180" i="21"/>
  <c r="B181" i="21" s="1"/>
  <c r="E27" i="39"/>
  <c r="E33" i="39" s="1"/>
  <c r="E31" i="22"/>
  <c r="E43" i="22"/>
  <c r="E51" i="22" s="1"/>
  <c r="I43" i="22"/>
  <c r="I51" i="22" s="1"/>
  <c r="I64" i="22"/>
  <c r="E65" i="22"/>
  <c r="E67" i="22" s="1"/>
  <c r="H18" i="23"/>
  <c r="H27" i="23"/>
  <c r="H41" i="23"/>
  <c r="H48" i="23"/>
  <c r="H104" i="23"/>
  <c r="N110" i="23"/>
  <c r="C120" i="23"/>
  <c r="O27" i="24"/>
  <c r="Q27" i="24"/>
  <c r="K114" i="25"/>
  <c r="K115" i="25"/>
  <c r="K116" i="25"/>
  <c r="K117" i="25"/>
  <c r="K118" i="25"/>
  <c r="D128" i="25"/>
  <c r="H128" i="25"/>
  <c r="J128" i="25"/>
  <c r="CB79" i="66"/>
  <c r="E18" i="28"/>
  <c r="E19" i="28"/>
  <c r="E20" i="28"/>
  <c r="E21" i="28"/>
  <c r="E26" i="28"/>
  <c r="G50" i="28"/>
  <c r="E64" i="28"/>
  <c r="E66" i="28"/>
  <c r="E67" i="28"/>
  <c r="E70" i="28"/>
  <c r="E72" i="28"/>
  <c r="E75" i="28"/>
  <c r="E76" i="28"/>
  <c r="E71" i="28"/>
  <c r="E73" i="28"/>
  <c r="E74" i="28"/>
  <c r="H74" i="28" s="1"/>
  <c r="M27" i="30"/>
  <c r="C41" i="30"/>
  <c r="E41" i="30"/>
  <c r="G41" i="30"/>
  <c r="I41" i="30"/>
  <c r="C42" i="30"/>
  <c r="E42" i="30"/>
  <c r="G42" i="30"/>
  <c r="I42" i="30"/>
  <c r="C43" i="30"/>
  <c r="E43" i="30"/>
  <c r="G43" i="30"/>
  <c r="I43" i="30"/>
  <c r="C45" i="30"/>
  <c r="E45" i="30"/>
  <c r="I45" i="30"/>
  <c r="C44" i="30"/>
  <c r="E44" i="30"/>
  <c r="G44" i="30"/>
  <c r="I44" i="30"/>
  <c r="C46" i="30"/>
  <c r="E46" i="30"/>
  <c r="G46" i="30"/>
  <c r="I46" i="30"/>
  <c r="C47" i="30"/>
  <c r="E47" i="30"/>
  <c r="G47" i="30"/>
  <c r="I47" i="30"/>
  <c r="C50" i="30"/>
  <c r="E50" i="30"/>
  <c r="G50" i="30"/>
  <c r="I50" i="30"/>
  <c r="O68" i="30"/>
  <c r="G21" i="31"/>
  <c r="G35" i="31"/>
  <c r="G68" i="31"/>
  <c r="G77" i="31"/>
  <c r="AY79" i="66"/>
  <c r="AY53" i="71" s="1"/>
  <c r="AZ79" i="66"/>
  <c r="AZ53" i="71" s="1"/>
  <c r="BA79" i="66"/>
  <c r="BA81" i="66" s="1"/>
  <c r="BA95" i="66" s="1"/>
  <c r="BB79" i="66"/>
  <c r="BD79" i="66"/>
  <c r="BH79" i="66"/>
  <c r="BH53" i="71" s="1"/>
  <c r="BJ79" i="66"/>
  <c r="BJ81" i="66" s="1"/>
  <c r="BJ95" i="66" s="1"/>
  <c r="BL53" i="71"/>
  <c r="BO79" i="66"/>
  <c r="BF79" i="66"/>
  <c r="BF53" i="71" s="1"/>
  <c r="BG79" i="66"/>
  <c r="BE79" i="66"/>
  <c r="BI79" i="66"/>
  <c r="BP79" i="66"/>
  <c r="BP53" i="71" s="1"/>
  <c r="BT79" i="66"/>
  <c r="BT81" i="66" s="1"/>
  <c r="BT95" i="66" s="1"/>
  <c r="BU79" i="66"/>
  <c r="BU53" i="71" s="1"/>
  <c r="BV79" i="66"/>
  <c r="BW53" i="71"/>
  <c r="BX79" i="66"/>
  <c r="BZ79" i="66"/>
  <c r="CA79" i="66"/>
  <c r="CA53" i="71" s="1"/>
  <c r="C65" i="67"/>
  <c r="D65" i="67"/>
  <c r="AB65" i="67"/>
  <c r="J65" i="67"/>
  <c r="L65" i="67"/>
  <c r="M65" i="67"/>
  <c r="N65" i="67"/>
  <c r="O65" i="67"/>
  <c r="S65" i="67"/>
  <c r="X65" i="67"/>
  <c r="P65" i="67"/>
  <c r="R65" i="67"/>
  <c r="Q65" i="67"/>
  <c r="U65" i="67"/>
  <c r="Y65" i="67"/>
  <c r="Z65" i="67"/>
  <c r="AA65" i="67"/>
  <c r="AU65" i="67"/>
  <c r="AV65" i="67"/>
  <c r="AX65" i="67"/>
  <c r="AW65" i="67"/>
  <c r="AY65" i="67"/>
  <c r="V65" i="67"/>
  <c r="AZ65" i="67"/>
  <c r="BA65" i="67"/>
  <c r="BB65" i="67"/>
  <c r="BD65" i="67"/>
  <c r="BK65" i="67"/>
  <c r="BM65" i="67"/>
  <c r="BO65" i="67"/>
  <c r="BF65" i="67"/>
  <c r="BG65" i="67"/>
  <c r="BE65" i="67"/>
  <c r="BI65" i="67"/>
  <c r="C67" i="67"/>
  <c r="CE19" i="66"/>
  <c r="CF19" i="66"/>
  <c r="CG19" i="66"/>
  <c r="CE34" i="66"/>
  <c r="CF34" i="66"/>
  <c r="CG34" i="66"/>
  <c r="CD290" i="66"/>
  <c r="CD291" i="66"/>
  <c r="CE49" i="66"/>
  <c r="CF49" i="66"/>
  <c r="CG49" i="66"/>
  <c r="CD303" i="66"/>
  <c r="CD304" i="66"/>
  <c r="CE64" i="66"/>
  <c r="CF64" i="66"/>
  <c r="CG64" i="66"/>
  <c r="CD67" i="66"/>
  <c r="CD317" i="66"/>
  <c r="CE79" i="66"/>
  <c r="CF79" i="66"/>
  <c r="CG79" i="66"/>
  <c r="J97" i="66"/>
  <c r="L97" i="66"/>
  <c r="M97" i="66"/>
  <c r="N97" i="66"/>
  <c r="S97" i="66"/>
  <c r="X97" i="66"/>
  <c r="P97" i="66"/>
  <c r="T97" i="66"/>
  <c r="Q97" i="66"/>
  <c r="W97" i="66"/>
  <c r="V97" i="66"/>
  <c r="F130" i="66"/>
  <c r="G130" i="66"/>
  <c r="BW168" i="66"/>
  <c r="BX168" i="66"/>
  <c r="BX250" i="66" s="1"/>
  <c r="CA168" i="66"/>
  <c r="CA250" i="66" s="1"/>
  <c r="CD168" i="66"/>
  <c r="CD250" i="66" s="1"/>
  <c r="BW169" i="66"/>
  <c r="BW251" i="66" s="1"/>
  <c r="BX169" i="66"/>
  <c r="BX251" i="66" s="1"/>
  <c r="CD169" i="66"/>
  <c r="CD251" i="66" s="1"/>
  <c r="BW170" i="66"/>
  <c r="BW252" i="66" s="1"/>
  <c r="BX170" i="66"/>
  <c r="BX252" i="66" s="1"/>
  <c r="CA170" i="66"/>
  <c r="CA252" i="66" s="1"/>
  <c r="CD170" i="66"/>
  <c r="CD252" i="66" s="1"/>
  <c r="B171" i="66"/>
  <c r="CD171" i="66"/>
  <c r="CD253" i="66" s="1"/>
  <c r="BW172" i="66"/>
  <c r="BX172" i="66"/>
  <c r="CD172" i="66"/>
  <c r="BW173" i="66"/>
  <c r="BX173" i="66"/>
  <c r="BX254" i="66" s="1"/>
  <c r="CD173" i="66"/>
  <c r="CD254" i="66" s="1"/>
  <c r="BW174" i="66"/>
  <c r="B174" i="66" s="1"/>
  <c r="CD174" i="66"/>
  <c r="CD255" i="66" s="1"/>
  <c r="B175" i="66"/>
  <c r="CD175" i="66"/>
  <c r="CD256" i="66" s="1"/>
  <c r="B176" i="66"/>
  <c r="CD176" i="66"/>
  <c r="CD257" i="66" s="1"/>
  <c r="B177" i="66"/>
  <c r="CD177" i="66"/>
  <c r="CD258" i="66" s="1"/>
  <c r="B178" i="66"/>
  <c r="CD178" i="66"/>
  <c r="CD259" i="66" s="1"/>
  <c r="B179" i="66"/>
  <c r="CD179" i="66"/>
  <c r="CD260" i="66" s="1"/>
  <c r="B180" i="66"/>
  <c r="CD180" i="66"/>
  <c r="CD261" i="66" s="1"/>
  <c r="B181" i="66"/>
  <c r="CD181" i="66"/>
  <c r="CD262" i="66" s="1"/>
  <c r="C182" i="66"/>
  <c r="D182" i="66"/>
  <c r="F182" i="66"/>
  <c r="AB182" i="66"/>
  <c r="AB263" i="66" s="1"/>
  <c r="AF182" i="66"/>
  <c r="AF263" i="66" s="1"/>
  <c r="G182" i="66"/>
  <c r="G263" i="66" s="1"/>
  <c r="H182" i="66"/>
  <c r="H263" i="66" s="1"/>
  <c r="I182" i="66"/>
  <c r="I263" i="66" s="1"/>
  <c r="J182" i="66"/>
  <c r="K182" i="66"/>
  <c r="K263" i="66" s="1"/>
  <c r="L182" i="66"/>
  <c r="M182" i="66"/>
  <c r="M263" i="66" s="1"/>
  <c r="N182" i="66"/>
  <c r="N263" i="66" s="1"/>
  <c r="O182" i="66"/>
  <c r="O263" i="66" s="1"/>
  <c r="S182" i="66"/>
  <c r="X182" i="66"/>
  <c r="X263" i="66" s="1"/>
  <c r="P182" i="66"/>
  <c r="P263" i="66" s="1"/>
  <c r="R182" i="66"/>
  <c r="R263" i="66" s="1"/>
  <c r="T182" i="66"/>
  <c r="T263" i="66" s="1"/>
  <c r="Q182" i="66"/>
  <c r="Q263" i="66" s="1"/>
  <c r="W182" i="66"/>
  <c r="W263" i="66" s="1"/>
  <c r="U182" i="66"/>
  <c r="U263" i="66" s="1"/>
  <c r="Y182" i="66"/>
  <c r="Y263" i="66" s="1"/>
  <c r="Z182" i="66"/>
  <c r="Z263" i="66" s="1"/>
  <c r="AA182" i="66"/>
  <c r="AA263" i="66" s="1"/>
  <c r="AR182" i="66"/>
  <c r="AS182" i="66"/>
  <c r="AS263" i="66" s="1"/>
  <c r="AT182" i="66"/>
  <c r="AU182" i="66"/>
  <c r="AU263" i="66" s="1"/>
  <c r="AV182" i="66"/>
  <c r="AV263" i="66" s="1"/>
  <c r="AW182" i="66"/>
  <c r="AW263" i="66" s="1"/>
  <c r="AY182" i="66"/>
  <c r="AY263" i="66" s="1"/>
  <c r="V182" i="66"/>
  <c r="V263" i="66" s="1"/>
  <c r="AZ182" i="66"/>
  <c r="AZ263" i="66" s="1"/>
  <c r="BA182" i="66"/>
  <c r="BB182" i="66"/>
  <c r="BD182" i="66"/>
  <c r="BH182" i="66"/>
  <c r="BH263" i="66" s="1"/>
  <c r="BJ182" i="66"/>
  <c r="BJ263" i="66" s="1"/>
  <c r="BL182" i="66"/>
  <c r="BK182" i="66"/>
  <c r="BK263" i="66" s="1"/>
  <c r="BM182" i="66"/>
  <c r="BO182" i="66"/>
  <c r="BF182" i="66"/>
  <c r="BF263" i="66" s="1"/>
  <c r="BG182" i="66"/>
  <c r="BG263" i="66" s="1"/>
  <c r="BE182" i="66"/>
  <c r="BE263" i="66" s="1"/>
  <c r="BI182" i="66"/>
  <c r="BI263" i="66" s="1"/>
  <c r="BP182" i="66"/>
  <c r="BP263" i="66" s="1"/>
  <c r="BT182" i="66"/>
  <c r="BU182" i="66"/>
  <c r="BU263" i="66" s="1"/>
  <c r="BV182" i="66"/>
  <c r="BZ182" i="66"/>
  <c r="BZ263" i="66" s="1"/>
  <c r="CB182" i="66"/>
  <c r="CE182" i="66"/>
  <c r="CF182" i="66"/>
  <c r="CG182" i="66"/>
  <c r="B185" i="66"/>
  <c r="CD185" i="66"/>
  <c r="B186" i="66"/>
  <c r="CD186" i="66"/>
  <c r="B187" i="66"/>
  <c r="CD187" i="66"/>
  <c r="CD268" i="66" s="1"/>
  <c r="B188" i="66"/>
  <c r="CD188" i="66"/>
  <c r="CD269" i="66" s="1"/>
  <c r="B189" i="66"/>
  <c r="CD189" i="66"/>
  <c r="CD270" i="66" s="1"/>
  <c r="B190" i="66"/>
  <c r="CD190" i="66"/>
  <c r="CD271" i="66" s="1"/>
  <c r="B191" i="66"/>
  <c r="CD191" i="66"/>
  <c r="CD272" i="66" s="1"/>
  <c r="B192" i="66"/>
  <c r="CD192" i="66"/>
  <c r="CD273" i="66" s="1"/>
  <c r="B193" i="66"/>
  <c r="CD193" i="66"/>
  <c r="CD274" i="66" s="1"/>
  <c r="B194" i="66"/>
  <c r="CD194" i="66"/>
  <c r="CD275" i="66" s="1"/>
  <c r="C195" i="66"/>
  <c r="D195" i="66"/>
  <c r="F195" i="66"/>
  <c r="AB195" i="66"/>
  <c r="AF195" i="66"/>
  <c r="G195" i="66"/>
  <c r="H195" i="66"/>
  <c r="I195" i="66"/>
  <c r="J195" i="66"/>
  <c r="K195" i="66"/>
  <c r="L195" i="66"/>
  <c r="M195" i="66"/>
  <c r="N195" i="66"/>
  <c r="O195" i="66"/>
  <c r="S195" i="66"/>
  <c r="X195" i="66"/>
  <c r="P195" i="66"/>
  <c r="R195" i="66"/>
  <c r="T195" i="66"/>
  <c r="Q195" i="66"/>
  <c r="W195" i="66"/>
  <c r="U195" i="66"/>
  <c r="Y195" i="66"/>
  <c r="Z195" i="66"/>
  <c r="AA195" i="66"/>
  <c r="AR195" i="66"/>
  <c r="AS195" i="66"/>
  <c r="AT195" i="66"/>
  <c r="AU195" i="66"/>
  <c r="AV195" i="66"/>
  <c r="AW195" i="66"/>
  <c r="AY195" i="66"/>
  <c r="V195" i="66"/>
  <c r="AZ195" i="66"/>
  <c r="BA195" i="66"/>
  <c r="BB195" i="66"/>
  <c r="BD195" i="66"/>
  <c r="BH195" i="66"/>
  <c r="BJ195" i="66"/>
  <c r="BL195" i="66"/>
  <c r="BK195" i="66"/>
  <c r="BM195" i="66"/>
  <c r="BO195" i="66"/>
  <c r="BF195" i="66"/>
  <c r="BG195" i="66"/>
  <c r="BE195" i="66"/>
  <c r="BI195" i="66"/>
  <c r="BP195" i="66"/>
  <c r="BT195" i="66"/>
  <c r="BU195" i="66"/>
  <c r="BV195" i="66"/>
  <c r="BW195" i="66"/>
  <c r="BX195" i="66"/>
  <c r="BZ195" i="66"/>
  <c r="CA195" i="66"/>
  <c r="CB195" i="66"/>
  <c r="CE195" i="66"/>
  <c r="CE276" i="66" s="1"/>
  <c r="CF195" i="66"/>
  <c r="CF276" i="66" s="1"/>
  <c r="CG195" i="66"/>
  <c r="CG276" i="66" s="1"/>
  <c r="B198" i="66"/>
  <c r="CD198" i="66"/>
  <c r="B199" i="66"/>
  <c r="CD199" i="66"/>
  <c r="B200" i="66"/>
  <c r="CD200" i="66"/>
  <c r="CD281" i="66" s="1"/>
  <c r="B201" i="66"/>
  <c r="CD201" i="66"/>
  <c r="CD282" i="66" s="1"/>
  <c r="B202" i="66"/>
  <c r="CD202" i="66"/>
  <c r="CD283" i="66" s="1"/>
  <c r="B203" i="66"/>
  <c r="CD203" i="66"/>
  <c r="CD284" i="66" s="1"/>
  <c r="B204" i="66"/>
  <c r="CD204" i="66"/>
  <c r="CD285" i="66" s="1"/>
  <c r="B205" i="66"/>
  <c r="CD205" i="66"/>
  <c r="CD286" i="66" s="1"/>
  <c r="B206" i="66"/>
  <c r="CD206" i="66"/>
  <c r="CD287" i="66" s="1"/>
  <c r="B207" i="66"/>
  <c r="CD207" i="66"/>
  <c r="CD288" i="66" s="1"/>
  <c r="C208" i="66"/>
  <c r="D208" i="66"/>
  <c r="D291" i="66" s="1"/>
  <c r="F208" i="66"/>
  <c r="F291" i="66" s="1"/>
  <c r="AB208" i="66"/>
  <c r="AB291" i="66" s="1"/>
  <c r="AF208" i="66"/>
  <c r="AF291" i="66" s="1"/>
  <c r="G208" i="66"/>
  <c r="G291" i="66" s="1"/>
  <c r="H208" i="66"/>
  <c r="H291" i="66" s="1"/>
  <c r="I208" i="66"/>
  <c r="J208" i="66"/>
  <c r="K208" i="66"/>
  <c r="K291" i="66" s="1"/>
  <c r="L208" i="66"/>
  <c r="M208" i="66"/>
  <c r="M291" i="66" s="1"/>
  <c r="N208" i="66"/>
  <c r="N291" i="66" s="1"/>
  <c r="O208" i="66"/>
  <c r="S208" i="66"/>
  <c r="S291" i="66" s="1"/>
  <c r="X208" i="66"/>
  <c r="X291" i="66" s="1"/>
  <c r="P208" i="66"/>
  <c r="R208" i="66"/>
  <c r="T208" i="66"/>
  <c r="T291" i="66" s="1"/>
  <c r="Q208" i="66"/>
  <c r="Q291" i="66" s="1"/>
  <c r="W208" i="66"/>
  <c r="W291" i="66" s="1"/>
  <c r="U208" i="66"/>
  <c r="U291" i="66" s="1"/>
  <c r="Y208" i="66"/>
  <c r="Y291" i="66" s="1"/>
  <c r="Z208" i="66"/>
  <c r="AA208" i="66"/>
  <c r="AR208" i="66"/>
  <c r="AS208" i="66"/>
  <c r="AS291" i="66" s="1"/>
  <c r="AT208" i="66"/>
  <c r="AT291" i="66" s="1"/>
  <c r="AU208" i="66"/>
  <c r="AU291" i="66" s="1"/>
  <c r="AV208" i="66"/>
  <c r="AV291" i="66" s="1"/>
  <c r="AW208" i="66"/>
  <c r="AW291" i="66" s="1"/>
  <c r="AY208" i="66"/>
  <c r="AY291" i="66" s="1"/>
  <c r="V208" i="66"/>
  <c r="V291" i="66" s="1"/>
  <c r="AZ208" i="66"/>
  <c r="AZ291" i="66" s="1"/>
  <c r="BA208" i="66"/>
  <c r="BA291" i="66" s="1"/>
  <c r="BB208" i="66"/>
  <c r="BB291" i="66" s="1"/>
  <c r="BD208" i="66"/>
  <c r="BD291" i="66" s="1"/>
  <c r="BH208" i="66"/>
  <c r="BH291" i="66" s="1"/>
  <c r="BJ208" i="66"/>
  <c r="BJ291" i="66" s="1"/>
  <c r="BL208" i="66"/>
  <c r="BL291" i="66" s="1"/>
  <c r="BK208" i="66"/>
  <c r="BM208" i="66"/>
  <c r="BM291" i="66" s="1"/>
  <c r="BO208" i="66"/>
  <c r="BO291" i="66" s="1"/>
  <c r="BF208" i="66"/>
  <c r="BF291" i="66" s="1"/>
  <c r="BG208" i="66"/>
  <c r="BE208" i="66"/>
  <c r="BI208" i="66"/>
  <c r="BP208" i="66"/>
  <c r="BP291" i="66" s="1"/>
  <c r="BT208" i="66"/>
  <c r="BT291" i="66" s="1"/>
  <c r="BU208" i="66"/>
  <c r="BU291" i="66" s="1"/>
  <c r="BV208" i="66"/>
  <c r="BV291" i="66" s="1"/>
  <c r="BW208" i="66"/>
  <c r="BW291" i="66" s="1"/>
  <c r="BX208" i="66"/>
  <c r="BX291" i="66" s="1"/>
  <c r="BZ208" i="66"/>
  <c r="BZ291" i="66" s="1"/>
  <c r="CA208" i="66"/>
  <c r="CA291" i="66" s="1"/>
  <c r="CB208" i="66"/>
  <c r="CE208" i="66"/>
  <c r="CE289" i="66" s="1"/>
  <c r="CF208" i="66"/>
  <c r="CF289" i="66" s="1"/>
  <c r="CG208" i="66"/>
  <c r="CG289" i="66" s="1"/>
  <c r="B211" i="66"/>
  <c r="CD211" i="66"/>
  <c r="B212" i="66"/>
  <c r="CD212" i="66"/>
  <c r="B213" i="66"/>
  <c r="CD213" i="66"/>
  <c r="B214" i="66"/>
  <c r="CD214" i="66"/>
  <c r="CD295" i="66" s="1"/>
  <c r="B215" i="66"/>
  <c r="CD215" i="66"/>
  <c r="CD296" i="66" s="1"/>
  <c r="B216" i="66"/>
  <c r="CD216" i="66"/>
  <c r="CD297" i="66" s="1"/>
  <c r="B217" i="66"/>
  <c r="CD217" i="66"/>
  <c r="CD298" i="66" s="1"/>
  <c r="B218" i="66"/>
  <c r="CD218" i="66"/>
  <c r="CD299" i="66" s="1"/>
  <c r="B219" i="66"/>
  <c r="CD219" i="66"/>
  <c r="CD300" i="66" s="1"/>
  <c r="B220" i="66"/>
  <c r="CD220" i="66"/>
  <c r="CD301" i="66" s="1"/>
  <c r="C221" i="66"/>
  <c r="D221" i="66"/>
  <c r="F221" i="66"/>
  <c r="AB221" i="66"/>
  <c r="AF221" i="66"/>
  <c r="G221" i="66"/>
  <c r="H221" i="66"/>
  <c r="I221" i="66"/>
  <c r="J221" i="66"/>
  <c r="K221" i="66"/>
  <c r="L221" i="66"/>
  <c r="M221" i="66"/>
  <c r="N221" i="66"/>
  <c r="O221" i="66"/>
  <c r="S221" i="66"/>
  <c r="X221" i="66"/>
  <c r="P221" i="66"/>
  <c r="R221" i="66"/>
  <c r="T221" i="66"/>
  <c r="Q221" i="66"/>
  <c r="W221" i="66"/>
  <c r="U221" i="66"/>
  <c r="Y221" i="66"/>
  <c r="Z221" i="66"/>
  <c r="AA221" i="66"/>
  <c r="AR221" i="66"/>
  <c r="AS221" i="66"/>
  <c r="AT221" i="66"/>
  <c r="AU221" i="66"/>
  <c r="AV221" i="66"/>
  <c r="AW221" i="66"/>
  <c r="AY221" i="66"/>
  <c r="V221" i="66"/>
  <c r="AZ221" i="66"/>
  <c r="BA221" i="66"/>
  <c r="BB221" i="66"/>
  <c r="BD221" i="66"/>
  <c r="BH221" i="66"/>
  <c r="BJ221" i="66"/>
  <c r="BL221" i="66"/>
  <c r="BK221" i="66"/>
  <c r="BM221" i="66"/>
  <c r="BO221" i="66"/>
  <c r="BF221" i="66"/>
  <c r="BG221" i="66"/>
  <c r="BE221" i="66"/>
  <c r="BI221" i="66"/>
  <c r="BP221" i="66"/>
  <c r="BT221" i="66"/>
  <c r="BU221" i="66"/>
  <c r="BV221" i="66"/>
  <c r="BW221" i="66"/>
  <c r="BX221" i="66"/>
  <c r="BZ221" i="66"/>
  <c r="CA221" i="66"/>
  <c r="CB221" i="66"/>
  <c r="CE221" i="66"/>
  <c r="CE302" i="66" s="1"/>
  <c r="CF221" i="66"/>
  <c r="CF302" i="66" s="1"/>
  <c r="CG221" i="66"/>
  <c r="CG302" i="66" s="1"/>
  <c r="CD224" i="66"/>
  <c r="B225" i="66"/>
  <c r="CD225" i="66"/>
  <c r="B226" i="66"/>
  <c r="CD226" i="66"/>
  <c r="B227" i="66"/>
  <c r="CD227" i="66"/>
  <c r="B228" i="66"/>
  <c r="CD228" i="66"/>
  <c r="CD309" i="66" s="1"/>
  <c r="B229" i="66"/>
  <c r="CD229" i="66"/>
  <c r="CD310" i="66" s="1"/>
  <c r="B230" i="66"/>
  <c r="CD230" i="66"/>
  <c r="CD311" i="66" s="1"/>
  <c r="B231" i="66"/>
  <c r="CD231" i="66"/>
  <c r="CD312" i="66" s="1"/>
  <c r="B232" i="66"/>
  <c r="CD232" i="66"/>
  <c r="CD313" i="66" s="1"/>
  <c r="BX233" i="66"/>
  <c r="CD233" i="66"/>
  <c r="CD314" i="66" s="1"/>
  <c r="B234" i="66"/>
  <c r="CD234" i="66"/>
  <c r="CD315" i="66" s="1"/>
  <c r="C235" i="66"/>
  <c r="D235" i="66"/>
  <c r="F235" i="66"/>
  <c r="AB235" i="66"/>
  <c r="AF235" i="66"/>
  <c r="G235" i="66"/>
  <c r="H235" i="66"/>
  <c r="I235" i="66"/>
  <c r="J235" i="66"/>
  <c r="K235" i="66"/>
  <c r="L235" i="66"/>
  <c r="M235" i="66"/>
  <c r="N235" i="66"/>
  <c r="O235" i="66"/>
  <c r="S235" i="66"/>
  <c r="X235" i="66"/>
  <c r="P235" i="66"/>
  <c r="R235" i="66"/>
  <c r="T235" i="66"/>
  <c r="Q235" i="66"/>
  <c r="W235" i="66"/>
  <c r="U235" i="66"/>
  <c r="Y235" i="66"/>
  <c r="Z235" i="66"/>
  <c r="AA235" i="66"/>
  <c r="AR235" i="66"/>
  <c r="AS235" i="66"/>
  <c r="AT235" i="66"/>
  <c r="AU235" i="66"/>
  <c r="AV235" i="66"/>
  <c r="AW235" i="66"/>
  <c r="AY235" i="66"/>
  <c r="V235" i="66"/>
  <c r="AZ235" i="66"/>
  <c r="BA235" i="66"/>
  <c r="BB235" i="66"/>
  <c r="BD235" i="66"/>
  <c r="BH235" i="66"/>
  <c r="BJ235" i="66"/>
  <c r="BL235" i="66"/>
  <c r="BK235" i="66"/>
  <c r="BM235" i="66"/>
  <c r="BO235" i="66"/>
  <c r="BF235" i="66"/>
  <c r="BG235" i="66"/>
  <c r="BE235" i="66"/>
  <c r="BI235" i="66"/>
  <c r="BP235" i="66"/>
  <c r="BT235" i="66"/>
  <c r="BU235" i="66"/>
  <c r="BV235" i="66"/>
  <c r="BW235" i="66"/>
  <c r="BZ235" i="66"/>
  <c r="CA235" i="66"/>
  <c r="CB235" i="66"/>
  <c r="CE235" i="66"/>
  <c r="CE316" i="66" s="1"/>
  <c r="CF235" i="66"/>
  <c r="CF316" i="66" s="1"/>
  <c r="CG235" i="66"/>
  <c r="CG316" i="66" s="1"/>
  <c r="B239" i="66"/>
  <c r="AX241" i="66"/>
  <c r="BE241" i="66"/>
  <c r="C250" i="66"/>
  <c r="F250" i="66"/>
  <c r="BZ250" i="66"/>
  <c r="D250" i="66"/>
  <c r="AB250" i="66"/>
  <c r="AF250" i="66"/>
  <c r="G250" i="66"/>
  <c r="H250" i="66"/>
  <c r="I250" i="66"/>
  <c r="J250" i="66"/>
  <c r="K250" i="66"/>
  <c r="L250" i="66"/>
  <c r="M250" i="66"/>
  <c r="N250" i="66"/>
  <c r="O250" i="66"/>
  <c r="S250" i="66"/>
  <c r="X250" i="66"/>
  <c r="P250" i="66"/>
  <c r="R250" i="66"/>
  <c r="T250" i="66"/>
  <c r="Q250" i="66"/>
  <c r="W250" i="66"/>
  <c r="U250" i="66"/>
  <c r="Y250" i="66"/>
  <c r="Z250" i="66"/>
  <c r="AA250" i="66"/>
  <c r="AR250" i="66"/>
  <c r="AS250" i="66"/>
  <c r="AT250" i="66"/>
  <c r="AU250" i="66"/>
  <c r="AV250" i="66"/>
  <c r="AW250" i="66"/>
  <c r="AY250" i="66"/>
  <c r="V250" i="66"/>
  <c r="AZ250" i="66"/>
  <c r="BA250" i="66"/>
  <c r="BB250" i="66"/>
  <c r="BD250" i="66"/>
  <c r="BH250" i="66"/>
  <c r="BJ250" i="66"/>
  <c r="BL250" i="66"/>
  <c r="BK250" i="66"/>
  <c r="BM250" i="66"/>
  <c r="BO250" i="66"/>
  <c r="BF250" i="66"/>
  <c r="BG250" i="66"/>
  <c r="BE250" i="66"/>
  <c r="BI250" i="66"/>
  <c r="BP250" i="66"/>
  <c r="BT250" i="66"/>
  <c r="BU250" i="66"/>
  <c r="BV250" i="66"/>
  <c r="CB250" i="66"/>
  <c r="CE250" i="66"/>
  <c r="CF250" i="66"/>
  <c r="CG250" i="66"/>
  <c r="BZ251" i="66"/>
  <c r="CA251" i="66"/>
  <c r="C251" i="66"/>
  <c r="D251" i="66"/>
  <c r="F251" i="66"/>
  <c r="AB251" i="66"/>
  <c r="AF251" i="66"/>
  <c r="G251" i="66"/>
  <c r="H251" i="66"/>
  <c r="I251" i="66"/>
  <c r="J251" i="66"/>
  <c r="K251" i="66"/>
  <c r="L251" i="66"/>
  <c r="M251" i="66"/>
  <c r="N251" i="66"/>
  <c r="O251" i="66"/>
  <c r="S251" i="66"/>
  <c r="X251" i="66"/>
  <c r="P251" i="66"/>
  <c r="R251" i="66"/>
  <c r="T251" i="66"/>
  <c r="Q251" i="66"/>
  <c r="W251" i="66"/>
  <c r="U251" i="66"/>
  <c r="Y251" i="66"/>
  <c r="Z251" i="66"/>
  <c r="AA251" i="66"/>
  <c r="AR251" i="66"/>
  <c r="AS251" i="66"/>
  <c r="AT251" i="66"/>
  <c r="AU251" i="66"/>
  <c r="AV251" i="66"/>
  <c r="AW251" i="66"/>
  <c r="AY251" i="66"/>
  <c r="V251" i="66"/>
  <c r="AZ251" i="66"/>
  <c r="BA251" i="66"/>
  <c r="BB251" i="66"/>
  <c r="BD251" i="66"/>
  <c r="BH251" i="66"/>
  <c r="BJ251" i="66"/>
  <c r="BL251" i="66"/>
  <c r="BK251" i="66"/>
  <c r="BM251" i="66"/>
  <c r="BO251" i="66"/>
  <c r="BF251" i="66"/>
  <c r="BG251" i="66"/>
  <c r="BE251" i="66"/>
  <c r="BI251" i="66"/>
  <c r="BP251" i="66"/>
  <c r="BT251" i="66"/>
  <c r="BU251" i="66"/>
  <c r="BV251" i="66"/>
  <c r="CB251" i="66"/>
  <c r="CE251" i="66"/>
  <c r="CF251" i="66"/>
  <c r="CG251" i="66"/>
  <c r="AF252" i="66"/>
  <c r="C252" i="66"/>
  <c r="D252" i="66"/>
  <c r="F252" i="66"/>
  <c r="AB252" i="66"/>
  <c r="G252" i="66"/>
  <c r="H252" i="66"/>
  <c r="I252" i="66"/>
  <c r="J252" i="66"/>
  <c r="K252" i="66"/>
  <c r="L252" i="66"/>
  <c r="M252" i="66"/>
  <c r="N252" i="66"/>
  <c r="O252" i="66"/>
  <c r="S252" i="66"/>
  <c r="X252" i="66"/>
  <c r="P252" i="66"/>
  <c r="R252" i="66"/>
  <c r="T252" i="66"/>
  <c r="Q252" i="66"/>
  <c r="W252" i="66"/>
  <c r="U252" i="66"/>
  <c r="Y252" i="66"/>
  <c r="Z252" i="66"/>
  <c r="AA252" i="66"/>
  <c r="AR252" i="66"/>
  <c r="AS252" i="66"/>
  <c r="AT252" i="66"/>
  <c r="AU252" i="66"/>
  <c r="AV252" i="66"/>
  <c r="AW252" i="66"/>
  <c r="AY252" i="66"/>
  <c r="V252" i="66"/>
  <c r="AZ252" i="66"/>
  <c r="BA252" i="66"/>
  <c r="BB252" i="66"/>
  <c r="BD252" i="66"/>
  <c r="BH252" i="66"/>
  <c r="BJ252" i="66"/>
  <c r="BL252" i="66"/>
  <c r="BK252" i="66"/>
  <c r="BM252" i="66"/>
  <c r="BO252" i="66"/>
  <c r="BF252" i="66"/>
  <c r="BG252" i="66"/>
  <c r="BE252" i="66"/>
  <c r="BI252" i="66"/>
  <c r="BP252" i="66"/>
  <c r="BT252" i="66"/>
  <c r="BU252" i="66"/>
  <c r="BV252" i="66"/>
  <c r="BZ252" i="66"/>
  <c r="CB252" i="66"/>
  <c r="CE252" i="66"/>
  <c r="CF252" i="66"/>
  <c r="CG252" i="66"/>
  <c r="C253" i="66"/>
  <c r="D253" i="66"/>
  <c r="F253" i="66"/>
  <c r="AB253" i="66"/>
  <c r="AF253" i="66"/>
  <c r="G253" i="66"/>
  <c r="H253" i="66"/>
  <c r="I253" i="66"/>
  <c r="J253" i="66"/>
  <c r="K253" i="66"/>
  <c r="L253" i="66"/>
  <c r="M253" i="66"/>
  <c r="N253" i="66"/>
  <c r="O253" i="66"/>
  <c r="S253" i="66"/>
  <c r="X253" i="66"/>
  <c r="P253" i="66"/>
  <c r="R253" i="66"/>
  <c r="T253" i="66"/>
  <c r="Q253" i="66"/>
  <c r="W253" i="66"/>
  <c r="U253" i="66"/>
  <c r="Y253" i="66"/>
  <c r="Z253" i="66"/>
  <c r="AA253" i="66"/>
  <c r="AR253" i="66"/>
  <c r="AS253" i="66"/>
  <c r="AT253" i="66"/>
  <c r="AU253" i="66"/>
  <c r="AV253" i="66"/>
  <c r="AW253" i="66"/>
  <c r="AY253" i="66"/>
  <c r="V253" i="66"/>
  <c r="AZ253" i="66"/>
  <c r="BA253" i="66"/>
  <c r="BB253" i="66"/>
  <c r="BD253" i="66"/>
  <c r="BH253" i="66"/>
  <c r="BJ253" i="66"/>
  <c r="BL253" i="66"/>
  <c r="BK253" i="66"/>
  <c r="BM253" i="66"/>
  <c r="BO253" i="66"/>
  <c r="BF253" i="66"/>
  <c r="BG253" i="66"/>
  <c r="BE253" i="66"/>
  <c r="BI253" i="66"/>
  <c r="BP253" i="66"/>
  <c r="BT253" i="66"/>
  <c r="BU253" i="66"/>
  <c r="BV253" i="66"/>
  <c r="BW253" i="66"/>
  <c r="BX253" i="66"/>
  <c r="BZ253" i="66"/>
  <c r="CA253" i="66"/>
  <c r="CB253" i="66"/>
  <c r="CE253" i="66"/>
  <c r="CF253" i="66"/>
  <c r="CG253" i="66"/>
  <c r="F254" i="66"/>
  <c r="C254" i="66"/>
  <c r="D254" i="66"/>
  <c r="AB254" i="66"/>
  <c r="AF254" i="66"/>
  <c r="G254" i="66"/>
  <c r="H254" i="66"/>
  <c r="I254" i="66"/>
  <c r="J254" i="66"/>
  <c r="K254" i="66"/>
  <c r="L254" i="66"/>
  <c r="M254" i="66"/>
  <c r="N254" i="66"/>
  <c r="O254" i="66"/>
  <c r="S254" i="66"/>
  <c r="X254" i="66"/>
  <c r="P254" i="66"/>
  <c r="R254" i="66"/>
  <c r="T254" i="66"/>
  <c r="Q254" i="66"/>
  <c r="W254" i="66"/>
  <c r="U254" i="66"/>
  <c r="Y254" i="66"/>
  <c r="Z254" i="66"/>
  <c r="AA254" i="66"/>
  <c r="AR254" i="66"/>
  <c r="AS254" i="66"/>
  <c r="AT254" i="66"/>
  <c r="AU254" i="66"/>
  <c r="AV254" i="66"/>
  <c r="AW254" i="66"/>
  <c r="AY254" i="66"/>
  <c r="V254" i="66"/>
  <c r="AZ254" i="66"/>
  <c r="BA254" i="66"/>
  <c r="BB254" i="66"/>
  <c r="BD254" i="66"/>
  <c r="BH254" i="66"/>
  <c r="BJ254" i="66"/>
  <c r="BL254" i="66"/>
  <c r="BK254" i="66"/>
  <c r="BM254" i="66"/>
  <c r="BO254" i="66"/>
  <c r="BF254" i="66"/>
  <c r="BG254" i="66"/>
  <c r="BE254" i="66"/>
  <c r="BI254" i="66"/>
  <c r="BP254" i="66"/>
  <c r="BT254" i="66"/>
  <c r="BU254" i="66"/>
  <c r="BV254" i="66"/>
  <c r="BZ254" i="66"/>
  <c r="CA254" i="66"/>
  <c r="CB254" i="66"/>
  <c r="CE254" i="66"/>
  <c r="CF254" i="66"/>
  <c r="CG254" i="66"/>
  <c r="C255" i="66"/>
  <c r="D255" i="66"/>
  <c r="F255" i="66"/>
  <c r="AB255" i="66"/>
  <c r="AF255" i="66"/>
  <c r="G255" i="66"/>
  <c r="H255" i="66"/>
  <c r="I255" i="66"/>
  <c r="J255" i="66"/>
  <c r="K255" i="66"/>
  <c r="L255" i="66"/>
  <c r="M255" i="66"/>
  <c r="N255" i="66"/>
  <c r="O255" i="66"/>
  <c r="S255" i="66"/>
  <c r="X255" i="66"/>
  <c r="P255" i="66"/>
  <c r="R255" i="66"/>
  <c r="T255" i="66"/>
  <c r="Q255" i="66"/>
  <c r="W255" i="66"/>
  <c r="U255" i="66"/>
  <c r="Y255" i="66"/>
  <c r="Z255" i="66"/>
  <c r="AA255" i="66"/>
  <c r="AR255" i="66"/>
  <c r="AS255" i="66"/>
  <c r="AT255" i="66"/>
  <c r="AU255" i="66"/>
  <c r="AV255" i="66"/>
  <c r="AW255" i="66"/>
  <c r="AY255" i="66"/>
  <c r="V255" i="66"/>
  <c r="AZ255" i="66"/>
  <c r="BA255" i="66"/>
  <c r="BB255" i="66"/>
  <c r="BD255" i="66"/>
  <c r="BH255" i="66"/>
  <c r="BJ255" i="66"/>
  <c r="BL255" i="66"/>
  <c r="BK255" i="66"/>
  <c r="BM255" i="66"/>
  <c r="BO255" i="66"/>
  <c r="BF255" i="66"/>
  <c r="BG255" i="66"/>
  <c r="BE255" i="66"/>
  <c r="BI255" i="66"/>
  <c r="BP255" i="66"/>
  <c r="BT255" i="66"/>
  <c r="BU255" i="66"/>
  <c r="BV255" i="66"/>
  <c r="BX255" i="66"/>
  <c r="BZ255" i="66"/>
  <c r="CA255" i="66"/>
  <c r="CB255" i="66"/>
  <c r="CE255" i="66"/>
  <c r="CF255" i="66"/>
  <c r="CG255" i="66"/>
  <c r="F256" i="66"/>
  <c r="C256" i="66"/>
  <c r="D256" i="66"/>
  <c r="AB256" i="66"/>
  <c r="AF256" i="66"/>
  <c r="G256" i="66"/>
  <c r="H256" i="66"/>
  <c r="I256" i="66"/>
  <c r="J256" i="66"/>
  <c r="K256" i="66"/>
  <c r="L256" i="66"/>
  <c r="M256" i="66"/>
  <c r="N256" i="66"/>
  <c r="O256" i="66"/>
  <c r="S256" i="66"/>
  <c r="X256" i="66"/>
  <c r="P256" i="66"/>
  <c r="R256" i="66"/>
  <c r="T256" i="66"/>
  <c r="Q256" i="66"/>
  <c r="W256" i="66"/>
  <c r="U256" i="66"/>
  <c r="Y256" i="66"/>
  <c r="Z256" i="66"/>
  <c r="AA256" i="66"/>
  <c r="AR256" i="66"/>
  <c r="AS256" i="66"/>
  <c r="AT256" i="66"/>
  <c r="AU256" i="66"/>
  <c r="AV256" i="66"/>
  <c r="AW256" i="66"/>
  <c r="AY256" i="66"/>
  <c r="V256" i="66"/>
  <c r="AZ256" i="66"/>
  <c r="BA256" i="66"/>
  <c r="BB256" i="66"/>
  <c r="BD256" i="66"/>
  <c r="BH256" i="66"/>
  <c r="BJ256" i="66"/>
  <c r="BL256" i="66"/>
  <c r="BK256" i="66"/>
  <c r="BM256" i="66"/>
  <c r="BO256" i="66"/>
  <c r="BF256" i="66"/>
  <c r="BG256" i="66"/>
  <c r="BE256" i="66"/>
  <c r="BI256" i="66"/>
  <c r="BP256" i="66"/>
  <c r="BT256" i="66"/>
  <c r="BU256" i="66"/>
  <c r="BV256" i="66"/>
  <c r="BW256" i="66"/>
  <c r="BX256" i="66"/>
  <c r="BZ256" i="66"/>
  <c r="CA256" i="66"/>
  <c r="CB256" i="66"/>
  <c r="CE256" i="66"/>
  <c r="CF256" i="66"/>
  <c r="CG256" i="66"/>
  <c r="C257" i="66"/>
  <c r="D257" i="66"/>
  <c r="F257" i="66"/>
  <c r="AB257" i="66"/>
  <c r="AF257" i="66"/>
  <c r="G257" i="66"/>
  <c r="H257" i="66"/>
  <c r="I257" i="66"/>
  <c r="J257" i="66"/>
  <c r="K257" i="66"/>
  <c r="L257" i="66"/>
  <c r="M257" i="66"/>
  <c r="N257" i="66"/>
  <c r="O257" i="66"/>
  <c r="S257" i="66"/>
  <c r="X257" i="66"/>
  <c r="P257" i="66"/>
  <c r="R257" i="66"/>
  <c r="T257" i="66"/>
  <c r="Q257" i="66"/>
  <c r="W257" i="66"/>
  <c r="U257" i="66"/>
  <c r="Y257" i="66"/>
  <c r="Z257" i="66"/>
  <c r="AA257" i="66"/>
  <c r="AR257" i="66"/>
  <c r="AS257" i="66"/>
  <c r="AT257" i="66"/>
  <c r="AU257" i="66"/>
  <c r="AV257" i="66"/>
  <c r="AW257" i="66"/>
  <c r="AY257" i="66"/>
  <c r="V257" i="66"/>
  <c r="AZ257" i="66"/>
  <c r="BA257" i="66"/>
  <c r="BB257" i="66"/>
  <c r="BD257" i="66"/>
  <c r="BH257" i="66"/>
  <c r="BJ257" i="66"/>
  <c r="BL257" i="66"/>
  <c r="BK257" i="66"/>
  <c r="BM257" i="66"/>
  <c r="BO257" i="66"/>
  <c r="BF257" i="66"/>
  <c r="BG257" i="66"/>
  <c r="BE257" i="66"/>
  <c r="BI257" i="66"/>
  <c r="BP257" i="66"/>
  <c r="BT257" i="66"/>
  <c r="BU257" i="66"/>
  <c r="BV257" i="66"/>
  <c r="BW257" i="66"/>
  <c r="BX257" i="66"/>
  <c r="BZ257" i="66"/>
  <c r="CA257" i="66"/>
  <c r="CB257" i="66"/>
  <c r="CE257" i="66"/>
  <c r="CF257" i="66"/>
  <c r="CG257" i="66"/>
  <c r="CA258" i="66"/>
  <c r="C258" i="66"/>
  <c r="D258" i="66"/>
  <c r="F258" i="66"/>
  <c r="AB258" i="66"/>
  <c r="AF258" i="66"/>
  <c r="G258" i="66"/>
  <c r="H258" i="66"/>
  <c r="I258" i="66"/>
  <c r="J258" i="66"/>
  <c r="K258" i="66"/>
  <c r="L258" i="66"/>
  <c r="M258" i="66"/>
  <c r="N258" i="66"/>
  <c r="O258" i="66"/>
  <c r="S258" i="66"/>
  <c r="X258" i="66"/>
  <c r="P258" i="66"/>
  <c r="R258" i="66"/>
  <c r="T258" i="66"/>
  <c r="Q258" i="66"/>
  <c r="W258" i="66"/>
  <c r="U258" i="66"/>
  <c r="Y258" i="66"/>
  <c r="Z258" i="66"/>
  <c r="AA258" i="66"/>
  <c r="AR258" i="66"/>
  <c r="AS258" i="66"/>
  <c r="AT258" i="66"/>
  <c r="AU258" i="66"/>
  <c r="AV258" i="66"/>
  <c r="AW258" i="66"/>
  <c r="AY258" i="66"/>
  <c r="V258" i="66"/>
  <c r="AZ258" i="66"/>
  <c r="BA258" i="66"/>
  <c r="BB258" i="66"/>
  <c r="BD258" i="66"/>
  <c r="BH258" i="66"/>
  <c r="BJ258" i="66"/>
  <c r="BL258" i="66"/>
  <c r="BK258" i="66"/>
  <c r="BM258" i="66"/>
  <c r="BO258" i="66"/>
  <c r="BF258" i="66"/>
  <c r="BG258" i="66"/>
  <c r="BE258" i="66"/>
  <c r="BI258" i="66"/>
  <c r="BP258" i="66"/>
  <c r="BT258" i="66"/>
  <c r="BU258" i="66"/>
  <c r="BV258" i="66"/>
  <c r="BW258" i="66"/>
  <c r="BX258" i="66"/>
  <c r="BZ258" i="66"/>
  <c r="CB258" i="66"/>
  <c r="CE258" i="66"/>
  <c r="CF258" i="66"/>
  <c r="CG258" i="66"/>
  <c r="CA259" i="66"/>
  <c r="C259" i="66"/>
  <c r="D259" i="66"/>
  <c r="F259" i="66"/>
  <c r="AB259" i="66"/>
  <c r="AF259" i="66"/>
  <c r="G259" i="66"/>
  <c r="H259" i="66"/>
  <c r="I259" i="66"/>
  <c r="J259" i="66"/>
  <c r="K259" i="66"/>
  <c r="L259" i="66"/>
  <c r="M259" i="66"/>
  <c r="N259" i="66"/>
  <c r="O259" i="66"/>
  <c r="S259" i="66"/>
  <c r="X259" i="66"/>
  <c r="P259" i="66"/>
  <c r="R259" i="66"/>
  <c r="T259" i="66"/>
  <c r="Q259" i="66"/>
  <c r="W259" i="66"/>
  <c r="U259" i="66"/>
  <c r="Y259" i="66"/>
  <c r="Z259" i="66"/>
  <c r="AA259" i="66"/>
  <c r="AR259" i="66"/>
  <c r="AS259" i="66"/>
  <c r="AT259" i="66"/>
  <c r="AU259" i="66"/>
  <c r="AV259" i="66"/>
  <c r="AW259" i="66"/>
  <c r="AY259" i="66"/>
  <c r="V259" i="66"/>
  <c r="AZ259" i="66"/>
  <c r="BA259" i="66"/>
  <c r="BB259" i="66"/>
  <c r="BD259" i="66"/>
  <c r="BH259" i="66"/>
  <c r="BJ259" i="66"/>
  <c r="BL259" i="66"/>
  <c r="BK259" i="66"/>
  <c r="BM259" i="66"/>
  <c r="BO259" i="66"/>
  <c r="BF259" i="66"/>
  <c r="BG259" i="66"/>
  <c r="BE259" i="66"/>
  <c r="BI259" i="66"/>
  <c r="BP259" i="66"/>
  <c r="BT259" i="66"/>
  <c r="BU259" i="66"/>
  <c r="BV259" i="66"/>
  <c r="BW259" i="66"/>
  <c r="BX259" i="66"/>
  <c r="BZ259" i="66"/>
  <c r="CB259" i="66"/>
  <c r="CE259" i="66"/>
  <c r="CF259" i="66"/>
  <c r="CG259" i="66"/>
  <c r="C260" i="66"/>
  <c r="D260" i="66"/>
  <c r="F260" i="66"/>
  <c r="AB260" i="66"/>
  <c r="AF260" i="66"/>
  <c r="G260" i="66"/>
  <c r="H260" i="66"/>
  <c r="I260" i="66"/>
  <c r="J260" i="66"/>
  <c r="K260" i="66"/>
  <c r="L260" i="66"/>
  <c r="M260" i="66"/>
  <c r="N260" i="66"/>
  <c r="O260" i="66"/>
  <c r="S260" i="66"/>
  <c r="X260" i="66"/>
  <c r="P260" i="66"/>
  <c r="R260" i="66"/>
  <c r="T260" i="66"/>
  <c r="Q260" i="66"/>
  <c r="W260" i="66"/>
  <c r="U260" i="66"/>
  <c r="Y260" i="66"/>
  <c r="Z260" i="66"/>
  <c r="AA260" i="66"/>
  <c r="AR260" i="66"/>
  <c r="AS260" i="66"/>
  <c r="AT260" i="66"/>
  <c r="AU260" i="66"/>
  <c r="AV260" i="66"/>
  <c r="AW260" i="66"/>
  <c r="AY260" i="66"/>
  <c r="V260" i="66"/>
  <c r="AZ260" i="66"/>
  <c r="BA260" i="66"/>
  <c r="BB260" i="66"/>
  <c r="BD260" i="66"/>
  <c r="BH260" i="66"/>
  <c r="BJ260" i="66"/>
  <c r="BL260" i="66"/>
  <c r="BK260" i="66"/>
  <c r="BM260" i="66"/>
  <c r="BO260" i="66"/>
  <c r="BF260" i="66"/>
  <c r="BG260" i="66"/>
  <c r="BE260" i="66"/>
  <c r="BI260" i="66"/>
  <c r="BP260" i="66"/>
  <c r="BT260" i="66"/>
  <c r="BU260" i="66"/>
  <c r="BV260" i="66"/>
  <c r="BW260" i="66"/>
  <c r="BX260" i="66"/>
  <c r="BZ260" i="66"/>
  <c r="CA260" i="66"/>
  <c r="CB260" i="66"/>
  <c r="CE260" i="66"/>
  <c r="CF260" i="66"/>
  <c r="CG260" i="66"/>
  <c r="C261" i="66"/>
  <c r="D261" i="66"/>
  <c r="F261" i="66"/>
  <c r="AB261" i="66"/>
  <c r="AF261" i="66"/>
  <c r="G261" i="66"/>
  <c r="H261" i="66"/>
  <c r="I261" i="66"/>
  <c r="J261" i="66"/>
  <c r="K261" i="66"/>
  <c r="L261" i="66"/>
  <c r="M261" i="66"/>
  <c r="N261" i="66"/>
  <c r="O261" i="66"/>
  <c r="S261" i="66"/>
  <c r="X261" i="66"/>
  <c r="P261" i="66"/>
  <c r="R261" i="66"/>
  <c r="T261" i="66"/>
  <c r="Q261" i="66"/>
  <c r="W261" i="66"/>
  <c r="U261" i="66"/>
  <c r="Y261" i="66"/>
  <c r="Z261" i="66"/>
  <c r="AA261" i="66"/>
  <c r="AR261" i="66"/>
  <c r="AS261" i="66"/>
  <c r="AT261" i="66"/>
  <c r="AU261" i="66"/>
  <c r="AV261" i="66"/>
  <c r="AW261" i="66"/>
  <c r="AY261" i="66"/>
  <c r="V261" i="66"/>
  <c r="AZ261" i="66"/>
  <c r="BA261" i="66"/>
  <c r="BB261" i="66"/>
  <c r="BD261" i="66"/>
  <c r="BH261" i="66"/>
  <c r="BJ261" i="66"/>
  <c r="BL261" i="66"/>
  <c r="BK261" i="66"/>
  <c r="BM261" i="66"/>
  <c r="BO261" i="66"/>
  <c r="BF261" i="66"/>
  <c r="BG261" i="66"/>
  <c r="BE261" i="66"/>
  <c r="BI261" i="66"/>
  <c r="BP261" i="66"/>
  <c r="BT261" i="66"/>
  <c r="BU261" i="66"/>
  <c r="BV261" i="66"/>
  <c r="BW261" i="66"/>
  <c r="BX261" i="66"/>
  <c r="BZ261" i="66"/>
  <c r="CA261" i="66"/>
  <c r="CB261" i="66"/>
  <c r="CE261" i="66"/>
  <c r="CF261" i="66"/>
  <c r="CG261" i="66"/>
  <c r="C262" i="66"/>
  <c r="D262" i="66"/>
  <c r="F262" i="66"/>
  <c r="AB262" i="66"/>
  <c r="AF262" i="66"/>
  <c r="G262" i="66"/>
  <c r="H262" i="66"/>
  <c r="I262" i="66"/>
  <c r="J262" i="66"/>
  <c r="K262" i="66"/>
  <c r="L262" i="66"/>
  <c r="M262" i="66"/>
  <c r="N262" i="66"/>
  <c r="O262" i="66"/>
  <c r="S262" i="66"/>
  <c r="X262" i="66"/>
  <c r="P262" i="66"/>
  <c r="R262" i="66"/>
  <c r="T262" i="66"/>
  <c r="Q262" i="66"/>
  <c r="W262" i="66"/>
  <c r="U262" i="66"/>
  <c r="Y262" i="66"/>
  <c r="Z262" i="66"/>
  <c r="AA262" i="66"/>
  <c r="AR262" i="66"/>
  <c r="AS262" i="66"/>
  <c r="AT262" i="66"/>
  <c r="AU262" i="66"/>
  <c r="AV262" i="66"/>
  <c r="AW262" i="66"/>
  <c r="AY262" i="66"/>
  <c r="V262" i="66"/>
  <c r="AZ262" i="66"/>
  <c r="BA262" i="66"/>
  <c r="BB262" i="66"/>
  <c r="BD262" i="66"/>
  <c r="BH262" i="66"/>
  <c r="BJ262" i="66"/>
  <c r="BL262" i="66"/>
  <c r="BK262" i="66"/>
  <c r="BM262" i="66"/>
  <c r="BO262" i="66"/>
  <c r="BF262" i="66"/>
  <c r="BG262" i="66"/>
  <c r="BE262" i="66"/>
  <c r="BI262" i="66"/>
  <c r="BP262" i="66"/>
  <c r="BT262" i="66"/>
  <c r="BU262" i="66"/>
  <c r="BV262" i="66"/>
  <c r="BW262" i="66"/>
  <c r="BX262" i="66"/>
  <c r="BZ262" i="66"/>
  <c r="CA262" i="66"/>
  <c r="CB262" i="66"/>
  <c r="CE262" i="66"/>
  <c r="CF262" i="66"/>
  <c r="CG262" i="66"/>
  <c r="C264" i="66"/>
  <c r="D264" i="66"/>
  <c r="F264" i="66"/>
  <c r="AB264" i="66"/>
  <c r="AF264" i="66"/>
  <c r="G264" i="66"/>
  <c r="H264" i="66"/>
  <c r="I264" i="66"/>
  <c r="J264" i="66"/>
  <c r="K264" i="66"/>
  <c r="L264" i="66"/>
  <c r="M264" i="66"/>
  <c r="N264" i="66"/>
  <c r="O264" i="66"/>
  <c r="S264" i="66"/>
  <c r="X264" i="66"/>
  <c r="P264" i="66"/>
  <c r="R264" i="66"/>
  <c r="T264" i="66"/>
  <c r="Q264" i="66"/>
  <c r="W264" i="66"/>
  <c r="U264" i="66"/>
  <c r="Y264" i="66"/>
  <c r="Z264" i="66"/>
  <c r="AA264" i="66"/>
  <c r="AR264" i="66"/>
  <c r="AS264" i="66"/>
  <c r="AT264" i="66"/>
  <c r="AU264" i="66"/>
  <c r="AV264" i="66"/>
  <c r="AW264" i="66"/>
  <c r="AY264" i="66"/>
  <c r="V264" i="66"/>
  <c r="AZ264" i="66"/>
  <c r="BA264" i="66"/>
  <c r="BB264" i="66"/>
  <c r="BD264" i="66"/>
  <c r="BH264" i="66"/>
  <c r="BJ264" i="66"/>
  <c r="BL264" i="66"/>
  <c r="BK264" i="66"/>
  <c r="BM264" i="66"/>
  <c r="BO264" i="66"/>
  <c r="BF264" i="66"/>
  <c r="BG264" i="66"/>
  <c r="BE264" i="66"/>
  <c r="BI264" i="66"/>
  <c r="BP264" i="66"/>
  <c r="BT264" i="66"/>
  <c r="BU264" i="66"/>
  <c r="BV264" i="66"/>
  <c r="BW264" i="66"/>
  <c r="BX264" i="66"/>
  <c r="BZ264" i="66"/>
  <c r="CA264" i="66"/>
  <c r="CB264" i="66"/>
  <c r="CD264" i="66"/>
  <c r="CE264" i="66"/>
  <c r="CF264" i="66"/>
  <c r="CG264" i="66"/>
  <c r="C268" i="66"/>
  <c r="D268" i="66"/>
  <c r="F268" i="66"/>
  <c r="AB268" i="66"/>
  <c r="AF268" i="66"/>
  <c r="G268" i="66"/>
  <c r="H268" i="66"/>
  <c r="I268" i="66"/>
  <c r="J268" i="66"/>
  <c r="K268" i="66"/>
  <c r="L268" i="66"/>
  <c r="M268" i="66"/>
  <c r="N268" i="66"/>
  <c r="O268" i="66"/>
  <c r="S268" i="66"/>
  <c r="X268" i="66"/>
  <c r="P268" i="66"/>
  <c r="R268" i="66"/>
  <c r="T268" i="66"/>
  <c r="Q268" i="66"/>
  <c r="W268" i="66"/>
  <c r="U268" i="66"/>
  <c r="Y268" i="66"/>
  <c r="Z268" i="66"/>
  <c r="AA268" i="66"/>
  <c r="AR268" i="66"/>
  <c r="AS268" i="66"/>
  <c r="AT268" i="66"/>
  <c r="AU268" i="66"/>
  <c r="AV268" i="66"/>
  <c r="AW268" i="66"/>
  <c r="AY268" i="66"/>
  <c r="V268" i="66"/>
  <c r="AZ268" i="66"/>
  <c r="BA268" i="66"/>
  <c r="BB268" i="66"/>
  <c r="BD268" i="66"/>
  <c r="BH268" i="66"/>
  <c r="BJ268" i="66"/>
  <c r="BL268" i="66"/>
  <c r="BK268" i="66"/>
  <c r="BM268" i="66"/>
  <c r="BO268" i="66"/>
  <c r="BF268" i="66"/>
  <c r="BG268" i="66"/>
  <c r="BE268" i="66"/>
  <c r="BI268" i="66"/>
  <c r="BP268" i="66"/>
  <c r="BT268" i="66"/>
  <c r="BU268" i="66"/>
  <c r="BV268" i="66"/>
  <c r="BW268" i="66"/>
  <c r="BX268" i="66"/>
  <c r="BZ268" i="66"/>
  <c r="CA268" i="66"/>
  <c r="CB268" i="66"/>
  <c r="CE268" i="66"/>
  <c r="CF268" i="66"/>
  <c r="CG268" i="66"/>
  <c r="O269" i="66"/>
  <c r="C269" i="66"/>
  <c r="D269" i="66"/>
  <c r="F269" i="66"/>
  <c r="AB269" i="66"/>
  <c r="AF269" i="66"/>
  <c r="G269" i="66"/>
  <c r="H269" i="66"/>
  <c r="I269" i="66"/>
  <c r="J269" i="66"/>
  <c r="K269" i="66"/>
  <c r="L269" i="66"/>
  <c r="M269" i="66"/>
  <c r="N269" i="66"/>
  <c r="S269" i="66"/>
  <c r="X269" i="66"/>
  <c r="P269" i="66"/>
  <c r="R269" i="66"/>
  <c r="T269" i="66"/>
  <c r="Q269" i="66"/>
  <c r="W269" i="66"/>
  <c r="U269" i="66"/>
  <c r="Y269" i="66"/>
  <c r="Z269" i="66"/>
  <c r="AA269" i="66"/>
  <c r="AR269" i="66"/>
  <c r="AS269" i="66"/>
  <c r="AT269" i="66"/>
  <c r="AU269" i="66"/>
  <c r="AV269" i="66"/>
  <c r="AW269" i="66"/>
  <c r="AY269" i="66"/>
  <c r="V269" i="66"/>
  <c r="AZ269" i="66"/>
  <c r="BA269" i="66"/>
  <c r="BB269" i="66"/>
  <c r="BD269" i="66"/>
  <c r="BH269" i="66"/>
  <c r="BJ269" i="66"/>
  <c r="BL269" i="66"/>
  <c r="BK269" i="66"/>
  <c r="BM269" i="66"/>
  <c r="BO269" i="66"/>
  <c r="BF269" i="66"/>
  <c r="BG269" i="66"/>
  <c r="BE269" i="66"/>
  <c r="BI269" i="66"/>
  <c r="BP269" i="66"/>
  <c r="BT269" i="66"/>
  <c r="BU269" i="66"/>
  <c r="BV269" i="66"/>
  <c r="BW269" i="66"/>
  <c r="BX269" i="66"/>
  <c r="BZ269" i="66"/>
  <c r="CA269" i="66"/>
  <c r="CB269" i="66"/>
  <c r="CE269" i="66"/>
  <c r="CF269" i="66"/>
  <c r="CG269" i="66"/>
  <c r="C270" i="66"/>
  <c r="D270" i="66"/>
  <c r="F270" i="66"/>
  <c r="AB270" i="66"/>
  <c r="AF270" i="66"/>
  <c r="G270" i="66"/>
  <c r="H270" i="66"/>
  <c r="I270" i="66"/>
  <c r="J270" i="66"/>
  <c r="K270" i="66"/>
  <c r="L270" i="66"/>
  <c r="M270" i="66"/>
  <c r="N270" i="66"/>
  <c r="O270" i="66"/>
  <c r="S270" i="66"/>
  <c r="X270" i="66"/>
  <c r="P270" i="66"/>
  <c r="R270" i="66"/>
  <c r="T270" i="66"/>
  <c r="Q270" i="66"/>
  <c r="W270" i="66"/>
  <c r="U270" i="66"/>
  <c r="Y270" i="66"/>
  <c r="Z270" i="66"/>
  <c r="AA270" i="66"/>
  <c r="AR270" i="66"/>
  <c r="AS270" i="66"/>
  <c r="AT270" i="66"/>
  <c r="AU270" i="66"/>
  <c r="AV270" i="66"/>
  <c r="AW270" i="66"/>
  <c r="AY270" i="66"/>
  <c r="V270" i="66"/>
  <c r="AZ270" i="66"/>
  <c r="BA270" i="66"/>
  <c r="BB270" i="66"/>
  <c r="BD270" i="66"/>
  <c r="BH270" i="66"/>
  <c r="BJ270" i="66"/>
  <c r="BL270" i="66"/>
  <c r="BK270" i="66"/>
  <c r="BM270" i="66"/>
  <c r="BO270" i="66"/>
  <c r="BF270" i="66"/>
  <c r="BG270" i="66"/>
  <c r="BE270" i="66"/>
  <c r="BI270" i="66"/>
  <c r="BP270" i="66"/>
  <c r="BT270" i="66"/>
  <c r="BU270" i="66"/>
  <c r="BV270" i="66"/>
  <c r="BW270" i="66"/>
  <c r="BX270" i="66"/>
  <c r="BZ270" i="66"/>
  <c r="CA270" i="66"/>
  <c r="CB270" i="66"/>
  <c r="CE270" i="66"/>
  <c r="CF270" i="66"/>
  <c r="CG270" i="66"/>
  <c r="C271" i="66"/>
  <c r="D271" i="66"/>
  <c r="F271" i="66"/>
  <c r="AB271" i="66"/>
  <c r="AF271" i="66"/>
  <c r="G271" i="66"/>
  <c r="H271" i="66"/>
  <c r="I271" i="66"/>
  <c r="J271" i="66"/>
  <c r="K271" i="66"/>
  <c r="L271" i="66"/>
  <c r="M271" i="66"/>
  <c r="N271" i="66"/>
  <c r="O271" i="66"/>
  <c r="S271" i="66"/>
  <c r="X271" i="66"/>
  <c r="P271" i="66"/>
  <c r="R271" i="66"/>
  <c r="T271" i="66"/>
  <c r="Q271" i="66"/>
  <c r="W271" i="66"/>
  <c r="U271" i="66"/>
  <c r="Y271" i="66"/>
  <c r="Z271" i="66"/>
  <c r="AA271" i="66"/>
  <c r="AR271" i="66"/>
  <c r="AS271" i="66"/>
  <c r="AT271" i="66"/>
  <c r="AU271" i="66"/>
  <c r="AV271" i="66"/>
  <c r="AW271" i="66"/>
  <c r="AY271" i="66"/>
  <c r="V271" i="66"/>
  <c r="AZ271" i="66"/>
  <c r="BA271" i="66"/>
  <c r="BB271" i="66"/>
  <c r="BD271" i="66"/>
  <c r="BH271" i="66"/>
  <c r="BJ271" i="66"/>
  <c r="BL271" i="66"/>
  <c r="BK271" i="66"/>
  <c r="BM271" i="66"/>
  <c r="BO271" i="66"/>
  <c r="BF271" i="66"/>
  <c r="BG271" i="66"/>
  <c r="BE271" i="66"/>
  <c r="BI271" i="66"/>
  <c r="BP271" i="66"/>
  <c r="BT271" i="66"/>
  <c r="BU271" i="66"/>
  <c r="BV271" i="66"/>
  <c r="BW271" i="66"/>
  <c r="BX271" i="66"/>
  <c r="BZ271" i="66"/>
  <c r="CA271" i="66"/>
  <c r="CB271" i="66"/>
  <c r="CE271" i="66"/>
  <c r="CF271" i="66"/>
  <c r="CG271" i="66"/>
  <c r="C272" i="66"/>
  <c r="D272" i="66"/>
  <c r="F272" i="66"/>
  <c r="AB272" i="66"/>
  <c r="AF272" i="66"/>
  <c r="G272" i="66"/>
  <c r="H272" i="66"/>
  <c r="I272" i="66"/>
  <c r="J272" i="66"/>
  <c r="K272" i="66"/>
  <c r="L272" i="66"/>
  <c r="M272" i="66"/>
  <c r="N272" i="66"/>
  <c r="O272" i="66"/>
  <c r="S272" i="66"/>
  <c r="X272" i="66"/>
  <c r="P272" i="66"/>
  <c r="R272" i="66"/>
  <c r="T272" i="66"/>
  <c r="Q272" i="66"/>
  <c r="W272" i="66"/>
  <c r="U272" i="66"/>
  <c r="Y272" i="66"/>
  <c r="Z272" i="66"/>
  <c r="AA272" i="66"/>
  <c r="AR272" i="66"/>
  <c r="AS272" i="66"/>
  <c r="AT272" i="66"/>
  <c r="AU272" i="66"/>
  <c r="AV272" i="66"/>
  <c r="AW272" i="66"/>
  <c r="AY272" i="66"/>
  <c r="V272" i="66"/>
  <c r="AZ272" i="66"/>
  <c r="BA272" i="66"/>
  <c r="BB272" i="66"/>
  <c r="BD272" i="66"/>
  <c r="BH272" i="66"/>
  <c r="BJ272" i="66"/>
  <c r="BL272" i="66"/>
  <c r="BK272" i="66"/>
  <c r="BM272" i="66"/>
  <c r="BO272" i="66"/>
  <c r="BF272" i="66"/>
  <c r="BG272" i="66"/>
  <c r="BE272" i="66"/>
  <c r="BI272" i="66"/>
  <c r="BP272" i="66"/>
  <c r="BT272" i="66"/>
  <c r="BU272" i="66"/>
  <c r="BV272" i="66"/>
  <c r="BW272" i="66"/>
  <c r="BX272" i="66"/>
  <c r="BZ272" i="66"/>
  <c r="CA272" i="66"/>
  <c r="CB272" i="66"/>
  <c r="CE272" i="66"/>
  <c r="CF272" i="66"/>
  <c r="CG272" i="66"/>
  <c r="C273" i="66"/>
  <c r="D273" i="66"/>
  <c r="F273" i="66"/>
  <c r="AB273" i="66"/>
  <c r="AF273" i="66"/>
  <c r="G273" i="66"/>
  <c r="H273" i="66"/>
  <c r="I273" i="66"/>
  <c r="J273" i="66"/>
  <c r="K273" i="66"/>
  <c r="L273" i="66"/>
  <c r="M273" i="66"/>
  <c r="N273" i="66"/>
  <c r="O273" i="66"/>
  <c r="S273" i="66"/>
  <c r="X273" i="66"/>
  <c r="P273" i="66"/>
  <c r="R273" i="66"/>
  <c r="T273" i="66"/>
  <c r="Q273" i="66"/>
  <c r="W273" i="66"/>
  <c r="U273" i="66"/>
  <c r="Y273" i="66"/>
  <c r="Z273" i="66"/>
  <c r="AA273" i="66"/>
  <c r="AR273" i="66"/>
  <c r="AS273" i="66"/>
  <c r="AT273" i="66"/>
  <c r="AU273" i="66"/>
  <c r="AV273" i="66"/>
  <c r="AW273" i="66"/>
  <c r="AY273" i="66"/>
  <c r="V273" i="66"/>
  <c r="AZ273" i="66"/>
  <c r="BA273" i="66"/>
  <c r="BB273" i="66"/>
  <c r="BD273" i="66"/>
  <c r="BH273" i="66"/>
  <c r="BJ273" i="66"/>
  <c r="BL273" i="66"/>
  <c r="BK273" i="66"/>
  <c r="BM273" i="66"/>
  <c r="BO273" i="66"/>
  <c r="BF273" i="66"/>
  <c r="BG273" i="66"/>
  <c r="BE273" i="66"/>
  <c r="BI273" i="66"/>
  <c r="BP273" i="66"/>
  <c r="BT273" i="66"/>
  <c r="BU273" i="66"/>
  <c r="BV273" i="66"/>
  <c r="BW273" i="66"/>
  <c r="BX273" i="66"/>
  <c r="BZ273" i="66"/>
  <c r="CA273" i="66"/>
  <c r="CB273" i="66"/>
  <c r="CE273" i="66"/>
  <c r="CF273" i="66"/>
  <c r="CG273" i="66"/>
  <c r="C274" i="66"/>
  <c r="D274" i="66"/>
  <c r="F274" i="66"/>
  <c r="AB274" i="66"/>
  <c r="AF274" i="66"/>
  <c r="G274" i="66"/>
  <c r="H274" i="66"/>
  <c r="I274" i="66"/>
  <c r="J274" i="66"/>
  <c r="K274" i="66"/>
  <c r="L274" i="66"/>
  <c r="M274" i="66"/>
  <c r="N274" i="66"/>
  <c r="O274" i="66"/>
  <c r="S274" i="66"/>
  <c r="X274" i="66"/>
  <c r="P274" i="66"/>
  <c r="R274" i="66"/>
  <c r="T274" i="66"/>
  <c r="Q274" i="66"/>
  <c r="W274" i="66"/>
  <c r="U274" i="66"/>
  <c r="Y274" i="66"/>
  <c r="Z274" i="66"/>
  <c r="AA274" i="66"/>
  <c r="AR274" i="66"/>
  <c r="AS274" i="66"/>
  <c r="AT274" i="66"/>
  <c r="AU274" i="66"/>
  <c r="AV274" i="66"/>
  <c r="AW274" i="66"/>
  <c r="AY274" i="66"/>
  <c r="V274" i="66"/>
  <c r="AZ274" i="66"/>
  <c r="BA274" i="66"/>
  <c r="BB274" i="66"/>
  <c r="BD274" i="66"/>
  <c r="BH274" i="66"/>
  <c r="BJ274" i="66"/>
  <c r="BL274" i="66"/>
  <c r="BK274" i="66"/>
  <c r="BM274" i="66"/>
  <c r="BO274" i="66"/>
  <c r="BF274" i="66"/>
  <c r="BG274" i="66"/>
  <c r="BE274" i="66"/>
  <c r="BI274" i="66"/>
  <c r="BP274" i="66"/>
  <c r="BT274" i="66"/>
  <c r="BU274" i="66"/>
  <c r="BV274" i="66"/>
  <c r="BW274" i="66"/>
  <c r="BX274" i="66"/>
  <c r="BZ274" i="66"/>
  <c r="CA274" i="66"/>
  <c r="CB274" i="66"/>
  <c r="CE274" i="66"/>
  <c r="CF274" i="66"/>
  <c r="CG274" i="66"/>
  <c r="C275" i="66"/>
  <c r="D275" i="66"/>
  <c r="F275" i="66"/>
  <c r="AB275" i="66"/>
  <c r="AF275" i="66"/>
  <c r="G275" i="66"/>
  <c r="H275" i="66"/>
  <c r="I275" i="66"/>
  <c r="J275" i="66"/>
  <c r="K275" i="66"/>
  <c r="L275" i="66"/>
  <c r="M275" i="66"/>
  <c r="N275" i="66"/>
  <c r="O275" i="66"/>
  <c r="S275" i="66"/>
  <c r="X275" i="66"/>
  <c r="P275" i="66"/>
  <c r="R275" i="66"/>
  <c r="T275" i="66"/>
  <c r="Q275" i="66"/>
  <c r="W275" i="66"/>
  <c r="U275" i="66"/>
  <c r="Y275" i="66"/>
  <c r="Z275" i="66"/>
  <c r="AA275" i="66"/>
  <c r="AR275" i="66"/>
  <c r="AS275" i="66"/>
  <c r="AT275" i="66"/>
  <c r="AU275" i="66"/>
  <c r="AV275" i="66"/>
  <c r="AW275" i="66"/>
  <c r="AY275" i="66"/>
  <c r="V275" i="66"/>
  <c r="AZ275" i="66"/>
  <c r="BA275" i="66"/>
  <c r="BB275" i="66"/>
  <c r="BD275" i="66"/>
  <c r="BH275" i="66"/>
  <c r="BJ275" i="66"/>
  <c r="BL275" i="66"/>
  <c r="BK275" i="66"/>
  <c r="BM275" i="66"/>
  <c r="BO275" i="66"/>
  <c r="BF275" i="66"/>
  <c r="BG275" i="66"/>
  <c r="BE275" i="66"/>
  <c r="BI275" i="66"/>
  <c r="BP275" i="66"/>
  <c r="BT275" i="66"/>
  <c r="BU275" i="66"/>
  <c r="BV275" i="66"/>
  <c r="BW275" i="66"/>
  <c r="BX275" i="66"/>
  <c r="BZ275" i="66"/>
  <c r="CA275" i="66"/>
  <c r="CB275" i="66"/>
  <c r="CE275" i="66"/>
  <c r="CF275" i="66"/>
  <c r="CG275" i="66"/>
  <c r="C276" i="66"/>
  <c r="D276" i="66"/>
  <c r="F276" i="66"/>
  <c r="AB276" i="66"/>
  <c r="AF276" i="66"/>
  <c r="G276" i="66"/>
  <c r="H276" i="66"/>
  <c r="I276" i="66"/>
  <c r="J276" i="66"/>
  <c r="K276" i="66"/>
  <c r="L276" i="66"/>
  <c r="M276" i="66"/>
  <c r="N276" i="66"/>
  <c r="O276" i="66"/>
  <c r="S276" i="66"/>
  <c r="X276" i="66"/>
  <c r="P276" i="66"/>
  <c r="R276" i="66"/>
  <c r="T276" i="66"/>
  <c r="Q276" i="66"/>
  <c r="W276" i="66"/>
  <c r="U276" i="66"/>
  <c r="Y276" i="66"/>
  <c r="Z276" i="66"/>
  <c r="AA276" i="66"/>
  <c r="AR276" i="66"/>
  <c r="AS276" i="66"/>
  <c r="AT276" i="66"/>
  <c r="AU276" i="66"/>
  <c r="AV276" i="66"/>
  <c r="AW276" i="66"/>
  <c r="AY276" i="66"/>
  <c r="V276" i="66"/>
  <c r="AZ276" i="66"/>
  <c r="BA276" i="66"/>
  <c r="BB276" i="66"/>
  <c r="BD276" i="66"/>
  <c r="BH276" i="66"/>
  <c r="BJ276" i="66"/>
  <c r="BL276" i="66"/>
  <c r="BK276" i="66"/>
  <c r="BM276" i="66"/>
  <c r="BO276" i="66"/>
  <c r="BF276" i="66"/>
  <c r="BG276" i="66"/>
  <c r="BE276" i="66"/>
  <c r="BI276" i="66"/>
  <c r="BP276" i="66"/>
  <c r="BT276" i="66"/>
  <c r="BU276" i="66"/>
  <c r="BV276" i="66"/>
  <c r="BW276" i="66"/>
  <c r="BX276" i="66"/>
  <c r="BZ276" i="66"/>
  <c r="CA276" i="66"/>
  <c r="CB276" i="66"/>
  <c r="C277" i="66"/>
  <c r="D277" i="66"/>
  <c r="F277" i="66"/>
  <c r="AB277" i="66"/>
  <c r="AF277" i="66"/>
  <c r="G277" i="66"/>
  <c r="H277" i="66"/>
  <c r="I277" i="66"/>
  <c r="J277" i="66"/>
  <c r="K277" i="66"/>
  <c r="L277" i="66"/>
  <c r="M277" i="66"/>
  <c r="N277" i="66"/>
  <c r="O277" i="66"/>
  <c r="S277" i="66"/>
  <c r="X277" i="66"/>
  <c r="P277" i="66"/>
  <c r="R277" i="66"/>
  <c r="T277" i="66"/>
  <c r="Q277" i="66"/>
  <c r="W277" i="66"/>
  <c r="U277" i="66"/>
  <c r="Y277" i="66"/>
  <c r="Z277" i="66"/>
  <c r="AA277" i="66"/>
  <c r="AR277" i="66"/>
  <c r="AS277" i="66"/>
  <c r="AT277" i="66"/>
  <c r="AU277" i="66"/>
  <c r="AV277" i="66"/>
  <c r="AW277" i="66"/>
  <c r="AY277" i="66"/>
  <c r="V277" i="66"/>
  <c r="AZ277" i="66"/>
  <c r="BA277" i="66"/>
  <c r="BB277" i="66"/>
  <c r="BD277" i="66"/>
  <c r="BH277" i="66"/>
  <c r="BJ277" i="66"/>
  <c r="BL277" i="66"/>
  <c r="BK277" i="66"/>
  <c r="BM277" i="66"/>
  <c r="BO277" i="66"/>
  <c r="BF277" i="66"/>
  <c r="BG277" i="66"/>
  <c r="BE277" i="66"/>
  <c r="BI277" i="66"/>
  <c r="BP277" i="66"/>
  <c r="BT277" i="66"/>
  <c r="BU277" i="66"/>
  <c r="BV277" i="66"/>
  <c r="BW277" i="66"/>
  <c r="BX277" i="66"/>
  <c r="BZ277" i="66"/>
  <c r="CA277" i="66"/>
  <c r="CB277" i="66"/>
  <c r="CD277" i="66"/>
  <c r="CE277" i="66"/>
  <c r="CF277" i="66"/>
  <c r="CG277" i="66"/>
  <c r="C281" i="66"/>
  <c r="D281" i="66"/>
  <c r="F281" i="66"/>
  <c r="AB281" i="66"/>
  <c r="AF281" i="66"/>
  <c r="G281" i="66"/>
  <c r="H281" i="66"/>
  <c r="I281" i="66"/>
  <c r="J281" i="66"/>
  <c r="K281" i="66"/>
  <c r="L281" i="66"/>
  <c r="M281" i="66"/>
  <c r="N281" i="66"/>
  <c r="O281" i="66"/>
  <c r="S281" i="66"/>
  <c r="X281" i="66"/>
  <c r="P281" i="66"/>
  <c r="R281" i="66"/>
  <c r="T281" i="66"/>
  <c r="Q281" i="66"/>
  <c r="W281" i="66"/>
  <c r="U281" i="66"/>
  <c r="Y281" i="66"/>
  <c r="Z281" i="66"/>
  <c r="AA281" i="66"/>
  <c r="AR281" i="66"/>
  <c r="AS281" i="66"/>
  <c r="AT281" i="66"/>
  <c r="AU281" i="66"/>
  <c r="AV281" i="66"/>
  <c r="AW281" i="66"/>
  <c r="AY281" i="66"/>
  <c r="V281" i="66"/>
  <c r="AZ281" i="66"/>
  <c r="BA281" i="66"/>
  <c r="BB281" i="66"/>
  <c r="BD281" i="66"/>
  <c r="BH281" i="66"/>
  <c r="BJ281" i="66"/>
  <c r="BL281" i="66"/>
  <c r="BK281" i="66"/>
  <c r="BM281" i="66"/>
  <c r="BO281" i="66"/>
  <c r="BF281" i="66"/>
  <c r="BG281" i="66"/>
  <c r="BE281" i="66"/>
  <c r="BI281" i="66"/>
  <c r="BP281" i="66"/>
  <c r="BT281" i="66"/>
  <c r="BU281" i="66"/>
  <c r="BV281" i="66"/>
  <c r="BW281" i="66"/>
  <c r="BX281" i="66"/>
  <c r="BZ281" i="66"/>
  <c r="CA281" i="66"/>
  <c r="CB281" i="66"/>
  <c r="CE281" i="66"/>
  <c r="CF281" i="66"/>
  <c r="CG281" i="66"/>
  <c r="C282" i="66"/>
  <c r="D282" i="66"/>
  <c r="F282" i="66"/>
  <c r="AB282" i="66"/>
  <c r="AF282" i="66"/>
  <c r="G282" i="66"/>
  <c r="H282" i="66"/>
  <c r="I282" i="66"/>
  <c r="J282" i="66"/>
  <c r="K282" i="66"/>
  <c r="L282" i="66"/>
  <c r="M282" i="66"/>
  <c r="N282" i="66"/>
  <c r="O282" i="66"/>
  <c r="S282" i="66"/>
  <c r="X282" i="66"/>
  <c r="P282" i="66"/>
  <c r="R282" i="66"/>
  <c r="T282" i="66"/>
  <c r="Q282" i="66"/>
  <c r="W282" i="66"/>
  <c r="U282" i="66"/>
  <c r="Y282" i="66"/>
  <c r="Z282" i="66"/>
  <c r="AA282" i="66"/>
  <c r="AR282" i="66"/>
  <c r="AS282" i="66"/>
  <c r="AT282" i="66"/>
  <c r="AU282" i="66"/>
  <c r="AV282" i="66"/>
  <c r="AW282" i="66"/>
  <c r="AY282" i="66"/>
  <c r="V282" i="66"/>
  <c r="AZ282" i="66"/>
  <c r="BA282" i="66"/>
  <c r="BB282" i="66"/>
  <c r="BD282" i="66"/>
  <c r="BH282" i="66"/>
  <c r="BJ282" i="66"/>
  <c r="BL282" i="66"/>
  <c r="BK282" i="66"/>
  <c r="BM282" i="66"/>
  <c r="BO282" i="66"/>
  <c r="BF282" i="66"/>
  <c r="BG282" i="66"/>
  <c r="BE282" i="66"/>
  <c r="BI282" i="66"/>
  <c r="BP282" i="66"/>
  <c r="BT282" i="66"/>
  <c r="BU282" i="66"/>
  <c r="BV282" i="66"/>
  <c r="BW282" i="66"/>
  <c r="BX282" i="66"/>
  <c r="BZ282" i="66"/>
  <c r="CA282" i="66"/>
  <c r="CB282" i="66"/>
  <c r="CE282" i="66"/>
  <c r="CF282" i="66"/>
  <c r="CG282" i="66"/>
  <c r="C283" i="66"/>
  <c r="D283" i="66"/>
  <c r="F283" i="66"/>
  <c r="AB283" i="66"/>
  <c r="AF283" i="66"/>
  <c r="G283" i="66"/>
  <c r="H283" i="66"/>
  <c r="I283" i="66"/>
  <c r="J283" i="66"/>
  <c r="K283" i="66"/>
  <c r="L283" i="66"/>
  <c r="M283" i="66"/>
  <c r="N283" i="66"/>
  <c r="O283" i="66"/>
  <c r="S283" i="66"/>
  <c r="X283" i="66"/>
  <c r="P283" i="66"/>
  <c r="R283" i="66"/>
  <c r="T283" i="66"/>
  <c r="Q283" i="66"/>
  <c r="W283" i="66"/>
  <c r="U283" i="66"/>
  <c r="Y283" i="66"/>
  <c r="Z283" i="66"/>
  <c r="AA283" i="66"/>
  <c r="AR283" i="66"/>
  <c r="AS283" i="66"/>
  <c r="AT283" i="66"/>
  <c r="AU283" i="66"/>
  <c r="AV283" i="66"/>
  <c r="AW283" i="66"/>
  <c r="AY283" i="66"/>
  <c r="V283" i="66"/>
  <c r="AZ283" i="66"/>
  <c r="BA283" i="66"/>
  <c r="BB283" i="66"/>
  <c r="BD283" i="66"/>
  <c r="BH283" i="66"/>
  <c r="BJ283" i="66"/>
  <c r="BL283" i="66"/>
  <c r="BK283" i="66"/>
  <c r="BM283" i="66"/>
  <c r="BO283" i="66"/>
  <c r="BF283" i="66"/>
  <c r="BG283" i="66"/>
  <c r="BE283" i="66"/>
  <c r="BI283" i="66"/>
  <c r="BP283" i="66"/>
  <c r="BT283" i="66"/>
  <c r="BU283" i="66"/>
  <c r="BV283" i="66"/>
  <c r="BW283" i="66"/>
  <c r="BX283" i="66"/>
  <c r="BZ283" i="66"/>
  <c r="CA283" i="66"/>
  <c r="CB283" i="66"/>
  <c r="CE283" i="66"/>
  <c r="CF283" i="66"/>
  <c r="CG283" i="66"/>
  <c r="C284" i="66"/>
  <c r="D284" i="66"/>
  <c r="F284" i="66"/>
  <c r="AB284" i="66"/>
  <c r="AF284" i="66"/>
  <c r="G284" i="66"/>
  <c r="H284" i="66"/>
  <c r="I284" i="66"/>
  <c r="J284" i="66"/>
  <c r="K284" i="66"/>
  <c r="L284" i="66"/>
  <c r="M284" i="66"/>
  <c r="N284" i="66"/>
  <c r="O284" i="66"/>
  <c r="S284" i="66"/>
  <c r="X284" i="66"/>
  <c r="P284" i="66"/>
  <c r="R284" i="66"/>
  <c r="T284" i="66"/>
  <c r="Q284" i="66"/>
  <c r="W284" i="66"/>
  <c r="U284" i="66"/>
  <c r="Y284" i="66"/>
  <c r="Z284" i="66"/>
  <c r="AA284" i="66"/>
  <c r="AR284" i="66"/>
  <c r="AS284" i="66"/>
  <c r="AT284" i="66"/>
  <c r="AU284" i="66"/>
  <c r="AV284" i="66"/>
  <c r="AW284" i="66"/>
  <c r="AY284" i="66"/>
  <c r="V284" i="66"/>
  <c r="AZ284" i="66"/>
  <c r="BA284" i="66"/>
  <c r="BB284" i="66"/>
  <c r="BD284" i="66"/>
  <c r="BH284" i="66"/>
  <c r="BJ284" i="66"/>
  <c r="BL284" i="66"/>
  <c r="BK284" i="66"/>
  <c r="BM284" i="66"/>
  <c r="BO284" i="66"/>
  <c r="BF284" i="66"/>
  <c r="BG284" i="66"/>
  <c r="BE284" i="66"/>
  <c r="BI284" i="66"/>
  <c r="BP284" i="66"/>
  <c r="BT284" i="66"/>
  <c r="BU284" i="66"/>
  <c r="BV284" i="66"/>
  <c r="BW284" i="66"/>
  <c r="BX284" i="66"/>
  <c r="BZ284" i="66"/>
  <c r="CA284" i="66"/>
  <c r="CB284" i="66"/>
  <c r="CE284" i="66"/>
  <c r="CF284" i="66"/>
  <c r="CG284" i="66"/>
  <c r="C285" i="66"/>
  <c r="D285" i="66"/>
  <c r="F285" i="66"/>
  <c r="AB285" i="66"/>
  <c r="AF285" i="66"/>
  <c r="G285" i="66"/>
  <c r="H285" i="66"/>
  <c r="I285" i="66"/>
  <c r="J285" i="66"/>
  <c r="K285" i="66"/>
  <c r="L285" i="66"/>
  <c r="M285" i="66"/>
  <c r="N285" i="66"/>
  <c r="O285" i="66"/>
  <c r="S285" i="66"/>
  <c r="X285" i="66"/>
  <c r="P285" i="66"/>
  <c r="R285" i="66"/>
  <c r="T285" i="66"/>
  <c r="Q285" i="66"/>
  <c r="W285" i="66"/>
  <c r="U285" i="66"/>
  <c r="Y285" i="66"/>
  <c r="Z285" i="66"/>
  <c r="AA285" i="66"/>
  <c r="AR285" i="66"/>
  <c r="AS285" i="66"/>
  <c r="AT285" i="66"/>
  <c r="AU285" i="66"/>
  <c r="AV285" i="66"/>
  <c r="AW285" i="66"/>
  <c r="AY285" i="66"/>
  <c r="V285" i="66"/>
  <c r="AZ285" i="66"/>
  <c r="BA285" i="66"/>
  <c r="BB285" i="66"/>
  <c r="BD285" i="66"/>
  <c r="BH285" i="66"/>
  <c r="BJ285" i="66"/>
  <c r="BL285" i="66"/>
  <c r="BK285" i="66"/>
  <c r="BM285" i="66"/>
  <c r="BO285" i="66"/>
  <c r="BF285" i="66"/>
  <c r="BG285" i="66"/>
  <c r="BE285" i="66"/>
  <c r="BI285" i="66"/>
  <c r="BP285" i="66"/>
  <c r="BT285" i="66"/>
  <c r="BU285" i="66"/>
  <c r="BV285" i="66"/>
  <c r="BW285" i="66"/>
  <c r="BX285" i="66"/>
  <c r="BZ285" i="66"/>
  <c r="CA285" i="66"/>
  <c r="CB285" i="66"/>
  <c r="CE285" i="66"/>
  <c r="CF285" i="66"/>
  <c r="CG285" i="66"/>
  <c r="C286" i="66"/>
  <c r="D286" i="66"/>
  <c r="F286" i="66"/>
  <c r="AB286" i="66"/>
  <c r="AF286" i="66"/>
  <c r="G286" i="66"/>
  <c r="H286" i="66"/>
  <c r="I286" i="66"/>
  <c r="J286" i="66"/>
  <c r="K286" i="66"/>
  <c r="L286" i="66"/>
  <c r="M286" i="66"/>
  <c r="N286" i="66"/>
  <c r="O286" i="66"/>
  <c r="S286" i="66"/>
  <c r="X286" i="66"/>
  <c r="P286" i="66"/>
  <c r="R286" i="66"/>
  <c r="T286" i="66"/>
  <c r="Q286" i="66"/>
  <c r="W286" i="66"/>
  <c r="U286" i="66"/>
  <c r="Y286" i="66"/>
  <c r="Z286" i="66"/>
  <c r="AA286" i="66"/>
  <c r="AR286" i="66"/>
  <c r="AS286" i="66"/>
  <c r="AT286" i="66"/>
  <c r="AU286" i="66"/>
  <c r="AV286" i="66"/>
  <c r="AW286" i="66"/>
  <c r="AY286" i="66"/>
  <c r="V286" i="66"/>
  <c r="AZ286" i="66"/>
  <c r="BA286" i="66"/>
  <c r="BB286" i="66"/>
  <c r="BD286" i="66"/>
  <c r="BH286" i="66"/>
  <c r="BJ286" i="66"/>
  <c r="BL286" i="66"/>
  <c r="BK286" i="66"/>
  <c r="BM286" i="66"/>
  <c r="BO286" i="66"/>
  <c r="BF286" i="66"/>
  <c r="BG286" i="66"/>
  <c r="BE286" i="66"/>
  <c r="BI286" i="66"/>
  <c r="BP286" i="66"/>
  <c r="BT286" i="66"/>
  <c r="BU286" i="66"/>
  <c r="BV286" i="66"/>
  <c r="BW286" i="66"/>
  <c r="BX286" i="66"/>
  <c r="BZ286" i="66"/>
  <c r="CA286" i="66"/>
  <c r="CB286" i="66"/>
  <c r="CE286" i="66"/>
  <c r="CF286" i="66"/>
  <c r="CG286" i="66"/>
  <c r="C287" i="66"/>
  <c r="D287" i="66"/>
  <c r="F287" i="66"/>
  <c r="AB287" i="66"/>
  <c r="AF287" i="66"/>
  <c r="G287" i="66"/>
  <c r="H287" i="66"/>
  <c r="I287" i="66"/>
  <c r="J287" i="66"/>
  <c r="K287" i="66"/>
  <c r="L287" i="66"/>
  <c r="M287" i="66"/>
  <c r="N287" i="66"/>
  <c r="O287" i="66"/>
  <c r="S287" i="66"/>
  <c r="X287" i="66"/>
  <c r="P287" i="66"/>
  <c r="R287" i="66"/>
  <c r="T287" i="66"/>
  <c r="Q287" i="66"/>
  <c r="W287" i="66"/>
  <c r="U287" i="66"/>
  <c r="Y287" i="66"/>
  <c r="Z287" i="66"/>
  <c r="AA287" i="66"/>
  <c r="AR287" i="66"/>
  <c r="AS287" i="66"/>
  <c r="AT287" i="66"/>
  <c r="AU287" i="66"/>
  <c r="AV287" i="66"/>
  <c r="AW287" i="66"/>
  <c r="AY287" i="66"/>
  <c r="V287" i="66"/>
  <c r="AZ287" i="66"/>
  <c r="BA287" i="66"/>
  <c r="BB287" i="66"/>
  <c r="BD287" i="66"/>
  <c r="BH287" i="66"/>
  <c r="BJ287" i="66"/>
  <c r="BL287" i="66"/>
  <c r="BK287" i="66"/>
  <c r="BM287" i="66"/>
  <c r="BO287" i="66"/>
  <c r="BF287" i="66"/>
  <c r="BG287" i="66"/>
  <c r="BE287" i="66"/>
  <c r="BI287" i="66"/>
  <c r="BP287" i="66"/>
  <c r="BT287" i="66"/>
  <c r="BU287" i="66"/>
  <c r="BV287" i="66"/>
  <c r="BW287" i="66"/>
  <c r="BX287" i="66"/>
  <c r="BZ287" i="66"/>
  <c r="CA287" i="66"/>
  <c r="CB287" i="66"/>
  <c r="CE287" i="66"/>
  <c r="CF287" i="66"/>
  <c r="CG287" i="66"/>
  <c r="C288" i="66"/>
  <c r="D288" i="66"/>
  <c r="F288" i="66"/>
  <c r="AB288" i="66"/>
  <c r="AF288" i="66"/>
  <c r="G288" i="66"/>
  <c r="H288" i="66"/>
  <c r="I288" i="66"/>
  <c r="J288" i="66"/>
  <c r="K288" i="66"/>
  <c r="L288" i="66"/>
  <c r="M288" i="66"/>
  <c r="N288" i="66"/>
  <c r="O288" i="66"/>
  <c r="S288" i="66"/>
  <c r="X288" i="66"/>
  <c r="P288" i="66"/>
  <c r="R288" i="66"/>
  <c r="T288" i="66"/>
  <c r="Q288" i="66"/>
  <c r="W288" i="66"/>
  <c r="U288" i="66"/>
  <c r="Y288" i="66"/>
  <c r="Z288" i="66"/>
  <c r="AA288" i="66"/>
  <c r="AR288" i="66"/>
  <c r="AS288" i="66"/>
  <c r="AT288" i="66"/>
  <c r="AU288" i="66"/>
  <c r="AV288" i="66"/>
  <c r="AW288" i="66"/>
  <c r="AY288" i="66"/>
  <c r="V288" i="66"/>
  <c r="AZ288" i="66"/>
  <c r="BA288" i="66"/>
  <c r="BB288" i="66"/>
  <c r="BD288" i="66"/>
  <c r="BH288" i="66"/>
  <c r="BJ288" i="66"/>
  <c r="BL288" i="66"/>
  <c r="BK288" i="66"/>
  <c r="BM288" i="66"/>
  <c r="BO288" i="66"/>
  <c r="BF288" i="66"/>
  <c r="BG288" i="66"/>
  <c r="BE288" i="66"/>
  <c r="BI288" i="66"/>
  <c r="BP288" i="66"/>
  <c r="BT288" i="66"/>
  <c r="BU288" i="66"/>
  <c r="BV288" i="66"/>
  <c r="BW288" i="66"/>
  <c r="BX288" i="66"/>
  <c r="BZ288" i="66"/>
  <c r="CA288" i="66"/>
  <c r="CB288" i="66"/>
  <c r="CE288" i="66"/>
  <c r="CF288" i="66"/>
  <c r="CG288" i="66"/>
  <c r="C289" i="66"/>
  <c r="D289" i="66"/>
  <c r="F289" i="66"/>
  <c r="AB289" i="66"/>
  <c r="AF289" i="66"/>
  <c r="G289" i="66"/>
  <c r="H289" i="66"/>
  <c r="I289" i="66"/>
  <c r="J289" i="66"/>
  <c r="K289" i="66"/>
  <c r="L289" i="66"/>
  <c r="M289" i="66"/>
  <c r="N289" i="66"/>
  <c r="O289" i="66"/>
  <c r="S289" i="66"/>
  <c r="X289" i="66"/>
  <c r="P289" i="66"/>
  <c r="R289" i="66"/>
  <c r="T289" i="66"/>
  <c r="Q289" i="66"/>
  <c r="W289" i="66"/>
  <c r="U289" i="66"/>
  <c r="Y289" i="66"/>
  <c r="Z289" i="66"/>
  <c r="AA289" i="66"/>
  <c r="AR289" i="66"/>
  <c r="AS289" i="66"/>
  <c r="AT289" i="66"/>
  <c r="AU289" i="66"/>
  <c r="AV289" i="66"/>
  <c r="AW289" i="66"/>
  <c r="AY289" i="66"/>
  <c r="V289" i="66"/>
  <c r="AZ289" i="66"/>
  <c r="BA289" i="66"/>
  <c r="BB289" i="66"/>
  <c r="BD289" i="66"/>
  <c r="BH289" i="66"/>
  <c r="BJ289" i="66"/>
  <c r="BL289" i="66"/>
  <c r="BK289" i="66"/>
  <c r="BM289" i="66"/>
  <c r="BO289" i="66"/>
  <c r="BF289" i="66"/>
  <c r="BG289" i="66"/>
  <c r="BE289" i="66"/>
  <c r="BI289" i="66"/>
  <c r="BP289" i="66"/>
  <c r="BT289" i="66"/>
  <c r="BU289" i="66"/>
  <c r="BV289" i="66"/>
  <c r="BW289" i="66"/>
  <c r="BX289" i="66"/>
  <c r="BZ289" i="66"/>
  <c r="CA289" i="66"/>
  <c r="CB289" i="66"/>
  <c r="C290" i="66"/>
  <c r="D290" i="66"/>
  <c r="F290" i="66"/>
  <c r="AB290" i="66"/>
  <c r="AF290" i="66"/>
  <c r="G290" i="66"/>
  <c r="H290" i="66"/>
  <c r="I290" i="66"/>
  <c r="J290" i="66"/>
  <c r="K290" i="66"/>
  <c r="L290" i="66"/>
  <c r="M290" i="66"/>
  <c r="N290" i="66"/>
  <c r="O290" i="66"/>
  <c r="S290" i="66"/>
  <c r="X290" i="66"/>
  <c r="P290" i="66"/>
  <c r="R290" i="66"/>
  <c r="T290" i="66"/>
  <c r="Q290" i="66"/>
  <c r="W290" i="66"/>
  <c r="U290" i="66"/>
  <c r="Y290" i="66"/>
  <c r="Z290" i="66"/>
  <c r="AA290" i="66"/>
  <c r="AR290" i="66"/>
  <c r="AS290" i="66"/>
  <c r="AT290" i="66"/>
  <c r="AU290" i="66"/>
  <c r="AV290" i="66"/>
  <c r="AW290" i="66"/>
  <c r="AY290" i="66"/>
  <c r="V290" i="66"/>
  <c r="AZ290" i="66"/>
  <c r="BA290" i="66"/>
  <c r="BB290" i="66"/>
  <c r="BD290" i="66"/>
  <c r="BH290" i="66"/>
  <c r="BJ290" i="66"/>
  <c r="BL290" i="66"/>
  <c r="BK290" i="66"/>
  <c r="BM290" i="66"/>
  <c r="BO290" i="66"/>
  <c r="BF290" i="66"/>
  <c r="BG290" i="66"/>
  <c r="BE290" i="66"/>
  <c r="BI290" i="66"/>
  <c r="BP290" i="66"/>
  <c r="BT290" i="66"/>
  <c r="BU290" i="66"/>
  <c r="BV290" i="66"/>
  <c r="BW290" i="66"/>
  <c r="BX290" i="66"/>
  <c r="BZ290" i="66"/>
  <c r="CA290" i="66"/>
  <c r="CB290" i="66"/>
  <c r="CE290" i="66"/>
  <c r="CF290" i="66"/>
  <c r="CG290" i="66"/>
  <c r="CE291" i="66"/>
  <c r="CF291" i="66"/>
  <c r="CG291" i="66"/>
  <c r="C295" i="66"/>
  <c r="D295" i="66"/>
  <c r="F295" i="66"/>
  <c r="AB295" i="66"/>
  <c r="AF295" i="66"/>
  <c r="G295" i="66"/>
  <c r="H295" i="66"/>
  <c r="I295" i="66"/>
  <c r="J295" i="66"/>
  <c r="K295" i="66"/>
  <c r="L295" i="66"/>
  <c r="M295" i="66"/>
  <c r="N295" i="66"/>
  <c r="O295" i="66"/>
  <c r="S295" i="66"/>
  <c r="X295" i="66"/>
  <c r="P295" i="66"/>
  <c r="R295" i="66"/>
  <c r="T295" i="66"/>
  <c r="Q295" i="66"/>
  <c r="W295" i="66"/>
  <c r="U295" i="66"/>
  <c r="Y295" i="66"/>
  <c r="Z295" i="66"/>
  <c r="AA295" i="66"/>
  <c r="AR295" i="66"/>
  <c r="AS295" i="66"/>
  <c r="AT295" i="66"/>
  <c r="AU295" i="66"/>
  <c r="AV295" i="66"/>
  <c r="AW295" i="66"/>
  <c r="AY295" i="66"/>
  <c r="V295" i="66"/>
  <c r="AZ295" i="66"/>
  <c r="BA295" i="66"/>
  <c r="BB295" i="66"/>
  <c r="BD295" i="66"/>
  <c r="BH295" i="66"/>
  <c r="BJ295" i="66"/>
  <c r="BL295" i="66"/>
  <c r="BK295" i="66"/>
  <c r="BM295" i="66"/>
  <c r="BO295" i="66"/>
  <c r="BF295" i="66"/>
  <c r="BG295" i="66"/>
  <c r="BE295" i="66"/>
  <c r="BI295" i="66"/>
  <c r="BP295" i="66"/>
  <c r="BT295" i="66"/>
  <c r="BU295" i="66"/>
  <c r="BV295" i="66"/>
  <c r="BW295" i="66"/>
  <c r="BX295" i="66"/>
  <c r="BZ295" i="66"/>
  <c r="CA295" i="66"/>
  <c r="CB295" i="66"/>
  <c r="CE295" i="66"/>
  <c r="CF295" i="66"/>
  <c r="CG295" i="66"/>
  <c r="C296" i="66"/>
  <c r="D296" i="66"/>
  <c r="F296" i="66"/>
  <c r="AB296" i="66"/>
  <c r="AF296" i="66"/>
  <c r="G296" i="66"/>
  <c r="H296" i="66"/>
  <c r="I296" i="66"/>
  <c r="J296" i="66"/>
  <c r="K296" i="66"/>
  <c r="L296" i="66"/>
  <c r="M296" i="66"/>
  <c r="N296" i="66"/>
  <c r="O296" i="66"/>
  <c r="S296" i="66"/>
  <c r="X296" i="66"/>
  <c r="P296" i="66"/>
  <c r="R296" i="66"/>
  <c r="T296" i="66"/>
  <c r="Q296" i="66"/>
  <c r="W296" i="66"/>
  <c r="U296" i="66"/>
  <c r="Y296" i="66"/>
  <c r="Z296" i="66"/>
  <c r="AA296" i="66"/>
  <c r="AR296" i="66"/>
  <c r="AS296" i="66"/>
  <c r="AT296" i="66"/>
  <c r="AU296" i="66"/>
  <c r="AV296" i="66"/>
  <c r="AW296" i="66"/>
  <c r="AY296" i="66"/>
  <c r="V296" i="66"/>
  <c r="AZ296" i="66"/>
  <c r="BA296" i="66"/>
  <c r="BB296" i="66"/>
  <c r="BD296" i="66"/>
  <c r="BH296" i="66"/>
  <c r="BJ296" i="66"/>
  <c r="BL296" i="66"/>
  <c r="BK296" i="66"/>
  <c r="BM296" i="66"/>
  <c r="BO296" i="66"/>
  <c r="BF296" i="66"/>
  <c r="BG296" i="66"/>
  <c r="BE296" i="66"/>
  <c r="BI296" i="66"/>
  <c r="BP296" i="66"/>
  <c r="BT296" i="66"/>
  <c r="BU296" i="66"/>
  <c r="BV296" i="66"/>
  <c r="BW296" i="66"/>
  <c r="BX296" i="66"/>
  <c r="BZ296" i="66"/>
  <c r="CA296" i="66"/>
  <c r="CB296" i="66"/>
  <c r="CE296" i="66"/>
  <c r="CF296" i="66"/>
  <c r="CG296" i="66"/>
  <c r="AF297" i="66"/>
  <c r="C297" i="66"/>
  <c r="D297" i="66"/>
  <c r="F297" i="66"/>
  <c r="AB297" i="66"/>
  <c r="G297" i="66"/>
  <c r="H297" i="66"/>
  <c r="I297" i="66"/>
  <c r="J297" i="66"/>
  <c r="K297" i="66"/>
  <c r="L297" i="66"/>
  <c r="M297" i="66"/>
  <c r="N297" i="66"/>
  <c r="O297" i="66"/>
  <c r="S297" i="66"/>
  <c r="X297" i="66"/>
  <c r="P297" i="66"/>
  <c r="R297" i="66"/>
  <c r="T297" i="66"/>
  <c r="Q297" i="66"/>
  <c r="W297" i="66"/>
  <c r="U297" i="66"/>
  <c r="Y297" i="66"/>
  <c r="Z297" i="66"/>
  <c r="AA297" i="66"/>
  <c r="AR297" i="66"/>
  <c r="AS297" i="66"/>
  <c r="AT297" i="66"/>
  <c r="AU297" i="66"/>
  <c r="AV297" i="66"/>
  <c r="AW297" i="66"/>
  <c r="AY297" i="66"/>
  <c r="V297" i="66"/>
  <c r="AZ297" i="66"/>
  <c r="BA297" i="66"/>
  <c r="BB297" i="66"/>
  <c r="BD297" i="66"/>
  <c r="BH297" i="66"/>
  <c r="BJ297" i="66"/>
  <c r="BL297" i="66"/>
  <c r="BK297" i="66"/>
  <c r="BM297" i="66"/>
  <c r="BO297" i="66"/>
  <c r="BF297" i="66"/>
  <c r="BG297" i="66"/>
  <c r="BE297" i="66"/>
  <c r="BI297" i="66"/>
  <c r="BP297" i="66"/>
  <c r="BT297" i="66"/>
  <c r="BU297" i="66"/>
  <c r="BV297" i="66"/>
  <c r="BW297" i="66"/>
  <c r="BX297" i="66"/>
  <c r="BZ297" i="66"/>
  <c r="CA297" i="66"/>
  <c r="CB297" i="66"/>
  <c r="CE297" i="66"/>
  <c r="CF297" i="66"/>
  <c r="CG297" i="66"/>
  <c r="C298" i="66"/>
  <c r="D298" i="66"/>
  <c r="F298" i="66"/>
  <c r="AB298" i="66"/>
  <c r="AF298" i="66"/>
  <c r="G298" i="66"/>
  <c r="H298" i="66"/>
  <c r="I298" i="66"/>
  <c r="J298" i="66"/>
  <c r="K298" i="66"/>
  <c r="L298" i="66"/>
  <c r="M298" i="66"/>
  <c r="N298" i="66"/>
  <c r="O298" i="66"/>
  <c r="S298" i="66"/>
  <c r="X298" i="66"/>
  <c r="P298" i="66"/>
  <c r="R298" i="66"/>
  <c r="T298" i="66"/>
  <c r="Q298" i="66"/>
  <c r="W298" i="66"/>
  <c r="U298" i="66"/>
  <c r="Y298" i="66"/>
  <c r="Z298" i="66"/>
  <c r="AA298" i="66"/>
  <c r="AR298" i="66"/>
  <c r="AS298" i="66"/>
  <c r="AT298" i="66"/>
  <c r="AU298" i="66"/>
  <c r="AV298" i="66"/>
  <c r="AW298" i="66"/>
  <c r="AY298" i="66"/>
  <c r="V298" i="66"/>
  <c r="AZ298" i="66"/>
  <c r="BA298" i="66"/>
  <c r="BB298" i="66"/>
  <c r="BD298" i="66"/>
  <c r="BH298" i="66"/>
  <c r="BJ298" i="66"/>
  <c r="BL298" i="66"/>
  <c r="BK298" i="66"/>
  <c r="BM298" i="66"/>
  <c r="BO298" i="66"/>
  <c r="BF298" i="66"/>
  <c r="BG298" i="66"/>
  <c r="BE298" i="66"/>
  <c r="BI298" i="66"/>
  <c r="BP298" i="66"/>
  <c r="BT298" i="66"/>
  <c r="BU298" i="66"/>
  <c r="BV298" i="66"/>
  <c r="BW298" i="66"/>
  <c r="BX298" i="66"/>
  <c r="BZ298" i="66"/>
  <c r="CA298" i="66"/>
  <c r="CB298" i="66"/>
  <c r="CE298" i="66"/>
  <c r="CF298" i="66"/>
  <c r="CG298" i="66"/>
  <c r="C299" i="66"/>
  <c r="D299" i="66"/>
  <c r="F299" i="66"/>
  <c r="AB299" i="66"/>
  <c r="AF299" i="66"/>
  <c r="G299" i="66"/>
  <c r="H299" i="66"/>
  <c r="I299" i="66"/>
  <c r="J299" i="66"/>
  <c r="K299" i="66"/>
  <c r="L299" i="66"/>
  <c r="M299" i="66"/>
  <c r="N299" i="66"/>
  <c r="O299" i="66"/>
  <c r="S299" i="66"/>
  <c r="X299" i="66"/>
  <c r="P299" i="66"/>
  <c r="R299" i="66"/>
  <c r="T299" i="66"/>
  <c r="Q299" i="66"/>
  <c r="W299" i="66"/>
  <c r="U299" i="66"/>
  <c r="Y299" i="66"/>
  <c r="Z299" i="66"/>
  <c r="AA299" i="66"/>
  <c r="AR299" i="66"/>
  <c r="AS299" i="66"/>
  <c r="AT299" i="66"/>
  <c r="AU299" i="66"/>
  <c r="AV299" i="66"/>
  <c r="AW299" i="66"/>
  <c r="AY299" i="66"/>
  <c r="V299" i="66"/>
  <c r="AZ299" i="66"/>
  <c r="BA299" i="66"/>
  <c r="BB299" i="66"/>
  <c r="BD299" i="66"/>
  <c r="BH299" i="66"/>
  <c r="BJ299" i="66"/>
  <c r="BL299" i="66"/>
  <c r="BK299" i="66"/>
  <c r="BM299" i="66"/>
  <c r="BO299" i="66"/>
  <c r="BF299" i="66"/>
  <c r="BG299" i="66"/>
  <c r="BE299" i="66"/>
  <c r="BI299" i="66"/>
  <c r="BP299" i="66"/>
  <c r="BT299" i="66"/>
  <c r="BU299" i="66"/>
  <c r="BV299" i="66"/>
  <c r="BW299" i="66"/>
  <c r="BX299" i="66"/>
  <c r="BZ299" i="66"/>
  <c r="CA299" i="66"/>
  <c r="CB299" i="66"/>
  <c r="CE299" i="66"/>
  <c r="CF299" i="66"/>
  <c r="CG299" i="66"/>
  <c r="C300" i="66"/>
  <c r="D300" i="66"/>
  <c r="F300" i="66"/>
  <c r="AB300" i="66"/>
  <c r="AF300" i="66"/>
  <c r="G300" i="66"/>
  <c r="H300" i="66"/>
  <c r="I300" i="66"/>
  <c r="J300" i="66"/>
  <c r="K300" i="66"/>
  <c r="L300" i="66"/>
  <c r="M300" i="66"/>
  <c r="N300" i="66"/>
  <c r="O300" i="66"/>
  <c r="S300" i="66"/>
  <c r="X300" i="66"/>
  <c r="P300" i="66"/>
  <c r="R300" i="66"/>
  <c r="T300" i="66"/>
  <c r="Q300" i="66"/>
  <c r="W300" i="66"/>
  <c r="U300" i="66"/>
  <c r="Y300" i="66"/>
  <c r="Z300" i="66"/>
  <c r="AA300" i="66"/>
  <c r="AR300" i="66"/>
  <c r="AS300" i="66"/>
  <c r="AT300" i="66"/>
  <c r="AU300" i="66"/>
  <c r="AV300" i="66"/>
  <c r="AW300" i="66"/>
  <c r="AY300" i="66"/>
  <c r="V300" i="66"/>
  <c r="AZ300" i="66"/>
  <c r="BA300" i="66"/>
  <c r="BB300" i="66"/>
  <c r="BD300" i="66"/>
  <c r="BH300" i="66"/>
  <c r="BJ300" i="66"/>
  <c r="BL300" i="66"/>
  <c r="BK300" i="66"/>
  <c r="BM300" i="66"/>
  <c r="BO300" i="66"/>
  <c r="BF300" i="66"/>
  <c r="BG300" i="66"/>
  <c r="BE300" i="66"/>
  <c r="BI300" i="66"/>
  <c r="BP300" i="66"/>
  <c r="BT300" i="66"/>
  <c r="BU300" i="66"/>
  <c r="BV300" i="66"/>
  <c r="BW300" i="66"/>
  <c r="BX300" i="66"/>
  <c r="BZ300" i="66"/>
  <c r="CA300" i="66"/>
  <c r="CB300" i="66"/>
  <c r="CE300" i="66"/>
  <c r="CF300" i="66"/>
  <c r="CG300" i="66"/>
  <c r="C301" i="66"/>
  <c r="D301" i="66"/>
  <c r="F301" i="66"/>
  <c r="AB301" i="66"/>
  <c r="AF301" i="66"/>
  <c r="G301" i="66"/>
  <c r="H301" i="66"/>
  <c r="I301" i="66"/>
  <c r="J301" i="66"/>
  <c r="K301" i="66"/>
  <c r="L301" i="66"/>
  <c r="M301" i="66"/>
  <c r="N301" i="66"/>
  <c r="O301" i="66"/>
  <c r="S301" i="66"/>
  <c r="X301" i="66"/>
  <c r="P301" i="66"/>
  <c r="R301" i="66"/>
  <c r="T301" i="66"/>
  <c r="Q301" i="66"/>
  <c r="W301" i="66"/>
  <c r="U301" i="66"/>
  <c r="Y301" i="66"/>
  <c r="Z301" i="66"/>
  <c r="AA301" i="66"/>
  <c r="AR301" i="66"/>
  <c r="AS301" i="66"/>
  <c r="AT301" i="66"/>
  <c r="AU301" i="66"/>
  <c r="AV301" i="66"/>
  <c r="AW301" i="66"/>
  <c r="AY301" i="66"/>
  <c r="V301" i="66"/>
  <c r="AZ301" i="66"/>
  <c r="BA301" i="66"/>
  <c r="BB301" i="66"/>
  <c r="BD301" i="66"/>
  <c r="BH301" i="66"/>
  <c r="BJ301" i="66"/>
  <c r="BL301" i="66"/>
  <c r="BK301" i="66"/>
  <c r="BM301" i="66"/>
  <c r="BO301" i="66"/>
  <c r="BF301" i="66"/>
  <c r="BG301" i="66"/>
  <c r="BE301" i="66"/>
  <c r="BI301" i="66"/>
  <c r="BP301" i="66"/>
  <c r="BT301" i="66"/>
  <c r="BU301" i="66"/>
  <c r="BV301" i="66"/>
  <c r="BW301" i="66"/>
  <c r="BX301" i="66"/>
  <c r="BZ301" i="66"/>
  <c r="CA301" i="66"/>
  <c r="CB301" i="66"/>
  <c r="CE301" i="66"/>
  <c r="CF301" i="66"/>
  <c r="CG301" i="66"/>
  <c r="C302" i="66"/>
  <c r="D302" i="66"/>
  <c r="F302" i="66"/>
  <c r="AB302" i="66"/>
  <c r="AF302" i="66"/>
  <c r="G302" i="66"/>
  <c r="H302" i="66"/>
  <c r="I302" i="66"/>
  <c r="J302" i="66"/>
  <c r="K302" i="66"/>
  <c r="L302" i="66"/>
  <c r="M302" i="66"/>
  <c r="N302" i="66"/>
  <c r="O302" i="66"/>
  <c r="S302" i="66"/>
  <c r="X302" i="66"/>
  <c r="P302" i="66"/>
  <c r="R302" i="66"/>
  <c r="T302" i="66"/>
  <c r="Q302" i="66"/>
  <c r="W302" i="66"/>
  <c r="U302" i="66"/>
  <c r="Y302" i="66"/>
  <c r="Z302" i="66"/>
  <c r="AA302" i="66"/>
  <c r="AR302" i="66"/>
  <c r="AS302" i="66"/>
  <c r="AT302" i="66"/>
  <c r="AU302" i="66"/>
  <c r="AV302" i="66"/>
  <c r="AW302" i="66"/>
  <c r="AY302" i="66"/>
  <c r="V302" i="66"/>
  <c r="AZ302" i="66"/>
  <c r="BA302" i="66"/>
  <c r="BB302" i="66"/>
  <c r="BD302" i="66"/>
  <c r="BH302" i="66"/>
  <c r="BJ302" i="66"/>
  <c r="BL302" i="66"/>
  <c r="BK302" i="66"/>
  <c r="BM302" i="66"/>
  <c r="BO302" i="66"/>
  <c r="BF302" i="66"/>
  <c r="BG302" i="66"/>
  <c r="BE302" i="66"/>
  <c r="BI302" i="66"/>
  <c r="BP302" i="66"/>
  <c r="BT302" i="66"/>
  <c r="BU302" i="66"/>
  <c r="BV302" i="66"/>
  <c r="BW302" i="66"/>
  <c r="BX302" i="66"/>
  <c r="BZ302" i="66"/>
  <c r="CA302" i="66"/>
  <c r="CB302" i="66"/>
  <c r="C303" i="66"/>
  <c r="D303" i="66"/>
  <c r="F303" i="66"/>
  <c r="AB303" i="66"/>
  <c r="AF303" i="66"/>
  <c r="G303" i="66"/>
  <c r="H303" i="66"/>
  <c r="I303" i="66"/>
  <c r="J303" i="66"/>
  <c r="K303" i="66"/>
  <c r="L303" i="66"/>
  <c r="M303" i="66"/>
  <c r="N303" i="66"/>
  <c r="O303" i="66"/>
  <c r="S303" i="66"/>
  <c r="X303" i="66"/>
  <c r="P303" i="66"/>
  <c r="R303" i="66"/>
  <c r="T303" i="66"/>
  <c r="Q303" i="66"/>
  <c r="W303" i="66"/>
  <c r="U303" i="66"/>
  <c r="Y303" i="66"/>
  <c r="Z303" i="66"/>
  <c r="AA303" i="66"/>
  <c r="AR303" i="66"/>
  <c r="AS303" i="66"/>
  <c r="AT303" i="66"/>
  <c r="AU303" i="66"/>
  <c r="AV303" i="66"/>
  <c r="AW303" i="66"/>
  <c r="AY303" i="66"/>
  <c r="V303" i="66"/>
  <c r="AZ303" i="66"/>
  <c r="BA303" i="66"/>
  <c r="BB303" i="66"/>
  <c r="BD303" i="66"/>
  <c r="BH303" i="66"/>
  <c r="BJ303" i="66"/>
  <c r="BL303" i="66"/>
  <c r="BK303" i="66"/>
  <c r="BM303" i="66"/>
  <c r="BO303" i="66"/>
  <c r="BF303" i="66"/>
  <c r="BG303" i="66"/>
  <c r="BE303" i="66"/>
  <c r="BI303" i="66"/>
  <c r="BP303" i="66"/>
  <c r="BT303" i="66"/>
  <c r="BU303" i="66"/>
  <c r="BV303" i="66"/>
  <c r="BW303" i="66"/>
  <c r="BX303" i="66"/>
  <c r="BZ303" i="66"/>
  <c r="CA303" i="66"/>
  <c r="CB303" i="66"/>
  <c r="CE303" i="66"/>
  <c r="CF303" i="66"/>
  <c r="CG303" i="66"/>
  <c r="C304" i="66"/>
  <c r="D304" i="66"/>
  <c r="F304" i="66"/>
  <c r="AB304" i="66"/>
  <c r="AF304" i="66"/>
  <c r="G304" i="66"/>
  <c r="H304" i="66"/>
  <c r="I304" i="66"/>
  <c r="J304" i="66"/>
  <c r="K304" i="66"/>
  <c r="L304" i="66"/>
  <c r="M304" i="66"/>
  <c r="N304" i="66"/>
  <c r="O304" i="66"/>
  <c r="S304" i="66"/>
  <c r="X304" i="66"/>
  <c r="P304" i="66"/>
  <c r="R304" i="66"/>
  <c r="T304" i="66"/>
  <c r="Q304" i="66"/>
  <c r="W304" i="66"/>
  <c r="U304" i="66"/>
  <c r="Y304" i="66"/>
  <c r="Z304" i="66"/>
  <c r="AA304" i="66"/>
  <c r="AR304" i="66"/>
  <c r="AS304" i="66"/>
  <c r="AT304" i="66"/>
  <c r="AU304" i="66"/>
  <c r="AV304" i="66"/>
  <c r="AW304" i="66"/>
  <c r="AY304" i="66"/>
  <c r="V304" i="66"/>
  <c r="AZ304" i="66"/>
  <c r="BA304" i="66"/>
  <c r="BB304" i="66"/>
  <c r="BD304" i="66"/>
  <c r="BH304" i="66"/>
  <c r="BJ304" i="66"/>
  <c r="BL304" i="66"/>
  <c r="BK304" i="66"/>
  <c r="BM304" i="66"/>
  <c r="BO304" i="66"/>
  <c r="BF304" i="66"/>
  <c r="BG304" i="66"/>
  <c r="BE304" i="66"/>
  <c r="BI304" i="66"/>
  <c r="BP304" i="66"/>
  <c r="BT304" i="66"/>
  <c r="BU304" i="66"/>
  <c r="BV304" i="66"/>
  <c r="BW304" i="66"/>
  <c r="BX304" i="66"/>
  <c r="BZ304" i="66"/>
  <c r="CA304" i="66"/>
  <c r="CB304" i="66"/>
  <c r="CE304" i="66"/>
  <c r="CF304" i="66"/>
  <c r="CG304" i="66"/>
  <c r="C309" i="66"/>
  <c r="D309" i="66"/>
  <c r="F309" i="66"/>
  <c r="AB309" i="66"/>
  <c r="AF309" i="66"/>
  <c r="G309" i="66"/>
  <c r="H309" i="66"/>
  <c r="I309" i="66"/>
  <c r="J309" i="66"/>
  <c r="K309" i="66"/>
  <c r="L309" i="66"/>
  <c r="M309" i="66"/>
  <c r="N309" i="66"/>
  <c r="O309" i="66"/>
  <c r="S309" i="66"/>
  <c r="X309" i="66"/>
  <c r="P309" i="66"/>
  <c r="R309" i="66"/>
  <c r="T309" i="66"/>
  <c r="Q309" i="66"/>
  <c r="W309" i="66"/>
  <c r="U309" i="66"/>
  <c r="Y309" i="66"/>
  <c r="Z309" i="66"/>
  <c r="AA309" i="66"/>
  <c r="AR309" i="66"/>
  <c r="AS309" i="66"/>
  <c r="AT309" i="66"/>
  <c r="AU309" i="66"/>
  <c r="AV309" i="66"/>
  <c r="AW309" i="66"/>
  <c r="AY309" i="66"/>
  <c r="V309" i="66"/>
  <c r="AZ309" i="66"/>
  <c r="BA309" i="66"/>
  <c r="BB309" i="66"/>
  <c r="BD309" i="66"/>
  <c r="BH309" i="66"/>
  <c r="BJ309" i="66"/>
  <c r="BL309" i="66"/>
  <c r="BK309" i="66"/>
  <c r="BM309" i="66"/>
  <c r="BO309" i="66"/>
  <c r="BF309" i="66"/>
  <c r="BG309" i="66"/>
  <c r="BE309" i="66"/>
  <c r="BI309" i="66"/>
  <c r="BP309" i="66"/>
  <c r="BT309" i="66"/>
  <c r="BU309" i="66"/>
  <c r="BV309" i="66"/>
  <c r="BW309" i="66"/>
  <c r="BX309" i="66"/>
  <c r="BZ309" i="66"/>
  <c r="CA309" i="66"/>
  <c r="CB309" i="66"/>
  <c r="CE309" i="66"/>
  <c r="CF309" i="66"/>
  <c r="CG309" i="66"/>
  <c r="C310" i="66"/>
  <c r="D310" i="66"/>
  <c r="F310" i="66"/>
  <c r="AB310" i="66"/>
  <c r="AF310" i="66"/>
  <c r="G310" i="66"/>
  <c r="H310" i="66"/>
  <c r="I310" i="66"/>
  <c r="J310" i="66"/>
  <c r="K310" i="66"/>
  <c r="L310" i="66"/>
  <c r="M310" i="66"/>
  <c r="N310" i="66"/>
  <c r="O310" i="66"/>
  <c r="S310" i="66"/>
  <c r="X310" i="66"/>
  <c r="P310" i="66"/>
  <c r="R310" i="66"/>
  <c r="T310" i="66"/>
  <c r="Q310" i="66"/>
  <c r="W310" i="66"/>
  <c r="U310" i="66"/>
  <c r="Y310" i="66"/>
  <c r="Z310" i="66"/>
  <c r="AA310" i="66"/>
  <c r="AR310" i="66"/>
  <c r="AS310" i="66"/>
  <c r="AT310" i="66"/>
  <c r="AU310" i="66"/>
  <c r="AV310" i="66"/>
  <c r="AW310" i="66"/>
  <c r="AY310" i="66"/>
  <c r="V310" i="66"/>
  <c r="AZ310" i="66"/>
  <c r="BA310" i="66"/>
  <c r="BB310" i="66"/>
  <c r="BD310" i="66"/>
  <c r="BH310" i="66"/>
  <c r="BJ310" i="66"/>
  <c r="BL310" i="66"/>
  <c r="BK310" i="66"/>
  <c r="BM310" i="66"/>
  <c r="BO310" i="66"/>
  <c r="BF310" i="66"/>
  <c r="BG310" i="66"/>
  <c r="BE310" i="66"/>
  <c r="BI310" i="66"/>
  <c r="BP310" i="66"/>
  <c r="BT310" i="66"/>
  <c r="BU310" i="66"/>
  <c r="BV310" i="66"/>
  <c r="BW310" i="66"/>
  <c r="BX310" i="66"/>
  <c r="BZ310" i="66"/>
  <c r="CA310" i="66"/>
  <c r="CB310" i="66"/>
  <c r="CE310" i="66"/>
  <c r="CF310" i="66"/>
  <c r="CG310" i="66"/>
  <c r="C311" i="66"/>
  <c r="D311" i="66"/>
  <c r="F311" i="66"/>
  <c r="AB311" i="66"/>
  <c r="AF311" i="66"/>
  <c r="G311" i="66"/>
  <c r="H311" i="66"/>
  <c r="I311" i="66"/>
  <c r="J311" i="66"/>
  <c r="K311" i="66"/>
  <c r="L311" i="66"/>
  <c r="M311" i="66"/>
  <c r="N311" i="66"/>
  <c r="O311" i="66"/>
  <c r="S311" i="66"/>
  <c r="X311" i="66"/>
  <c r="P311" i="66"/>
  <c r="R311" i="66"/>
  <c r="T311" i="66"/>
  <c r="Q311" i="66"/>
  <c r="W311" i="66"/>
  <c r="U311" i="66"/>
  <c r="Y311" i="66"/>
  <c r="Z311" i="66"/>
  <c r="AA311" i="66"/>
  <c r="AR311" i="66"/>
  <c r="AS311" i="66"/>
  <c r="AT311" i="66"/>
  <c r="AU311" i="66"/>
  <c r="AV311" i="66"/>
  <c r="AW311" i="66"/>
  <c r="AY311" i="66"/>
  <c r="V311" i="66"/>
  <c r="AZ311" i="66"/>
  <c r="BA311" i="66"/>
  <c r="BB311" i="66"/>
  <c r="BD311" i="66"/>
  <c r="BH311" i="66"/>
  <c r="BJ311" i="66"/>
  <c r="BL311" i="66"/>
  <c r="BK311" i="66"/>
  <c r="BM311" i="66"/>
  <c r="BO311" i="66"/>
  <c r="BF311" i="66"/>
  <c r="BG311" i="66"/>
  <c r="BE311" i="66"/>
  <c r="BI311" i="66"/>
  <c r="BP311" i="66"/>
  <c r="BT311" i="66"/>
  <c r="BU311" i="66"/>
  <c r="BV311" i="66"/>
  <c r="BW311" i="66"/>
  <c r="BX311" i="66"/>
  <c r="BZ311" i="66"/>
  <c r="CA311" i="66"/>
  <c r="CB311" i="66"/>
  <c r="CE311" i="66"/>
  <c r="CF311" i="66"/>
  <c r="CG311" i="66"/>
  <c r="C312" i="66"/>
  <c r="D312" i="66"/>
  <c r="F312" i="66"/>
  <c r="AB312" i="66"/>
  <c r="AF312" i="66"/>
  <c r="G312" i="66"/>
  <c r="H312" i="66"/>
  <c r="I312" i="66"/>
  <c r="J312" i="66"/>
  <c r="K312" i="66"/>
  <c r="L312" i="66"/>
  <c r="M312" i="66"/>
  <c r="N312" i="66"/>
  <c r="O312" i="66"/>
  <c r="S312" i="66"/>
  <c r="X312" i="66"/>
  <c r="P312" i="66"/>
  <c r="R312" i="66"/>
  <c r="T312" i="66"/>
  <c r="Q312" i="66"/>
  <c r="W312" i="66"/>
  <c r="U312" i="66"/>
  <c r="Y312" i="66"/>
  <c r="Z312" i="66"/>
  <c r="AA312" i="66"/>
  <c r="AR312" i="66"/>
  <c r="AS312" i="66"/>
  <c r="AT312" i="66"/>
  <c r="AU312" i="66"/>
  <c r="AV312" i="66"/>
  <c r="AW312" i="66"/>
  <c r="AY312" i="66"/>
  <c r="V312" i="66"/>
  <c r="AZ312" i="66"/>
  <c r="BA312" i="66"/>
  <c r="BB312" i="66"/>
  <c r="BD312" i="66"/>
  <c r="BH312" i="66"/>
  <c r="BJ312" i="66"/>
  <c r="BL312" i="66"/>
  <c r="BK312" i="66"/>
  <c r="BM312" i="66"/>
  <c r="BO312" i="66"/>
  <c r="BF312" i="66"/>
  <c r="BG312" i="66"/>
  <c r="BE312" i="66"/>
  <c r="BI312" i="66"/>
  <c r="BP312" i="66"/>
  <c r="BT312" i="66"/>
  <c r="BU312" i="66"/>
  <c r="BV312" i="66"/>
  <c r="BW312" i="66"/>
  <c r="BX312" i="66"/>
  <c r="BZ312" i="66"/>
  <c r="CA312" i="66"/>
  <c r="CB312" i="66"/>
  <c r="CE312" i="66"/>
  <c r="CF312" i="66"/>
  <c r="CG312" i="66"/>
  <c r="C313" i="66"/>
  <c r="D313" i="66"/>
  <c r="F313" i="66"/>
  <c r="AB313" i="66"/>
  <c r="AF313" i="66"/>
  <c r="G313" i="66"/>
  <c r="H313" i="66"/>
  <c r="I313" i="66"/>
  <c r="J313" i="66"/>
  <c r="K313" i="66"/>
  <c r="L313" i="66"/>
  <c r="M313" i="66"/>
  <c r="N313" i="66"/>
  <c r="O313" i="66"/>
  <c r="S313" i="66"/>
  <c r="X313" i="66"/>
  <c r="P313" i="66"/>
  <c r="R313" i="66"/>
  <c r="T313" i="66"/>
  <c r="Q313" i="66"/>
  <c r="W313" i="66"/>
  <c r="U313" i="66"/>
  <c r="Y313" i="66"/>
  <c r="Z313" i="66"/>
  <c r="AA313" i="66"/>
  <c r="AR313" i="66"/>
  <c r="AS313" i="66"/>
  <c r="AT313" i="66"/>
  <c r="AU313" i="66"/>
  <c r="AV313" i="66"/>
  <c r="AW313" i="66"/>
  <c r="AY313" i="66"/>
  <c r="V313" i="66"/>
  <c r="AZ313" i="66"/>
  <c r="BA313" i="66"/>
  <c r="BB313" i="66"/>
  <c r="BD313" i="66"/>
  <c r="BH313" i="66"/>
  <c r="BJ313" i="66"/>
  <c r="BL313" i="66"/>
  <c r="BK313" i="66"/>
  <c r="BM313" i="66"/>
  <c r="BO313" i="66"/>
  <c r="BF313" i="66"/>
  <c r="BG313" i="66"/>
  <c r="BE313" i="66"/>
  <c r="BI313" i="66"/>
  <c r="BP313" i="66"/>
  <c r="BT313" i="66"/>
  <c r="BU313" i="66"/>
  <c r="BV313" i="66"/>
  <c r="BW313" i="66"/>
  <c r="BX313" i="66"/>
  <c r="BZ313" i="66"/>
  <c r="CA313" i="66"/>
  <c r="CB313" i="66"/>
  <c r="CE313" i="66"/>
  <c r="CF313" i="66"/>
  <c r="CG313" i="66"/>
  <c r="C314" i="66"/>
  <c r="D314" i="66"/>
  <c r="F314" i="66"/>
  <c r="AB314" i="66"/>
  <c r="AF314" i="66"/>
  <c r="G314" i="66"/>
  <c r="H314" i="66"/>
  <c r="I314" i="66"/>
  <c r="J314" i="66"/>
  <c r="K314" i="66"/>
  <c r="L314" i="66"/>
  <c r="M314" i="66"/>
  <c r="N314" i="66"/>
  <c r="O314" i="66"/>
  <c r="S314" i="66"/>
  <c r="X314" i="66"/>
  <c r="P314" i="66"/>
  <c r="R314" i="66"/>
  <c r="T314" i="66"/>
  <c r="Q314" i="66"/>
  <c r="W314" i="66"/>
  <c r="U314" i="66"/>
  <c r="Y314" i="66"/>
  <c r="Z314" i="66"/>
  <c r="AA314" i="66"/>
  <c r="AR314" i="66"/>
  <c r="AS314" i="66"/>
  <c r="AT314" i="66"/>
  <c r="AU314" i="66"/>
  <c r="AV314" i="66"/>
  <c r="AW314" i="66"/>
  <c r="AY314" i="66"/>
  <c r="V314" i="66"/>
  <c r="AZ314" i="66"/>
  <c r="BA314" i="66"/>
  <c r="BB314" i="66"/>
  <c r="BD314" i="66"/>
  <c r="BH314" i="66"/>
  <c r="BJ314" i="66"/>
  <c r="BL314" i="66"/>
  <c r="BK314" i="66"/>
  <c r="BM314" i="66"/>
  <c r="BO314" i="66"/>
  <c r="BF314" i="66"/>
  <c r="BG314" i="66"/>
  <c r="BE314" i="66"/>
  <c r="BI314" i="66"/>
  <c r="BP314" i="66"/>
  <c r="BT314" i="66"/>
  <c r="BU314" i="66"/>
  <c r="BV314" i="66"/>
  <c r="BW314" i="66"/>
  <c r="BX314" i="66"/>
  <c r="BZ314" i="66"/>
  <c r="CA314" i="66"/>
  <c r="CB314" i="66"/>
  <c r="CE314" i="66"/>
  <c r="CF314" i="66"/>
  <c r="CG314" i="66"/>
  <c r="C315" i="66"/>
  <c r="D315" i="66"/>
  <c r="F315" i="66"/>
  <c r="AB315" i="66"/>
  <c r="AF315" i="66"/>
  <c r="G315" i="66"/>
  <c r="H315" i="66"/>
  <c r="I315" i="66"/>
  <c r="J315" i="66"/>
  <c r="K315" i="66"/>
  <c r="L315" i="66"/>
  <c r="M315" i="66"/>
  <c r="N315" i="66"/>
  <c r="O315" i="66"/>
  <c r="S315" i="66"/>
  <c r="X315" i="66"/>
  <c r="P315" i="66"/>
  <c r="R315" i="66"/>
  <c r="T315" i="66"/>
  <c r="Q315" i="66"/>
  <c r="W315" i="66"/>
  <c r="U315" i="66"/>
  <c r="Y315" i="66"/>
  <c r="Z315" i="66"/>
  <c r="AA315" i="66"/>
  <c r="AR315" i="66"/>
  <c r="AS315" i="66"/>
  <c r="AT315" i="66"/>
  <c r="AU315" i="66"/>
  <c r="AV315" i="66"/>
  <c r="AW315" i="66"/>
  <c r="AY315" i="66"/>
  <c r="V315" i="66"/>
  <c r="AZ315" i="66"/>
  <c r="BA315" i="66"/>
  <c r="BB315" i="66"/>
  <c r="BD315" i="66"/>
  <c r="BH315" i="66"/>
  <c r="BJ315" i="66"/>
  <c r="BL315" i="66"/>
  <c r="BK315" i="66"/>
  <c r="BM315" i="66"/>
  <c r="BO315" i="66"/>
  <c r="BF315" i="66"/>
  <c r="BG315" i="66"/>
  <c r="BE315" i="66"/>
  <c r="BI315" i="66"/>
  <c r="BP315" i="66"/>
  <c r="BT315" i="66"/>
  <c r="BU315" i="66"/>
  <c r="BV315" i="66"/>
  <c r="BW315" i="66"/>
  <c r="BX315" i="66"/>
  <c r="BZ315" i="66"/>
  <c r="CA315" i="66"/>
  <c r="CB315" i="66"/>
  <c r="CE315" i="66"/>
  <c r="CF315" i="66"/>
  <c r="CG315" i="66"/>
  <c r="C316" i="66"/>
  <c r="D316" i="66"/>
  <c r="F316" i="66"/>
  <c r="AB316" i="66"/>
  <c r="AF316" i="66"/>
  <c r="G316" i="66"/>
  <c r="H316" i="66"/>
  <c r="I316" i="66"/>
  <c r="J316" i="66"/>
  <c r="K316" i="66"/>
  <c r="L316" i="66"/>
  <c r="M316" i="66"/>
  <c r="N316" i="66"/>
  <c r="O316" i="66"/>
  <c r="S316" i="66"/>
  <c r="X316" i="66"/>
  <c r="P316" i="66"/>
  <c r="R316" i="66"/>
  <c r="T316" i="66"/>
  <c r="Q316" i="66"/>
  <c r="W316" i="66"/>
  <c r="U316" i="66"/>
  <c r="Y316" i="66"/>
  <c r="Z316" i="66"/>
  <c r="AA316" i="66"/>
  <c r="AR316" i="66"/>
  <c r="AS316" i="66"/>
  <c r="AT316" i="66"/>
  <c r="AU316" i="66"/>
  <c r="AV316" i="66"/>
  <c r="AW316" i="66"/>
  <c r="AY316" i="66"/>
  <c r="V316" i="66"/>
  <c r="AZ316" i="66"/>
  <c r="BA316" i="66"/>
  <c r="BB316" i="66"/>
  <c r="BD316" i="66"/>
  <c r="BH316" i="66"/>
  <c r="BJ316" i="66"/>
  <c r="BL316" i="66"/>
  <c r="BK316" i="66"/>
  <c r="BM316" i="66"/>
  <c r="BO316" i="66"/>
  <c r="BF316" i="66"/>
  <c r="BG316" i="66"/>
  <c r="BE316" i="66"/>
  <c r="BI316" i="66"/>
  <c r="BP316" i="66"/>
  <c r="BT316" i="66"/>
  <c r="BU316" i="66"/>
  <c r="BV316" i="66"/>
  <c r="BW316" i="66"/>
  <c r="BX316" i="66"/>
  <c r="BZ316" i="66"/>
  <c r="CA316" i="66"/>
  <c r="CB316" i="66"/>
  <c r="C317" i="66"/>
  <c r="BW317" i="66"/>
  <c r="D317" i="66"/>
  <c r="F317" i="66"/>
  <c r="AB317" i="66"/>
  <c r="AF317" i="66"/>
  <c r="G317" i="66"/>
  <c r="H317" i="66"/>
  <c r="I317" i="66"/>
  <c r="J317" i="66"/>
  <c r="K317" i="66"/>
  <c r="L317" i="66"/>
  <c r="M317" i="66"/>
  <c r="N317" i="66"/>
  <c r="O317" i="66"/>
  <c r="S317" i="66"/>
  <c r="X317" i="66"/>
  <c r="P317" i="66"/>
  <c r="R317" i="66"/>
  <c r="T317" i="66"/>
  <c r="Q317" i="66"/>
  <c r="W317" i="66"/>
  <c r="U317" i="66"/>
  <c r="Y317" i="66"/>
  <c r="Z317" i="66"/>
  <c r="AA317" i="66"/>
  <c r="AR317" i="66"/>
  <c r="AS317" i="66"/>
  <c r="AT317" i="66"/>
  <c r="AU317" i="66"/>
  <c r="AV317" i="66"/>
  <c r="AW317" i="66"/>
  <c r="AY317" i="66"/>
  <c r="V317" i="66"/>
  <c r="AZ317" i="66"/>
  <c r="BA317" i="66"/>
  <c r="BB317" i="66"/>
  <c r="BD317" i="66"/>
  <c r="BH317" i="66"/>
  <c r="BJ317" i="66"/>
  <c r="BL317" i="66"/>
  <c r="BK317" i="66"/>
  <c r="BM317" i="66"/>
  <c r="BO317" i="66"/>
  <c r="BF317" i="66"/>
  <c r="BG317" i="66"/>
  <c r="BE317" i="66"/>
  <c r="BI317" i="66"/>
  <c r="BP317" i="66"/>
  <c r="BT317" i="66"/>
  <c r="BU317" i="66"/>
  <c r="BV317" i="66"/>
  <c r="BZ317" i="66"/>
  <c r="CA317" i="66"/>
  <c r="CB317" i="66"/>
  <c r="CE317" i="66"/>
  <c r="CF317" i="66"/>
  <c r="CG317" i="66"/>
  <c r="C318" i="66"/>
  <c r="D318" i="66"/>
  <c r="F318" i="66"/>
  <c r="AB318" i="66"/>
  <c r="AF318" i="66"/>
  <c r="G318" i="66"/>
  <c r="H318" i="66"/>
  <c r="I318" i="66"/>
  <c r="J318" i="66"/>
  <c r="K318" i="66"/>
  <c r="L318" i="66"/>
  <c r="M318" i="66"/>
  <c r="N318" i="66"/>
  <c r="O318" i="66"/>
  <c r="S318" i="66"/>
  <c r="X318" i="66"/>
  <c r="P318" i="66"/>
  <c r="R318" i="66"/>
  <c r="T318" i="66"/>
  <c r="Q318" i="66"/>
  <c r="W318" i="66"/>
  <c r="U318" i="66"/>
  <c r="Y318" i="66"/>
  <c r="Z318" i="66"/>
  <c r="AA318" i="66"/>
  <c r="AR318" i="66"/>
  <c r="AS318" i="66"/>
  <c r="AT318" i="66"/>
  <c r="AU318" i="66"/>
  <c r="AV318" i="66"/>
  <c r="AW318" i="66"/>
  <c r="AY318" i="66"/>
  <c r="V318" i="66"/>
  <c r="AZ318" i="66"/>
  <c r="BA318" i="66"/>
  <c r="BB318" i="66"/>
  <c r="BD318" i="66"/>
  <c r="BH318" i="66"/>
  <c r="BJ318" i="66"/>
  <c r="BL318" i="66"/>
  <c r="BK318" i="66"/>
  <c r="BM318" i="66"/>
  <c r="BO318" i="66"/>
  <c r="BF318" i="66"/>
  <c r="BG318" i="66"/>
  <c r="BE318" i="66"/>
  <c r="BI318" i="66"/>
  <c r="BP318" i="66"/>
  <c r="BT318" i="66"/>
  <c r="BU318" i="66"/>
  <c r="BV318" i="66"/>
  <c r="BW318" i="66"/>
  <c r="BX318" i="66"/>
  <c r="BZ318" i="66"/>
  <c r="CA318" i="66"/>
  <c r="CB318" i="66"/>
  <c r="C323" i="66"/>
  <c r="D323" i="66"/>
  <c r="F323" i="66"/>
  <c r="AB323" i="66"/>
  <c r="AF323" i="66"/>
  <c r="G323" i="66"/>
  <c r="H323" i="66"/>
  <c r="I323" i="66"/>
  <c r="J323" i="66"/>
  <c r="K323" i="66"/>
  <c r="L323" i="66"/>
  <c r="M323" i="66"/>
  <c r="N323" i="66"/>
  <c r="O323" i="66"/>
  <c r="S323" i="66"/>
  <c r="X323" i="66"/>
  <c r="P323" i="66"/>
  <c r="R323" i="66"/>
  <c r="T323" i="66"/>
  <c r="Q323" i="66"/>
  <c r="W323" i="66"/>
  <c r="U323" i="66"/>
  <c r="Y323" i="66"/>
  <c r="Z323" i="66"/>
  <c r="AA323" i="66"/>
  <c r="AR323" i="66"/>
  <c r="AS323" i="66"/>
  <c r="AT323" i="66"/>
  <c r="AU323" i="66"/>
  <c r="AV323" i="66"/>
  <c r="AW323" i="66"/>
  <c r="AY323" i="66"/>
  <c r="V323" i="66"/>
  <c r="AZ323" i="66"/>
  <c r="BA323" i="66"/>
  <c r="BB323" i="66"/>
  <c r="BD323" i="66"/>
  <c r="BH323" i="66"/>
  <c r="BJ323" i="66"/>
  <c r="BL323" i="66"/>
  <c r="BK323" i="66"/>
  <c r="BM323" i="66"/>
  <c r="BO323" i="66"/>
  <c r="BF323" i="66"/>
  <c r="BG323" i="66"/>
  <c r="BE323" i="66"/>
  <c r="BI323" i="66"/>
  <c r="BP323" i="66"/>
  <c r="BT323" i="66"/>
  <c r="BU323" i="66"/>
  <c r="BV323" i="66"/>
  <c r="BW323" i="66"/>
  <c r="BX323" i="66"/>
  <c r="BZ323" i="66"/>
  <c r="CA323" i="66"/>
  <c r="CB323" i="66"/>
  <c r="CC323" i="66"/>
  <c r="CD323" i="66"/>
  <c r="CE323" i="66"/>
  <c r="CF323" i="66"/>
  <c r="CG323" i="66"/>
  <c r="CH408" i="66"/>
  <c r="C415" i="66"/>
  <c r="C434" i="66"/>
  <c r="C446" i="66" s="1"/>
  <c r="C449" i="66"/>
  <c r="C461" i="66" s="1"/>
  <c r="C464" i="66"/>
  <c r="C476" i="66" s="1"/>
  <c r="CD479" i="66"/>
  <c r="H495" i="66"/>
  <c r="N495" i="66"/>
  <c r="BZ495" i="66"/>
  <c r="CA495" i="66"/>
  <c r="CD495" i="66"/>
  <c r="AX497" i="66"/>
  <c r="BE497" i="66"/>
  <c r="C43" i="31"/>
  <c r="E117" i="23"/>
  <c r="F28" i="7"/>
  <c r="AE71" i="16"/>
  <c r="AE67" i="16"/>
  <c r="AE43" i="16"/>
  <c r="AE80" i="16"/>
  <c r="AE95" i="16"/>
  <c r="AE91" i="16"/>
  <c r="AE68" i="16"/>
  <c r="U32" i="29"/>
  <c r="BD75" i="15"/>
  <c r="BF75" i="15"/>
  <c r="AU67" i="15"/>
  <c r="BD67" i="15" s="1"/>
  <c r="BF67" i="15"/>
  <c r="AU39" i="15"/>
  <c r="BD39" i="15"/>
  <c r="BF39" i="15" s="1"/>
  <c r="AU31" i="15"/>
  <c r="BD31" i="15" s="1"/>
  <c r="BF31" i="15" s="1"/>
  <c r="AE83" i="16"/>
  <c r="AE79" i="16"/>
  <c r="AE58" i="16"/>
  <c r="AE54" i="16"/>
  <c r="AE50" i="16"/>
  <c r="AE75" i="16"/>
  <c r="AU89" i="15"/>
  <c r="BD89" i="15" s="1"/>
  <c r="BF89" i="15" s="1"/>
  <c r="AE74" i="16"/>
  <c r="AE82" i="16"/>
  <c r="AE34" i="16"/>
  <c r="AE22" i="16"/>
  <c r="AE90" i="16"/>
  <c r="AE70" i="16"/>
  <c r="AE66" i="16"/>
  <c r="AE42" i="16"/>
  <c r="I114" i="73"/>
  <c r="AU94" i="15"/>
  <c r="BD94" i="15"/>
  <c r="BF94" i="15"/>
  <c r="AU86" i="15"/>
  <c r="BD86" i="15" s="1"/>
  <c r="BF86" i="15" s="1"/>
  <c r="AE62" i="16"/>
  <c r="AE56" i="16"/>
  <c r="AE40" i="16"/>
  <c r="AE26" i="16"/>
  <c r="N16" i="6"/>
  <c r="G93" i="58"/>
  <c r="AU66" i="15"/>
  <c r="BD66" i="15" s="1"/>
  <c r="BF66" i="15"/>
  <c r="AU64" i="15"/>
  <c r="BD64" i="15" s="1"/>
  <c r="BF64" i="15" s="1"/>
  <c r="AU62" i="15"/>
  <c r="BD62" i="15" s="1"/>
  <c r="BF62" i="15" s="1"/>
  <c r="AU58" i="15"/>
  <c r="BD58" i="15"/>
  <c r="BF58" i="15"/>
  <c r="AU44" i="15"/>
  <c r="BD44" i="15" s="1"/>
  <c r="BF44" i="15" s="1"/>
  <c r="AU38" i="15"/>
  <c r="BD38" i="15" s="1"/>
  <c r="BF38" i="15" s="1"/>
  <c r="AE92" i="16"/>
  <c r="AE38" i="16"/>
  <c r="AE14" i="16"/>
  <c r="AE59" i="16"/>
  <c r="AU73" i="15"/>
  <c r="BD73" i="15"/>
  <c r="BF73" i="15" s="1"/>
  <c r="AU36" i="15"/>
  <c r="BD36" i="15"/>
  <c r="BF36" i="15"/>
  <c r="AU22" i="15"/>
  <c r="BD22" i="15" s="1"/>
  <c r="BF22" i="15" s="1"/>
  <c r="BD96" i="15"/>
  <c r="BF96" i="15" s="1"/>
  <c r="AU90" i="15"/>
  <c r="BD90" i="15" s="1"/>
  <c r="BF90" i="15" s="1"/>
  <c r="AU88" i="15"/>
  <c r="BD88" i="15" s="1"/>
  <c r="BF88" i="15" s="1"/>
  <c r="AU65" i="15"/>
  <c r="BD65" i="15" s="1"/>
  <c r="BF65" i="15" s="1"/>
  <c r="AU57" i="15"/>
  <c r="BD57" i="15"/>
  <c r="BF57" i="15" s="1"/>
  <c r="AE88" i="16"/>
  <c r="AE48" i="16"/>
  <c r="AE44" i="16"/>
  <c r="AE36" i="16"/>
  <c r="AE24" i="16"/>
  <c r="H23" i="6"/>
  <c r="H27" i="6" s="1"/>
  <c r="AU91" i="15"/>
  <c r="BD91" i="15" s="1"/>
  <c r="BF91" i="15" s="1"/>
  <c r="AU83" i="15"/>
  <c r="BD83" i="15"/>
  <c r="BF83" i="15" s="1"/>
  <c r="AU80" i="15"/>
  <c r="BD80" i="15" s="1"/>
  <c r="BF80" i="15" s="1"/>
  <c r="AU74" i="15"/>
  <c r="BD74" i="15" s="1"/>
  <c r="BF74" i="15" s="1"/>
  <c r="AU72" i="15"/>
  <c r="BD72" i="15" s="1"/>
  <c r="BF72" i="15" s="1"/>
  <c r="AU42" i="15"/>
  <c r="BD42" i="15"/>
  <c r="BF42" i="15" s="1"/>
  <c r="AU37" i="15"/>
  <c r="BD37" i="15"/>
  <c r="BF37" i="15"/>
  <c r="AU25" i="15"/>
  <c r="BD25" i="15" s="1"/>
  <c r="BF25" i="15" s="1"/>
  <c r="AU23" i="15"/>
  <c r="BD23" i="15" s="1"/>
  <c r="BF23" i="15" s="1"/>
  <c r="AU21" i="15"/>
  <c r="BD21" i="15"/>
  <c r="BF21" i="15" s="1"/>
  <c r="AU19" i="15"/>
  <c r="BD19" i="15" s="1"/>
  <c r="BF19" i="15"/>
  <c r="AU17" i="15"/>
  <c r="BD17" i="15" s="1"/>
  <c r="BF17" i="15" s="1"/>
  <c r="AU15" i="15"/>
  <c r="BD15" i="15"/>
  <c r="BF15" i="15" s="1"/>
  <c r="AE96" i="16"/>
  <c r="AE87" i="16"/>
  <c r="AE84" i="16"/>
  <c r="AE72" i="16"/>
  <c r="AE47" i="16"/>
  <c r="AE35" i="16"/>
  <c r="AE32" i="16"/>
  <c r="AE20" i="16"/>
  <c r="AC98" i="17"/>
  <c r="E25" i="14"/>
  <c r="W27" i="19"/>
  <c r="V128" i="68"/>
  <c r="W45" i="19"/>
  <c r="E26" i="14"/>
  <c r="W28" i="19"/>
  <c r="V66" i="67"/>
  <c r="C23" i="57"/>
  <c r="I55" i="29"/>
  <c r="I70" i="29" s="1"/>
  <c r="M41" i="43"/>
  <c r="B41" i="47" s="1"/>
  <c r="G29" i="14"/>
  <c r="E29" i="14"/>
  <c r="M244" i="1"/>
  <c r="M245" i="1"/>
  <c r="G51" i="14"/>
  <c r="G41" i="58"/>
  <c r="U93" i="58"/>
  <c r="U139" i="58" s="1"/>
  <c r="H106" i="64"/>
  <c r="H108" i="64" s="1"/>
  <c r="Y129" i="68"/>
  <c r="E68" i="19"/>
  <c r="C69" i="51"/>
  <c r="E51" i="14"/>
  <c r="K53" i="45"/>
  <c r="AE33" i="19"/>
  <c r="G42" i="14"/>
  <c r="G53" i="53"/>
  <c r="C51" i="14"/>
  <c r="I51" i="14"/>
  <c r="M53" i="45"/>
  <c r="M39" i="43"/>
  <c r="B39" i="47" s="1"/>
  <c r="AE68" i="19"/>
  <c r="G68" i="19"/>
  <c r="N106" i="64"/>
  <c r="N108" i="64" s="1"/>
  <c r="CE406" i="66"/>
  <c r="CE410" i="66" s="1"/>
  <c r="CI406" i="66"/>
  <c r="CI410" i="66" s="1"/>
  <c r="K55" i="29"/>
  <c r="L105" i="64"/>
  <c r="P105" i="64" s="1"/>
  <c r="L102" i="64"/>
  <c r="P102" i="64" s="1"/>
  <c r="P104" i="64"/>
  <c r="B43" i="47"/>
  <c r="CG406" i="66"/>
  <c r="CG410" i="66" s="1"/>
  <c r="CH406" i="66"/>
  <c r="CB95" i="66"/>
  <c r="O128" i="68"/>
  <c r="K51" i="14"/>
  <c r="BB129" i="68"/>
  <c r="I53" i="45"/>
  <c r="AU129" i="68"/>
  <c r="Z129" i="68"/>
  <c r="AC129" i="68"/>
  <c r="AB129" i="68"/>
  <c r="CD79" i="66"/>
  <c r="CD19" i="66"/>
  <c r="CD34" i="66"/>
  <c r="CD406" i="66"/>
  <c r="CD49" i="66"/>
  <c r="CF406" i="66"/>
  <c r="CF410" i="66" s="1"/>
  <c r="CD64" i="66"/>
  <c r="I77" i="48"/>
  <c r="I85" i="48" s="1"/>
  <c r="AU95" i="15"/>
  <c r="BD95" i="15"/>
  <c r="BF95" i="15"/>
  <c r="AU92" i="15"/>
  <c r="BD92" i="15"/>
  <c r="BF92" i="15"/>
  <c r="AU85" i="15"/>
  <c r="BD85" i="15" s="1"/>
  <c r="BF85" i="15" s="1"/>
  <c r="AU79" i="15"/>
  <c r="BD79" i="15"/>
  <c r="BF79" i="15" s="1"/>
  <c r="AU76" i="15"/>
  <c r="BD76" i="15"/>
  <c r="BF76" i="15" s="1"/>
  <c r="AU69" i="15"/>
  <c r="BD69" i="15"/>
  <c r="BF69" i="15"/>
  <c r="AU63" i="15"/>
  <c r="BD63" i="15" s="1"/>
  <c r="BF63" i="15" s="1"/>
  <c r="AU60" i="15"/>
  <c r="BD60" i="15" s="1"/>
  <c r="BF60" i="15" s="1"/>
  <c r="AU41" i="15"/>
  <c r="BD41" i="15"/>
  <c r="BF41" i="15"/>
  <c r="AU35" i="15"/>
  <c r="BD35" i="15"/>
  <c r="BF35" i="15"/>
  <c r="AU32" i="15"/>
  <c r="BD32" i="15" s="1"/>
  <c r="BF32" i="15" s="1"/>
  <c r="AU30" i="15"/>
  <c r="BD30" i="15"/>
  <c r="BF30" i="15" s="1"/>
  <c r="AU18" i="15"/>
  <c r="BD18" i="15"/>
  <c r="AU13" i="15"/>
  <c r="BD13" i="15"/>
  <c r="AE93" i="16"/>
  <c r="AE85" i="16"/>
  <c r="AE81" i="16"/>
  <c r="AE77" i="16"/>
  <c r="AE65" i="16"/>
  <c r="AE61" i="16"/>
  <c r="AE53" i="16"/>
  <c r="AE49" i="16"/>
  <c r="AE45" i="16"/>
  <c r="AE33" i="16"/>
  <c r="AE29" i="16"/>
  <c r="AE17" i="16"/>
  <c r="J28" i="7"/>
  <c r="L16" i="7"/>
  <c r="L28" i="7"/>
  <c r="J23" i="6"/>
  <c r="AE29" i="18"/>
  <c r="AU93" i="15"/>
  <c r="BD93" i="15"/>
  <c r="BF93" i="15" s="1"/>
  <c r="AU87" i="15"/>
  <c r="BD87" i="15"/>
  <c r="BF87" i="15"/>
  <c r="AU84" i="15"/>
  <c r="BD84" i="15" s="1"/>
  <c r="BF84" i="15" s="1"/>
  <c r="AU77" i="15"/>
  <c r="BD77" i="15" s="1"/>
  <c r="BF77" i="15" s="1"/>
  <c r="AU71" i="15"/>
  <c r="BD71" i="15"/>
  <c r="BF71" i="15"/>
  <c r="AU68" i="15"/>
  <c r="BD68" i="15"/>
  <c r="BF68" i="15"/>
  <c r="AU61" i="15"/>
  <c r="BD61" i="15" s="1"/>
  <c r="BF61" i="15" s="1"/>
  <c r="AU43" i="15"/>
  <c r="BD43" i="15"/>
  <c r="BF43" i="15" s="1"/>
  <c r="AU40" i="15"/>
  <c r="BD40" i="15"/>
  <c r="BF40" i="15" s="1"/>
  <c r="AU33" i="15"/>
  <c r="BD33" i="15"/>
  <c r="BF33" i="15"/>
  <c r="AU29" i="15"/>
  <c r="BD29" i="15" s="1"/>
  <c r="BF29" i="15" s="1"/>
  <c r="AU27" i="15"/>
  <c r="BD27" i="15" s="1"/>
  <c r="BF27" i="15" s="1"/>
  <c r="AU20" i="15"/>
  <c r="BD20" i="15"/>
  <c r="BF20" i="15"/>
  <c r="AU14" i="15"/>
  <c r="BD14" i="15"/>
  <c r="BF14" i="15"/>
  <c r="L23" i="6"/>
  <c r="L27" i="6"/>
  <c r="L30" i="6"/>
  <c r="Q93" i="58"/>
  <c r="K29" i="27"/>
  <c r="AR98" i="15"/>
  <c r="L238" i="1"/>
  <c r="L217" i="1"/>
  <c r="P25" i="5"/>
  <c r="I101" i="56"/>
  <c r="II43" i="12"/>
  <c r="R35" i="3"/>
  <c r="R46" i="3" s="1"/>
  <c r="R59" i="3" s="1"/>
  <c r="R64" i="3" s="1"/>
  <c r="AU59" i="15"/>
  <c r="BD59" i="15"/>
  <c r="BF59" i="15"/>
  <c r="H30" i="6"/>
  <c r="AC13" i="16"/>
  <c r="AE13" i="16" s="1"/>
  <c r="AU16" i="15"/>
  <c r="BD16" i="15" s="1"/>
  <c r="BF16" i="15" s="1"/>
  <c r="AE89" i="16"/>
  <c r="AE73" i="16"/>
  <c r="AE57" i="16"/>
  <c r="AE41" i="16"/>
  <c r="AE37" i="16"/>
  <c r="AE25" i="16"/>
  <c r="AE21" i="16"/>
  <c r="I32" i="29"/>
  <c r="I78" i="40"/>
  <c r="I86" i="40" s="1"/>
  <c r="M40" i="43"/>
  <c r="B40" i="47" s="1"/>
  <c r="N71" i="1"/>
  <c r="F260" i="1"/>
  <c r="E88" i="13"/>
  <c r="C89" i="52"/>
  <c r="C92" i="52" s="1"/>
  <c r="E89" i="52"/>
  <c r="E92" i="52" s="1"/>
  <c r="BF13" i="15"/>
  <c r="Y79" i="27"/>
  <c r="Y87" i="27" s="1"/>
  <c r="BD55" i="67"/>
  <c r="BD3" i="70" s="1"/>
  <c r="BD60" i="70" s="1"/>
  <c r="E63" i="29"/>
  <c r="D55" i="67"/>
  <c r="C73" i="53"/>
  <c r="BU52" i="67"/>
  <c r="U68" i="29"/>
  <c r="U92" i="27" s="1"/>
  <c r="E73" i="53"/>
  <c r="AK79" i="64"/>
  <c r="AK78" i="64"/>
  <c r="AJ78" i="64"/>
  <c r="AJ79" i="64"/>
  <c r="AI78" i="64"/>
  <c r="AI79" i="64"/>
  <c r="AH79" i="64"/>
  <c r="AH78" i="64"/>
  <c r="E17" i="28"/>
  <c r="I78" i="46"/>
  <c r="W66" i="67" l="1"/>
  <c r="F64" i="67"/>
  <c r="E12" i="43"/>
  <c r="G63" i="67"/>
  <c r="AH46" i="3"/>
  <c r="AH59" i="3" s="1"/>
  <c r="BQ65" i="69"/>
  <c r="BQ77" i="69" s="1"/>
  <c r="I170" i="21"/>
  <c r="I79" i="31" s="1"/>
  <c r="I173" i="21"/>
  <c r="I82" i="31" s="1"/>
  <c r="I175" i="21"/>
  <c r="I85" i="31" s="1"/>
  <c r="I119" i="21"/>
  <c r="I60" i="31" s="1"/>
  <c r="I113" i="21"/>
  <c r="I56" i="31" s="1"/>
  <c r="G127" i="21"/>
  <c r="BH65" i="69"/>
  <c r="BH77" i="69" s="1"/>
  <c r="BH81" i="69" s="1"/>
  <c r="BH89" i="69" s="1"/>
  <c r="I58" i="21"/>
  <c r="I36" i="31" s="1"/>
  <c r="AF46" i="3"/>
  <c r="AF59" i="3" s="1"/>
  <c r="R38" i="20"/>
  <c r="T38" i="20" s="1"/>
  <c r="AN57" i="3"/>
  <c r="AN27" i="3"/>
  <c r="H75" i="2"/>
  <c r="AH64" i="3"/>
  <c r="G67" i="21"/>
  <c r="I67" i="21" s="1"/>
  <c r="I37" i="31" s="1"/>
  <c r="V53" i="2"/>
  <c r="V65" i="2" s="1"/>
  <c r="G13" i="21"/>
  <c r="G26" i="21" s="1"/>
  <c r="V26" i="2"/>
  <c r="Y26" i="2" s="1"/>
  <c r="BJ65" i="69"/>
  <c r="BJ77" i="69" s="1"/>
  <c r="I66" i="31"/>
  <c r="L62" i="31"/>
  <c r="L41" i="9"/>
  <c r="AM122" i="68"/>
  <c r="S76" i="58"/>
  <c r="AS78" i="60"/>
  <c r="AU78" i="60"/>
  <c r="Q50" i="52"/>
  <c r="K65" i="25"/>
  <c r="O51" i="12"/>
  <c r="G65" i="25"/>
  <c r="G74" i="25" s="1"/>
  <c r="K72" i="55"/>
  <c r="K84" i="55" s="1"/>
  <c r="K90" i="55" s="1"/>
  <c r="BA60" i="70"/>
  <c r="BA122" i="68" s="1"/>
  <c r="BB60" i="70"/>
  <c r="C60" i="70"/>
  <c r="C122" i="68" s="1"/>
  <c r="BT60" i="70"/>
  <c r="BU60" i="70"/>
  <c r="T60" i="70"/>
  <c r="T122" i="68" s="1"/>
  <c r="W60" i="70"/>
  <c r="W122" i="68" s="1"/>
  <c r="U60" i="70"/>
  <c r="U122" i="68" s="1"/>
  <c r="P60" i="70"/>
  <c r="P122" i="68" s="1"/>
  <c r="L60" i="70"/>
  <c r="CB60" i="70"/>
  <c r="CB62" i="70" s="1"/>
  <c r="CC60" i="70"/>
  <c r="CC62" i="70" s="1"/>
  <c r="AX60" i="70"/>
  <c r="AX62" i="70" s="1"/>
  <c r="BN60" i="70"/>
  <c r="BN62" i="70" s="1"/>
  <c r="BC60" i="70"/>
  <c r="BC62" i="70" s="1"/>
  <c r="AY60" i="70"/>
  <c r="AY62" i="70" s="1"/>
  <c r="AZ60" i="70"/>
  <c r="AZ62" i="70" s="1"/>
  <c r="Q47" i="52"/>
  <c r="Q46" i="52"/>
  <c r="R46" i="52" s="1"/>
  <c r="Q48" i="52"/>
  <c r="Q49" i="52"/>
  <c r="C47" i="48" s="1"/>
  <c r="D3" i="70"/>
  <c r="D60" i="70" s="1"/>
  <c r="C13" i="19"/>
  <c r="K63" i="67"/>
  <c r="I15" i="43"/>
  <c r="I69" i="67"/>
  <c r="I13" i="43"/>
  <c r="W69" i="67"/>
  <c r="Y14" i="19"/>
  <c r="W64" i="67"/>
  <c r="E15" i="43"/>
  <c r="G69" i="67"/>
  <c r="Y13" i="19"/>
  <c r="W63" i="67"/>
  <c r="C15" i="43"/>
  <c r="F69" i="67"/>
  <c r="E13" i="43"/>
  <c r="T66" i="67"/>
  <c r="C13" i="43"/>
  <c r="Y44" i="19"/>
  <c r="W70" i="67"/>
  <c r="AG16" i="19"/>
  <c r="T69" i="67"/>
  <c r="AG43" i="19"/>
  <c r="T45" i="67"/>
  <c r="T57" i="67" s="1"/>
  <c r="AG14" i="19"/>
  <c r="T64" i="67"/>
  <c r="T128" i="68"/>
  <c r="T70" i="67"/>
  <c r="AG13" i="19"/>
  <c r="T63" i="67"/>
  <c r="Y43" i="19"/>
  <c r="W45" i="67"/>
  <c r="W57" i="67" s="1"/>
  <c r="G15" i="43"/>
  <c r="H69" i="67"/>
  <c r="G13" i="43"/>
  <c r="Q14" i="51"/>
  <c r="BL63" i="67"/>
  <c r="K128" i="68"/>
  <c r="K70" i="67"/>
  <c r="C21" i="19"/>
  <c r="K66" i="67"/>
  <c r="C16" i="19"/>
  <c r="K69" i="67"/>
  <c r="C14" i="19"/>
  <c r="K64" i="67"/>
  <c r="BN64" i="67"/>
  <c r="C43" i="19"/>
  <c r="K45" i="67"/>
  <c r="K57" i="67" s="1"/>
  <c r="G22" i="43"/>
  <c r="H22" i="67"/>
  <c r="H60" i="67" s="1"/>
  <c r="I22" i="43"/>
  <c r="I22" i="67"/>
  <c r="I60" i="67" s="1"/>
  <c r="F22" i="67"/>
  <c r="F60" i="67" s="1"/>
  <c r="E22" i="43"/>
  <c r="G22" i="67"/>
  <c r="G60" i="67" s="1"/>
  <c r="AB65" i="69"/>
  <c r="AB77" i="69" s="1"/>
  <c r="AG65" i="69"/>
  <c r="AG77" i="69" s="1"/>
  <c r="AU65" i="69"/>
  <c r="AU77" i="69" s="1"/>
  <c r="AV65" i="69"/>
  <c r="AV77" i="69" s="1"/>
  <c r="AL65" i="69"/>
  <c r="AL77" i="69" s="1"/>
  <c r="AI65" i="69"/>
  <c r="AI3" i="71" s="1"/>
  <c r="AI45" i="71" s="1"/>
  <c r="AH65" i="69"/>
  <c r="AH77" i="69" s="1"/>
  <c r="AK65" i="69"/>
  <c r="AK3" i="71" s="1"/>
  <c r="AK45" i="71" s="1"/>
  <c r="AR65" i="69"/>
  <c r="AR77" i="69" s="1"/>
  <c r="AW65" i="69"/>
  <c r="AW3" i="71" s="1"/>
  <c r="AW45" i="71" s="1"/>
  <c r="AJ65" i="69"/>
  <c r="AJ3" i="71" s="1"/>
  <c r="AJ45" i="71" s="1"/>
  <c r="R65" i="69"/>
  <c r="R77" i="69" s="1"/>
  <c r="W65" i="69"/>
  <c r="W77" i="69" s="1"/>
  <c r="U65" i="69"/>
  <c r="U77" i="69" s="1"/>
  <c r="T65" i="69"/>
  <c r="T77" i="69" s="1"/>
  <c r="Q65" i="69"/>
  <c r="Q77" i="69" s="1"/>
  <c r="P65" i="69"/>
  <c r="P77" i="69" s="1"/>
  <c r="N65" i="69"/>
  <c r="N77" i="69" s="1"/>
  <c r="N81" i="69" s="1"/>
  <c r="N89" i="69" s="1"/>
  <c r="O65" i="69"/>
  <c r="O77" i="69" s="1"/>
  <c r="AT65" i="69"/>
  <c r="AT77" i="69" s="1"/>
  <c r="AF65" i="69"/>
  <c r="AF77" i="69" s="1"/>
  <c r="BR65" i="69"/>
  <c r="BR77" i="69" s="1"/>
  <c r="BR81" i="69" s="1"/>
  <c r="BR89" i="69" s="1"/>
  <c r="J24" i="72"/>
  <c r="M76" i="58"/>
  <c r="AC139" i="58"/>
  <c r="K139" i="58"/>
  <c r="BK65" i="69"/>
  <c r="BK77" i="69" s="1"/>
  <c r="B5" i="74"/>
  <c r="C5" i="74"/>
  <c r="BL126" i="68"/>
  <c r="BL66" i="67"/>
  <c r="Q27" i="51"/>
  <c r="BL69" i="67"/>
  <c r="Q54" i="51"/>
  <c r="BL70" i="67"/>
  <c r="Q25" i="51"/>
  <c r="BL64" i="67"/>
  <c r="G58" i="25"/>
  <c r="Q84" i="9"/>
  <c r="Q85" i="9"/>
  <c r="I43" i="24"/>
  <c r="AB46" i="3"/>
  <c r="AB59" i="3" s="1"/>
  <c r="AB64" i="3" s="1"/>
  <c r="Z46" i="3"/>
  <c r="Z59" i="3" s="1"/>
  <c r="Z64" i="3" s="1"/>
  <c r="G21" i="24"/>
  <c r="I21" i="24" s="1"/>
  <c r="M52" i="54"/>
  <c r="K60" i="54"/>
  <c r="M78" i="46"/>
  <c r="I86" i="46"/>
  <c r="D71" i="73"/>
  <c r="D75" i="73" s="1"/>
  <c r="H71" i="73"/>
  <c r="H75" i="73" s="1"/>
  <c r="F71" i="73"/>
  <c r="F75" i="73" s="1"/>
  <c r="D56" i="73"/>
  <c r="D60" i="73" s="1"/>
  <c r="C12" i="73"/>
  <c r="AA3" i="71"/>
  <c r="AA79" i="69" s="1"/>
  <c r="AA77" i="69"/>
  <c r="AH53" i="71"/>
  <c r="AH81" i="66"/>
  <c r="AH95" i="66" s="1"/>
  <c r="AH121" i="68" s="1"/>
  <c r="K3" i="71"/>
  <c r="K79" i="69" s="1"/>
  <c r="K77" i="69"/>
  <c r="K81" i="69" s="1"/>
  <c r="BA3" i="71"/>
  <c r="BA79" i="69" s="1"/>
  <c r="BA77" i="69"/>
  <c r="BA81" i="69" s="1"/>
  <c r="BA89" i="69" s="1"/>
  <c r="K122" i="68"/>
  <c r="BF3" i="71"/>
  <c r="BF79" i="69" s="1"/>
  <c r="BF77" i="69"/>
  <c r="BF81" i="69" s="1"/>
  <c r="BF89" i="69" s="1"/>
  <c r="D122" i="68"/>
  <c r="D3" i="71"/>
  <c r="D79" i="69" s="1"/>
  <c r="D77" i="69"/>
  <c r="AI81" i="66"/>
  <c r="AI95" i="66" s="1"/>
  <c r="AI121" i="68" s="1"/>
  <c r="L15" i="59"/>
  <c r="H15" i="59"/>
  <c r="AD44" i="59"/>
  <c r="W135" i="58"/>
  <c r="AK135" i="58"/>
  <c r="G76" i="58"/>
  <c r="M41" i="58"/>
  <c r="AE135" i="58"/>
  <c r="E76" i="58"/>
  <c r="S135" i="58"/>
  <c r="Q135" i="58"/>
  <c r="Q76" i="58"/>
  <c r="O92" i="58"/>
  <c r="O138" i="58" s="1"/>
  <c r="O141" i="58" s="1"/>
  <c r="I92" i="58"/>
  <c r="I138" i="58" s="1"/>
  <c r="C27" i="57"/>
  <c r="I27" i="57"/>
  <c r="AE16" i="57"/>
  <c r="W16" i="57"/>
  <c r="AC23" i="57"/>
  <c r="AJ46" i="3"/>
  <c r="AJ59" i="3" s="1"/>
  <c r="AJ64" i="3" s="1"/>
  <c r="T37" i="20"/>
  <c r="N17" i="8"/>
  <c r="M57" i="13"/>
  <c r="L93" i="64" s="1"/>
  <c r="P93" i="64" s="1"/>
  <c r="I57" i="13"/>
  <c r="L91" i="64" s="1"/>
  <c r="P91" i="64" s="1"/>
  <c r="G57" i="13"/>
  <c r="K57" i="13"/>
  <c r="C57" i="13"/>
  <c r="L90" i="64" s="1"/>
  <c r="P90" i="64" s="1"/>
  <c r="I58" i="52"/>
  <c r="L61" i="64" s="1"/>
  <c r="P61" i="64" s="1"/>
  <c r="AE59" i="50"/>
  <c r="L49" i="64" s="1"/>
  <c r="P49" i="64" s="1"/>
  <c r="W58" i="18"/>
  <c r="L27" i="64" s="1"/>
  <c r="P27" i="64" s="1"/>
  <c r="M58" i="27"/>
  <c r="E91" i="65"/>
  <c r="F31" i="72"/>
  <c r="F40" i="72" s="1"/>
  <c r="E56" i="22"/>
  <c r="E80" i="22" s="1"/>
  <c r="O88" i="9"/>
  <c r="AG19" i="51"/>
  <c r="F17" i="47" s="1"/>
  <c r="G153" i="25"/>
  <c r="I153" i="25" s="1"/>
  <c r="G154" i="25"/>
  <c r="I154" i="25" s="1"/>
  <c r="G157" i="25"/>
  <c r="I157" i="25" s="1"/>
  <c r="G158" i="25"/>
  <c r="I158" i="25" s="1"/>
  <c r="G150" i="25"/>
  <c r="I150" i="25" s="1"/>
  <c r="G151" i="25"/>
  <c r="I151" i="25" s="1"/>
  <c r="R31" i="72"/>
  <c r="R40" i="72" s="1"/>
  <c r="R44" i="72" s="1"/>
  <c r="G169" i="25"/>
  <c r="I169" i="25" s="1"/>
  <c r="K174" i="55"/>
  <c r="G138" i="25"/>
  <c r="I138" i="25" s="1"/>
  <c r="G137" i="25"/>
  <c r="I137" i="25" s="1"/>
  <c r="I30" i="25"/>
  <c r="I58" i="25" s="1"/>
  <c r="G26" i="25"/>
  <c r="I18" i="25"/>
  <c r="I26" i="25" s="1"/>
  <c r="I65" i="25"/>
  <c r="BB122" i="68"/>
  <c r="BM122" i="68"/>
  <c r="BO122" i="68"/>
  <c r="V122" i="68"/>
  <c r="BD122" i="68"/>
  <c r="O122" i="68"/>
  <c r="BF62" i="70"/>
  <c r="BR122" i="68"/>
  <c r="BH62" i="70"/>
  <c r="BK122" i="68"/>
  <c r="Q62" i="70"/>
  <c r="R62" i="70"/>
  <c r="I144" i="12"/>
  <c r="I62" i="11"/>
  <c r="AG59" i="51"/>
  <c r="F56" i="47" s="1"/>
  <c r="Y21" i="29"/>
  <c r="BG129" i="68"/>
  <c r="CE147" i="68"/>
  <c r="CG3" i="74" s="1"/>
  <c r="C72" i="74" s="1"/>
  <c r="C24" i="29"/>
  <c r="AI43" i="18"/>
  <c r="E42" i="46" s="1"/>
  <c r="H114" i="73"/>
  <c r="P20" i="11"/>
  <c r="C12" i="72"/>
  <c r="U64" i="67"/>
  <c r="BP65" i="67"/>
  <c r="Y16" i="51"/>
  <c r="K31" i="19"/>
  <c r="M13" i="19"/>
  <c r="CD24" i="68"/>
  <c r="E32" i="31" s="1"/>
  <c r="N32" i="31" s="1"/>
  <c r="Q51" i="30"/>
  <c r="O58" i="27"/>
  <c r="O61" i="27" s="1"/>
  <c r="O77" i="27" s="1"/>
  <c r="O89" i="27" s="1"/>
  <c r="O93" i="27" s="1"/>
  <c r="I58" i="44"/>
  <c r="L82" i="64" s="1"/>
  <c r="P82" i="64" s="1"/>
  <c r="I26" i="31"/>
  <c r="I67" i="22"/>
  <c r="N42" i="8"/>
  <c r="C38" i="22"/>
  <c r="C43" i="22" s="1"/>
  <c r="C51" i="22" s="1"/>
  <c r="C54" i="22" s="1"/>
  <c r="K58" i="27"/>
  <c r="K61" i="27" s="1"/>
  <c r="E58" i="27"/>
  <c r="I58" i="27"/>
  <c r="I61" i="27" s="1"/>
  <c r="C58" i="27"/>
  <c r="C57" i="42"/>
  <c r="P12" i="64" s="1"/>
  <c r="I57" i="42"/>
  <c r="L15" i="64" s="1"/>
  <c r="P15" i="64" s="1"/>
  <c r="G57" i="42"/>
  <c r="L14" i="64" s="1"/>
  <c r="P14" i="64" s="1"/>
  <c r="E57" i="42"/>
  <c r="L13" i="64" s="1"/>
  <c r="P13" i="64" s="1"/>
  <c r="K57" i="42"/>
  <c r="L16" i="64" s="1"/>
  <c r="P16" i="64" s="1"/>
  <c r="I58" i="18"/>
  <c r="L20" i="64" s="1"/>
  <c r="P20" i="64" s="1"/>
  <c r="AA58" i="18"/>
  <c r="AE58" i="18"/>
  <c r="AE61" i="18" s="1"/>
  <c r="M58" i="18"/>
  <c r="AC58" i="18"/>
  <c r="Q58" i="18"/>
  <c r="U58" i="18"/>
  <c r="L26" i="64" s="1"/>
  <c r="P26" i="64" s="1"/>
  <c r="Y58" i="18"/>
  <c r="L28" i="64" s="1"/>
  <c r="P28" i="64" s="1"/>
  <c r="O58" i="18"/>
  <c r="L23" i="64" s="1"/>
  <c r="P23" i="64" s="1"/>
  <c r="Z100" i="15"/>
  <c r="K58" i="18"/>
  <c r="K59" i="50"/>
  <c r="L37" i="64" s="1"/>
  <c r="P37" i="64" s="1"/>
  <c r="AA59" i="50"/>
  <c r="L47" i="64" s="1"/>
  <c r="P47" i="64" s="1"/>
  <c r="W59" i="50"/>
  <c r="L46" i="64" s="1"/>
  <c r="P46" i="64" s="1"/>
  <c r="O59" i="50"/>
  <c r="L39" i="64" s="1"/>
  <c r="P39" i="64" s="1"/>
  <c r="Q59" i="50"/>
  <c r="L40" i="64" s="1"/>
  <c r="P40" i="64" s="1"/>
  <c r="M59" i="50"/>
  <c r="L38" i="64" s="1"/>
  <c r="P38" i="64" s="1"/>
  <c r="AC59" i="50"/>
  <c r="L48" i="64" s="1"/>
  <c r="P48" i="64" s="1"/>
  <c r="Y59" i="50"/>
  <c r="L44" i="64" s="1"/>
  <c r="P44" i="64" s="1"/>
  <c r="S59" i="50"/>
  <c r="L41" i="64" s="1"/>
  <c r="P41" i="64" s="1"/>
  <c r="O58" i="52"/>
  <c r="L65" i="64" s="1"/>
  <c r="P65" i="64" s="1"/>
  <c r="K58" i="52"/>
  <c r="L62" i="64" s="1"/>
  <c r="G58" i="63"/>
  <c r="L70" i="64" s="1"/>
  <c r="P70" i="64" s="1"/>
  <c r="I58" i="63"/>
  <c r="L71" i="64" s="1"/>
  <c r="P71" i="64" s="1"/>
  <c r="E58" i="63"/>
  <c r="L69" i="64" s="1"/>
  <c r="P69" i="64" s="1"/>
  <c r="U58" i="63"/>
  <c r="L77" i="64" s="1"/>
  <c r="P77" i="64" s="1"/>
  <c r="G58" i="44"/>
  <c r="L81" i="64" s="1"/>
  <c r="P81" i="64" s="1"/>
  <c r="M58" i="44"/>
  <c r="L84" i="64" s="1"/>
  <c r="P84" i="64" s="1"/>
  <c r="K58" i="44"/>
  <c r="J62" i="70"/>
  <c r="M23" i="54"/>
  <c r="M41" i="42"/>
  <c r="C41" i="46" s="1"/>
  <c r="Q56" i="60"/>
  <c r="Q75" i="60" s="1"/>
  <c r="S56" i="60"/>
  <c r="S75" i="60" s="1"/>
  <c r="AG56" i="60"/>
  <c r="AG75" i="60" s="1"/>
  <c r="Y56" i="60"/>
  <c r="Y75" i="60" s="1"/>
  <c r="O56" i="60"/>
  <c r="O75" i="60" s="1"/>
  <c r="G23" i="60"/>
  <c r="G56" i="60" s="1"/>
  <c r="G75" i="60" s="1"/>
  <c r="Q139" i="58"/>
  <c r="I93" i="58"/>
  <c r="K41" i="58"/>
  <c r="M92" i="58"/>
  <c r="M138" i="58" s="1"/>
  <c r="AG135" i="58"/>
  <c r="M93" i="58"/>
  <c r="K92" i="58"/>
  <c r="S93" i="58"/>
  <c r="S95" i="58" s="1"/>
  <c r="E138" i="58"/>
  <c r="E141" i="58" s="1"/>
  <c r="AG41" i="58"/>
  <c r="E135" i="58"/>
  <c r="C30" i="57"/>
  <c r="AG28" i="57"/>
  <c r="AG30" i="57" s="1"/>
  <c r="E27" i="57"/>
  <c r="E30" i="57" s="1"/>
  <c r="AG16" i="57"/>
  <c r="Q16" i="57"/>
  <c r="F56" i="73"/>
  <c r="F60" i="73" s="1"/>
  <c r="E40" i="73"/>
  <c r="E44" i="73" s="1"/>
  <c r="D112" i="73"/>
  <c r="D116" i="73" s="1"/>
  <c r="I40" i="73"/>
  <c r="I44" i="73" s="1"/>
  <c r="E56" i="73"/>
  <c r="E60" i="73" s="1"/>
  <c r="I56" i="73"/>
  <c r="I60" i="73" s="1"/>
  <c r="K54" i="73"/>
  <c r="G12" i="73"/>
  <c r="D24" i="73"/>
  <c r="D28" i="73" s="1"/>
  <c r="D52" i="26"/>
  <c r="B54" i="71"/>
  <c r="L24" i="64"/>
  <c r="P24" i="64" s="1"/>
  <c r="R49" i="52"/>
  <c r="AI50" i="18"/>
  <c r="E49" i="46" s="1"/>
  <c r="M43" i="42"/>
  <c r="C43" i="46" s="1"/>
  <c r="BG62" i="70"/>
  <c r="Q15" i="53"/>
  <c r="C13" i="49" s="1"/>
  <c r="K29" i="43"/>
  <c r="AX64" i="67"/>
  <c r="AE56" i="60"/>
  <c r="AE75" i="60" s="1"/>
  <c r="U56" i="60"/>
  <c r="U75" i="60" s="1"/>
  <c r="AK56" i="60"/>
  <c r="AK75" i="60" s="1"/>
  <c r="AC56" i="60"/>
  <c r="AC75" i="60" s="1"/>
  <c r="M23" i="60"/>
  <c r="M56" i="60" s="1"/>
  <c r="M75" i="60" s="1"/>
  <c r="C58" i="63"/>
  <c r="G58" i="52"/>
  <c r="L63" i="64"/>
  <c r="P63" i="64" s="1"/>
  <c r="BZ122" i="68"/>
  <c r="AF64" i="67"/>
  <c r="AA22" i="51"/>
  <c r="AC77" i="51"/>
  <c r="BG64" i="67"/>
  <c r="M53" i="19"/>
  <c r="M46" i="42"/>
  <c r="C46" i="46" s="1"/>
  <c r="M45" i="42"/>
  <c r="C45" i="46" s="1"/>
  <c r="M44" i="42"/>
  <c r="C44" i="46" s="1"/>
  <c r="M49" i="42"/>
  <c r="C49" i="46" s="1"/>
  <c r="M42" i="42"/>
  <c r="C42" i="46" s="1"/>
  <c r="M48" i="42"/>
  <c r="C48" i="46" s="1"/>
  <c r="M47" i="42"/>
  <c r="C47" i="46" s="1"/>
  <c r="AO100" i="15"/>
  <c r="AI49" i="18"/>
  <c r="E48" i="46" s="1"/>
  <c r="R50" i="52"/>
  <c r="Q25" i="52"/>
  <c r="C23" i="48" s="1"/>
  <c r="CA45" i="71"/>
  <c r="CB45" i="71"/>
  <c r="CB48" i="71" s="1"/>
  <c r="L45" i="71"/>
  <c r="BZ45" i="71"/>
  <c r="S75" i="27"/>
  <c r="U61" i="27"/>
  <c r="U77" i="27" s="1"/>
  <c r="U89" i="27" s="1"/>
  <c r="U93" i="27" s="1"/>
  <c r="R48" i="52"/>
  <c r="AG24" i="50"/>
  <c r="G22" i="46" s="1"/>
  <c r="F148" i="2"/>
  <c r="AD124" i="68"/>
  <c r="C25" i="62"/>
  <c r="AI124" i="68"/>
  <c r="O25" i="53"/>
  <c r="O33" i="53" s="1"/>
  <c r="B65" i="64" s="1"/>
  <c r="AF124" i="68"/>
  <c r="U25" i="62"/>
  <c r="AR124" i="68"/>
  <c r="I25" i="45"/>
  <c r="AU124" i="68"/>
  <c r="K25" i="53"/>
  <c r="AC124" i="68"/>
  <c r="M25" i="45"/>
  <c r="AW124" i="68"/>
  <c r="I25" i="62"/>
  <c r="AL124" i="68"/>
  <c r="C25" i="45"/>
  <c r="AS124" i="68"/>
  <c r="K25" i="45"/>
  <c r="AV124" i="68"/>
  <c r="I25" i="53"/>
  <c r="AB124" i="68"/>
  <c r="G25" i="45"/>
  <c r="AT124" i="68"/>
  <c r="AB64" i="67"/>
  <c r="M19" i="43"/>
  <c r="B19" i="47" s="1"/>
  <c r="G24" i="24"/>
  <c r="I24" i="24" s="1"/>
  <c r="C62" i="11"/>
  <c r="G144" i="12"/>
  <c r="G62" i="11"/>
  <c r="F114" i="73"/>
  <c r="E62" i="11"/>
  <c r="P24" i="11"/>
  <c r="BQ64" i="67"/>
  <c r="BH65" i="67"/>
  <c r="AC16" i="51"/>
  <c r="G14" i="19"/>
  <c r="M64" i="67"/>
  <c r="I13" i="14"/>
  <c r="BA64" i="67"/>
  <c r="W15" i="51"/>
  <c r="BO64" i="67"/>
  <c r="B5" i="67"/>
  <c r="K13" i="43"/>
  <c r="J64" i="67"/>
  <c r="G25" i="19"/>
  <c r="M124" i="68"/>
  <c r="AC14" i="19"/>
  <c r="X64" i="67"/>
  <c r="E14" i="53"/>
  <c r="Z64" i="67"/>
  <c r="AA15" i="51"/>
  <c r="BS64" i="67"/>
  <c r="M13" i="14"/>
  <c r="BC64" i="67"/>
  <c r="AC15" i="51"/>
  <c r="BH64" i="67"/>
  <c r="M15" i="51"/>
  <c r="BJ64" i="67"/>
  <c r="AE15" i="51"/>
  <c r="BF64" i="67"/>
  <c r="W14" i="19"/>
  <c r="V64" i="67"/>
  <c r="C13" i="14"/>
  <c r="AY64" i="67"/>
  <c r="K13" i="14"/>
  <c r="BB64" i="67"/>
  <c r="S15" i="51"/>
  <c r="K15" i="51"/>
  <c r="BI64" i="67"/>
  <c r="Q16" i="53"/>
  <c r="C14" i="49" s="1"/>
  <c r="Y15" i="51"/>
  <c r="BP64" i="67"/>
  <c r="G13" i="14"/>
  <c r="AZ64" i="67"/>
  <c r="S64" i="67"/>
  <c r="O15" i="51"/>
  <c r="BK64" i="67"/>
  <c r="G15" i="51"/>
  <c r="BE64" i="67"/>
  <c r="E14" i="19"/>
  <c r="L64" i="67"/>
  <c r="Q15" i="51"/>
  <c r="E13" i="29"/>
  <c r="D64" i="67"/>
  <c r="C14" i="53"/>
  <c r="Y64" i="67"/>
  <c r="L64" i="64"/>
  <c r="P64" i="64" s="1"/>
  <c r="U14" i="62"/>
  <c r="W14" i="62" s="1"/>
  <c r="E12" i="49" s="1"/>
  <c r="AR64" i="67"/>
  <c r="I14" i="45"/>
  <c r="AU64" i="67"/>
  <c r="K14" i="53"/>
  <c r="AC64" i="67"/>
  <c r="M14" i="45"/>
  <c r="AW64" i="67"/>
  <c r="AH64" i="67"/>
  <c r="C14" i="45"/>
  <c r="AS64" i="67"/>
  <c r="K14" i="45"/>
  <c r="AV64" i="67"/>
  <c r="AG64" i="67"/>
  <c r="AI64" i="67"/>
  <c r="AD64" i="67"/>
  <c r="G14" i="53"/>
  <c r="AA64" i="67"/>
  <c r="G14" i="45"/>
  <c r="AT64" i="67"/>
  <c r="AJ64" i="67"/>
  <c r="AK64" i="67"/>
  <c r="I24" i="62"/>
  <c r="W24" i="62" s="1"/>
  <c r="E22" i="49" s="1"/>
  <c r="AL64" i="67"/>
  <c r="M24" i="19"/>
  <c r="P64" i="67"/>
  <c r="Q24" i="19"/>
  <c r="R64" i="67"/>
  <c r="F152" i="66"/>
  <c r="F153" i="66" s="1"/>
  <c r="E62" i="54"/>
  <c r="H152" i="66"/>
  <c r="H153" i="66" s="1"/>
  <c r="H155" i="66" s="1"/>
  <c r="H159" i="66" s="1"/>
  <c r="G62" i="54"/>
  <c r="Y24" i="19"/>
  <c r="AG24" i="19"/>
  <c r="O24" i="19"/>
  <c r="Q64" i="67"/>
  <c r="C24" i="19"/>
  <c r="C25" i="19"/>
  <c r="K124" i="68"/>
  <c r="E23" i="43"/>
  <c r="G23" i="43"/>
  <c r="I23" i="43"/>
  <c r="C23" i="29"/>
  <c r="C64" i="67"/>
  <c r="K24" i="19"/>
  <c r="O64" i="67"/>
  <c r="I25" i="19"/>
  <c r="N124" i="68"/>
  <c r="I14" i="19"/>
  <c r="N64" i="67"/>
  <c r="I73" i="29"/>
  <c r="W25" i="51"/>
  <c r="BR64" i="67"/>
  <c r="BD64" i="67"/>
  <c r="Q42" i="30"/>
  <c r="AF126" i="68"/>
  <c r="S76" i="29"/>
  <c r="M14" i="43"/>
  <c r="Y45" i="29"/>
  <c r="P22" i="11"/>
  <c r="B161" i="66"/>
  <c r="P21" i="11"/>
  <c r="G20" i="24"/>
  <c r="I20" i="24" s="1"/>
  <c r="G35" i="24"/>
  <c r="I35" i="24" s="1"/>
  <c r="G33" i="24"/>
  <c r="I33" i="24" s="1"/>
  <c r="M29" i="52"/>
  <c r="F64" i="64" s="1"/>
  <c r="J64" i="64" s="1"/>
  <c r="E25" i="19"/>
  <c r="AI17" i="19"/>
  <c r="O28" i="45"/>
  <c r="G26" i="49" s="1"/>
  <c r="AY63" i="67"/>
  <c r="K26" i="51"/>
  <c r="Q18" i="53"/>
  <c r="C16" i="49" s="1"/>
  <c r="J63" i="67"/>
  <c r="W27" i="62"/>
  <c r="E25" i="49" s="1"/>
  <c r="U31" i="19"/>
  <c r="C15" i="14"/>
  <c r="Q17" i="53"/>
  <c r="C15" i="49" s="1"/>
  <c r="O26" i="45"/>
  <c r="G24" i="49" s="1"/>
  <c r="Q24" i="53"/>
  <c r="C22" i="49" s="1"/>
  <c r="E31" i="51"/>
  <c r="B20" i="67"/>
  <c r="Q23" i="53"/>
  <c r="C21" i="49" s="1"/>
  <c r="AG24" i="51"/>
  <c r="F22" i="47" s="1"/>
  <c r="W28" i="62"/>
  <c r="E26" i="49" s="1"/>
  <c r="CG146" i="68"/>
  <c r="CI2" i="74" s="1"/>
  <c r="B74" i="74" s="1"/>
  <c r="C71" i="51"/>
  <c r="L27" i="72"/>
  <c r="U70" i="29"/>
  <c r="U73" i="29" s="1"/>
  <c r="BO63" i="67"/>
  <c r="AC128" i="68"/>
  <c r="Q37" i="53"/>
  <c r="C35" i="49" s="1"/>
  <c r="BG124" i="68"/>
  <c r="K129" i="68"/>
  <c r="Q38" i="53"/>
  <c r="C36" i="49" s="1"/>
  <c r="Q62" i="53"/>
  <c r="C60" i="49" s="1"/>
  <c r="S41" i="51"/>
  <c r="M12" i="14"/>
  <c r="R140" i="68"/>
  <c r="BK140" i="68"/>
  <c r="BP124" i="68"/>
  <c r="AA141" i="68"/>
  <c r="K29" i="14"/>
  <c r="G31" i="19"/>
  <c r="W56" i="60"/>
  <c r="W75" i="60" s="1"/>
  <c r="K56" i="60"/>
  <c r="K75" i="60" s="1"/>
  <c r="AI56" i="60"/>
  <c r="AI75" i="60" s="1"/>
  <c r="I56" i="60"/>
  <c r="I75" i="60" s="1"/>
  <c r="AA56" i="60"/>
  <c r="AA75" i="60" s="1"/>
  <c r="AB44" i="59"/>
  <c r="F25" i="59"/>
  <c r="S41" i="58"/>
  <c r="W30" i="58"/>
  <c r="W41" i="58" s="1"/>
  <c r="U16" i="57"/>
  <c r="Q30" i="57"/>
  <c r="AC16" i="57"/>
  <c r="G40" i="73"/>
  <c r="G44" i="73" s="1"/>
  <c r="C56" i="73"/>
  <c r="D40" i="73"/>
  <c r="D44" i="73" s="1"/>
  <c r="F40" i="73"/>
  <c r="F44" i="73" s="1"/>
  <c r="C112" i="73"/>
  <c r="C116" i="73" s="1"/>
  <c r="J71" i="73"/>
  <c r="J75" i="73" s="1"/>
  <c r="C40" i="73"/>
  <c r="J40" i="73"/>
  <c r="J44" i="73" s="1"/>
  <c r="G56" i="73"/>
  <c r="G60" i="73" s="1"/>
  <c r="G71" i="73"/>
  <c r="G75" i="73" s="1"/>
  <c r="I71" i="73"/>
  <c r="I75" i="73" s="1"/>
  <c r="W38" i="62"/>
  <c r="E36" i="49" s="1"/>
  <c r="Q73" i="52"/>
  <c r="R73" i="52" s="1"/>
  <c r="C12" i="14"/>
  <c r="BO53" i="71"/>
  <c r="Q51" i="53"/>
  <c r="C49" i="49" s="1"/>
  <c r="CB121" i="68"/>
  <c r="E31" i="45"/>
  <c r="AE54" i="51"/>
  <c r="BW255" i="66"/>
  <c r="B255" i="66" s="1"/>
  <c r="BF124" i="68"/>
  <c r="J24" i="73"/>
  <c r="J28" i="73" s="1"/>
  <c r="K22" i="73"/>
  <c r="C24" i="73"/>
  <c r="C28" i="73" s="1"/>
  <c r="H12" i="73"/>
  <c r="I12" i="73"/>
  <c r="H24" i="73"/>
  <c r="H28" i="73" s="1"/>
  <c r="K31" i="73"/>
  <c r="K33" i="73" s="1"/>
  <c r="F12" i="73"/>
  <c r="E24" i="73"/>
  <c r="E28" i="73" s="1"/>
  <c r="H40" i="73"/>
  <c r="H44" i="73" s="1"/>
  <c r="K64" i="73"/>
  <c r="AC32" i="51"/>
  <c r="X63" i="67"/>
  <c r="I45" i="51"/>
  <c r="BH66" i="67"/>
  <c r="W128" i="68"/>
  <c r="AC126" i="68"/>
  <c r="Y31" i="19"/>
  <c r="BG63" i="67"/>
  <c r="J140" i="68"/>
  <c r="I31" i="45"/>
  <c r="E44" i="19"/>
  <c r="AR126" i="68"/>
  <c r="G27" i="31"/>
  <c r="M27" i="51"/>
  <c r="BJ50" i="67"/>
  <c r="G34" i="24"/>
  <c r="I34" i="24" s="1"/>
  <c r="M45" i="51"/>
  <c r="G53" i="19"/>
  <c r="M70" i="67"/>
  <c r="J129" i="68"/>
  <c r="K38" i="43"/>
  <c r="M128" i="68"/>
  <c r="BT121" i="68"/>
  <c r="K121" i="68"/>
  <c r="BA121" i="68"/>
  <c r="I121" i="68"/>
  <c r="BR121" i="68"/>
  <c r="H121" i="68"/>
  <c r="U121" i="68"/>
  <c r="N121" i="68"/>
  <c r="BJ121" i="68"/>
  <c r="N42" i="72"/>
  <c r="T121" i="68"/>
  <c r="E42" i="39"/>
  <c r="E56" i="39" s="1"/>
  <c r="E68" i="39" s="1"/>
  <c r="C18" i="39"/>
  <c r="L64" i="9"/>
  <c r="C59" i="22"/>
  <c r="C67" i="22" s="1"/>
  <c r="L140" i="68"/>
  <c r="G43" i="53"/>
  <c r="Q43" i="53" s="1"/>
  <c r="C41" i="49" s="1"/>
  <c r="K54" i="51"/>
  <c r="AX129" i="68"/>
  <c r="M41" i="51"/>
  <c r="G153" i="66"/>
  <c r="AZ237" i="66"/>
  <c r="AZ241" i="66" s="1"/>
  <c r="CE263" i="66"/>
  <c r="CE265" i="66" s="1"/>
  <c r="R237" i="66"/>
  <c r="R241" i="66" s="1"/>
  <c r="D237" i="66"/>
  <c r="D241" i="66" s="1"/>
  <c r="B169" i="66"/>
  <c r="CF263" i="66"/>
  <c r="CF265" i="66" s="1"/>
  <c r="AS237" i="66"/>
  <c r="AS241" i="66" s="1"/>
  <c r="AT237" i="66"/>
  <c r="AT241" i="66" s="1"/>
  <c r="CG237" i="66"/>
  <c r="CG241" i="66" s="1"/>
  <c r="BL237" i="66"/>
  <c r="BL241" i="66" s="1"/>
  <c r="BP237" i="66"/>
  <c r="BP241" i="66" s="1"/>
  <c r="B168" i="66"/>
  <c r="AA81" i="66"/>
  <c r="BL263" i="66"/>
  <c r="BL265" i="66" s="1"/>
  <c r="X237" i="66"/>
  <c r="X241" i="66" s="1"/>
  <c r="BA237" i="66"/>
  <c r="BA241" i="66" s="1"/>
  <c r="AR237" i="66"/>
  <c r="AR241" i="66" s="1"/>
  <c r="BO81" i="66"/>
  <c r="AY237" i="66"/>
  <c r="AY241" i="66" s="1"/>
  <c r="CA182" i="66"/>
  <c r="CA263" i="66" s="1"/>
  <c r="CE237" i="66"/>
  <c r="CE318" i="66" s="1"/>
  <c r="CE319" i="66" s="1"/>
  <c r="BW250" i="66"/>
  <c r="B250" i="66" s="1"/>
  <c r="CF237" i="66"/>
  <c r="CF318" i="66" s="1"/>
  <c r="CF319" i="66" s="1"/>
  <c r="K237" i="66"/>
  <c r="K241" i="66" s="1"/>
  <c r="B157" i="66"/>
  <c r="CB237" i="66"/>
  <c r="CB241" i="66" s="1"/>
  <c r="T41" i="2"/>
  <c r="P41" i="2"/>
  <c r="T114" i="2"/>
  <c r="T126" i="2" s="1"/>
  <c r="T35" i="3"/>
  <c r="T46" i="3" s="1"/>
  <c r="W32" i="51"/>
  <c r="BK141" i="68"/>
  <c r="G19" i="24"/>
  <c r="I19" i="24" s="1"/>
  <c r="N32" i="8"/>
  <c r="Q86" i="9"/>
  <c r="Q80" i="9"/>
  <c r="N74" i="2"/>
  <c r="G114" i="73"/>
  <c r="Q41" i="30"/>
  <c r="AE52" i="51"/>
  <c r="AG52" i="51" s="1"/>
  <c r="F50" i="47" s="1"/>
  <c r="AE42" i="51"/>
  <c r="S45" i="51"/>
  <c r="K41" i="51"/>
  <c r="G141" i="68"/>
  <c r="O45" i="67"/>
  <c r="O57" i="67" s="1"/>
  <c r="O53" i="51"/>
  <c r="Q41" i="51"/>
  <c r="BB141" i="68"/>
  <c r="G45" i="51"/>
  <c r="AC45" i="51"/>
  <c r="U128" i="68"/>
  <c r="AC54" i="51"/>
  <c r="E40" i="45"/>
  <c r="E55" i="45" s="1"/>
  <c r="D85" i="64" s="1"/>
  <c r="AV128" i="68"/>
  <c r="Z157" i="68"/>
  <c r="L141" i="68"/>
  <c r="AL45" i="67"/>
  <c r="I13" i="45"/>
  <c r="E43" i="19"/>
  <c r="AG40" i="19"/>
  <c r="Z128" i="68"/>
  <c r="BJ45" i="67"/>
  <c r="BE70" i="67"/>
  <c r="Q46" i="30"/>
  <c r="P19" i="20"/>
  <c r="P34" i="20" s="1"/>
  <c r="P48" i="20" s="1"/>
  <c r="P52" i="20" s="1"/>
  <c r="BD141" i="68"/>
  <c r="I44" i="19"/>
  <c r="BA124" i="68"/>
  <c r="B110" i="66"/>
  <c r="C33" i="30" s="1"/>
  <c r="AW36" i="58" s="1"/>
  <c r="M41" i="54"/>
  <c r="D153" i="66"/>
  <c r="E66" i="24"/>
  <c r="O20" i="13"/>
  <c r="G20" i="40" s="1"/>
  <c r="O12" i="13"/>
  <c r="K43" i="19"/>
  <c r="K55" i="19" s="1"/>
  <c r="D21" i="64" s="1"/>
  <c r="S23" i="19"/>
  <c r="O21" i="51"/>
  <c r="BB140" i="68"/>
  <c r="G44" i="31"/>
  <c r="K100" i="17"/>
  <c r="O141" i="68"/>
  <c r="S21" i="19"/>
  <c r="M25" i="19"/>
  <c r="P124" i="68"/>
  <c r="Q31" i="19"/>
  <c r="R126" i="68"/>
  <c r="S128" i="68"/>
  <c r="S44" i="19"/>
  <c r="AW128" i="68"/>
  <c r="C44" i="29"/>
  <c r="S18" i="19"/>
  <c r="S24" i="19"/>
  <c r="S43" i="19"/>
  <c r="Q72" i="52"/>
  <c r="R72" i="52" s="1"/>
  <c r="U13" i="19"/>
  <c r="Y68" i="19"/>
  <c r="M44" i="45"/>
  <c r="AA140" i="68"/>
  <c r="Y32" i="51"/>
  <c r="S70" i="67"/>
  <c r="E28" i="14"/>
  <c r="E31" i="14" s="1"/>
  <c r="S126" i="68"/>
  <c r="S31" i="19"/>
  <c r="Q25" i="19"/>
  <c r="R124" i="68"/>
  <c r="Q20" i="19"/>
  <c r="S30" i="19"/>
  <c r="I126" i="68"/>
  <c r="C12" i="43"/>
  <c r="K49" i="24"/>
  <c r="O68" i="19"/>
  <c r="AE41" i="51"/>
  <c r="AA53" i="19"/>
  <c r="AA55" i="19" s="1"/>
  <c r="S53" i="19"/>
  <c r="I67" i="43"/>
  <c r="S152" i="68"/>
  <c r="S40" i="19"/>
  <c r="E30" i="30"/>
  <c r="AW66" i="58" s="1"/>
  <c r="AT140" i="68"/>
  <c r="Q45" i="51"/>
  <c r="BL141" i="68"/>
  <c r="S27" i="19"/>
  <c r="S14" i="19"/>
  <c r="G69" i="51"/>
  <c r="Q55" i="29"/>
  <c r="E31" i="19"/>
  <c r="S25" i="19"/>
  <c r="S124" i="68"/>
  <c r="S13" i="19"/>
  <c r="U42" i="51"/>
  <c r="E109" i="73"/>
  <c r="E110" i="73" s="1"/>
  <c r="W72" i="63"/>
  <c r="E70" i="48" s="1"/>
  <c r="Q46" i="53"/>
  <c r="C44" i="49" s="1"/>
  <c r="AT66" i="67"/>
  <c r="C31" i="45"/>
  <c r="CF116" i="68"/>
  <c r="O25" i="19"/>
  <c r="Q124" i="68"/>
  <c r="C14" i="30"/>
  <c r="C70" i="65" s="1"/>
  <c r="H70" i="65" s="1"/>
  <c r="B19" i="66"/>
  <c r="K47" i="73"/>
  <c r="K49" i="73" s="1"/>
  <c r="J56" i="73"/>
  <c r="J60" i="73" s="1"/>
  <c r="E71" i="73"/>
  <c r="E75" i="73" s="1"/>
  <c r="E12" i="73"/>
  <c r="F24" i="73"/>
  <c r="F28" i="73" s="1"/>
  <c r="K17" i="73"/>
  <c r="C71" i="73"/>
  <c r="H56" i="73"/>
  <c r="H60" i="73" s="1"/>
  <c r="I17" i="73"/>
  <c r="I24" i="73" s="1"/>
  <c r="I28" i="73" s="1"/>
  <c r="J12" i="73"/>
  <c r="K10" i="73"/>
  <c r="K38" i="73"/>
  <c r="G24" i="73"/>
  <c r="G28" i="73" s="1"/>
  <c r="Q47" i="30"/>
  <c r="S263" i="66"/>
  <c r="S265" i="66" s="1"/>
  <c r="CB263" i="66"/>
  <c r="CB265" i="66" s="1"/>
  <c r="BE291" i="66"/>
  <c r="BE292" i="66" s="1"/>
  <c r="O22" i="13"/>
  <c r="G22" i="40" s="1"/>
  <c r="BE50" i="69"/>
  <c r="BE65" i="69" s="1"/>
  <c r="BE53" i="71"/>
  <c r="E23" i="60"/>
  <c r="E56" i="60" s="1"/>
  <c r="E75" i="60" s="1"/>
  <c r="L25" i="59"/>
  <c r="AG76" i="58"/>
  <c r="W93" i="58"/>
  <c r="AI41" i="58"/>
  <c r="AK41" i="58"/>
  <c r="O41" i="58"/>
  <c r="O76" i="58"/>
  <c r="G135" i="58"/>
  <c r="K30" i="57"/>
  <c r="I30" i="57"/>
  <c r="AA30" i="57"/>
  <c r="W28" i="57"/>
  <c r="W30" i="57" s="1"/>
  <c r="U30" i="57"/>
  <c r="C54" i="39"/>
  <c r="B495" i="66"/>
  <c r="O237" i="66"/>
  <c r="O241" i="66" s="1"/>
  <c r="BT237" i="66"/>
  <c r="BT241" i="66" s="1"/>
  <c r="CH147" i="68"/>
  <c r="CJ3" i="74" s="1"/>
  <c r="C75" i="74" s="1"/>
  <c r="AZ124" i="68"/>
  <c r="BF237" i="66"/>
  <c r="BF241" i="66" s="1"/>
  <c r="G65" i="31"/>
  <c r="G83" i="31"/>
  <c r="BP66" i="67"/>
  <c r="C20" i="49"/>
  <c r="Q18" i="52"/>
  <c r="C16" i="48" s="1"/>
  <c r="O69" i="13"/>
  <c r="G69" i="40" s="1"/>
  <c r="O15" i="44"/>
  <c r="G13" i="48" s="1"/>
  <c r="AA237" i="66"/>
  <c r="AA241" i="66" s="1"/>
  <c r="BZ237" i="66"/>
  <c r="BZ241" i="66" s="1"/>
  <c r="T141" i="68"/>
  <c r="V237" i="66"/>
  <c r="V241" i="66" s="1"/>
  <c r="BK237" i="66"/>
  <c r="BK241" i="66" s="1"/>
  <c r="BM237" i="66"/>
  <c r="BM241" i="66" s="1"/>
  <c r="Q17" i="52"/>
  <c r="C15" i="48" s="1"/>
  <c r="B14" i="47"/>
  <c r="M17" i="42"/>
  <c r="C17" i="46" s="1"/>
  <c r="S81" i="66"/>
  <c r="O38" i="45"/>
  <c r="G36" i="49" s="1"/>
  <c r="Q47" i="53"/>
  <c r="C45" i="49" s="1"/>
  <c r="U68" i="19"/>
  <c r="O51" i="45"/>
  <c r="G49" i="49" s="1"/>
  <c r="O41" i="45"/>
  <c r="G39" i="49" s="1"/>
  <c r="O14" i="13"/>
  <c r="G14" i="40" s="1"/>
  <c r="AJ128" i="68"/>
  <c r="I68" i="19"/>
  <c r="BB237" i="66"/>
  <c r="BB241" i="66" s="1"/>
  <c r="CF81" i="66"/>
  <c r="CF95" i="66" s="1"/>
  <c r="B21" i="47"/>
  <c r="AF157" i="68"/>
  <c r="U237" i="66"/>
  <c r="U241" i="66" s="1"/>
  <c r="B208" i="66"/>
  <c r="BV237" i="66"/>
  <c r="BV241" i="66" s="1"/>
  <c r="BO237" i="66"/>
  <c r="BO241" i="66" s="1"/>
  <c r="L237" i="66"/>
  <c r="L241" i="66" s="1"/>
  <c r="F237" i="66"/>
  <c r="F241" i="66" s="1"/>
  <c r="B172" i="66"/>
  <c r="CG263" i="66"/>
  <c r="CG265" i="66" s="1"/>
  <c r="M37" i="43"/>
  <c r="B37" i="47" s="1"/>
  <c r="E40" i="19"/>
  <c r="BI62" i="70"/>
  <c r="CD208" i="66"/>
  <c r="CD289" i="66" s="1"/>
  <c r="BH237" i="66"/>
  <c r="BH241" i="66" s="1"/>
  <c r="AV237" i="66"/>
  <c r="AV241" i="66" s="1"/>
  <c r="G237" i="66"/>
  <c r="G241" i="66" s="1"/>
  <c r="CD195" i="66"/>
  <c r="CD276" i="66" s="1"/>
  <c r="CD278" i="66" s="1"/>
  <c r="M36" i="43"/>
  <c r="B36" i="47" s="1"/>
  <c r="M25" i="42"/>
  <c r="C25" i="46" s="1"/>
  <c r="M34" i="42"/>
  <c r="C34" i="46" s="1"/>
  <c r="AJ45" i="67"/>
  <c r="E30" i="43"/>
  <c r="I53" i="19"/>
  <c r="C13" i="45"/>
  <c r="G26" i="51"/>
  <c r="BE129" i="68"/>
  <c r="BN126" i="68"/>
  <c r="M30" i="53"/>
  <c r="Q30" i="53" s="1"/>
  <c r="W31" i="19"/>
  <c r="Y21" i="19"/>
  <c r="N63" i="67"/>
  <c r="G13" i="53"/>
  <c r="G25" i="53"/>
  <c r="S129" i="68"/>
  <c r="AU66" i="67"/>
  <c r="AY124" i="68"/>
  <c r="N70" i="67"/>
  <c r="AG31" i="19"/>
  <c r="AA69" i="67"/>
  <c r="K41" i="14"/>
  <c r="Y157" i="68"/>
  <c r="BO128" i="68"/>
  <c r="L63" i="67"/>
  <c r="BH70" i="67"/>
  <c r="AC25" i="19"/>
  <c r="O66" i="67"/>
  <c r="Y141" i="68"/>
  <c r="CF42" i="68"/>
  <c r="AF140" i="68"/>
  <c r="AW140" i="68"/>
  <c r="Q77" i="51"/>
  <c r="BI167" i="68"/>
  <c r="BI170" i="68" s="1"/>
  <c r="BI178" i="68" s="1"/>
  <c r="CA167" i="68"/>
  <c r="CA170" i="68" s="1"/>
  <c r="CA178" i="68" s="1"/>
  <c r="BP167" i="68"/>
  <c r="BP170" i="68" s="1"/>
  <c r="BP178" i="68" s="1"/>
  <c r="J167" i="68"/>
  <c r="J170" i="68" s="1"/>
  <c r="J178" i="68" s="1"/>
  <c r="CB167" i="68"/>
  <c r="CB170" i="68" s="1"/>
  <c r="CB178" i="68" s="1"/>
  <c r="V167" i="68"/>
  <c r="V170" i="68" s="1"/>
  <c r="V178" i="68" s="1"/>
  <c r="BF141" i="68"/>
  <c r="AU157" i="68"/>
  <c r="O77" i="51"/>
  <c r="W22" i="63"/>
  <c r="E20" i="48" s="1"/>
  <c r="W19" i="63"/>
  <c r="E17" i="48" s="1"/>
  <c r="W52" i="62"/>
  <c r="E49" i="49" s="1"/>
  <c r="E13" i="49"/>
  <c r="W46" i="62"/>
  <c r="E43" i="49" s="1"/>
  <c r="W41" i="62"/>
  <c r="E39" i="49" s="1"/>
  <c r="AW237" i="66"/>
  <c r="AW241" i="66" s="1"/>
  <c r="B30" i="70"/>
  <c r="G42" i="28" s="1"/>
  <c r="M50" i="43"/>
  <c r="B50" i="47" s="1"/>
  <c r="BP129" i="68"/>
  <c r="F263" i="66"/>
  <c r="F265" i="66" s="1"/>
  <c r="M140" i="68"/>
  <c r="Y22" i="51"/>
  <c r="Q53" i="19"/>
  <c r="Q55" i="19" s="1"/>
  <c r="D24" i="64" s="1"/>
  <c r="E21" i="45"/>
  <c r="L66" i="67"/>
  <c r="BB45" i="67"/>
  <c r="BB57" i="67" s="1"/>
  <c r="T237" i="66"/>
  <c r="T241" i="66" s="1"/>
  <c r="CH410" i="66"/>
  <c r="CD410" i="66" s="1"/>
  <c r="BM140" i="68"/>
  <c r="V63" i="67"/>
  <c r="BM66" i="67"/>
  <c r="G43" i="31"/>
  <c r="BJ53" i="71"/>
  <c r="Q71" i="52"/>
  <c r="O21" i="13"/>
  <c r="G21" i="40" s="1"/>
  <c r="BS81" i="66"/>
  <c r="CK19" i="66"/>
  <c r="Q237" i="66"/>
  <c r="Q241" i="66" s="1"/>
  <c r="BG237" i="66"/>
  <c r="BG241" i="66" s="1"/>
  <c r="BL45" i="67"/>
  <c r="BL57" i="67" s="1"/>
  <c r="X81" i="66"/>
  <c r="BL129" i="68"/>
  <c r="BU237" i="66"/>
  <c r="BU241" i="66" s="1"/>
  <c r="K32" i="51"/>
  <c r="CF305" i="66"/>
  <c r="CE305" i="66"/>
  <c r="CF278" i="66"/>
  <c r="CG278" i="66"/>
  <c r="Q21" i="52"/>
  <c r="O22" i="45"/>
  <c r="G20" i="49" s="1"/>
  <c r="D21" i="41" s="1"/>
  <c r="E66" i="14"/>
  <c r="E91" i="13" s="1"/>
  <c r="M48" i="43"/>
  <c r="B48" i="47" s="1"/>
  <c r="W20" i="63"/>
  <c r="E18" i="48" s="1"/>
  <c r="M49" i="43"/>
  <c r="B49" i="47" s="1"/>
  <c r="J141" i="68"/>
  <c r="BG45" i="67"/>
  <c r="BG57" i="67" s="1"/>
  <c r="CG476" i="66"/>
  <c r="AB237" i="66"/>
  <c r="AB241" i="66" s="1"/>
  <c r="AG44" i="19"/>
  <c r="G44" i="45"/>
  <c r="BP63" i="67"/>
  <c r="AE53" i="19"/>
  <c r="AE55" i="19" s="1"/>
  <c r="AE70" i="19" s="1"/>
  <c r="AE73" i="19" s="1"/>
  <c r="AG38" i="51"/>
  <c r="F36" i="47" s="1"/>
  <c r="AI51" i="19"/>
  <c r="D50" i="47" s="1"/>
  <c r="AI47" i="19"/>
  <c r="D46" i="47" s="1"/>
  <c r="AI38" i="19"/>
  <c r="D37" i="47" s="1"/>
  <c r="K24" i="14"/>
  <c r="O24" i="14" s="1"/>
  <c r="K21" i="19"/>
  <c r="Z100" i="17" s="1"/>
  <c r="O63" i="14"/>
  <c r="F62" i="41" s="1"/>
  <c r="BE167" i="68"/>
  <c r="BE170" i="68" s="1"/>
  <c r="BE178" i="68" s="1"/>
  <c r="BH167" i="68"/>
  <c r="BH170" i="68" s="1"/>
  <c r="BH178" i="68" s="1"/>
  <c r="Y167" i="68"/>
  <c r="S167" i="68"/>
  <c r="S170" i="68" s="1"/>
  <c r="S178" i="68" s="1"/>
  <c r="BZ167" i="68"/>
  <c r="BZ170" i="68" s="1"/>
  <c r="BZ178" i="68" s="1"/>
  <c r="BJ167" i="68"/>
  <c r="BJ170" i="68" s="1"/>
  <c r="BJ178" i="68" s="1"/>
  <c r="Z167" i="68"/>
  <c r="X167" i="68"/>
  <c r="X170" i="68" s="1"/>
  <c r="X178" i="68" s="1"/>
  <c r="BN81" i="66"/>
  <c r="Y81" i="66"/>
  <c r="Y95" i="66" s="1"/>
  <c r="BD237" i="66"/>
  <c r="BD241" i="66" s="1"/>
  <c r="AA68" i="19"/>
  <c r="BE62" i="70"/>
  <c r="BX182" i="66"/>
  <c r="BX263" i="66" s="1"/>
  <c r="BX265" i="66" s="1"/>
  <c r="CD182" i="66"/>
  <c r="CD263" i="66" s="1"/>
  <c r="CD265" i="66" s="1"/>
  <c r="Q22" i="52"/>
  <c r="C20" i="48" s="1"/>
  <c r="AE45" i="51"/>
  <c r="C31" i="19"/>
  <c r="S32" i="51"/>
  <c r="M14" i="51"/>
  <c r="AX124" i="68"/>
  <c r="BO70" i="67"/>
  <c r="G64" i="31"/>
  <c r="O40" i="13"/>
  <c r="G40" i="40" s="1"/>
  <c r="AI38" i="18"/>
  <c r="E37" i="46" s="1"/>
  <c r="O39" i="14"/>
  <c r="F40" i="41" s="1"/>
  <c r="O42" i="45"/>
  <c r="G40" i="49" s="1"/>
  <c r="I40" i="49" s="1"/>
  <c r="D41" i="41" s="1"/>
  <c r="O45" i="45"/>
  <c r="G43" i="49" s="1"/>
  <c r="G26" i="19"/>
  <c r="AI22" i="19"/>
  <c r="D21" i="47" s="1"/>
  <c r="M66" i="67"/>
  <c r="AR66" i="67"/>
  <c r="S237" i="66"/>
  <c r="S241" i="66" s="1"/>
  <c r="M237" i="66"/>
  <c r="M241" i="66" s="1"/>
  <c r="B221" i="66"/>
  <c r="AD45" i="67"/>
  <c r="Y69" i="51"/>
  <c r="Q65" i="53"/>
  <c r="C63" i="49" s="1"/>
  <c r="Q26" i="52"/>
  <c r="C24" i="48" s="1"/>
  <c r="BM263" i="66"/>
  <c r="BM265" i="66" s="1"/>
  <c r="O51" i="14"/>
  <c r="F52" i="41" s="1"/>
  <c r="Z66" i="67"/>
  <c r="T124" i="68"/>
  <c r="BK157" i="68"/>
  <c r="M43" i="29"/>
  <c r="BE141" i="68"/>
  <c r="BJ237" i="66"/>
  <c r="BJ241" i="66" s="1"/>
  <c r="BF45" i="67"/>
  <c r="BF57" i="67" s="1"/>
  <c r="CD221" i="66"/>
  <c r="CD302" i="66" s="1"/>
  <c r="CD305" i="66" s="1"/>
  <c r="BW182" i="66"/>
  <c r="BW263" i="66" s="1"/>
  <c r="CE81" i="66"/>
  <c r="CE95" i="66" s="1"/>
  <c r="CG81" i="66"/>
  <c r="CG95" i="66" s="1"/>
  <c r="S69" i="51"/>
  <c r="CG42" i="68"/>
  <c r="AH66" i="67"/>
  <c r="J50" i="69"/>
  <c r="J77" i="69" s="1"/>
  <c r="AB141" i="68"/>
  <c r="BV263" i="66"/>
  <c r="BV265" i="66" s="1"/>
  <c r="BB66" i="67"/>
  <c r="BD129" i="68"/>
  <c r="BG70" i="67"/>
  <c r="G82" i="31"/>
  <c r="BO50" i="69"/>
  <c r="AK45" i="67"/>
  <c r="J45" i="67"/>
  <c r="J57" i="67" s="1"/>
  <c r="W237" i="66"/>
  <c r="W241" i="66" s="1"/>
  <c r="CD235" i="66"/>
  <c r="CD316" i="66" s="1"/>
  <c r="V140" i="68"/>
  <c r="K141" i="68"/>
  <c r="G21" i="19"/>
  <c r="AG21" i="19"/>
  <c r="CD292" i="66"/>
  <c r="O20" i="14"/>
  <c r="F21" i="41" s="1"/>
  <c r="AT69" i="67"/>
  <c r="N53" i="71"/>
  <c r="X128" i="68"/>
  <c r="R141" i="68"/>
  <c r="I12" i="43"/>
  <c r="Q63" i="67"/>
  <c r="BM124" i="68"/>
  <c r="BD70" i="67"/>
  <c r="W41" i="51"/>
  <c r="S83" i="69"/>
  <c r="CF147" i="68"/>
  <c r="CH3" i="74" s="1"/>
  <c r="C73" i="74" s="1"/>
  <c r="AU237" i="66"/>
  <c r="AU241" i="66" s="1"/>
  <c r="Q27" i="52"/>
  <c r="C25" i="48" s="1"/>
  <c r="G31" i="53"/>
  <c r="M13" i="45"/>
  <c r="Q45" i="52"/>
  <c r="Y25" i="19"/>
  <c r="I69" i="51"/>
  <c r="BG50" i="69"/>
  <c r="BI50" i="69"/>
  <c r="Y140" i="68"/>
  <c r="M29" i="14"/>
  <c r="Y128" i="68"/>
  <c r="K14" i="51"/>
  <c r="W16" i="63"/>
  <c r="E14" i="48" s="1"/>
  <c r="O45" i="14"/>
  <c r="F46" i="41" s="1"/>
  <c r="AS66" i="67"/>
  <c r="B170" i="66"/>
  <c r="Q53" i="53"/>
  <c r="C51" i="49" s="1"/>
  <c r="M26" i="51"/>
  <c r="BE122" i="68"/>
  <c r="U69" i="67"/>
  <c r="Q68" i="19"/>
  <c r="E68" i="29"/>
  <c r="Y45" i="67"/>
  <c r="AF237" i="66"/>
  <c r="AF241" i="66" s="1"/>
  <c r="BD63" i="67"/>
  <c r="I32" i="51"/>
  <c r="BO66" i="67"/>
  <c r="P167" i="68"/>
  <c r="P170" i="68" s="1"/>
  <c r="P178" i="68" s="1"/>
  <c r="AD141" i="68"/>
  <c r="BM278" i="66"/>
  <c r="J278" i="66"/>
  <c r="O70" i="13"/>
  <c r="G70" i="40" s="1"/>
  <c r="O65" i="13"/>
  <c r="G65" i="40" s="1"/>
  <c r="O63" i="13"/>
  <c r="G63" i="40" s="1"/>
  <c r="G66" i="14"/>
  <c r="AF66" i="67"/>
  <c r="C16" i="45"/>
  <c r="AS69" i="67"/>
  <c r="BQ66" i="67"/>
  <c r="E32" i="51"/>
  <c r="AG69" i="67"/>
  <c r="K68" i="29"/>
  <c r="G108" i="65" s="1"/>
  <c r="AU81" i="66"/>
  <c r="BS140" i="68"/>
  <c r="AI45" i="67"/>
  <c r="AD66" i="67"/>
  <c r="AK69" i="67"/>
  <c r="CB98" i="66"/>
  <c r="CC167" i="68"/>
  <c r="CC170" i="68" s="1"/>
  <c r="Q76" i="29"/>
  <c r="CE62" i="68"/>
  <c r="U30" i="50"/>
  <c r="F42" i="64" s="1"/>
  <c r="J42" i="64" s="1"/>
  <c r="Q75" i="18"/>
  <c r="T140" i="68"/>
  <c r="AU140" i="68"/>
  <c r="BL140" i="68"/>
  <c r="AI66" i="67"/>
  <c r="CE292" i="66"/>
  <c r="AG63" i="67"/>
  <c r="I75" i="52"/>
  <c r="BR140" i="68"/>
  <c r="AF45" i="67"/>
  <c r="CH476" i="66"/>
  <c r="CB319" i="66"/>
  <c r="BO319" i="66"/>
  <c r="CA319" i="66"/>
  <c r="CF292" i="66"/>
  <c r="CG292" i="66"/>
  <c r="AF69" i="67"/>
  <c r="CE42" i="68"/>
  <c r="AG45" i="67"/>
  <c r="CI431" i="66"/>
  <c r="CH461" i="66"/>
  <c r="CH491" i="66"/>
  <c r="AJ66" i="67"/>
  <c r="C68" i="19"/>
  <c r="Y237" i="66"/>
  <c r="Y241" i="66" s="1"/>
  <c r="H237" i="66"/>
  <c r="H241" i="66" s="1"/>
  <c r="B195" i="66"/>
  <c r="O23" i="13"/>
  <c r="G23" i="40" s="1"/>
  <c r="O15" i="13"/>
  <c r="G15" i="40" s="1"/>
  <c r="O49" i="14"/>
  <c r="F50" i="41" s="1"/>
  <c r="G13" i="45"/>
  <c r="AT63" i="67"/>
  <c r="AG66" i="67"/>
  <c r="AX140" i="68"/>
  <c r="BG140" i="68"/>
  <c r="AH45" i="67"/>
  <c r="BH141" i="68"/>
  <c r="BP141" i="68"/>
  <c r="AD69" i="67"/>
  <c r="AK66" i="67"/>
  <c r="AI39" i="19"/>
  <c r="D38" i="47" s="1"/>
  <c r="AI41" i="19"/>
  <c r="D40" i="47" s="1"/>
  <c r="U16" i="62"/>
  <c r="W16" i="62" s="1"/>
  <c r="AR69" i="67"/>
  <c r="K26" i="14"/>
  <c r="M44" i="29"/>
  <c r="E45" i="51"/>
  <c r="AH69" i="67"/>
  <c r="AR45" i="67"/>
  <c r="BN141" i="68"/>
  <c r="AI69" i="67"/>
  <c r="K69" i="51"/>
  <c r="CA81" i="66"/>
  <c r="CA95" i="66" s="1"/>
  <c r="BI237" i="66"/>
  <c r="BI241" i="66" s="1"/>
  <c r="R167" i="68"/>
  <c r="R170" i="68" s="1"/>
  <c r="R178" i="68" s="1"/>
  <c r="L167" i="68"/>
  <c r="L170" i="68" s="1"/>
  <c r="L178" i="68" s="1"/>
  <c r="D167" i="68"/>
  <c r="D170" i="68" s="1"/>
  <c r="D178" i="68" s="1"/>
  <c r="BO167" i="68"/>
  <c r="BO170" i="68" s="1"/>
  <c r="BO178" i="68" s="1"/>
  <c r="BF167" i="68"/>
  <c r="BF170" i="68" s="1"/>
  <c r="BF178" i="68" s="1"/>
  <c r="BG167" i="68"/>
  <c r="BG170" i="68" s="1"/>
  <c r="BG178" i="68" s="1"/>
  <c r="K25" i="14"/>
  <c r="O25" i="14" s="1"/>
  <c r="F26" i="41" s="1"/>
  <c r="E28" i="51"/>
  <c r="BN63" i="67"/>
  <c r="AS45" i="67"/>
  <c r="BG141" i="68"/>
  <c r="Q69" i="51"/>
  <c r="J53" i="71"/>
  <c r="U13" i="62"/>
  <c r="AR63" i="67"/>
  <c r="BQ152" i="68"/>
  <c r="E41" i="51"/>
  <c r="BO263" i="66"/>
  <c r="BO265" i="66" s="1"/>
  <c r="AT141" i="68"/>
  <c r="AT45" i="67"/>
  <c r="AI128" i="68"/>
  <c r="AI70" i="67"/>
  <c r="AJ69" i="67"/>
  <c r="K17" i="56"/>
  <c r="K101" i="56" s="1"/>
  <c r="J74" i="23"/>
  <c r="L74" i="23" s="1"/>
  <c r="H50" i="23"/>
  <c r="H54" i="23" s="1"/>
  <c r="C98" i="10"/>
  <c r="CH146" i="68"/>
  <c r="CJ2" i="74" s="1"/>
  <c r="B75" i="74" s="1"/>
  <c r="CD29" i="68"/>
  <c r="E36" i="31" s="1"/>
  <c r="L35" i="72"/>
  <c r="N41" i="2"/>
  <c r="V113" i="2"/>
  <c r="T74" i="2"/>
  <c r="R114" i="2"/>
  <c r="BS124" i="68"/>
  <c r="G131" i="21"/>
  <c r="Q31" i="72"/>
  <c r="Q40" i="72" s="1"/>
  <c r="Q44" i="72" s="1"/>
  <c r="I3" i="70"/>
  <c r="I60" i="70" s="1"/>
  <c r="I62" i="70" s="1"/>
  <c r="M57" i="43"/>
  <c r="B56" i="47" s="1"/>
  <c r="Q64" i="53"/>
  <c r="C62" i="49" s="1"/>
  <c r="AR128" i="68"/>
  <c r="U45" i="62"/>
  <c r="AU141" i="68"/>
  <c r="I52" i="45"/>
  <c r="AX167" i="68"/>
  <c r="AX170" i="68" s="1"/>
  <c r="AX178" i="68" s="1"/>
  <c r="AU45" i="67"/>
  <c r="AU128" i="68"/>
  <c r="I44" i="45"/>
  <c r="AV141" i="68"/>
  <c r="K31" i="45"/>
  <c r="G43" i="45"/>
  <c r="AJ140" i="68"/>
  <c r="AX141" i="68"/>
  <c r="E31" i="62"/>
  <c r="W31" i="62" s="1"/>
  <c r="G46" i="24"/>
  <c r="I46" i="24" s="1"/>
  <c r="AG48" i="51"/>
  <c r="F46" i="47" s="1"/>
  <c r="BP81" i="66"/>
  <c r="BP319" i="66"/>
  <c r="BP265" i="66"/>
  <c r="BM167" i="68"/>
  <c r="BM170" i="68" s="1"/>
  <c r="BM178" i="68" s="1"/>
  <c r="BF319" i="66"/>
  <c r="AC69" i="51"/>
  <c r="BH81" i="66"/>
  <c r="BH319" i="66"/>
  <c r="BQ81" i="66"/>
  <c r="BQ95" i="66" s="1"/>
  <c r="M23" i="29"/>
  <c r="E25" i="51"/>
  <c r="V46" i="3"/>
  <c r="Q50" i="30"/>
  <c r="CD90" i="68"/>
  <c r="H75" i="28"/>
  <c r="E67" i="43"/>
  <c r="M63" i="43"/>
  <c r="B61" i="47" s="1"/>
  <c r="G3" i="70"/>
  <c r="G60" i="70" s="1"/>
  <c r="G62" i="70" s="1"/>
  <c r="H3" i="70"/>
  <c r="H60" i="70" s="1"/>
  <c r="H62" i="70" s="1"/>
  <c r="G30" i="43"/>
  <c r="AD77" i="69"/>
  <c r="O47" i="45"/>
  <c r="G45" i="49" s="1"/>
  <c r="AW319" i="66"/>
  <c r="AA66" i="67"/>
  <c r="AW157" i="68"/>
  <c r="AW45" i="67"/>
  <c r="X77" i="69"/>
  <c r="F106" i="64"/>
  <c r="I102" i="56"/>
  <c r="CD60" i="68"/>
  <c r="CF146" i="68"/>
  <c r="CH2" i="74" s="1"/>
  <c r="B73" i="74" s="1"/>
  <c r="BY167" i="68"/>
  <c r="BY170" i="68" s="1"/>
  <c r="BY178" i="68" s="1"/>
  <c r="J47" i="72"/>
  <c r="J49" i="72" s="1"/>
  <c r="AG47" i="50"/>
  <c r="G45" i="46" s="1"/>
  <c r="AG46" i="50"/>
  <c r="G44" i="46" s="1"/>
  <c r="AG35" i="50"/>
  <c r="G33" i="46" s="1"/>
  <c r="AG44" i="50"/>
  <c r="G42" i="46" s="1"/>
  <c r="AG42" i="50"/>
  <c r="G40" i="46" s="1"/>
  <c r="AG45" i="50"/>
  <c r="G43" i="46" s="1"/>
  <c r="AG43" i="50"/>
  <c r="G41" i="46" s="1"/>
  <c r="F21" i="47"/>
  <c r="AG51" i="51"/>
  <c r="F49" i="47" s="1"/>
  <c r="AA69" i="51"/>
  <c r="CD41" i="68"/>
  <c r="G48" i="31" s="1"/>
  <c r="F3" i="70"/>
  <c r="F60" i="70" s="1"/>
  <c r="F62" i="70" s="1"/>
  <c r="I29" i="52"/>
  <c r="F61" i="64" s="1"/>
  <c r="J61" i="64" s="1"/>
  <c r="M39" i="42"/>
  <c r="X265" i="66"/>
  <c r="M36" i="42"/>
  <c r="C36" i="46" s="1"/>
  <c r="M45" i="43"/>
  <c r="B45" i="47" s="1"/>
  <c r="M47" i="43"/>
  <c r="B47" i="47" s="1"/>
  <c r="O48" i="44"/>
  <c r="G46" i="48" s="1"/>
  <c r="I46" i="48" s="1"/>
  <c r="E47" i="40" s="1"/>
  <c r="O49" i="45"/>
  <c r="G47" i="49" s="1"/>
  <c r="Q49" i="53"/>
  <c r="C47" i="49" s="1"/>
  <c r="AS319" i="66"/>
  <c r="AB319" i="66"/>
  <c r="AS265" i="66"/>
  <c r="AF128" i="68"/>
  <c r="AW141" i="68"/>
  <c r="M28" i="53"/>
  <c r="Q28" i="53" s="1"/>
  <c r="G25" i="62"/>
  <c r="K43" i="45"/>
  <c r="K55" i="45" s="1"/>
  <c r="AA167" i="68"/>
  <c r="AB157" i="68"/>
  <c r="AH141" i="68"/>
  <c r="AB45" i="67"/>
  <c r="AB70" i="67"/>
  <c r="M43" i="45"/>
  <c r="AW167" i="68"/>
  <c r="AV140" i="68"/>
  <c r="M27" i="53"/>
  <c r="Q27" i="53" s="1"/>
  <c r="AI49" i="19"/>
  <c r="D48" i="47" s="1"/>
  <c r="Q66" i="67"/>
  <c r="O31" i="19"/>
  <c r="K33" i="24"/>
  <c r="CI116" i="68"/>
  <c r="CH116" i="68"/>
  <c r="CG116" i="68"/>
  <c r="O60" i="10"/>
  <c r="N73" i="23" s="1"/>
  <c r="E114" i="73"/>
  <c r="E144" i="12"/>
  <c r="J45" i="5"/>
  <c r="R45" i="5" s="1"/>
  <c r="Q20" i="5"/>
  <c r="I31" i="22"/>
  <c r="I56" i="22" s="1"/>
  <c r="G173" i="25"/>
  <c r="I173" i="25" s="1"/>
  <c r="L34" i="72"/>
  <c r="R74" i="2"/>
  <c r="R126" i="2"/>
  <c r="V125" i="2"/>
  <c r="P114" i="2"/>
  <c r="P126" i="2" s="1"/>
  <c r="N114" i="2"/>
  <c r="N126" i="2" s="1"/>
  <c r="L126" i="2"/>
  <c r="R41" i="2"/>
  <c r="I91" i="21"/>
  <c r="I47" i="31" s="1"/>
  <c r="G93" i="21"/>
  <c r="V73" i="2"/>
  <c r="L70" i="9"/>
  <c r="AK76" i="58"/>
  <c r="AI76" i="58"/>
  <c r="AE76" i="58"/>
  <c r="AT319" i="66"/>
  <c r="W51" i="62"/>
  <c r="E48" i="49" s="1"/>
  <c r="AG140" i="68"/>
  <c r="I38" i="14"/>
  <c r="BA167" i="68"/>
  <c r="BA170" i="68" s="1"/>
  <c r="BA178" i="68" s="1"/>
  <c r="AY167" i="68"/>
  <c r="AY170" i="68" s="1"/>
  <c r="AY178" i="68" s="1"/>
  <c r="M52" i="45"/>
  <c r="K68" i="19"/>
  <c r="Q14" i="52"/>
  <c r="C12" i="48" s="1"/>
  <c r="Q67" i="52"/>
  <c r="C65" i="48" s="1"/>
  <c r="W35" i="63"/>
  <c r="E33" i="48" s="1"/>
  <c r="O64" i="45"/>
  <c r="G62" i="49" s="1"/>
  <c r="O62" i="45"/>
  <c r="G60" i="49" s="1"/>
  <c r="AT167" i="68"/>
  <c r="AT170" i="68" s="1"/>
  <c r="AU167" i="68"/>
  <c r="AB126" i="68"/>
  <c r="AG128" i="68"/>
  <c r="AV70" i="67"/>
  <c r="M31" i="45"/>
  <c r="AR167" i="68"/>
  <c r="AR170" i="68" s="1"/>
  <c r="AR178" i="68" s="1"/>
  <c r="AS167" i="68"/>
  <c r="AS170" i="68" s="1"/>
  <c r="AS178" i="68" s="1"/>
  <c r="AB167" i="68"/>
  <c r="AF167" i="68"/>
  <c r="AV167" i="68"/>
  <c r="AV170" i="68" s="1"/>
  <c r="AV178" i="68" s="1"/>
  <c r="AC45" i="67"/>
  <c r="J13" i="23"/>
  <c r="K26" i="56"/>
  <c r="I49" i="56"/>
  <c r="I53" i="56" s="1"/>
  <c r="I105" i="56" s="1"/>
  <c r="CD92" i="68"/>
  <c r="K24" i="55"/>
  <c r="CD5" i="68"/>
  <c r="E11" i="31" s="1"/>
  <c r="N11" i="31" s="1"/>
  <c r="L19" i="72"/>
  <c r="I58" i="55"/>
  <c r="I92" i="55" s="1"/>
  <c r="K104" i="56"/>
  <c r="CI146" i="68"/>
  <c r="CK2" i="74" s="1"/>
  <c r="B76" i="74" s="1"/>
  <c r="CD113" i="68"/>
  <c r="K142" i="55"/>
  <c r="K56" i="55"/>
  <c r="CD107" i="68"/>
  <c r="E78" i="31" s="1"/>
  <c r="N78" i="31" s="1"/>
  <c r="J41" i="23"/>
  <c r="G36" i="24"/>
  <c r="I36" i="24" s="1"/>
  <c r="G122" i="66"/>
  <c r="E31" i="30" s="1"/>
  <c r="AW67" i="58" s="1"/>
  <c r="K36" i="54"/>
  <c r="M36" i="54" s="1"/>
  <c r="K48" i="54"/>
  <c r="M48" i="54" s="1"/>
  <c r="G47" i="24"/>
  <c r="I47" i="24" s="1"/>
  <c r="J105" i="64"/>
  <c r="J106" i="64" s="1"/>
  <c r="R102" i="64"/>
  <c r="K61" i="56"/>
  <c r="J73" i="23" s="1"/>
  <c r="L73" i="23" s="1"/>
  <c r="G14" i="24"/>
  <c r="G32" i="24"/>
  <c r="K25" i="54"/>
  <c r="M25" i="54" s="1"/>
  <c r="M30" i="54"/>
  <c r="F122" i="66"/>
  <c r="E32" i="30" s="1"/>
  <c r="AW68" i="58" s="1"/>
  <c r="K14" i="54"/>
  <c r="M14" i="54" s="1"/>
  <c r="I172" i="25"/>
  <c r="K161" i="55"/>
  <c r="K127" i="55"/>
  <c r="CD87" i="68"/>
  <c r="CG147" i="68"/>
  <c r="CI3" i="74" s="1"/>
  <c r="C74" i="74" s="1"/>
  <c r="C105" i="56"/>
  <c r="J120" i="23"/>
  <c r="B11" i="71"/>
  <c r="C67" i="43"/>
  <c r="H265" i="66"/>
  <c r="G67" i="43"/>
  <c r="M61" i="43"/>
  <c r="B59" i="47" s="1"/>
  <c r="M65" i="43"/>
  <c r="B63" i="47" s="1"/>
  <c r="M62" i="43"/>
  <c r="B60" i="47" s="1"/>
  <c r="M46" i="43"/>
  <c r="B46" i="47" s="1"/>
  <c r="H305" i="66"/>
  <c r="I278" i="66"/>
  <c r="F278" i="66"/>
  <c r="G129" i="68"/>
  <c r="E24" i="43"/>
  <c r="E42" i="43"/>
  <c r="T167" i="68"/>
  <c r="T170" i="68" s="1"/>
  <c r="T178" i="68" s="1"/>
  <c r="T62" i="70"/>
  <c r="BZ305" i="66"/>
  <c r="W167" i="68"/>
  <c r="W170" i="68" s="1"/>
  <c r="W178" i="68" s="1"/>
  <c r="U167" i="68"/>
  <c r="U170" i="68" s="1"/>
  <c r="U178" i="68" s="1"/>
  <c r="U66" i="67"/>
  <c r="AI41" i="18"/>
  <c r="E40" i="46" s="1"/>
  <c r="Q319" i="66"/>
  <c r="Q167" i="68"/>
  <c r="Q170" i="68" s="1"/>
  <c r="Q178" i="68" s="1"/>
  <c r="BX167" i="68"/>
  <c r="BX170" i="68" s="1"/>
  <c r="BX178" i="68" s="1"/>
  <c r="O14" i="14"/>
  <c r="F14" i="41" s="1"/>
  <c r="AI37" i="19"/>
  <c r="D36" i="47" s="1"/>
  <c r="AI42" i="19"/>
  <c r="D41" i="47" s="1"/>
  <c r="AG47" i="51"/>
  <c r="F45" i="47" s="1"/>
  <c r="AI45" i="19"/>
  <c r="I55" i="53"/>
  <c r="D61" i="64" s="1"/>
  <c r="O44" i="14"/>
  <c r="F45" i="41" s="1"/>
  <c r="AI15" i="19"/>
  <c r="D14" i="47" s="1"/>
  <c r="W75" i="19"/>
  <c r="W63" i="62"/>
  <c r="E60" i="49" s="1"/>
  <c r="O37" i="14"/>
  <c r="F38" i="41" s="1"/>
  <c r="O48" i="14"/>
  <c r="F49" i="41" s="1"/>
  <c r="W66" i="62"/>
  <c r="E63" i="49" s="1"/>
  <c r="C66" i="14"/>
  <c r="AI58" i="19"/>
  <c r="D56" i="47" s="1"/>
  <c r="O15" i="45"/>
  <c r="G13" i="49" s="1"/>
  <c r="AG49" i="51"/>
  <c r="F47" i="47" s="1"/>
  <c r="O69" i="51"/>
  <c r="W39" i="62"/>
  <c r="E37" i="49" s="1"/>
  <c r="Q50" i="53"/>
  <c r="C48" i="49" s="1"/>
  <c r="M64" i="43"/>
  <c r="B62" i="47" s="1"/>
  <c r="AI66" i="19"/>
  <c r="D63" i="47" s="1"/>
  <c r="AI65" i="19"/>
  <c r="D62" i="47" s="1"/>
  <c r="AG68" i="19"/>
  <c r="AG67" i="51"/>
  <c r="F63" i="47" s="1"/>
  <c r="AG66" i="51"/>
  <c r="F62" i="47" s="1"/>
  <c r="AG65" i="51"/>
  <c r="F61" i="47" s="1"/>
  <c r="AE69" i="51"/>
  <c r="Q48" i="53"/>
  <c r="C46" i="49" s="1"/>
  <c r="O55" i="53"/>
  <c r="D65" i="64" s="1"/>
  <c r="O36" i="14"/>
  <c r="F37" i="41" s="1"/>
  <c r="O46" i="45"/>
  <c r="G44" i="49" s="1"/>
  <c r="O50" i="45"/>
  <c r="G48" i="49" s="1"/>
  <c r="O48" i="45"/>
  <c r="G46" i="49" s="1"/>
  <c r="O37" i="45"/>
  <c r="G35" i="49" s="1"/>
  <c r="O167" i="68"/>
  <c r="O170" i="68" s="1"/>
  <c r="O178" i="68" s="1"/>
  <c r="AG36" i="50"/>
  <c r="G34" i="46" s="1"/>
  <c r="BL319" i="66"/>
  <c r="B133" i="66"/>
  <c r="B138" i="66" s="1"/>
  <c r="H167" i="68"/>
  <c r="H170" i="68" s="1"/>
  <c r="H178" i="68" s="1"/>
  <c r="I167" i="68"/>
  <c r="I170" i="68" s="1"/>
  <c r="I178" i="68" s="1"/>
  <c r="G24" i="43"/>
  <c r="G52" i="43"/>
  <c r="H141" i="68"/>
  <c r="G167" i="68"/>
  <c r="F140" i="68"/>
  <c r="B164" i="68"/>
  <c r="C68" i="29"/>
  <c r="G98" i="65" s="1"/>
  <c r="AV32" i="59"/>
  <c r="AV33" i="59"/>
  <c r="G100" i="65"/>
  <c r="K24" i="30"/>
  <c r="O24" i="30" s="1"/>
  <c r="AW27" i="58"/>
  <c r="C30" i="29"/>
  <c r="BL167" i="68"/>
  <c r="BL170" i="68" s="1"/>
  <c r="BL178" i="68" s="1"/>
  <c r="O76" i="50"/>
  <c r="AG64" i="51"/>
  <c r="F60" i="47" s="1"/>
  <c r="BK319" i="66"/>
  <c r="BK305" i="66"/>
  <c r="BK167" i="68"/>
  <c r="O63" i="30"/>
  <c r="C60" i="65"/>
  <c r="K60" i="65" s="1"/>
  <c r="X319" i="66"/>
  <c r="X66" i="67"/>
  <c r="X141" i="68"/>
  <c r="AC31" i="19"/>
  <c r="F42" i="72"/>
  <c r="I36" i="30"/>
  <c r="AW72" i="58" s="1"/>
  <c r="E50" i="23"/>
  <c r="E54" i="23" s="1"/>
  <c r="E121" i="23" s="1"/>
  <c r="L24" i="72"/>
  <c r="C27" i="39"/>
  <c r="C33" i="39" s="1"/>
  <c r="C75" i="22"/>
  <c r="P18" i="11"/>
  <c r="O17" i="10"/>
  <c r="O40" i="10"/>
  <c r="O45" i="11"/>
  <c r="P19" i="11"/>
  <c r="K14" i="24"/>
  <c r="K16" i="24" s="1"/>
  <c r="O15" i="11"/>
  <c r="P31" i="11"/>
  <c r="K74" i="25"/>
  <c r="K162" i="25"/>
  <c r="K137" i="25"/>
  <c r="J19" i="72" s="1"/>
  <c r="O141" i="12"/>
  <c r="L57" i="31"/>
  <c r="K128" i="25"/>
  <c r="K175" i="25"/>
  <c r="K75" i="24" s="1"/>
  <c r="BV319" i="66"/>
  <c r="BT319" i="66"/>
  <c r="BT167" i="68"/>
  <c r="BT170" i="68" s="1"/>
  <c r="BT178" i="68" s="1"/>
  <c r="BU167" i="68"/>
  <c r="BU170" i="68" s="1"/>
  <c r="BU178" i="68" s="1"/>
  <c r="BV167" i="68"/>
  <c r="BV170" i="68" s="1"/>
  <c r="BV178" i="68" s="1"/>
  <c r="N30" i="23"/>
  <c r="N41" i="23" s="1"/>
  <c r="N27" i="23"/>
  <c r="O47" i="10"/>
  <c r="N18" i="23"/>
  <c r="N117" i="23" s="1"/>
  <c r="O26" i="11"/>
  <c r="P26" i="11" s="1"/>
  <c r="O128" i="12"/>
  <c r="O106" i="12"/>
  <c r="O114" i="12" s="1"/>
  <c r="O25" i="12"/>
  <c r="O35" i="12"/>
  <c r="CE116" i="68"/>
  <c r="B264" i="66"/>
  <c r="BW319" i="66"/>
  <c r="BW167" i="68"/>
  <c r="BW170" i="68" s="1"/>
  <c r="BW178" i="68" s="1"/>
  <c r="B102" i="66"/>
  <c r="K491" i="66"/>
  <c r="K167" i="68"/>
  <c r="K170" i="68" s="1"/>
  <c r="K178" i="68" s="1"/>
  <c r="W69" i="51"/>
  <c r="O58" i="30"/>
  <c r="BD167" i="68"/>
  <c r="BD170" i="68" s="1"/>
  <c r="BD178" i="68" s="1"/>
  <c r="R45" i="67"/>
  <c r="R57" i="67" s="1"/>
  <c r="R128" i="68"/>
  <c r="B175" i="68"/>
  <c r="C36" i="72"/>
  <c r="R70" i="67"/>
  <c r="H71" i="28"/>
  <c r="AI40" i="18"/>
  <c r="E39" i="46" s="1"/>
  <c r="B162" i="68"/>
  <c r="I75" i="18"/>
  <c r="AI64" i="19"/>
  <c r="D61" i="47" s="1"/>
  <c r="M68" i="19"/>
  <c r="AI46" i="19"/>
  <c r="D45" i="47" s="1"/>
  <c r="AI48" i="19"/>
  <c r="D47" i="47" s="1"/>
  <c r="AI50" i="19"/>
  <c r="D49" i="47" s="1"/>
  <c r="AW17" i="58"/>
  <c r="C72" i="65"/>
  <c r="E72" i="65" s="1"/>
  <c r="O57" i="30"/>
  <c r="C58" i="65"/>
  <c r="E58" i="65" s="1"/>
  <c r="N45" i="67"/>
  <c r="N57" i="67" s="1"/>
  <c r="H67" i="28"/>
  <c r="N167" i="68"/>
  <c r="N170" i="68" s="1"/>
  <c r="N178" i="68" s="1"/>
  <c r="V265" i="66"/>
  <c r="W55" i="19"/>
  <c r="D27" i="64" s="1"/>
  <c r="B161" i="68"/>
  <c r="I74" i="13"/>
  <c r="O36" i="13"/>
  <c r="G36" i="40" s="1"/>
  <c r="O60" i="14"/>
  <c r="F59" i="41" s="1"/>
  <c r="O46" i="14"/>
  <c r="F47" i="41" s="1"/>
  <c r="AW20" i="58"/>
  <c r="AY81" i="66"/>
  <c r="BB278" i="66"/>
  <c r="BA319" i="66"/>
  <c r="BB319" i="66"/>
  <c r="B258" i="66"/>
  <c r="AY319" i="66"/>
  <c r="AZ167" i="68"/>
  <c r="AZ170" i="68" s="1"/>
  <c r="AZ178" i="68" s="1"/>
  <c r="BB167" i="68"/>
  <c r="BB170" i="68" s="1"/>
  <c r="BB178" i="68" s="1"/>
  <c r="AY141" i="68"/>
  <c r="H250" i="1"/>
  <c r="L195" i="1"/>
  <c r="Q15" i="5"/>
  <c r="O71" i="1"/>
  <c r="O174" i="1"/>
  <c r="H44" i="8"/>
  <c r="F73" i="9"/>
  <c r="Q81" i="9"/>
  <c r="I53" i="30"/>
  <c r="C53" i="30"/>
  <c r="N19" i="20"/>
  <c r="N34" i="20" s="1"/>
  <c r="BZ114" i="66"/>
  <c r="I68" i="24" s="1"/>
  <c r="X46" i="3"/>
  <c r="P46" i="3"/>
  <c r="P59" i="3" s="1"/>
  <c r="P64" i="3" s="1"/>
  <c r="Q45" i="30"/>
  <c r="Q44" i="30"/>
  <c r="Q48" i="30"/>
  <c r="AL35" i="3"/>
  <c r="AL46" i="3" s="1"/>
  <c r="AL59" i="3" s="1"/>
  <c r="AL64" i="3" s="1"/>
  <c r="Q49" i="30"/>
  <c r="AN23" i="3"/>
  <c r="H257" i="1"/>
  <c r="M243" i="1"/>
  <c r="J257" i="1"/>
  <c r="L62" i="8"/>
  <c r="N45" i="23"/>
  <c r="N48" i="23" s="1"/>
  <c r="O26" i="10"/>
  <c r="K99" i="10"/>
  <c r="I99" i="10"/>
  <c r="E99" i="10"/>
  <c r="O37" i="11"/>
  <c r="P37" i="11" s="1"/>
  <c r="K34" i="24"/>
  <c r="K24" i="24"/>
  <c r="K27" i="24" s="1"/>
  <c r="K47" i="11"/>
  <c r="G98" i="10"/>
  <c r="M90" i="10"/>
  <c r="M98" i="10" s="1"/>
  <c r="L44" i="23"/>
  <c r="L48" i="23" s="1"/>
  <c r="J48" i="23"/>
  <c r="K47" i="56"/>
  <c r="E49" i="56"/>
  <c r="E53" i="56" s="1"/>
  <c r="E105" i="56" s="1"/>
  <c r="L31" i="23"/>
  <c r="L41" i="23" s="1"/>
  <c r="K40" i="56"/>
  <c r="L21" i="23"/>
  <c r="L27" i="23" s="1"/>
  <c r="J27" i="23"/>
  <c r="B149" i="66"/>
  <c r="M64" i="30" s="1"/>
  <c r="B112" i="66"/>
  <c r="C32" i="30" s="1"/>
  <c r="D83" i="65" s="1"/>
  <c r="F114" i="66"/>
  <c r="C70" i="23"/>
  <c r="C104" i="23" s="1"/>
  <c r="B41" i="71"/>
  <c r="G76" i="50"/>
  <c r="K74" i="13"/>
  <c r="O64" i="13"/>
  <c r="G64" i="40" s="1"/>
  <c r="M69" i="42"/>
  <c r="C69" i="46" s="1"/>
  <c r="BR3" i="71"/>
  <c r="BL81" i="69"/>
  <c r="BL89" i="69" s="1"/>
  <c r="AG73" i="50"/>
  <c r="G71" i="46" s="1"/>
  <c r="O66" i="13"/>
  <c r="G66" i="40" s="1"/>
  <c r="AC76" i="50"/>
  <c r="O72" i="13"/>
  <c r="G72" i="40" s="1"/>
  <c r="AE75" i="18"/>
  <c r="G75" i="18"/>
  <c r="E74" i="42"/>
  <c r="AC75" i="18"/>
  <c r="G75" i="52"/>
  <c r="S76" i="50"/>
  <c r="M75" i="18"/>
  <c r="G74" i="42"/>
  <c r="AI67" i="18"/>
  <c r="E66" i="46" s="1"/>
  <c r="I75" i="44"/>
  <c r="AE76" i="50"/>
  <c r="Q65" i="52"/>
  <c r="C63" i="48" s="1"/>
  <c r="C74" i="42"/>
  <c r="BH3" i="71"/>
  <c r="BH45" i="71" s="1"/>
  <c r="W40" i="63"/>
  <c r="E38" i="48" s="1"/>
  <c r="O47" i="13"/>
  <c r="G47" i="40" s="1"/>
  <c r="Q33" i="52"/>
  <c r="O49" i="13"/>
  <c r="G49" i="40" s="1"/>
  <c r="O35" i="44"/>
  <c r="G33" i="48" s="1"/>
  <c r="O45" i="13"/>
  <c r="G45" i="40" s="1"/>
  <c r="C58" i="44"/>
  <c r="L80" i="64" s="1"/>
  <c r="P80" i="64" s="1"/>
  <c r="AG40" i="50"/>
  <c r="G38" i="46" s="1"/>
  <c r="AI39" i="18"/>
  <c r="E38" i="46" s="1"/>
  <c r="AI46" i="18"/>
  <c r="E45" i="46" s="1"/>
  <c r="O41" i="13"/>
  <c r="G41" i="40" s="1"/>
  <c r="Z50" i="69"/>
  <c r="Z77" i="69" s="1"/>
  <c r="O38" i="13"/>
  <c r="G38" i="40" s="1"/>
  <c r="Y50" i="69"/>
  <c r="M37" i="42"/>
  <c r="C37" i="46" s="1"/>
  <c r="Q44" i="52"/>
  <c r="C42" i="48" s="1"/>
  <c r="Q42" i="52"/>
  <c r="C40" i="48" s="1"/>
  <c r="Q40" i="52"/>
  <c r="R40" i="52" s="1"/>
  <c r="Q38" i="52"/>
  <c r="Q36" i="52"/>
  <c r="C34" i="48" s="1"/>
  <c r="Q34" i="52"/>
  <c r="R34" i="52" s="1"/>
  <c r="BJ3" i="71"/>
  <c r="BJ45" i="71" s="1"/>
  <c r="AG21" i="50"/>
  <c r="G19" i="46" s="1"/>
  <c r="M14" i="42"/>
  <c r="C14" i="46" s="1"/>
  <c r="O17" i="13"/>
  <c r="G17" i="40" s="1"/>
  <c r="O16" i="13"/>
  <c r="G16" i="40" s="1"/>
  <c r="W15" i="63"/>
  <c r="E13" i="48" s="1"/>
  <c r="W23" i="63"/>
  <c r="E21" i="48" s="1"/>
  <c r="K30" i="50"/>
  <c r="F37" i="64" s="1"/>
  <c r="J37" i="64" s="1"/>
  <c r="AI20" i="18"/>
  <c r="E19" i="46" s="1"/>
  <c r="K28" i="13"/>
  <c r="F92" i="64" s="1"/>
  <c r="J92" i="64" s="1"/>
  <c r="M20" i="42"/>
  <c r="C20" i="46" s="1"/>
  <c r="Q24" i="52"/>
  <c r="C22" i="48" s="1"/>
  <c r="AW105" i="58"/>
  <c r="O61" i="30"/>
  <c r="V53" i="71"/>
  <c r="AC81" i="66"/>
  <c r="AX81" i="66"/>
  <c r="BF81" i="66"/>
  <c r="BW305" i="66"/>
  <c r="BF305" i="66"/>
  <c r="AT305" i="66"/>
  <c r="AB305" i="66"/>
  <c r="CA305" i="66"/>
  <c r="BI305" i="66"/>
  <c r="BJ305" i="66"/>
  <c r="AW305" i="66"/>
  <c r="BU305" i="66"/>
  <c r="BM305" i="66"/>
  <c r="AR305" i="66"/>
  <c r="BG305" i="66"/>
  <c r="BD305" i="66"/>
  <c r="AU305" i="66"/>
  <c r="W305" i="66"/>
  <c r="AF305" i="66"/>
  <c r="CB305" i="66"/>
  <c r="AY305" i="66"/>
  <c r="BO305" i="66"/>
  <c r="BA305" i="66"/>
  <c r="AV305" i="66"/>
  <c r="U305" i="66"/>
  <c r="BT305" i="66"/>
  <c r="V305" i="66"/>
  <c r="P83" i="69"/>
  <c r="BY53" i="71"/>
  <c r="AC83" i="69"/>
  <c r="BD53" i="71"/>
  <c r="AR53" i="71"/>
  <c r="AD53" i="71"/>
  <c r="AR291" i="66"/>
  <c r="AR292" i="66" s="1"/>
  <c r="R291" i="66"/>
  <c r="R292" i="66" s="1"/>
  <c r="CA292" i="66"/>
  <c r="BP292" i="66"/>
  <c r="J76" i="65"/>
  <c r="BC53" i="71"/>
  <c r="BY81" i="66"/>
  <c r="R83" i="69"/>
  <c r="BZ278" i="66"/>
  <c r="BE278" i="66"/>
  <c r="BH278" i="66"/>
  <c r="AV278" i="66"/>
  <c r="U278" i="66"/>
  <c r="O278" i="66"/>
  <c r="G278" i="66"/>
  <c r="BT278" i="66"/>
  <c r="BK278" i="66"/>
  <c r="V278" i="66"/>
  <c r="BW278" i="66"/>
  <c r="BF278" i="66"/>
  <c r="AT278" i="66"/>
  <c r="Q278" i="66"/>
  <c r="AB278" i="66"/>
  <c r="CA278" i="66"/>
  <c r="BI278" i="66"/>
  <c r="BJ278" i="66"/>
  <c r="AW278" i="66"/>
  <c r="Y278" i="66"/>
  <c r="BU278" i="66"/>
  <c r="AZ278" i="66"/>
  <c r="AR278" i="66"/>
  <c r="BX278" i="66"/>
  <c r="BG278" i="66"/>
  <c r="W278" i="66"/>
  <c r="AF278" i="66"/>
  <c r="BP278" i="66"/>
  <c r="BL278" i="66"/>
  <c r="AY278" i="66"/>
  <c r="Z278" i="66"/>
  <c r="X278" i="66"/>
  <c r="BV278" i="66"/>
  <c r="BO278" i="66"/>
  <c r="BA278" i="66"/>
  <c r="AS278" i="66"/>
  <c r="X83" i="69"/>
  <c r="BJ83" i="69"/>
  <c r="C75" i="65"/>
  <c r="E75" i="65" s="1"/>
  <c r="AW22" i="58"/>
  <c r="L263" i="66"/>
  <c r="L265" i="66" s="1"/>
  <c r="CA265" i="66"/>
  <c r="Q265" i="66"/>
  <c r="W81" i="66"/>
  <c r="AF265" i="66"/>
  <c r="AY265" i="66"/>
  <c r="BG265" i="66"/>
  <c r="AU265" i="66"/>
  <c r="B260" i="66"/>
  <c r="BU265" i="66"/>
  <c r="AZ265" i="66"/>
  <c r="R265" i="66"/>
  <c r="BK265" i="66"/>
  <c r="AA265" i="66"/>
  <c r="BZ265" i="66"/>
  <c r="BF265" i="66"/>
  <c r="AB265" i="66"/>
  <c r="BE265" i="66"/>
  <c r="BH265" i="66"/>
  <c r="AV265" i="66"/>
  <c r="BI265" i="66"/>
  <c r="BJ265" i="66"/>
  <c r="AW265" i="66"/>
  <c r="BT263" i="66"/>
  <c r="BT265" i="66" s="1"/>
  <c r="BB263" i="66"/>
  <c r="BB265" i="66" s="1"/>
  <c r="P431" i="66"/>
  <c r="K18" i="30"/>
  <c r="O18" i="30" s="1"/>
  <c r="BD263" i="66"/>
  <c r="BD265" i="66" s="1"/>
  <c r="M81" i="66"/>
  <c r="BD81" i="66"/>
  <c r="BA263" i="66"/>
  <c r="BA265" i="66" s="1"/>
  <c r="U265" i="66"/>
  <c r="AF81" i="66"/>
  <c r="AC53" i="71"/>
  <c r="AA83" i="69"/>
  <c r="BX81" i="66"/>
  <c r="Z81" i="66"/>
  <c r="Z95" i="66" s="1"/>
  <c r="O83" i="69"/>
  <c r="M278" i="66"/>
  <c r="BG81" i="66"/>
  <c r="BR83" i="69"/>
  <c r="J74" i="65"/>
  <c r="BV81" i="66"/>
  <c r="AW292" i="66"/>
  <c r="AZ292" i="66"/>
  <c r="K292" i="66"/>
  <c r="C83" i="69"/>
  <c r="V292" i="66"/>
  <c r="BF292" i="66"/>
  <c r="BB292" i="66"/>
  <c r="B283" i="66"/>
  <c r="AF292" i="66"/>
  <c r="BL292" i="66"/>
  <c r="AY292" i="66"/>
  <c r="J81" i="66"/>
  <c r="BZ53" i="71"/>
  <c r="Z291" i="66"/>
  <c r="Z292" i="66" s="1"/>
  <c r="BV53" i="71"/>
  <c r="AV292" i="66"/>
  <c r="J291" i="66"/>
  <c r="J292" i="66" s="1"/>
  <c r="C291" i="66"/>
  <c r="C292" i="66" s="1"/>
  <c r="AB81" i="66"/>
  <c r="CB53" i="71"/>
  <c r="R53" i="71"/>
  <c r="BV292" i="66"/>
  <c r="BA292" i="66"/>
  <c r="AS292" i="66"/>
  <c r="CB291" i="66"/>
  <c r="CB292" i="66" s="1"/>
  <c r="BZ81" i="66"/>
  <c r="BZ95" i="66" s="1"/>
  <c r="BA53" i="71"/>
  <c r="W53" i="71"/>
  <c r="BM81" i="66"/>
  <c r="BX53" i="71"/>
  <c r="BG53" i="71"/>
  <c r="AB53" i="71"/>
  <c r="AD81" i="66"/>
  <c r="AK121" i="68"/>
  <c r="BE319" i="66"/>
  <c r="AV319" i="66"/>
  <c r="U319" i="66"/>
  <c r="BI319" i="66"/>
  <c r="H319" i="66"/>
  <c r="BU319" i="66"/>
  <c r="BM319" i="66"/>
  <c r="AZ319" i="66"/>
  <c r="AR319" i="66"/>
  <c r="K319" i="66"/>
  <c r="B310" i="66"/>
  <c r="BG319" i="66"/>
  <c r="BD319" i="66"/>
  <c r="AU319" i="66"/>
  <c r="AF319" i="66"/>
  <c r="BO491" i="66"/>
  <c r="I491" i="66"/>
  <c r="BT491" i="66"/>
  <c r="AS81" i="66"/>
  <c r="BT43" i="71"/>
  <c r="Y53" i="71"/>
  <c r="AW104" i="58"/>
  <c r="O60" i="30"/>
  <c r="BJ319" i="66"/>
  <c r="BE81" i="66"/>
  <c r="B318" i="66"/>
  <c r="R319" i="66"/>
  <c r="Z319" i="66"/>
  <c r="T319" i="66"/>
  <c r="F319" i="66"/>
  <c r="AA319" i="66"/>
  <c r="J319" i="66"/>
  <c r="C319" i="66"/>
  <c r="M319" i="66"/>
  <c r="L53" i="71"/>
  <c r="BI81" i="66"/>
  <c r="BI95" i="66" s="1"/>
  <c r="BW81" i="66"/>
  <c r="BK53" i="71"/>
  <c r="AZ81" i="66"/>
  <c r="AL53" i="71"/>
  <c r="BC81" i="66"/>
  <c r="AV81" i="66"/>
  <c r="D305" i="66"/>
  <c r="T305" i="66"/>
  <c r="L305" i="66"/>
  <c r="AA305" i="66"/>
  <c r="P305" i="66"/>
  <c r="J305" i="66"/>
  <c r="BL83" i="69"/>
  <c r="BM53" i="71"/>
  <c r="AJ81" i="66"/>
  <c r="BE305" i="66"/>
  <c r="BH305" i="66"/>
  <c r="BB305" i="66"/>
  <c r="Q305" i="66"/>
  <c r="AZ305" i="66"/>
  <c r="BX305" i="66"/>
  <c r="BP305" i="66"/>
  <c r="Q81" i="66"/>
  <c r="I291" i="66"/>
  <c r="I292" i="66" s="1"/>
  <c r="P291" i="66"/>
  <c r="P292" i="66" s="1"/>
  <c r="BK291" i="66"/>
  <c r="BK292" i="66" s="1"/>
  <c r="AJ83" i="69"/>
  <c r="BB81" i="66"/>
  <c r="L81" i="66"/>
  <c r="L95" i="66" s="1"/>
  <c r="O291" i="66"/>
  <c r="O292" i="66" s="1"/>
  <c r="BT53" i="71"/>
  <c r="O53" i="71"/>
  <c r="AW81" i="66"/>
  <c r="BM83" i="69"/>
  <c r="U292" i="66"/>
  <c r="BT292" i="66"/>
  <c r="AT292" i="66"/>
  <c r="Q292" i="66"/>
  <c r="AB292" i="66"/>
  <c r="BJ292" i="66"/>
  <c r="BU292" i="66"/>
  <c r="BX292" i="66"/>
  <c r="BD292" i="66"/>
  <c r="AU292" i="66"/>
  <c r="BO292" i="66"/>
  <c r="L291" i="66"/>
  <c r="L292" i="66" s="1"/>
  <c r="O81" i="66"/>
  <c r="BA83" i="69"/>
  <c r="B284" i="66"/>
  <c r="Y292" i="66"/>
  <c r="S292" i="66"/>
  <c r="D292" i="66"/>
  <c r="BG291" i="66"/>
  <c r="BG292" i="66" s="1"/>
  <c r="BB53" i="71"/>
  <c r="AV53" i="71"/>
  <c r="BB83" i="69"/>
  <c r="BU81" i="66"/>
  <c r="BI291" i="66"/>
  <c r="BI292" i="66" s="1"/>
  <c r="AA291" i="66"/>
  <c r="AA292" i="66" s="1"/>
  <c r="BI53" i="71"/>
  <c r="BK121" i="68"/>
  <c r="BG83" i="69"/>
  <c r="Q53" i="71"/>
  <c r="J83" i="69"/>
  <c r="P81" i="66"/>
  <c r="BI83" i="69"/>
  <c r="P53" i="71"/>
  <c r="AK53" i="71"/>
  <c r="AK83" i="69"/>
  <c r="C53" i="71"/>
  <c r="AT83" i="69"/>
  <c r="BD278" i="66"/>
  <c r="AU278" i="66"/>
  <c r="CB278" i="66"/>
  <c r="L83" i="69"/>
  <c r="S278" i="66"/>
  <c r="H278" i="66"/>
  <c r="R278" i="66"/>
  <c r="K278" i="66"/>
  <c r="D278" i="66"/>
  <c r="B272" i="66"/>
  <c r="AB83" i="69"/>
  <c r="AL83" i="69"/>
  <c r="Y431" i="66"/>
  <c r="BH431" i="66"/>
  <c r="BE431" i="66"/>
  <c r="CA431" i="66"/>
  <c r="BK431" i="66"/>
  <c r="C25" i="30"/>
  <c r="U76" i="58"/>
  <c r="U92" i="58"/>
  <c r="U95" i="58" s="1"/>
  <c r="Q92" i="58"/>
  <c r="Q95" i="58" s="1"/>
  <c r="AC76" i="58"/>
  <c r="G138" i="58"/>
  <c r="W139" i="58"/>
  <c r="AC92" i="58"/>
  <c r="AC95" i="58" s="1"/>
  <c r="J25" i="59"/>
  <c r="H25" i="59"/>
  <c r="M247" i="1"/>
  <c r="L209" i="1"/>
  <c r="N217" i="1" s="1"/>
  <c r="L145" i="1"/>
  <c r="N153" i="1" s="1"/>
  <c r="L247" i="1"/>
  <c r="L105" i="1"/>
  <c r="M246" i="1"/>
  <c r="L84" i="1"/>
  <c r="N92" i="1" s="1"/>
  <c r="L246" i="1"/>
  <c r="AL78" i="64"/>
  <c r="AL79" i="64"/>
  <c r="L106" i="64"/>
  <c r="R103" i="64"/>
  <c r="P106" i="64"/>
  <c r="W41" i="63"/>
  <c r="E39" i="48" s="1"/>
  <c r="W18" i="63"/>
  <c r="E16" i="48" s="1"/>
  <c r="W26" i="63"/>
  <c r="E24" i="48" s="1"/>
  <c r="W39" i="63"/>
  <c r="E37" i="48" s="1"/>
  <c r="W50" i="63"/>
  <c r="W17" i="63"/>
  <c r="E15" i="48" s="1"/>
  <c r="W33" i="63"/>
  <c r="E31" i="48" s="1"/>
  <c r="W64" i="63"/>
  <c r="E62" i="48" s="1"/>
  <c r="W49" i="63"/>
  <c r="E47" i="48" s="1"/>
  <c r="W73" i="63"/>
  <c r="E71" i="48" s="1"/>
  <c r="W47" i="63"/>
  <c r="E45" i="48" s="1"/>
  <c r="W36" i="63"/>
  <c r="E34" i="48" s="1"/>
  <c r="W40" i="62"/>
  <c r="E38" i="49" s="1"/>
  <c r="W48" i="62"/>
  <c r="E45" i="49" s="1"/>
  <c r="W50" i="62"/>
  <c r="E47" i="49" s="1"/>
  <c r="W37" i="62"/>
  <c r="E35" i="49" s="1"/>
  <c r="W49" i="62"/>
  <c r="E46" i="49" s="1"/>
  <c r="W47" i="62"/>
  <c r="E44" i="49" s="1"/>
  <c r="W65" i="62"/>
  <c r="E62" i="49" s="1"/>
  <c r="J70" i="65"/>
  <c r="B34" i="66"/>
  <c r="AG74" i="50"/>
  <c r="G72" i="46" s="1"/>
  <c r="AG71" i="50"/>
  <c r="G69" i="46" s="1"/>
  <c r="O67" i="44"/>
  <c r="G65" i="48" s="1"/>
  <c r="O66" i="44"/>
  <c r="G64" i="48" s="1"/>
  <c r="Q76" i="50"/>
  <c r="E58" i="44"/>
  <c r="L85" i="64" s="1"/>
  <c r="P85" i="64" s="1"/>
  <c r="O18" i="44"/>
  <c r="G16" i="48" s="1"/>
  <c r="N92" i="64"/>
  <c r="N94" i="64" s="1"/>
  <c r="N96" i="64" s="1"/>
  <c r="P60" i="64"/>
  <c r="P83" i="64"/>
  <c r="O45" i="44"/>
  <c r="G43" i="48" s="1"/>
  <c r="O46" i="44"/>
  <c r="C59" i="50"/>
  <c r="L33" i="64" s="1"/>
  <c r="P33" i="64" s="1"/>
  <c r="Y75" i="18"/>
  <c r="M40" i="42"/>
  <c r="C40" i="46" s="1"/>
  <c r="O23" i="44"/>
  <c r="G21" i="48" s="1"/>
  <c r="O22" i="44"/>
  <c r="G20" i="48" s="1"/>
  <c r="O72" i="44"/>
  <c r="G70" i="48" s="1"/>
  <c r="G29" i="44"/>
  <c r="F81" i="64" s="1"/>
  <c r="J81" i="64" s="1"/>
  <c r="Q15" i="52"/>
  <c r="C13" i="48" s="1"/>
  <c r="AG20" i="50"/>
  <c r="G18" i="46" s="1"/>
  <c r="AE30" i="50"/>
  <c r="F49" i="64" s="1"/>
  <c r="J49" i="64" s="1"/>
  <c r="S30" i="50"/>
  <c r="F41" i="64" s="1"/>
  <c r="J41" i="64" s="1"/>
  <c r="O30" i="50"/>
  <c r="AI19" i="18"/>
  <c r="E18" i="46" s="1"/>
  <c r="M29" i="18"/>
  <c r="F22" i="64" s="1"/>
  <c r="J22" i="64" s="1"/>
  <c r="AC29" i="18"/>
  <c r="F29" i="64" s="1"/>
  <c r="J29" i="64" s="1"/>
  <c r="AI27" i="18"/>
  <c r="E26" i="46" s="1"/>
  <c r="B97" i="66"/>
  <c r="Q66" i="52"/>
  <c r="C64" i="48" s="1"/>
  <c r="M70" i="42"/>
  <c r="C70" i="46" s="1"/>
  <c r="M28" i="13"/>
  <c r="F93" i="64" s="1"/>
  <c r="J93" i="64" s="1"/>
  <c r="O39" i="13"/>
  <c r="G39" i="40" s="1"/>
  <c r="M72" i="42"/>
  <c r="C72" i="46" s="1"/>
  <c r="M23" i="42"/>
  <c r="C23" i="46" s="1"/>
  <c r="M15" i="42"/>
  <c r="C15" i="46" s="1"/>
  <c r="Q19" i="52"/>
  <c r="C17" i="48" s="1"/>
  <c r="W76" i="50"/>
  <c r="Q64" i="52"/>
  <c r="R64" i="52" s="1"/>
  <c r="E75" i="27"/>
  <c r="Q29" i="27"/>
  <c r="O13" i="13"/>
  <c r="G13" i="40" s="1"/>
  <c r="C76" i="50"/>
  <c r="O44" i="13"/>
  <c r="G44" i="40" s="1"/>
  <c r="O34" i="13"/>
  <c r="G34" i="40" s="1"/>
  <c r="O47" i="44"/>
  <c r="AG49" i="50"/>
  <c r="G47" i="46" s="1"/>
  <c r="Q20" i="52"/>
  <c r="C18" i="48" s="1"/>
  <c r="AG16" i="50"/>
  <c r="G14" i="46" s="1"/>
  <c r="AG22" i="50"/>
  <c r="G20" i="46" s="1"/>
  <c r="K29" i="18"/>
  <c r="F21" i="64" s="1"/>
  <c r="J21" i="64" s="1"/>
  <c r="Y30" i="50"/>
  <c r="F44" i="64" s="1"/>
  <c r="J44" i="64" s="1"/>
  <c r="M22" i="42"/>
  <c r="C22" i="46" s="1"/>
  <c r="AI53" i="71"/>
  <c r="I28" i="42"/>
  <c r="F15" i="64" s="1"/>
  <c r="J15" i="64" s="1"/>
  <c r="M63" i="42"/>
  <c r="C63" i="46" s="1"/>
  <c r="W21" i="63"/>
  <c r="E19" i="48" s="1"/>
  <c r="W45" i="63"/>
  <c r="E43" i="48" s="1"/>
  <c r="O44" i="44"/>
  <c r="G42" i="48" s="1"/>
  <c r="O40" i="44"/>
  <c r="G38" i="48" s="1"/>
  <c r="O36" i="44"/>
  <c r="G34" i="48" s="1"/>
  <c r="W42" i="63"/>
  <c r="E40" i="48" s="1"/>
  <c r="Q43" i="52"/>
  <c r="Q41" i="52"/>
  <c r="Q39" i="52"/>
  <c r="Q37" i="52"/>
  <c r="Q35" i="52"/>
  <c r="AI83" i="69"/>
  <c r="AG39" i="50"/>
  <c r="G37" i="46" s="1"/>
  <c r="AG50" i="50"/>
  <c r="G48" i="46" s="1"/>
  <c r="W38" i="63"/>
  <c r="E36" i="48" s="1"/>
  <c r="W48" i="63"/>
  <c r="Q23" i="52"/>
  <c r="C21" i="48" s="1"/>
  <c r="O29" i="52"/>
  <c r="F65" i="64" s="1"/>
  <c r="J65" i="64" s="1"/>
  <c r="I75" i="63"/>
  <c r="W30" i="50"/>
  <c r="F46" i="64" s="1"/>
  <c r="J46" i="64" s="1"/>
  <c r="O43" i="44"/>
  <c r="G41" i="48" s="1"/>
  <c r="O39" i="44"/>
  <c r="G37" i="48" s="1"/>
  <c r="M26" i="42"/>
  <c r="C26" i="46" s="1"/>
  <c r="G74" i="13"/>
  <c r="G28" i="13"/>
  <c r="F89" i="64" s="1"/>
  <c r="J89" i="64" s="1"/>
  <c r="O26" i="13"/>
  <c r="G26" i="40" s="1"/>
  <c r="B63" i="69"/>
  <c r="Y76" i="50"/>
  <c r="AT53" i="71"/>
  <c r="Z53" i="71"/>
  <c r="W46" i="63"/>
  <c r="W67" i="63"/>
  <c r="E65" i="48" s="1"/>
  <c r="M122" i="68"/>
  <c r="M62" i="70"/>
  <c r="BU20" i="67"/>
  <c r="K67" i="43"/>
  <c r="AB140" i="68"/>
  <c r="G19" i="14"/>
  <c r="AT128" i="68"/>
  <c r="BP3" i="70"/>
  <c r="E50" i="14"/>
  <c r="E53" i="14" s="1"/>
  <c r="O14" i="51"/>
  <c r="M31" i="53"/>
  <c r="AX45" i="67"/>
  <c r="AX57" i="67" s="1"/>
  <c r="D141" i="68"/>
  <c r="I31" i="19"/>
  <c r="Q32" i="51"/>
  <c r="K30" i="43"/>
  <c r="C21" i="45"/>
  <c r="E14" i="45"/>
  <c r="BB128" i="68"/>
  <c r="Q70" i="67"/>
  <c r="AG30" i="19"/>
  <c r="W141" i="68"/>
  <c r="I53" i="51"/>
  <c r="Q31" i="51"/>
  <c r="BR66" i="67"/>
  <c r="F141" i="68"/>
  <c r="AV45" i="67"/>
  <c r="BM141" i="68"/>
  <c r="E43" i="29"/>
  <c r="K140" i="68"/>
  <c r="E68" i="45"/>
  <c r="M31" i="19"/>
  <c r="K42" i="14"/>
  <c r="AV63" i="67"/>
  <c r="Q45" i="67"/>
  <c r="Q57" i="67" s="1"/>
  <c r="G44" i="51"/>
  <c r="I52" i="19"/>
  <c r="I30" i="45"/>
  <c r="V45" i="67"/>
  <c r="V57" i="67" s="1"/>
  <c r="N141" i="68"/>
  <c r="AI62" i="19"/>
  <c r="Q129" i="68"/>
  <c r="AC141" i="68"/>
  <c r="BA63" i="67"/>
  <c r="BK124" i="68"/>
  <c r="T129" i="68"/>
  <c r="BK129" i="68"/>
  <c r="BF70" i="67"/>
  <c r="I41" i="51"/>
  <c r="C12" i="29"/>
  <c r="V141" i="68"/>
  <c r="Y22" i="67"/>
  <c r="O70" i="29"/>
  <c r="O73" i="29" s="1"/>
  <c r="BQ124" i="68"/>
  <c r="AA31" i="51"/>
  <c r="W68" i="19"/>
  <c r="Z45" i="67"/>
  <c r="BJ141" i="68"/>
  <c r="I66" i="14"/>
  <c r="O40" i="14"/>
  <c r="F41" i="41" s="1"/>
  <c r="K24" i="43"/>
  <c r="AG141" i="68"/>
  <c r="M68" i="29"/>
  <c r="M92" i="27" s="1"/>
  <c r="Q68" i="29"/>
  <c r="Q92" i="27" s="1"/>
  <c r="Q128" i="68"/>
  <c r="BD140" i="68"/>
  <c r="S63" i="67"/>
  <c r="R66" i="67"/>
  <c r="K38" i="14"/>
  <c r="U69" i="51"/>
  <c r="N66" i="67"/>
  <c r="AF141" i="68"/>
  <c r="AU83" i="69"/>
  <c r="R81" i="66"/>
  <c r="R95" i="66" s="1"/>
  <c r="AV83" i="69"/>
  <c r="Z237" i="66"/>
  <c r="Z241" i="66" s="1"/>
  <c r="I237" i="66"/>
  <c r="I241" i="66" s="1"/>
  <c r="W265" i="66"/>
  <c r="D431" i="66"/>
  <c r="T431" i="66"/>
  <c r="L431" i="66"/>
  <c r="V319" i="66"/>
  <c r="W83" i="69"/>
  <c r="B316" i="66"/>
  <c r="B315" i="66"/>
  <c r="B314" i="66"/>
  <c r="B313" i="66"/>
  <c r="O319" i="66"/>
  <c r="G319" i="66"/>
  <c r="B304" i="66"/>
  <c r="K305" i="66"/>
  <c r="B302" i="66"/>
  <c r="B301" i="66"/>
  <c r="B300" i="66"/>
  <c r="B299" i="66"/>
  <c r="B298" i="66"/>
  <c r="Y305" i="66"/>
  <c r="S305" i="66"/>
  <c r="B295" i="66"/>
  <c r="B289" i="66"/>
  <c r="B287" i="66"/>
  <c r="B286" i="66"/>
  <c r="B285" i="66"/>
  <c r="B281" i="66"/>
  <c r="B277" i="66"/>
  <c r="B276" i="66"/>
  <c r="B271" i="66"/>
  <c r="T278" i="66"/>
  <c r="L278" i="66"/>
  <c r="B270" i="66"/>
  <c r="N278" i="66"/>
  <c r="AA278" i="66"/>
  <c r="P278" i="66"/>
  <c r="B268" i="66"/>
  <c r="B262" i="66"/>
  <c r="B261" i="66"/>
  <c r="O265" i="66"/>
  <c r="G265" i="66"/>
  <c r="B259" i="66"/>
  <c r="T265" i="66"/>
  <c r="B257" i="66"/>
  <c r="K265" i="66"/>
  <c r="B256" i="66"/>
  <c r="N265" i="66"/>
  <c r="B252" i="66"/>
  <c r="Y265" i="66"/>
  <c r="B251" i="66"/>
  <c r="Z265" i="66"/>
  <c r="I265" i="66"/>
  <c r="P237" i="66"/>
  <c r="P241" i="66" s="1"/>
  <c r="C237" i="66"/>
  <c r="C241" i="66" s="1"/>
  <c r="P265" i="66"/>
  <c r="J237" i="66"/>
  <c r="J241" i="66" s="1"/>
  <c r="AG121" i="68"/>
  <c r="H70" i="28"/>
  <c r="I77" i="51"/>
  <c r="U140" i="68"/>
  <c r="BF22" i="67"/>
  <c r="BE140" i="68"/>
  <c r="G13" i="19"/>
  <c r="AV66" i="67"/>
  <c r="AX69" i="67"/>
  <c r="BO69" i="67"/>
  <c r="AU174" i="68"/>
  <c r="E29" i="43"/>
  <c r="CD16" i="68"/>
  <c r="E24" i="31" s="1"/>
  <c r="AI140" i="68"/>
  <c r="S55" i="29"/>
  <c r="D63" i="64" s="1"/>
  <c r="C21" i="53"/>
  <c r="BJ70" i="67"/>
  <c r="G31" i="45"/>
  <c r="CD14" i="68"/>
  <c r="CD56" i="68"/>
  <c r="E62" i="31" s="1"/>
  <c r="N62" i="31" s="1"/>
  <c r="CD23" i="68"/>
  <c r="W22" i="67"/>
  <c r="D140" i="68"/>
  <c r="E19" i="29"/>
  <c r="G21" i="45"/>
  <c r="M54" i="51"/>
  <c r="AE14" i="51"/>
  <c r="Z63" i="67"/>
  <c r="J66" i="67"/>
  <c r="BG66" i="67"/>
  <c r="Y66" i="67"/>
  <c r="X45" i="67"/>
  <c r="I31" i="51"/>
  <c r="CD66" i="68"/>
  <c r="CI99" i="68"/>
  <c r="CD105" i="68"/>
  <c r="E76" i="31" s="1"/>
  <c r="CD82" i="68"/>
  <c r="CH114" i="68"/>
  <c r="CD58" i="68"/>
  <c r="E63" i="31" s="1"/>
  <c r="N63" i="31" s="1"/>
  <c r="CD85" i="68"/>
  <c r="CD108" i="68"/>
  <c r="E79" i="31" s="1"/>
  <c r="K20" i="45"/>
  <c r="AX66" i="67"/>
  <c r="BS152" i="68"/>
  <c r="AC140" i="68"/>
  <c r="BM63" i="67"/>
  <c r="S66" i="67"/>
  <c r="E16" i="49"/>
  <c r="E38" i="43"/>
  <c r="G42" i="43"/>
  <c r="B8" i="67"/>
  <c r="AC69" i="67"/>
  <c r="X69" i="67"/>
  <c r="C141" i="68"/>
  <c r="M40" i="29"/>
  <c r="AD140" i="68"/>
  <c r="G14" i="51"/>
  <c r="E24" i="29"/>
  <c r="CD9" i="68"/>
  <c r="CF25" i="68"/>
  <c r="CF114" i="68"/>
  <c r="CD102" i="68"/>
  <c r="E73" i="31" s="1"/>
  <c r="G73" i="31" s="1"/>
  <c r="C88" i="74"/>
  <c r="C94" i="74" s="1"/>
  <c r="AG53" i="71"/>
  <c r="C61" i="65"/>
  <c r="BW431" i="66"/>
  <c r="BB431" i="66"/>
  <c r="J431" i="66"/>
  <c r="BI431" i="66"/>
  <c r="AZ431" i="66"/>
  <c r="CD461" i="66"/>
  <c r="CD491" i="66"/>
  <c r="Z431" i="66"/>
  <c r="Q431" i="66"/>
  <c r="CG431" i="66"/>
  <c r="BY431" i="66"/>
  <c r="W431" i="66"/>
  <c r="O431" i="66"/>
  <c r="G431" i="66"/>
  <c r="CD431" i="66"/>
  <c r="BV431" i="66"/>
  <c r="BF431" i="66"/>
  <c r="V431" i="66"/>
  <c r="F431" i="66"/>
  <c r="BU431" i="66"/>
  <c r="BM431" i="66"/>
  <c r="I431" i="66"/>
  <c r="CF431" i="66"/>
  <c r="BX431" i="66"/>
  <c r="BP431" i="66"/>
  <c r="AY431" i="66"/>
  <c r="CE431" i="66"/>
  <c r="BO431" i="66"/>
  <c r="BG431" i="66"/>
  <c r="U431" i="66"/>
  <c r="M431" i="66"/>
  <c r="CB431" i="66"/>
  <c r="BT431" i="66"/>
  <c r="BL431" i="66"/>
  <c r="BD431" i="66"/>
  <c r="AA431" i="66"/>
  <c r="R431" i="66"/>
  <c r="K431" i="66"/>
  <c r="CH431" i="66"/>
  <c r="BZ431" i="66"/>
  <c r="BJ431" i="66"/>
  <c r="BA431" i="66"/>
  <c r="X431" i="66"/>
  <c r="S431" i="66"/>
  <c r="H431" i="66"/>
  <c r="CF446" i="66"/>
  <c r="CE446" i="66"/>
  <c r="CD446" i="66"/>
  <c r="CI446" i="66"/>
  <c r="CH446" i="66"/>
  <c r="CG446" i="66"/>
  <c r="CE461" i="66"/>
  <c r="CF461" i="66"/>
  <c r="CG461" i="66"/>
  <c r="CI461" i="66"/>
  <c r="CI476" i="66"/>
  <c r="N431" i="66"/>
  <c r="CD476" i="66"/>
  <c r="CE476" i="66"/>
  <c r="CF476" i="66"/>
  <c r="F491" i="66"/>
  <c r="N491" i="66"/>
  <c r="V491" i="66"/>
  <c r="BE491" i="66"/>
  <c r="BM491" i="66"/>
  <c r="BU491" i="66"/>
  <c r="G491" i="66"/>
  <c r="O491" i="66"/>
  <c r="W491" i="66"/>
  <c r="BF491" i="66"/>
  <c r="BV491" i="66"/>
  <c r="CE491" i="66"/>
  <c r="H491" i="66"/>
  <c r="S491" i="66"/>
  <c r="X491" i="66"/>
  <c r="BG491" i="66"/>
  <c r="BW491" i="66"/>
  <c r="CF491" i="66"/>
  <c r="P491" i="66"/>
  <c r="Y491" i="66"/>
  <c r="AY491" i="66"/>
  <c r="BH491" i="66"/>
  <c r="BP491" i="66"/>
  <c r="BX491" i="66"/>
  <c r="CG491" i="66"/>
  <c r="J491" i="66"/>
  <c r="Q491" i="66"/>
  <c r="Z491" i="66"/>
  <c r="AZ491" i="66"/>
  <c r="BI491" i="66"/>
  <c r="BY491" i="66"/>
  <c r="R491" i="66"/>
  <c r="AA491" i="66"/>
  <c r="BA491" i="66"/>
  <c r="BJ491" i="66"/>
  <c r="BZ491" i="66"/>
  <c r="CI491" i="66"/>
  <c r="L491" i="66"/>
  <c r="T491" i="66"/>
  <c r="BB491" i="66"/>
  <c r="BK491" i="66"/>
  <c r="CA491" i="66"/>
  <c r="D491" i="66"/>
  <c r="M491" i="66"/>
  <c r="U491" i="66"/>
  <c r="BD491" i="66"/>
  <c r="BL491" i="66"/>
  <c r="CB491" i="66"/>
  <c r="B464" i="66"/>
  <c r="B476" i="66" s="1"/>
  <c r="B480" i="66"/>
  <c r="B434" i="66"/>
  <c r="B446" i="66" s="1"/>
  <c r="B415" i="66"/>
  <c r="B449" i="66"/>
  <c r="B461" i="66" s="1"/>
  <c r="W24" i="63"/>
  <c r="E22" i="48" s="1"/>
  <c r="C59" i="31"/>
  <c r="B490" i="66"/>
  <c r="C62" i="65"/>
  <c r="K62" i="65" s="1"/>
  <c r="B88" i="74"/>
  <c r="B94" i="74" s="1"/>
  <c r="Q75" i="27"/>
  <c r="E29" i="27"/>
  <c r="F53" i="64" s="1"/>
  <c r="J53" i="64" s="1"/>
  <c r="C29" i="27"/>
  <c r="F7" i="64" s="1"/>
  <c r="J7" i="64" s="1"/>
  <c r="K75" i="27"/>
  <c r="E92" i="27"/>
  <c r="G105" i="65"/>
  <c r="Q32" i="29"/>
  <c r="D56" i="26"/>
  <c r="F23" i="26"/>
  <c r="W37" i="63"/>
  <c r="E35" i="48" s="1"/>
  <c r="O75" i="52"/>
  <c r="Q70" i="52"/>
  <c r="C68" i="48" s="1"/>
  <c r="C75" i="63"/>
  <c r="W71" i="63"/>
  <c r="E69" i="48" s="1"/>
  <c r="W25" i="63"/>
  <c r="E23" i="48" s="1"/>
  <c r="I29" i="63"/>
  <c r="M33" i="42"/>
  <c r="C33" i="46" s="1"/>
  <c r="O75" i="18"/>
  <c r="AI72" i="18"/>
  <c r="E71" i="46" s="1"/>
  <c r="O71" i="44"/>
  <c r="G69" i="48" s="1"/>
  <c r="E75" i="44"/>
  <c r="I76" i="50"/>
  <c r="AG72" i="50"/>
  <c r="G70" i="46" s="1"/>
  <c r="AI71" i="18"/>
  <c r="E70" i="46" s="1"/>
  <c r="U75" i="18"/>
  <c r="O70" i="44"/>
  <c r="G68" i="48" s="1"/>
  <c r="G75" i="44"/>
  <c r="AI70" i="18"/>
  <c r="E69" i="46" s="1"/>
  <c r="E75" i="18"/>
  <c r="AI66" i="18"/>
  <c r="E65" i="46" s="1"/>
  <c r="O64" i="44"/>
  <c r="G62" i="48" s="1"/>
  <c r="K75" i="44"/>
  <c r="C75" i="27"/>
  <c r="O33" i="13"/>
  <c r="G33" i="40" s="1"/>
  <c r="O46" i="13"/>
  <c r="G46" i="40" s="1"/>
  <c r="O35" i="13"/>
  <c r="G35" i="40" s="1"/>
  <c r="O37" i="13"/>
  <c r="G37" i="40" s="1"/>
  <c r="O34" i="44"/>
  <c r="G32" i="48" s="1"/>
  <c r="G59" i="50"/>
  <c r="L34" i="64" s="1"/>
  <c r="P34" i="64" s="1"/>
  <c r="AG37" i="50"/>
  <c r="G35" i="46" s="1"/>
  <c r="I59" i="50"/>
  <c r="L36" i="64" s="1"/>
  <c r="P36" i="64" s="1"/>
  <c r="AG34" i="50"/>
  <c r="G58" i="18"/>
  <c r="E58" i="18"/>
  <c r="AI47" i="18"/>
  <c r="E46" i="46" s="1"/>
  <c r="M32" i="42"/>
  <c r="M29" i="44"/>
  <c r="O14" i="44"/>
  <c r="G12" i="48" s="1"/>
  <c r="K29" i="44"/>
  <c r="O21" i="44"/>
  <c r="G19" i="48" s="1"/>
  <c r="I29" i="44"/>
  <c r="C29" i="44"/>
  <c r="Q16" i="52"/>
  <c r="C14" i="48" s="1"/>
  <c r="G29" i="52"/>
  <c r="G30" i="50"/>
  <c r="AG19" i="50"/>
  <c r="G17" i="46" s="1"/>
  <c r="I30" i="50"/>
  <c r="Q30" i="50"/>
  <c r="M30" i="50"/>
  <c r="F38" i="64" s="1"/>
  <c r="J38" i="64" s="1"/>
  <c r="C30" i="50"/>
  <c r="F33" i="64" s="1"/>
  <c r="J33" i="64" s="1"/>
  <c r="Y29" i="18"/>
  <c r="O29" i="18"/>
  <c r="F23" i="64" s="1"/>
  <c r="J23" i="64" s="1"/>
  <c r="AA29" i="18"/>
  <c r="I29" i="18"/>
  <c r="G29" i="18"/>
  <c r="E29" i="18"/>
  <c r="K74" i="42"/>
  <c r="M71" i="42"/>
  <c r="C71" i="46" s="1"/>
  <c r="M19" i="42"/>
  <c r="C19" i="46" s="1"/>
  <c r="K28" i="42"/>
  <c r="M18" i="42"/>
  <c r="C18" i="46" s="1"/>
  <c r="G28" i="42"/>
  <c r="E28" i="42"/>
  <c r="H90" i="64"/>
  <c r="H94" i="64" s="1"/>
  <c r="H96" i="64" s="1"/>
  <c r="H110" i="64" s="1"/>
  <c r="C74" i="13"/>
  <c r="O71" i="13"/>
  <c r="C28" i="13"/>
  <c r="O19" i="13"/>
  <c r="G19" i="40" s="1"/>
  <c r="O18" i="13"/>
  <c r="G18" i="40" s="1"/>
  <c r="I28" i="13"/>
  <c r="K75" i="18"/>
  <c r="AX100" i="15" s="1"/>
  <c r="AI73" i="18"/>
  <c r="E72" i="46" s="1"/>
  <c r="W65" i="63"/>
  <c r="U75" i="63"/>
  <c r="M76" i="50"/>
  <c r="I74" i="42"/>
  <c r="M35" i="42"/>
  <c r="C35" i="46" s="1"/>
  <c r="W34" i="63"/>
  <c r="W70" i="63"/>
  <c r="E68" i="48" s="1"/>
  <c r="L42" i="64"/>
  <c r="P42" i="64" s="1"/>
  <c r="U76" i="50"/>
  <c r="AA75" i="18"/>
  <c r="O50" i="44"/>
  <c r="G48" i="48" s="1"/>
  <c r="W27" i="63"/>
  <c r="E25" i="48" s="1"/>
  <c r="E29" i="44"/>
  <c r="F85" i="64" s="1"/>
  <c r="J85" i="64" s="1"/>
  <c r="O25" i="13"/>
  <c r="G25" i="40" s="1"/>
  <c r="O24" i="13"/>
  <c r="G24" i="40" s="1"/>
  <c r="AG68" i="50"/>
  <c r="G66" i="46" s="1"/>
  <c r="AG67" i="50"/>
  <c r="G65" i="46" s="1"/>
  <c r="O48" i="13"/>
  <c r="G48" i="40" s="1"/>
  <c r="O49" i="44"/>
  <c r="G47" i="48" s="1"/>
  <c r="O33" i="44"/>
  <c r="AG41" i="50"/>
  <c r="G39" i="46" s="1"/>
  <c r="AI36" i="18"/>
  <c r="AI34" i="18"/>
  <c r="E33" i="46" s="1"/>
  <c r="M75" i="44"/>
  <c r="O20" i="44"/>
  <c r="G18" i="48" s="1"/>
  <c r="O27" i="44"/>
  <c r="G25" i="48" s="1"/>
  <c r="O19" i="44"/>
  <c r="G17" i="48" s="1"/>
  <c r="O26" i="44"/>
  <c r="G24" i="48" s="1"/>
  <c r="O25" i="44"/>
  <c r="G23" i="48" s="1"/>
  <c r="O17" i="44"/>
  <c r="G15" i="48" s="1"/>
  <c r="O24" i="44"/>
  <c r="G22" i="48" s="1"/>
  <c r="AG25" i="50"/>
  <c r="G23" i="46" s="1"/>
  <c r="AG17" i="50"/>
  <c r="G15" i="46" s="1"/>
  <c r="AG23" i="50"/>
  <c r="G21" i="46" s="1"/>
  <c r="AI16" i="18"/>
  <c r="E15" i="46" s="1"/>
  <c r="AG75" i="18"/>
  <c r="AI18" i="18"/>
  <c r="E17" i="46" s="1"/>
  <c r="AI17" i="18"/>
  <c r="E16" i="46" s="1"/>
  <c r="AI24" i="18"/>
  <c r="E23" i="46" s="1"/>
  <c r="AI22" i="18"/>
  <c r="E21" i="46" s="1"/>
  <c r="AI14" i="18"/>
  <c r="E13" i="46" s="1"/>
  <c r="M24" i="42"/>
  <c r="C24" i="46" s="1"/>
  <c r="M16" i="42"/>
  <c r="C16" i="46" s="1"/>
  <c r="M21" i="42"/>
  <c r="C21" i="46" s="1"/>
  <c r="M13" i="42"/>
  <c r="E75" i="63"/>
  <c r="Q29" i="18"/>
  <c r="K29" i="52"/>
  <c r="F62" i="64" s="1"/>
  <c r="J62" i="64" s="1"/>
  <c r="K75" i="52"/>
  <c r="M29" i="27"/>
  <c r="C29" i="63"/>
  <c r="E29" i="63"/>
  <c r="F69" i="64" s="1"/>
  <c r="J69" i="64" s="1"/>
  <c r="O43" i="13"/>
  <c r="G43" i="40" s="1"/>
  <c r="O42" i="44"/>
  <c r="G40" i="48" s="1"/>
  <c r="O41" i="44"/>
  <c r="G39" i="48" s="1"/>
  <c r="O38" i="44"/>
  <c r="G36" i="48" s="1"/>
  <c r="O37" i="44"/>
  <c r="G35" i="48" s="1"/>
  <c r="W44" i="63"/>
  <c r="E42" i="48" s="1"/>
  <c r="W43" i="63"/>
  <c r="E41" i="48" s="1"/>
  <c r="C28" i="42"/>
  <c r="P68" i="64"/>
  <c r="G29" i="63"/>
  <c r="G75" i="63"/>
  <c r="M74" i="13"/>
  <c r="CA60" i="70"/>
  <c r="B17" i="70"/>
  <c r="E65" i="28"/>
  <c r="H65" i="28" s="1"/>
  <c r="H72" i="28"/>
  <c r="H64" i="28"/>
  <c r="E27" i="28"/>
  <c r="BQ126" i="68"/>
  <c r="O62" i="14"/>
  <c r="F61" i="41" s="1"/>
  <c r="AF22" i="67"/>
  <c r="AX22" i="67"/>
  <c r="I56" i="62"/>
  <c r="D71" i="64" s="1"/>
  <c r="D128" i="68"/>
  <c r="O21" i="14"/>
  <c r="F22" i="41" s="1"/>
  <c r="O35" i="14"/>
  <c r="F36" i="41" s="1"/>
  <c r="O39" i="45"/>
  <c r="G37" i="49" s="1"/>
  <c r="AB22" i="67"/>
  <c r="BD66" i="67"/>
  <c r="D152" i="68"/>
  <c r="Y69" i="67"/>
  <c r="G56" i="62"/>
  <c r="D70" i="64" s="1"/>
  <c r="BI141" i="68"/>
  <c r="D45" i="67"/>
  <c r="BM45" i="67"/>
  <c r="BM57" i="67" s="1"/>
  <c r="BP45" i="67"/>
  <c r="BP57" i="67" s="1"/>
  <c r="B68" i="67"/>
  <c r="Y77" i="51"/>
  <c r="AH140" i="68"/>
  <c r="M66" i="14"/>
  <c r="J73" i="65"/>
  <c r="AW103" i="58"/>
  <c r="C59" i="65"/>
  <c r="O59" i="30"/>
  <c r="K71" i="30"/>
  <c r="K12" i="30"/>
  <c r="O12" i="30" s="1"/>
  <c r="J68" i="65"/>
  <c r="J71" i="65"/>
  <c r="O62" i="30"/>
  <c r="E23" i="30"/>
  <c r="AW58" i="58" s="1"/>
  <c r="AW33" i="58"/>
  <c r="B49" i="66"/>
  <c r="J77" i="65"/>
  <c r="E80" i="65"/>
  <c r="H80" i="65"/>
  <c r="B312" i="66"/>
  <c r="B288" i="66"/>
  <c r="B273" i="66"/>
  <c r="B275" i="66"/>
  <c r="N237" i="66"/>
  <c r="N241" i="66" s="1"/>
  <c r="B297" i="66"/>
  <c r="M265" i="66"/>
  <c r="B118" i="66"/>
  <c r="E33" i="30"/>
  <c r="AW69" i="58" s="1"/>
  <c r="E74" i="65"/>
  <c r="B274" i="66"/>
  <c r="B269" i="66"/>
  <c r="B303" i="66"/>
  <c r="E34" i="30"/>
  <c r="AW70" i="58" s="1"/>
  <c r="N305" i="66"/>
  <c r="I319" i="66"/>
  <c r="C278" i="66"/>
  <c r="B323" i="66"/>
  <c r="L319" i="66"/>
  <c r="P319" i="66"/>
  <c r="D319" i="66"/>
  <c r="W319" i="66"/>
  <c r="O305" i="66"/>
  <c r="G305" i="66"/>
  <c r="M305" i="66"/>
  <c r="R305" i="66"/>
  <c r="H292" i="66"/>
  <c r="W292" i="66"/>
  <c r="N292" i="66"/>
  <c r="T292" i="66"/>
  <c r="J263" i="66"/>
  <c r="J265" i="66" s="1"/>
  <c r="V81" i="66"/>
  <c r="V95" i="66" s="1"/>
  <c r="BB22" i="67"/>
  <c r="T22" i="67"/>
  <c r="AW22" i="67"/>
  <c r="CI114" i="68"/>
  <c r="AA45" i="67"/>
  <c r="S140" i="68"/>
  <c r="H140" i="68"/>
  <c r="C42" i="14"/>
  <c r="C29" i="14"/>
  <c r="AZ63" i="67"/>
  <c r="C13" i="53"/>
  <c r="AC14" i="51"/>
  <c r="P66" i="67"/>
  <c r="AY66" i="67"/>
  <c r="AY128" i="68"/>
  <c r="U75" i="19"/>
  <c r="AB69" i="67"/>
  <c r="BI70" i="67"/>
  <c r="D70" i="67"/>
  <c r="S77" i="51"/>
  <c r="C29" i="29"/>
  <c r="O23" i="45"/>
  <c r="G21" i="49" s="1"/>
  <c r="CD12" i="68"/>
  <c r="E19" i="31" s="1"/>
  <c r="N19" i="31" s="1"/>
  <c r="O53" i="45"/>
  <c r="G51" i="49" s="1"/>
  <c r="BI45" i="67"/>
  <c r="BI57" i="67" s="1"/>
  <c r="BK45" i="67"/>
  <c r="BK57" i="67" s="1"/>
  <c r="BD45" i="67"/>
  <c r="BD57" i="67" s="1"/>
  <c r="AU22" i="67"/>
  <c r="BU11" i="67"/>
  <c r="BF140" i="68"/>
  <c r="CE114" i="68"/>
  <c r="E18" i="45"/>
  <c r="G32" i="51"/>
  <c r="K45" i="51"/>
  <c r="BL124" i="68"/>
  <c r="BP69" i="67"/>
  <c r="D129" i="68"/>
  <c r="G41" i="51"/>
  <c r="G38" i="43"/>
  <c r="AC53" i="19"/>
  <c r="AC43" i="19"/>
  <c r="M20" i="45"/>
  <c r="O24" i="45"/>
  <c r="G22" i="49" s="1"/>
  <c r="BR124" i="68"/>
  <c r="BR141" i="68"/>
  <c r="P45" i="67"/>
  <c r="P57" i="67" s="1"/>
  <c r="AS22" i="67"/>
  <c r="BL22" i="67"/>
  <c r="BE22" i="67"/>
  <c r="BA22" i="67"/>
  <c r="BU3" i="67"/>
  <c r="BP22" i="67"/>
  <c r="O140" i="68"/>
  <c r="X140" i="68"/>
  <c r="E53" i="29"/>
  <c r="I31" i="53"/>
  <c r="CK6" i="68"/>
  <c r="C41" i="14"/>
  <c r="O22" i="14"/>
  <c r="F23" i="41" s="1"/>
  <c r="U22" i="67"/>
  <c r="AY22" i="67"/>
  <c r="BH22" i="67"/>
  <c r="BU4" i="67"/>
  <c r="BO22" i="67"/>
  <c r="CG114" i="68"/>
  <c r="Y44" i="51"/>
  <c r="B15" i="67"/>
  <c r="Q16" i="19"/>
  <c r="G44" i="53"/>
  <c r="C44" i="19"/>
  <c r="AW66" i="67"/>
  <c r="S141" i="68"/>
  <c r="W44" i="62"/>
  <c r="E41" i="49" s="1"/>
  <c r="C34" i="72"/>
  <c r="BU21" i="67"/>
  <c r="BU15" i="67"/>
  <c r="AV22" i="67"/>
  <c r="S45" i="67"/>
  <c r="S57" i="67" s="1"/>
  <c r="G140" i="68"/>
  <c r="O45" i="51"/>
  <c r="AB66" i="67"/>
  <c r="BE69" i="67"/>
  <c r="AA70" i="67"/>
  <c r="AC41" i="51"/>
  <c r="CH99" i="68"/>
  <c r="CG25" i="68"/>
  <c r="CD98" i="68"/>
  <c r="BS63" i="67"/>
  <c r="AT22" i="67"/>
  <c r="CI25" i="68"/>
  <c r="CI43" i="68" s="1"/>
  <c r="BO140" i="68"/>
  <c r="AC75" i="19"/>
  <c r="M40" i="19"/>
  <c r="CI62" i="68"/>
  <c r="CH25" i="68"/>
  <c r="CH43" i="68" s="1"/>
  <c r="CD20" i="68"/>
  <c r="E30" i="31" s="1"/>
  <c r="G30" i="31" s="1"/>
  <c r="BE45" i="67"/>
  <c r="BE57" i="67" s="1"/>
  <c r="BM22" i="67"/>
  <c r="AA22" i="67"/>
  <c r="AC44" i="51"/>
  <c r="W140" i="68"/>
  <c r="X22" i="67"/>
  <c r="AE29" i="51"/>
  <c r="AE77" i="51" s="1"/>
  <c r="Z69" i="67"/>
  <c r="BH69" i="67"/>
  <c r="BK70" i="67"/>
  <c r="K53" i="51"/>
  <c r="CD11" i="68"/>
  <c r="E17" i="31" s="1"/>
  <c r="N17" i="31" s="1"/>
  <c r="K42" i="43"/>
  <c r="J128" i="68"/>
  <c r="J70" i="67"/>
  <c r="BU35" i="67"/>
  <c r="E17" i="43"/>
  <c r="BU8" i="67"/>
  <c r="G12" i="43"/>
  <c r="C16" i="14"/>
  <c r="E17" i="45"/>
  <c r="O17" i="45" s="1"/>
  <c r="G15" i="49" s="1"/>
  <c r="BB124" i="68"/>
  <c r="K23" i="14"/>
  <c r="O23" i="14" s="1"/>
  <c r="F24" i="41" s="1"/>
  <c r="K12" i="14"/>
  <c r="BB63" i="67"/>
  <c r="BD22" i="67"/>
  <c r="BD69" i="67"/>
  <c r="AC26" i="51"/>
  <c r="BH124" i="68"/>
  <c r="BJ126" i="68"/>
  <c r="BJ66" i="67"/>
  <c r="M32" i="51"/>
  <c r="BJ22" i="67"/>
  <c r="M17" i="51"/>
  <c r="BK126" i="68"/>
  <c r="BK66" i="67"/>
  <c r="O32" i="51"/>
  <c r="O18" i="51"/>
  <c r="BK69" i="67"/>
  <c r="BK22" i="67"/>
  <c r="AC66" i="67"/>
  <c r="AC22" i="67"/>
  <c r="AC55" i="67" s="1"/>
  <c r="K21" i="53"/>
  <c r="I141" i="68"/>
  <c r="I51" i="43"/>
  <c r="I54" i="43" s="1"/>
  <c r="D15" i="64" s="1"/>
  <c r="P141" i="68"/>
  <c r="M52" i="19"/>
  <c r="U53" i="62"/>
  <c r="AR141" i="68"/>
  <c r="AZ45" i="67"/>
  <c r="AZ57" i="67" s="1"/>
  <c r="AZ141" i="68"/>
  <c r="G50" i="14"/>
  <c r="G53" i="14" s="1"/>
  <c r="CD6" i="68"/>
  <c r="E12" i="31" s="1"/>
  <c r="CD50" i="68"/>
  <c r="E56" i="31" s="1"/>
  <c r="CF62" i="68"/>
  <c r="CD80" i="68"/>
  <c r="CF99" i="68"/>
  <c r="M26" i="53"/>
  <c r="E26" i="62"/>
  <c r="Q27" i="19"/>
  <c r="Q13" i="19"/>
  <c r="R63" i="67"/>
  <c r="AG18" i="19"/>
  <c r="AG75" i="19" s="1"/>
  <c r="O16" i="19"/>
  <c r="Y16" i="19"/>
  <c r="U25" i="19"/>
  <c r="U124" i="68"/>
  <c r="U14" i="19"/>
  <c r="B4" i="67"/>
  <c r="E18" i="31"/>
  <c r="N18" i="31" s="1"/>
  <c r="E29" i="31"/>
  <c r="G29" i="31" s="1"/>
  <c r="G46" i="31"/>
  <c r="B67" i="67"/>
  <c r="G157" i="68"/>
  <c r="B155" i="68"/>
  <c r="AA157" i="68"/>
  <c r="M44" i="19"/>
  <c r="P70" i="67"/>
  <c r="P128" i="68"/>
  <c r="M16" i="19"/>
  <c r="AY152" i="68"/>
  <c r="AY45" i="67"/>
  <c r="C38" i="14"/>
  <c r="M152" i="68"/>
  <c r="G40" i="19"/>
  <c r="W54" i="51"/>
  <c r="BR128" i="68"/>
  <c r="I20" i="43"/>
  <c r="I140" i="68"/>
  <c r="P140" i="68"/>
  <c r="M20" i="19"/>
  <c r="E20" i="45"/>
  <c r="C18" i="14"/>
  <c r="AY140" i="68"/>
  <c r="BH140" i="68"/>
  <c r="AC21" i="51"/>
  <c r="Y21" i="51"/>
  <c r="BP140" i="68"/>
  <c r="AS140" i="68"/>
  <c r="C30" i="45"/>
  <c r="I28" i="14"/>
  <c r="BA140" i="68"/>
  <c r="BJ140" i="68"/>
  <c r="M31" i="51"/>
  <c r="O43" i="19"/>
  <c r="Q141" i="68"/>
  <c r="Z141" i="68"/>
  <c r="AS141" i="68"/>
  <c r="C43" i="45"/>
  <c r="I41" i="14"/>
  <c r="BA141" i="68"/>
  <c r="BA45" i="67"/>
  <c r="G42" i="72"/>
  <c r="D63" i="67"/>
  <c r="B3" i="67"/>
  <c r="E12" i="29"/>
  <c r="B7" i="67"/>
  <c r="BU7" i="67"/>
  <c r="BI66" i="67"/>
  <c r="K22" i="51"/>
  <c r="U17" i="51"/>
  <c r="BN69" i="67"/>
  <c r="I30" i="62"/>
  <c r="AL140" i="68"/>
  <c r="D66" i="67"/>
  <c r="B11" i="67"/>
  <c r="E20" i="29"/>
  <c r="M27" i="45"/>
  <c r="AW69" i="67"/>
  <c r="CG62" i="68"/>
  <c r="CD52" i="68"/>
  <c r="E57" i="31" s="1"/>
  <c r="N57" i="31" s="1"/>
  <c r="CD77" i="68"/>
  <c r="CG99" i="68"/>
  <c r="BK152" i="68"/>
  <c r="O41" i="51"/>
  <c r="BC141" i="68"/>
  <c r="M41" i="14"/>
  <c r="B176" i="68"/>
  <c r="B173" i="68"/>
  <c r="B166" i="68"/>
  <c r="C167" i="68"/>
  <c r="B163" i="68"/>
  <c r="M167" i="68"/>
  <c r="M170" i="68" s="1"/>
  <c r="M178" i="68" s="1"/>
  <c r="BA70" i="67"/>
  <c r="I42" i="14"/>
  <c r="BA128" i="68"/>
  <c r="C44" i="45"/>
  <c r="AS128" i="68"/>
  <c r="S18" i="51"/>
  <c r="BM69" i="67"/>
  <c r="BF126" i="68"/>
  <c r="BF66" i="67"/>
  <c r="AE32" i="51"/>
  <c r="AE18" i="51"/>
  <c r="BF69" i="67"/>
  <c r="I28" i="51"/>
  <c r="BG69" i="67"/>
  <c r="I15" i="51"/>
  <c r="BG22" i="67"/>
  <c r="BE66" i="67"/>
  <c r="G22" i="51"/>
  <c r="CH62" i="68"/>
  <c r="CD54" i="68"/>
  <c r="E60" i="31" s="1"/>
  <c r="N60" i="31" s="1"/>
  <c r="C70" i="67"/>
  <c r="C53" i="29"/>
  <c r="C45" i="67"/>
  <c r="C129" i="68"/>
  <c r="BP128" i="68"/>
  <c r="BP70" i="67"/>
  <c r="Y45" i="51"/>
  <c r="D126" i="68"/>
  <c r="B21" i="67"/>
  <c r="G18" i="45"/>
  <c r="I27" i="45"/>
  <c r="AU69" i="67"/>
  <c r="K13" i="19"/>
  <c r="O63" i="67"/>
  <c r="BM129" i="68"/>
  <c r="BM70" i="67"/>
  <c r="S54" i="51"/>
  <c r="U70" i="67"/>
  <c r="U53" i="19"/>
  <c r="U129" i="68"/>
  <c r="L70" i="67"/>
  <c r="L45" i="67"/>
  <c r="L57" i="67" s="1"/>
  <c r="L129" i="68"/>
  <c r="I16" i="43"/>
  <c r="K26" i="43"/>
  <c r="M26" i="43" s="1"/>
  <c r="B17" i="67"/>
  <c r="BU17" i="67"/>
  <c r="K15" i="43"/>
  <c r="M15" i="43" s="1"/>
  <c r="BU6" i="67"/>
  <c r="B6" i="67"/>
  <c r="C23" i="19"/>
  <c r="BU13" i="67"/>
  <c r="B13" i="67"/>
  <c r="E16" i="19"/>
  <c r="U21" i="62"/>
  <c r="W21" i="62" s="1"/>
  <c r="CE146" i="68"/>
  <c r="CD4" i="68"/>
  <c r="E10" i="31" s="1"/>
  <c r="G10" i="31" s="1"/>
  <c r="CE25" i="68"/>
  <c r="CK18" i="68"/>
  <c r="CD18" i="68"/>
  <c r="E26" i="31" s="1"/>
  <c r="N26" i="31" s="1"/>
  <c r="CE99" i="68"/>
  <c r="CD69" i="68"/>
  <c r="M25" i="43"/>
  <c r="BU16" i="67"/>
  <c r="I26" i="19"/>
  <c r="U26" i="62"/>
  <c r="BI69" i="67"/>
  <c r="K27" i="51"/>
  <c r="K77" i="51" s="1"/>
  <c r="W27" i="51"/>
  <c r="BR69" i="67"/>
  <c r="C140" i="68"/>
  <c r="C19" i="29"/>
  <c r="F126" i="68"/>
  <c r="AK22" i="67"/>
  <c r="AK141" i="68"/>
  <c r="F129" i="68"/>
  <c r="B137" i="68"/>
  <c r="F128" i="68"/>
  <c r="B144" i="68"/>
  <c r="H73" i="28"/>
  <c r="CD7" i="68"/>
  <c r="BQ129" i="68"/>
  <c r="M53" i="29"/>
  <c r="BS123" i="68"/>
  <c r="B123" i="68" s="1"/>
  <c r="AA16" i="51"/>
  <c r="BS65" i="67"/>
  <c r="BU5" i="67"/>
  <c r="BQ141" i="68"/>
  <c r="M52" i="29"/>
  <c r="H66" i="28"/>
  <c r="F3" i="74"/>
  <c r="C2" i="74" s="1"/>
  <c r="B147" i="68"/>
  <c r="BN124" i="68"/>
  <c r="U26" i="51"/>
  <c r="AA44" i="51"/>
  <c r="BS141" i="68"/>
  <c r="BS45" i="67"/>
  <c r="BS57" i="67" s="1"/>
  <c r="E25" i="62"/>
  <c r="AI22" i="67"/>
  <c r="AD128" i="68"/>
  <c r="AJ141" i="68"/>
  <c r="CD30" i="68"/>
  <c r="BQ125" i="68"/>
  <c r="BP125" i="68" s="1"/>
  <c r="BO125" i="68" s="1"/>
  <c r="BN125" i="68" s="1"/>
  <c r="BM125" i="68" s="1"/>
  <c r="BL125" i="68" s="1"/>
  <c r="BK125" i="68" s="1"/>
  <c r="BJ125" i="68" s="1"/>
  <c r="BI125" i="68" s="1"/>
  <c r="BH125" i="68" s="1"/>
  <c r="BG125" i="68" s="1"/>
  <c r="BF125" i="68" s="1"/>
  <c r="BE125" i="68" s="1"/>
  <c r="BD125" i="68" s="1"/>
  <c r="BB125" i="68" s="1"/>
  <c r="C66" i="67"/>
  <c r="BR152" i="68"/>
  <c r="W50" i="51"/>
  <c r="AG50" i="51" s="1"/>
  <c r="F48" i="47" s="1"/>
  <c r="BR45" i="67"/>
  <c r="BR57" i="67" s="1"/>
  <c r="BS70" i="67"/>
  <c r="U21" i="51"/>
  <c r="BN140" i="68"/>
  <c r="AA45" i="51"/>
  <c r="BS128" i="68"/>
  <c r="BQ69" i="67"/>
  <c r="BS126" i="68"/>
  <c r="E54" i="62"/>
  <c r="W54" i="62" s="1"/>
  <c r="E51" i="49" s="1"/>
  <c r="CD89" i="68"/>
  <c r="M76" i="29"/>
  <c r="BN45" i="67"/>
  <c r="BN57" i="67" s="1"/>
  <c r="V22" i="67"/>
  <c r="M52" i="53"/>
  <c r="M55" i="53" s="1"/>
  <c r="D64" i="64" s="1"/>
  <c r="BR70" i="67"/>
  <c r="B16" i="67"/>
  <c r="BS129" i="68"/>
  <c r="AI141" i="68"/>
  <c r="AJ22" i="67"/>
  <c r="O17" i="14"/>
  <c r="F17" i="41" s="1"/>
  <c r="CD17" i="68"/>
  <c r="E25" i="31" s="1"/>
  <c r="CD53" i="68"/>
  <c r="CD51" i="68"/>
  <c r="E58" i="31" s="1"/>
  <c r="CD75" i="68"/>
  <c r="B149" i="68"/>
  <c r="BC140" i="68"/>
  <c r="B136" i="68"/>
  <c r="BR22" i="67"/>
  <c r="BS66" i="67"/>
  <c r="B148" i="68"/>
  <c r="X70" i="67"/>
  <c r="G31" i="72"/>
  <c r="G40" i="72" s="1"/>
  <c r="N140" i="68"/>
  <c r="AK140" i="68"/>
  <c r="BF18" i="15"/>
  <c r="AU26" i="15"/>
  <c r="BD26" i="15" s="1"/>
  <c r="BF26" i="15" s="1"/>
  <c r="T98" i="15"/>
  <c r="AC78" i="16"/>
  <c r="AE78" i="16" s="1"/>
  <c r="W98" i="16"/>
  <c r="AE46" i="16"/>
  <c r="O20" i="19"/>
  <c r="BU10" i="67"/>
  <c r="B10" i="67"/>
  <c r="Q140" i="68"/>
  <c r="E20" i="53"/>
  <c r="Q20" i="53" s="1"/>
  <c r="Z140" i="68"/>
  <c r="U20" i="62"/>
  <c r="W20" i="62" s="1"/>
  <c r="AR140" i="68"/>
  <c r="AR22" i="67"/>
  <c r="G18" i="14"/>
  <c r="AZ140" i="68"/>
  <c r="AZ22" i="67"/>
  <c r="K21" i="51"/>
  <c r="BI140" i="68"/>
  <c r="BI22" i="67"/>
  <c r="BQ140" i="68"/>
  <c r="M19" i="29"/>
  <c r="W44" i="51"/>
  <c r="BO141" i="68"/>
  <c r="B34" i="67"/>
  <c r="BO45" i="67"/>
  <c r="G52" i="19"/>
  <c r="B43" i="67"/>
  <c r="M141" i="68"/>
  <c r="M45" i="67"/>
  <c r="BU43" i="67"/>
  <c r="U141" i="68"/>
  <c r="U52" i="19"/>
  <c r="U45" i="67"/>
  <c r="K55" i="53"/>
  <c r="C60" i="73"/>
  <c r="R101" i="64"/>
  <c r="CD81" i="66"/>
  <c r="CD95" i="66" s="1"/>
  <c r="Z22" i="67"/>
  <c r="BU34" i="67"/>
  <c r="M248" i="1"/>
  <c r="L230" i="1"/>
  <c r="N238" i="1" s="1"/>
  <c r="I139" i="58"/>
  <c r="I135" i="58"/>
  <c r="J75" i="65"/>
  <c r="K19" i="30"/>
  <c r="O19" i="30" s="1"/>
  <c r="G27" i="30"/>
  <c r="J69" i="65"/>
  <c r="C18" i="31"/>
  <c r="K76" i="50"/>
  <c r="AG65" i="50"/>
  <c r="AI64" i="18"/>
  <c r="C75" i="18"/>
  <c r="O64" i="14"/>
  <c r="F63" i="41" s="1"/>
  <c r="K66" i="14"/>
  <c r="BU14" i="67"/>
  <c r="N23" i="6"/>
  <c r="J27" i="6"/>
  <c r="CG305" i="66"/>
  <c r="BZ319" i="66"/>
  <c r="Y319" i="66"/>
  <c r="S319" i="66"/>
  <c r="B311" i="66"/>
  <c r="N319" i="66"/>
  <c r="B309" i="66"/>
  <c r="BV305" i="66"/>
  <c r="AS305" i="66"/>
  <c r="F305" i="66"/>
  <c r="C305" i="66"/>
  <c r="B296" i="66"/>
  <c r="BL305" i="66"/>
  <c r="Z305" i="66"/>
  <c r="X305" i="66"/>
  <c r="I305" i="66"/>
  <c r="B290" i="66"/>
  <c r="BW292" i="66"/>
  <c r="M292" i="66"/>
  <c r="BM292" i="66"/>
  <c r="X292" i="66"/>
  <c r="F292" i="66"/>
  <c r="B282" i="66"/>
  <c r="BZ292" i="66"/>
  <c r="BH292" i="66"/>
  <c r="G292" i="66"/>
  <c r="CE278" i="66"/>
  <c r="BW254" i="66"/>
  <c r="B173" i="66"/>
  <c r="O42" i="13"/>
  <c r="G42" i="40" s="1"/>
  <c r="O32" i="13"/>
  <c r="C75" i="44"/>
  <c r="O73" i="44"/>
  <c r="G71" i="48" s="1"/>
  <c r="AG51" i="50"/>
  <c r="G49" i="46" s="1"/>
  <c r="AG48" i="50"/>
  <c r="G46" i="46" s="1"/>
  <c r="AG38" i="50"/>
  <c r="G36" i="46" s="1"/>
  <c r="AI48" i="18"/>
  <c r="E47" i="46" s="1"/>
  <c r="AI45" i="18"/>
  <c r="E44" i="46" s="1"/>
  <c r="AI33" i="18"/>
  <c r="M38" i="42"/>
  <c r="O16" i="44"/>
  <c r="W14" i="63"/>
  <c r="U29" i="63"/>
  <c r="AG15" i="50"/>
  <c r="G13" i="46" s="1"/>
  <c r="AC30" i="50"/>
  <c r="AG18" i="50"/>
  <c r="G16" i="46" s="1"/>
  <c r="AI21" i="18"/>
  <c r="E20" i="46" s="1"/>
  <c r="BX235" i="66"/>
  <c r="BX317" i="66"/>
  <c r="B317" i="66" s="1"/>
  <c r="B233" i="66"/>
  <c r="B235" i="66" s="1"/>
  <c r="G16" i="57"/>
  <c r="G27" i="57"/>
  <c r="G30" i="57" s="1"/>
  <c r="G139" i="58"/>
  <c r="BS3" i="70"/>
  <c r="BS60" i="70" s="1"/>
  <c r="O47" i="14"/>
  <c r="F48" i="41" s="1"/>
  <c r="AG39" i="51"/>
  <c r="F37" i="47" s="1"/>
  <c r="AG40" i="51"/>
  <c r="F38" i="47" s="1"/>
  <c r="AG43" i="51"/>
  <c r="F41" i="47" s="1"/>
  <c r="E53" i="30"/>
  <c r="I16" i="30"/>
  <c r="B64" i="66"/>
  <c r="K16" i="45"/>
  <c r="AV69" i="67"/>
  <c r="BA126" i="68"/>
  <c r="BA66" i="67"/>
  <c r="CD71" i="68"/>
  <c r="G77" i="51"/>
  <c r="AX128" i="68"/>
  <c r="AX70" i="67"/>
  <c r="B35" i="67"/>
  <c r="B138" i="68"/>
  <c r="I25" i="31"/>
  <c r="AE28" i="16"/>
  <c r="B131" i="68"/>
  <c r="B253" i="66"/>
  <c r="BN83" i="69"/>
  <c r="BN50" i="69"/>
  <c r="BN77" i="69" s="1"/>
  <c r="BN53" i="71"/>
  <c r="AU24" i="15"/>
  <c r="B134" i="68"/>
  <c r="B139" i="68"/>
  <c r="B145" i="68"/>
  <c r="G53" i="30"/>
  <c r="P31" i="72"/>
  <c r="AA17" i="51"/>
  <c r="BS69" i="67"/>
  <c r="B142" i="68"/>
  <c r="B135" i="68"/>
  <c r="L21" i="1"/>
  <c r="M75" i="27"/>
  <c r="B127" i="68"/>
  <c r="BP3" i="71"/>
  <c r="AH126" i="68"/>
  <c r="AH22" i="67"/>
  <c r="E75" i="24"/>
  <c r="O42" i="72"/>
  <c r="B14" i="67"/>
  <c r="U77" i="51"/>
  <c r="L244" i="1"/>
  <c r="L42" i="1"/>
  <c r="L187" i="1"/>
  <c r="N195" i="1" s="1"/>
  <c r="L243" i="1"/>
  <c r="AG22" i="67"/>
  <c r="BS22" i="67"/>
  <c r="O65" i="44"/>
  <c r="B31" i="67"/>
  <c r="U15" i="51"/>
  <c r="BN22" i="67"/>
  <c r="AG66" i="50"/>
  <c r="G64" i="46" s="1"/>
  <c r="BQ22" i="67"/>
  <c r="BQ63" i="67"/>
  <c r="M12" i="29"/>
  <c r="U22" i="51"/>
  <c r="BN66" i="67"/>
  <c r="U46" i="51"/>
  <c r="BN70" i="67"/>
  <c r="AA76" i="50"/>
  <c r="M50" i="69"/>
  <c r="M77" i="69" s="1"/>
  <c r="L126" i="1"/>
  <c r="N132" i="1" s="1"/>
  <c r="I56" i="49"/>
  <c r="D56" i="41" s="1"/>
  <c r="AI65" i="18"/>
  <c r="E64" i="46" s="1"/>
  <c r="M65" i="42"/>
  <c r="C65" i="46" s="1"/>
  <c r="Q82" i="9"/>
  <c r="P88" i="9"/>
  <c r="BQ70" i="67"/>
  <c r="S77" i="69"/>
  <c r="W66" i="63"/>
  <c r="E64" i="48" s="1"/>
  <c r="L29" i="1"/>
  <c r="O29" i="1" s="1"/>
  <c r="L254" i="1"/>
  <c r="M64" i="42"/>
  <c r="AC30" i="57"/>
  <c r="M53" i="71"/>
  <c r="B117" i="66"/>
  <c r="W75" i="18"/>
  <c r="I80" i="31"/>
  <c r="BQ45" i="67"/>
  <c r="BQ57" i="67" s="1"/>
  <c r="O153" i="1"/>
  <c r="L248" i="1"/>
  <c r="AG27" i="50"/>
  <c r="G25" i="46" s="1"/>
  <c r="L255" i="1"/>
  <c r="L50" i="1"/>
  <c r="O50" i="1" s="1"/>
  <c r="L253" i="1"/>
  <c r="L113" i="1"/>
  <c r="L166" i="1"/>
  <c r="N174" i="1" s="1"/>
  <c r="I75" i="27"/>
  <c r="M66" i="42"/>
  <c r="C66" i="46" s="1"/>
  <c r="CD46" i="68"/>
  <c r="E52" i="31" s="1"/>
  <c r="G52" i="31" s="1"/>
  <c r="C56" i="62"/>
  <c r="AG28" i="50"/>
  <c r="G26" i="46" s="1"/>
  <c r="O61" i="14"/>
  <c r="Q87" i="9"/>
  <c r="AH128" i="68"/>
  <c r="S53" i="71"/>
  <c r="B146" i="68"/>
  <c r="H56" i="28"/>
  <c r="BX122" i="68"/>
  <c r="B150" i="68"/>
  <c r="W29" i="18"/>
  <c r="C30" i="62"/>
  <c r="G26" i="62"/>
  <c r="AI42" i="18"/>
  <c r="E41" i="46" s="1"/>
  <c r="N46" i="3"/>
  <c r="M15" i="14"/>
  <c r="BC22" i="67"/>
  <c r="D104" i="64"/>
  <c r="K4" i="73"/>
  <c r="K5" i="73" s="1"/>
  <c r="AN31" i="3"/>
  <c r="M19" i="14"/>
  <c r="BC66" i="67"/>
  <c r="AX83" i="69"/>
  <c r="B79" i="66"/>
  <c r="AD22" i="67"/>
  <c r="AK128" i="68"/>
  <c r="M42" i="14"/>
  <c r="BC45" i="67"/>
  <c r="BC57" i="67" s="1"/>
  <c r="BC70" i="67"/>
  <c r="BC128" i="68"/>
  <c r="I23" i="62"/>
  <c r="AL22" i="67"/>
  <c r="AL55" i="67" s="1"/>
  <c r="AF83" i="69"/>
  <c r="AG83" i="69"/>
  <c r="BC124" i="68"/>
  <c r="M18" i="14"/>
  <c r="J250" i="1"/>
  <c r="AR83" i="69"/>
  <c r="AH83" i="69"/>
  <c r="Z83" i="69"/>
  <c r="BK83" i="69"/>
  <c r="G49" i="56"/>
  <c r="G53" i="56" s="1"/>
  <c r="G105" i="56" s="1"/>
  <c r="K144" i="12"/>
  <c r="L50" i="69"/>
  <c r="AY83" i="69"/>
  <c r="BD83" i="69"/>
  <c r="BQ83" i="69"/>
  <c r="Q83" i="69"/>
  <c r="AW53" i="71"/>
  <c r="AW83" i="69"/>
  <c r="AZ83" i="69"/>
  <c r="M146" i="12"/>
  <c r="C491" i="66"/>
  <c r="O67" i="30"/>
  <c r="AL81" i="66"/>
  <c r="Y83" i="69"/>
  <c r="AI44" i="18"/>
  <c r="E43" i="46" s="1"/>
  <c r="AL141" i="68"/>
  <c r="V83" i="69"/>
  <c r="J44" i="8"/>
  <c r="I20" i="21"/>
  <c r="I14" i="31" s="1"/>
  <c r="J73" i="9"/>
  <c r="AI15" i="18"/>
  <c r="E14" i="46" s="1"/>
  <c r="C65" i="69"/>
  <c r="C77" i="69" s="1"/>
  <c r="D42" i="26"/>
  <c r="C263" i="66"/>
  <c r="C265" i="66" s="1"/>
  <c r="AI25" i="18"/>
  <c r="E24" i="46" s="1"/>
  <c r="B44" i="67"/>
  <c r="AI23" i="18"/>
  <c r="E22" i="46" s="1"/>
  <c r="AB133" i="68"/>
  <c r="AH132" i="68"/>
  <c r="AW85" i="69"/>
  <c r="B26" i="71"/>
  <c r="D46" i="26" s="1"/>
  <c r="AC52" i="71"/>
  <c r="B52" i="71" s="1"/>
  <c r="AA85" i="69"/>
  <c r="AL132" i="68"/>
  <c r="AK133" i="68"/>
  <c r="AT85" i="69"/>
  <c r="BH45" i="67"/>
  <c r="BU31" i="67"/>
  <c r="AA26" i="50"/>
  <c r="D101" i="64"/>
  <c r="BU44" i="67"/>
  <c r="T53" i="71"/>
  <c r="C88" i="65"/>
  <c r="K22" i="30"/>
  <c r="O22" i="30" s="1"/>
  <c r="AW25" i="58"/>
  <c r="C77" i="65"/>
  <c r="C76" i="65"/>
  <c r="K20" i="30"/>
  <c r="O20" i="30" s="1"/>
  <c r="AW23" i="58"/>
  <c r="C73" i="65"/>
  <c r="AW19" i="58"/>
  <c r="K17" i="30"/>
  <c r="O17" i="30" s="1"/>
  <c r="C68" i="65"/>
  <c r="C71" i="65"/>
  <c r="C13" i="30"/>
  <c r="K15" i="30"/>
  <c r="O15" i="30" s="1"/>
  <c r="C431" i="66"/>
  <c r="K21" i="30"/>
  <c r="O21" i="30" s="1"/>
  <c r="C35" i="18"/>
  <c r="U29" i="18"/>
  <c r="AG29" i="18"/>
  <c r="F30" i="64" s="1"/>
  <c r="J30" i="64" s="1"/>
  <c r="AD35" i="3"/>
  <c r="AD46" i="3" s="1"/>
  <c r="AD59" i="3" s="1"/>
  <c r="AD64" i="3" s="1"/>
  <c r="P74" i="2"/>
  <c r="C26" i="18"/>
  <c r="AG37" i="18"/>
  <c r="AG58" i="18" s="1"/>
  <c r="Y53" i="19"/>
  <c r="H114" i="2"/>
  <c r="H126" i="2" s="1"/>
  <c r="I59" i="31"/>
  <c r="V105" i="2"/>
  <c r="AN44" i="3"/>
  <c r="I43" i="31"/>
  <c r="G42" i="21"/>
  <c r="I42" i="21" s="1"/>
  <c r="T32" i="20"/>
  <c r="Q65" i="30"/>
  <c r="Q71" i="30" s="1"/>
  <c r="R32" i="20"/>
  <c r="Q43" i="30"/>
  <c r="I165" i="21"/>
  <c r="G177" i="21"/>
  <c r="R51" i="20" s="1"/>
  <c r="V143" i="2"/>
  <c r="G156" i="21"/>
  <c r="I149" i="21"/>
  <c r="I156" i="21" s="1"/>
  <c r="I69" i="31" s="1"/>
  <c r="I70" i="31" s="1"/>
  <c r="R46" i="20" l="1"/>
  <c r="T46" i="20"/>
  <c r="I131" i="21"/>
  <c r="I63" i="31" s="1"/>
  <c r="I67" i="31" s="1"/>
  <c r="I71" i="31" s="1"/>
  <c r="V74" i="2"/>
  <c r="I69" i="21"/>
  <c r="I82" i="21" s="1"/>
  <c r="G69" i="21"/>
  <c r="G82" i="21" s="1"/>
  <c r="I13" i="21"/>
  <c r="N59" i="3"/>
  <c r="N64" i="3" s="1"/>
  <c r="H148" i="2"/>
  <c r="P75" i="2"/>
  <c r="P148" i="2" s="1"/>
  <c r="I26" i="21"/>
  <c r="G36" i="28"/>
  <c r="AC138" i="58"/>
  <c r="AC141" i="58" s="1"/>
  <c r="I141" i="58"/>
  <c r="C55" i="19"/>
  <c r="C70" i="19" s="1"/>
  <c r="T60" i="67"/>
  <c r="P3" i="71"/>
  <c r="P45" i="71" s="1"/>
  <c r="P48" i="71" s="1"/>
  <c r="K86" i="25"/>
  <c r="K90" i="25" s="1"/>
  <c r="K92" i="25" s="1"/>
  <c r="J13" i="72"/>
  <c r="AE98" i="16"/>
  <c r="M13" i="43"/>
  <c r="B13" i="47" s="1"/>
  <c r="BL60" i="67"/>
  <c r="G86" i="25"/>
  <c r="G90" i="25" s="1"/>
  <c r="I74" i="25"/>
  <c r="W3" i="71"/>
  <c r="AK77" i="69"/>
  <c r="D81" i="69"/>
  <c r="D89" i="69" s="1"/>
  <c r="W60" i="67"/>
  <c r="M22" i="43"/>
  <c r="B22" i="47" s="1"/>
  <c r="AG26" i="51"/>
  <c r="F24" i="47" s="1"/>
  <c r="N3" i="71"/>
  <c r="AW77" i="69"/>
  <c r="AI77" i="69"/>
  <c r="AJ77" i="69"/>
  <c r="AR55" i="67"/>
  <c r="K62" i="70"/>
  <c r="B77" i="74"/>
  <c r="N24" i="31"/>
  <c r="I47" i="48"/>
  <c r="E48" i="40" s="1"/>
  <c r="AG55" i="67"/>
  <c r="AS55" i="67"/>
  <c r="AW55" i="67"/>
  <c r="AW3" i="70" s="1"/>
  <c r="AJ55" i="67"/>
  <c r="AF55" i="67"/>
  <c r="G141" i="58"/>
  <c r="M95" i="58"/>
  <c r="AU55" i="67"/>
  <c r="E3" i="74"/>
  <c r="M63" i="53"/>
  <c r="M68" i="53" s="1"/>
  <c r="AD55" i="67"/>
  <c r="AB55" i="67"/>
  <c r="AB3" i="70" s="1"/>
  <c r="G63" i="45"/>
  <c r="AT55" i="67"/>
  <c r="AI55" i="67"/>
  <c r="AH55" i="67"/>
  <c r="AK55" i="67"/>
  <c r="AV55" i="67"/>
  <c r="W62" i="70"/>
  <c r="L29" i="72"/>
  <c r="N12" i="31"/>
  <c r="AY122" i="68"/>
  <c r="M29" i="43"/>
  <c r="B29" i="47" s="1"/>
  <c r="V59" i="3"/>
  <c r="V64" i="3" s="1"/>
  <c r="X59" i="3"/>
  <c r="X64" i="3" s="1"/>
  <c r="T59" i="3"/>
  <c r="T64" i="3" s="1"/>
  <c r="H56" i="8"/>
  <c r="H62" i="8" s="1"/>
  <c r="J56" i="8"/>
  <c r="J62" i="8" s="1"/>
  <c r="N34" i="8"/>
  <c r="K59" i="11"/>
  <c r="K62" i="11" s="1"/>
  <c r="M59" i="11"/>
  <c r="M62" i="11" s="1"/>
  <c r="N48" i="20"/>
  <c r="N52" i="20" s="1"/>
  <c r="C66" i="24"/>
  <c r="C76" i="24" s="1"/>
  <c r="K45" i="71"/>
  <c r="BA45" i="71"/>
  <c r="BA48" i="71" s="1"/>
  <c r="AA45" i="71"/>
  <c r="AA48" i="71" s="1"/>
  <c r="D45" i="71"/>
  <c r="BM77" i="69"/>
  <c r="BM81" i="69" s="1"/>
  <c r="BM89" i="69" s="1"/>
  <c r="BK62" i="70"/>
  <c r="J95" i="66"/>
  <c r="J121" i="68" s="1"/>
  <c r="AF95" i="66"/>
  <c r="AF121" i="68" s="1"/>
  <c r="BB62" i="70"/>
  <c r="BL95" i="66"/>
  <c r="BL121" i="68" s="1"/>
  <c r="BB95" i="66"/>
  <c r="BB121" i="68" s="1"/>
  <c r="AD95" i="66"/>
  <c r="AD121" i="68" s="1"/>
  <c r="BF95" i="66"/>
  <c r="BF121" i="68" s="1"/>
  <c r="X95" i="66"/>
  <c r="X121" i="68" s="1"/>
  <c r="AC3" i="71"/>
  <c r="AC45" i="71" s="1"/>
  <c r="AC48" i="71" s="1"/>
  <c r="AC77" i="69"/>
  <c r="BE95" i="66"/>
  <c r="BE121" i="68" s="1"/>
  <c r="AV95" i="66"/>
  <c r="AV121" i="68" s="1"/>
  <c r="AS95" i="66"/>
  <c r="AS121" i="68" s="1"/>
  <c r="Q95" i="66"/>
  <c r="Q121" i="68" s="1"/>
  <c r="BW95" i="66"/>
  <c r="BW121" i="68" s="1"/>
  <c r="BY43" i="71"/>
  <c r="J91" i="73" s="1"/>
  <c r="J92" i="73" s="1"/>
  <c r="BY95" i="66"/>
  <c r="BY121" i="68" s="1"/>
  <c r="AY95" i="66"/>
  <c r="AY121" i="68" s="1"/>
  <c r="BI3" i="71"/>
  <c r="BI45" i="71" s="1"/>
  <c r="BI48" i="71" s="1"/>
  <c r="BI77" i="69"/>
  <c r="BI81" i="69" s="1"/>
  <c r="BI89" i="69" s="1"/>
  <c r="BC122" i="68"/>
  <c r="AG16" i="51"/>
  <c r="F14" i="47" s="1"/>
  <c r="H14" i="47" s="1"/>
  <c r="B14" i="41" s="1"/>
  <c r="BG3" i="71"/>
  <c r="BG45" i="71" s="1"/>
  <c r="BG48" i="71" s="1"/>
  <c r="BG77" i="69"/>
  <c r="BG81" i="69" s="1"/>
  <c r="BG89" i="69" s="1"/>
  <c r="BO95" i="66"/>
  <c r="BO121" i="68" s="1"/>
  <c r="BO77" i="69"/>
  <c r="BO81" i="69" s="1"/>
  <c r="BO89" i="69" s="1"/>
  <c r="M95" i="66"/>
  <c r="M121" i="68" s="1"/>
  <c r="L79" i="69"/>
  <c r="L77" i="69"/>
  <c r="L81" i="69" s="1"/>
  <c r="L89" i="69" s="1"/>
  <c r="S95" i="66"/>
  <c r="S121" i="68" s="1"/>
  <c r="AW95" i="66"/>
  <c r="AW121" i="68" s="1"/>
  <c r="AX95" i="66"/>
  <c r="AX121" i="68" s="1"/>
  <c r="BC95" i="66"/>
  <c r="BC121" i="68" s="1"/>
  <c r="AC95" i="66"/>
  <c r="AC121" i="68" s="1"/>
  <c r="AZ95" i="66"/>
  <c r="AZ121" i="68" s="1"/>
  <c r="BN95" i="66"/>
  <c r="BN121" i="68" s="1"/>
  <c r="G32" i="31"/>
  <c r="BV43" i="71"/>
  <c r="BV45" i="71" s="1"/>
  <c r="BV48" i="71" s="1"/>
  <c r="BV95" i="66"/>
  <c r="BV121" i="68" s="1"/>
  <c r="BH95" i="66"/>
  <c r="BH121" i="68" s="1"/>
  <c r="BE3" i="71"/>
  <c r="BE45" i="71" s="1"/>
  <c r="BE48" i="71" s="1"/>
  <c r="BE77" i="69"/>
  <c r="BE81" i="69" s="1"/>
  <c r="BE89" i="69" s="1"/>
  <c r="BF45" i="71"/>
  <c r="BF48" i="71" s="1"/>
  <c r="BX95" i="66"/>
  <c r="BX121" i="68" s="1"/>
  <c r="BP95" i="66"/>
  <c r="BP121" i="68" s="1"/>
  <c r="BD95" i="66"/>
  <c r="BD121" i="68" s="1"/>
  <c r="AL95" i="66"/>
  <c r="AL121" i="68" s="1"/>
  <c r="O95" i="66"/>
  <c r="O121" i="68" s="1"/>
  <c r="P95" i="66"/>
  <c r="P121" i="68" s="1"/>
  <c r="BM95" i="66"/>
  <c r="BM121" i="68" s="1"/>
  <c r="BS95" i="66"/>
  <c r="BS121" i="68" s="1"/>
  <c r="W95" i="66"/>
  <c r="W121" i="68" s="1"/>
  <c r="BB77" i="69"/>
  <c r="BB81" i="69" s="1"/>
  <c r="BB89" i="69" s="1"/>
  <c r="AA95" i="66"/>
  <c r="AA121" i="68" s="1"/>
  <c r="BU43" i="71"/>
  <c r="BU45" i="71" s="1"/>
  <c r="BU48" i="71" s="1"/>
  <c r="BU95" i="66"/>
  <c r="BU121" i="68" s="1"/>
  <c r="AB95" i="66"/>
  <c r="AB121" i="68" s="1"/>
  <c r="BG95" i="66"/>
  <c r="BG121" i="68" s="1"/>
  <c r="AS3" i="71"/>
  <c r="AS45" i="71" s="1"/>
  <c r="AS48" i="71" s="1"/>
  <c r="AS77" i="69"/>
  <c r="AU95" i="66"/>
  <c r="AU121" i="68" s="1"/>
  <c r="AJ95" i="66"/>
  <c r="AJ121" i="68" s="1"/>
  <c r="BX237" i="66"/>
  <c r="BX241" i="66" s="1"/>
  <c r="CG318" i="66"/>
  <c r="CG319" i="66" s="1"/>
  <c r="CG321" i="66" s="1"/>
  <c r="CG325" i="66" s="1"/>
  <c r="O95" i="58"/>
  <c r="I95" i="58"/>
  <c r="W92" i="58"/>
  <c r="W95" i="58" s="1"/>
  <c r="M139" i="58"/>
  <c r="M141" i="58" s="1"/>
  <c r="S139" i="58"/>
  <c r="S141" i="58" s="1"/>
  <c r="D57" i="67"/>
  <c r="D130" i="68"/>
  <c r="C57" i="67"/>
  <c r="C130" i="68"/>
  <c r="C20" i="72"/>
  <c r="G143" i="25"/>
  <c r="I80" i="22"/>
  <c r="AG25" i="51"/>
  <c r="F23" i="47" s="1"/>
  <c r="G162" i="25"/>
  <c r="E59" i="31"/>
  <c r="N59" i="31" s="1"/>
  <c r="AW59" i="58"/>
  <c r="BD62" i="70"/>
  <c r="I162" i="25"/>
  <c r="I60" i="25"/>
  <c r="C24" i="72"/>
  <c r="H49" i="47"/>
  <c r="B49" i="41" s="1"/>
  <c r="G60" i="25"/>
  <c r="G27" i="24"/>
  <c r="I143" i="25"/>
  <c r="I27" i="24"/>
  <c r="CD147" i="68"/>
  <c r="BT122" i="68"/>
  <c r="B65" i="67"/>
  <c r="AG55" i="19"/>
  <c r="D30" i="64" s="1"/>
  <c r="CG2" i="74"/>
  <c r="E2" i="74" s="1"/>
  <c r="CD146" i="68"/>
  <c r="I36" i="49"/>
  <c r="D37" i="41" s="1"/>
  <c r="G128" i="25"/>
  <c r="E66" i="31"/>
  <c r="N66" i="31" s="1"/>
  <c r="W33" i="19"/>
  <c r="B27" i="64" s="1"/>
  <c r="AI24" i="19"/>
  <c r="D23" i="47" s="1"/>
  <c r="O15" i="14"/>
  <c r="F15" i="41" s="1"/>
  <c r="O19" i="14"/>
  <c r="F20" i="41" s="1"/>
  <c r="K33" i="53"/>
  <c r="B62" i="64" s="1"/>
  <c r="I49" i="49"/>
  <c r="D50" i="41" s="1"/>
  <c r="O57" i="13"/>
  <c r="F108" i="64"/>
  <c r="BR45" i="71"/>
  <c r="BR48" i="71" s="1"/>
  <c r="N45" i="71"/>
  <c r="N48" i="71" s="1"/>
  <c r="F62" i="26"/>
  <c r="W45" i="71"/>
  <c r="W48" i="71" s="1"/>
  <c r="C32" i="46"/>
  <c r="M57" i="42"/>
  <c r="C58" i="18"/>
  <c r="L19" i="64" s="1"/>
  <c r="P19" i="64" s="1"/>
  <c r="E32" i="46"/>
  <c r="G32" i="46"/>
  <c r="G57" i="46" s="1"/>
  <c r="AG59" i="50"/>
  <c r="C31" i="48"/>
  <c r="Q58" i="52"/>
  <c r="R58" i="52" s="1"/>
  <c r="W58" i="63"/>
  <c r="O58" i="44"/>
  <c r="U62" i="70"/>
  <c r="J122" i="68"/>
  <c r="R122" i="68"/>
  <c r="BG122" i="68"/>
  <c r="BH122" i="68"/>
  <c r="I128" i="25"/>
  <c r="O31" i="72"/>
  <c r="O40" i="72" s="1"/>
  <c r="O44" i="72" s="1"/>
  <c r="R36" i="52"/>
  <c r="S61" i="27"/>
  <c r="S77" i="27" s="1"/>
  <c r="S89" i="27" s="1"/>
  <c r="CB122" i="68"/>
  <c r="AZ122" i="68"/>
  <c r="BM62" i="70"/>
  <c r="AX122" i="68"/>
  <c r="Q122" i="68"/>
  <c r="AN35" i="3"/>
  <c r="R17" i="20" s="1"/>
  <c r="R19" i="20" s="1"/>
  <c r="R34" i="20" s="1"/>
  <c r="R48" i="20" s="1"/>
  <c r="K138" i="58"/>
  <c r="K141" i="58" s="1"/>
  <c r="K95" i="58"/>
  <c r="K12" i="73"/>
  <c r="K71" i="73"/>
  <c r="K40" i="73"/>
  <c r="C44" i="73"/>
  <c r="K44" i="73" s="1"/>
  <c r="C75" i="73"/>
  <c r="K75" i="73" s="1"/>
  <c r="K24" i="73"/>
  <c r="T75" i="2"/>
  <c r="T148" i="2" s="1"/>
  <c r="K25" i="30"/>
  <c r="O25" i="30" s="1"/>
  <c r="BM3" i="71"/>
  <c r="BM45" i="71" s="1"/>
  <c r="BM48" i="71" s="1"/>
  <c r="O69" i="12"/>
  <c r="I17" i="48"/>
  <c r="E18" i="40" s="1"/>
  <c r="W34" i="51"/>
  <c r="B46" i="64" s="1"/>
  <c r="E35" i="46"/>
  <c r="I35" i="46" s="1"/>
  <c r="C35" i="40" s="1"/>
  <c r="O25" i="45"/>
  <c r="G23" i="49" s="1"/>
  <c r="G32" i="40"/>
  <c r="G57" i="40" s="1"/>
  <c r="G45" i="48"/>
  <c r="R45" i="52"/>
  <c r="C39" i="46"/>
  <c r="I39" i="46" s="1"/>
  <c r="C39" i="40" s="1"/>
  <c r="E48" i="48"/>
  <c r="C43" i="48"/>
  <c r="I43" i="48" s="1"/>
  <c r="E44" i="40" s="1"/>
  <c r="BP79" i="69"/>
  <c r="BP45" i="71"/>
  <c r="BP48" i="71" s="1"/>
  <c r="C63" i="45"/>
  <c r="I65" i="45"/>
  <c r="M23" i="43"/>
  <c r="B23" i="47" s="1"/>
  <c r="E91" i="73"/>
  <c r="E92" i="73" s="1"/>
  <c r="BT45" i="71"/>
  <c r="BT48" i="71" s="1"/>
  <c r="O13" i="14"/>
  <c r="F13" i="41" s="1"/>
  <c r="Q14" i="53"/>
  <c r="C12" i="49" s="1"/>
  <c r="O14" i="45"/>
  <c r="G12" i="49" s="1"/>
  <c r="Z51" i="67"/>
  <c r="Z55" i="67" s="1"/>
  <c r="Z3" i="70" s="1"/>
  <c r="Z60" i="70" s="1"/>
  <c r="Y51" i="67"/>
  <c r="Y55" i="67" s="1"/>
  <c r="Y3" i="70" s="1"/>
  <c r="Y60" i="70" s="1"/>
  <c r="K92" i="27"/>
  <c r="B64" i="67"/>
  <c r="E68" i="14"/>
  <c r="E71" i="14" s="1"/>
  <c r="C71" i="48"/>
  <c r="I71" i="48" s="1"/>
  <c r="E72" i="40" s="1"/>
  <c r="M61" i="52"/>
  <c r="M77" i="52" s="1"/>
  <c r="AL3" i="70"/>
  <c r="I64" i="62"/>
  <c r="I69" i="62" s="1"/>
  <c r="I71" i="62" s="1"/>
  <c r="AG21" i="51"/>
  <c r="F19" i="47" s="1"/>
  <c r="I68" i="48"/>
  <c r="E69" i="40" s="1"/>
  <c r="I31" i="72"/>
  <c r="I40" i="72" s="1"/>
  <c r="K109" i="73"/>
  <c r="K110" i="73" s="1"/>
  <c r="F122" i="68"/>
  <c r="I177" i="55"/>
  <c r="I178" i="55" s="1"/>
  <c r="BK170" i="68"/>
  <c r="BK178" i="68" s="1"/>
  <c r="W25" i="62"/>
  <c r="E23" i="49" s="1"/>
  <c r="O40" i="45"/>
  <c r="G38" i="49" s="1"/>
  <c r="I38" i="49" s="1"/>
  <c r="Q56" i="51"/>
  <c r="Q71" i="51" s="1"/>
  <c r="O30" i="45"/>
  <c r="G28" i="49" s="1"/>
  <c r="O20" i="45"/>
  <c r="G18" i="49" s="1"/>
  <c r="AI20" i="19"/>
  <c r="O18" i="45"/>
  <c r="G16" i="49" s="1"/>
  <c r="AG22" i="51"/>
  <c r="F20" i="47" s="1"/>
  <c r="AG17" i="51"/>
  <c r="F15" i="47" s="1"/>
  <c r="W26" i="62"/>
  <c r="E24" i="49" s="1"/>
  <c r="AF170" i="68"/>
  <c r="M24" i="43"/>
  <c r="B24" i="47" s="1"/>
  <c r="O27" i="45"/>
  <c r="G25" i="49" s="1"/>
  <c r="AI18" i="19"/>
  <c r="D17" i="47" s="1"/>
  <c r="AI16" i="19"/>
  <c r="AG18" i="51"/>
  <c r="F16" i="47" s="1"/>
  <c r="W30" i="62"/>
  <c r="E28" i="49" s="1"/>
  <c r="M12" i="43"/>
  <c r="B12" i="47" s="1"/>
  <c r="F120" i="73"/>
  <c r="BU62" i="70"/>
  <c r="C34" i="51"/>
  <c r="AG31" i="51"/>
  <c r="F29" i="47" s="1"/>
  <c r="AG29" i="51"/>
  <c r="F27" i="47" s="1"/>
  <c r="Q31" i="53"/>
  <c r="C29" i="49" s="1"/>
  <c r="F25" i="41"/>
  <c r="C28" i="49"/>
  <c r="M16" i="43"/>
  <c r="B16" i="47" s="1"/>
  <c r="O28" i="14"/>
  <c r="F29" i="41" s="1"/>
  <c r="C26" i="49"/>
  <c r="I26" i="49" s="1"/>
  <c r="D27" i="41" s="1"/>
  <c r="J120" i="73"/>
  <c r="BY122" i="68"/>
  <c r="M20" i="43"/>
  <c r="B20" i="47" s="1"/>
  <c r="Q21" i="53"/>
  <c r="C19" i="49" s="1"/>
  <c r="AG28" i="51"/>
  <c r="F26" i="47" s="1"/>
  <c r="Q25" i="53"/>
  <c r="C23" i="49" s="1"/>
  <c r="E120" i="73"/>
  <c r="Q26" i="53"/>
  <c r="C24" i="49" s="1"/>
  <c r="AG27" i="51"/>
  <c r="F25" i="47" s="1"/>
  <c r="O26" i="14"/>
  <c r="F27" i="41" s="1"/>
  <c r="I120" i="73"/>
  <c r="BX62" i="70"/>
  <c r="B15" i="47"/>
  <c r="C25" i="49"/>
  <c r="G120" i="73"/>
  <c r="BV122" i="68"/>
  <c r="M17" i="43"/>
  <c r="B17" i="47" s="1"/>
  <c r="I13" i="49"/>
  <c r="D14" i="41" s="1"/>
  <c r="I22" i="49"/>
  <c r="D23" i="41" s="1"/>
  <c r="BI122" i="68"/>
  <c r="M56" i="51"/>
  <c r="D38" i="64" s="1"/>
  <c r="BB60" i="67"/>
  <c r="H21" i="47"/>
  <c r="B21" i="41" s="1"/>
  <c r="H21" i="41" s="1"/>
  <c r="I21" i="41" s="1"/>
  <c r="BN122" i="68"/>
  <c r="I43" i="49"/>
  <c r="D44" i="41" s="1"/>
  <c r="O62" i="70"/>
  <c r="AU170" i="68"/>
  <c r="AU178" i="68" s="1"/>
  <c r="Y34" i="51"/>
  <c r="B44" i="64" s="1"/>
  <c r="E55" i="19"/>
  <c r="E70" i="19" s="1"/>
  <c r="K28" i="73"/>
  <c r="C48" i="48"/>
  <c r="R67" i="52"/>
  <c r="E61" i="18"/>
  <c r="E77" i="18" s="1"/>
  <c r="E89" i="18" s="1"/>
  <c r="E92" i="18" s="1"/>
  <c r="E29" i="49"/>
  <c r="C32" i="48"/>
  <c r="G170" i="68"/>
  <c r="G178" i="68" s="1"/>
  <c r="CA121" i="68"/>
  <c r="Z170" i="68"/>
  <c r="J3" i="71"/>
  <c r="J79" i="69" s="1"/>
  <c r="J89" i="69"/>
  <c r="S34" i="51"/>
  <c r="B41" i="64" s="1"/>
  <c r="AA70" i="19"/>
  <c r="BR62" i="70"/>
  <c r="Q13" i="53"/>
  <c r="C11" i="49" s="1"/>
  <c r="V62" i="70"/>
  <c r="BO3" i="71"/>
  <c r="I39" i="49"/>
  <c r="D40" i="41" s="1"/>
  <c r="I37" i="49"/>
  <c r="D38" i="41" s="1"/>
  <c r="H36" i="47"/>
  <c r="B36" i="41" s="1"/>
  <c r="G33" i="53"/>
  <c r="AG42" i="51"/>
  <c r="F40" i="47" s="1"/>
  <c r="H40" i="47" s="1"/>
  <c r="B40" i="41" s="1"/>
  <c r="M38" i="43"/>
  <c r="B38" i="47" s="1"/>
  <c r="H38" i="47" s="1"/>
  <c r="B38" i="41" s="1"/>
  <c r="K54" i="43"/>
  <c r="K69" i="43" s="1"/>
  <c r="W13" i="62"/>
  <c r="E11" i="49" s="1"/>
  <c r="S56" i="51"/>
  <c r="C55" i="29"/>
  <c r="D7" i="64" s="1"/>
  <c r="E54" i="43"/>
  <c r="D13" i="64" s="1"/>
  <c r="C70" i="48"/>
  <c r="I70" i="48" s="1"/>
  <c r="E71" i="40" s="1"/>
  <c r="C42" i="39"/>
  <c r="I45" i="49"/>
  <c r="D46" i="41" s="1"/>
  <c r="B182" i="66"/>
  <c r="CA237" i="66"/>
  <c r="CA241" i="66" s="1"/>
  <c r="CE241" i="66"/>
  <c r="BW237" i="66"/>
  <c r="BW241" i="66" s="1"/>
  <c r="CF241" i="66"/>
  <c r="L148" i="2"/>
  <c r="Y96" i="2"/>
  <c r="G138" i="21"/>
  <c r="G140" i="21" s="1"/>
  <c r="G158" i="21" s="1"/>
  <c r="N75" i="2"/>
  <c r="N148" i="2" s="1"/>
  <c r="V114" i="2"/>
  <c r="V126" i="2" s="1"/>
  <c r="CE100" i="68"/>
  <c r="AG53" i="51"/>
  <c r="F51" i="47" s="1"/>
  <c r="AE56" i="51"/>
  <c r="D49" i="64" s="1"/>
  <c r="O13" i="45"/>
  <c r="G11" i="49" s="1"/>
  <c r="CE43" i="68"/>
  <c r="K114" i="73"/>
  <c r="BF60" i="67"/>
  <c r="AA170" i="68"/>
  <c r="AA178" i="68" s="1"/>
  <c r="E55" i="29"/>
  <c r="E70" i="29" s="1"/>
  <c r="G56" i="51"/>
  <c r="D34" i="64" s="1"/>
  <c r="AB170" i="68"/>
  <c r="AB178" i="68" s="1"/>
  <c r="O44" i="45"/>
  <c r="G42" i="49" s="1"/>
  <c r="CF43" i="68"/>
  <c r="Y170" i="68"/>
  <c r="G55" i="45"/>
  <c r="D81" i="64" s="1"/>
  <c r="E56" i="51"/>
  <c r="D45" i="64" s="1"/>
  <c r="H56" i="47"/>
  <c r="B56" i="41" s="1"/>
  <c r="H56" i="41" s="1"/>
  <c r="W58" i="29" s="1"/>
  <c r="Y58" i="29" s="1"/>
  <c r="H58" i="28" s="1"/>
  <c r="H48" i="47"/>
  <c r="B48" i="41" s="1"/>
  <c r="C62" i="70"/>
  <c r="K38" i="24"/>
  <c r="D81" i="65"/>
  <c r="E81" i="65" s="1"/>
  <c r="B152" i="66"/>
  <c r="M69" i="30" s="1"/>
  <c r="D88" i="65" s="1"/>
  <c r="E88" i="65" s="1"/>
  <c r="L62" i="70"/>
  <c r="BG60" i="67"/>
  <c r="S55" i="19"/>
  <c r="D25" i="64" s="1"/>
  <c r="CG43" i="68"/>
  <c r="L122" i="68"/>
  <c r="AW14" i="58"/>
  <c r="K14" i="30"/>
  <c r="O14" i="30" s="1"/>
  <c r="E70" i="65"/>
  <c r="B152" i="68"/>
  <c r="Z108" i="68"/>
  <c r="Y108" i="68"/>
  <c r="G111" i="65"/>
  <c r="AI30" i="19"/>
  <c r="D29" i="47" s="1"/>
  <c r="I37" i="46"/>
  <c r="C37" i="40" s="1"/>
  <c r="BN60" i="67"/>
  <c r="H37" i="47"/>
  <c r="B37" i="41" s="1"/>
  <c r="BH48" i="71"/>
  <c r="S62" i="70"/>
  <c r="S122" i="68"/>
  <c r="I93" i="21"/>
  <c r="BF122" i="68"/>
  <c r="I55" i="19"/>
  <c r="D20" i="64" s="1"/>
  <c r="BO62" i="70"/>
  <c r="O64" i="30"/>
  <c r="P62" i="70"/>
  <c r="AC33" i="19"/>
  <c r="B29" i="64" s="1"/>
  <c r="I55" i="45"/>
  <c r="D82" i="64" s="1"/>
  <c r="H46" i="47"/>
  <c r="B46" i="41" s="1"/>
  <c r="R23" i="52"/>
  <c r="AA56" i="51"/>
  <c r="AA71" i="51" s="1"/>
  <c r="BJ48" i="71"/>
  <c r="AI27" i="19"/>
  <c r="D26" i="47" s="1"/>
  <c r="BR79" i="69"/>
  <c r="N79" i="69"/>
  <c r="Q88" i="9"/>
  <c r="R26" i="52"/>
  <c r="AW79" i="69"/>
  <c r="AJ79" i="69"/>
  <c r="AK79" i="69"/>
  <c r="CF118" i="68"/>
  <c r="K56" i="73"/>
  <c r="K60" i="73"/>
  <c r="AJ48" i="71"/>
  <c r="J321" i="66"/>
  <c r="J325" i="66" s="1"/>
  <c r="S321" i="66"/>
  <c r="S325" i="66" s="1"/>
  <c r="BE321" i="66"/>
  <c r="BE325" i="66" s="1"/>
  <c r="CE321" i="66"/>
  <c r="CE325" i="66" s="1"/>
  <c r="BI321" i="66"/>
  <c r="BI325" i="66" s="1"/>
  <c r="T321" i="66"/>
  <c r="T325" i="66" s="1"/>
  <c r="AA77" i="51"/>
  <c r="E61" i="44"/>
  <c r="E77" i="44" s="1"/>
  <c r="E89" i="44" s="1"/>
  <c r="E92" i="44" s="1"/>
  <c r="I18" i="48"/>
  <c r="E19" i="40" s="1"/>
  <c r="BM60" i="67"/>
  <c r="H50" i="47"/>
  <c r="B50" i="41" s="1"/>
  <c r="BM321" i="66"/>
  <c r="BM325" i="66" s="1"/>
  <c r="W70" i="19"/>
  <c r="BP321" i="66"/>
  <c r="BP325" i="66" s="1"/>
  <c r="AY321" i="66"/>
  <c r="AY325" i="66" s="1"/>
  <c r="C19" i="48"/>
  <c r="I19" i="48" s="1"/>
  <c r="E20" i="40" s="1"/>
  <c r="R21" i="52"/>
  <c r="BI60" i="67"/>
  <c r="CD237" i="66"/>
  <c r="CD318" i="66" s="1"/>
  <c r="CD319" i="66" s="1"/>
  <c r="CD321" i="66" s="1"/>
  <c r="CD325" i="66" s="1"/>
  <c r="C38" i="48"/>
  <c r="I38" i="48" s="1"/>
  <c r="E39" i="40" s="1"/>
  <c r="I21" i="48"/>
  <c r="E22" i="40" s="1"/>
  <c r="E34" i="51"/>
  <c r="B45" i="64" s="1"/>
  <c r="AI21" i="19"/>
  <c r="D20" i="47" s="1"/>
  <c r="AI25" i="19"/>
  <c r="D24" i="47" s="1"/>
  <c r="O29" i="14"/>
  <c r="F30" i="41" s="1"/>
  <c r="I20" i="48"/>
  <c r="E21" i="40" s="1"/>
  <c r="Q70" i="29"/>
  <c r="Q73" i="29" s="1"/>
  <c r="R24" i="52"/>
  <c r="BA62" i="70"/>
  <c r="R22" i="52"/>
  <c r="BW265" i="66"/>
  <c r="BW321" i="66" s="1"/>
  <c r="BW325" i="66" s="1"/>
  <c r="Y33" i="19"/>
  <c r="B28" i="64" s="1"/>
  <c r="C69" i="48"/>
  <c r="I69" i="48" s="1"/>
  <c r="E70" i="40" s="1"/>
  <c r="R71" i="52"/>
  <c r="Y321" i="66"/>
  <c r="Y325" i="66" s="1"/>
  <c r="K70" i="29"/>
  <c r="K73" i="29" s="1"/>
  <c r="R33" i="52"/>
  <c r="CA321" i="66"/>
  <c r="CA325" i="66" s="1"/>
  <c r="I60" i="49"/>
  <c r="D59" i="41" s="1"/>
  <c r="P321" i="66"/>
  <c r="P325" i="66" s="1"/>
  <c r="Y56" i="51"/>
  <c r="D44" i="64" s="1"/>
  <c r="R25" i="52"/>
  <c r="R65" i="52"/>
  <c r="AD3" i="71"/>
  <c r="AD45" i="71" s="1"/>
  <c r="CF321" i="66"/>
  <c r="CF325" i="66" s="1"/>
  <c r="AB321" i="66"/>
  <c r="AB325" i="66" s="1"/>
  <c r="R27" i="52"/>
  <c r="U56" i="62"/>
  <c r="D77" i="64" s="1"/>
  <c r="G54" i="43"/>
  <c r="D14" i="64" s="1"/>
  <c r="I35" i="49"/>
  <c r="D36" i="41" s="1"/>
  <c r="R321" i="66"/>
  <c r="R325" i="66" s="1"/>
  <c r="AZ321" i="66"/>
  <c r="AZ325" i="66" s="1"/>
  <c r="BR60" i="67"/>
  <c r="N321" i="66"/>
  <c r="N325" i="66" s="1"/>
  <c r="CD493" i="66"/>
  <c r="CD497" i="66" s="1"/>
  <c r="H41" i="47"/>
  <c r="B41" i="41" s="1"/>
  <c r="H41" i="41" s="1"/>
  <c r="W42" i="29" s="1"/>
  <c r="Y42" i="29" s="1"/>
  <c r="G122" i="68"/>
  <c r="Y61" i="18"/>
  <c r="Y77" i="18" s="1"/>
  <c r="C92" i="27"/>
  <c r="K53" i="14"/>
  <c r="K68" i="14" s="1"/>
  <c r="I46" i="49"/>
  <c r="D47" i="41" s="1"/>
  <c r="BH321" i="66"/>
  <c r="BH325" i="66" s="1"/>
  <c r="E14" i="49"/>
  <c r="Z3" i="71"/>
  <c r="Z45" i="71" s="1"/>
  <c r="O52" i="45"/>
  <c r="G50" i="49" s="1"/>
  <c r="AI35" i="18"/>
  <c r="E34" i="46" s="1"/>
  <c r="BZ321" i="66"/>
  <c r="BZ325" i="66" s="1"/>
  <c r="AG54" i="51"/>
  <c r="F52" i="47" s="1"/>
  <c r="I26" i="46"/>
  <c r="C26" i="40" s="1"/>
  <c r="AS321" i="66"/>
  <c r="AS325" i="66" s="1"/>
  <c r="CB321" i="66"/>
  <c r="CB325" i="66" s="1"/>
  <c r="BK321" i="66"/>
  <c r="BK325" i="66" s="1"/>
  <c r="CA48" i="71"/>
  <c r="BJ79" i="69"/>
  <c r="BB3" i="71"/>
  <c r="T100" i="15"/>
  <c r="R42" i="52"/>
  <c r="Q34" i="51"/>
  <c r="B40" i="64" s="1"/>
  <c r="BP60" i="67"/>
  <c r="H45" i="47"/>
  <c r="B45" i="41" s="1"/>
  <c r="CI100" i="68"/>
  <c r="CI120" i="68" s="1"/>
  <c r="I49" i="24"/>
  <c r="I47" i="46"/>
  <c r="C47" i="40" s="1"/>
  <c r="I47" i="40" s="1"/>
  <c r="W48" i="27" s="1"/>
  <c r="F44" i="72"/>
  <c r="AW35" i="58"/>
  <c r="I17" i="46"/>
  <c r="C17" i="40" s="1"/>
  <c r="H47" i="47"/>
  <c r="B47" i="41" s="1"/>
  <c r="I47" i="49"/>
  <c r="D48" i="41" s="1"/>
  <c r="O31" i="45"/>
  <c r="G29" i="49" s="1"/>
  <c r="I51" i="49"/>
  <c r="D52" i="41" s="1"/>
  <c r="AW170" i="68"/>
  <c r="AW178" i="68" s="1"/>
  <c r="G24" i="31"/>
  <c r="L7" i="64"/>
  <c r="P7" i="64" s="1"/>
  <c r="R7" i="64" s="1"/>
  <c r="C97" i="27"/>
  <c r="X3" i="71"/>
  <c r="X321" i="66"/>
  <c r="X325" i="66" s="1"/>
  <c r="F113" i="64"/>
  <c r="G11" i="31"/>
  <c r="BF321" i="66"/>
  <c r="BF325" i="66" s="1"/>
  <c r="AG14" i="51"/>
  <c r="F12" i="47" s="1"/>
  <c r="BH79" i="69"/>
  <c r="BG321" i="66"/>
  <c r="BG325" i="66" s="1"/>
  <c r="V41" i="2"/>
  <c r="J148" i="2"/>
  <c r="Q70" i="19"/>
  <c r="G12" i="31"/>
  <c r="D62" i="70"/>
  <c r="I48" i="46"/>
  <c r="C48" i="40" s="1"/>
  <c r="I48" i="49"/>
  <c r="D49" i="41" s="1"/>
  <c r="I44" i="49"/>
  <c r="D45" i="41" s="1"/>
  <c r="E19" i="49"/>
  <c r="C33" i="45"/>
  <c r="M55" i="45"/>
  <c r="D84" i="64" s="1"/>
  <c r="W79" i="69"/>
  <c r="G78" i="31"/>
  <c r="G57" i="31"/>
  <c r="C13" i="31"/>
  <c r="C15" i="31" s="1"/>
  <c r="N79" i="31"/>
  <c r="I62" i="49"/>
  <c r="D61" i="41" s="1"/>
  <c r="I19" i="46"/>
  <c r="C19" i="40" s="1"/>
  <c r="I72" i="46"/>
  <c r="C72" i="40" s="1"/>
  <c r="U62" i="50"/>
  <c r="U78" i="50" s="1"/>
  <c r="U90" i="50" s="1"/>
  <c r="U93" i="50" s="1"/>
  <c r="I15" i="46"/>
  <c r="C15" i="40" s="1"/>
  <c r="I42" i="46"/>
  <c r="C42" i="40" s="1"/>
  <c r="I22" i="46"/>
  <c r="C22" i="40" s="1"/>
  <c r="I20" i="46"/>
  <c r="C20" i="40" s="1"/>
  <c r="H61" i="47"/>
  <c r="B61" i="41" s="1"/>
  <c r="H72" i="65"/>
  <c r="G175" i="25"/>
  <c r="G75" i="24" s="1"/>
  <c r="I175" i="25"/>
  <c r="I75" i="24" s="1"/>
  <c r="G61" i="18"/>
  <c r="G77" i="18" s="1"/>
  <c r="G89" i="18" s="1"/>
  <c r="Y77" i="69"/>
  <c r="F28" i="64"/>
  <c r="AI48" i="71"/>
  <c r="AI79" i="69"/>
  <c r="M32" i="30"/>
  <c r="O32" i="30" s="1"/>
  <c r="E63" i="48"/>
  <c r="W45" i="62"/>
  <c r="E42" i="49" s="1"/>
  <c r="G63" i="31"/>
  <c r="Q61" i="18"/>
  <c r="Q77" i="18" s="1"/>
  <c r="AE77" i="18"/>
  <c r="AE89" i="18" s="1"/>
  <c r="AE92" i="18" s="1"/>
  <c r="N122" i="68"/>
  <c r="N62" i="70"/>
  <c r="H163" i="66"/>
  <c r="CG118" i="68"/>
  <c r="CH118" i="68"/>
  <c r="CI118" i="68"/>
  <c r="CD116" i="68"/>
  <c r="I177" i="25" s="1"/>
  <c r="BV321" i="66"/>
  <c r="BV325" i="66" s="1"/>
  <c r="H62" i="47"/>
  <c r="B62" i="41" s="1"/>
  <c r="R75" i="2"/>
  <c r="R148" i="2" s="1"/>
  <c r="G26" i="31"/>
  <c r="Q53" i="30"/>
  <c r="I127" i="21"/>
  <c r="C77" i="74"/>
  <c r="B105" i="68"/>
  <c r="C76" i="31" s="1"/>
  <c r="C32" i="65" s="1"/>
  <c r="I34" i="48"/>
  <c r="E35" i="40" s="1"/>
  <c r="U138" i="58"/>
  <c r="U141" i="58" s="1"/>
  <c r="O61" i="52"/>
  <c r="O77" i="52" s="1"/>
  <c r="O89" i="52" s="1"/>
  <c r="AX60" i="67"/>
  <c r="R66" i="52"/>
  <c r="M33" i="53"/>
  <c r="B64" i="64" s="1"/>
  <c r="L13" i="23"/>
  <c r="J18" i="23"/>
  <c r="J117" i="23" s="1"/>
  <c r="K58" i="55"/>
  <c r="K92" i="55" s="1"/>
  <c r="I42" i="48"/>
  <c r="I65" i="48"/>
  <c r="E66" i="40" s="1"/>
  <c r="BL321" i="66"/>
  <c r="BL325" i="66" s="1"/>
  <c r="G49" i="24"/>
  <c r="B122" i="66"/>
  <c r="R106" i="64"/>
  <c r="K27" i="54"/>
  <c r="K39" i="54" s="1"/>
  <c r="I32" i="24"/>
  <c r="I38" i="24" s="1"/>
  <c r="G38" i="24"/>
  <c r="G16" i="24"/>
  <c r="I14" i="24"/>
  <c r="I16" i="24" s="1"/>
  <c r="D33" i="65"/>
  <c r="CD114" i="68"/>
  <c r="AU20" i="57"/>
  <c r="K163" i="55"/>
  <c r="K144" i="55"/>
  <c r="I69" i="46"/>
  <c r="C69" i="40" s="1"/>
  <c r="I44" i="46"/>
  <c r="C44" i="40" s="1"/>
  <c r="H63" i="47"/>
  <c r="B63" i="41" s="1"/>
  <c r="H321" i="66"/>
  <c r="H325" i="66" s="1"/>
  <c r="CE118" i="68"/>
  <c r="O49" i="10"/>
  <c r="O53" i="10" s="1"/>
  <c r="O99" i="10" s="1"/>
  <c r="M67" i="43"/>
  <c r="B65" i="47"/>
  <c r="I40" i="46"/>
  <c r="C40" i="40" s="1"/>
  <c r="I49" i="46"/>
  <c r="C49" i="40" s="1"/>
  <c r="I45" i="46"/>
  <c r="C45" i="40" s="1"/>
  <c r="I45" i="40" s="1"/>
  <c r="W46" i="27" s="1"/>
  <c r="Y46" i="27" s="1"/>
  <c r="O61" i="18"/>
  <c r="O77" i="18" s="1"/>
  <c r="O28" i="11"/>
  <c r="O39" i="11" s="1"/>
  <c r="P39" i="11" s="1"/>
  <c r="K29" i="24"/>
  <c r="I18" i="46"/>
  <c r="C18" i="40" s="1"/>
  <c r="AV35" i="59"/>
  <c r="O21" i="45"/>
  <c r="G19" i="49" s="1"/>
  <c r="I56" i="51"/>
  <c r="I71" i="51" s="1"/>
  <c r="B291" i="66"/>
  <c r="B292" i="66" s="1"/>
  <c r="E60" i="65"/>
  <c r="E27" i="30"/>
  <c r="C54" i="65" s="1"/>
  <c r="K54" i="65" s="1"/>
  <c r="K23" i="30"/>
  <c r="O23" i="30" s="1"/>
  <c r="E70" i="45"/>
  <c r="C78" i="65"/>
  <c r="H78" i="65" s="1"/>
  <c r="D56" i="65"/>
  <c r="CF100" i="68"/>
  <c r="N10" i="31"/>
  <c r="G19" i="31"/>
  <c r="N50" i="23"/>
  <c r="N54" i="23" s="1"/>
  <c r="N120" i="23" s="1"/>
  <c r="N121" i="23" s="1"/>
  <c r="O37" i="12"/>
  <c r="P47" i="11"/>
  <c r="K143" i="25"/>
  <c r="K145" i="25" s="1"/>
  <c r="K164" i="25" s="1"/>
  <c r="L122" i="64" s="1"/>
  <c r="O130" i="12"/>
  <c r="BU321" i="66"/>
  <c r="BU325" i="66" s="1"/>
  <c r="H75" i="65"/>
  <c r="K58" i="65"/>
  <c r="K321" i="66"/>
  <c r="K325" i="66" s="1"/>
  <c r="W62" i="50"/>
  <c r="W78" i="50" s="1"/>
  <c r="F24" i="64"/>
  <c r="P81" i="69"/>
  <c r="P89" i="69" s="1"/>
  <c r="AI31" i="19"/>
  <c r="D30" i="47" s="1"/>
  <c r="AZ60" i="67"/>
  <c r="C180" i="21"/>
  <c r="C181" i="21" s="1"/>
  <c r="I49" i="31"/>
  <c r="K90" i="10"/>
  <c r="K98" i="10" s="1"/>
  <c r="K49" i="56"/>
  <c r="K53" i="56" s="1"/>
  <c r="K105" i="56" s="1"/>
  <c r="F155" i="66"/>
  <c r="F159" i="66" s="1"/>
  <c r="F163" i="66" s="1"/>
  <c r="AW124" i="58"/>
  <c r="D61" i="65"/>
  <c r="E61" i="65" s="1"/>
  <c r="G65" i="54"/>
  <c r="G58" i="56"/>
  <c r="G89" i="56" s="1"/>
  <c r="G102" i="56" s="1"/>
  <c r="E65" i="54"/>
  <c r="E58" i="56"/>
  <c r="E89" i="56" s="1"/>
  <c r="E102" i="56" s="1"/>
  <c r="K77" i="27"/>
  <c r="G109" i="65" s="1"/>
  <c r="BL3" i="71"/>
  <c r="I71" i="46"/>
  <c r="C71" i="40" s="1"/>
  <c r="W81" i="69"/>
  <c r="W89" i="69" s="1"/>
  <c r="K61" i="52"/>
  <c r="K77" i="52" s="1"/>
  <c r="K89" i="52" s="1"/>
  <c r="BC3" i="71"/>
  <c r="BC81" i="69"/>
  <c r="BC89" i="69" s="1"/>
  <c r="U61" i="18"/>
  <c r="U77" i="18" s="1"/>
  <c r="C36" i="48"/>
  <c r="I36" i="48" s="1"/>
  <c r="E37" i="40" s="1"/>
  <c r="R38" i="52"/>
  <c r="G28" i="40"/>
  <c r="I24" i="48"/>
  <c r="E25" i="40" s="1"/>
  <c r="I23" i="48"/>
  <c r="E24" i="40" s="1"/>
  <c r="O81" i="69"/>
  <c r="O89" i="69" s="1"/>
  <c r="O3" i="71"/>
  <c r="R81" i="69"/>
  <c r="R89" i="69" s="1"/>
  <c r="R3" i="71"/>
  <c r="R45" i="71" s="1"/>
  <c r="C3" i="71"/>
  <c r="AF321" i="66"/>
  <c r="AF325" i="66" s="1"/>
  <c r="AW321" i="66"/>
  <c r="AW325" i="66" s="1"/>
  <c r="AV321" i="66"/>
  <c r="AV325" i="66" s="1"/>
  <c r="BT321" i="66"/>
  <c r="BT325" i="66" s="1"/>
  <c r="BB321" i="66"/>
  <c r="BB325" i="66" s="1"/>
  <c r="AZ493" i="66"/>
  <c r="AZ497" i="66" s="1"/>
  <c r="BX43" i="71"/>
  <c r="B278" i="66"/>
  <c r="K493" i="66"/>
  <c r="K497" i="66" s="1"/>
  <c r="V321" i="66"/>
  <c r="V325" i="66" s="1"/>
  <c r="BJ321" i="66"/>
  <c r="BJ325" i="66" s="1"/>
  <c r="BO321" i="66"/>
  <c r="BO325" i="66" s="1"/>
  <c r="BA321" i="66"/>
  <c r="BA325" i="66" s="1"/>
  <c r="B254" i="66"/>
  <c r="B265" i="66" s="1"/>
  <c r="AW28" i="58"/>
  <c r="C27" i="30"/>
  <c r="AA321" i="66"/>
  <c r="AA325" i="66" s="1"/>
  <c r="AU321" i="66"/>
  <c r="AU325" i="66" s="1"/>
  <c r="B305" i="66"/>
  <c r="AK48" i="71"/>
  <c r="C321" i="66"/>
  <c r="C325" i="66" s="1"/>
  <c r="BZ121" i="68"/>
  <c r="BZ48" i="71"/>
  <c r="AW48" i="71"/>
  <c r="BD321" i="66"/>
  <c r="BD325" i="66" s="1"/>
  <c r="U321" i="66"/>
  <c r="U325" i="66" s="1"/>
  <c r="I321" i="66"/>
  <c r="I325" i="66" s="1"/>
  <c r="BW43" i="71"/>
  <c r="L321" i="66"/>
  <c r="L325" i="66" s="1"/>
  <c r="BI121" i="68"/>
  <c r="U493" i="66"/>
  <c r="U497" i="66" s="1"/>
  <c r="N493" i="66"/>
  <c r="N497" i="66" s="1"/>
  <c r="Q321" i="66"/>
  <c r="Q325" i="66" s="1"/>
  <c r="L121" i="68"/>
  <c r="L48" i="71"/>
  <c r="G321" i="66"/>
  <c r="G325" i="66" s="1"/>
  <c r="Z321" i="66"/>
  <c r="Z325" i="66" s="1"/>
  <c r="BK493" i="66"/>
  <c r="BK497" i="66" s="1"/>
  <c r="AW121" i="58"/>
  <c r="Q138" i="58"/>
  <c r="Q141" i="58" s="1"/>
  <c r="L257" i="1"/>
  <c r="N50" i="1"/>
  <c r="L108" i="64"/>
  <c r="L113" i="64"/>
  <c r="R15" i="64"/>
  <c r="P108" i="64"/>
  <c r="P113" i="64"/>
  <c r="R23" i="64"/>
  <c r="I22" i="48"/>
  <c r="E23" i="40" s="1"/>
  <c r="E61" i="63"/>
  <c r="E77" i="63" s="1"/>
  <c r="E89" i="63" s="1"/>
  <c r="I15" i="48"/>
  <c r="E16" i="40" s="1"/>
  <c r="I16" i="48"/>
  <c r="E17" i="40" s="1"/>
  <c r="C61" i="63"/>
  <c r="C77" i="63" s="1"/>
  <c r="C89" i="63" s="1"/>
  <c r="G61" i="63"/>
  <c r="G77" i="63" s="1"/>
  <c r="G89" i="63" s="1"/>
  <c r="AB3" i="71"/>
  <c r="AB45" i="71" s="1"/>
  <c r="I23" i="46"/>
  <c r="C23" i="40" s="1"/>
  <c r="C39" i="48"/>
  <c r="I39" i="48" s="1"/>
  <c r="R41" i="52"/>
  <c r="C62" i="48"/>
  <c r="I62" i="48" s="1"/>
  <c r="C41" i="48"/>
  <c r="I41" i="48" s="1"/>
  <c r="E43" i="40" s="1"/>
  <c r="R43" i="52"/>
  <c r="AU3" i="71"/>
  <c r="AU45" i="71" s="1"/>
  <c r="C37" i="48"/>
  <c r="I37" i="48" s="1"/>
  <c r="E38" i="40" s="1"/>
  <c r="R39" i="52"/>
  <c r="I66" i="46"/>
  <c r="C66" i="40" s="1"/>
  <c r="I46" i="46"/>
  <c r="C46" i="40" s="1"/>
  <c r="F39" i="64"/>
  <c r="J39" i="64" s="1"/>
  <c r="O62" i="50"/>
  <c r="O78" i="50" s="1"/>
  <c r="Y62" i="50"/>
  <c r="Y78" i="50" s="1"/>
  <c r="I61" i="52"/>
  <c r="I77" i="52" s="1"/>
  <c r="I89" i="52" s="1"/>
  <c r="I60" i="42"/>
  <c r="I76" i="42" s="1"/>
  <c r="AE62" i="50"/>
  <c r="AE78" i="50" s="1"/>
  <c r="AV3" i="71"/>
  <c r="AV45" i="71" s="1"/>
  <c r="F70" i="64"/>
  <c r="J70" i="64" s="1"/>
  <c r="C33" i="48"/>
  <c r="I33" i="48" s="1"/>
  <c r="E34" i="40" s="1"/>
  <c r="R35" i="52"/>
  <c r="H98" i="64"/>
  <c r="C62" i="50"/>
  <c r="C78" i="50" s="1"/>
  <c r="C35" i="48"/>
  <c r="I35" i="48" s="1"/>
  <c r="E36" i="40" s="1"/>
  <c r="R37" i="52"/>
  <c r="O50" i="14"/>
  <c r="F51" i="41" s="1"/>
  <c r="G33" i="45"/>
  <c r="B81" i="64" s="1"/>
  <c r="I69" i="43"/>
  <c r="AI40" i="19"/>
  <c r="D39" i="47" s="1"/>
  <c r="BD60" i="67"/>
  <c r="V60" i="67"/>
  <c r="M30" i="43"/>
  <c r="B30" i="47" s="1"/>
  <c r="G34" i="51"/>
  <c r="B34" i="64" s="1"/>
  <c r="BC125" i="68"/>
  <c r="BA125" i="68" s="1"/>
  <c r="AZ125" i="68" s="1"/>
  <c r="AY125" i="68" s="1"/>
  <c r="O42" i="14"/>
  <c r="F43" i="41" s="1"/>
  <c r="M51" i="43"/>
  <c r="B51" i="47" s="1"/>
  <c r="U33" i="62"/>
  <c r="B77" i="64" s="1"/>
  <c r="D59" i="47"/>
  <c r="E36" i="30"/>
  <c r="D54" i="65" s="1"/>
  <c r="R121" i="68"/>
  <c r="W321" i="66"/>
  <c r="W325" i="66" s="1"/>
  <c r="I493" i="66"/>
  <c r="I497" i="66" s="1"/>
  <c r="C67" i="31"/>
  <c r="AC55" i="19"/>
  <c r="D29" i="64" s="1"/>
  <c r="E69" i="31"/>
  <c r="N69" i="31" s="1"/>
  <c r="G62" i="31"/>
  <c r="O41" i="14"/>
  <c r="F42" i="41" s="1"/>
  <c r="B63" i="67"/>
  <c r="AG45" i="51"/>
  <c r="F43" i="47" s="1"/>
  <c r="K61" i="65"/>
  <c r="T493" i="66"/>
  <c r="T497" i="66" s="1"/>
  <c r="D493" i="66"/>
  <c r="D497" i="66" s="1"/>
  <c r="Q493" i="66"/>
  <c r="Q497" i="66" s="1"/>
  <c r="L493" i="66"/>
  <c r="L497" i="66" s="1"/>
  <c r="P493" i="66"/>
  <c r="P497" i="66" s="1"/>
  <c r="CH493" i="66"/>
  <c r="CH497" i="66" s="1"/>
  <c r="CB493" i="66"/>
  <c r="CB497" i="66" s="1"/>
  <c r="BX493" i="66"/>
  <c r="BX497" i="66" s="1"/>
  <c r="CG493" i="66"/>
  <c r="CG497" i="66" s="1"/>
  <c r="J493" i="66"/>
  <c r="J497" i="66" s="1"/>
  <c r="H493" i="66"/>
  <c r="H497" i="66" s="1"/>
  <c r="R493" i="66"/>
  <c r="R497" i="66" s="1"/>
  <c r="BW493" i="66"/>
  <c r="BW497" i="66" s="1"/>
  <c r="BH493" i="66"/>
  <c r="BH497" i="66" s="1"/>
  <c r="G493" i="66"/>
  <c r="G497" i="66" s="1"/>
  <c r="BI493" i="66"/>
  <c r="BI497" i="66" s="1"/>
  <c r="X493" i="66"/>
  <c r="X497" i="66" s="1"/>
  <c r="BO493" i="66"/>
  <c r="BO497" i="66" s="1"/>
  <c r="BU493" i="66"/>
  <c r="BU497" i="66" s="1"/>
  <c r="BB493" i="66"/>
  <c r="BB497" i="66" s="1"/>
  <c r="BA493" i="66"/>
  <c r="BA497" i="66" s="1"/>
  <c r="BD493" i="66"/>
  <c r="BD497" i="66" s="1"/>
  <c r="CE493" i="66"/>
  <c r="CE497" i="66" s="1"/>
  <c r="F493" i="66"/>
  <c r="F497" i="66" s="1"/>
  <c r="O493" i="66"/>
  <c r="O497" i="66" s="1"/>
  <c r="C493" i="66"/>
  <c r="C497" i="66" s="1"/>
  <c r="BJ493" i="66"/>
  <c r="BJ497" i="66" s="1"/>
  <c r="BL493" i="66"/>
  <c r="BL497" i="66" s="1"/>
  <c r="AY493" i="66"/>
  <c r="AY497" i="66" s="1"/>
  <c r="V493" i="66"/>
  <c r="V497" i="66" s="1"/>
  <c r="W493" i="66"/>
  <c r="W497" i="66" s="1"/>
  <c r="Y493" i="66"/>
  <c r="Y497" i="66" s="1"/>
  <c r="BZ493" i="66"/>
  <c r="BZ497" i="66" s="1"/>
  <c r="BT493" i="66"/>
  <c r="BT497" i="66" s="1"/>
  <c r="BP493" i="66"/>
  <c r="BP497" i="66" s="1"/>
  <c r="BY493" i="66"/>
  <c r="BY497" i="66" s="1"/>
  <c r="M493" i="66"/>
  <c r="M497" i="66" s="1"/>
  <c r="CF493" i="66"/>
  <c r="CF497" i="66" s="1"/>
  <c r="BF493" i="66"/>
  <c r="BF497" i="66" s="1"/>
  <c r="CI493" i="66"/>
  <c r="CI497" i="66" s="1"/>
  <c r="BV493" i="66"/>
  <c r="BV497" i="66" s="1"/>
  <c r="Z493" i="66"/>
  <c r="Z497" i="66" s="1"/>
  <c r="CA493" i="66"/>
  <c r="CA497" i="66" s="1"/>
  <c r="S493" i="66"/>
  <c r="S497" i="66" s="1"/>
  <c r="AA493" i="66"/>
  <c r="AA497" i="66" s="1"/>
  <c r="BG493" i="66"/>
  <c r="BG497" i="66" s="1"/>
  <c r="BM493" i="66"/>
  <c r="BM497" i="66" s="1"/>
  <c r="B491" i="66"/>
  <c r="C15" i="65"/>
  <c r="C61" i="27"/>
  <c r="C77" i="27" s="1"/>
  <c r="C89" i="27" s="1"/>
  <c r="B100" i="68"/>
  <c r="I16" i="46"/>
  <c r="C16" i="40" s="1"/>
  <c r="M61" i="27"/>
  <c r="M77" i="27" s="1"/>
  <c r="M89" i="27" s="1"/>
  <c r="M93" i="27" s="1"/>
  <c r="L21" i="64"/>
  <c r="K61" i="18"/>
  <c r="K77" i="18" s="1"/>
  <c r="AR100" i="15"/>
  <c r="C61" i="44"/>
  <c r="C77" i="44" s="1"/>
  <c r="C89" i="44" s="1"/>
  <c r="F80" i="64"/>
  <c r="R70" i="52"/>
  <c r="Q75" i="52"/>
  <c r="R75" i="52" s="1"/>
  <c r="F40" i="64"/>
  <c r="Q62" i="50"/>
  <c r="Q78" i="50" s="1"/>
  <c r="F82" i="64"/>
  <c r="I61" i="44"/>
  <c r="I77" i="44" s="1"/>
  <c r="I89" i="44" s="1"/>
  <c r="S62" i="50"/>
  <c r="S78" i="50" s="1"/>
  <c r="L92" i="64"/>
  <c r="K60" i="13"/>
  <c r="K76" i="13" s="1"/>
  <c r="K88" i="13" s="1"/>
  <c r="V81" i="69"/>
  <c r="V89" i="69" s="1"/>
  <c r="V3" i="71"/>
  <c r="E32" i="48"/>
  <c r="F13" i="64"/>
  <c r="J13" i="64" s="1"/>
  <c r="R13" i="64" s="1"/>
  <c r="E60" i="42"/>
  <c r="E76" i="42" s="1"/>
  <c r="I62" i="50"/>
  <c r="I78" i="50" s="1"/>
  <c r="F36" i="64"/>
  <c r="J36" i="64" s="1"/>
  <c r="I43" i="46"/>
  <c r="C43" i="40" s="1"/>
  <c r="I41" i="46"/>
  <c r="C41" i="40" s="1"/>
  <c r="J12" i="64"/>
  <c r="R12" i="64" s="1"/>
  <c r="C60" i="42"/>
  <c r="C76" i="42" s="1"/>
  <c r="C13" i="46"/>
  <c r="C28" i="46" s="1"/>
  <c r="M28" i="42"/>
  <c r="I40" i="48"/>
  <c r="E42" i="40" s="1"/>
  <c r="F91" i="64"/>
  <c r="J91" i="64" s="1"/>
  <c r="I60" i="13"/>
  <c r="I76" i="13" s="1"/>
  <c r="I88" i="13" s="1"/>
  <c r="G60" i="42"/>
  <c r="G76" i="42" s="1"/>
  <c r="F14" i="64"/>
  <c r="J14" i="64" s="1"/>
  <c r="R14" i="64" s="1"/>
  <c r="F20" i="64"/>
  <c r="I61" i="18"/>
  <c r="I77" i="18" s="1"/>
  <c r="K61" i="44"/>
  <c r="K77" i="44" s="1"/>
  <c r="K89" i="44" s="1"/>
  <c r="L53" i="64"/>
  <c r="P53" i="64" s="1"/>
  <c r="R53" i="64" s="1"/>
  <c r="E61" i="27"/>
  <c r="E77" i="27" s="1"/>
  <c r="E89" i="27" s="1"/>
  <c r="F71" i="64"/>
  <c r="J71" i="64" s="1"/>
  <c r="I61" i="63"/>
  <c r="I77" i="63" s="1"/>
  <c r="I89" i="63" s="1"/>
  <c r="D15" i="65"/>
  <c r="I65" i="46"/>
  <c r="C65" i="40" s="1"/>
  <c r="Q29" i="52"/>
  <c r="R29" i="52" s="1"/>
  <c r="I21" i="46"/>
  <c r="C21" i="40" s="1"/>
  <c r="G31" i="48"/>
  <c r="R81" i="64"/>
  <c r="G61" i="44"/>
  <c r="G77" i="44" s="1"/>
  <c r="G89" i="44" s="1"/>
  <c r="AA61" i="18"/>
  <c r="AA77" i="18" s="1"/>
  <c r="AA89" i="18" s="1"/>
  <c r="AA92" i="18" s="1"/>
  <c r="F34" i="64"/>
  <c r="J34" i="64" s="1"/>
  <c r="G62" i="50"/>
  <c r="G78" i="50" s="1"/>
  <c r="L89" i="64"/>
  <c r="P89" i="64" s="1"/>
  <c r="G60" i="13"/>
  <c r="G76" i="13" s="1"/>
  <c r="G88" i="13" s="1"/>
  <c r="I70" i="46"/>
  <c r="C70" i="40" s="1"/>
  <c r="F16" i="64"/>
  <c r="J16" i="64" s="1"/>
  <c r="R16" i="64" s="1"/>
  <c r="K60" i="42"/>
  <c r="K76" i="42" s="1"/>
  <c r="K88" i="42" s="1"/>
  <c r="K91" i="42" s="1"/>
  <c r="G61" i="52"/>
  <c r="G77" i="52" s="1"/>
  <c r="G89" i="52" s="1"/>
  <c r="F84" i="64"/>
  <c r="J84" i="64" s="1"/>
  <c r="M61" i="44"/>
  <c r="M77" i="44" s="1"/>
  <c r="M89" i="44" s="1"/>
  <c r="I33" i="46"/>
  <c r="C33" i="40" s="1"/>
  <c r="O28" i="13"/>
  <c r="F90" i="64"/>
  <c r="J90" i="64" s="1"/>
  <c r="C60" i="13"/>
  <c r="C76" i="13" s="1"/>
  <c r="C88" i="13" s="1"/>
  <c r="L29" i="64"/>
  <c r="P29" i="64" s="1"/>
  <c r="AC61" i="18"/>
  <c r="AC77" i="18" s="1"/>
  <c r="AC89" i="18" s="1"/>
  <c r="I25" i="48"/>
  <c r="E26" i="40" s="1"/>
  <c r="Q61" i="27"/>
  <c r="Q77" i="27" s="1"/>
  <c r="G71" i="40"/>
  <c r="G74" i="40" s="1"/>
  <c r="O74" i="13"/>
  <c r="L22" i="64"/>
  <c r="M61" i="18"/>
  <c r="M77" i="18" s="1"/>
  <c r="K62" i="50"/>
  <c r="K78" i="50" s="1"/>
  <c r="CA62" i="70"/>
  <c r="CB64" i="70" s="1"/>
  <c r="CA122" i="68"/>
  <c r="BL122" i="68"/>
  <c r="BL62" i="70"/>
  <c r="E56" i="62"/>
  <c r="D69" i="64" s="1"/>
  <c r="K56" i="51"/>
  <c r="K71" i="51" s="1"/>
  <c r="U34" i="51"/>
  <c r="B42" i="64" s="1"/>
  <c r="B45" i="67"/>
  <c r="B124" i="68"/>
  <c r="E33" i="62"/>
  <c r="B69" i="64" s="1"/>
  <c r="K70" i="19"/>
  <c r="M55" i="29"/>
  <c r="W100" i="16"/>
  <c r="E59" i="65"/>
  <c r="K59" i="65"/>
  <c r="B81" i="66"/>
  <c r="F321" i="66"/>
  <c r="F325" i="66" s="1"/>
  <c r="J82" i="65"/>
  <c r="J81" i="65"/>
  <c r="M33" i="30"/>
  <c r="O33" i="30" s="1"/>
  <c r="O321" i="66"/>
  <c r="O325" i="66" s="1"/>
  <c r="M321" i="66"/>
  <c r="M325" i="66" s="1"/>
  <c r="V121" i="68"/>
  <c r="CD62" i="68"/>
  <c r="G17" i="31"/>
  <c r="CH100" i="68"/>
  <c r="CH120" i="68" s="1"/>
  <c r="AE34" i="51"/>
  <c r="M33" i="45"/>
  <c r="B84" i="64" s="1"/>
  <c r="AA33" i="19"/>
  <c r="G60" i="31"/>
  <c r="BK60" i="67"/>
  <c r="AG32" i="51"/>
  <c r="F30" i="47" s="1"/>
  <c r="Q44" i="53"/>
  <c r="C42" i="49" s="1"/>
  <c r="G55" i="53"/>
  <c r="BE60" i="67"/>
  <c r="CG100" i="68"/>
  <c r="I34" i="51"/>
  <c r="B36" i="64" s="1"/>
  <c r="AC34" i="51"/>
  <c r="AC56" i="51"/>
  <c r="B129" i="68"/>
  <c r="AU19" i="57"/>
  <c r="N76" i="31"/>
  <c r="D32" i="65"/>
  <c r="I33" i="53"/>
  <c r="B61" i="64" s="1"/>
  <c r="AT177" i="68"/>
  <c r="AT178" i="68" s="1"/>
  <c r="W53" i="62"/>
  <c r="E50" i="49" s="1"/>
  <c r="B66" i="67"/>
  <c r="Q52" i="53"/>
  <c r="C50" i="49" s="1"/>
  <c r="M34" i="51"/>
  <c r="B38" i="64" s="1"/>
  <c r="E100" i="17"/>
  <c r="AI13" i="19"/>
  <c r="D12" i="47" s="1"/>
  <c r="AG41" i="51"/>
  <c r="F39" i="47" s="1"/>
  <c r="O56" i="51"/>
  <c r="C55" i="45"/>
  <c r="O43" i="45"/>
  <c r="G41" i="49" s="1"/>
  <c r="I41" i="49" s="1"/>
  <c r="D42" i="41" s="1"/>
  <c r="I31" i="14"/>
  <c r="Y75" i="19"/>
  <c r="M52" i="43"/>
  <c r="B52" i="47" s="1"/>
  <c r="C54" i="43"/>
  <c r="I33" i="45"/>
  <c r="D16" i="47"/>
  <c r="O38" i="14"/>
  <c r="F39" i="41" s="1"/>
  <c r="C53" i="14"/>
  <c r="AI26" i="19"/>
  <c r="M55" i="19"/>
  <c r="D22" i="64" s="1"/>
  <c r="AI44" i="19"/>
  <c r="D43" i="47" s="1"/>
  <c r="O12" i="14"/>
  <c r="F12" i="41" s="1"/>
  <c r="K31" i="14"/>
  <c r="B92" i="64" s="1"/>
  <c r="U55" i="19"/>
  <c r="D26" i="64" s="1"/>
  <c r="G44" i="72"/>
  <c r="K75" i="43"/>
  <c r="B26" i="47"/>
  <c r="B167" i="68"/>
  <c r="AY60" i="67"/>
  <c r="AY57" i="67"/>
  <c r="G56" i="31"/>
  <c r="N56" i="31"/>
  <c r="O34" i="51"/>
  <c r="AI23" i="19"/>
  <c r="D22" i="47" s="1"/>
  <c r="BA60" i="67"/>
  <c r="BA57" i="67"/>
  <c r="AI43" i="19"/>
  <c r="D42" i="47" s="1"/>
  <c r="O55" i="19"/>
  <c r="E33" i="45"/>
  <c r="B85" i="64" s="1"/>
  <c r="B128" i="68"/>
  <c r="BS60" i="67"/>
  <c r="U33" i="19"/>
  <c r="B26" i="64" s="1"/>
  <c r="AI14" i="19"/>
  <c r="D13" i="47" s="1"/>
  <c r="AG33" i="19"/>
  <c r="G68" i="14"/>
  <c r="D89" i="64"/>
  <c r="O16" i="14"/>
  <c r="F16" i="41" s="1"/>
  <c r="C31" i="14"/>
  <c r="B90" i="64" s="1"/>
  <c r="B126" i="68"/>
  <c r="W77" i="51"/>
  <c r="I53" i="14"/>
  <c r="AG15" i="51"/>
  <c r="F13" i="47" s="1"/>
  <c r="AA34" i="51"/>
  <c r="B47" i="64" s="1"/>
  <c r="E37" i="31"/>
  <c r="CD42" i="68"/>
  <c r="G58" i="31"/>
  <c r="N58" i="31"/>
  <c r="C70" i="31"/>
  <c r="C27" i="65"/>
  <c r="K63" i="28"/>
  <c r="G25" i="31"/>
  <c r="N25" i="31"/>
  <c r="CD25" i="68"/>
  <c r="E14" i="31"/>
  <c r="BU45" i="67"/>
  <c r="E182" i="25"/>
  <c r="B103" i="64"/>
  <c r="U56" i="51"/>
  <c r="AG46" i="51"/>
  <c r="F44" i="47" s="1"/>
  <c r="H44" i="47" s="1"/>
  <c r="B44" i="41" s="1"/>
  <c r="D263" i="66"/>
  <c r="BQ3" i="71"/>
  <c r="BQ45" i="71" s="1"/>
  <c r="BQ81" i="69"/>
  <c r="BQ89" i="69" s="1"/>
  <c r="H31" i="72"/>
  <c r="H54" i="72" s="1"/>
  <c r="M144" i="12"/>
  <c r="AF3" i="71"/>
  <c r="AF45" i="71" s="1"/>
  <c r="N29" i="1"/>
  <c r="O16" i="45"/>
  <c r="K33" i="45"/>
  <c r="B319" i="66"/>
  <c r="B113" i="66"/>
  <c r="C31" i="30" s="1"/>
  <c r="G114" i="66"/>
  <c r="G155" i="66" s="1"/>
  <c r="G159" i="66" s="1"/>
  <c r="G163" i="66" s="1"/>
  <c r="E180" i="21"/>
  <c r="E181" i="21" s="1"/>
  <c r="E76" i="24"/>
  <c r="E70" i="23"/>
  <c r="E104" i="23" s="1"/>
  <c r="BD81" i="69"/>
  <c r="BD89" i="69" s="1"/>
  <c r="BD3" i="71"/>
  <c r="BD45" i="71" s="1"/>
  <c r="C58" i="56"/>
  <c r="AH3" i="71"/>
  <c r="AH45" i="71" s="1"/>
  <c r="I33" i="62"/>
  <c r="W23" i="62"/>
  <c r="E21" i="49" s="1"/>
  <c r="G33" i="62"/>
  <c r="M53" i="14"/>
  <c r="W75" i="63"/>
  <c r="J72" i="65"/>
  <c r="K78" i="65" s="1"/>
  <c r="K16" i="30"/>
  <c r="O16" i="30" s="1"/>
  <c r="I27" i="30"/>
  <c r="AW60" i="58" s="1"/>
  <c r="N98" i="64"/>
  <c r="N110" i="64"/>
  <c r="F48" i="64"/>
  <c r="J48" i="64" s="1"/>
  <c r="AC62" i="50"/>
  <c r="AC78" i="50" s="1"/>
  <c r="C45" i="48"/>
  <c r="BX319" i="66"/>
  <c r="BX321" i="66" s="1"/>
  <c r="BX325" i="66" s="1"/>
  <c r="G18" i="31"/>
  <c r="U60" i="67"/>
  <c r="U57" i="67"/>
  <c r="M63" i="51"/>
  <c r="BJ69" i="67"/>
  <c r="BU50" i="67"/>
  <c r="B50" i="67"/>
  <c r="BJ55" i="67"/>
  <c r="D62" i="64"/>
  <c r="B132" i="68"/>
  <c r="G177" i="55"/>
  <c r="G178" i="55" s="1"/>
  <c r="B102" i="64"/>
  <c r="B111" i="66"/>
  <c r="D155" i="66"/>
  <c r="D159" i="66" s="1"/>
  <c r="D163" i="66" s="1"/>
  <c r="AT3" i="71"/>
  <c r="AT45" i="71" s="1"/>
  <c r="BK81" i="69"/>
  <c r="BK89" i="69" s="1"/>
  <c r="BK3" i="71"/>
  <c r="N44" i="8"/>
  <c r="P62" i="64"/>
  <c r="O113" i="1"/>
  <c r="N113" i="1"/>
  <c r="M32" i="29"/>
  <c r="BD24" i="15"/>
  <c r="AU98" i="15"/>
  <c r="BS62" i="70"/>
  <c r="BS122" i="68"/>
  <c r="R47" i="52"/>
  <c r="J113" i="64"/>
  <c r="J108" i="64"/>
  <c r="B431" i="66"/>
  <c r="E18" i="49"/>
  <c r="AL3" i="71"/>
  <c r="AL45" i="71" s="1"/>
  <c r="C177" i="55"/>
  <c r="C178" i="55" s="1"/>
  <c r="B104" i="64"/>
  <c r="AT81" i="66"/>
  <c r="AT263" i="66"/>
  <c r="AT265" i="66" s="1"/>
  <c r="AT321" i="66" s="1"/>
  <c r="AT325" i="66" s="1"/>
  <c r="AR81" i="66"/>
  <c r="AR95" i="66" s="1"/>
  <c r="AR263" i="66"/>
  <c r="AR265" i="66" s="1"/>
  <c r="AR321" i="66" s="1"/>
  <c r="AR325" i="66" s="1"/>
  <c r="S32" i="29"/>
  <c r="B63" i="64" s="1"/>
  <c r="CD99" i="68"/>
  <c r="E15" i="49"/>
  <c r="I15" i="49" s="1"/>
  <c r="U61" i="63"/>
  <c r="U77" i="63" s="1"/>
  <c r="U89" i="63" s="1"/>
  <c r="F77" i="64"/>
  <c r="J77" i="64" s="1"/>
  <c r="C55" i="65"/>
  <c r="BO57" i="67"/>
  <c r="BO60" i="67"/>
  <c r="K34" i="51"/>
  <c r="E177" i="55"/>
  <c r="E178" i="55" s="1"/>
  <c r="B105" i="64"/>
  <c r="AI52" i="19"/>
  <c r="D51" i="47" s="1"/>
  <c r="G55" i="19"/>
  <c r="G70" i="19" s="1"/>
  <c r="AR3" i="71"/>
  <c r="AR45" i="71" s="1"/>
  <c r="AF177" i="68"/>
  <c r="AY81" i="69"/>
  <c r="AY89" i="69" s="1"/>
  <c r="AY3" i="71"/>
  <c r="BC60" i="67"/>
  <c r="C33" i="62"/>
  <c r="I77" i="27"/>
  <c r="I89" i="27" s="1"/>
  <c r="I93" i="27" s="1"/>
  <c r="S81" i="69"/>
  <c r="S89" i="69" s="1"/>
  <c r="S3" i="71"/>
  <c r="S45" i="71" s="1"/>
  <c r="BQ60" i="67"/>
  <c r="BN3" i="71"/>
  <c r="BN45" i="71" s="1"/>
  <c r="BN81" i="69"/>
  <c r="BN89" i="69" s="1"/>
  <c r="E12" i="48"/>
  <c r="W29" i="63"/>
  <c r="I13" i="48"/>
  <c r="E14" i="40" s="1"/>
  <c r="C18" i="49"/>
  <c r="C81" i="69"/>
  <c r="C89" i="69" s="1"/>
  <c r="B133" i="68"/>
  <c r="AZ81" i="69"/>
  <c r="AZ89" i="69" s="1"/>
  <c r="AZ3" i="71"/>
  <c r="AG3" i="71"/>
  <c r="AG45" i="71" s="1"/>
  <c r="M60" i="13"/>
  <c r="M76" i="13" s="1"/>
  <c r="M88" i="13" s="1"/>
  <c r="M81" i="69"/>
  <c r="M89" i="69" s="1"/>
  <c r="M3" i="71"/>
  <c r="M45" i="71" s="1"/>
  <c r="P40" i="72"/>
  <c r="G14" i="48"/>
  <c r="O29" i="44"/>
  <c r="B237" i="66"/>
  <c r="B241" i="66" s="1"/>
  <c r="E63" i="46"/>
  <c r="AI75" i="18"/>
  <c r="M57" i="67"/>
  <c r="B140" i="68"/>
  <c r="AC98" i="16"/>
  <c r="M62" i="50"/>
  <c r="M78" i="50" s="1"/>
  <c r="M90" i="50" s="1"/>
  <c r="Q81" i="69"/>
  <c r="Q89" i="69" s="1"/>
  <c r="Q3" i="71"/>
  <c r="I90" i="10"/>
  <c r="I98" i="10" s="1"/>
  <c r="M31" i="14"/>
  <c r="W61" i="18"/>
  <c r="W77" i="18" s="1"/>
  <c r="F27" i="64"/>
  <c r="F60" i="41"/>
  <c r="F65" i="41" s="1"/>
  <c r="O66" i="14"/>
  <c r="C64" i="46"/>
  <c r="M74" i="42"/>
  <c r="G63" i="48"/>
  <c r="O75" i="44"/>
  <c r="L250" i="1"/>
  <c r="C38" i="46"/>
  <c r="J30" i="6"/>
  <c r="N27" i="6"/>
  <c r="N30" i="6" s="1"/>
  <c r="G63" i="46"/>
  <c r="G74" i="46" s="1"/>
  <c r="AG76" i="50"/>
  <c r="B141" i="68"/>
  <c r="AG44" i="51"/>
  <c r="W56" i="51"/>
  <c r="O18" i="14"/>
  <c r="G31" i="14"/>
  <c r="F26" i="64"/>
  <c r="BH57" i="67"/>
  <c r="BH60" i="67"/>
  <c r="BS53" i="71"/>
  <c r="AA30" i="50"/>
  <c r="AG26" i="50"/>
  <c r="E63" i="28"/>
  <c r="D41" i="26"/>
  <c r="B28" i="71"/>
  <c r="D106" i="64"/>
  <c r="T83" i="69"/>
  <c r="B19" i="69"/>
  <c r="C121" i="68"/>
  <c r="H73" i="65"/>
  <c r="E73" i="65"/>
  <c r="C69" i="65"/>
  <c r="AW13" i="58"/>
  <c r="K13" i="30"/>
  <c r="E68" i="65"/>
  <c r="H68" i="65"/>
  <c r="H76" i="65"/>
  <c r="E76" i="65"/>
  <c r="H77" i="65"/>
  <c r="E77" i="65"/>
  <c r="H71" i="65"/>
  <c r="E71" i="65"/>
  <c r="U53" i="71"/>
  <c r="U83" i="69"/>
  <c r="Y55" i="19"/>
  <c r="AI53" i="19"/>
  <c r="D52" i="47" s="1"/>
  <c r="C29" i="18"/>
  <c r="AI26" i="18"/>
  <c r="AI37" i="18"/>
  <c r="E36" i="46" s="1"/>
  <c r="I36" i="46" s="1"/>
  <c r="C36" i="40" s="1"/>
  <c r="K53" i="71"/>
  <c r="K83" i="69"/>
  <c r="I14" i="46"/>
  <c r="G51" i="21"/>
  <c r="G53" i="21" s="1"/>
  <c r="I76" i="31"/>
  <c r="I86" i="31" s="1"/>
  <c r="I183" i="21" s="1"/>
  <c r="I177" i="21"/>
  <c r="I10" i="31"/>
  <c r="I94" i="21" l="1"/>
  <c r="B108" i="68"/>
  <c r="I138" i="21"/>
  <c r="I140" i="21" s="1"/>
  <c r="I158" i="21" s="1"/>
  <c r="V75" i="2"/>
  <c r="V148" i="2" s="1"/>
  <c r="G94" i="21"/>
  <c r="G96" i="21" s="1"/>
  <c r="G180" i="21" s="1"/>
  <c r="G181" i="21" s="1"/>
  <c r="AN46" i="3"/>
  <c r="AW62" i="58"/>
  <c r="O144" i="12"/>
  <c r="D39" i="41"/>
  <c r="D19" i="64"/>
  <c r="P79" i="69"/>
  <c r="AL60" i="70"/>
  <c r="AL62" i="70" s="1"/>
  <c r="AB60" i="70"/>
  <c r="AB62" i="70" s="1"/>
  <c r="AW60" i="70"/>
  <c r="AW62" i="70" s="1"/>
  <c r="G92" i="25"/>
  <c r="I86" i="25"/>
  <c r="I90" i="25" s="1"/>
  <c r="I92" i="25" s="1"/>
  <c r="H22" i="47"/>
  <c r="B22" i="41" s="1"/>
  <c r="M70" i="53"/>
  <c r="I63" i="53"/>
  <c r="I68" i="53" s="1"/>
  <c r="I70" i="53" s="1"/>
  <c r="I73" i="53" s="1"/>
  <c r="O66" i="53"/>
  <c r="Q66" i="53" s="1"/>
  <c r="C64" i="49" s="1"/>
  <c r="I48" i="40"/>
  <c r="W49" i="27" s="1"/>
  <c r="Y49" i="27" s="1"/>
  <c r="AW45" i="60" s="1"/>
  <c r="M63" i="45"/>
  <c r="M68" i="45" s="1"/>
  <c r="M70" i="45" s="1"/>
  <c r="M73" i="45" s="1"/>
  <c r="Q89" i="18"/>
  <c r="Q92" i="18" s="1"/>
  <c r="U89" i="18"/>
  <c r="U92" i="18" s="1"/>
  <c r="M89" i="18"/>
  <c r="M92" i="18" s="1"/>
  <c r="O89" i="18"/>
  <c r="O92" i="18" s="1"/>
  <c r="I89" i="18"/>
  <c r="I92" i="18" s="1"/>
  <c r="K89" i="18"/>
  <c r="K92" i="18" s="1"/>
  <c r="W138" i="58"/>
  <c r="W141" i="58" s="1"/>
  <c r="BY45" i="71"/>
  <c r="BY48" i="71" s="1"/>
  <c r="BL45" i="71"/>
  <c r="X45" i="71"/>
  <c r="X48" i="71" s="1"/>
  <c r="AG70" i="19"/>
  <c r="AG73" i="19" s="1"/>
  <c r="B95" i="66"/>
  <c r="O45" i="71"/>
  <c r="O48" i="71" s="1"/>
  <c r="F91" i="73"/>
  <c r="F92" i="73" s="1"/>
  <c r="AX125" i="68"/>
  <c r="AQ125" i="68"/>
  <c r="W73" i="19"/>
  <c r="AN59" i="3"/>
  <c r="AN64" i="3" s="1"/>
  <c r="N56" i="8"/>
  <c r="N62" i="8" s="1"/>
  <c r="BE79" i="69"/>
  <c r="BI79" i="69"/>
  <c r="G91" i="73"/>
  <c r="G92" i="73" s="1"/>
  <c r="G112" i="73" s="1"/>
  <c r="G116" i="73" s="1"/>
  <c r="AT95" i="66"/>
  <c r="AT121" i="68" s="1"/>
  <c r="BG79" i="69"/>
  <c r="D48" i="71"/>
  <c r="D121" i="68"/>
  <c r="AC79" i="69"/>
  <c r="AX77" i="69"/>
  <c r="AX81" i="69" s="1"/>
  <c r="AX89" i="69" s="1"/>
  <c r="B130" i="68"/>
  <c r="AS79" i="69"/>
  <c r="W89" i="18"/>
  <c r="W92" i="18" s="1"/>
  <c r="G88" i="42"/>
  <c r="G91" i="42" s="1"/>
  <c r="C88" i="42"/>
  <c r="C91" i="42" s="1"/>
  <c r="E88" i="42"/>
  <c r="E91" i="42" s="1"/>
  <c r="I88" i="42"/>
  <c r="I91" i="42" s="1"/>
  <c r="Y89" i="18"/>
  <c r="Y92" i="18" s="1"/>
  <c r="M89" i="52"/>
  <c r="M92" i="52" s="1"/>
  <c r="R52" i="20"/>
  <c r="K91" i="13"/>
  <c r="C91" i="13"/>
  <c r="I91" i="13"/>
  <c r="G91" i="13"/>
  <c r="E56" i="48"/>
  <c r="S90" i="50"/>
  <c r="S93" i="50" s="1"/>
  <c r="AC90" i="50"/>
  <c r="AC93" i="50" s="1"/>
  <c r="C90" i="50"/>
  <c r="C93" i="50" s="1"/>
  <c r="G90" i="50"/>
  <c r="G93" i="50" s="1"/>
  <c r="K90" i="50"/>
  <c r="K93" i="50" s="1"/>
  <c r="Q90" i="50"/>
  <c r="Q93" i="50" s="1"/>
  <c r="AE90" i="50"/>
  <c r="AE93" i="50" s="1"/>
  <c r="I90" i="50"/>
  <c r="I93" i="50" s="1"/>
  <c r="Y90" i="50"/>
  <c r="Y93" i="50" s="1"/>
  <c r="O90" i="50"/>
  <c r="O93" i="50" s="1"/>
  <c r="W90" i="50"/>
  <c r="W93" i="50" s="1"/>
  <c r="T17" i="20"/>
  <c r="T19" i="20" s="1"/>
  <c r="T34" i="20" s="1"/>
  <c r="T48" i="20" s="1"/>
  <c r="I29" i="24"/>
  <c r="I41" i="24" s="1"/>
  <c r="I54" i="24" s="1"/>
  <c r="I66" i="24" s="1"/>
  <c r="I70" i="24" s="1"/>
  <c r="G29" i="24"/>
  <c r="G41" i="24" s="1"/>
  <c r="G54" i="24" s="1"/>
  <c r="G145" i="25"/>
  <c r="G164" i="25" s="1"/>
  <c r="I145" i="25"/>
  <c r="I164" i="25" s="1"/>
  <c r="Y48" i="27"/>
  <c r="G52" i="26" s="1"/>
  <c r="AL122" i="68"/>
  <c r="G54" i="28"/>
  <c r="H37" i="41"/>
  <c r="W38" i="29" s="1"/>
  <c r="Y38" i="29" s="1"/>
  <c r="H50" i="41"/>
  <c r="W51" i="29" s="1"/>
  <c r="Y51" i="29" s="1"/>
  <c r="C92" i="74"/>
  <c r="Y174" i="68"/>
  <c r="Y178" i="68" s="1"/>
  <c r="Y114" i="68"/>
  <c r="Y120" i="68" s="1"/>
  <c r="Z174" i="68"/>
  <c r="Z178" i="68" s="1"/>
  <c r="Z114" i="68"/>
  <c r="Z120" i="68" s="1"/>
  <c r="S71" i="51"/>
  <c r="S74" i="51" s="1"/>
  <c r="D41" i="64"/>
  <c r="BK45" i="71"/>
  <c r="BK48" i="71" s="1"/>
  <c r="C45" i="71"/>
  <c r="C48" i="71" s="1"/>
  <c r="F122" i="64"/>
  <c r="Q45" i="71"/>
  <c r="Q48" i="71" s="1"/>
  <c r="I32" i="46"/>
  <c r="C32" i="40" s="1"/>
  <c r="AZ45" i="71"/>
  <c r="AZ48" i="71" s="1"/>
  <c r="BB45" i="71"/>
  <c r="BB48" i="71" s="1"/>
  <c r="AY45" i="71"/>
  <c r="AY48" i="71" s="1"/>
  <c r="BC45" i="71"/>
  <c r="BC48" i="71" s="1"/>
  <c r="V45" i="71"/>
  <c r="V48" i="71" s="1"/>
  <c r="C57" i="46"/>
  <c r="C60" i="46" s="1"/>
  <c r="AI58" i="18"/>
  <c r="E57" i="46"/>
  <c r="C56" i="48"/>
  <c r="I31" i="48"/>
  <c r="G56" i="48"/>
  <c r="H122" i="68"/>
  <c r="I18" i="40"/>
  <c r="W19" i="27" s="1"/>
  <c r="Y19" i="27" s="1"/>
  <c r="T37" i="61" s="1"/>
  <c r="T40" i="61" s="1"/>
  <c r="BM79" i="69"/>
  <c r="E112" i="73"/>
  <c r="E116" i="73" s="1"/>
  <c r="I48" i="48"/>
  <c r="E49" i="40" s="1"/>
  <c r="I49" i="40" s="1"/>
  <c r="W50" i="27" s="1"/>
  <c r="Y50" i="27" s="1"/>
  <c r="F72" i="41"/>
  <c r="G66" i="31"/>
  <c r="D16" i="64"/>
  <c r="AL81" i="69"/>
  <c r="AL89" i="69" s="1"/>
  <c r="AL60" i="67"/>
  <c r="P92" i="64"/>
  <c r="R92" i="64" s="1"/>
  <c r="J45" i="71"/>
  <c r="J48" i="71" s="1"/>
  <c r="BO79" i="69"/>
  <c r="BO45" i="71"/>
  <c r="BO48" i="71" s="1"/>
  <c r="I12" i="49"/>
  <c r="D13" i="41" s="1"/>
  <c r="C66" i="45"/>
  <c r="C65" i="45"/>
  <c r="O65" i="45" s="1"/>
  <c r="G63" i="49" s="1"/>
  <c r="I63" i="49" s="1"/>
  <c r="D62" i="41" s="1"/>
  <c r="H62" i="41" s="1"/>
  <c r="W65" i="29" s="1"/>
  <c r="Y65" i="29" s="1"/>
  <c r="AV41" i="59" s="1"/>
  <c r="AB122" i="68"/>
  <c r="J27" i="64"/>
  <c r="R27" i="64" s="1"/>
  <c r="J26" i="64"/>
  <c r="R26" i="64" s="1"/>
  <c r="H23" i="47"/>
  <c r="B23" i="41" s="1"/>
  <c r="H23" i="41" s="1"/>
  <c r="W23" i="29" s="1"/>
  <c r="Y23" i="29" s="1"/>
  <c r="L25" i="31" s="1"/>
  <c r="J122" i="73"/>
  <c r="BW45" i="71"/>
  <c r="BW48" i="71" s="1"/>
  <c r="J40" i="64"/>
  <c r="R40" i="64" s="1"/>
  <c r="I91" i="73"/>
  <c r="I92" i="73" s="1"/>
  <c r="I122" i="73" s="1"/>
  <c r="BX45" i="71"/>
  <c r="BX48" i="71" s="1"/>
  <c r="C74" i="51"/>
  <c r="B33" i="64"/>
  <c r="R83" i="64"/>
  <c r="J80" i="64"/>
  <c r="R80" i="64" s="1"/>
  <c r="J82" i="64"/>
  <c r="R82" i="64" s="1"/>
  <c r="I92" i="63"/>
  <c r="AS3" i="70"/>
  <c r="AB60" i="67"/>
  <c r="AB81" i="69"/>
  <c r="AB89" i="69" s="1"/>
  <c r="P22" i="64"/>
  <c r="R22" i="64" s="1"/>
  <c r="J20" i="64"/>
  <c r="R20" i="64" s="1"/>
  <c r="J24" i="64"/>
  <c r="R24" i="64" s="1"/>
  <c r="J28" i="64"/>
  <c r="R28" i="64" s="1"/>
  <c r="CG121" i="68"/>
  <c r="CF121" i="68"/>
  <c r="P21" i="64"/>
  <c r="R21" i="64" s="1"/>
  <c r="AB57" i="67"/>
  <c r="AL57" i="67"/>
  <c r="D40" i="64"/>
  <c r="AW60" i="67"/>
  <c r="M92" i="44"/>
  <c r="AW81" i="69"/>
  <c r="AW89" i="69" s="1"/>
  <c r="AW57" i="67"/>
  <c r="AU81" i="69"/>
  <c r="AU89" i="69" s="1"/>
  <c r="I63" i="45"/>
  <c r="I68" i="45" s="1"/>
  <c r="I92" i="44" s="1"/>
  <c r="G66" i="45"/>
  <c r="U67" i="62"/>
  <c r="W67" i="62" s="1"/>
  <c r="E64" i="49" s="1"/>
  <c r="B54" i="67"/>
  <c r="BU54" i="67"/>
  <c r="BU51" i="67"/>
  <c r="K63" i="45"/>
  <c r="K68" i="45" s="1"/>
  <c r="K70" i="45" s="1"/>
  <c r="K73" i="45" s="1"/>
  <c r="I122" i="68"/>
  <c r="K41" i="24"/>
  <c r="K54" i="24" s="1"/>
  <c r="E122" i="73"/>
  <c r="K177" i="55"/>
  <c r="K178" i="55" s="1"/>
  <c r="BV62" i="70"/>
  <c r="AE71" i="51"/>
  <c r="AE74" i="51" s="1"/>
  <c r="C70" i="29"/>
  <c r="I19" i="49"/>
  <c r="D20" i="41" s="1"/>
  <c r="F19" i="41"/>
  <c r="F18" i="41"/>
  <c r="H18" i="41" s="1"/>
  <c r="W18" i="29" s="1"/>
  <c r="Y18" i="29" s="1"/>
  <c r="I23" i="49"/>
  <c r="D24" i="41" s="1"/>
  <c r="H17" i="47"/>
  <c r="B17" i="41" s="1"/>
  <c r="I28" i="49"/>
  <c r="D29" i="41" s="1"/>
  <c r="I25" i="49"/>
  <c r="D26" i="41" s="1"/>
  <c r="I16" i="49"/>
  <c r="D17" i="41" s="1"/>
  <c r="I18" i="49"/>
  <c r="D19" i="41" s="1"/>
  <c r="I24" i="49"/>
  <c r="D25" i="41" s="1"/>
  <c r="I21" i="49"/>
  <c r="D22" i="41" s="1"/>
  <c r="I19" i="40"/>
  <c r="W20" i="27" s="1"/>
  <c r="Y20" i="27" s="1"/>
  <c r="BT62" i="70"/>
  <c r="H44" i="41"/>
  <c r="I44" i="41" s="1"/>
  <c r="G71" i="51"/>
  <c r="G74" i="51" s="1"/>
  <c r="CG120" i="68"/>
  <c r="CE120" i="68"/>
  <c r="H38" i="41"/>
  <c r="I38" i="41" s="1"/>
  <c r="I35" i="40"/>
  <c r="W36" i="27" s="1"/>
  <c r="Y36" i="27" s="1"/>
  <c r="H36" i="41"/>
  <c r="W37" i="29" s="1"/>
  <c r="Y37" i="29" s="1"/>
  <c r="J112" i="73"/>
  <c r="J116" i="73" s="1"/>
  <c r="E69" i="43"/>
  <c r="AA73" i="19"/>
  <c r="I11" i="49"/>
  <c r="D12" i="41" s="1"/>
  <c r="K89" i="27"/>
  <c r="K93" i="27" s="1"/>
  <c r="R29" i="64"/>
  <c r="BU122" i="68"/>
  <c r="BQ121" i="68"/>
  <c r="H46" i="41"/>
  <c r="I46" i="41" s="1"/>
  <c r="K97" i="30"/>
  <c r="AW131" i="58"/>
  <c r="O69" i="30"/>
  <c r="H81" i="65"/>
  <c r="CD241" i="66"/>
  <c r="Y60" i="67"/>
  <c r="I29" i="49"/>
  <c r="D30" i="41" s="1"/>
  <c r="E71" i="51"/>
  <c r="E74" i="51" s="1"/>
  <c r="CF120" i="68"/>
  <c r="BY62" i="70"/>
  <c r="Z60" i="67"/>
  <c r="Z57" i="67"/>
  <c r="D53" i="64"/>
  <c r="AS81" i="69"/>
  <c r="AS89" i="69" s="1"/>
  <c r="Z81" i="69"/>
  <c r="Z89" i="69" s="1"/>
  <c r="Y57" i="67"/>
  <c r="AG81" i="69"/>
  <c r="AG89" i="69" s="1"/>
  <c r="C64" i="62"/>
  <c r="AC63" i="19"/>
  <c r="B51" i="67"/>
  <c r="X55" i="67"/>
  <c r="G63" i="53"/>
  <c r="AA55" i="67"/>
  <c r="K63" i="53"/>
  <c r="K68" i="53" s="1"/>
  <c r="K70" i="53" s="1"/>
  <c r="K73" i="53" s="1"/>
  <c r="AR81" i="69"/>
  <c r="AR89" i="69" s="1"/>
  <c r="U64" i="62"/>
  <c r="G64" i="62"/>
  <c r="G69" i="62" s="1"/>
  <c r="G71" i="62" s="1"/>
  <c r="G76" i="62" s="1"/>
  <c r="AF81" i="69"/>
  <c r="AF89" i="69" s="1"/>
  <c r="O63" i="53"/>
  <c r="E64" i="62"/>
  <c r="E69" i="62" s="1"/>
  <c r="E92" i="63" s="1"/>
  <c r="S68" i="29"/>
  <c r="S70" i="19"/>
  <c r="H48" i="41"/>
  <c r="W49" i="29" s="1"/>
  <c r="Y49" i="29" s="1"/>
  <c r="C79" i="31"/>
  <c r="I70" i="19"/>
  <c r="H26" i="47"/>
  <c r="B26" i="41" s="1"/>
  <c r="C27" i="48"/>
  <c r="C93" i="27"/>
  <c r="H52" i="47"/>
  <c r="B52" i="41" s="1"/>
  <c r="H52" i="41" s="1"/>
  <c r="W53" i="29" s="1"/>
  <c r="I37" i="40"/>
  <c r="W38" i="27" s="1"/>
  <c r="Y38" i="27" s="1"/>
  <c r="H24" i="47"/>
  <c r="B24" i="41" s="1"/>
  <c r="Y71" i="51"/>
  <c r="Y74" i="51" s="1"/>
  <c r="M48" i="71"/>
  <c r="D47" i="64"/>
  <c r="Z48" i="71"/>
  <c r="BN48" i="71"/>
  <c r="I21" i="40"/>
  <c r="W22" i="27" s="1"/>
  <c r="Y22" i="27" s="1"/>
  <c r="H20" i="47"/>
  <c r="B20" i="41" s="1"/>
  <c r="D92" i="64"/>
  <c r="S48" i="71"/>
  <c r="B49" i="64"/>
  <c r="C73" i="48"/>
  <c r="B92" i="74"/>
  <c r="I22" i="40"/>
  <c r="W23" i="27" s="1"/>
  <c r="Y23" i="27" s="1"/>
  <c r="I26" i="40"/>
  <c r="W27" i="27" s="1"/>
  <c r="Y27" i="27" s="1"/>
  <c r="U70" i="19"/>
  <c r="U73" i="19" s="1"/>
  <c r="M54" i="43"/>
  <c r="M69" i="43" s="1"/>
  <c r="M73" i="53"/>
  <c r="I17" i="40"/>
  <c r="W18" i="27" s="1"/>
  <c r="Y18" i="27" s="1"/>
  <c r="AX45" i="71"/>
  <c r="Q74" i="51"/>
  <c r="G69" i="43"/>
  <c r="Z79" i="69"/>
  <c r="H47" i="41"/>
  <c r="W48" i="29" s="1"/>
  <c r="Y48" i="29" s="1"/>
  <c r="D37" i="64"/>
  <c r="AD79" i="69"/>
  <c r="AD48" i="71"/>
  <c r="BN79" i="69"/>
  <c r="AZ79" i="69"/>
  <c r="BC79" i="69"/>
  <c r="BB79" i="69"/>
  <c r="BL48" i="71"/>
  <c r="BL79" i="69"/>
  <c r="AY79" i="69"/>
  <c r="Q33" i="53"/>
  <c r="H45" i="41"/>
  <c r="I45" i="41" s="1"/>
  <c r="O57" i="10"/>
  <c r="O90" i="10" s="1"/>
  <c r="O98" i="10" s="1"/>
  <c r="B50" i="69"/>
  <c r="B65" i="69" s="1"/>
  <c r="B77" i="69" s="1"/>
  <c r="H49" i="41"/>
  <c r="W50" i="29" s="1"/>
  <c r="G53" i="49"/>
  <c r="G99" i="65"/>
  <c r="X79" i="69"/>
  <c r="H12" i="47"/>
  <c r="B12" i="41" s="1"/>
  <c r="BQ48" i="71"/>
  <c r="BQ79" i="69"/>
  <c r="BK79" i="69"/>
  <c r="BD48" i="71"/>
  <c r="BD79" i="69"/>
  <c r="D25" i="47"/>
  <c r="CI121" i="68"/>
  <c r="G13" i="31"/>
  <c r="P12" i="31"/>
  <c r="I72" i="40"/>
  <c r="W73" i="27" s="1"/>
  <c r="Y73" i="27" s="1"/>
  <c r="I42" i="40"/>
  <c r="W43" i="27" s="1"/>
  <c r="Y43" i="27" s="1"/>
  <c r="H61" i="41"/>
  <c r="W64" i="29" s="1"/>
  <c r="Y64" i="29" s="1"/>
  <c r="AV40" i="59" s="1"/>
  <c r="I20" i="40"/>
  <c r="W21" i="27" s="1"/>
  <c r="Y21" i="27" s="1"/>
  <c r="H29" i="47"/>
  <c r="B29" i="41" s="1"/>
  <c r="H43" i="47"/>
  <c r="B43" i="41" s="1"/>
  <c r="I39" i="40"/>
  <c r="W40" i="27" s="1"/>
  <c r="Y40" i="27" s="1"/>
  <c r="Q79" i="69"/>
  <c r="O79" i="69"/>
  <c r="M79" i="69"/>
  <c r="V79" i="69"/>
  <c r="AB48" i="71"/>
  <c r="AB79" i="69"/>
  <c r="C79" i="69"/>
  <c r="AG48" i="71"/>
  <c r="AG79" i="69"/>
  <c r="AT48" i="71"/>
  <c r="AT79" i="69"/>
  <c r="AH48" i="71"/>
  <c r="AH79" i="69"/>
  <c r="AR48" i="71"/>
  <c r="AR79" i="69"/>
  <c r="S79" i="69"/>
  <c r="R48" i="71"/>
  <c r="R79" i="69"/>
  <c r="Y81" i="69"/>
  <c r="Y89" i="69" s="1"/>
  <c r="AL48" i="71"/>
  <c r="AL79" i="69"/>
  <c r="AF48" i="71"/>
  <c r="AF79" i="69"/>
  <c r="AV48" i="71"/>
  <c r="AV79" i="69"/>
  <c r="AU48" i="71"/>
  <c r="AU79" i="69"/>
  <c r="Y3" i="71"/>
  <c r="Y45" i="71" s="1"/>
  <c r="M60" i="42"/>
  <c r="G69" i="31"/>
  <c r="G70" i="31" s="1"/>
  <c r="E32" i="65"/>
  <c r="C41" i="65" s="1"/>
  <c r="CH121" i="68"/>
  <c r="E85" i="31"/>
  <c r="E86" i="31" s="1"/>
  <c r="M88" i="30" s="1"/>
  <c r="E15" i="31"/>
  <c r="N15" i="31" s="1"/>
  <c r="H30" i="47"/>
  <c r="B30" i="41" s="1"/>
  <c r="P28" i="11"/>
  <c r="CD118" i="68"/>
  <c r="E54" i="65"/>
  <c r="CD100" i="68"/>
  <c r="AU12" i="57"/>
  <c r="AU26" i="57" s="1"/>
  <c r="G76" i="31"/>
  <c r="I32" i="48"/>
  <c r="E33" i="40" s="1"/>
  <c r="I33" i="40" s="1"/>
  <c r="W34" i="27" s="1"/>
  <c r="Y34" i="27" s="1"/>
  <c r="I66" i="40"/>
  <c r="W67" i="27" s="1"/>
  <c r="Y67" i="27" s="1"/>
  <c r="E40" i="40"/>
  <c r="I40" i="40" s="1"/>
  <c r="W41" i="27" s="1"/>
  <c r="Y41" i="27" s="1"/>
  <c r="E41" i="40"/>
  <c r="I41" i="40" s="1"/>
  <c r="W42" i="27" s="1"/>
  <c r="Y42" i="27" s="1"/>
  <c r="L86" i="64"/>
  <c r="I16" i="40"/>
  <c r="W17" i="27" s="1"/>
  <c r="Y17" i="27" s="1"/>
  <c r="O55" i="45"/>
  <c r="J50" i="23"/>
  <c r="J54" i="23" s="1"/>
  <c r="J121" i="23" s="1"/>
  <c r="P86" i="64"/>
  <c r="M27" i="54"/>
  <c r="D27" i="65"/>
  <c r="E27" i="65" s="1"/>
  <c r="E70" i="31"/>
  <c r="I69" i="40"/>
  <c r="W70" i="27" s="1"/>
  <c r="Y70" i="27" s="1"/>
  <c r="AW65" i="60" s="1"/>
  <c r="I44" i="40"/>
  <c r="W45" i="27" s="1"/>
  <c r="Y45" i="27" s="1"/>
  <c r="C84" i="65"/>
  <c r="C104" i="65" s="1"/>
  <c r="D36" i="64"/>
  <c r="E38" i="30"/>
  <c r="E78" i="65"/>
  <c r="O61" i="44"/>
  <c r="O77" i="44" s="1"/>
  <c r="O89" i="44" s="1"/>
  <c r="E67" i="31"/>
  <c r="B43" i="71"/>
  <c r="F64" i="26" s="1"/>
  <c r="C19" i="72"/>
  <c r="C29" i="72" s="1"/>
  <c r="H39" i="47"/>
  <c r="B39" i="41" s="1"/>
  <c r="H39" i="41" s="1"/>
  <c r="G60" i="40"/>
  <c r="G76" i="40" s="1"/>
  <c r="AW30" i="58"/>
  <c r="T3" i="71"/>
  <c r="M76" i="42"/>
  <c r="H91" i="73"/>
  <c r="H92" i="73" s="1"/>
  <c r="B321" i="66"/>
  <c r="B325" i="66" s="1"/>
  <c r="AC102" i="64"/>
  <c r="AC103" i="64"/>
  <c r="AC101" i="64"/>
  <c r="AC104" i="64"/>
  <c r="AC105" i="64"/>
  <c r="I23" i="40"/>
  <c r="W24" i="27" s="1"/>
  <c r="Y24" i="27" s="1"/>
  <c r="I36" i="40"/>
  <c r="W37" i="27" s="1"/>
  <c r="Y37" i="27" s="1"/>
  <c r="AU100" i="15"/>
  <c r="I70" i="40"/>
  <c r="W71" i="27" s="1"/>
  <c r="Y71" i="27" s="1"/>
  <c r="K71" i="14"/>
  <c r="C71" i="31"/>
  <c r="CD43" i="68"/>
  <c r="M70" i="29"/>
  <c r="M73" i="29" s="1"/>
  <c r="F86" i="64"/>
  <c r="R89" i="64"/>
  <c r="W61" i="63"/>
  <c r="W77" i="63" s="1"/>
  <c r="W89" i="63" s="1"/>
  <c r="R90" i="64"/>
  <c r="J94" i="64"/>
  <c r="G106" i="65"/>
  <c r="E93" i="27"/>
  <c r="O60" i="13"/>
  <c r="O76" i="13" s="1"/>
  <c r="O88" i="13" s="1"/>
  <c r="G112" i="65"/>
  <c r="Q89" i="27"/>
  <c r="Q93" i="27" s="1"/>
  <c r="I13" i="46"/>
  <c r="C13" i="40" s="1"/>
  <c r="L94" i="64"/>
  <c r="F94" i="64"/>
  <c r="AC100" i="16"/>
  <c r="D54" i="47"/>
  <c r="O53" i="14"/>
  <c r="O68" i="14" s="1"/>
  <c r="I74" i="51"/>
  <c r="AA74" i="51"/>
  <c r="F54" i="41"/>
  <c r="F67" i="41" s="1"/>
  <c r="Q55" i="53"/>
  <c r="B493" i="66"/>
  <c r="B497" i="66" s="1"/>
  <c r="W56" i="62"/>
  <c r="I179" i="25"/>
  <c r="K183" i="25"/>
  <c r="S42" i="72"/>
  <c r="S39" i="72"/>
  <c r="L39" i="72" s="1"/>
  <c r="B48" i="64"/>
  <c r="AC71" i="51"/>
  <c r="AC74" i="51" s="1"/>
  <c r="D48" i="64"/>
  <c r="D91" i="64"/>
  <c r="I68" i="14"/>
  <c r="I71" i="14" s="1"/>
  <c r="B91" i="64"/>
  <c r="G59" i="31"/>
  <c r="D90" i="64"/>
  <c r="C68" i="14"/>
  <c r="C71" i="14" s="1"/>
  <c r="C69" i="43"/>
  <c r="B39" i="64"/>
  <c r="D15" i="47"/>
  <c r="O70" i="19"/>
  <c r="D23" i="64"/>
  <c r="H16" i="47"/>
  <c r="B16" i="41" s="1"/>
  <c r="D80" i="64"/>
  <c r="O71" i="51"/>
  <c r="O74" i="51" s="1"/>
  <c r="D39" i="64"/>
  <c r="B30" i="64"/>
  <c r="M70" i="19"/>
  <c r="E73" i="45"/>
  <c r="B25" i="47"/>
  <c r="B80" i="64"/>
  <c r="B82" i="64"/>
  <c r="G14" i="31"/>
  <c r="N14" i="31"/>
  <c r="AI55" i="19"/>
  <c r="O31" i="14"/>
  <c r="E49" i="31"/>
  <c r="D23" i="65"/>
  <c r="I64" i="46"/>
  <c r="C64" i="40" s="1"/>
  <c r="C74" i="46"/>
  <c r="BF24" i="15"/>
  <c r="BF98" i="15" s="1"/>
  <c r="BD98" i="15"/>
  <c r="E53" i="49"/>
  <c r="I42" i="49"/>
  <c r="BJ81" i="69"/>
  <c r="BJ89" i="69" s="1"/>
  <c r="BJ57" i="67"/>
  <c r="BJ3" i="70"/>
  <c r="BJ60" i="70" s="1"/>
  <c r="BJ60" i="67"/>
  <c r="D19" i="47"/>
  <c r="I45" i="48"/>
  <c r="I76" i="62"/>
  <c r="B71" i="64"/>
  <c r="C33" i="31"/>
  <c r="E74" i="46"/>
  <c r="I63" i="46"/>
  <c r="M91" i="13"/>
  <c r="K55" i="65"/>
  <c r="Z103" i="64"/>
  <c r="Z105" i="64"/>
  <c r="Z102" i="64"/>
  <c r="Z104" i="64"/>
  <c r="Z101" i="64"/>
  <c r="C34" i="30"/>
  <c r="C36" i="30" s="1"/>
  <c r="C38" i="30" s="1"/>
  <c r="B114" i="66"/>
  <c r="D265" i="66"/>
  <c r="D321" i="66" s="1"/>
  <c r="D325" i="66" s="1"/>
  <c r="B263" i="66"/>
  <c r="H40" i="41"/>
  <c r="O47" i="11"/>
  <c r="C53" i="49"/>
  <c r="I50" i="49"/>
  <c r="D51" i="41" s="1"/>
  <c r="G71" i="14"/>
  <c r="B89" i="64"/>
  <c r="I38" i="46"/>
  <c r="C38" i="40" s="1"/>
  <c r="I38" i="40" s="1"/>
  <c r="W39" i="27" s="1"/>
  <c r="Y39" i="27" s="1"/>
  <c r="L260" i="1"/>
  <c r="N257" i="1"/>
  <c r="BQ122" i="68"/>
  <c r="I42" i="72"/>
  <c r="I44" i="72" s="1"/>
  <c r="BQ62" i="70"/>
  <c r="P44" i="72"/>
  <c r="E27" i="48"/>
  <c r="I12" i="48"/>
  <c r="W33" i="62"/>
  <c r="C89" i="56"/>
  <c r="C102" i="56" s="1"/>
  <c r="K58" i="56"/>
  <c r="D42" i="64"/>
  <c r="U71" i="51"/>
  <c r="U74" i="51" s="1"/>
  <c r="I43" i="40"/>
  <c r="W44" i="27" s="1"/>
  <c r="Y44" i="27" s="1"/>
  <c r="B37" i="64"/>
  <c r="K74" i="51"/>
  <c r="E31" i="49"/>
  <c r="D16" i="41"/>
  <c r="AR121" i="68"/>
  <c r="M69" i="51"/>
  <c r="M71" i="51" s="1"/>
  <c r="M74" i="51" s="1"/>
  <c r="M77" i="51"/>
  <c r="AG63" i="51"/>
  <c r="I64" i="48"/>
  <c r="E65" i="40" s="1"/>
  <c r="I65" i="40" s="1"/>
  <c r="W66" i="27" s="1"/>
  <c r="Y66" i="27" s="1"/>
  <c r="E73" i="48"/>
  <c r="M39" i="54"/>
  <c r="G14" i="49"/>
  <c r="I14" i="49" s="1"/>
  <c r="O33" i="45"/>
  <c r="E118" i="23"/>
  <c r="H120" i="73"/>
  <c r="E63" i="40"/>
  <c r="W71" i="51"/>
  <c r="W74" i="51" s="1"/>
  <c r="D46" i="64"/>
  <c r="G73" i="48"/>
  <c r="I63" i="48"/>
  <c r="E64" i="40" s="1"/>
  <c r="B93" i="64"/>
  <c r="I14" i="48"/>
  <c r="E15" i="40" s="1"/>
  <c r="I15" i="40" s="1"/>
  <c r="W16" i="27" s="1"/>
  <c r="Y16" i="27" s="1"/>
  <c r="G27" i="48"/>
  <c r="C31" i="49"/>
  <c r="C85" i="31"/>
  <c r="C39" i="72"/>
  <c r="H51" i="47"/>
  <c r="B51" i="41" s="1"/>
  <c r="B54" i="47"/>
  <c r="B67" i="47" s="1"/>
  <c r="I38" i="30"/>
  <c r="C56" i="65"/>
  <c r="D93" i="64"/>
  <c r="M68" i="14"/>
  <c r="M71" i="14" s="1"/>
  <c r="AG34" i="51"/>
  <c r="F42" i="47"/>
  <c r="AG56" i="51"/>
  <c r="H14" i="41"/>
  <c r="B177" i="68"/>
  <c r="AF178" i="68"/>
  <c r="Q61" i="52"/>
  <c r="B70" i="64"/>
  <c r="M31" i="30"/>
  <c r="AW34" i="58"/>
  <c r="H13" i="47"/>
  <c r="F32" i="47"/>
  <c r="T81" i="69"/>
  <c r="T89" i="69" s="1"/>
  <c r="H63" i="28"/>
  <c r="G24" i="46"/>
  <c r="AG30" i="50"/>
  <c r="AG62" i="50" s="1"/>
  <c r="AG78" i="50" s="1"/>
  <c r="AG90" i="50" s="1"/>
  <c r="I71" i="40"/>
  <c r="F48" i="26"/>
  <c r="B53" i="71"/>
  <c r="F47" i="64"/>
  <c r="J47" i="64" s="1"/>
  <c r="AA62" i="50"/>
  <c r="AA78" i="50" s="1"/>
  <c r="BS3" i="71"/>
  <c r="D113" i="64"/>
  <c r="D108" i="64"/>
  <c r="H69" i="65"/>
  <c r="E69" i="65"/>
  <c r="O13" i="30"/>
  <c r="O27" i="30" s="1"/>
  <c r="K27" i="30"/>
  <c r="K38" i="30" s="1"/>
  <c r="K73" i="30" s="1"/>
  <c r="K85" i="30" s="1"/>
  <c r="B83" i="69"/>
  <c r="U3" i="71"/>
  <c r="U81" i="69"/>
  <c r="U89" i="69" s="1"/>
  <c r="E25" i="46"/>
  <c r="AI29" i="18"/>
  <c r="F19" i="64"/>
  <c r="C61" i="18"/>
  <c r="C77" i="18" s="1"/>
  <c r="C14" i="40"/>
  <c r="I34" i="46"/>
  <c r="L30" i="64"/>
  <c r="AG61" i="18"/>
  <c r="AG77" i="18" s="1"/>
  <c r="Y70" i="19"/>
  <c r="Y73" i="19" s="1"/>
  <c r="D28" i="64"/>
  <c r="I51" i="21"/>
  <c r="I53" i="21" s="1"/>
  <c r="I24" i="31"/>
  <c r="I33" i="31" s="1"/>
  <c r="I50" i="31" s="1"/>
  <c r="I88" i="31" s="1"/>
  <c r="Q88" i="30" s="1"/>
  <c r="I184" i="21"/>
  <c r="T51" i="20"/>
  <c r="BS45" i="71" l="1"/>
  <c r="BS79" i="69"/>
  <c r="I53" i="49"/>
  <c r="AS60" i="70"/>
  <c r="AS62" i="70" s="1"/>
  <c r="I181" i="25"/>
  <c r="I182" i="25" s="1"/>
  <c r="J16" i="72"/>
  <c r="J31" i="72" s="1"/>
  <c r="J40" i="72" s="1"/>
  <c r="E13" i="72"/>
  <c r="H22" i="41"/>
  <c r="I22" i="41" s="1"/>
  <c r="I92" i="52"/>
  <c r="O68" i="53"/>
  <c r="K92" i="52"/>
  <c r="K66" i="24"/>
  <c r="K76" i="24" s="1"/>
  <c r="C89" i="18"/>
  <c r="C92" i="18" s="1"/>
  <c r="BD100" i="15"/>
  <c r="G122" i="73"/>
  <c r="AW125" i="68"/>
  <c r="AP125" i="68"/>
  <c r="O59" i="11"/>
  <c r="O62" i="11" s="1"/>
  <c r="AW122" i="68"/>
  <c r="AG89" i="18"/>
  <c r="AG92" i="18" s="1"/>
  <c r="M88" i="42"/>
  <c r="M91" i="42" s="1"/>
  <c r="O91" i="13"/>
  <c r="G88" i="40"/>
  <c r="G92" i="40" s="1"/>
  <c r="AA90" i="50"/>
  <c r="AA93" i="50" s="1"/>
  <c r="Q73" i="30"/>
  <c r="Q85" i="30" s="1"/>
  <c r="I90" i="31" s="1"/>
  <c r="I91" i="31" s="1"/>
  <c r="D122" i="64"/>
  <c r="AW43" i="60"/>
  <c r="I37" i="41"/>
  <c r="AS122" i="68"/>
  <c r="B174" i="68"/>
  <c r="L42" i="72"/>
  <c r="S54" i="72"/>
  <c r="S55" i="72" s="1"/>
  <c r="Z121" i="68"/>
  <c r="Y62" i="70"/>
  <c r="C26" i="65"/>
  <c r="C28" i="65" s="1"/>
  <c r="AS57" i="67"/>
  <c r="AS60" i="67"/>
  <c r="U45" i="71"/>
  <c r="U48" i="71" s="1"/>
  <c r="T45" i="71"/>
  <c r="T48" i="71" s="1"/>
  <c r="I57" i="46"/>
  <c r="E32" i="40"/>
  <c r="I56" i="48"/>
  <c r="G67" i="31"/>
  <c r="G71" i="31" s="1"/>
  <c r="E59" i="48"/>
  <c r="E75" i="48" s="1"/>
  <c r="E87" i="48" s="1"/>
  <c r="T52" i="20"/>
  <c r="J86" i="64"/>
  <c r="P94" i="64"/>
  <c r="K181" i="25"/>
  <c r="K182" i="25" s="1"/>
  <c r="C68" i="45"/>
  <c r="C92" i="44" s="1"/>
  <c r="O66" i="45"/>
  <c r="G64" i="49" s="1"/>
  <c r="I64" i="49" s="1"/>
  <c r="D63" i="41" s="1"/>
  <c r="H63" i="41" s="1"/>
  <c r="W66" i="29" s="1"/>
  <c r="Y66" i="29" s="1"/>
  <c r="AV42" i="59" s="1"/>
  <c r="R86" i="64"/>
  <c r="I70" i="45"/>
  <c r="I73" i="45" s="1"/>
  <c r="U69" i="62"/>
  <c r="U71" i="62" s="1"/>
  <c r="U76" i="62" s="1"/>
  <c r="L50" i="64"/>
  <c r="L96" i="64" s="1"/>
  <c r="P30" i="64"/>
  <c r="BU55" i="67"/>
  <c r="BU57" i="67" s="1"/>
  <c r="B55" i="67"/>
  <c r="B57" i="67" s="1"/>
  <c r="Z122" i="68"/>
  <c r="Z62" i="70"/>
  <c r="AW39" i="60"/>
  <c r="AW33" i="60"/>
  <c r="AW37" i="60"/>
  <c r="AW46" i="60"/>
  <c r="AW32" i="60"/>
  <c r="AW30" i="60"/>
  <c r="AW36" i="60"/>
  <c r="AW40" i="60"/>
  <c r="AW28" i="60"/>
  <c r="AW31" i="60"/>
  <c r="AW38" i="60"/>
  <c r="AW12" i="60"/>
  <c r="L37" i="61"/>
  <c r="L40" i="61" s="1"/>
  <c r="Q37" i="61"/>
  <c r="Q40" i="61" s="1"/>
  <c r="AW14" i="60"/>
  <c r="O37" i="61"/>
  <c r="O40" i="61" s="1"/>
  <c r="AW13" i="60"/>
  <c r="AW16" i="60"/>
  <c r="AW19" i="60"/>
  <c r="AW15" i="60"/>
  <c r="AW34" i="60"/>
  <c r="AW67" i="60"/>
  <c r="AW62" i="60"/>
  <c r="N47" i="24"/>
  <c r="AV3" i="70"/>
  <c r="AV57" i="67"/>
  <c r="AV60" i="67"/>
  <c r="AU3" i="70"/>
  <c r="AU60" i="67"/>
  <c r="AU57" i="67"/>
  <c r="AV81" i="69"/>
  <c r="AV89" i="69" s="1"/>
  <c r="K92" i="44"/>
  <c r="Y53" i="29"/>
  <c r="L65" i="31" s="1"/>
  <c r="Y50" i="29"/>
  <c r="L64" i="31" s="1"/>
  <c r="I96" i="21"/>
  <c r="I180" i="21" s="1"/>
  <c r="I181" i="21" s="1"/>
  <c r="L55" i="21"/>
  <c r="G64" i="26"/>
  <c r="F32" i="41"/>
  <c r="F69" i="41" s="1"/>
  <c r="H24" i="41"/>
  <c r="W24" i="29" s="1"/>
  <c r="Y24" i="29" s="1"/>
  <c r="L26" i="31" s="1"/>
  <c r="H17" i="41"/>
  <c r="W17" i="29" s="1"/>
  <c r="Y17" i="29" s="1"/>
  <c r="L19" i="31" s="1"/>
  <c r="G181" i="25"/>
  <c r="G182" i="25" s="1"/>
  <c r="H16" i="41"/>
  <c r="I16" i="41" s="1"/>
  <c r="W47" i="29"/>
  <c r="Y47" i="29" s="1"/>
  <c r="H26" i="41"/>
  <c r="W26" i="29" s="1"/>
  <c r="Y26" i="29" s="1"/>
  <c r="K91" i="73"/>
  <c r="K92" i="73" s="1"/>
  <c r="I36" i="41"/>
  <c r="I62" i="41"/>
  <c r="W39" i="29"/>
  <c r="N70" i="23"/>
  <c r="N104" i="23" s="1"/>
  <c r="N118" i="23" s="1"/>
  <c r="I112" i="73"/>
  <c r="I116" i="73" s="1"/>
  <c r="C69" i="62"/>
  <c r="C71" i="62" s="1"/>
  <c r="C76" i="62" s="1"/>
  <c r="W64" i="62"/>
  <c r="H112" i="73"/>
  <c r="H116" i="73" s="1"/>
  <c r="H12" i="41"/>
  <c r="W12" i="29" s="1"/>
  <c r="Y12" i="29" s="1"/>
  <c r="L10" i="31" s="1"/>
  <c r="C59" i="48"/>
  <c r="C75" i="48" s="1"/>
  <c r="C87" i="48" s="1"/>
  <c r="H30" i="41"/>
  <c r="W30" i="29" s="1"/>
  <c r="Y30" i="29" s="1"/>
  <c r="L32" i="31" s="1"/>
  <c r="Y121" i="68"/>
  <c r="H40" i="72"/>
  <c r="E71" i="62"/>
  <c r="E76" i="62" s="1"/>
  <c r="F50" i="64"/>
  <c r="F96" i="64" s="1"/>
  <c r="D50" i="64"/>
  <c r="G92" i="63"/>
  <c r="I48" i="41"/>
  <c r="S92" i="27"/>
  <c r="S93" i="27" s="1"/>
  <c r="S70" i="29"/>
  <c r="S73" i="29" s="1"/>
  <c r="AH3" i="70"/>
  <c r="AH60" i="67"/>
  <c r="AH57" i="67"/>
  <c r="AD3" i="70"/>
  <c r="AD60" i="67"/>
  <c r="AD81" i="69"/>
  <c r="AD89" i="69" s="1"/>
  <c r="AD57" i="67"/>
  <c r="AA3" i="70"/>
  <c r="AA60" i="70" s="1"/>
  <c r="AA60" i="67"/>
  <c r="AA57" i="67"/>
  <c r="AA81" i="69"/>
  <c r="AA89" i="69" s="1"/>
  <c r="AG3" i="70"/>
  <c r="AG60" i="67"/>
  <c r="AG57" i="67"/>
  <c r="AJ3" i="70"/>
  <c r="AJ60" i="67"/>
  <c r="AJ81" i="69"/>
  <c r="AJ89" i="69" s="1"/>
  <c r="AJ57" i="67"/>
  <c r="G68" i="53"/>
  <c r="Q63" i="53"/>
  <c r="AR3" i="70"/>
  <c r="AR57" i="67"/>
  <c r="AR60" i="67"/>
  <c r="AH81" i="69"/>
  <c r="AH89" i="69" s="1"/>
  <c r="AF3" i="70"/>
  <c r="AF60" i="67"/>
  <c r="AF57" i="67"/>
  <c r="AK3" i="70"/>
  <c r="AK57" i="67"/>
  <c r="AK81" i="69"/>
  <c r="AK89" i="69" s="1"/>
  <c r="AK60" i="67"/>
  <c r="X3" i="70"/>
  <c r="X60" i="70" s="1"/>
  <c r="X57" i="67"/>
  <c r="X60" i="67"/>
  <c r="X81" i="69"/>
  <c r="X89" i="69" s="1"/>
  <c r="AC3" i="70"/>
  <c r="AC57" i="67"/>
  <c r="AC81" i="69"/>
  <c r="AC89" i="69" s="1"/>
  <c r="AC60" i="67"/>
  <c r="AI3" i="70"/>
  <c r="AI60" i="67"/>
  <c r="AI81" i="69"/>
  <c r="AI89" i="69" s="1"/>
  <c r="AI57" i="67"/>
  <c r="AI63" i="19"/>
  <c r="AC68" i="19"/>
  <c r="B114" i="68"/>
  <c r="Y122" i="68"/>
  <c r="H20" i="41"/>
  <c r="I20" i="41" s="1"/>
  <c r="Y48" i="71"/>
  <c r="BS48" i="71"/>
  <c r="AX48" i="71"/>
  <c r="H29" i="41"/>
  <c r="AX79" i="69"/>
  <c r="W46" i="29"/>
  <c r="Y46" i="29" s="1"/>
  <c r="U79" i="69"/>
  <c r="D34" i="65"/>
  <c r="D35" i="65" s="1"/>
  <c r="AU21" i="57"/>
  <c r="AU23" i="57" s="1"/>
  <c r="T79" i="69"/>
  <c r="Y79" i="69"/>
  <c r="CD120" i="68"/>
  <c r="E33" i="31"/>
  <c r="E50" i="31" s="1"/>
  <c r="L15" i="31"/>
  <c r="G15" i="31"/>
  <c r="G33" i="31" s="1"/>
  <c r="E71" i="31"/>
  <c r="D26" i="65" s="1"/>
  <c r="D28" i="65" s="1"/>
  <c r="O71" i="14"/>
  <c r="G59" i="48"/>
  <c r="G75" i="48" s="1"/>
  <c r="G87" i="48" s="1"/>
  <c r="K89" i="69"/>
  <c r="D94" i="64"/>
  <c r="E74" i="40"/>
  <c r="C76" i="46"/>
  <c r="R94" i="64"/>
  <c r="D86" i="64"/>
  <c r="H51" i="41"/>
  <c r="I51" i="41" s="1"/>
  <c r="S40" i="72"/>
  <c r="H25" i="47"/>
  <c r="B25" i="41" s="1"/>
  <c r="AG74" i="51"/>
  <c r="H15" i="47"/>
  <c r="AW92" i="58"/>
  <c r="AW138" i="58" s="1"/>
  <c r="M93" i="50"/>
  <c r="C65" i="54"/>
  <c r="K50" i="54"/>
  <c r="K62" i="54" s="1"/>
  <c r="O31" i="30"/>
  <c r="K56" i="65"/>
  <c r="K63" i="65" s="1"/>
  <c r="E56" i="65"/>
  <c r="C63" i="65"/>
  <c r="I73" i="48"/>
  <c r="K89" i="56"/>
  <c r="K102" i="56" s="1"/>
  <c r="J70" i="23"/>
  <c r="D43" i="41"/>
  <c r="B86" i="64"/>
  <c r="AW61" i="60"/>
  <c r="G44" i="26"/>
  <c r="E46" i="40"/>
  <c r="I64" i="40"/>
  <c r="W65" i="27" s="1"/>
  <c r="Y65" i="27" s="1"/>
  <c r="W41" i="29"/>
  <c r="I40" i="41"/>
  <c r="AU14" i="57"/>
  <c r="G85" i="31"/>
  <c r="C8" i="65" s="1"/>
  <c r="C34" i="65"/>
  <c r="F59" i="47"/>
  <c r="F72" i="47" s="1"/>
  <c r="AG69" i="51"/>
  <c r="AG71" i="51" s="1"/>
  <c r="AG77" i="51"/>
  <c r="B13" i="41"/>
  <c r="I14" i="41"/>
  <c r="W14" i="29"/>
  <c r="Y14" i="29" s="1"/>
  <c r="L12" i="31" s="1"/>
  <c r="H50" i="28" s="1"/>
  <c r="H42" i="47"/>
  <c r="F54" i="47"/>
  <c r="K184" i="25"/>
  <c r="H54" i="28"/>
  <c r="J42" i="72"/>
  <c r="G31" i="49"/>
  <c r="E13" i="40"/>
  <c r="I27" i="48"/>
  <c r="H19" i="47"/>
  <c r="B19" i="41" s="1"/>
  <c r="H19" i="41" s="1"/>
  <c r="BW62" i="70"/>
  <c r="BW122" i="68"/>
  <c r="Q77" i="52"/>
  <c r="Q89" i="52" s="1"/>
  <c r="R61" i="52"/>
  <c r="C63" i="40"/>
  <c r="I74" i="46"/>
  <c r="B94" i="64"/>
  <c r="F122" i="73"/>
  <c r="F112" i="73"/>
  <c r="AU13" i="57"/>
  <c r="C33" i="65"/>
  <c r="G79" i="31"/>
  <c r="C86" i="31"/>
  <c r="D82" i="65"/>
  <c r="AW37" i="58"/>
  <c r="AW39" i="58" s="1"/>
  <c r="M34" i="30"/>
  <c r="O34" i="30" s="1"/>
  <c r="G28" i="46"/>
  <c r="G60" i="46" s="1"/>
  <c r="G76" i="46" s="1"/>
  <c r="G88" i="46" s="1"/>
  <c r="I24" i="46"/>
  <c r="C24" i="40" s="1"/>
  <c r="I24" i="40" s="1"/>
  <c r="W25" i="27" s="1"/>
  <c r="Y25" i="27" s="1"/>
  <c r="W72" i="27"/>
  <c r="Y72" i="27" s="1"/>
  <c r="W40" i="29"/>
  <c r="Y40" i="29" s="1"/>
  <c r="H76" i="28" s="1"/>
  <c r="I39" i="41"/>
  <c r="W102" i="64"/>
  <c r="W105" i="64"/>
  <c r="W103" i="64"/>
  <c r="W104" i="64"/>
  <c r="W101" i="64"/>
  <c r="F68" i="26"/>
  <c r="AI61" i="18"/>
  <c r="AI77" i="18" s="1"/>
  <c r="AI89" i="18" s="1"/>
  <c r="C34" i="40"/>
  <c r="C57" i="40" s="1"/>
  <c r="J19" i="64"/>
  <c r="B3" i="71"/>
  <c r="B45" i="71" s="1"/>
  <c r="K48" i="71"/>
  <c r="I14" i="40"/>
  <c r="I25" i="46"/>
  <c r="E28" i="46"/>
  <c r="E60" i="46" s="1"/>
  <c r="E76" i="46" s="1"/>
  <c r="E88" i="46" s="1"/>
  <c r="I89" i="31"/>
  <c r="W22" i="29" l="1"/>
  <c r="Y22" i="29" s="1"/>
  <c r="L24" i="31" s="1"/>
  <c r="AU60" i="70"/>
  <c r="AU62" i="70" s="1"/>
  <c r="AK60" i="70"/>
  <c r="AK62" i="70" s="1"/>
  <c r="AD60" i="70"/>
  <c r="AD62" i="70" s="1"/>
  <c r="AV60" i="70"/>
  <c r="AV62" i="70" s="1"/>
  <c r="AF60" i="70"/>
  <c r="AF62" i="70" s="1"/>
  <c r="AH60" i="70"/>
  <c r="AH62" i="70" s="1"/>
  <c r="AR60" i="70"/>
  <c r="AR62" i="70" s="1"/>
  <c r="AI60" i="70"/>
  <c r="AI122" i="68" s="1"/>
  <c r="AC60" i="70"/>
  <c r="AC62" i="70" s="1"/>
  <c r="AJ60" i="70"/>
  <c r="AJ122" i="68" s="1"/>
  <c r="AG60" i="70"/>
  <c r="AG122" i="68" s="1"/>
  <c r="O70" i="53"/>
  <c r="O73" i="53" s="1"/>
  <c r="O92" i="52"/>
  <c r="AO125" i="68"/>
  <c r="AV125" i="68"/>
  <c r="G66" i="24"/>
  <c r="G76" i="24" s="1"/>
  <c r="AG93" i="50"/>
  <c r="C88" i="46"/>
  <c r="C91" i="46" s="1"/>
  <c r="Q89" i="30"/>
  <c r="AK122" i="68"/>
  <c r="J44" i="72"/>
  <c r="C42" i="72"/>
  <c r="U92" i="63"/>
  <c r="E57" i="40"/>
  <c r="I32" i="40"/>
  <c r="W33" i="27" s="1"/>
  <c r="Y33" i="27" s="1"/>
  <c r="C70" i="45"/>
  <c r="C73" i="45" s="1"/>
  <c r="G42" i="26"/>
  <c r="AW71" i="60"/>
  <c r="G43" i="26"/>
  <c r="AW17" i="60"/>
  <c r="AW60" i="60"/>
  <c r="I17" i="41"/>
  <c r="Y41" i="29"/>
  <c r="L58" i="31" s="1"/>
  <c r="H44" i="28" s="1"/>
  <c r="G68" i="45"/>
  <c r="O63" i="45"/>
  <c r="AT3" i="70"/>
  <c r="AT57" i="67"/>
  <c r="AT60" i="67"/>
  <c r="AT81" i="69"/>
  <c r="AT89" i="69" s="1"/>
  <c r="B89" i="69" s="1"/>
  <c r="Y39" i="29"/>
  <c r="L56" i="31" s="1"/>
  <c r="W29" i="29"/>
  <c r="Y29" i="29" s="1"/>
  <c r="C92" i="63"/>
  <c r="H122" i="73"/>
  <c r="I30" i="41"/>
  <c r="I12" i="41"/>
  <c r="H44" i="72"/>
  <c r="X62" i="70"/>
  <c r="X122" i="68"/>
  <c r="D60" i="47"/>
  <c r="AI68" i="19"/>
  <c r="AI70" i="19" s="1"/>
  <c r="AC70" i="19"/>
  <c r="AC73" i="19" s="1"/>
  <c r="AC92" i="18"/>
  <c r="AA62" i="70"/>
  <c r="AA122" i="68"/>
  <c r="C61" i="49"/>
  <c r="Q68" i="53"/>
  <c r="G92" i="52"/>
  <c r="G70" i="53"/>
  <c r="G73" i="53" s="1"/>
  <c r="E61" i="49"/>
  <c r="E66" i="49" s="1"/>
  <c r="E68" i="49" s="1"/>
  <c r="E72" i="49" s="1"/>
  <c r="W69" i="62"/>
  <c r="W92" i="63" s="1"/>
  <c r="W20" i="29"/>
  <c r="Y20" i="29" s="1"/>
  <c r="L17" i="31" s="1"/>
  <c r="I29" i="41"/>
  <c r="B15" i="41"/>
  <c r="AU28" i="57"/>
  <c r="E34" i="65"/>
  <c r="C46" i="65" s="1"/>
  <c r="E26" i="65"/>
  <c r="E28" i="65" s="1"/>
  <c r="E88" i="31"/>
  <c r="E89" i="31" s="1"/>
  <c r="D22" i="65"/>
  <c r="D24" i="65" s="1"/>
  <c r="D37" i="65" s="1"/>
  <c r="D38" i="65" s="1"/>
  <c r="B121" i="68"/>
  <c r="D96" i="64"/>
  <c r="W52" i="29"/>
  <c r="Y52" i="29" s="1"/>
  <c r="W16" i="29"/>
  <c r="Y16" i="29" s="1"/>
  <c r="L18" i="31" s="1"/>
  <c r="I59" i="48"/>
  <c r="I75" i="48" s="1"/>
  <c r="I87" i="48" s="1"/>
  <c r="S44" i="72"/>
  <c r="G86" i="31"/>
  <c r="O88" i="30" s="1"/>
  <c r="H25" i="41"/>
  <c r="W25" i="29" s="1"/>
  <c r="Y25" i="29" s="1"/>
  <c r="L27" i="31" s="1"/>
  <c r="E42" i="72"/>
  <c r="AW41" i="58"/>
  <c r="E33" i="65"/>
  <c r="C35" i="65"/>
  <c r="D15" i="41"/>
  <c r="I31" i="49"/>
  <c r="B42" i="41"/>
  <c r="H54" i="47"/>
  <c r="H43" i="41"/>
  <c r="W44" i="29" s="1"/>
  <c r="D54" i="41"/>
  <c r="G61" i="65"/>
  <c r="G60" i="65"/>
  <c r="M57" i="65"/>
  <c r="M58" i="65"/>
  <c r="M60" i="65"/>
  <c r="M62" i="65"/>
  <c r="G57" i="65"/>
  <c r="G58" i="65"/>
  <c r="C99" i="65"/>
  <c r="M59" i="65"/>
  <c r="G62" i="65"/>
  <c r="G59" i="65"/>
  <c r="M61" i="65"/>
  <c r="G54" i="65"/>
  <c r="M54" i="65"/>
  <c r="M55" i="65"/>
  <c r="G55" i="65"/>
  <c r="C86" i="65"/>
  <c r="C89" i="65" s="1"/>
  <c r="F65" i="47"/>
  <c r="G91" i="46" s="1"/>
  <c r="H59" i="47"/>
  <c r="AU16" i="57"/>
  <c r="AU27" i="57"/>
  <c r="I63" i="40"/>
  <c r="C74" i="40"/>
  <c r="W19" i="29"/>
  <c r="Y19" i="29" s="1"/>
  <c r="I19" i="41"/>
  <c r="M56" i="65"/>
  <c r="BJ122" i="68"/>
  <c r="BJ62" i="70"/>
  <c r="I46" i="40"/>
  <c r="W47" i="27" s="1"/>
  <c r="Y47" i="27" s="1"/>
  <c r="G56" i="65"/>
  <c r="M50" i="54"/>
  <c r="R77" i="52"/>
  <c r="J104" i="23"/>
  <c r="J118" i="23" s="1"/>
  <c r="L70" i="23"/>
  <c r="L104" i="23" s="1"/>
  <c r="H13" i="41"/>
  <c r="D84" i="65"/>
  <c r="H82" i="65"/>
  <c r="E82" i="65"/>
  <c r="E84" i="65" s="1"/>
  <c r="G83" i="28"/>
  <c r="K88" i="30"/>
  <c r="K89" i="30" s="1"/>
  <c r="F116" i="73"/>
  <c r="K116" i="73" s="1"/>
  <c r="K112" i="73"/>
  <c r="E28" i="40"/>
  <c r="I13" i="40"/>
  <c r="W14" i="27" s="1"/>
  <c r="Y14" i="27" s="1"/>
  <c r="E37" i="61" s="1"/>
  <c r="E40" i="61" s="1"/>
  <c r="C90" i="31"/>
  <c r="C95" i="65"/>
  <c r="W15" i="27"/>
  <c r="F9" i="26"/>
  <c r="L110" i="64"/>
  <c r="L112" i="64"/>
  <c r="L114" i="64" s="1"/>
  <c r="L98" i="64"/>
  <c r="F112" i="64"/>
  <c r="F114" i="64" s="1"/>
  <c r="F98" i="64"/>
  <c r="F110" i="64"/>
  <c r="P50" i="64"/>
  <c r="P96" i="64" s="1"/>
  <c r="J50" i="64"/>
  <c r="J96" i="64" s="1"/>
  <c r="R19" i="64"/>
  <c r="R50" i="64" s="1"/>
  <c r="C25" i="40"/>
  <c r="I28" i="46"/>
  <c r="I60" i="46" s="1"/>
  <c r="I76" i="46" s="1"/>
  <c r="I88" i="46" s="1"/>
  <c r="I34" i="40"/>
  <c r="AJ62" i="70" l="1"/>
  <c r="AG62" i="70"/>
  <c r="AI62" i="70"/>
  <c r="AC122" i="68"/>
  <c r="AV122" i="68"/>
  <c r="AH122" i="68"/>
  <c r="AT60" i="70"/>
  <c r="AT62" i="70" s="1"/>
  <c r="Q70" i="53"/>
  <c r="Q73" i="53" s="1"/>
  <c r="Q92" i="52"/>
  <c r="AU125" i="68"/>
  <c r="AN125" i="68"/>
  <c r="AD122" i="68"/>
  <c r="I76" i="24"/>
  <c r="AR122" i="68"/>
  <c r="AU122" i="68"/>
  <c r="AF122" i="68"/>
  <c r="W35" i="27"/>
  <c r="Y35" i="27" s="1"/>
  <c r="I57" i="40"/>
  <c r="AW51" i="60" s="1"/>
  <c r="AW27" i="60"/>
  <c r="B3" i="70"/>
  <c r="B81" i="69"/>
  <c r="B93" i="69" s="1"/>
  <c r="G61" i="49"/>
  <c r="G66" i="49" s="1"/>
  <c r="O68" i="45"/>
  <c r="G92" i="44"/>
  <c r="G70" i="45"/>
  <c r="G73" i="45" s="1"/>
  <c r="Y44" i="29"/>
  <c r="L60" i="31" s="1"/>
  <c r="D110" i="64"/>
  <c r="AI92" i="18"/>
  <c r="C66" i="49"/>
  <c r="W71" i="62"/>
  <c r="W76" i="62" s="1"/>
  <c r="H60" i="47"/>
  <c r="B60" i="41" s="1"/>
  <c r="D65" i="47"/>
  <c r="D67" i="47" s="1"/>
  <c r="E90" i="48"/>
  <c r="B48" i="71"/>
  <c r="AU30" i="57"/>
  <c r="BA30" i="57" s="1"/>
  <c r="D112" i="64"/>
  <c r="D114" i="64" s="1"/>
  <c r="D98" i="64"/>
  <c r="E60" i="40"/>
  <c r="F67" i="47"/>
  <c r="F70" i="47" s="1"/>
  <c r="C7" i="65"/>
  <c r="C40" i="65" s="1"/>
  <c r="C42" i="65" s="1"/>
  <c r="I25" i="41"/>
  <c r="C111" i="65"/>
  <c r="AW42" i="60"/>
  <c r="G47" i="26"/>
  <c r="B59" i="41"/>
  <c r="H42" i="41"/>
  <c r="B54" i="41"/>
  <c r="W64" i="27"/>
  <c r="I74" i="40"/>
  <c r="C107" i="65"/>
  <c r="C93" i="65"/>
  <c r="C96" i="65" s="1"/>
  <c r="D72" i="41"/>
  <c r="D32" i="41"/>
  <c r="H15" i="41"/>
  <c r="C44" i="65"/>
  <c r="E35" i="65"/>
  <c r="W13" i="29"/>
  <c r="I13" i="41"/>
  <c r="R89" i="52"/>
  <c r="E55" i="61"/>
  <c r="C103" i="65"/>
  <c r="C105" i="65" s="1"/>
  <c r="G63" i="65"/>
  <c r="K65" i="54"/>
  <c r="M65" i="54" s="1"/>
  <c r="M62" i="54"/>
  <c r="K64" i="28"/>
  <c r="K65" i="28" s="1"/>
  <c r="N46" i="24"/>
  <c r="N49" i="24" s="1"/>
  <c r="AW70" i="60"/>
  <c r="I25" i="40"/>
  <c r="W26" i="27" s="1"/>
  <c r="Y26" i="27" s="1"/>
  <c r="C28" i="40"/>
  <c r="C60" i="40" s="1"/>
  <c r="F66" i="26"/>
  <c r="J110" i="64"/>
  <c r="J112" i="64"/>
  <c r="J114" i="64" s="1"/>
  <c r="AA76" i="64" s="1"/>
  <c r="R96" i="64"/>
  <c r="J98" i="64"/>
  <c r="P98" i="64"/>
  <c r="AC76" i="64" s="1"/>
  <c r="P112" i="64"/>
  <c r="P114" i="64" s="1"/>
  <c r="AD76" i="64" s="1"/>
  <c r="P110" i="64"/>
  <c r="M76" i="46"/>
  <c r="M88" i="46" s="1"/>
  <c r="Y15" i="27"/>
  <c r="X76" i="64" l="1"/>
  <c r="X11" i="64"/>
  <c r="W76" i="64"/>
  <c r="W11" i="64"/>
  <c r="AM125" i="68"/>
  <c r="AT125" i="68"/>
  <c r="E76" i="40"/>
  <c r="E88" i="40" s="1"/>
  <c r="C76" i="40"/>
  <c r="C88" i="40" s="1"/>
  <c r="Z7" i="64"/>
  <c r="Z76" i="64"/>
  <c r="AT122" i="68"/>
  <c r="G8" i="28"/>
  <c r="AD64" i="64"/>
  <c r="AD75" i="64"/>
  <c r="AC64" i="64"/>
  <c r="AC75" i="64"/>
  <c r="AA64" i="64"/>
  <c r="AA75" i="64"/>
  <c r="Z64" i="64"/>
  <c r="Z75" i="64"/>
  <c r="W64" i="64"/>
  <c r="W75" i="64"/>
  <c r="X64" i="64"/>
  <c r="X75" i="64"/>
  <c r="Y58" i="27"/>
  <c r="L124" i="64" s="1"/>
  <c r="W58" i="27"/>
  <c r="I61" i="49"/>
  <c r="D60" i="41" s="1"/>
  <c r="D65" i="41" s="1"/>
  <c r="D67" i="41" s="1"/>
  <c r="D69" i="41" s="1"/>
  <c r="O92" i="44"/>
  <c r="O70" i="45"/>
  <c r="O73" i="45" s="1"/>
  <c r="G68" i="49"/>
  <c r="G72" i="49" s="1"/>
  <c r="G90" i="48"/>
  <c r="AA25" i="64"/>
  <c r="AA73" i="64"/>
  <c r="AA74" i="64"/>
  <c r="AD25" i="64"/>
  <c r="AD73" i="64"/>
  <c r="AD74" i="64"/>
  <c r="W74" i="64"/>
  <c r="W73" i="64"/>
  <c r="AC25" i="64"/>
  <c r="AC73" i="64"/>
  <c r="AC74" i="64"/>
  <c r="Z25" i="64"/>
  <c r="Z74" i="64"/>
  <c r="Z73" i="64"/>
  <c r="X74" i="64"/>
  <c r="X73" i="64"/>
  <c r="H65" i="47"/>
  <c r="H67" i="47" s="1"/>
  <c r="C68" i="49"/>
  <c r="C72" i="49" s="1"/>
  <c r="C90" i="48"/>
  <c r="E91" i="46"/>
  <c r="W93" i="64"/>
  <c r="W25" i="64"/>
  <c r="X21" i="64"/>
  <c r="X25" i="64"/>
  <c r="W61" i="64"/>
  <c r="X47" i="64"/>
  <c r="X61" i="64"/>
  <c r="W12" i="64"/>
  <c r="W48" i="64"/>
  <c r="W23" i="64"/>
  <c r="X70" i="64"/>
  <c r="X92" i="64"/>
  <c r="X84" i="64"/>
  <c r="X38" i="64"/>
  <c r="X23" i="64"/>
  <c r="W36" i="64"/>
  <c r="W41" i="64"/>
  <c r="W80" i="64"/>
  <c r="W42" i="64"/>
  <c r="W7" i="64"/>
  <c r="W19" i="64"/>
  <c r="W85" i="64"/>
  <c r="W70" i="64"/>
  <c r="W44" i="64"/>
  <c r="W92" i="64"/>
  <c r="W26" i="64"/>
  <c r="W43" i="64"/>
  <c r="W30" i="64"/>
  <c r="W38" i="64"/>
  <c r="W21" i="64"/>
  <c r="W68" i="64"/>
  <c r="W65" i="64"/>
  <c r="W81" i="64"/>
  <c r="X89" i="64"/>
  <c r="X29" i="64"/>
  <c r="X12" i="64"/>
  <c r="X43" i="64"/>
  <c r="X39" i="64"/>
  <c r="X28" i="64"/>
  <c r="X35" i="64"/>
  <c r="X30" i="64"/>
  <c r="X15" i="64"/>
  <c r="X105" i="64"/>
  <c r="X77" i="64"/>
  <c r="X72" i="64"/>
  <c r="X44" i="64"/>
  <c r="X60" i="64"/>
  <c r="X14" i="64"/>
  <c r="W24" i="64"/>
  <c r="W39" i="64"/>
  <c r="W91" i="64"/>
  <c r="W47" i="64"/>
  <c r="W89" i="64"/>
  <c r="W53" i="64"/>
  <c r="X65" i="64"/>
  <c r="X102" i="64"/>
  <c r="AI102" i="64" s="1"/>
  <c r="X101" i="64"/>
  <c r="AI101" i="64" s="1"/>
  <c r="X22" i="64"/>
  <c r="X90" i="64"/>
  <c r="X26" i="64"/>
  <c r="X41" i="64"/>
  <c r="X48" i="64"/>
  <c r="W72" i="64"/>
  <c r="X69" i="64"/>
  <c r="X24" i="64"/>
  <c r="X46" i="64"/>
  <c r="X71" i="64"/>
  <c r="W28" i="64"/>
  <c r="W84" i="64"/>
  <c r="W34" i="64"/>
  <c r="W60" i="64"/>
  <c r="W69" i="64"/>
  <c r="W16" i="64"/>
  <c r="W35" i="64"/>
  <c r="X63" i="64"/>
  <c r="X16" i="64"/>
  <c r="X20" i="64"/>
  <c r="X83" i="64"/>
  <c r="X45" i="64"/>
  <c r="X80" i="64"/>
  <c r="X62" i="64"/>
  <c r="X34" i="64"/>
  <c r="W71" i="64"/>
  <c r="W46" i="64"/>
  <c r="W83" i="64"/>
  <c r="W37" i="64"/>
  <c r="W63" i="64"/>
  <c r="W22" i="64"/>
  <c r="X53" i="64"/>
  <c r="X13" i="64"/>
  <c r="X93" i="64"/>
  <c r="W82" i="64"/>
  <c r="W77" i="64"/>
  <c r="W15" i="64"/>
  <c r="W13" i="64"/>
  <c r="W45" i="64"/>
  <c r="W27" i="64"/>
  <c r="X82" i="64"/>
  <c r="X7" i="64"/>
  <c r="X33" i="64"/>
  <c r="X19" i="64"/>
  <c r="X81" i="64"/>
  <c r="X37" i="64"/>
  <c r="X36" i="64"/>
  <c r="X40" i="64"/>
  <c r="X85" i="64"/>
  <c r="W29" i="64"/>
  <c r="W90" i="64"/>
  <c r="W14" i="64"/>
  <c r="W62" i="64"/>
  <c r="W20" i="64"/>
  <c r="W40" i="64"/>
  <c r="W33" i="64"/>
  <c r="X104" i="64"/>
  <c r="X91" i="64"/>
  <c r="X68" i="64"/>
  <c r="X27" i="64"/>
  <c r="X103" i="64"/>
  <c r="AI103" i="64" s="1"/>
  <c r="X42" i="64"/>
  <c r="AA93" i="64"/>
  <c r="Z93" i="64"/>
  <c r="AC71" i="64"/>
  <c r="AC93" i="64"/>
  <c r="AC72" i="64"/>
  <c r="AD72" i="64"/>
  <c r="AD93" i="64"/>
  <c r="AD71" i="64"/>
  <c r="AA71" i="64"/>
  <c r="AA72" i="64"/>
  <c r="Z72" i="64"/>
  <c r="Z71" i="64"/>
  <c r="C47" i="65"/>
  <c r="C45" i="65"/>
  <c r="W43" i="29"/>
  <c r="Y43" i="29" s="1"/>
  <c r="I42" i="41"/>
  <c r="H54" i="41"/>
  <c r="I15" i="41"/>
  <c r="W15" i="29"/>
  <c r="H59" i="41"/>
  <c r="B65" i="41"/>
  <c r="B67" i="41" s="1"/>
  <c r="Y64" i="27"/>
  <c r="G41" i="26" s="1"/>
  <c r="W75" i="27"/>
  <c r="Y13" i="29"/>
  <c r="Z48" i="64"/>
  <c r="Z47" i="64"/>
  <c r="Z68" i="64"/>
  <c r="Z44" i="64"/>
  <c r="Z85" i="64"/>
  <c r="Z82" i="64"/>
  <c r="Z45" i="64"/>
  <c r="Z27" i="64"/>
  <c r="Z15" i="64"/>
  <c r="Z91" i="64"/>
  <c r="Z20" i="64"/>
  <c r="Z89" i="64"/>
  <c r="Z33" i="64"/>
  <c r="Z12" i="64"/>
  <c r="Z16" i="64"/>
  <c r="Z22" i="64"/>
  <c r="Z65" i="64"/>
  <c r="Z60" i="64"/>
  <c r="Z70" i="64"/>
  <c r="Z84" i="64"/>
  <c r="Z53" i="64"/>
  <c r="Z92" i="64"/>
  <c r="Z29" i="64"/>
  <c r="Z23" i="64"/>
  <c r="Z13" i="64"/>
  <c r="Z28" i="64"/>
  <c r="Z21" i="64"/>
  <c r="Z14" i="64"/>
  <c r="Z24" i="64"/>
  <c r="Z61" i="64"/>
  <c r="Z90" i="64"/>
  <c r="Z62" i="64"/>
  <c r="Z63" i="64"/>
  <c r="Z36" i="64"/>
  <c r="Z43" i="64"/>
  <c r="Z42" i="64"/>
  <c r="Z46" i="64"/>
  <c r="Z77" i="64"/>
  <c r="Z37" i="64"/>
  <c r="Z35" i="64"/>
  <c r="Z39" i="64"/>
  <c r="Z38" i="64"/>
  <c r="Z81" i="64"/>
  <c r="Z80" i="64"/>
  <c r="Z69" i="64"/>
  <c r="Z34" i="64"/>
  <c r="Z41" i="64"/>
  <c r="Z40" i="64"/>
  <c r="Z83" i="64"/>
  <c r="Z26" i="64"/>
  <c r="Z30" i="64"/>
  <c r="Z19" i="64"/>
  <c r="F69" i="26"/>
  <c r="K91" i="30"/>
  <c r="I28" i="40"/>
  <c r="I60" i="40" s="1"/>
  <c r="I76" i="40" s="1"/>
  <c r="I88" i="40" s="1"/>
  <c r="AD63" i="64"/>
  <c r="AD69" i="64"/>
  <c r="AD68" i="64"/>
  <c r="AD34" i="64"/>
  <c r="AD38" i="64"/>
  <c r="AD43" i="64"/>
  <c r="AD80" i="64"/>
  <c r="AD84" i="64"/>
  <c r="AD45" i="64"/>
  <c r="AD104" i="64"/>
  <c r="AD65" i="64"/>
  <c r="AD92" i="64"/>
  <c r="AD21" i="64"/>
  <c r="AD53" i="64"/>
  <c r="AD62" i="64"/>
  <c r="AD7" i="64"/>
  <c r="AD48" i="64"/>
  <c r="AD77" i="64"/>
  <c r="AD36" i="64"/>
  <c r="AD42" i="64"/>
  <c r="AD85" i="64"/>
  <c r="AD103" i="64"/>
  <c r="AK103" i="64" s="1"/>
  <c r="AD28" i="64"/>
  <c r="AD91" i="64"/>
  <c r="AD61" i="64"/>
  <c r="AD90" i="64"/>
  <c r="AD70" i="64"/>
  <c r="AD44" i="64"/>
  <c r="AD39" i="64"/>
  <c r="AD101" i="64"/>
  <c r="AK101" i="64" s="1"/>
  <c r="AD23" i="64"/>
  <c r="AD16" i="64"/>
  <c r="AD12" i="64"/>
  <c r="AD89" i="64"/>
  <c r="AD20" i="64"/>
  <c r="AD41" i="64"/>
  <c r="AD81" i="64"/>
  <c r="AD15" i="64"/>
  <c r="AD22" i="64"/>
  <c r="AD35" i="64"/>
  <c r="AD46" i="64"/>
  <c r="AD105" i="64"/>
  <c r="AD24" i="64"/>
  <c r="AD14" i="64"/>
  <c r="AD13" i="64"/>
  <c r="AD40" i="64"/>
  <c r="AD102" i="64"/>
  <c r="AK102" i="64" s="1"/>
  <c r="AD27" i="64"/>
  <c r="AD37" i="64"/>
  <c r="AD82" i="64"/>
  <c r="AD33" i="64"/>
  <c r="AD47" i="64"/>
  <c r="AD83" i="64"/>
  <c r="AD60" i="64"/>
  <c r="AD29" i="64"/>
  <c r="AD26" i="64"/>
  <c r="AD19" i="64"/>
  <c r="AD30" i="64"/>
  <c r="AA48" i="64"/>
  <c r="AA34" i="64"/>
  <c r="AA39" i="64"/>
  <c r="AA43" i="64"/>
  <c r="AA46" i="64"/>
  <c r="AA84" i="64"/>
  <c r="AA102" i="64"/>
  <c r="AJ102" i="64" s="1"/>
  <c r="AA104" i="64"/>
  <c r="AA28" i="64"/>
  <c r="AA62" i="64"/>
  <c r="AA91" i="64"/>
  <c r="AA15" i="64"/>
  <c r="AA16" i="64"/>
  <c r="AA92" i="64"/>
  <c r="AA63" i="64"/>
  <c r="AA38" i="64"/>
  <c r="AA44" i="64"/>
  <c r="AA80" i="64"/>
  <c r="AA83" i="64"/>
  <c r="AA45" i="64"/>
  <c r="AA65" i="64"/>
  <c r="AA22" i="64"/>
  <c r="AA14" i="64"/>
  <c r="AA7" i="64"/>
  <c r="AA47" i="64"/>
  <c r="AA35" i="64"/>
  <c r="AA41" i="64"/>
  <c r="AA82" i="64"/>
  <c r="AA53" i="64"/>
  <c r="AA20" i="64"/>
  <c r="AA33" i="64"/>
  <c r="AA21" i="64"/>
  <c r="AA29" i="64"/>
  <c r="AA69" i="64"/>
  <c r="AA42" i="64"/>
  <c r="AA103" i="64"/>
  <c r="AJ103" i="64" s="1"/>
  <c r="AA24" i="64"/>
  <c r="AA90" i="64"/>
  <c r="AA89" i="64"/>
  <c r="AA70" i="64"/>
  <c r="AA36" i="64"/>
  <c r="AA81" i="64"/>
  <c r="AA23" i="64"/>
  <c r="AA37" i="64"/>
  <c r="AA85" i="64"/>
  <c r="AA60" i="64"/>
  <c r="AA101" i="64"/>
  <c r="AJ101" i="64" s="1"/>
  <c r="AA27" i="64"/>
  <c r="AA68" i="64"/>
  <c r="AA77" i="64"/>
  <c r="AA105" i="64"/>
  <c r="AA61" i="64"/>
  <c r="AA40" i="64"/>
  <c r="AA12" i="64"/>
  <c r="AA13" i="64"/>
  <c r="AA30" i="64"/>
  <c r="AA26" i="64"/>
  <c r="AA19" i="64"/>
  <c r="AW11" i="60"/>
  <c r="H37" i="61"/>
  <c r="H40" i="61" s="1"/>
  <c r="AC47" i="64"/>
  <c r="AC63" i="64"/>
  <c r="AC68" i="64"/>
  <c r="AC44" i="64"/>
  <c r="AC45" i="64"/>
  <c r="AC33" i="64"/>
  <c r="AC92" i="64"/>
  <c r="AC89" i="64"/>
  <c r="AC60" i="64"/>
  <c r="AC53" i="64"/>
  <c r="AC84" i="64"/>
  <c r="AC85" i="64"/>
  <c r="AC82" i="64"/>
  <c r="AC13" i="64"/>
  <c r="AC16" i="64"/>
  <c r="AC24" i="64"/>
  <c r="AC90" i="64"/>
  <c r="AC62" i="64"/>
  <c r="AC23" i="64"/>
  <c r="AC15" i="64"/>
  <c r="AC80" i="64"/>
  <c r="AC41" i="64"/>
  <c r="AC38" i="64"/>
  <c r="AC21" i="64"/>
  <c r="AC61" i="64"/>
  <c r="AC7" i="64"/>
  <c r="AC65" i="64"/>
  <c r="AC48" i="64"/>
  <c r="AC35" i="64"/>
  <c r="AC43" i="64"/>
  <c r="AC40" i="64"/>
  <c r="AC14" i="64"/>
  <c r="AC27" i="64"/>
  <c r="AC22" i="64"/>
  <c r="AC70" i="64"/>
  <c r="AC69" i="64"/>
  <c r="AC77" i="64"/>
  <c r="AC37" i="64"/>
  <c r="AC34" i="64"/>
  <c r="AC42" i="64"/>
  <c r="AC83" i="64"/>
  <c r="AC12" i="64"/>
  <c r="AC29" i="64"/>
  <c r="AC81" i="64"/>
  <c r="AC39" i="64"/>
  <c r="AC36" i="64"/>
  <c r="AC46" i="64"/>
  <c r="AC20" i="64"/>
  <c r="AC91" i="64"/>
  <c r="AC28" i="64"/>
  <c r="AC26" i="64"/>
  <c r="AC19" i="64"/>
  <c r="AC30" i="64"/>
  <c r="AL125" i="68" l="1"/>
  <c r="AS125" i="68"/>
  <c r="AK64" i="64"/>
  <c r="AJ64" i="64"/>
  <c r="AI64" i="64"/>
  <c r="I66" i="49"/>
  <c r="I90" i="48" s="1"/>
  <c r="W37" i="61"/>
  <c r="W40" i="61" s="1"/>
  <c r="AJ25" i="64"/>
  <c r="AK25" i="64"/>
  <c r="AI71" i="64"/>
  <c r="I91" i="46"/>
  <c r="E92" i="40"/>
  <c r="H60" i="41"/>
  <c r="H65" i="41" s="1"/>
  <c r="H67" i="41" s="1"/>
  <c r="AI93" i="64"/>
  <c r="AI21" i="64"/>
  <c r="AI25" i="64"/>
  <c r="AI24" i="64"/>
  <c r="AI35" i="64"/>
  <c r="AI12" i="64"/>
  <c r="AI84" i="64"/>
  <c r="AI26" i="64"/>
  <c r="AI61" i="64"/>
  <c r="AI48" i="64"/>
  <c r="AI62" i="64"/>
  <c r="AI47" i="64"/>
  <c r="AI23" i="64"/>
  <c r="AI80" i="64"/>
  <c r="AI15" i="64"/>
  <c r="AI43" i="64"/>
  <c r="AI29" i="64"/>
  <c r="AK72" i="64"/>
  <c r="AI36" i="64"/>
  <c r="AI92" i="64"/>
  <c r="AI14" i="64"/>
  <c r="AI65" i="64"/>
  <c r="AI7" i="64"/>
  <c r="AI77" i="64"/>
  <c r="AI70" i="64"/>
  <c r="AI38" i="64"/>
  <c r="AI85" i="64"/>
  <c r="AI39" i="64"/>
  <c r="AI41" i="64"/>
  <c r="AI81" i="64"/>
  <c r="AI19" i="64"/>
  <c r="AI89" i="64"/>
  <c r="AI30" i="64"/>
  <c r="AI69" i="64"/>
  <c r="AI68" i="64"/>
  <c r="AI60" i="64"/>
  <c r="AI82" i="64"/>
  <c r="AI28" i="64"/>
  <c r="AI72" i="64"/>
  <c r="AI45" i="64"/>
  <c r="AI20" i="64"/>
  <c r="AI40" i="64"/>
  <c r="AK71" i="64"/>
  <c r="AI27" i="64"/>
  <c r="AI22" i="64"/>
  <c r="AI83" i="64"/>
  <c r="AI63" i="64"/>
  <c r="AI90" i="64"/>
  <c r="AI46" i="64"/>
  <c r="AI91" i="64"/>
  <c r="AI33" i="64"/>
  <c r="AI37" i="64"/>
  <c r="AI34" i="64"/>
  <c r="AI53" i="64"/>
  <c r="AI16" i="64"/>
  <c r="AI13" i="64"/>
  <c r="AJ93" i="64"/>
  <c r="AJ72" i="64"/>
  <c r="AK93" i="64"/>
  <c r="AK81" i="64"/>
  <c r="AJ71" i="64"/>
  <c r="AK22" i="64"/>
  <c r="AK12" i="64"/>
  <c r="AK7" i="64"/>
  <c r="C92" i="40"/>
  <c r="L11" i="31"/>
  <c r="AK62" i="64"/>
  <c r="AK68" i="64"/>
  <c r="W62" i="29"/>
  <c r="AK30" i="64"/>
  <c r="AK36" i="64"/>
  <c r="AK37" i="64"/>
  <c r="AK13" i="64"/>
  <c r="Y15" i="29"/>
  <c r="L14" i="31" s="1"/>
  <c r="AW59" i="60"/>
  <c r="AW73" i="60" s="1"/>
  <c r="Y75" i="27"/>
  <c r="Y55" i="29"/>
  <c r="W55" i="29"/>
  <c r="AK19" i="64"/>
  <c r="AK83" i="64"/>
  <c r="AK77" i="64"/>
  <c r="AK80" i="64"/>
  <c r="AK90" i="64"/>
  <c r="AK46" i="64"/>
  <c r="AK65" i="64"/>
  <c r="AK29" i="64"/>
  <c r="AK38" i="64"/>
  <c r="AK23" i="64"/>
  <c r="AJ26" i="64"/>
  <c r="AJ14" i="64"/>
  <c r="AJ23" i="64"/>
  <c r="AJ65" i="64"/>
  <c r="AJ85" i="64"/>
  <c r="AJ48" i="64"/>
  <c r="AK15" i="64"/>
  <c r="AK60" i="64"/>
  <c r="AK84" i="64"/>
  <c r="AK92" i="64"/>
  <c r="AK28" i="64"/>
  <c r="AK34" i="64"/>
  <c r="AK70" i="64"/>
  <c r="AK40" i="64"/>
  <c r="AK16" i="64"/>
  <c r="AK85" i="64"/>
  <c r="AK89" i="64"/>
  <c r="AJ38" i="64"/>
  <c r="AJ43" i="64"/>
  <c r="AJ90" i="64"/>
  <c r="AJ33" i="64"/>
  <c r="AJ15" i="64"/>
  <c r="AK82" i="64"/>
  <c r="AJ83" i="64"/>
  <c r="AJ69" i="64"/>
  <c r="AJ39" i="64"/>
  <c r="AJ77" i="64"/>
  <c r="AJ36" i="64"/>
  <c r="AK43" i="64"/>
  <c r="AK41" i="64"/>
  <c r="AJ21" i="64"/>
  <c r="AJ29" i="64"/>
  <c r="AJ22" i="64"/>
  <c r="AJ89" i="64"/>
  <c r="AK91" i="64"/>
  <c r="AK39" i="64"/>
  <c r="AK27" i="64"/>
  <c r="AK35" i="64"/>
  <c r="AK61" i="64"/>
  <c r="AK53" i="64"/>
  <c r="AK33" i="64"/>
  <c r="AK63" i="64"/>
  <c r="W29" i="27"/>
  <c r="W61" i="27" s="1"/>
  <c r="W77" i="27" s="1"/>
  <c r="W89" i="27" s="1"/>
  <c r="AJ19" i="64"/>
  <c r="AJ40" i="64"/>
  <c r="AJ80" i="64"/>
  <c r="AJ46" i="64"/>
  <c r="AJ63" i="64"/>
  <c r="AJ7" i="64"/>
  <c r="AJ28" i="64"/>
  <c r="AJ92" i="64"/>
  <c r="AJ70" i="64"/>
  <c r="AJ16" i="64"/>
  <c r="AJ20" i="64"/>
  <c r="AJ45" i="64"/>
  <c r="AJ68" i="64"/>
  <c r="AJ34" i="64"/>
  <c r="AJ37" i="64"/>
  <c r="AJ84" i="64"/>
  <c r="AJ61" i="64"/>
  <c r="AJ27" i="64"/>
  <c r="AK26" i="64"/>
  <c r="AK20" i="64"/>
  <c r="AK69" i="64"/>
  <c r="AK14" i="64"/>
  <c r="AK48" i="64"/>
  <c r="AK21" i="64"/>
  <c r="AK24" i="64"/>
  <c r="AK45" i="64"/>
  <c r="AK47" i="64"/>
  <c r="AW29" i="60"/>
  <c r="AW54" i="60" s="1"/>
  <c r="AW78" i="60" s="1"/>
  <c r="L116" i="64"/>
  <c r="AJ30" i="64"/>
  <c r="AJ41" i="64"/>
  <c r="AJ81" i="64"/>
  <c r="AJ35" i="64"/>
  <c r="AJ62" i="64"/>
  <c r="AJ24" i="64"/>
  <c r="AJ13" i="64"/>
  <c r="AJ53" i="64"/>
  <c r="AJ60" i="64"/>
  <c r="AJ12" i="64"/>
  <c r="AJ91" i="64"/>
  <c r="AJ82" i="64"/>
  <c r="AJ47" i="64"/>
  <c r="AR125" i="68" l="1"/>
  <c r="AJ125" i="68" s="1"/>
  <c r="AK125" i="68"/>
  <c r="D116" i="64"/>
  <c r="D124" i="64"/>
  <c r="I68" i="49"/>
  <c r="I72" i="49" s="1"/>
  <c r="W63" i="29"/>
  <c r="Y63" i="29" s="1"/>
  <c r="AV39" i="59" s="1"/>
  <c r="I60" i="41"/>
  <c r="I65" i="41" s="1"/>
  <c r="I67" i="41" s="1"/>
  <c r="I69" i="41" s="1"/>
  <c r="I92" i="40"/>
  <c r="Y62" i="29"/>
  <c r="AW18" i="60"/>
  <c r="AW23" i="60" s="1"/>
  <c r="Y29" i="27"/>
  <c r="G30" i="26" s="1"/>
  <c r="AI125" i="68" l="1"/>
  <c r="AH125" i="68" s="1"/>
  <c r="AG125" i="68" s="1"/>
  <c r="F116" i="64"/>
  <c r="F124" i="64"/>
  <c r="AY54" i="60"/>
  <c r="W68" i="29"/>
  <c r="W92" i="27" s="1"/>
  <c r="W93" i="27" s="1"/>
  <c r="Y68" i="29"/>
  <c r="C11" i="65"/>
  <c r="AV38" i="59"/>
  <c r="AV44" i="59" s="1"/>
  <c r="AY23" i="60"/>
  <c r="AW56" i="60"/>
  <c r="AW75" i="60" s="1"/>
  <c r="Y61" i="27"/>
  <c r="Y77" i="27" s="1"/>
  <c r="Y89" i="27" s="1"/>
  <c r="AE125" i="68" l="1"/>
  <c r="AF125" i="68"/>
  <c r="AD125" i="68" s="1"/>
  <c r="AC125" i="68" s="1"/>
  <c r="AB125" i="68" s="1"/>
  <c r="AA125" i="68" s="1"/>
  <c r="Z125" i="68" s="1"/>
  <c r="Y125" i="68" s="1"/>
  <c r="X125" i="68" s="1"/>
  <c r="W125" i="68" s="1"/>
  <c r="V125" i="68" s="1"/>
  <c r="U125" i="68" s="1"/>
  <c r="T125" i="68" s="1"/>
  <c r="S125" i="68" s="1"/>
  <c r="R125" i="68" s="1"/>
  <c r="Q125" i="68" s="1"/>
  <c r="P125" i="68" s="1"/>
  <c r="W70" i="29"/>
  <c r="AW44" i="59"/>
  <c r="AV68" i="59" s="1"/>
  <c r="H8" i="28"/>
  <c r="H11" i="28" s="1"/>
  <c r="Y92" i="27"/>
  <c r="C9" i="65"/>
  <c r="Y70" i="29"/>
  <c r="C10" i="65"/>
  <c r="G9" i="26"/>
  <c r="G12" i="26" s="1"/>
  <c r="AX75" i="60"/>
  <c r="Y93" i="27" l="1"/>
  <c r="L14" i="23"/>
  <c r="L18" i="23" s="1"/>
  <c r="C117" i="23"/>
  <c r="C118" i="23" s="1"/>
  <c r="I110" i="23" s="1"/>
  <c r="L117" i="23" l="1"/>
  <c r="L118" i="23" s="1"/>
  <c r="L50" i="23"/>
  <c r="L54" i="23" s="1"/>
  <c r="C50" i="23"/>
  <c r="C54" i="23" s="1"/>
  <c r="C121" i="23" s="1"/>
  <c r="L120" i="23" l="1"/>
  <c r="L121" i="23" s="1"/>
  <c r="O125" i="68"/>
  <c r="N125" i="68" s="1"/>
  <c r="M125" i="68" s="1"/>
  <c r="L125" i="68" s="1"/>
  <c r="K125" i="68" s="1"/>
  <c r="J125" i="68" s="1"/>
  <c r="I125" i="68" s="1"/>
  <c r="H125" i="68" s="1"/>
  <c r="G125" i="68" s="1"/>
  <c r="F125" i="68" l="1"/>
  <c r="D125" i="68" s="1"/>
  <c r="E125" i="68"/>
  <c r="C125" i="68" l="1"/>
  <c r="B125" i="68" s="1"/>
  <c r="B150" i="66"/>
  <c r="M65" i="30" s="1"/>
  <c r="B125" i="66"/>
  <c r="B130" i="66" s="1"/>
  <c r="C153" i="66"/>
  <c r="B153" i="66" l="1"/>
  <c r="B155" i="66" s="1"/>
  <c r="B159" i="66" s="1"/>
  <c r="M71" i="30"/>
  <c r="D62" i="65"/>
  <c r="E62" i="65" s="1"/>
  <c r="C130" i="66"/>
  <c r="C155" i="66" s="1"/>
  <c r="C159" i="66" s="1"/>
  <c r="C163" i="66" s="1"/>
  <c r="G30" i="30"/>
  <c r="M30" i="30" s="1"/>
  <c r="AW126" i="58"/>
  <c r="AW133" i="58" s="1"/>
  <c r="O65" i="30"/>
  <c r="O71" i="30" s="1"/>
  <c r="B163" i="66" l="1"/>
  <c r="CD121" i="68" s="1"/>
  <c r="CE121" i="68"/>
  <c r="J80" i="65"/>
  <c r="K84" i="65" s="1"/>
  <c r="G36" i="30"/>
  <c r="AW71" i="58" s="1"/>
  <c r="O30" i="30"/>
  <c r="O36" i="30" s="1"/>
  <c r="O38" i="30" s="1"/>
  <c r="O73" i="30" s="1"/>
  <c r="O85" i="30" s="1"/>
  <c r="M36" i="30"/>
  <c r="M38" i="30" s="1"/>
  <c r="M73" i="30" s="1"/>
  <c r="AW135" i="58"/>
  <c r="M85" i="30" l="1"/>
  <c r="I73" i="24"/>
  <c r="K73" i="24" s="1"/>
  <c r="D55" i="65"/>
  <c r="G38" i="30"/>
  <c r="AW74" i="58"/>
  <c r="O93" i="30"/>
  <c r="M91" i="30"/>
  <c r="O89" i="30"/>
  <c r="G90" i="31"/>
  <c r="AW76" i="58" l="1"/>
  <c r="AW93" i="58"/>
  <c r="E55" i="65"/>
  <c r="E63" i="65" s="1"/>
  <c r="D63" i="65"/>
  <c r="H55" i="65" s="1"/>
  <c r="C109" i="65"/>
  <c r="C110" i="65" s="1"/>
  <c r="M89" i="30"/>
  <c r="O96" i="30"/>
  <c r="D95" i="65"/>
  <c r="E90" i="31"/>
  <c r="E91" i="31" s="1"/>
  <c r="C102" i="65" l="1"/>
  <c r="C98" i="65"/>
  <c r="E86" i="65"/>
  <c r="E89" i="65" s="1"/>
  <c r="E93" i="65" s="1"/>
  <c r="C101" i="65"/>
  <c r="AW95" i="58"/>
  <c r="AW139" i="58"/>
  <c r="AW141" i="58" s="1"/>
  <c r="AX141" i="58" s="1"/>
  <c r="H54" i="65"/>
  <c r="H59" i="65"/>
  <c r="H62" i="65"/>
  <c r="C100" i="65"/>
  <c r="H56" i="65"/>
  <c r="H57" i="65"/>
  <c r="D86" i="65"/>
  <c r="D89" i="65" s="1"/>
  <c r="H61" i="65"/>
  <c r="H58" i="65"/>
  <c r="H60" i="65"/>
  <c r="H63" i="65" l="1"/>
  <c r="C112" i="65"/>
  <c r="D93" i="65"/>
  <c r="D96" i="65" s="1"/>
  <c r="C56" i="39"/>
  <c r="E76" i="39"/>
  <c r="C68" i="39" l="1"/>
  <c r="C76" i="39" s="1"/>
  <c r="B18" i="67"/>
  <c r="B22" i="67" s="1"/>
  <c r="B60" i="67" s="1"/>
  <c r="K27" i="43"/>
  <c r="K32" i="43" s="1"/>
  <c r="B16" i="64" s="1"/>
  <c r="G28" i="19"/>
  <c r="G33" i="19" s="1"/>
  <c r="G73" i="19" s="1"/>
  <c r="C69" i="67"/>
  <c r="M22" i="67"/>
  <c r="M60" i="67" s="1"/>
  <c r="P22" i="67"/>
  <c r="P60" i="67" s="1"/>
  <c r="D22" i="67"/>
  <c r="D60" i="67" s="1"/>
  <c r="R22" i="67"/>
  <c r="R60" i="67" s="1"/>
  <c r="C22" i="67"/>
  <c r="C60" i="67" s="1"/>
  <c r="N22" i="67"/>
  <c r="N60" i="67" s="1"/>
  <c r="K22" i="67"/>
  <c r="K60" i="67" s="1"/>
  <c r="E28" i="19"/>
  <c r="E33" i="19" s="1"/>
  <c r="E73" i="19" s="1"/>
  <c r="L22" i="67"/>
  <c r="L60" i="67" s="1"/>
  <c r="Q22" i="67"/>
  <c r="Q60" i="67" s="1"/>
  <c r="J22" i="67"/>
  <c r="J60" i="67" s="1"/>
  <c r="M28" i="19"/>
  <c r="M33" i="19" s="1"/>
  <c r="I28" i="19"/>
  <c r="I75" i="19" s="1"/>
  <c r="O28" i="19"/>
  <c r="O75" i="19" s="1"/>
  <c r="S22" i="67"/>
  <c r="S60" i="67" s="1"/>
  <c r="O22" i="67"/>
  <c r="O60" i="67" s="1"/>
  <c r="Q28" i="19"/>
  <c r="Q33" i="19" s="1"/>
  <c r="C27" i="29"/>
  <c r="E27" i="29"/>
  <c r="E32" i="29" s="1"/>
  <c r="I27" i="43"/>
  <c r="I75" i="43" s="1"/>
  <c r="K28" i="19"/>
  <c r="K33" i="19" s="1"/>
  <c r="G27" i="43"/>
  <c r="G32" i="43" s="1"/>
  <c r="C28" i="19"/>
  <c r="C33" i="19" s="1"/>
  <c r="S28" i="19"/>
  <c r="S33" i="19" s="1"/>
  <c r="E27" i="43"/>
  <c r="G27" i="29"/>
  <c r="G32" i="29" s="1"/>
  <c r="B11" i="64" s="1"/>
  <c r="P69" i="67"/>
  <c r="S69" i="67"/>
  <c r="Q69" i="67"/>
  <c r="O69" i="67"/>
  <c r="J69" i="67"/>
  <c r="N69" i="67"/>
  <c r="R69" i="67"/>
  <c r="M69" i="67"/>
  <c r="L69" i="67"/>
  <c r="BU18" i="67"/>
  <c r="BU22" i="67" s="1"/>
  <c r="D69" i="67"/>
  <c r="E32" i="43" l="1"/>
  <c r="B13" i="64" s="1"/>
  <c r="E75" i="43"/>
  <c r="Q75" i="19"/>
  <c r="M27" i="43"/>
  <c r="M32" i="43" s="1"/>
  <c r="M72" i="43" s="1"/>
  <c r="G76" i="29"/>
  <c r="K75" i="19"/>
  <c r="S75" i="19"/>
  <c r="B69" i="67"/>
  <c r="C32" i="29"/>
  <c r="C73" i="29" s="1"/>
  <c r="B53" i="64"/>
  <c r="E73" i="29"/>
  <c r="C73" i="19"/>
  <c r="B19" i="64"/>
  <c r="B24" i="64"/>
  <c r="Q73" i="19"/>
  <c r="B22" i="64"/>
  <c r="M73" i="19"/>
  <c r="S73" i="19"/>
  <c r="B25" i="64"/>
  <c r="G72" i="43"/>
  <c r="B14" i="64"/>
  <c r="AC100" i="17"/>
  <c r="B21" i="64"/>
  <c r="K73" i="19"/>
  <c r="I33" i="19"/>
  <c r="G73" i="29"/>
  <c r="C75" i="43"/>
  <c r="E76" i="29"/>
  <c r="I32" i="43"/>
  <c r="C32" i="43"/>
  <c r="G75" i="43"/>
  <c r="C76" i="29"/>
  <c r="M75" i="19"/>
  <c r="AI28" i="19"/>
  <c r="O33" i="19"/>
  <c r="K72" i="43"/>
  <c r="C75" i="19"/>
  <c r="E72" i="43" l="1"/>
  <c r="B7" i="64"/>
  <c r="M75" i="43"/>
  <c r="B27" i="47"/>
  <c r="B32" i="47" s="1"/>
  <c r="B70" i="47" s="1"/>
  <c r="C72" i="43"/>
  <c r="I72" i="43"/>
  <c r="B15" i="64"/>
  <c r="B23" i="64"/>
  <c r="O73" i="19"/>
  <c r="D27" i="47"/>
  <c r="AI33" i="19"/>
  <c r="AI73" i="19" s="1"/>
  <c r="AI75" i="19"/>
  <c r="B20" i="64"/>
  <c r="I73" i="19"/>
  <c r="B50" i="64" l="1"/>
  <c r="B96" i="64" s="1"/>
  <c r="B72" i="47"/>
  <c r="H27" i="47"/>
  <c r="B27" i="41" s="1"/>
  <c r="H27" i="41" s="1"/>
  <c r="D72" i="47"/>
  <c r="D32" i="47"/>
  <c r="D70" i="47" s="1"/>
  <c r="H72" i="47" l="1"/>
  <c r="H32" i="47"/>
  <c r="H70" i="47" s="1"/>
  <c r="B32" i="41"/>
  <c r="B69" i="41" s="1"/>
  <c r="I27" i="41"/>
  <c r="B72" i="41"/>
  <c r="B98" i="64"/>
  <c r="Z11" i="64" s="1"/>
  <c r="B112" i="64"/>
  <c r="T75" i="64" l="1"/>
  <c r="T76" i="64"/>
  <c r="T61" i="64"/>
  <c r="T41" i="64"/>
  <c r="T77" i="64"/>
  <c r="T26" i="64"/>
  <c r="T68" i="64"/>
  <c r="T89" i="64"/>
  <c r="T46" i="64"/>
  <c r="T82" i="64"/>
  <c r="T39" i="64"/>
  <c r="T47" i="64"/>
  <c r="T33" i="64"/>
  <c r="T81" i="64"/>
  <c r="T62" i="64"/>
  <c r="T44" i="64"/>
  <c r="T35" i="64"/>
  <c r="T83" i="64"/>
  <c r="T60" i="64"/>
  <c r="T65" i="64"/>
  <c r="T64" i="64"/>
  <c r="T73" i="64"/>
  <c r="T34" i="64"/>
  <c r="T30" i="64"/>
  <c r="T74" i="64"/>
  <c r="T45" i="64"/>
  <c r="T80" i="64"/>
  <c r="T91" i="64"/>
  <c r="T85" i="64"/>
  <c r="T38" i="64"/>
  <c r="T92" i="64"/>
  <c r="T70" i="64"/>
  <c r="T48" i="64"/>
  <c r="T84" i="64"/>
  <c r="T37" i="64"/>
  <c r="T63" i="64"/>
  <c r="T72" i="64"/>
  <c r="T29" i="64"/>
  <c r="T69" i="64"/>
  <c r="T28" i="64"/>
  <c r="T90" i="64"/>
  <c r="T71" i="64"/>
  <c r="T42" i="64"/>
  <c r="T40" i="64"/>
  <c r="T27" i="64"/>
  <c r="T43" i="64"/>
  <c r="T36" i="64"/>
  <c r="T93" i="64"/>
  <c r="AC11" i="64"/>
  <c r="T11" i="64"/>
  <c r="T16" i="64"/>
  <c r="T7" i="64"/>
  <c r="T24" i="64"/>
  <c r="T21" i="64"/>
  <c r="T22" i="64"/>
  <c r="T25" i="64"/>
  <c r="T53" i="64"/>
  <c r="T19" i="64"/>
  <c r="T13" i="64"/>
  <c r="T14" i="64"/>
  <c r="T15" i="64"/>
  <c r="T20" i="64"/>
  <c r="T23" i="64"/>
  <c r="T12" i="64"/>
  <c r="H32" i="41"/>
  <c r="H69" i="41" s="1"/>
  <c r="W27" i="29"/>
  <c r="Y27" i="29" s="1"/>
  <c r="AI11" i="64" l="1"/>
  <c r="W32" i="29"/>
  <c r="W73" i="29" s="1"/>
  <c r="W76" i="29"/>
  <c r="Y32" i="29"/>
  <c r="B124" i="64" s="1"/>
  <c r="Y73" i="29" l="1"/>
  <c r="B116" i="64"/>
  <c r="L23" i="9" l="1"/>
  <c r="C24" i="22" s="1"/>
  <c r="C31" i="22" s="1"/>
  <c r="H73" i="9" l="1"/>
  <c r="C56" i="22"/>
  <c r="C80" i="22" s="1"/>
  <c r="L30" i="9"/>
  <c r="L53" i="9" s="1"/>
  <c r="L73" i="9" s="1"/>
  <c r="C37" i="31"/>
  <c r="G37" i="31" s="1"/>
  <c r="CC30" i="68"/>
  <c r="C156" i="68"/>
  <c r="B156" i="68" s="1"/>
  <c r="B157" i="68" s="1"/>
  <c r="B170" i="68" s="1"/>
  <c r="B178" i="68" s="1"/>
  <c r="C151" i="68"/>
  <c r="B151" i="68" s="1"/>
  <c r="C120" i="68"/>
  <c r="CC29" i="68"/>
  <c r="B42" i="68" l="1"/>
  <c r="B43" i="68" s="1"/>
  <c r="B120" i="68" s="1"/>
  <c r="E16" i="72"/>
  <c r="C157" i="68"/>
  <c r="C170" i="68" s="1"/>
  <c r="C178" i="68" s="1"/>
  <c r="C36" i="31"/>
  <c r="H27" i="28" s="1"/>
  <c r="E31" i="72" l="1"/>
  <c r="C13" i="72"/>
  <c r="C16" i="72" s="1"/>
  <c r="C49" i="31"/>
  <c r="C50" i="31" s="1"/>
  <c r="C88" i="31" s="1"/>
  <c r="G36" i="31"/>
  <c r="G49" i="31" s="1"/>
  <c r="G50" i="31" s="1"/>
  <c r="G88" i="31" s="1"/>
  <c r="C23" i="65"/>
  <c r="E23" i="65" s="1"/>
  <c r="C31" i="72" l="1"/>
  <c r="C40" i="72" s="1"/>
  <c r="C44" i="72" s="1"/>
  <c r="E40" i="72"/>
  <c r="E44" i="72" s="1"/>
  <c r="E54" i="72"/>
  <c r="G89" i="31"/>
  <c r="G91" i="31"/>
  <c r="C22" i="65"/>
  <c r="C91" i="31" l="1"/>
  <c r="C89" i="31"/>
  <c r="E22" i="65"/>
  <c r="E24" i="65" s="1"/>
  <c r="C24" i="65"/>
  <c r="C37" i="65" s="1"/>
  <c r="C38" i="65" s="1"/>
  <c r="E77" i="28"/>
  <c r="G78" i="28" s="1"/>
  <c r="G80" i="28" s="1"/>
  <c r="G84" i="28" s="1"/>
  <c r="BP60" i="70"/>
  <c r="B58" i="70" l="1"/>
  <c r="BP62" i="70"/>
  <c r="BP122" i="68"/>
  <c r="B122" i="68" s="1"/>
  <c r="B60" i="70" l="1"/>
  <c r="B62" i="70" s="1"/>
  <c r="C188" i="25"/>
  <c r="C190" i="25" l="1"/>
  <c r="C192" i="25"/>
  <c r="C92" i="25"/>
  <c r="L13" i="72" l="1"/>
  <c r="L16" i="72" s="1"/>
  <c r="N16" i="72"/>
  <c r="N31" i="72" s="1"/>
  <c r="B101" i="64"/>
  <c r="C181" i="25"/>
  <c r="C182" i="25" s="1"/>
  <c r="L31" i="72" l="1"/>
  <c r="N40" i="72"/>
  <c r="L40" i="72" s="1"/>
  <c r="B106" i="64"/>
  <c r="B108" i="64" l="1"/>
  <c r="B110" i="64"/>
  <c r="B113" i="64"/>
  <c r="B114" i="64" s="1"/>
  <c r="B122" i="64"/>
  <c r="N44" i="72"/>
  <c r="L44" i="72" s="1"/>
  <c r="U24" i="64" l="1"/>
  <c r="AH24" i="64" s="1"/>
  <c r="AL24" i="64" s="1"/>
  <c r="AF24" i="64" s="1"/>
  <c r="U19" i="64"/>
  <c r="AH19" i="64" s="1"/>
  <c r="AL19" i="64" s="1"/>
  <c r="AF19" i="64" s="1"/>
  <c r="U47" i="64"/>
  <c r="AH47" i="64" s="1"/>
  <c r="AL47" i="64" s="1"/>
  <c r="AF47" i="64" s="1"/>
  <c r="U44" i="64"/>
  <c r="U83" i="64"/>
  <c r="AH83" i="64" s="1"/>
  <c r="AL83" i="64" s="1"/>
  <c r="AF83" i="64" s="1"/>
  <c r="U37" i="64"/>
  <c r="AH37" i="64" s="1"/>
  <c r="AL37" i="64" s="1"/>
  <c r="AF37" i="64" s="1"/>
  <c r="AA11" i="64"/>
  <c r="AJ11" i="64" s="1"/>
  <c r="U13" i="64"/>
  <c r="AH13" i="64" s="1"/>
  <c r="AL13" i="64" s="1"/>
  <c r="AF13" i="64" s="1"/>
  <c r="U72" i="64"/>
  <c r="AH72" i="64" s="1"/>
  <c r="AL72" i="64" s="1"/>
  <c r="AF72" i="64" s="1"/>
  <c r="U64" i="64"/>
  <c r="AH64" i="64" s="1"/>
  <c r="AL64" i="64" s="1"/>
  <c r="AF64" i="64" s="1"/>
  <c r="U42" i="64"/>
  <c r="U48" i="64"/>
  <c r="AH48" i="64" s="1"/>
  <c r="AL48" i="64" s="1"/>
  <c r="AF48" i="64" s="1"/>
  <c r="U70" i="64"/>
  <c r="AH70" i="64" s="1"/>
  <c r="AL70" i="64" s="1"/>
  <c r="AF70" i="64" s="1"/>
  <c r="U35" i="64"/>
  <c r="AH35" i="64" s="1"/>
  <c r="AL35" i="64" s="1"/>
  <c r="AF35" i="64" s="1"/>
  <c r="U103" i="64"/>
  <c r="U80" i="64"/>
  <c r="AH80" i="64" s="1"/>
  <c r="AL80" i="64" s="1"/>
  <c r="AF80" i="64" s="1"/>
  <c r="U65" i="64"/>
  <c r="AH65" i="64" s="1"/>
  <c r="AL65" i="64" s="1"/>
  <c r="AF65" i="64" s="1"/>
  <c r="U84" i="64"/>
  <c r="AH84" i="64" s="1"/>
  <c r="AL84" i="64" s="1"/>
  <c r="AF84" i="64" s="1"/>
  <c r="U68" i="64"/>
  <c r="AH68" i="64" s="1"/>
  <c r="AL68" i="64" s="1"/>
  <c r="AF68" i="64" s="1"/>
  <c r="U39" i="64"/>
  <c r="AH39" i="64" s="1"/>
  <c r="AL39" i="64" s="1"/>
  <c r="AF39" i="64" s="1"/>
  <c r="U16" i="64"/>
  <c r="AH16" i="64" s="1"/>
  <c r="AL16" i="64" s="1"/>
  <c r="AF16" i="64" s="1"/>
  <c r="U41" i="64"/>
  <c r="AH41" i="64" s="1"/>
  <c r="AL41" i="64" s="1"/>
  <c r="AF41" i="64" s="1"/>
  <c r="U43" i="64"/>
  <c r="AH43" i="64" s="1"/>
  <c r="AL43" i="64" s="1"/>
  <c r="AF43" i="64" s="1"/>
  <c r="U22" i="64"/>
  <c r="AH22" i="64" s="1"/>
  <c r="AL22" i="64" s="1"/>
  <c r="AF22" i="64" s="1"/>
  <c r="U38" i="64"/>
  <c r="AH38" i="64" s="1"/>
  <c r="AL38" i="64" s="1"/>
  <c r="AF38" i="64" s="1"/>
  <c r="U53" i="64"/>
  <c r="AH53" i="64" s="1"/>
  <c r="AL53" i="64" s="1"/>
  <c r="U81" i="64"/>
  <c r="AH81" i="64" s="1"/>
  <c r="AL81" i="64" s="1"/>
  <c r="AF81" i="64" s="1"/>
  <c r="U11" i="64"/>
  <c r="AH11" i="64" s="1"/>
  <c r="U62" i="64"/>
  <c r="AH62" i="64" s="1"/>
  <c r="AL62" i="64" s="1"/>
  <c r="AF62" i="64" s="1"/>
  <c r="U40" i="64"/>
  <c r="AH40" i="64" s="1"/>
  <c r="AL40" i="64" s="1"/>
  <c r="AF40" i="64" s="1"/>
  <c r="U23" i="64"/>
  <c r="AH23" i="64" s="1"/>
  <c r="AL23" i="64" s="1"/>
  <c r="AF23" i="64" s="1"/>
  <c r="U102" i="64"/>
  <c r="U105" i="64"/>
  <c r="U45" i="64"/>
  <c r="AH45" i="64" s="1"/>
  <c r="AL45" i="64" s="1"/>
  <c r="AF45" i="64" s="1"/>
  <c r="U104" i="64"/>
  <c r="U92" i="64"/>
  <c r="AH92" i="64" s="1"/>
  <c r="AL92" i="64" s="1"/>
  <c r="AF92" i="64" s="1"/>
  <c r="U61" i="64"/>
  <c r="AH61" i="64" s="1"/>
  <c r="AL61" i="64" s="1"/>
  <c r="AF61" i="64" s="1"/>
  <c r="U91" i="64"/>
  <c r="AH91" i="64" s="1"/>
  <c r="AL91" i="64" s="1"/>
  <c r="AF91" i="64" s="1"/>
  <c r="U69" i="64"/>
  <c r="AH69" i="64" s="1"/>
  <c r="AL69" i="64" s="1"/>
  <c r="AF69" i="64" s="1"/>
  <c r="U20" i="64"/>
  <c r="AH20" i="64" s="1"/>
  <c r="AL20" i="64" s="1"/>
  <c r="AF20" i="64" s="1"/>
  <c r="U76" i="64"/>
  <c r="U36" i="64"/>
  <c r="AH36" i="64" s="1"/>
  <c r="AL36" i="64" s="1"/>
  <c r="AF36" i="64" s="1"/>
  <c r="U71" i="64"/>
  <c r="AH71" i="64" s="1"/>
  <c r="AL71" i="64" s="1"/>
  <c r="AF71" i="64" s="1"/>
  <c r="U63" i="64"/>
  <c r="AH63" i="64" s="1"/>
  <c r="AL63" i="64" s="1"/>
  <c r="AF63" i="64" s="1"/>
  <c r="U75" i="64"/>
  <c r="U15" i="64"/>
  <c r="AH15" i="64" s="1"/>
  <c r="AL15" i="64" s="1"/>
  <c r="AF15" i="64" s="1"/>
  <c r="U90" i="64"/>
  <c r="AH90" i="64" s="1"/>
  <c r="AL90" i="64" s="1"/>
  <c r="AF90" i="64" s="1"/>
  <c r="U29" i="64"/>
  <c r="AH29" i="64" s="1"/>
  <c r="AL29" i="64" s="1"/>
  <c r="AF29" i="64" s="1"/>
  <c r="U46" i="64"/>
  <c r="AH46" i="64" s="1"/>
  <c r="AL46" i="64" s="1"/>
  <c r="AF46" i="64" s="1"/>
  <c r="U26" i="64"/>
  <c r="AH26" i="64" s="1"/>
  <c r="AL26" i="64" s="1"/>
  <c r="AF26" i="64" s="1"/>
  <c r="U33" i="64"/>
  <c r="AH33" i="64" s="1"/>
  <c r="AL33" i="64" s="1"/>
  <c r="AF33" i="64" s="1"/>
  <c r="U28" i="64"/>
  <c r="AH28" i="64" s="1"/>
  <c r="AL28" i="64" s="1"/>
  <c r="AF28" i="64" s="1"/>
  <c r="U93" i="64"/>
  <c r="AH93" i="64" s="1"/>
  <c r="AL93" i="64" s="1"/>
  <c r="AF93" i="64" s="1"/>
  <c r="U7" i="64"/>
  <c r="AH7" i="64" s="1"/>
  <c r="AL7" i="64" s="1"/>
  <c r="U60" i="64"/>
  <c r="AH60" i="64" s="1"/>
  <c r="AL60" i="64" s="1"/>
  <c r="AF60" i="64" s="1"/>
  <c r="U25" i="64"/>
  <c r="AH25" i="64" s="1"/>
  <c r="AL25" i="64" s="1"/>
  <c r="AF25" i="64" s="1"/>
  <c r="U14" i="64"/>
  <c r="AH14" i="64" s="1"/>
  <c r="AL14" i="64" s="1"/>
  <c r="AF14" i="64" s="1"/>
  <c r="U89" i="64"/>
  <c r="AH89" i="64" s="1"/>
  <c r="AL89" i="64" s="1"/>
  <c r="AF89" i="64" s="1"/>
  <c r="U34" i="64"/>
  <c r="AH34" i="64" s="1"/>
  <c r="AL34" i="64" s="1"/>
  <c r="AF34" i="64" s="1"/>
  <c r="U77" i="64"/>
  <c r="AH77" i="64" s="1"/>
  <c r="AL77" i="64" s="1"/>
  <c r="AF77" i="64" s="1"/>
  <c r="U30" i="64"/>
  <c r="AH30" i="64" s="1"/>
  <c r="AL30" i="64" s="1"/>
  <c r="AF30" i="64" s="1"/>
  <c r="U82" i="64"/>
  <c r="AH82" i="64" s="1"/>
  <c r="AL82" i="64" s="1"/>
  <c r="AF82" i="64" s="1"/>
  <c r="U27" i="64"/>
  <c r="AH27" i="64" s="1"/>
  <c r="AL27" i="64" s="1"/>
  <c r="AF27" i="64" s="1"/>
  <c r="U73" i="64"/>
  <c r="U21" i="64"/>
  <c r="AH21" i="64" s="1"/>
  <c r="AL21" i="64" s="1"/>
  <c r="AF21" i="64" s="1"/>
  <c r="AD11" i="64"/>
  <c r="AK11" i="64" s="1"/>
  <c r="U85" i="64"/>
  <c r="AH85" i="64" s="1"/>
  <c r="AL85" i="64" s="1"/>
  <c r="AF85" i="64" s="1"/>
  <c r="U12" i="64"/>
  <c r="AH12" i="64" s="1"/>
  <c r="AL12" i="64" s="1"/>
  <c r="AF12" i="64" s="1"/>
  <c r="U74" i="64"/>
  <c r="U101" i="64"/>
  <c r="T103" i="64"/>
  <c r="T102" i="64"/>
  <c r="T104" i="64"/>
  <c r="T105" i="64"/>
  <c r="T101" i="64"/>
  <c r="AH101" i="64" l="1"/>
  <c r="AL101" i="64" s="1"/>
  <c r="AF101" i="64" s="1"/>
  <c r="AH102" i="64"/>
  <c r="AL102" i="64" s="1"/>
  <c r="AF102" i="64" s="1"/>
  <c r="AH103" i="64"/>
  <c r="AL103" i="64" s="1"/>
  <c r="AF103" i="64" s="1"/>
  <c r="AL11"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tc={0A0C2614-CC22-408A-AA4A-6121FD75CF47}</author>
  </authors>
  <commentList>
    <comment ref="G52" authorId="0" shapeId="0" xr:uid="{0A0C2614-CC22-408A-AA4A-6121FD75CF47}">
      <text>
        <t>[Threaded comment]
Your version of Excel allows you to read this threaded comment; however, any edits to it will get removed if the file is opened in a newer version of Excel. Learn more: https://go.microsoft.com/fwlink/?linkid=870924
Comment:
    $599 is tied to ITSD lease interest expense reflected in Other Expenses.</t>
      </text>
    </comment>
  </commentList>
</comments>
</file>

<file path=xl/sharedStrings.xml><?xml version="1.0" encoding="utf-8"?>
<sst xmlns="http://schemas.openxmlformats.org/spreadsheetml/2006/main" count="7440" uniqueCount="1788">
  <si>
    <t>check fig</t>
  </si>
  <si>
    <t>Fund Balances - Total Governmental Funds</t>
  </si>
  <si>
    <t>Contributions to Outside Agencies</t>
  </si>
  <si>
    <t>Accrued Landfill Postclosure Costs</t>
  </si>
  <si>
    <t>Deletions:</t>
  </si>
  <si>
    <t>Commercial Paper Payable</t>
  </si>
  <si>
    <t>Capital assets used in governmental activities are not financial resources and, therefore, are not reported in the governmental funds.</t>
  </si>
  <si>
    <t>Construction In Progress</t>
  </si>
  <si>
    <t>PORT</t>
  </si>
  <si>
    <t>Port Authority of San Antonio</t>
  </si>
  <si>
    <t>Evidentiary Cash Fund</t>
  </si>
  <si>
    <t>Governmental Bonds Payable</t>
  </si>
  <si>
    <t>SONA Check figure</t>
  </si>
  <si>
    <t>Statement of Revenues, Expenditures, and Changes in Fund Balances</t>
  </si>
  <si>
    <t>Check figure</t>
  </si>
  <si>
    <t>REVENUES</t>
  </si>
  <si>
    <t>Fines and Forfeits</t>
  </si>
  <si>
    <t>Net (Decrease) in Fair Value of Investments</t>
  </si>
  <si>
    <t>EXPENDITURES</t>
  </si>
  <si>
    <t>Excess (Deficiency) of Revenues</t>
  </si>
  <si>
    <t>Over (Under) Expenditures</t>
  </si>
  <si>
    <t>Transfers In</t>
  </si>
  <si>
    <t>Transfers Out</t>
  </si>
  <si>
    <t xml:space="preserve">Reconciliation of the Statement of Revenues, Expenditures, and Changes in </t>
  </si>
  <si>
    <t>Fund Balances of Governmental Funds to the Statement of Activities</t>
  </si>
  <si>
    <t>check figure</t>
  </si>
  <si>
    <t>Net change in Fund Balances - Total Governmental Funds</t>
  </si>
  <si>
    <t>Payable from Restricted Assets:</t>
  </si>
  <si>
    <t>Total Payable from Restricted Assets</t>
  </si>
  <si>
    <t>Additions:</t>
  </si>
  <si>
    <t>Deductions:</t>
  </si>
  <si>
    <t>Liabilities and Fund Balances:</t>
  </si>
  <si>
    <t>Combining Statement of Revenues, Expenditures, and Changes in Fund Balances</t>
  </si>
  <si>
    <t>Total Fund Balance</t>
  </si>
  <si>
    <t>Other Financing Sources (Uses):</t>
  </si>
  <si>
    <t>Public Library - Other Memorials and Gifts Fund</t>
  </si>
  <si>
    <t>Funds:</t>
  </si>
  <si>
    <t>San Antonio Public Library - Hertzberg Circus Fund</t>
  </si>
  <si>
    <t>San Antonio Public Library - Alice Moore Fund</t>
  </si>
  <si>
    <t>`</t>
  </si>
  <si>
    <t>Americans with Disabilities Act Access Enhancement</t>
  </si>
  <si>
    <t>Police Training Academy - Firing Range</t>
  </si>
  <si>
    <t>San Antonio Petroleum Bulk Terminal Operators</t>
  </si>
  <si>
    <t>Transfers In (Out):</t>
  </si>
  <si>
    <t>Expenditures for Capital Assets</t>
  </si>
  <si>
    <t>Principal Payments</t>
  </si>
  <si>
    <t>Change in Net Assets of Governmental Activities</t>
  </si>
  <si>
    <t>Check figure SOA</t>
  </si>
  <si>
    <t>Proprietary Funds</t>
  </si>
  <si>
    <t>SA ENERGY</t>
  </si>
  <si>
    <t>SA Energy Acquisition Corporation</t>
  </si>
  <si>
    <t>Net Assets - October 1</t>
  </si>
  <si>
    <t>Net Assets - September 30</t>
  </si>
  <si>
    <t>Salaries, Wage, and Employee Benefits</t>
  </si>
  <si>
    <t>BUSINESS-TYPE ACTIVITIES</t>
  </si>
  <si>
    <t>ENTERPRISE FUNDS</t>
  </si>
  <si>
    <t>GOLF</t>
  </si>
  <si>
    <t>ENTERPRISE</t>
  </si>
  <si>
    <t>INTERNAL</t>
  </si>
  <si>
    <t>SYSTEM</t>
  </si>
  <si>
    <t>FACILITIES</t>
  </si>
  <si>
    <t>Current Assets:</t>
  </si>
  <si>
    <t>Receivables:</t>
  </si>
  <si>
    <t>Due From Other Funds</t>
  </si>
  <si>
    <t>Total Current Assets</t>
  </si>
  <si>
    <t>Nonmajor Governmental Funds - Grants</t>
  </si>
  <si>
    <t>GRANT-IN</t>
  </si>
  <si>
    <t>AID</t>
  </si>
  <si>
    <t>BTA current year expeses</t>
  </si>
  <si>
    <t>BTA net asset increase</t>
  </si>
  <si>
    <t>Noncurrent Assets:</t>
  </si>
  <si>
    <t xml:space="preserve"> Restricted Assets:</t>
  </si>
  <si>
    <t>Debt Service Accounts:</t>
  </si>
  <si>
    <t>Construction Accounts:</t>
  </si>
  <si>
    <t>Improvement and Contingency Accounts:</t>
  </si>
  <si>
    <t>Other Restricted Accounts:</t>
  </si>
  <si>
    <t>Total Restricted Assets</t>
  </si>
  <si>
    <t>Land</t>
  </si>
  <si>
    <t>Net Capital Assets</t>
  </si>
  <si>
    <t>LIABILITIES</t>
  </si>
  <si>
    <t>Current Liabilities:</t>
  </si>
  <si>
    <t>Total Current Liabilities</t>
  </si>
  <si>
    <t>Total Noncurrent Liabilities</t>
  </si>
  <si>
    <t>Restricted:</t>
  </si>
  <si>
    <t>Renewal and Replacement</t>
  </si>
  <si>
    <t>Adjustment to reflect the consolidation of internal service fund activities related to enterprise funds.</t>
  </si>
  <si>
    <t>Commercial Paper Fees</t>
  </si>
  <si>
    <t>Decrease in Deposits</t>
  </si>
  <si>
    <t>Amortized Bond Premium</t>
  </si>
  <si>
    <t>Nonmajor Discretely Presented Component Units</t>
  </si>
  <si>
    <t>Governmental Expenses</t>
  </si>
  <si>
    <t xml:space="preserve">Arbitrage </t>
  </si>
  <si>
    <t>Arbitrage</t>
  </si>
  <si>
    <t>Issuance Cost</t>
  </si>
  <si>
    <t>Interest on Long-term Debt</t>
  </si>
  <si>
    <t>Business-type Activities:</t>
  </si>
  <si>
    <t>Solid Waste System</t>
  </si>
  <si>
    <t>Indebtedness Assumed by Business-Type</t>
  </si>
  <si>
    <t>Check figure SONACU</t>
  </si>
  <si>
    <t>Check figure recon SONA</t>
  </si>
  <si>
    <t>FUNCTION/PROGRAM ACTIVITIES</t>
  </si>
  <si>
    <t>WAYS</t>
  </si>
  <si>
    <t>HOTEL/MOTEL</t>
  </si>
  <si>
    <t>CHARGES FOR</t>
  </si>
  <si>
    <t>OPERATING</t>
  </si>
  <si>
    <t>GRANTS AND</t>
  </si>
  <si>
    <t>CONTRIBUTIONS</t>
  </si>
  <si>
    <t xml:space="preserve">GRANTS AND </t>
  </si>
  <si>
    <t>GENERAL</t>
  </si>
  <si>
    <t>DEBT</t>
  </si>
  <si>
    <t>CONVENTION</t>
  </si>
  <si>
    <t>HIDE ROW</t>
  </si>
  <si>
    <t>Net Income/Loss</t>
  </si>
  <si>
    <t>before Extraord.</t>
  </si>
  <si>
    <t xml:space="preserve">Exceeds </t>
  </si>
  <si>
    <t>Qualifies as</t>
  </si>
  <si>
    <t>Liabilities</t>
  </si>
  <si>
    <t>Revenues</t>
  </si>
  <si>
    <t>Items</t>
  </si>
  <si>
    <t>Major Fund</t>
  </si>
  <si>
    <t>General Fund</t>
  </si>
  <si>
    <t>Community and Visitors Facilities</t>
  </si>
  <si>
    <t>Hotel/Motel Capital Improvements</t>
  </si>
  <si>
    <t>Parks Development and Expansion</t>
  </si>
  <si>
    <t>Stormwater Operations</t>
  </si>
  <si>
    <t>Capital Improvements Reserve</t>
  </si>
  <si>
    <t>Confiscated Property</t>
  </si>
  <si>
    <t>HOME Program</t>
  </si>
  <si>
    <t>HUD 108 Loan</t>
  </si>
  <si>
    <t>Community Development</t>
  </si>
  <si>
    <t>Community Service Fund</t>
  </si>
  <si>
    <t>SA Health Facilities Development Corporation</t>
  </si>
  <si>
    <t>Advanced Transportation District</t>
  </si>
  <si>
    <t>Prior Year Adjustment</t>
  </si>
  <si>
    <t>Tax Increment Reinvestment Zone</t>
  </si>
  <si>
    <t>Total Special Revenue Funds</t>
  </si>
  <si>
    <t>Debt Service Fund</t>
  </si>
  <si>
    <t>San Jose Burial Park</t>
  </si>
  <si>
    <t>Carver Cultural Center</t>
  </si>
  <si>
    <t>San Antonio Housing Trust</t>
  </si>
  <si>
    <t>Total Permanent Funds</t>
  </si>
  <si>
    <t>Total Governmental Funds</t>
  </si>
  <si>
    <t>10% of Total Governmental Funds</t>
  </si>
  <si>
    <t>Total Enterprise Funds</t>
  </si>
  <si>
    <t xml:space="preserve">Funds are a compilation of several Non-Major funds, </t>
  </si>
  <si>
    <t>10% of Total Enterprise Funds</t>
  </si>
  <si>
    <t>therefore are reported as Non-Major</t>
  </si>
  <si>
    <t>Total Govt'l and Enterprise Funds</t>
  </si>
  <si>
    <t>Aviation</t>
  </si>
  <si>
    <t>Other Capital Projects:</t>
  </si>
  <si>
    <t>Total Capital Project Funds</t>
  </si>
  <si>
    <t>Certificates of Obligation:</t>
  </si>
  <si>
    <t>General Obligation Bonds:</t>
  </si>
  <si>
    <t>Blended Component Units:</t>
  </si>
  <si>
    <t>Enterprise Funds</t>
  </si>
  <si>
    <t>Permanent Funds:</t>
  </si>
  <si>
    <t>Categorical Grant-in Aid</t>
  </si>
  <si>
    <t>Parks Developmentand Expansion</t>
  </si>
  <si>
    <t>Starbright Industrial Corporation</t>
  </si>
  <si>
    <t>Texas Municipal Facilities Corporation</t>
  </si>
  <si>
    <t>Pre-1999 General Obligation Bonds</t>
  </si>
  <si>
    <t>1999 General Obligation Bonds</t>
  </si>
  <si>
    <t>General Obligation Project Fund</t>
  </si>
  <si>
    <t>Certificates of Obligation Project Fund</t>
  </si>
  <si>
    <t>Edwards Aquifer Protection Venue</t>
  </si>
  <si>
    <t>Improvement Projects</t>
  </si>
  <si>
    <t>Municipal Drainage Utility System</t>
  </si>
  <si>
    <t>Tax Anticipation Notes</t>
  </si>
  <si>
    <t>William C .Morris Endowment</t>
  </si>
  <si>
    <t>Boza Bechica Endowment</t>
  </si>
  <si>
    <t>Grants:</t>
  </si>
  <si>
    <t>Other Special Revenue Funds:</t>
  </si>
  <si>
    <t>CENTER</t>
  </si>
  <si>
    <t>Less: Current Year Depreciation</t>
  </si>
  <si>
    <t>Less: Current Year Deletions</t>
  </si>
  <si>
    <t>Tax Revenues by Source, Governmental Funds</t>
  </si>
  <si>
    <t>Last Ten Fiscal Years</t>
  </si>
  <si>
    <t>Penalties and</t>
  </si>
  <si>
    <t>Fiscal</t>
  </si>
  <si>
    <t>Pollution Remediation Liab.  (GASB 49)</t>
  </si>
  <si>
    <t>Pollution Remediation Payable</t>
  </si>
  <si>
    <t>Pollution Remediation Capitalization</t>
  </si>
  <si>
    <t>Hotel/Motel</t>
  </si>
  <si>
    <t>Alcoholic</t>
  </si>
  <si>
    <t>Cash &amp; Investments (Unspent Debt Proceeds)</t>
  </si>
  <si>
    <t>Debt</t>
  </si>
  <si>
    <t>(Premium)/Discount</t>
  </si>
  <si>
    <t>Deferred Refunding</t>
  </si>
  <si>
    <t>1996 HOT Bond CAB</t>
  </si>
  <si>
    <t>Invest in FA,</t>
  </si>
  <si>
    <t xml:space="preserve">  Net of Related Debt</t>
  </si>
  <si>
    <t>Interest and</t>
  </si>
  <si>
    <t>Year</t>
  </si>
  <si>
    <t>Judgments</t>
  </si>
  <si>
    <t>Change:</t>
  </si>
  <si>
    <t>Bond Issuance Costs</t>
  </si>
  <si>
    <t>Governmental Capital Assets:</t>
  </si>
  <si>
    <t xml:space="preserve">Land </t>
  </si>
  <si>
    <t>Total Governmental Capital Assets</t>
  </si>
  <si>
    <t>Debt Transfer to Enterprise Fund</t>
  </si>
  <si>
    <t>Release of Enterprise Fund Obligations</t>
  </si>
  <si>
    <t>Year Ended September 30, 2009</t>
  </si>
  <si>
    <t>As of September 30, 2009</t>
  </si>
  <si>
    <t>Deferred Revenue</t>
  </si>
  <si>
    <t>INCREMENT</t>
  </si>
  <si>
    <t>ZONE</t>
  </si>
  <si>
    <t>VIA Ticket Sales</t>
  </si>
  <si>
    <t>REINVESTMENT</t>
  </si>
  <si>
    <t>TRUST FUND -</t>
  </si>
  <si>
    <t>OPEB - GASB 45</t>
  </si>
  <si>
    <t>Market Square</t>
  </si>
  <si>
    <t>Mkt Square</t>
  </si>
  <si>
    <t>Unamortized Discount/(Premium) on Bonds, Net</t>
  </si>
  <si>
    <t>Net Assets of Governmental Activities</t>
  </si>
  <si>
    <t>Parking System</t>
  </si>
  <si>
    <t>FINANCE</t>
  </si>
  <si>
    <t>CORPORATION</t>
  </si>
  <si>
    <t>FIRE AND</t>
  </si>
  <si>
    <t>POLICE</t>
  </si>
  <si>
    <t>TRUST</t>
  </si>
  <si>
    <t>WATER</t>
  </si>
  <si>
    <t>ENERGY</t>
  </si>
  <si>
    <t>IMPROVEMENTS</t>
  </si>
  <si>
    <t>AND</t>
  </si>
  <si>
    <t>PARKS</t>
  </si>
  <si>
    <t>EXPANSION</t>
  </si>
  <si>
    <t>STORMWATER</t>
  </si>
  <si>
    <t>FUND</t>
  </si>
  <si>
    <t>MANAGEMENT</t>
  </si>
  <si>
    <t>Nonmajor Governmental Funds - Capital Projects</t>
  </si>
  <si>
    <t>Nonmajor Governmental Funds - Permanent</t>
  </si>
  <si>
    <t>IMPROVEMENT</t>
  </si>
  <si>
    <t>RESERVE</t>
  </si>
  <si>
    <t>CONFISCATED</t>
  </si>
  <si>
    <t>PROPERTY</t>
  </si>
  <si>
    <t>CATEGORICAL</t>
  </si>
  <si>
    <t>PROGRAM</t>
  </si>
  <si>
    <t>LOAN</t>
  </si>
  <si>
    <t>COMMUNITY</t>
  </si>
  <si>
    <t>ADVANCED</t>
  </si>
  <si>
    <t>TRANSPORTATION</t>
  </si>
  <si>
    <t>DISTRICT</t>
  </si>
  <si>
    <t>INTERNATIONAL</t>
  </si>
  <si>
    <t>OBLIGATION</t>
  </si>
  <si>
    <t>BONDS</t>
  </si>
  <si>
    <t>OF</t>
  </si>
  <si>
    <t>MUNICIPAL</t>
  </si>
  <si>
    <t>STARBRIGHT</t>
  </si>
  <si>
    <t>INDUSTRIAL</t>
  </si>
  <si>
    <t>CASH AND</t>
  </si>
  <si>
    <t>CASH</t>
  </si>
  <si>
    <t>EQUIVALENTS</t>
  </si>
  <si>
    <t>Receivables, Net</t>
  </si>
  <si>
    <t>SOA-Inc State Var</t>
  </si>
  <si>
    <t>Claims Payable</t>
  </si>
  <si>
    <t>INVESTMENTS</t>
  </si>
  <si>
    <t>OTHER</t>
  </si>
  <si>
    <t>ACCOUNTS</t>
  </si>
  <si>
    <t>LESS:</t>
  </si>
  <si>
    <t>ALLOWANCE</t>
  </si>
  <si>
    <t>FOR</t>
  </si>
  <si>
    <t>UNCOLLECTIBLES</t>
  </si>
  <si>
    <t>ACCRUED</t>
  </si>
  <si>
    <t>INTEREST</t>
  </si>
  <si>
    <t>DUE FROM</t>
  </si>
  <si>
    <t>OTHER FUNDS</t>
  </si>
  <si>
    <t>AGENCIES</t>
  </si>
  <si>
    <t>VOUCHERS</t>
  </si>
  <si>
    <t>Nonmajor Governmental Funds - Other Capital Projects</t>
  </si>
  <si>
    <t>Lessees' Special Events Liability Insurance Fund</t>
  </si>
  <si>
    <t>CVB Housing Bureau Fund</t>
  </si>
  <si>
    <t>Nonmajor Governmental Funds - Other Special Revenues</t>
  </si>
  <si>
    <t>Employee Benefit Plans</t>
  </si>
  <si>
    <t>PAYABLE</t>
  </si>
  <si>
    <t>PAYROLL</t>
  </si>
  <si>
    <t>LEAVE</t>
  </si>
  <si>
    <t>UNEARNED</t>
  </si>
  <si>
    <t>DUE TO</t>
  </si>
  <si>
    <t>CHARGES</t>
  </si>
  <si>
    <t>FOR CURRENT</t>
  </si>
  <si>
    <t>TAXES</t>
  </si>
  <si>
    <t>INTERGOVERNMENTAL</t>
  </si>
  <si>
    <t>MISCELLANEOUS</t>
  </si>
  <si>
    <t>INVESTMENT</t>
  </si>
  <si>
    <t>Principal Payments on Notes and Leases</t>
  </si>
  <si>
    <t>Interest Paid on Notes and Leases</t>
  </si>
  <si>
    <t>Unamortized Premium/(Discount) on Bonds</t>
  </si>
  <si>
    <t>Other Noncurrent Assets:</t>
  </si>
  <si>
    <t>Total Other Noncurrent Assets</t>
  </si>
  <si>
    <t>Investments:</t>
  </si>
  <si>
    <t>Common Stock</t>
  </si>
  <si>
    <t>U.S. Government Securities</t>
  </si>
  <si>
    <t>Corporate Bonds</t>
  </si>
  <si>
    <t>Hedge Funds</t>
  </si>
  <si>
    <t>Real Estate</t>
  </si>
  <si>
    <t>Alternative</t>
  </si>
  <si>
    <t>Arbitrage Liability Payable</t>
  </si>
  <si>
    <t>ck figure SOAws</t>
  </si>
  <si>
    <t>ck figure: assets=liab+fund bal</t>
  </si>
  <si>
    <r>
      <t xml:space="preserve">Property </t>
    </r>
    <r>
      <rPr>
        <b/>
        <vertAlign val="superscript"/>
        <sz val="10"/>
        <rFont val="Calibri"/>
        <family val="2"/>
      </rPr>
      <t>1</t>
    </r>
  </si>
  <si>
    <r>
      <t xml:space="preserve">Sales and Use </t>
    </r>
    <r>
      <rPr>
        <b/>
        <vertAlign val="superscript"/>
        <sz val="10"/>
        <rFont val="Calibri"/>
        <family val="2"/>
      </rPr>
      <t>2</t>
    </r>
  </si>
  <si>
    <t>EARNINGS</t>
  </si>
  <si>
    <t>GOVERNMENT</t>
  </si>
  <si>
    <t>PUBLIC</t>
  </si>
  <si>
    <t>SAFETY</t>
  </si>
  <si>
    <t>WORKS</t>
  </si>
  <si>
    <t>HEALTH</t>
  </si>
  <si>
    <t>WELFARE</t>
  </si>
  <si>
    <t>CULTURE</t>
  </si>
  <si>
    <t>RECREATION</t>
  </si>
  <si>
    <t>ECONOMIC</t>
  </si>
  <si>
    <t>OPPORTUNITY</t>
  </si>
  <si>
    <t>EXCESS</t>
  </si>
  <si>
    <t>(DEFICIENCY)</t>
  </si>
  <si>
    <t>OF REVENUES</t>
  </si>
  <si>
    <t>OVER (UNDER)</t>
  </si>
  <si>
    <t>FINANCING</t>
  </si>
  <si>
    <t>SOURCES</t>
  </si>
  <si>
    <t>(USES)</t>
  </si>
  <si>
    <t>CARVER</t>
  </si>
  <si>
    <t>CULTURAL</t>
  </si>
  <si>
    <t>ENDOWMENT</t>
  </si>
  <si>
    <t>HOUSING</t>
  </si>
  <si>
    <t>WILLIAM C.</t>
  </si>
  <si>
    <t>MORRIS</t>
  </si>
  <si>
    <t>INSURANCE</t>
  </si>
  <si>
    <t>EMPLOYEE</t>
  </si>
  <si>
    <t>BENEFITS</t>
  </si>
  <si>
    <t>WORKERS'</t>
  </si>
  <si>
    <t>COMPENSATION</t>
  </si>
  <si>
    <t>The following expenses reported in the Statement of Activities do not require the use of current financial resources and, therefore, are not reported as expenditures in governmental funds:</t>
  </si>
  <si>
    <t>Pollution Remediation</t>
  </si>
  <si>
    <t>Interest Expense</t>
  </si>
  <si>
    <t>Unearned revenues previously recorded as income in the fund financial statements</t>
  </si>
  <si>
    <t>Net revenues recognized</t>
  </si>
  <si>
    <t>INFORMATION</t>
  </si>
  <si>
    <t>PENSION FUND</t>
  </si>
  <si>
    <t>ASSISTANCE</t>
  </si>
  <si>
    <t>SCHOLARSHIP</t>
  </si>
  <si>
    <t>LITERACY</t>
  </si>
  <si>
    <t xml:space="preserve">CASH AND </t>
  </si>
  <si>
    <t xml:space="preserve">CASH  </t>
  </si>
  <si>
    <t>BALANCE</t>
  </si>
  <si>
    <t>ADDITIONS</t>
  </si>
  <si>
    <t>DEDUCTIONS</t>
  </si>
  <si>
    <t>BROOKS</t>
  </si>
  <si>
    <t>Current Portion of Deferred Lease/Leaseback</t>
  </si>
  <si>
    <t>Interest and Fees Paid on Long-Term Debt</t>
  </si>
  <si>
    <t>Proceeds from Issuance of Notes and Leases</t>
  </si>
  <si>
    <t>Net Investment Earnings</t>
  </si>
  <si>
    <t>CIMS</t>
  </si>
  <si>
    <t>Markek Square</t>
  </si>
  <si>
    <t>Borrower Rebates and Lending Fees</t>
  </si>
  <si>
    <t>Other Financing Sources:</t>
  </si>
  <si>
    <t>Total Other Financing Sources</t>
  </si>
  <si>
    <t>Unamortized Premium/(Discount) (net of current portion)</t>
  </si>
  <si>
    <t>Deferred Amount on Refunding (net of current portion)</t>
  </si>
  <si>
    <t>Accrued Leave Payable (net of current portion)</t>
  </si>
  <si>
    <t>Accrued Landfill Postclosure Costs (net of current portion)</t>
  </si>
  <si>
    <t>Less: Securities Lending Expenses</t>
  </si>
  <si>
    <t xml:space="preserve">Special Revenue </t>
  </si>
  <si>
    <t xml:space="preserve">Permanent </t>
  </si>
  <si>
    <t xml:space="preserve">Capital Project </t>
  </si>
  <si>
    <t>EDWARDS</t>
  </si>
  <si>
    <t>AQUIFER</t>
  </si>
  <si>
    <t>PROTECTION</t>
  </si>
  <si>
    <t>VENUE</t>
  </si>
  <si>
    <t>Claims</t>
  </si>
  <si>
    <t>CPS Energy</t>
  </si>
  <si>
    <t>San Antonio Housing Trust Foundation, Inc.</t>
  </si>
  <si>
    <t>transfers ck</t>
  </si>
  <si>
    <t>Check figure SONA</t>
  </si>
  <si>
    <t>Total Operating Revenues</t>
  </si>
  <si>
    <t>Unrestricted Assets:</t>
  </si>
  <si>
    <t>Payments to Other Entities</t>
  </si>
  <si>
    <t>Personal Services</t>
  </si>
  <si>
    <t>Contractual Services</t>
  </si>
  <si>
    <t>Commodities</t>
  </si>
  <si>
    <t>Depreciation</t>
  </si>
  <si>
    <t>Total Operating Expenses</t>
  </si>
  <si>
    <t>Operating Income (Loss)</t>
  </si>
  <si>
    <t>Other Nonoperating Revenue</t>
  </si>
  <si>
    <t>Interest and Debt Expense</t>
  </si>
  <si>
    <t>Other Nonoperating Expense</t>
  </si>
  <si>
    <t>Statement of Cash Flows</t>
  </si>
  <si>
    <t xml:space="preserve">SERVICE </t>
  </si>
  <si>
    <t>Cash Received from Customers</t>
  </si>
  <si>
    <t>Cash Payments to Suppliers for Goods and Services</t>
  </si>
  <si>
    <t>Cash Payments to Employees for Service</t>
  </si>
  <si>
    <t>Other Nonoperating Revenues</t>
  </si>
  <si>
    <t>Transfers In from Other Funds</t>
  </si>
  <si>
    <t>Transfers Out to Other Funds</t>
  </si>
  <si>
    <t>Nonspendable</t>
  </si>
  <si>
    <t>Committed</t>
  </si>
  <si>
    <t>Assigned</t>
  </si>
  <si>
    <t>Unassigned</t>
  </si>
  <si>
    <t>Acquisitions and Construction of Capital Assets</t>
  </si>
  <si>
    <t>Proceeds from Issuance of Long-Term Debt</t>
  </si>
  <si>
    <t>Debt Issuance Costs</t>
  </si>
  <si>
    <t>Proceeds from Sale of Assets</t>
  </si>
  <si>
    <t>Cash Flows from Investing Activities:</t>
  </si>
  <si>
    <t>Purchases of Investment Securities</t>
  </si>
  <si>
    <t>Maturity of Investment Securities</t>
  </si>
  <si>
    <t>Cash and Cash Equivalents, October 1</t>
  </si>
  <si>
    <t>Premium/(Discount) on Long-Term Debt</t>
  </si>
  <si>
    <t>Cash and Cash Equivalents, September 30</t>
  </si>
  <si>
    <t>Contributed Capital</t>
  </si>
  <si>
    <t>Noncash Investing, Capital and Financing Activities:</t>
  </si>
  <si>
    <t>Fiduciary Funds</t>
  </si>
  <si>
    <t>AGENCY</t>
  </si>
  <si>
    <t>Security Lending Collateral</t>
  </si>
  <si>
    <t>UTILITY</t>
  </si>
  <si>
    <t xml:space="preserve">AND  </t>
  </si>
  <si>
    <t>Transfers Check</t>
  </si>
  <si>
    <t>Securities Lending</t>
  </si>
  <si>
    <t>Held in Trust for Pension Benefits</t>
  </si>
  <si>
    <t>and Other Purposes</t>
  </si>
  <si>
    <t>Business</t>
  </si>
  <si>
    <t>Amounts reported for governmental activities in the Statement of Activities are different because:</t>
  </si>
  <si>
    <t>Arbitrage Payable</t>
  </si>
  <si>
    <t>Arbitrage Rebate Payable</t>
  </si>
  <si>
    <t>Accrued Interest Payable</t>
  </si>
  <si>
    <t>Contributions:</t>
  </si>
  <si>
    <t>Employer</t>
  </si>
  <si>
    <t>Employee</t>
  </si>
  <si>
    <t>Other Contributions</t>
  </si>
  <si>
    <t>Total Contributions</t>
  </si>
  <si>
    <t>Investment Earnings:</t>
  </si>
  <si>
    <t>Real Estate Income, Net</t>
  </si>
  <si>
    <t>Interest and Dividends</t>
  </si>
  <si>
    <t>Other Income</t>
  </si>
  <si>
    <t>Investment Management Fees and Custodian Fees</t>
  </si>
  <si>
    <t>Total Additions</t>
  </si>
  <si>
    <t>Benefits</t>
  </si>
  <si>
    <t>Refunds of Contributions</t>
  </si>
  <si>
    <t>Total Deductions</t>
  </si>
  <si>
    <t>CORP.</t>
  </si>
  <si>
    <t>SAN ANTONIO</t>
  </si>
  <si>
    <t>HOUSING TRUST</t>
  </si>
  <si>
    <t>DEVELOPMENT</t>
  </si>
  <si>
    <t>Cash</t>
  </si>
  <si>
    <t>(Premium)/Discount on Long-term Debt</t>
  </si>
  <si>
    <t>EDUCATION</t>
  </si>
  <si>
    <t>FOUNDATION</t>
  </si>
  <si>
    <t>AUTHORITY</t>
  </si>
  <si>
    <t>INC.</t>
  </si>
  <si>
    <t>Notes</t>
  </si>
  <si>
    <t>Infrastructure</t>
  </si>
  <si>
    <t>MARKET</t>
  </si>
  <si>
    <t>SQUARE</t>
  </si>
  <si>
    <t>Utility Plant in Service</t>
  </si>
  <si>
    <t>Due to Other Governmental Agencies</t>
  </si>
  <si>
    <t>Current Portion of Other Payables</t>
  </si>
  <si>
    <t>Other Restricted Assets:</t>
  </si>
  <si>
    <t>Unamortized Discount on New Series Bonds</t>
  </si>
  <si>
    <t>Restricted for Conservation</t>
  </si>
  <si>
    <t>NET (EXPENSE) REVENUE</t>
  </si>
  <si>
    <t>Nonmajor Component Units</t>
  </si>
  <si>
    <t xml:space="preserve">Total </t>
  </si>
  <si>
    <t>Total General Revenues</t>
  </si>
  <si>
    <t>CPS</t>
  </si>
  <si>
    <t>Combining Balance Sheet</t>
  </si>
  <si>
    <t>Nonmajor Governmental Funds</t>
  </si>
  <si>
    <t>Brown Bag Days Fund</t>
  </si>
  <si>
    <t>Carver Community Contribution Fund</t>
  </si>
  <si>
    <t>San Antonio Branch Libraries Gift Fund</t>
  </si>
  <si>
    <t>2006    (Restated)</t>
  </si>
  <si>
    <t>San Antonio Library Foundation Gift Fund</t>
  </si>
  <si>
    <t>San Antonio Friends of the Library Gift Fund</t>
  </si>
  <si>
    <t>Bexar County Rabies Control</t>
  </si>
  <si>
    <t>The City's Front Yard Program Fund</t>
  </si>
  <si>
    <t>Market Square San Antonio Cultural Program</t>
  </si>
  <si>
    <t>Restricted Liabilities:</t>
  </si>
  <si>
    <t>San Antonio Downtown Citizens' Beautification Program</t>
  </si>
  <si>
    <t>Child Abuse Prevention Program/Kidcare</t>
  </si>
  <si>
    <t>Capital Projects Accounts:</t>
  </si>
  <si>
    <t>Ordinance Accounts:</t>
  </si>
  <si>
    <t>Other Transfers to the City of San Antonio</t>
  </si>
  <si>
    <t>Adjustment for STP Pension Cost</t>
  </si>
  <si>
    <t>(Increase) Decrease in Accounts Receivable</t>
  </si>
  <si>
    <t>Martin Luther King Celebration</t>
  </si>
  <si>
    <t>La Villita Memorials and Gifts</t>
  </si>
  <si>
    <t>Alamo Foundation, Inc. Gift</t>
  </si>
  <si>
    <t>Elizabeth Evelyn Beike Gift to Oakwell Library</t>
  </si>
  <si>
    <t>Commission for Children and Families</t>
  </si>
  <si>
    <t>Check figure Operating Activities</t>
  </si>
  <si>
    <t>Check figure Cash and Cash Equivalents</t>
  </si>
  <si>
    <t>Combining Statement of Cash Flows</t>
  </si>
  <si>
    <t>Combining Statement of Fiduciary Net Assets</t>
  </si>
  <si>
    <t>Combining Statement of Changes in Fiduciary Net Assets</t>
  </si>
  <si>
    <t>Check figure SONAFF</t>
  </si>
  <si>
    <t>Private Purpose Trust Funds</t>
  </si>
  <si>
    <t>Agency Funds</t>
  </si>
  <si>
    <t>Deposit Fund</t>
  </si>
  <si>
    <t>Unclaimed Property Fund</t>
  </si>
  <si>
    <t>Municipal Court Cash Bond Fund</t>
  </si>
  <si>
    <t>Criminal Justice Planning Fund</t>
  </si>
  <si>
    <t>ck figure</t>
  </si>
  <si>
    <t>Net Assets</t>
  </si>
  <si>
    <t>Unrestricted Net Assets</t>
  </si>
  <si>
    <t>Gov't Fund Balances</t>
  </si>
  <si>
    <t>Increase/Decrease</t>
  </si>
  <si>
    <t>Designated</t>
  </si>
  <si>
    <t>Undesignated</t>
  </si>
  <si>
    <t>% of GF Expenditures</t>
  </si>
  <si>
    <t>Business-Type</t>
  </si>
  <si>
    <t>Primary Government</t>
  </si>
  <si>
    <t>Current and Other Assets</t>
  </si>
  <si>
    <t>Current and Other Liabilities</t>
  </si>
  <si>
    <t>Long-term Liabilities</t>
  </si>
  <si>
    <t xml:space="preserve">Investments in Capital Assets, </t>
  </si>
  <si>
    <t>Net of Related Debt</t>
  </si>
  <si>
    <t>Assets exceed Liabilities</t>
  </si>
  <si>
    <t>Invest in Cap Assets</t>
  </si>
  <si>
    <t>External Restrictions</t>
  </si>
  <si>
    <t>Invest % of Total Net Assets</t>
  </si>
  <si>
    <t>Unrestricted % of Total Net Assets</t>
  </si>
  <si>
    <t>Other Taxes</t>
  </si>
  <si>
    <t>Interest on Long-Term Debt, Net</t>
  </si>
  <si>
    <t>Solid Waste</t>
  </si>
  <si>
    <t>Total Expenses</t>
  </si>
  <si>
    <t>Before Transfers and Special Items</t>
  </si>
  <si>
    <t>Transfers</t>
  </si>
  <si>
    <t>Net Change in Net Assets</t>
  </si>
  <si>
    <t>Beginning, Net Assets</t>
  </si>
  <si>
    <t>Ending, Net Assets</t>
  </si>
  <si>
    <t>Gov't Activities revenues</t>
  </si>
  <si>
    <t>BTA revenues</t>
  </si>
  <si>
    <t>Gen Revenues %</t>
  </si>
  <si>
    <t>Program Revenues %</t>
  </si>
  <si>
    <t>Total expenses</t>
  </si>
  <si>
    <t>Gov't expense %</t>
  </si>
  <si>
    <t>Gov't activities net asset incr/decr</t>
  </si>
  <si>
    <t>BTA Program revenues</t>
  </si>
  <si>
    <t>Increase/decrease</t>
  </si>
  <si>
    <t>Cash Collateral from Securities Lending</t>
  </si>
  <si>
    <t>Non Depreciable</t>
  </si>
  <si>
    <t>Discretely Presented Component Units:</t>
  </si>
  <si>
    <t>Combining Statement of Changes in Assets and Liabilities</t>
  </si>
  <si>
    <t>Temporarily Restricted</t>
  </si>
  <si>
    <t>Combining Statement of Activities</t>
  </si>
  <si>
    <t>Gov'tl</t>
  </si>
  <si>
    <t>BTA</t>
  </si>
  <si>
    <t xml:space="preserve">Revenues by </t>
  </si>
  <si>
    <t>Source</t>
  </si>
  <si>
    <t>City of San Antonio Historic Preservation Fund</t>
  </si>
  <si>
    <t>Dies Y Seis Celebration</t>
  </si>
  <si>
    <t>Cellular on Patrol Trust Funds</t>
  </si>
  <si>
    <t>Woodlawn Lake July 4th Celebration</t>
  </si>
  <si>
    <t>Miscellaneous Memorials and Gifts Fund</t>
  </si>
  <si>
    <t>Market Square Improvement Trust Fund</t>
  </si>
  <si>
    <t>CERTIFICATES</t>
  </si>
  <si>
    <t>Mayor's Conference on Status of Women</t>
  </si>
  <si>
    <t>San Antonio Literacy Trust Fund</t>
  </si>
  <si>
    <t>Knights of Pythias Cemetary Fund</t>
  </si>
  <si>
    <t>SA Education Facilities Corp</t>
  </si>
  <si>
    <t>Fire Prevention Week Trust Fund</t>
  </si>
  <si>
    <t>RECEIVABLE</t>
  </si>
  <si>
    <t>Fire Ladder Truck Buy-In Project</t>
  </si>
  <si>
    <t>Victim's Advocacy Trust Fund</t>
  </si>
  <si>
    <t>Dwyer Center Rental Income Trust</t>
  </si>
  <si>
    <t>School Zone Flashing Beacons</t>
  </si>
  <si>
    <t>State Paid Traffic Signals</t>
  </si>
  <si>
    <t>San Antonio Police Training Classes Fund</t>
  </si>
  <si>
    <t>Community Action Program Projects Fund</t>
  </si>
  <si>
    <t>Tree Preservation Mitigation Fund</t>
  </si>
  <si>
    <t>Reconciliation of Operating Income (Loss) to Net Cash</t>
  </si>
  <si>
    <t>GF Fund Balance</t>
  </si>
  <si>
    <t>Increase (Decrease)</t>
  </si>
  <si>
    <t>Unreserved Fund Bal</t>
  </si>
  <si>
    <t>Undes Incr (Decr)</t>
  </si>
  <si>
    <t>Fund Balance</t>
  </si>
  <si>
    <t>CGIA</t>
  </si>
  <si>
    <t>2007 GO's</t>
  </si>
  <si>
    <t>Police Academy Memorial Plaza Construction</t>
  </si>
  <si>
    <t>Forensic Mapping System</t>
  </si>
  <si>
    <t>Non-Depreciable Intangible Assets</t>
  </si>
  <si>
    <t>Depreciable Intangible Assets</t>
  </si>
  <si>
    <t>"C" Fire Technical Rescue Equipment Project</t>
  </si>
  <si>
    <t>Affordable Housing Trust Fund</t>
  </si>
  <si>
    <t>City Holiday Gift Program</t>
  </si>
  <si>
    <t>City Volunteer Corp Trust Fund</t>
  </si>
  <si>
    <t>TIF 3 City Commercial TIF Fund</t>
  </si>
  <si>
    <t>Better Jobs Expendable Trust Fund</t>
  </si>
  <si>
    <t>10-01-05</t>
  </si>
  <si>
    <t>09-30-06</t>
  </si>
  <si>
    <t>FUND BALANCES</t>
  </si>
  <si>
    <t>Check</t>
  </si>
  <si>
    <t>Figure</t>
  </si>
  <si>
    <t xml:space="preserve">Assets: </t>
  </si>
  <si>
    <t>Expenditures:</t>
  </si>
  <si>
    <t>Check with BSGFws</t>
  </si>
  <si>
    <t>Due From Other Governmental Agencies</t>
  </si>
  <si>
    <t>Due To Other Governmental Agencies</t>
  </si>
  <si>
    <t xml:space="preserve">Current Assets: </t>
  </si>
  <si>
    <t xml:space="preserve">COMMUNITY </t>
  </si>
  <si>
    <t>Gain (Loss) on Disposal of Capital Assets</t>
  </si>
  <si>
    <t>AND VISITOR</t>
  </si>
  <si>
    <t xml:space="preserve">Current Liabilities: </t>
  </si>
  <si>
    <t>Internal Service Funds</t>
  </si>
  <si>
    <t>SELF-INSURANCE PROGRAMS</t>
  </si>
  <si>
    <t>Operating Expenses:</t>
  </si>
  <si>
    <t>Nonoperating Revenues (Expenses):</t>
  </si>
  <si>
    <t>Cash Flows from Operating Activities:</t>
  </si>
  <si>
    <t>Due To Other Funds</t>
  </si>
  <si>
    <t>Cash Flows from Capital and Related Financing Activities:</t>
  </si>
  <si>
    <t>Zoo Concession Area Capital Repair Trust</t>
  </si>
  <si>
    <t>Net OPEB Obligation</t>
  </si>
  <si>
    <t>Nuclear Fuel</t>
  </si>
  <si>
    <t>Unamortized Bond Issuance Costs</t>
  </si>
  <si>
    <t>ACCD Settlement Education for City Employees Fund</t>
  </si>
  <si>
    <t>ACCD Settlement Advanced Technology Center Fund</t>
  </si>
  <si>
    <t>Prop 3 Habitat Mitigation Fund</t>
  </si>
  <si>
    <t>Special Public Improvement District Fund</t>
  </si>
  <si>
    <t>Seminar Operating Fund</t>
  </si>
  <si>
    <t>Park's Recreation Athletic Fund</t>
  </si>
  <si>
    <t>911 District Fund</t>
  </si>
  <si>
    <t>1999</t>
  </si>
  <si>
    <t>San Antonio Symphony/Zoo Obligation Project</t>
  </si>
  <si>
    <t>South Texas Business Fund</t>
  </si>
  <si>
    <t>Work/Family Commission Contribution Fund</t>
  </si>
  <si>
    <t>Carver Center Renewal and Replacement</t>
  </si>
  <si>
    <t>Special Art Acquisition and Maintenance Fund</t>
  </si>
  <si>
    <t>Martin Luther King Scholarships Memorial Fund</t>
  </si>
  <si>
    <t>Combining Schedule/Balance Sheet</t>
  </si>
  <si>
    <t>Community Service Funds</t>
  </si>
  <si>
    <t>LIABILITES</t>
  </si>
  <si>
    <t>AND FUND</t>
  </si>
  <si>
    <t>BALANCES</t>
  </si>
  <si>
    <t>Combining Schedule of Revenues, Expenditures and Changes in Fund Balances</t>
  </si>
  <si>
    <t>Tax Clearance Account</t>
  </si>
  <si>
    <t>Current Portion of Unamortized Premium/(Discount)</t>
  </si>
  <si>
    <t>BECICA</t>
  </si>
  <si>
    <t>Other Non-Depreciable Assets</t>
  </si>
  <si>
    <t>San Antonio Health Facilities Development Corporation</t>
  </si>
  <si>
    <t xml:space="preserve">Increase (Decrease) in Accounts Payable - Other </t>
  </si>
  <si>
    <t>Current Portion of Deferred Amount on Refunding</t>
  </si>
  <si>
    <t>Debt Recon</t>
  </si>
  <si>
    <t>San Antonio Industrial Development Authority</t>
  </si>
  <si>
    <t>Otto Koehler Park</t>
  </si>
  <si>
    <t>Child Safety</t>
  </si>
  <si>
    <t>Soil Remediation</t>
  </si>
  <si>
    <t>Official City Store</t>
  </si>
  <si>
    <t>Housing Asset Recovery Program</t>
  </si>
  <si>
    <t>Tax Increment Financing</t>
  </si>
  <si>
    <t>Dev Services</t>
  </si>
  <si>
    <t>EQUIPMENT</t>
  </si>
  <si>
    <t>Equipment Acquisition</t>
  </si>
  <si>
    <t>Enterprise Resource Management Project</t>
  </si>
  <si>
    <t>Park Acquisition and Development Fund</t>
  </si>
  <si>
    <t>Equipment Acquisition Fund</t>
  </si>
  <si>
    <t>TIF Unit Fund</t>
  </si>
  <si>
    <t>Economic Development Incentive Fund</t>
  </si>
  <si>
    <t>Riverwalk Capital Improvement</t>
  </si>
  <si>
    <t>Joseph Roy Kaiser GED Financial Assistance Fund</t>
  </si>
  <si>
    <t>UTHSCSA Dental School-RS</t>
  </si>
  <si>
    <t>Animal Care Facility Donation</t>
  </si>
  <si>
    <t>EDD Availabilty and Disparity Fund</t>
  </si>
  <si>
    <t>Hurricane Katrina Emergency</t>
  </si>
  <si>
    <t>Hurricane Rita Emergency</t>
  </si>
  <si>
    <t>2005</t>
  </si>
  <si>
    <t>Check figure (assets-liabilities-funds)</t>
  </si>
  <si>
    <t>Net Cash (Used for) Capital and Related Financing Activities</t>
  </si>
  <si>
    <t>Check figure assets-liabilities</t>
  </si>
  <si>
    <t>Deferred Charge Refunding</t>
  </si>
  <si>
    <t>REVENUE FUNDS</t>
  </si>
  <si>
    <t>Issuance of Notes and Loans</t>
  </si>
  <si>
    <t>Issuance of Long-Term Debt</t>
  </si>
  <si>
    <t>Issuance of Commercial Paper</t>
  </si>
  <si>
    <t>GOVERNMENTAL</t>
  </si>
  <si>
    <t>ACTIVITIES</t>
  </si>
  <si>
    <t>TOTAL</t>
  </si>
  <si>
    <t>Assets:</t>
  </si>
  <si>
    <t>Cash and Cash Equivalents</t>
  </si>
  <si>
    <t>Investments</t>
  </si>
  <si>
    <t>Receivables, net</t>
  </si>
  <si>
    <t>Accrued Interest</t>
  </si>
  <si>
    <t>Accrued Revenue</t>
  </si>
  <si>
    <t>Other</t>
  </si>
  <si>
    <t>Prepaid Expenses</t>
  </si>
  <si>
    <t>Internal Balances</t>
  </si>
  <si>
    <t>Due from Other Funds</t>
  </si>
  <si>
    <t>Due from Other Governmental Agencies</t>
  </si>
  <si>
    <t>Deposits</t>
  </si>
  <si>
    <t>Deferred Charges</t>
  </si>
  <si>
    <t>Restricted Assets:</t>
  </si>
  <si>
    <t>Capital Assets:</t>
  </si>
  <si>
    <t>Total Assets</t>
  </si>
  <si>
    <t>Vouchers Payable</t>
  </si>
  <si>
    <t>Accounts Payable and Other Current Liabilities</t>
  </si>
  <si>
    <t>Accrued Payroll</t>
  </si>
  <si>
    <t>Accrued Leave Payable</t>
  </si>
  <si>
    <t>Unearned Revenue</t>
  </si>
  <si>
    <t>Other Payables</t>
  </si>
  <si>
    <t>Current Portion of Bonds and Certificates</t>
  </si>
  <si>
    <t>Due To:</t>
  </si>
  <si>
    <t>Bonds Payable</t>
  </si>
  <si>
    <t>Premium on Bonds and Certificates</t>
  </si>
  <si>
    <t>Discount on Long-term Debt</t>
  </si>
  <si>
    <t>Loans Payable</t>
  </si>
  <si>
    <t>Compensated Absences</t>
  </si>
  <si>
    <t>Lease Purchase Agreements</t>
  </si>
  <si>
    <t>Total Liabilities</t>
  </si>
  <si>
    <t>Net Assets:</t>
  </si>
  <si>
    <t xml:space="preserve">Restricted for: </t>
  </si>
  <si>
    <t>Effective Interest Premium/Discount</t>
  </si>
  <si>
    <t>Capital Projects</t>
  </si>
  <si>
    <t>Perpetual Care:</t>
  </si>
  <si>
    <t>Expendable</t>
  </si>
  <si>
    <t>Nonexpendable</t>
  </si>
  <si>
    <t>Increase (Decrease) in Vouchers Payable</t>
  </si>
  <si>
    <t>Unrestricted</t>
  </si>
  <si>
    <t>Total Net Assets</t>
  </si>
  <si>
    <t>Improvements</t>
  </si>
  <si>
    <t>Property</t>
  </si>
  <si>
    <t>Discretely Presented Component Units</t>
  </si>
  <si>
    <t>Sewer Service Collections Payable</t>
  </si>
  <si>
    <t xml:space="preserve">Contributed Capital </t>
  </si>
  <si>
    <t>Administrative Expenses</t>
  </si>
  <si>
    <t>Transportation</t>
  </si>
  <si>
    <t>HUD 108</t>
  </si>
  <si>
    <t>ACQUISITION</t>
  </si>
  <si>
    <t>Funds</t>
  </si>
  <si>
    <t>Starbright</t>
  </si>
  <si>
    <t>Assets</t>
  </si>
  <si>
    <t>Total</t>
  </si>
  <si>
    <t>(Decrease) in Landfill Postclosure Liability</t>
  </si>
  <si>
    <t>Operating and Other Reserves</t>
  </si>
  <si>
    <t>Principal Amounts on Leases and Notes</t>
  </si>
  <si>
    <t>Fund Balances - Governmental Funds</t>
  </si>
  <si>
    <t>Machinery &amp; Equipment</t>
  </si>
  <si>
    <t>Unearned Revenues Previously Recorded as Income</t>
  </si>
  <si>
    <t>Long-term Receivables Previously Recorded as Income in the Fund Financial Statements</t>
  </si>
  <si>
    <t>Internal Service Funds Allocation</t>
  </si>
  <si>
    <t>Unamortized Disc/Prem</t>
  </si>
  <si>
    <t>Net Revenues Recognized</t>
  </si>
  <si>
    <t>Accrued Arbitrage</t>
  </si>
  <si>
    <t>ck figure: recon-SONAws</t>
  </si>
  <si>
    <r>
      <t>In-Kind Contributions</t>
    </r>
    <r>
      <rPr>
        <vertAlign val="superscript"/>
        <sz val="9"/>
        <rFont val="Calibri"/>
        <family val="2"/>
      </rPr>
      <t>1</t>
    </r>
  </si>
  <si>
    <t>RECONCILATION OF STATEMENT OF REVENUES/EXPENSES TO THE STATEMENT OF ACTIVITIES</t>
  </si>
  <si>
    <t>Net Change in Fund Balance - Governmental Funds</t>
  </si>
  <si>
    <t>Donated Assets</t>
  </si>
  <si>
    <t>Long-term Debt</t>
  </si>
  <si>
    <t>Premium/Discount</t>
  </si>
  <si>
    <t>Payments to Escrow Agents</t>
  </si>
  <si>
    <t>CITY</t>
  </si>
  <si>
    <t>CEMETERIES</t>
  </si>
  <si>
    <t>Total Long-term Debt</t>
  </si>
  <si>
    <t>PRE-1999</t>
  </si>
  <si>
    <t>Nonmajor Governmental Funds - Certificates of Obligation</t>
  </si>
  <si>
    <t>BUSINESS-TYPE</t>
  </si>
  <si>
    <t>Liabilities:</t>
  </si>
  <si>
    <t>Unearned Revenues</t>
  </si>
  <si>
    <t>Due to Other Funds</t>
  </si>
  <si>
    <t>Deferred Amount on Refunding</t>
  </si>
  <si>
    <t>Restricted for:</t>
  </si>
  <si>
    <t>Debt Service</t>
  </si>
  <si>
    <t>Total Unrestricted Assets</t>
  </si>
  <si>
    <t>Payable from Current Unrestricted Assets:</t>
  </si>
  <si>
    <t>Total Payable from Current Unrestricted Assets</t>
  </si>
  <si>
    <t>Parking</t>
  </si>
  <si>
    <t>COMPONENT</t>
  </si>
  <si>
    <t>UNITS</t>
  </si>
  <si>
    <t>Materials and Supplies, at Cost</t>
  </si>
  <si>
    <t>Assets Held for Resale</t>
  </si>
  <si>
    <t>Notes Payable</t>
  </si>
  <si>
    <t>Contributions</t>
  </si>
  <si>
    <t>Activities</t>
  </si>
  <si>
    <t>Program Revenues</t>
  </si>
  <si>
    <t>Airport System</t>
  </si>
  <si>
    <t>Parking Facilities</t>
  </si>
  <si>
    <t>Total Business-type Activities</t>
  </si>
  <si>
    <t>Total Primary Government</t>
  </si>
  <si>
    <t>General Revenues:</t>
  </si>
  <si>
    <t>Investment Earnings</t>
  </si>
  <si>
    <t>Miscellaneous</t>
  </si>
  <si>
    <t>Special Items</t>
  </si>
  <si>
    <t>Capital Contributions</t>
  </si>
  <si>
    <t>Transfers, net</t>
  </si>
  <si>
    <t xml:space="preserve">General Sales and Use </t>
  </si>
  <si>
    <t xml:space="preserve">Selective Sales and Use </t>
  </si>
  <si>
    <t>ASSOCIATION</t>
  </si>
  <si>
    <t>CITY SOUTH</t>
  </si>
  <si>
    <t>MAIN</t>
  </si>
  <si>
    <t>PLAZA</t>
  </si>
  <si>
    <t>CONSERVANCY</t>
  </si>
  <si>
    <t>Statistical Data</t>
  </si>
  <si>
    <t>(accrual basis of accounting)</t>
  </si>
  <si>
    <t>Fiscal Year</t>
  </si>
  <si>
    <t>Restricted</t>
  </si>
  <si>
    <t>Expenses:</t>
  </si>
  <si>
    <t>SA Economic Development Corp</t>
  </si>
  <si>
    <t>SA Industrial Development Corporation</t>
  </si>
  <si>
    <t>SA Housing Trust Public Facilities Corp</t>
  </si>
  <si>
    <t>Fund Cap Assets</t>
  </si>
  <si>
    <t>Accounts Payable and Current Liabilities</t>
  </si>
  <si>
    <t>Total Governmental Activities Expenses</t>
  </si>
  <si>
    <t>Total Business-Type Activities Expenses</t>
  </si>
  <si>
    <t>Total Primary Government Expenses</t>
  </si>
  <si>
    <t>Program Revenues:</t>
  </si>
  <si>
    <t>Charges for Services:</t>
  </si>
  <si>
    <t>Operating Grants and Contributions</t>
  </si>
  <si>
    <t>Capital Grants and Contributions</t>
  </si>
  <si>
    <t xml:space="preserve">Total Governmental Activities </t>
  </si>
  <si>
    <t xml:space="preserve">Total Business-Type Activities </t>
  </si>
  <si>
    <t xml:space="preserve">Total Primary Government </t>
  </si>
  <si>
    <t>Net (Expense) Revenue:</t>
  </si>
  <si>
    <t>Governmental Activities</t>
  </si>
  <si>
    <t>Business-Type Activities</t>
  </si>
  <si>
    <t xml:space="preserve">General Revenues and Other Changes </t>
  </si>
  <si>
    <t xml:space="preserve">Penalties and Interest on </t>
  </si>
  <si>
    <t>Fund Balances, Governmental Funds</t>
  </si>
  <si>
    <t>(modified accrual basis of accounting)</t>
  </si>
  <si>
    <t>General Fund:</t>
  </si>
  <si>
    <t>Reserved</t>
  </si>
  <si>
    <t>Unreserved</t>
  </si>
  <si>
    <t>Total General Fund</t>
  </si>
  <si>
    <t>All Other Governmental Funds:</t>
  </si>
  <si>
    <t>Unreserved, reported in:</t>
  </si>
  <si>
    <t>Special Revenue Funds</t>
  </si>
  <si>
    <t>Capital Project Funds</t>
  </si>
  <si>
    <t>Total All Other Governmental Funds</t>
  </si>
  <si>
    <t>Changes in Fund Balances, Governmental Funds</t>
  </si>
  <si>
    <t xml:space="preserve">Intergovernmental </t>
  </si>
  <si>
    <t>Arbitrage Expenditure</t>
  </si>
  <si>
    <t xml:space="preserve">Debt Service as a Percentage of </t>
  </si>
  <si>
    <t>Noncapital Expenditures</t>
  </si>
  <si>
    <t xml:space="preserve">Gross Receipts Business </t>
  </si>
  <si>
    <t xml:space="preserve">Occupancy </t>
  </si>
  <si>
    <t xml:space="preserve">Property </t>
  </si>
  <si>
    <t>General Sales and Use</t>
  </si>
  <si>
    <t>Selective Sales and Use</t>
  </si>
  <si>
    <t>Occupancy</t>
  </si>
  <si>
    <t>Change in Net Assets</t>
  </si>
  <si>
    <t>Net Assets - Ending</t>
  </si>
  <si>
    <t>Taxes</t>
  </si>
  <si>
    <t>AIRPORT</t>
  </si>
  <si>
    <t>PARKING</t>
  </si>
  <si>
    <t>SERVICES</t>
  </si>
  <si>
    <t>ASSETS</t>
  </si>
  <si>
    <t>Prepaid Expenditures</t>
  </si>
  <si>
    <t>Solid Waste Management</t>
  </si>
  <si>
    <t>SOLID WASTE</t>
  </si>
  <si>
    <t>Year-Ended September 30, 2010</t>
  </si>
  <si>
    <t>Accounts</t>
  </si>
  <si>
    <t xml:space="preserve">DRAINAGE </t>
  </si>
  <si>
    <t>Notes and Lease Payables</t>
  </si>
  <si>
    <t>Accounts Payable - Other</t>
  </si>
  <si>
    <t>Amounts Held in Trust</t>
  </si>
  <si>
    <t>Fund Balances:</t>
  </si>
  <si>
    <t>Current Portion of Accrued Leave Payable</t>
  </si>
  <si>
    <t>Current Portion of Accrued Landfill Postclosure Costs</t>
  </si>
  <si>
    <t>Total Investment Earnings</t>
  </si>
  <si>
    <t>Other Noncurrent Assets</t>
  </si>
  <si>
    <t>Securities Lending Obligation</t>
  </si>
  <si>
    <t>Total Fund Balances</t>
  </si>
  <si>
    <t>Check figure BS nonMajor</t>
  </si>
  <si>
    <t>Check figure SORECGF nonMajor</t>
  </si>
  <si>
    <t>Stormwater</t>
  </si>
  <si>
    <t>HOME</t>
  </si>
  <si>
    <t xml:space="preserve">TOTAL </t>
  </si>
  <si>
    <t>CAPITAL</t>
  </si>
  <si>
    <t>PROJECTS</t>
  </si>
  <si>
    <t>PERMANENT</t>
  </si>
  <si>
    <t>FUNDS</t>
  </si>
  <si>
    <t>TOTALS</t>
  </si>
  <si>
    <t>SPECIAL</t>
  </si>
  <si>
    <t>REVENUE</t>
  </si>
  <si>
    <t>Revenues:</t>
  </si>
  <si>
    <t>Taxes:</t>
  </si>
  <si>
    <t>Property Taxes</t>
  </si>
  <si>
    <t>General Sales and Use Taxes</t>
  </si>
  <si>
    <t>Selective Sales and Use Taxes</t>
  </si>
  <si>
    <t>Gross Receipts Business Taxes</t>
  </si>
  <si>
    <t>Occupancy Taxes</t>
  </si>
  <si>
    <t>FY 2010</t>
  </si>
  <si>
    <t xml:space="preserve">Debt Service </t>
  </si>
  <si>
    <t>Categorical Grant In-aid</t>
  </si>
  <si>
    <t>2007 GO Bonds</t>
  </si>
  <si>
    <t>Community Development Program</t>
  </si>
  <si>
    <t>HUD 108 Loan Program</t>
  </si>
  <si>
    <t>Capital Improvements Management Services</t>
  </si>
  <si>
    <t>Community &amp; Visitors' Facilities</t>
  </si>
  <si>
    <t>Community Services</t>
  </si>
  <si>
    <t>Planning &amp; Development Services</t>
  </si>
  <si>
    <t>Hotel Motel Cap Improvement</t>
  </si>
  <si>
    <t>Int'l Center</t>
  </si>
  <si>
    <t>Less: Investment Expenses</t>
  </si>
  <si>
    <t>Capital Outlay</t>
  </si>
  <si>
    <t>Activities were restated as implementing GASB Statement No. 54 resulted in the reclassification of fund types between governmental, business-type and fiduciary.</t>
  </si>
  <si>
    <t>Net Assets and Activities were restated as implementing GASB Statement No. 54 resulted in the reclassification of fund types between governmental, business-type and fiduciary.</t>
  </si>
  <si>
    <t>The City implemented GASB Statement No. 54 in fiscal year 2011 resulting in different fund balance classifications than in prior years.</t>
  </si>
  <si>
    <r>
      <t>4</t>
    </r>
    <r>
      <rPr>
        <sz val="9"/>
        <rFont val="Calibri"/>
        <family val="2"/>
      </rPr>
      <t xml:space="preserve"> 2002 </t>
    </r>
    <r>
      <rPr>
        <vertAlign val="superscript"/>
        <sz val="9"/>
        <rFont val="Calibri"/>
        <family val="2"/>
      </rPr>
      <t>3</t>
    </r>
  </si>
  <si>
    <t>Job Training, Neighborhood Revitalization</t>
  </si>
  <si>
    <t>CC Hotel Finance Corporation</t>
  </si>
  <si>
    <t>SA Health      Facilities Corp</t>
  </si>
  <si>
    <t xml:space="preserve">SA Education Facilities </t>
  </si>
  <si>
    <t>SA Housting Trust Finance Corp.</t>
  </si>
  <si>
    <t>SA Industrial Develop Auth</t>
  </si>
  <si>
    <t>SA Public Library Foundation</t>
  </si>
  <si>
    <t>Westside Development</t>
  </si>
  <si>
    <t>SA Economic Dev Corp.</t>
  </si>
  <si>
    <t>SA Housing Trust Public Finance Corp.</t>
  </si>
  <si>
    <t>Empowerment Zone Development Corp</t>
  </si>
  <si>
    <t>Municipal Facilities Corporation</t>
  </si>
  <si>
    <t>Pre 1999                    GO Bonds</t>
  </si>
  <si>
    <t>1999 GO Bonds</t>
  </si>
  <si>
    <t>2003 GO Bonds</t>
  </si>
  <si>
    <t>GO Project Fund</t>
  </si>
  <si>
    <t>CO Project Funds</t>
  </si>
  <si>
    <t>Edwards Aquifer Protection</t>
  </si>
  <si>
    <t>Parks Development &amp; Expansion</t>
  </si>
  <si>
    <t>Tax Notes</t>
  </si>
  <si>
    <t>Carver Cultural          Center</t>
  </si>
  <si>
    <t>SA Housing Trust</t>
  </si>
  <si>
    <t>San Jose      Burial Park</t>
  </si>
  <si>
    <t>William C. Morris Endowment</t>
  </si>
  <si>
    <t>Boza Becica Endowment</t>
  </si>
  <si>
    <t>Employee Health     Benefits</t>
  </si>
  <si>
    <t>Insurance Reserve</t>
  </si>
  <si>
    <t>Workers' Compensation</t>
  </si>
  <si>
    <t>Information Services</t>
  </si>
  <si>
    <t>Other Internal Services</t>
  </si>
  <si>
    <t>General Long-term Debt</t>
  </si>
  <si>
    <t>SADA Change</t>
  </si>
  <si>
    <t>CHARGES FOR SERVICES</t>
  </si>
  <si>
    <t>Total Charges For Services</t>
  </si>
  <si>
    <t>OPERATING GRANTS AND CONTRIBUTIONS</t>
  </si>
  <si>
    <t>Total Operating Grants and Contributions</t>
  </si>
  <si>
    <t>CAPITAL GRANTS AND CONTRIBUTIONS</t>
  </si>
  <si>
    <t>Total Capital Grants and Contributions</t>
  </si>
  <si>
    <t>GENERAL REVENUES</t>
  </si>
  <si>
    <t>Total General Revenues and Transfers</t>
  </si>
  <si>
    <t>Net Assets - Beginning</t>
  </si>
  <si>
    <t>VARIANCE</t>
  </si>
  <si>
    <t>TOTAL EXPENSES</t>
  </si>
  <si>
    <t>TOTAL CHARGES FOR SERVICES</t>
  </si>
  <si>
    <t>TOTAL OPERATING GRANTS AND CONTRIBUTIONS</t>
  </si>
  <si>
    <t>TOTAL CAPITAL GRANTS AND CONTRIBUTIONS</t>
  </si>
  <si>
    <t>STATEMENT OF NET ASSETS - GOVERNMENTAL FUNDS</t>
  </si>
  <si>
    <t>ck figure: assets-liabilities=net assets</t>
  </si>
  <si>
    <t>ck figure: SOAws</t>
  </si>
  <si>
    <t>Due in more than one year:</t>
  </si>
  <si>
    <t>Due Within One Year:</t>
  </si>
  <si>
    <t>Penalties and Interest on Delinquent Taxes</t>
  </si>
  <si>
    <t>Licenses and Permits</t>
  </si>
  <si>
    <t>Intergovernmental</t>
  </si>
  <si>
    <t>Revenues from Utilities</t>
  </si>
  <si>
    <t>Charges for Services</t>
  </si>
  <si>
    <t>Interest</t>
  </si>
  <si>
    <t>Total Revenues</t>
  </si>
  <si>
    <t>Expenditures</t>
  </si>
  <si>
    <t>Current:</t>
  </si>
  <si>
    <t>General Government</t>
  </si>
  <si>
    <t>Public Safety</t>
  </si>
  <si>
    <t>Public Works</t>
  </si>
  <si>
    <t>Health Services</t>
  </si>
  <si>
    <t>Environmental Protection and Control</t>
  </si>
  <si>
    <t>Sanitation</t>
  </si>
  <si>
    <t>Welfare</t>
  </si>
  <si>
    <t>Convention and Tourism</t>
  </si>
  <si>
    <t>Culture and Recreation</t>
  </si>
  <si>
    <t>Conservation</t>
  </si>
  <si>
    <t>Urban Redevelopment and Housing</t>
  </si>
  <si>
    <t>Economic Development and Opportunity</t>
  </si>
  <si>
    <t>Debt Service:</t>
  </si>
  <si>
    <t>Principal Retirement</t>
  </si>
  <si>
    <t>Bond Escrow Agent</t>
  </si>
  <si>
    <t>Issuance Costs</t>
  </si>
  <si>
    <t>Development Services</t>
  </si>
  <si>
    <t>Total Expenditures</t>
  </si>
  <si>
    <t>Excess (Deficiency) of Revenue</t>
  </si>
  <si>
    <t>(In Thousands)</t>
  </si>
  <si>
    <t>Payments to Refunded Bond Escrow Agent</t>
  </si>
  <si>
    <t>TEXAS</t>
  </si>
  <si>
    <t xml:space="preserve">Improvements </t>
  </si>
  <si>
    <t>Total Noncurrent Assets</t>
  </si>
  <si>
    <t>SERVICE FUNDS</t>
  </si>
  <si>
    <t>City South Management Authority</t>
  </si>
  <si>
    <t>PRIVATE PURPOSE</t>
  </si>
  <si>
    <t>TRUST FUNDS</t>
  </si>
  <si>
    <t>State Sales Tax Fund</t>
  </si>
  <si>
    <t>Other Assets</t>
  </si>
  <si>
    <t>Other Expenditures</t>
  </si>
  <si>
    <t>Net OPEB Asset</t>
  </si>
  <si>
    <t>Redemption of General Commercial Paper</t>
  </si>
  <si>
    <t>Total Other Financing Sources (Uses)</t>
  </si>
  <si>
    <t>BOZA</t>
  </si>
  <si>
    <t>Current Portion of Commercial Paper</t>
  </si>
  <si>
    <t>Net Change in Fund Balances</t>
  </si>
  <si>
    <t>Fund Balances, October 1</t>
  </si>
  <si>
    <t>Fund Balances, September 30</t>
  </si>
  <si>
    <t>Check figure Fund Balances on BS worksheet</t>
  </si>
  <si>
    <t>Construction in Progress</t>
  </si>
  <si>
    <t>Buildings</t>
  </si>
  <si>
    <t>Machinery and Equipment</t>
  </si>
  <si>
    <t>Less: Accumulated Depreciation</t>
  </si>
  <si>
    <t>Total Capital Assets</t>
  </si>
  <si>
    <t>Check figure asset-liabilities</t>
  </si>
  <si>
    <t>Tax</t>
  </si>
  <si>
    <t>TAX</t>
  </si>
  <si>
    <t>NOTES</t>
  </si>
  <si>
    <t>FY 2009</t>
  </si>
  <si>
    <t>Variance</t>
  </si>
  <si>
    <t>GRANTS</t>
  </si>
  <si>
    <t>BLENDED</t>
  </si>
  <si>
    <t>Nonmajor Governmental Funds - Special Revenue Funds</t>
  </si>
  <si>
    <t>Nonmajor Governmental Funds - Blended Component Units</t>
  </si>
  <si>
    <t>2% REVENUE</t>
  </si>
  <si>
    <t xml:space="preserve">RIGHT OF </t>
  </si>
  <si>
    <t>Nonmajor Governmental Funds - General Obligation Bonds</t>
  </si>
  <si>
    <t>Capital Assets</t>
  </si>
  <si>
    <t>Payments to Escrow Agent</t>
  </si>
  <si>
    <t>Securities Lending Collateral</t>
  </si>
  <si>
    <t>OPERATIONS</t>
  </si>
  <si>
    <t>As of September 30, 2006</t>
  </si>
  <si>
    <t>HIDTA Group Leasing Programs</t>
  </si>
  <si>
    <t>San Antonio Flood Relief Fund</t>
  </si>
  <si>
    <t>Operating Revenues:</t>
  </si>
  <si>
    <t>Net Cash Provided by (Used for) Noncapital Financing Activities</t>
  </si>
  <si>
    <t>Cash Flows from Noncapital Financing Activities:</t>
  </si>
  <si>
    <t>OUR SA</t>
  </si>
  <si>
    <t>Current Liab &amp; Accts Pay</t>
  </si>
  <si>
    <t>Current Liab &amp; Accts Pay (restricted)</t>
  </si>
  <si>
    <t>Bal Sheet to SONA Variances</t>
  </si>
  <si>
    <t>Nonmajor Enterprise Funds</t>
  </si>
  <si>
    <t>Internal Svc Fund Allocation</t>
  </si>
  <si>
    <t>Net Assets - Ending (Gov't Wide)</t>
  </si>
  <si>
    <t>Net Assets - Ending (Individual Statement)</t>
  </si>
  <si>
    <t>Total Net Assets (BTA-SONA)</t>
  </si>
  <si>
    <t>Right of Ways</t>
  </si>
  <si>
    <t>STATEMENT OF REVENUES, EXPENDITURES, AND CHANGES IN FUND BALANCES - GOVERNMENTAL FUNDS</t>
  </si>
  <si>
    <t>Total Non-Major Governmental Funds</t>
  </si>
  <si>
    <t>CITY OF SAN ANTONIO, TEXAS</t>
  </si>
  <si>
    <t>PRIMARY GOVERNMENT</t>
  </si>
  <si>
    <t>$</t>
  </si>
  <si>
    <t>Depreciable, Net</t>
  </si>
  <si>
    <t>Accrued Bond and Certificate Interest</t>
  </si>
  <si>
    <t>Noncurrent Liabilities:</t>
  </si>
  <si>
    <t xml:space="preserve">Unrestricted </t>
  </si>
  <si>
    <t>Total All Agency Funds</t>
  </si>
  <si>
    <t>Due From Gov't Agencies</t>
  </si>
  <si>
    <t>2012 GO Bonds</t>
  </si>
  <si>
    <t>Statement of Activities</t>
  </si>
  <si>
    <t>NET (EXPENSE) REVENUE AND</t>
  </si>
  <si>
    <t>PROGRAM REVENUES</t>
  </si>
  <si>
    <t>INDIRECT</t>
  </si>
  <si>
    <t>EXPENSES</t>
  </si>
  <si>
    <t>ALLOCATION</t>
  </si>
  <si>
    <t>Primary Government:</t>
  </si>
  <si>
    <t xml:space="preserve"> </t>
  </si>
  <si>
    <t>Governmental Activities:</t>
  </si>
  <si>
    <t>Economic Development Opportunity</t>
  </si>
  <si>
    <t>Amortization of Refunding Charges</t>
  </si>
  <si>
    <t>Interest on Long-Term Debt</t>
  </si>
  <si>
    <t>Total Governmental Activities</t>
  </si>
  <si>
    <t>Business-Type Activities:</t>
  </si>
  <si>
    <t xml:space="preserve">Airport System </t>
  </si>
  <si>
    <t>Total Business-Type Activities</t>
  </si>
  <si>
    <t>San Antonio Water System</t>
  </si>
  <si>
    <t>Gain on Sale of Capital Assets</t>
  </si>
  <si>
    <t>Balance Sheet</t>
  </si>
  <si>
    <t>Governmental Funds</t>
  </si>
  <si>
    <t>MAJOR FUNDS</t>
  </si>
  <si>
    <t>NONMAJOR</t>
  </si>
  <si>
    <t>Across</t>
  </si>
  <si>
    <t>SERVICE</t>
  </si>
  <si>
    <t>Receivables</t>
  </si>
  <si>
    <t>Governmental</t>
  </si>
  <si>
    <t>Total Liabilities and Fund Balances</t>
  </si>
  <si>
    <t>City Cemeteries</t>
  </si>
  <si>
    <t>due from other gov't (non rest)</t>
  </si>
  <si>
    <t>due from other gov't (rest)</t>
  </si>
  <si>
    <t>due to other gov't (non rest)</t>
  </si>
  <si>
    <t>due to other gov't (rest)</t>
  </si>
  <si>
    <t>accts pay and current liab (rest)</t>
  </si>
  <si>
    <t>bonds payable</t>
  </si>
  <si>
    <t>prem/disc</t>
  </si>
  <si>
    <t>def charges refunding</t>
  </si>
  <si>
    <t>cap lease payable</t>
  </si>
  <si>
    <t>OPEB</t>
  </si>
  <si>
    <t>Issuance</t>
  </si>
  <si>
    <t>deferred revenue</t>
  </si>
  <si>
    <t>COI</t>
  </si>
  <si>
    <t>Cash and Cash Equiv</t>
  </si>
  <si>
    <t>2012 General Obligation Bonds</t>
  </si>
  <si>
    <t>Equipment Acuisition</t>
  </si>
  <si>
    <t>SOLID</t>
  </si>
  <si>
    <t>WASTE</t>
  </si>
  <si>
    <t>due from</t>
  </si>
  <si>
    <t>due to</t>
  </si>
  <si>
    <t>5% of Total Governmental</t>
  </si>
  <si>
    <t>5% of Total Enterprise Funds</t>
  </si>
  <si>
    <t>Total 5% Gov't and Enterprise</t>
  </si>
  <si>
    <t>MAJOR FUND CALCULATION</t>
  </si>
  <si>
    <t>Mutual Funds</t>
  </si>
  <si>
    <t>Depreciable Intangible</t>
  </si>
  <si>
    <t xml:space="preserve">Cash and Cash Equivalents, October 1 </t>
  </si>
  <si>
    <t>Hemisfair Park Redevelopment Corp</t>
  </si>
  <si>
    <t>HEMISFAIR</t>
  </si>
  <si>
    <t>PARK AREA</t>
  </si>
  <si>
    <t>REDEVELOPMENT</t>
  </si>
  <si>
    <t>(continued)</t>
  </si>
  <si>
    <t>(Decrease) in Due to Other Governmental Agencies</t>
  </si>
  <si>
    <t>Adjustments to Reconcile Operating Income (Loss)</t>
  </si>
  <si>
    <t>Total Payable from Current Restricted Assets</t>
  </si>
  <si>
    <t>Principal Payments on Long-Term Debt</t>
  </si>
  <si>
    <t>Unamortized Premium/(Discount)  (net of current portion)</t>
  </si>
  <si>
    <t>PROJECTS FUND</t>
  </si>
  <si>
    <t>Statement of Net Position</t>
  </si>
  <si>
    <t>Net Investment in Capital Assets</t>
  </si>
  <si>
    <t>Change in Net Position</t>
  </si>
  <si>
    <t>Net Position of Governmental Activities</t>
  </si>
  <si>
    <t>Net Position:</t>
  </si>
  <si>
    <t>Change in Net Position of Governmental Activities</t>
  </si>
  <si>
    <t>Net Position - End of Fiscal Year</t>
  </si>
  <si>
    <t>Total Net Position</t>
  </si>
  <si>
    <t>Change In Net Position</t>
  </si>
  <si>
    <t>Combining Statement of Net Position</t>
  </si>
  <si>
    <t>Combining Statement of Fiduciary Net Position</t>
  </si>
  <si>
    <t>Net Position by Component</t>
  </si>
  <si>
    <t>Total Governmental Activities, net position</t>
  </si>
  <si>
    <t>Total Primary Government, net position</t>
  </si>
  <si>
    <t>Total Business-Type Activities, net position</t>
  </si>
  <si>
    <t>Changes in Net Position</t>
  </si>
  <si>
    <t>Change in Net Position:</t>
  </si>
  <si>
    <t>SAN ANTONIO PRE K 4SA</t>
  </si>
  <si>
    <t>SA Pre K 4SA</t>
  </si>
  <si>
    <t>SAN ANTONIO TEXAS PUBLIC FACILITIES CORP.</t>
  </si>
  <si>
    <t>Total Deferred Outflows of Resources:</t>
  </si>
  <si>
    <t>Total Deferred Inflows of Resources:</t>
  </si>
  <si>
    <t>Materials and Supplies</t>
  </si>
  <si>
    <t>Deferred Outflows of Resources</t>
  </si>
  <si>
    <t>Total Deferred Outflows of Resources</t>
  </si>
  <si>
    <t>Premium on Long-Term Debt</t>
  </si>
  <si>
    <t>Municipal Golf Associatation-SA</t>
  </si>
  <si>
    <t>San Antonio Housing Trust Foundation Inc.</t>
  </si>
  <si>
    <t>Urban Renewal Agency (OUR SA)</t>
  </si>
  <si>
    <t xml:space="preserve">URBAN </t>
  </si>
  <si>
    <t>RENEWAL</t>
  </si>
  <si>
    <t>(OUR SA)</t>
  </si>
  <si>
    <t>Assets Helf For Resale</t>
  </si>
  <si>
    <t>Municipal Golf Association - SA</t>
  </si>
  <si>
    <t>SA Housing Trust Foundation Corporation</t>
  </si>
  <si>
    <t>NET (EXPENSE) REVENUE AND CHANGES IN NET POSITION</t>
  </si>
  <si>
    <t>Statement of Changes in Fiduciary Net Position</t>
  </si>
  <si>
    <t>(Loss) on Sale of Capital Assets</t>
  </si>
  <si>
    <t>Long-Term</t>
  </si>
  <si>
    <t xml:space="preserve">Capital </t>
  </si>
  <si>
    <t>Blended</t>
  </si>
  <si>
    <t>Internal</t>
  </si>
  <si>
    <t>Projects</t>
  </si>
  <si>
    <t>Service</t>
  </si>
  <si>
    <t>Solid</t>
  </si>
  <si>
    <t>Market</t>
  </si>
  <si>
    <t>Development</t>
  </si>
  <si>
    <t>Waste</t>
  </si>
  <si>
    <t>Square</t>
  </si>
  <si>
    <t>Services</t>
  </si>
  <si>
    <t>Combining Statement of Changes in Fiduciary Net Position</t>
  </si>
  <si>
    <t>SAWS</t>
  </si>
  <si>
    <t xml:space="preserve">SPECIAL </t>
  </si>
  <si>
    <t>PROJECT</t>
  </si>
  <si>
    <t>PRE-K 4 SA</t>
  </si>
  <si>
    <t>Other Liabilities</t>
  </si>
  <si>
    <t>Other Expenses</t>
  </si>
  <si>
    <t>current liab</t>
  </si>
  <si>
    <t>restricted current liag</t>
  </si>
  <si>
    <t>Amounts reported for governmental activities in the Statement of Net Position are different because:</t>
  </si>
  <si>
    <t>Change in Net Position of Business-Type Activities</t>
  </si>
  <si>
    <t>notes payable</t>
  </si>
  <si>
    <t>pollution rem</t>
  </si>
  <si>
    <t>pmt to escrow</t>
  </si>
  <si>
    <t>Donated Capital Assets</t>
  </si>
  <si>
    <t>PUBLIC FACILITY</t>
  </si>
  <si>
    <t>Net Position were restated as implementing GASB Statement No. 54 resulted in the reclassification of fund types between governmental, business-type and fiduciary.</t>
  </si>
  <si>
    <t>Net Position were restated as implementing GASB Statement No. 61 resulted in the reclassification of reporting between discretely presented and blended component units.</t>
  </si>
  <si>
    <t>TEXAS PUBLIC FACILITIES CORP.</t>
  </si>
  <si>
    <t xml:space="preserve">   Net position of business-type activities</t>
  </si>
  <si>
    <t>Depr</t>
  </si>
  <si>
    <t>CIP Del</t>
  </si>
  <si>
    <t>Asset Del</t>
  </si>
  <si>
    <t>Other Payable</t>
  </si>
  <si>
    <t>Internal Service Funds are used by management to charge the cost of certain activities to individual funds. The change in net position remaining after allocation of business-type activities of the Internal Service Funds is reported with governmental activities.</t>
  </si>
  <si>
    <t>EARLY</t>
  </si>
  <si>
    <t xml:space="preserve">EDUCATION </t>
  </si>
  <si>
    <t xml:space="preserve">TAX &amp; </t>
  </si>
  <si>
    <t>Change in Net Position Before Transfers</t>
  </si>
  <si>
    <t>Other Payables (net of current portion)</t>
  </si>
  <si>
    <t>AND CHANGES IN NET POSITION</t>
  </si>
  <si>
    <t>Early Education Development</t>
  </si>
  <si>
    <t>Education</t>
  </si>
  <si>
    <t>in Net Position:</t>
  </si>
  <si>
    <t>b/p</t>
  </si>
  <si>
    <t>p/d</t>
  </si>
  <si>
    <t>def</t>
  </si>
  <si>
    <t>cap asset</t>
  </si>
  <si>
    <t>Due To/From Balances</t>
  </si>
  <si>
    <t>CHANGES IN NET POSITION</t>
  </si>
  <si>
    <t>Long-term receivables applicable in governmental activities are not anticipated to be received in the current year and, therefore, are not reported in the governmental funds.</t>
  </si>
  <si>
    <t>EMS was reclassed from Health Services to Public Safety</t>
  </si>
  <si>
    <t>Parks Environmental and Sanitation</t>
  </si>
  <si>
    <t>ENVIRONMENTAL</t>
  </si>
  <si>
    <t>SANITATION</t>
  </si>
  <si>
    <t>Parks Environmental &amp; Sanitation</t>
  </si>
  <si>
    <t>Component Unit Capital Assets</t>
  </si>
  <si>
    <t>Deferred Inflows of Resources</t>
  </si>
  <si>
    <t>GRANT</t>
  </si>
  <si>
    <t>IN-AID</t>
  </si>
  <si>
    <t>Total Deferred Inflows of Resources</t>
  </si>
  <si>
    <t>Net Position was restated as implementing GASB Statement No. 61 resulted in the reclassification of reporting between discretely presented and blended component units.</t>
  </si>
  <si>
    <t>Amortization of Bond Premiums/Discounts and Deferred Charges, Net</t>
  </si>
  <si>
    <t>Amort</t>
  </si>
  <si>
    <t>Amortization of Bond Prem/Disc, Deferred</t>
  </si>
  <si>
    <t>Landfill Postclosure Costs (net of current portion)</t>
  </si>
  <si>
    <t>Current Portion of Landfill Postclosure Costs</t>
  </si>
  <si>
    <t>Due From Other Governmental Agencies, Net</t>
  </si>
  <si>
    <t>Due To Other Governmental Agencies, Net</t>
  </si>
  <si>
    <t>Net Position was restated as implementing GASB Statement No. 65 resulted in the reclassification of items previously reported as assets and liabilities.</t>
  </si>
  <si>
    <t>Increase in Pollution Remediation Liability</t>
  </si>
  <si>
    <t>Lessees' Special Event Liability Insurance Fund</t>
  </si>
  <si>
    <t>Mayor's Lunch Fund</t>
  </si>
  <si>
    <t>Current Portion of Bonds and Certificates (net of</t>
  </si>
  <si>
    <t>premium/discount)</t>
  </si>
  <si>
    <t>Bonds and Certificates  (net of current portion</t>
  </si>
  <si>
    <t>&amp; premium/discount)</t>
  </si>
  <si>
    <t>Alcoholic Beverage Tax increased in 2011 due to legislative measures, and again in 2014 due to restoration of a 2.0% administrative fee to City, plus additional legislative measures to broaden the Alcoholic Beverage Tax base.</t>
  </si>
  <si>
    <t>Deferred Outflows of Financial Resources</t>
  </si>
  <si>
    <t xml:space="preserve"> &amp; premium/discount)</t>
  </si>
  <si>
    <t>Increase  in Claims Payable</t>
  </si>
  <si>
    <t xml:space="preserve">DEVELOPMENT </t>
  </si>
  <si>
    <t>The issuance of long-term debt (e.g. bonds, notes and loans) provides current financial resources to governmental funds, while the repayment of the principal of long-term debt consumes the current financial resources of governmental funds. Neither transaction, however, has any effect on net position. Also, governmental funds report the effect of premiums, discounts and similar items when debt is first issued. This amount is the net effect of these differences in the treatment of long-term debt and related items.</t>
  </si>
  <si>
    <t>Long-term liabilities are not due and payable in the current year, therefore are not reported in the governmental funds.</t>
  </si>
  <si>
    <t>Revenues previously recorded as unavailable revenue in the fund financial statements</t>
  </si>
  <si>
    <t>Revenues in the Statement of Activities that do not provide current financial resources are not reported as revenues in the fund financial statements.</t>
  </si>
  <si>
    <t>Refunding Debt Issued</t>
  </si>
  <si>
    <t>Cash Received from Other Noncapital Financing Activity</t>
  </si>
  <si>
    <t>PUBLIC FINANCE</t>
  </si>
  <si>
    <t>San Antonio Housing Trust Finance Corp.</t>
  </si>
  <si>
    <t>San Antonio Housing Trust Public Facility Corp.</t>
  </si>
  <si>
    <t>HOTEL FINANCE</t>
  </si>
  <si>
    <t>Internal Service Funds are used by management to charge the cost of certain activities to individual funds. The assets and liabilities of the Internal Service Funds are included in the governmental activities in the Statement of Net Position.</t>
  </si>
  <si>
    <t>San Antonio Housing Trust Finance Corporation</t>
  </si>
  <si>
    <t>Cash Received from Other Noncapital Financing Activities</t>
  </si>
  <si>
    <t>Government Agcy Iss</t>
  </si>
  <si>
    <t xml:space="preserve">Venture Capital </t>
  </si>
  <si>
    <t>Sec Lend Coll</t>
  </si>
  <si>
    <t>Per Mark G email</t>
  </si>
  <si>
    <t>Thousands</t>
  </si>
  <si>
    <t>CAFR</t>
  </si>
  <si>
    <t>Commercial Paper (net of current portion)</t>
  </si>
  <si>
    <t>Long-Term Lease/Notes Payable (net of current portion)</t>
  </si>
  <si>
    <t>SA Energy Acquisition Public Facility Corporation</t>
  </si>
  <si>
    <t>FOUNDATION,</t>
  </si>
  <si>
    <t>San Antonio Housing Trust Public Facility Corporation</t>
  </si>
  <si>
    <t>Increase in Landfill Postclosure Liability</t>
  </si>
  <si>
    <t>accrued leave payable</t>
  </si>
  <si>
    <t>a/r unrestricted</t>
  </si>
  <si>
    <t>a/r restricted</t>
  </si>
  <si>
    <t>COSA</t>
  </si>
  <si>
    <t>TX Public Facility Corp</t>
  </si>
  <si>
    <t>CITY OF SAN ANTONIO</t>
  </si>
  <si>
    <t>ANALYSIS OF NET POSITION</t>
  </si>
  <si>
    <t>GOVERNMENTAL ACTIVITIES</t>
  </si>
  <si>
    <t>Comp Units</t>
  </si>
  <si>
    <t>Alloc</t>
  </si>
  <si>
    <t xml:space="preserve">Internal </t>
  </si>
  <si>
    <t>Current Portion of Pollution Remediation</t>
  </si>
  <si>
    <t xml:space="preserve">Govt'L  </t>
  </si>
  <si>
    <t>Net Position was restated as implementing GASB Statement No. 68 resulted in the reclassification of how pension obligations were previously reported.</t>
  </si>
  <si>
    <t>Net OPEB and Pension Liability</t>
  </si>
  <si>
    <t>Deferred Inflows of Financial Resources</t>
  </si>
  <si>
    <t>Pollution Remediation (net of current portion)</t>
  </si>
  <si>
    <t>Unrestricted (Deficit)</t>
  </si>
  <si>
    <t>Cash Received from Other Cash Receipts</t>
  </si>
  <si>
    <t>Fund Balances were restated as implementing GASB Statement No. 61 resulted in the reclassification of reporting between discretely presented and blended component units.</t>
  </si>
  <si>
    <t>(Under) Expenditures</t>
  </si>
  <si>
    <t>Accrued Interest on Bonds and Certificates</t>
  </si>
  <si>
    <t>Extraordinary Items</t>
  </si>
  <si>
    <t>Foreign Bonds</t>
  </si>
  <si>
    <t>YES</t>
  </si>
  <si>
    <t>General</t>
  </si>
  <si>
    <t>Insurance</t>
  </si>
  <si>
    <t>Workers'</t>
  </si>
  <si>
    <t>Fund</t>
  </si>
  <si>
    <t>TIRZ</t>
  </si>
  <si>
    <t>Reserve</t>
  </si>
  <si>
    <t>Comp</t>
  </si>
  <si>
    <t>ITSD</t>
  </si>
  <si>
    <t>ISF</t>
  </si>
  <si>
    <t>Inc/Decr</t>
  </si>
  <si>
    <t>Total ISF</t>
  </si>
  <si>
    <t>Restate</t>
  </si>
  <si>
    <t>Total Nonoperating Revenues</t>
  </si>
  <si>
    <t>Total Primary Government Net (Expense)</t>
  </si>
  <si>
    <t>Claims Payable (net of current portion)</t>
  </si>
  <si>
    <t>discount/premium)</t>
  </si>
  <si>
    <t>Bonds and Certificates (net of current portion &amp;</t>
  </si>
  <si>
    <t>Other Postemployment Benefits</t>
  </si>
  <si>
    <t>Restricted for Pension</t>
  </si>
  <si>
    <t>Restricted for Literacy Programs</t>
  </si>
  <si>
    <t>Restricted for Other Postemployment Benefits</t>
  </si>
  <si>
    <t>Gain on Disposal of Capital Assets</t>
  </si>
  <si>
    <t>2015 (Restated)</t>
  </si>
  <si>
    <t>Liabilities Payable From Restricted Assets:</t>
  </si>
  <si>
    <t>TRICENTENNIAL</t>
  </si>
  <si>
    <t>CELEBRATION</t>
  </si>
  <si>
    <t>COMMISSION</t>
  </si>
  <si>
    <t>from Leases</t>
  </si>
  <si>
    <t>Investment in Joint Venture</t>
  </si>
  <si>
    <t>SA Tricentennial Celebration Commission</t>
  </si>
  <si>
    <r>
      <t>2015</t>
    </r>
    <r>
      <rPr>
        <b/>
        <sz val="9.5"/>
        <rFont val="Calibri"/>
        <family val="2"/>
      </rPr>
      <t xml:space="preserve"> (Restated)</t>
    </r>
  </si>
  <si>
    <t>2017 GO Bonds</t>
  </si>
  <si>
    <t>2017 General Obligation Bonds</t>
  </si>
  <si>
    <t>Due From Fiduciary Funds</t>
  </si>
  <si>
    <t>Visit San Antonio</t>
  </si>
  <si>
    <t>VISIT</t>
  </si>
  <si>
    <t>Visit                            San Antonio</t>
  </si>
  <si>
    <t>2012</t>
  </si>
  <si>
    <t>Unspent Debt Proceeds</t>
  </si>
  <si>
    <t>PAYABLE -</t>
  </si>
  <si>
    <t>Brooks</t>
  </si>
  <si>
    <t>Non-depreciable Intangible</t>
  </si>
  <si>
    <t>Pre 2007 GO Bonds</t>
  </si>
  <si>
    <t>PRE 2007</t>
  </si>
  <si>
    <t>Pre 2007 General Obligation Bonds</t>
  </si>
  <si>
    <t xml:space="preserve">SOCCER </t>
  </si>
  <si>
    <t>SABC Soccer Public Facility Corporation</t>
  </si>
  <si>
    <t>SABC</t>
  </si>
  <si>
    <t>SOCCER</t>
  </si>
  <si>
    <t>Total Liabilities, Deferred Inflows of Resources and Fund Balances</t>
  </si>
  <si>
    <t>and Deferred Inflows of Resources:</t>
  </si>
  <si>
    <t>Excess (Deficiency) of Revenues Over</t>
  </si>
  <si>
    <t>(Deficiency) of Revenues</t>
  </si>
  <si>
    <t>Total Other Financing Sources (Uses), Net</t>
  </si>
  <si>
    <t>Total Transfers In (Out), Net</t>
  </si>
  <si>
    <t>Changes in Assets, Liabilities, Deferred Outflows of Resources</t>
  </si>
  <si>
    <t>San Antonio Tricentennial Celebration Commission</t>
  </si>
  <si>
    <t>Total Nonoperating Revenues (Expenses), Net</t>
  </si>
  <si>
    <t>2016 (Restated)</t>
  </si>
  <si>
    <t xml:space="preserve">CITY OF </t>
  </si>
  <si>
    <t>RETIREE HEALTH</t>
  </si>
  <si>
    <t>CARE FUND</t>
  </si>
  <si>
    <t>Net OPEB and Pension Liabilities</t>
  </si>
  <si>
    <t>DEBT SERVICE</t>
  </si>
  <si>
    <t>CATEGORICAL GRANTS IN AID</t>
  </si>
  <si>
    <t>COMMUNITY DEVELOPMENT PROGRAM</t>
  </si>
  <si>
    <t>CONFISCATED PROPERTY</t>
  </si>
  <si>
    <t>HOME PROGRAM</t>
  </si>
  <si>
    <t>HUD 108 LOAN PROGRAM</t>
  </si>
  <si>
    <t>ADVANCED TRANSPORTATION DISTRICT</t>
  </si>
  <si>
    <t>COMMUNITY &amp; VISITOR FACILITIES</t>
  </si>
  <si>
    <t>COMMUNITY SERVICES</t>
  </si>
  <si>
    <t>HOT MOTEL TAX CAPITAL IMPROVEMENT</t>
  </si>
  <si>
    <t>PARKS DEVELOPMENT AND EXPANSION</t>
  </si>
  <si>
    <t>EARLY EDUCATION</t>
  </si>
  <si>
    <t>PARKS ENVIRONMENTAL</t>
  </si>
  <si>
    <t>RIGHT OF WAYS</t>
  </si>
  <si>
    <t>SA HOUSTING TRUST</t>
  </si>
  <si>
    <t>STORMWATER OPERATIONS</t>
  </si>
  <si>
    <t>TAX INCREMENT REINVESTMENT ZONE</t>
  </si>
  <si>
    <t>PRE 1999 GENERAL OBLIGATION</t>
  </si>
  <si>
    <t>1999 GENERAL OBLIGATION</t>
  </si>
  <si>
    <t>2007 GENERAL OBLIGATION</t>
  </si>
  <si>
    <t>2012 GENERAL OBLIGATION</t>
  </si>
  <si>
    <t>2017 GENERAL OBLIGATION</t>
  </si>
  <si>
    <t>GENERAL OBLIGATION WORK EFFORT</t>
  </si>
  <si>
    <t>CERTIFICATES OF OBLIGATION WORK EFFORT</t>
  </si>
  <si>
    <t>EDWARDS AQUIFER PROTECTION VENUE</t>
  </si>
  <si>
    <t>IMPROVEMENT PROJECTS</t>
  </si>
  <si>
    <t>MUNICIPAL DRAINAGE UTILITY SYSTEM</t>
  </si>
  <si>
    <t>PARKS DEVELOPMENT AND EXPANSION PROJECT</t>
  </si>
  <si>
    <t>TAX NOTES</t>
  </si>
  <si>
    <t>EQUIPMENT ACQUISITION</t>
  </si>
  <si>
    <t>CARVER CULTURAL CENTER ENDOWMENT</t>
  </si>
  <si>
    <t>CITY CEMETERIES</t>
  </si>
  <si>
    <t>WM C MORRIS ENDOWMEN</t>
  </si>
  <si>
    <t>BOZA BECICA</t>
  </si>
  <si>
    <t>CC Hotel Finance Corp</t>
  </si>
  <si>
    <t>SA Education Facilities</t>
  </si>
  <si>
    <t>SA Health Facilities</t>
  </si>
  <si>
    <t>VISIT SAN ANTONIO</t>
  </si>
  <si>
    <t>SA Industrial Development Auth</t>
  </si>
  <si>
    <t>Muni Facility Corp.</t>
  </si>
  <si>
    <t>SA Econ Development Corp.</t>
  </si>
  <si>
    <t>SA Housting Trust Public Fin Corp.</t>
  </si>
  <si>
    <t>SA Housting Trust Foundation Corp.</t>
  </si>
  <si>
    <t>Hemisfair Park Redevelop Corp.</t>
  </si>
  <si>
    <t>PRE K 4SA (Component Unit)</t>
  </si>
  <si>
    <t>SA Public Facilities Corp.</t>
  </si>
  <si>
    <t>Our SA</t>
  </si>
  <si>
    <t>SELF-INSURANCE (EMPLOYEE HEALTH BENEFITS)</t>
  </si>
  <si>
    <t>SELF-INSURANCE (INSURANCE RESERVE)</t>
  </si>
  <si>
    <t>SELF-INSURANCE (WORKERS' COMPENSATION)</t>
  </si>
  <si>
    <t>INFORMATION SERVICES</t>
  </si>
  <si>
    <t>OTHER INTERNAL SERVICES</t>
  </si>
  <si>
    <t>CAPITAL IMPROVEMENTS MANAGEMENT SERVICES</t>
  </si>
  <si>
    <t>AIRPORT SYSTEM</t>
  </si>
  <si>
    <t>SOLID WASTE MANAGEMENT</t>
  </si>
  <si>
    <t>PARKING SYSTEM</t>
  </si>
  <si>
    <t>MARKET SQUARE</t>
  </si>
  <si>
    <t>DEVELOPMENT &amp; PLANNING SERVICES</t>
  </si>
  <si>
    <t>BEXAR COUNTY HOTEL/MOTEL TAX COLLECTIONS</t>
  </si>
  <si>
    <t>CRIMINAL JUSTICE FND</t>
  </si>
  <si>
    <t>DEPOSIT FUND</t>
  </si>
  <si>
    <t>EVIDENTIARY CASH</t>
  </si>
  <si>
    <t>STATE SALES TAX SUB</t>
  </si>
  <si>
    <t>UNCLAIMED PROPERTY</t>
  </si>
  <si>
    <t>PRE 2007 GENERAL OBLIGATION</t>
  </si>
  <si>
    <t xml:space="preserve">EDWARDS </t>
  </si>
  <si>
    <t>PLATEAU</t>
  </si>
  <si>
    <t>SOUTHERN</t>
  </si>
  <si>
    <t>Southern Edwards Plateau Endowment</t>
  </si>
  <si>
    <t>Non spendable</t>
  </si>
  <si>
    <t>Environmental</t>
  </si>
  <si>
    <t>Due To Other Gov't Agencies</t>
  </si>
  <si>
    <t xml:space="preserve">accts pay and current liab </t>
  </si>
  <si>
    <t xml:space="preserve">Environmental </t>
  </si>
  <si>
    <t>&amp; discount/premium)</t>
  </si>
  <si>
    <t>Debt Transfer to Enterprise Funds</t>
  </si>
  <si>
    <t>2017 (Restated)</t>
  </si>
  <si>
    <t>Restated</t>
  </si>
  <si>
    <t>2018 (Restated)</t>
  </si>
  <si>
    <t>Payable from Current Restricted Assets:</t>
  </si>
  <si>
    <t>Excess of Revenues Over (Under) Expenditures</t>
  </si>
  <si>
    <t>Sales and Use tax revenues increased in the past ten years due to a combination of rate increases (see Direct and Overlapping Sales and Use Tax Rates), growth in taxable retail sales (see Taxable Sales by Category), and several legislative measures to broaden the sales and use tax base.</t>
  </si>
  <si>
    <t>Pension Regulatory Asset</t>
  </si>
  <si>
    <t>Long-term Investments</t>
  </si>
  <si>
    <t>Long-term Investments are not financial resources and therefore are not shown on the fund - based statements</t>
  </si>
  <si>
    <t>Long-term investments are not financial resources and therefore are not reported in the governmental funds</t>
  </si>
  <si>
    <t>2019 (Restated)</t>
  </si>
  <si>
    <t>Pre 2015 CO's</t>
  </si>
  <si>
    <t>2019 CO's</t>
  </si>
  <si>
    <t>2019</t>
  </si>
  <si>
    <t>Current Portion of Asset Retirement Obligations</t>
  </si>
  <si>
    <t>Asset Retirement Obligations</t>
  </si>
  <si>
    <t>2019 CERTIFICATES OF OBLIGATION</t>
  </si>
  <si>
    <t>Unearned revenue</t>
  </si>
  <si>
    <t>2019 Certificates of Obligation</t>
  </si>
  <si>
    <t>Net Position - Beginning of Fiscal Year</t>
  </si>
  <si>
    <t>Revenues SOA-SORECGF</t>
  </si>
  <si>
    <r>
      <t>2013</t>
    </r>
    <r>
      <rPr>
        <b/>
        <vertAlign val="superscript"/>
        <sz val="10"/>
        <rFont val="Calibri"/>
        <family val="2"/>
      </rPr>
      <t xml:space="preserve"> 1</t>
    </r>
  </si>
  <si>
    <t>Net Cash Provided by (Used for) Operating Activities</t>
  </si>
  <si>
    <t>(Increase) Decrease in Prepaid Expenses</t>
  </si>
  <si>
    <t xml:space="preserve">Asset Retirement Obligations </t>
  </si>
  <si>
    <t>RECONCILATION OF BALANCE SHEET TO THE STATEMENT OF NET POSITION</t>
  </si>
  <si>
    <t>(Increase) in Due from Other Governmental Agencies</t>
  </si>
  <si>
    <t>(Increase) Decrease in Materials and Supplies</t>
  </si>
  <si>
    <t>Asset Retirement Obligations (net of current portion)</t>
  </si>
  <si>
    <t>Net OPEB and Pension Expenses</t>
  </si>
  <si>
    <t>Current Portion of Long-Term Obligations</t>
  </si>
  <si>
    <t>Noncurrent Portion of Long-Term Obligations</t>
  </si>
  <si>
    <t>Current Portion of Long-Term Lease/Notes Payable</t>
  </si>
  <si>
    <t>(End of Statement)</t>
  </si>
  <si>
    <t>(Continued)</t>
  </si>
  <si>
    <t xml:space="preserve">Bonds and Certificates (net of current portion </t>
  </si>
  <si>
    <t>Pre 2016 CO's</t>
  </si>
  <si>
    <t>2020 CO's</t>
  </si>
  <si>
    <t>2020 CERTIFICATES OF OBLIGATION</t>
  </si>
  <si>
    <t>2020 Certificates of Obligation</t>
  </si>
  <si>
    <t>As of September 30, 2020</t>
  </si>
  <si>
    <t>Year-Ended September 30, 2020</t>
  </si>
  <si>
    <t>Net Increase in Fair Value of Investments</t>
  </si>
  <si>
    <t>Def Inflows</t>
  </si>
  <si>
    <t>debt related</t>
  </si>
  <si>
    <t>Adjustment</t>
  </si>
  <si>
    <t>10-01-2019</t>
  </si>
  <si>
    <t>09-30-2020</t>
  </si>
  <si>
    <t>Bexar County Tax Collections Fund</t>
  </si>
  <si>
    <t>RETIREE HEALTH CARE FUND</t>
  </si>
  <si>
    <t>Total Discretely Presented Component Units</t>
  </si>
  <si>
    <t>Total General Revenues, Special Items and Transfers</t>
  </si>
  <si>
    <t>Deferred outflows of resources related to pensions, OPEB, loss on bond refunding, and asset retirement obligations not reported in the Governmental Funds</t>
  </si>
  <si>
    <t>Deferred inflows of resources related to pensions and OPEB not reported in the Governmental Funds</t>
  </si>
  <si>
    <t>COVID-19 Response &amp; Relief Fund</t>
  </si>
  <si>
    <t>COVID-19</t>
  </si>
  <si>
    <t>Net Cash Provided By (Used for) Noncapital Financing Activities</t>
  </si>
  <si>
    <t>Land Easements and Water Rights</t>
  </si>
  <si>
    <t>Liabilities, Deferred Inflows of Resources, and Fund Balances (Deficits):</t>
  </si>
  <si>
    <t>Total Fund Balances (Deficits)</t>
  </si>
  <si>
    <t>Fund Balances (Deficits):</t>
  </si>
  <si>
    <t>Deferred inflows of resources-unavailable revenue not reported in the Statement of Net Position</t>
  </si>
  <si>
    <t>Net Position (Deficit):</t>
  </si>
  <si>
    <t>Total Net Position (Deficit)</t>
  </si>
  <si>
    <t>Restricted for Pensions</t>
  </si>
  <si>
    <t>Proprietary Funds (Continued)</t>
  </si>
  <si>
    <t>Discretely Presented Component Units (Continued)</t>
  </si>
  <si>
    <t>Nonmajor Enterprise Funds (Continued)</t>
  </si>
  <si>
    <t>Changes in Net Position (Continued)</t>
  </si>
  <si>
    <t>Net Position (Deficit) - September 30</t>
  </si>
  <si>
    <t>Related to OPEB and Pension</t>
  </si>
  <si>
    <t>Related to Loss on Bond Refunding</t>
  </si>
  <si>
    <t>Related to Gain on Bond Refunding</t>
  </si>
  <si>
    <t xml:space="preserve">Increase in Deferred Inflows of Resources </t>
  </si>
  <si>
    <t>Fund Balances (Deficits), September 30</t>
  </si>
  <si>
    <t>Fund Balances (Deficits), October 1</t>
  </si>
  <si>
    <t xml:space="preserve">Fund Balances (Deficits), October 1 </t>
  </si>
  <si>
    <t>Net Position (Deficit) - October 1</t>
  </si>
  <si>
    <t>to Net Cash Provided by (Used For) Operating Activities:</t>
  </si>
  <si>
    <t>2021 CO's</t>
  </si>
  <si>
    <t>2021</t>
  </si>
  <si>
    <t>Ready To Work</t>
  </si>
  <si>
    <t xml:space="preserve">READY TO </t>
  </si>
  <si>
    <t>WORK</t>
  </si>
  <si>
    <t>2021 Certificates of Obligation</t>
  </si>
  <si>
    <t xml:space="preserve">MUNICIPAL </t>
  </si>
  <si>
    <t>EVIDENTIARY</t>
  </si>
  <si>
    <t>COURT CASH</t>
  </si>
  <si>
    <t>STATE SALES</t>
  </si>
  <si>
    <t>UNCLAIMED</t>
  </si>
  <si>
    <t>CASH FUND</t>
  </si>
  <si>
    <t>BOND FUND</t>
  </si>
  <si>
    <t>TAX FUND</t>
  </si>
  <si>
    <t xml:space="preserve">Restricted for individuals, organizations, and  </t>
  </si>
  <si>
    <t xml:space="preserve">        other governments</t>
  </si>
  <si>
    <t>Custodial Funds</t>
  </si>
  <si>
    <t xml:space="preserve">Net Position - Beginning of Fiscal Year  </t>
  </si>
  <si>
    <t>Collections:</t>
  </si>
  <si>
    <t>Tax Collections for Other Governments</t>
  </si>
  <si>
    <t>Fee and Fine Collections for Other Governments</t>
  </si>
  <si>
    <t>Payments Collected on Behalf of Others</t>
  </si>
  <si>
    <t>Fees and Fines Disbursed to Other Governments</t>
  </si>
  <si>
    <t>Payments Disbursed on Behalf of Others</t>
  </si>
  <si>
    <t>Tax Collections Disbursed to Other Governments</t>
  </si>
  <si>
    <t>Other Disbursements</t>
  </si>
  <si>
    <t>CUSTODIAL</t>
  </si>
  <si>
    <t>CIBOLO CANYON</t>
  </si>
  <si>
    <t>JUSTICE</t>
  </si>
  <si>
    <t>CRIMINAL</t>
  </si>
  <si>
    <t>DEPOSIT</t>
  </si>
  <si>
    <t>IMPACT FEE</t>
  </si>
  <si>
    <t>STATE BIRTH</t>
  </si>
  <si>
    <t>CERTIFICATE</t>
  </si>
  <si>
    <t>PLANNING</t>
  </si>
  <si>
    <t>BEXAR COUNTY</t>
  </si>
  <si>
    <t xml:space="preserve">COLLECTIONS </t>
  </si>
  <si>
    <t>Check figure SONPCust</t>
  </si>
  <si>
    <t>Council Aides</t>
  </si>
  <si>
    <t>COUNCIL</t>
  </si>
  <si>
    <t>AIDES</t>
  </si>
  <si>
    <t>SAN ANTONIO EARLY CHILDHOOD EDUCATION</t>
  </si>
  <si>
    <t>EARLY CHILDHOOD</t>
  </si>
  <si>
    <t>2021 CERTIFICATES OF OBLIGATION</t>
  </si>
  <si>
    <t>READY TO WORK</t>
  </si>
  <si>
    <t>COUNCIL AIDES</t>
  </si>
  <si>
    <t>STATE BIRTH CERTIFICATE FUND</t>
  </si>
  <si>
    <t>CIBOLO CANYON SPECIAL IMPROVEMENT</t>
  </si>
  <si>
    <t>2020</t>
  </si>
  <si>
    <t>Increase in Claims Payable</t>
  </si>
  <si>
    <t>Net Increase (Decrease) in Cash and Cash Equivalents</t>
  </si>
  <si>
    <t>(Decrease) in Deferred Inflows of Resources</t>
  </si>
  <si>
    <t>Statement of Fiduciary Net Position</t>
  </si>
  <si>
    <t>Net Position - Beginning of Fiscal Year (restated)</t>
  </si>
  <si>
    <t>Net Change in Fund Balances (Deficits)</t>
  </si>
  <si>
    <t>(Decrease) in Pollution Remediation Liability</t>
  </si>
  <si>
    <t>Increase in Asset Retirement Obligations</t>
  </si>
  <si>
    <t>Net Cash Provided by (Used for) Investing Activities</t>
  </si>
  <si>
    <t>Provided by (Used for) Operating Activities:</t>
  </si>
  <si>
    <t>Total Collections</t>
  </si>
  <si>
    <t xml:space="preserve">RETIREE HEALTH &amp; </t>
  </si>
  <si>
    <t>WELLNESS</t>
  </si>
  <si>
    <t>PENSION (AND OTHER</t>
  </si>
  <si>
    <t xml:space="preserve"> TRUST FUNDS</t>
  </si>
  <si>
    <t>EMPLOYEE BENEFIT)</t>
  </si>
  <si>
    <t>Pension (and Other Employee Benefit) Trust Funds</t>
  </si>
  <si>
    <t>2022 CO's</t>
  </si>
  <si>
    <t>2022 Certificates of Obligation</t>
  </si>
  <si>
    <t>2022 CERTIFICATES OF OBLIGATION</t>
  </si>
  <si>
    <t>2022 GO Bonds</t>
  </si>
  <si>
    <t>2022 GENERAL OBLIGATION</t>
  </si>
  <si>
    <t>2022 General Obligation Bonds</t>
  </si>
  <si>
    <t>2022</t>
  </si>
  <si>
    <t>Pre 2017 CO's</t>
  </si>
  <si>
    <t>Pre 2017 Certificates of Obligation</t>
  </si>
  <si>
    <t>PRE-2017</t>
  </si>
  <si>
    <t>Lease Receivable</t>
  </si>
  <si>
    <t>Lease Right-to-use Asset, Net</t>
  </si>
  <si>
    <t>Right-to-use Leased Assets</t>
  </si>
  <si>
    <t>Less: Accumulated Amortization (Leased Assets)</t>
  </si>
  <si>
    <t>Right-to-use Leased Assets, Net</t>
  </si>
  <si>
    <t>Lease Liability</t>
  </si>
  <si>
    <t>Issuance of Lease Liabilities</t>
  </si>
  <si>
    <t>Issuance of Lease Liability</t>
  </si>
  <si>
    <t>Right-to-use Leased Asset</t>
  </si>
  <si>
    <t>Amortization Expense for Leased Assets</t>
  </si>
  <si>
    <t>Less: Accumulated Amortization</t>
  </si>
  <si>
    <t>Current Portion of Lease Liability</t>
  </si>
  <si>
    <t>Lease Liability (net of current portion)</t>
  </si>
  <si>
    <t>Bond, Notes and Loan and Leases Amounts Issued</t>
  </si>
  <si>
    <t>Issuance fo Lease Liabilities</t>
  </si>
  <si>
    <t>BALANCE SHEET - GOVERNMENTAL FUNDS</t>
  </si>
  <si>
    <t>Investment Earnings (Loss)</t>
  </si>
  <si>
    <t>(Increase) in Deferred Outflows of Resources</t>
  </si>
  <si>
    <t>(Decrease) in Due to Other Government Agencies</t>
  </si>
  <si>
    <t>Decrease in Deferred Outflows of Resources</t>
  </si>
  <si>
    <t>Leases:</t>
  </si>
  <si>
    <t>Net Effect of Lease Activity</t>
  </si>
  <si>
    <t>Net Effect of Lease Liability</t>
  </si>
  <si>
    <t>Financed Purchases</t>
  </si>
  <si>
    <t>Financed Purchases Liabilities</t>
  </si>
  <si>
    <t xml:space="preserve">  </t>
  </si>
  <si>
    <t>Financed Purchases (net of current portion)</t>
  </si>
  <si>
    <t>Current Portion of Financed Purchases</t>
  </si>
  <si>
    <t xml:space="preserve">Current Portion of Financed Purchases </t>
  </si>
  <si>
    <t>Financed Purchases  (net of current portion)</t>
  </si>
  <si>
    <t>GASB 87 for leases was implemented in fiscal year 2022</t>
  </si>
  <si>
    <t>Principal Payments Financed Purchases and Bonds</t>
  </si>
  <si>
    <t>Bond, Note, Loan and Financed Purchases Amounts Issued</t>
  </si>
  <si>
    <t>Principal Amounts on Financed Purchases and Notes</t>
  </si>
  <si>
    <t xml:space="preserve">COVID-19 Funds </t>
  </si>
  <si>
    <t>COVID-19 FUNDS</t>
  </si>
  <si>
    <t>COVID-19 Funds</t>
  </si>
  <si>
    <t>Lease Assets, Net</t>
  </si>
  <si>
    <t>Special Item - Adjustment for STP Pension Cost</t>
  </si>
  <si>
    <t>Lease Assets</t>
  </si>
  <si>
    <t>Less: Accumulated Amortization (Lease Assets)</t>
  </si>
  <si>
    <t xml:space="preserve">   Lease Assets</t>
  </si>
  <si>
    <t xml:space="preserve">   Lease Assets, Net</t>
  </si>
  <si>
    <t>FY 2023</t>
  </si>
  <si>
    <t>2023 CO's</t>
  </si>
  <si>
    <t>2023 Certificates of Obligation</t>
  </si>
  <si>
    <t>2023</t>
  </si>
  <si>
    <t>Pre 2018 CO's</t>
  </si>
  <si>
    <t>PRE-2018</t>
  </si>
  <si>
    <t>Pre 2018 Certificates of Obligation</t>
  </si>
  <si>
    <t>Pre 2012 GO Bonds</t>
  </si>
  <si>
    <t>Pre 2012 General Obligation Bonds</t>
  </si>
  <si>
    <t>2023 CERTIFICATES OF OBLIGATION</t>
  </si>
  <si>
    <t>ACFR</t>
  </si>
  <si>
    <t>ACFR FUND</t>
  </si>
  <si>
    <t>ACFR Cash/Investment Variances</t>
  </si>
  <si>
    <t>Agency ACFR Cash/Investment Variances</t>
  </si>
  <si>
    <t>Airport</t>
  </si>
  <si>
    <t>Develop</t>
  </si>
  <si>
    <t>ISF Alloc</t>
  </si>
  <si>
    <t>2014-2023</t>
  </si>
  <si>
    <t>Subscription Right-to-use Asset, Net</t>
  </si>
  <si>
    <t>Subscription Purchase Agreements</t>
  </si>
  <si>
    <t>Right-to-use Subscription Assets</t>
  </si>
  <si>
    <t>Less: Accumulated Amortization (Subscription Assets)</t>
  </si>
  <si>
    <t>Right-to-use Subscription Assets, Net</t>
  </si>
  <si>
    <t>Subscription:</t>
  </si>
  <si>
    <t>Issuance of Subscription Liabilities</t>
  </si>
  <si>
    <t>Net Effect of Subscription Liability</t>
  </si>
  <si>
    <t>Subscription Assets, Net</t>
  </si>
  <si>
    <t>Subscription Assets</t>
  </si>
  <si>
    <t>Net Effect of Subscription Activity</t>
  </si>
  <si>
    <t>Current Portion of Subscription Liability</t>
  </si>
  <si>
    <t>Subscription Liability (net of current portion)</t>
  </si>
  <si>
    <t>Revenues Previously Recorded as Unearned</t>
  </si>
  <si>
    <t>Subscripton Liability</t>
  </si>
  <si>
    <t>Subscription Liability</t>
  </si>
  <si>
    <t>M&amp;E</t>
  </si>
  <si>
    <t>Bldgs</t>
  </si>
  <si>
    <t>CIP</t>
  </si>
  <si>
    <t>GASB 87</t>
  </si>
  <si>
    <t>AD</t>
  </si>
  <si>
    <t>Net</t>
  </si>
  <si>
    <t>Admin</t>
  </si>
  <si>
    <t>Enterprise Funds ck figure</t>
  </si>
  <si>
    <t>Govt'l Funds ck figure</t>
  </si>
  <si>
    <t>Pre 2018 CERTIFICATES OF OBLIGATION</t>
  </si>
  <si>
    <t>2022 GENERAL</t>
  </si>
  <si>
    <t>2017</t>
  </si>
  <si>
    <t xml:space="preserve">Investment Earnings </t>
  </si>
  <si>
    <t>Net Cash Provided by (Used for) Capital and Related Financing Activities</t>
  </si>
  <si>
    <t>Investments Earnings</t>
  </si>
  <si>
    <t>(Increase) in Deposits</t>
  </si>
  <si>
    <t>Increase in Accrued Payroll</t>
  </si>
  <si>
    <t>Operating (Loss)</t>
  </si>
  <si>
    <t>Net Cash Provided by Investing Activities</t>
  </si>
  <si>
    <r>
      <t>2022</t>
    </r>
    <r>
      <rPr>
        <b/>
        <vertAlign val="superscript"/>
        <sz val="10"/>
        <rFont val="Calibri"/>
        <family val="2"/>
      </rPr>
      <t xml:space="preserve"> 1</t>
    </r>
  </si>
  <si>
    <r>
      <t>2023</t>
    </r>
    <r>
      <rPr>
        <b/>
        <vertAlign val="superscript"/>
        <sz val="10"/>
        <rFont val="Calibri"/>
        <family val="2"/>
      </rPr>
      <t xml:space="preserve"> 2</t>
    </r>
  </si>
  <si>
    <t>Total Other Financing Sources, Net</t>
  </si>
  <si>
    <t>(Increase) in Materials and Supplies</t>
  </si>
  <si>
    <t xml:space="preserve">(Decrease) in Deferred Inflows of Resources </t>
  </si>
  <si>
    <t>Excess (Deficiency) of Revenues Over (Under) Expenditures</t>
  </si>
  <si>
    <t>GASB 96 for SBITAs was implemented in fiscal year 2023</t>
  </si>
  <si>
    <t xml:space="preserve">FIRE AND </t>
  </si>
  <si>
    <t>POLICE FUND</t>
  </si>
  <si>
    <t>Gain (Loss) on Sale of Capital Assets</t>
  </si>
  <si>
    <t>Cash &amp; Investments (Unexpended Debt Proceeds)</t>
  </si>
  <si>
    <t>Capital Assets, Net</t>
  </si>
  <si>
    <t xml:space="preserve">Debt Related Deferred Outflows </t>
  </si>
  <si>
    <t>Accounts/Retainage Payable</t>
  </si>
  <si>
    <t>Fund Balances (Deficits) September 30</t>
  </si>
  <si>
    <t>Governmental funds report capital outlays as expenditures. However, in the Statement of Activities, the cost of those assets is allocated over their estimated useful lives and reported as depreciation expense. This is the amount by which capital outlay exceeds depreciation in the current year.</t>
  </si>
  <si>
    <t>Prosper West San Antonio</t>
  </si>
  <si>
    <t>PROSPER WEST</t>
  </si>
  <si>
    <t>Subscription Liabilities</t>
  </si>
  <si>
    <t>Lease Liabilities</t>
  </si>
  <si>
    <t>Issuance of Subscription Liability</t>
  </si>
  <si>
    <t xml:space="preserve">Net Position (Deficit) - October 1 </t>
  </si>
  <si>
    <t>Total Governmental Lease Assets</t>
  </si>
  <si>
    <t>Governmental Subscription Assets</t>
  </si>
  <si>
    <t>Total Governmental Subscription Assets</t>
  </si>
  <si>
    <t>to Net Cash Provided by (Used for) Operating Activities:</t>
  </si>
  <si>
    <t>Governmental Lease Assets</t>
  </si>
  <si>
    <t>Liabilities, Deferred Inflows of Resources and Fund Balances:</t>
  </si>
  <si>
    <t>Liabilities, Deferred Inflows of Resources and Fund Balances (Deficits):</t>
  </si>
  <si>
    <t>Fund Balances, September 30 (Deficits)</t>
  </si>
  <si>
    <t>PRE-2012</t>
  </si>
  <si>
    <t>Reconciliation of Operating (Loss) to Net Cash</t>
  </si>
  <si>
    <t>Adjustments to Reconcile Operating (Loss)</t>
  </si>
  <si>
    <t>Internal Service Funds (Continued)</t>
  </si>
  <si>
    <t>Adjustment for Medina Treatment Plant</t>
  </si>
  <si>
    <t>Special Item - (Loss) on Medina Treatment Plant</t>
  </si>
  <si>
    <t>2022   (Restated)</t>
  </si>
  <si>
    <t>2022     (Restated)</t>
  </si>
  <si>
    <t>Beverage Tax</t>
  </si>
  <si>
    <t>Non-Depreciable</t>
  </si>
  <si>
    <t xml:space="preserve">Acquisitions of Leased Capital Assets </t>
  </si>
  <si>
    <t xml:space="preserve">Noncash Investing, Capital and Financing Activities: </t>
  </si>
  <si>
    <t xml:space="preserve">Acquisitions of Subscription Capital Assets </t>
  </si>
  <si>
    <t xml:space="preserve">Internal Service Funds </t>
  </si>
  <si>
    <t>Change in Accounting Principle</t>
  </si>
  <si>
    <t>Change to or Within Financial Reporting Unit</t>
  </si>
  <si>
    <t>Error</t>
  </si>
  <si>
    <t>Net Position, as adjusted or restated</t>
  </si>
  <si>
    <t>Fund Balances (Deficits) October 1</t>
  </si>
  <si>
    <t>Fund Balances (Deficits) October 1 Restated</t>
  </si>
  <si>
    <t>Net Position (Deficits) October 1 Restated</t>
  </si>
  <si>
    <t>YEAR ENDED September 30, 2024</t>
  </si>
  <si>
    <t>FY 2024</t>
  </si>
  <si>
    <t>As of September 30, 2024</t>
  </si>
  <si>
    <t>Year-Ended September 30, 2024</t>
  </si>
  <si>
    <t>Net Position - End of Fiscal Year, 2024</t>
  </si>
  <si>
    <t>2024</t>
  </si>
  <si>
    <t>Pre 2019 CO's</t>
  </si>
  <si>
    <t>PRE-2019</t>
  </si>
  <si>
    <t>Pre 2019 Certificates of Obligation</t>
  </si>
  <si>
    <t>2024 Certificates of Obligation</t>
  </si>
  <si>
    <t>2024 CO's</t>
  </si>
  <si>
    <t>2024 CERTIFICATES OF OBLIGATION</t>
  </si>
  <si>
    <t>Debt Transferred to Governmental Funds</t>
  </si>
  <si>
    <t>Pre 2019 CERTIFICATES OF OBLIGATION</t>
  </si>
  <si>
    <t>Decrease in Prepaid Expenses</t>
  </si>
  <si>
    <t>Increase in Vouchers Payable</t>
  </si>
  <si>
    <t xml:space="preserve">Increase (Decrease) in Accrued Leave Payable </t>
  </si>
  <si>
    <t>(Decrease) in Net OPEB Liability and Pension Liability</t>
  </si>
  <si>
    <t>Increase (Decrease) in Deferred Inflows of Resources</t>
  </si>
  <si>
    <t>Increase (Decrease) in Unearned Revenue</t>
  </si>
  <si>
    <t>Increase in Due to Other Governmental Agencies</t>
  </si>
  <si>
    <t>Net (Decrease) in Cash and Cash Equivalents</t>
  </si>
  <si>
    <t>(Decrease) in Accounts Payable - Other</t>
  </si>
  <si>
    <t>Increase (Decrease) in Accrued Payroll</t>
  </si>
  <si>
    <t>(Decrease) in Net OPEB Obligation and Pension Liability</t>
  </si>
  <si>
    <t>Debt Transfer from Enterprise Funds</t>
  </si>
  <si>
    <t xml:space="preserve">Net Position - Beginning of Fiscal Year </t>
  </si>
  <si>
    <t>Liabilities, Deferred Inflows of Resources, and Fund Balances:</t>
  </si>
  <si>
    <t>Liabilities and Fund Balances (Deficits):</t>
  </si>
  <si>
    <t>Special Item - Indebtedness Assumed by Governmental Activities</t>
  </si>
  <si>
    <t>Indebtedness Assumed by Governmental Activities</t>
  </si>
  <si>
    <t>Total Liabilities, Deferred Inflows of Resources and Fund Balances (Deficits)</t>
  </si>
  <si>
    <t>Depreciable and Non-Depreciable:</t>
  </si>
  <si>
    <t>Depreciable and Non-Depreciable, Net</t>
  </si>
  <si>
    <t>Depreciable and Non-Depreciable</t>
  </si>
  <si>
    <t>Depreciable and Non-Depreciable Assets</t>
  </si>
  <si>
    <t>Total Depreciable and Non-Depreciable Assets</t>
  </si>
  <si>
    <t>Excess of Revenue Over Expenditures</t>
  </si>
  <si>
    <t xml:space="preserve">Change in Net Position Before Capital Contributions, </t>
  </si>
  <si>
    <t>Transfers, and Special Items</t>
  </si>
  <si>
    <t>Special Items:</t>
  </si>
  <si>
    <t>Asset Liability</t>
  </si>
  <si>
    <t>Liabilities, Deferred Inflow of Resources and Fund Balances (Deficits):</t>
  </si>
  <si>
    <t>Increase (Decrease) in Net OPEB Obligation and Pension Liability</t>
  </si>
  <si>
    <t>(Increase) Decrease in Due from Other Governmental Agencies</t>
  </si>
  <si>
    <t>Increase in Accrued Leave Payable</t>
  </si>
  <si>
    <t xml:space="preserve">Fund Balances, October 1 </t>
  </si>
  <si>
    <t>Fund Balances September 30</t>
  </si>
  <si>
    <t>Fund Balances October 1 Restated</t>
  </si>
  <si>
    <t>Fund Balances October 1</t>
  </si>
  <si>
    <t>Total Liabilities and Fund Balances (Deficits)</t>
  </si>
  <si>
    <t>Lease Receivables</t>
  </si>
  <si>
    <t>Reconciliation of the Balance Sheet of Governmental Funds to the Statement of Net Position</t>
  </si>
  <si>
    <t>Statement of Revenues, Expenses, and Changes in Fund Net Position</t>
  </si>
  <si>
    <t>Decrease in Lease Receivables</t>
  </si>
  <si>
    <t>Combining Statement of Revenues, Expenses, and Changes in Fund Net Position</t>
  </si>
  <si>
    <t>Net Cash  (Used for) Operating Activities</t>
  </si>
  <si>
    <t>(Used for) Operating Activities</t>
  </si>
  <si>
    <t>to Net Cash  (Used for) Operating Activities:</t>
  </si>
  <si>
    <t>Increase in Deferred Outflows of Resources</t>
  </si>
  <si>
    <t>Net Cash (Used for) Operating Activities</t>
  </si>
  <si>
    <t xml:space="preserve">Net Investment Earnings </t>
  </si>
  <si>
    <t>Net Position (Deficit) October 1 Restated</t>
  </si>
  <si>
    <t>Net Position (Deficit) - End of Fiscal Year</t>
  </si>
  <si>
    <t>The City reduced the property tax rate in 2016 because of growth in property tax values (see Assessed Value and Actual Value of Taxable Property). Due to the City reaching the maximum state capacity limit, the property tax rate was reduced in 2023.</t>
  </si>
  <si>
    <t>Other Nonoperating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</si>
</sst>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409]mmmm\ d\,\ yyyy;@"/>
    <numFmt numFmtId="167" formatCode="_(* #,##0_);_(* \(#,##0\);_(* &quot;&quot;_);_(@_)"/>
    <numFmt numFmtId="168" formatCode="_(* #,##0.000_);_(* \(#,##0.000\);_(* &quot;-&quot;???_);_(@_)"/>
    <numFmt numFmtId="169" formatCode="_(* #,##0_);_(* \(#,##0\);_(* &quot;0&quot;_);_(@_)"/>
    <numFmt numFmtId="170" formatCode="_(* #,##0_);_(* \(#,##0\);_(* &quot;-&quot;??_);_(@_)"/>
    <numFmt numFmtId="171" formatCode="0.0%"/>
    <numFmt numFmtId="172" formatCode="_(&quot;$&quot;* #,##0_);_(&quot;$&quot;* \(#,##0\);_(&quot;$&quot;* &quot;-&quot;??_);_(@_)"/>
    <numFmt numFmtId="173" formatCode="mmmm\ d\,\ yyyy"/>
    <numFmt numFmtId="174" formatCode="[$$-409]#,##0_);\([$$-409]#,##0\)"/>
    <numFmt numFmtId="175" formatCode="0.0000%"/>
    <numFmt numFmtId="176" formatCode="#,##0;[Red]#,##0"/>
    <numFmt numFmtId="177" formatCode="_(* #,##0.0000_);_(* \(#,##0.0000\);_(* &quot;-&quot;??_);_(@_)"/>
    <numFmt numFmtId="178" formatCode="_(* #,##0.000000_);_(* \(#,##0.000000\);_(* &quot;-&quot;??_);_(@_)"/>
    <numFmt numFmtId="179" formatCode="&quot; &quot;* #,##0&quot; &quot;;&quot; &quot;* &quot;(&quot;#,##0&quot;)&quot;;&quot; &quot;* &quot;-&quot;#&quot; &quot;;&quot; &quot;@&quot; &quot;"/>
    <numFmt numFmtId="180" formatCode="0.0%;\(0.0%\)"/>
  </numFmts>
  <fonts count="1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Trebuchet MS"/>
      <family val="2"/>
    </font>
    <font>
      <b/>
      <sz val="10"/>
      <name val="Trebuchet MS"/>
      <family val="2"/>
    </font>
    <font>
      <b/>
      <sz val="10"/>
      <color indexed="12"/>
      <name val="Trebuchet MS"/>
      <family val="2"/>
    </font>
    <font>
      <sz val="8"/>
      <name val="Times New Roman"/>
      <family val="1"/>
    </font>
    <font>
      <b/>
      <sz val="14"/>
      <name val="Trebuchet MS"/>
      <family val="2"/>
    </font>
    <font>
      <b/>
      <u/>
      <sz val="8"/>
      <name val="Times New Roman"/>
      <family val="1"/>
    </font>
    <font>
      <b/>
      <sz val="12"/>
      <name val="Trebuchet MS"/>
      <family val="2"/>
    </font>
    <font>
      <sz val="8"/>
      <name val="Trebuchet MS"/>
      <family val="2"/>
    </font>
    <font>
      <sz val="9"/>
      <name val="Trebuchet MS"/>
      <family val="2"/>
    </font>
    <font>
      <b/>
      <sz val="9"/>
      <name val="Trebuchet MS"/>
      <family val="2"/>
    </font>
    <font>
      <b/>
      <sz val="9"/>
      <name val="Times New Roman"/>
      <family val="1"/>
    </font>
    <font>
      <b/>
      <sz val="8"/>
      <name val="Trebuchet MS"/>
      <family val="2"/>
    </font>
    <font>
      <u/>
      <sz val="8"/>
      <name val="Trebuchet MS"/>
      <family val="2"/>
    </font>
    <font>
      <b/>
      <sz val="8"/>
      <color indexed="12"/>
      <name val="Trebuchet MS"/>
      <family val="2"/>
    </font>
    <font>
      <b/>
      <sz val="9"/>
      <color indexed="12"/>
      <name val="Trebuchet MS"/>
      <family val="2"/>
    </font>
    <font>
      <b/>
      <u/>
      <sz val="10"/>
      <name val="Trebuchet MS"/>
      <family val="2"/>
    </font>
    <font>
      <b/>
      <sz val="25"/>
      <name val="Trebuchet MS"/>
      <family val="2"/>
    </font>
    <font>
      <b/>
      <sz val="21.45"/>
      <name val="Trebuchet MS"/>
      <family val="2"/>
    </font>
    <font>
      <b/>
      <sz val="17.8"/>
      <name val="Trebuchet MS"/>
      <family val="2"/>
    </font>
    <font>
      <b/>
      <sz val="21.5"/>
      <name val="Trebuchet MS"/>
      <family val="2"/>
    </font>
    <font>
      <b/>
      <sz val="23.75"/>
      <name val="Trebuchet MS"/>
      <family val="2"/>
    </font>
    <font>
      <b/>
      <sz val="20.350000000000001"/>
      <name val="Trebuchet MS"/>
      <family val="2"/>
    </font>
    <font>
      <b/>
      <sz val="16.95"/>
      <name val="Trebuchet MS"/>
      <family val="2"/>
    </font>
    <font>
      <b/>
      <sz val="11"/>
      <name val="Calibri"/>
      <family val="2"/>
    </font>
    <font>
      <sz val="11"/>
      <name val="Calibri"/>
      <family val="2"/>
    </font>
    <font>
      <b/>
      <sz val="11"/>
      <color indexed="10"/>
      <name val="Calibri"/>
      <family val="2"/>
    </font>
    <font>
      <b/>
      <u/>
      <sz val="11"/>
      <name val="Calibri"/>
      <family val="2"/>
    </font>
    <font>
      <sz val="11"/>
      <color indexed="10"/>
      <name val="Calibri"/>
      <family val="2"/>
    </font>
    <font>
      <b/>
      <sz val="11"/>
      <color indexed="8"/>
      <name val="Calibri"/>
      <family val="2"/>
    </font>
    <font>
      <b/>
      <sz val="18"/>
      <name val="Calibri"/>
      <family val="2"/>
    </font>
    <font>
      <b/>
      <sz val="10"/>
      <name val="Calibri"/>
      <family val="2"/>
    </font>
    <font>
      <sz val="10"/>
      <name val="Calibri"/>
      <family val="2"/>
    </font>
    <font>
      <b/>
      <sz val="10"/>
      <color indexed="12"/>
      <name val="Calibri"/>
      <family val="2"/>
    </font>
    <font>
      <b/>
      <sz val="10"/>
      <color indexed="10"/>
      <name val="Calibri"/>
      <family val="2"/>
    </font>
    <font>
      <b/>
      <u/>
      <sz val="8"/>
      <name val="Calibri"/>
      <family val="2"/>
    </font>
    <font>
      <sz val="8"/>
      <name val="Calibri"/>
      <family val="2"/>
    </font>
    <font>
      <sz val="8"/>
      <color indexed="62"/>
      <name val="Calibri"/>
      <family val="2"/>
    </font>
    <font>
      <b/>
      <sz val="12"/>
      <name val="Calibri"/>
      <family val="2"/>
    </font>
    <font>
      <b/>
      <u/>
      <sz val="12"/>
      <name val="Calibri"/>
      <family val="2"/>
    </font>
    <font>
      <sz val="12"/>
      <name val="Calibri"/>
      <family val="2"/>
    </font>
    <font>
      <sz val="12"/>
      <color indexed="62"/>
      <name val="Calibri"/>
      <family val="2"/>
    </font>
    <font>
      <b/>
      <sz val="10.199999999999999"/>
      <name val="Calibri"/>
      <family val="2"/>
    </font>
    <font>
      <b/>
      <u/>
      <sz val="10.199999999999999"/>
      <name val="Calibri"/>
      <family val="2"/>
    </font>
    <font>
      <sz val="10.199999999999999"/>
      <name val="Calibri"/>
      <family val="2"/>
    </font>
    <font>
      <sz val="10.199999999999999"/>
      <color indexed="62"/>
      <name val="Calibri"/>
      <family val="2"/>
    </font>
    <font>
      <sz val="8.15"/>
      <name val="Calibri"/>
      <family val="2"/>
    </font>
    <font>
      <b/>
      <u/>
      <sz val="8.15"/>
      <name val="Calibri"/>
      <family val="2"/>
    </font>
    <font>
      <sz val="8.15"/>
      <color indexed="62"/>
      <name val="Calibri"/>
      <family val="2"/>
    </font>
    <font>
      <sz val="9"/>
      <name val="Calibri"/>
      <family val="2"/>
    </font>
    <font>
      <b/>
      <sz val="9"/>
      <name val="Calibri"/>
      <family val="2"/>
    </font>
    <font>
      <b/>
      <u/>
      <sz val="9"/>
      <name val="Calibri"/>
      <family val="2"/>
    </font>
    <font>
      <b/>
      <sz val="9"/>
      <color indexed="12"/>
      <name val="Calibri"/>
      <family val="2"/>
    </font>
    <font>
      <b/>
      <sz val="8"/>
      <name val="Calibri"/>
      <family val="2"/>
    </font>
    <font>
      <sz val="9"/>
      <color indexed="62"/>
      <name val="Calibri"/>
      <family val="2"/>
    </font>
    <font>
      <b/>
      <sz val="8"/>
      <color indexed="12"/>
      <name val="Calibri"/>
      <family val="2"/>
    </font>
    <font>
      <b/>
      <sz val="8"/>
      <color indexed="62"/>
      <name val="Calibri"/>
      <family val="2"/>
    </font>
    <font>
      <u/>
      <sz val="8"/>
      <name val="Calibri"/>
      <family val="2"/>
    </font>
    <font>
      <b/>
      <sz val="8"/>
      <color indexed="10"/>
      <name val="Calibri"/>
      <family val="2"/>
    </font>
    <font>
      <b/>
      <sz val="15"/>
      <name val="Calibri"/>
      <family val="2"/>
    </font>
    <font>
      <b/>
      <sz val="12.75"/>
      <name val="Calibri"/>
      <family val="2"/>
    </font>
    <font>
      <b/>
      <u/>
      <sz val="12.75"/>
      <name val="Calibri"/>
      <family val="2"/>
    </font>
    <font>
      <sz val="12.75"/>
      <name val="Calibri"/>
      <family val="2"/>
    </font>
    <font>
      <b/>
      <sz val="10.6"/>
      <name val="Calibri"/>
      <family val="2"/>
    </font>
    <font>
      <b/>
      <u/>
      <sz val="10.6"/>
      <name val="Calibri"/>
      <family val="2"/>
    </font>
    <font>
      <sz val="10.6"/>
      <name val="Calibri"/>
      <family val="2"/>
    </font>
    <font>
      <sz val="8.5"/>
      <name val="Calibri"/>
      <family val="2"/>
    </font>
    <font>
      <b/>
      <sz val="8.5"/>
      <name val="Calibri"/>
      <family val="2"/>
    </font>
    <font>
      <b/>
      <sz val="14"/>
      <name val="Calibri"/>
      <family val="2"/>
    </font>
    <font>
      <b/>
      <sz val="9"/>
      <color indexed="10"/>
      <name val="Calibri"/>
      <family val="2"/>
    </font>
    <font>
      <u/>
      <sz val="9"/>
      <name val="Calibri"/>
      <family val="2"/>
    </font>
    <font>
      <sz val="9"/>
      <color indexed="10"/>
      <name val="Calibri"/>
      <family val="2"/>
    </font>
    <font>
      <sz val="14.4"/>
      <name val="Calibri"/>
      <family val="2"/>
    </font>
    <font>
      <b/>
      <sz val="12.4"/>
      <name val="Calibri"/>
      <family val="2"/>
    </font>
    <font>
      <b/>
      <u/>
      <sz val="12.4"/>
      <name val="Calibri"/>
      <family val="2"/>
    </font>
    <font>
      <sz val="12.4"/>
      <name val="Calibri"/>
      <family val="2"/>
    </font>
    <font>
      <b/>
      <u/>
      <sz val="10.3"/>
      <name val="Calibri"/>
      <family val="2"/>
    </font>
    <font>
      <sz val="10.3"/>
      <name val="Calibri"/>
      <family val="2"/>
    </font>
    <font>
      <sz val="8.1999999999999993"/>
      <name val="Calibri"/>
      <family val="2"/>
    </font>
    <font>
      <b/>
      <sz val="8.1999999999999993"/>
      <name val="Calibri"/>
      <family val="2"/>
    </font>
    <font>
      <b/>
      <u/>
      <sz val="8.1999999999999993"/>
      <name val="Calibri"/>
      <family val="2"/>
    </font>
    <font>
      <sz val="14"/>
      <name val="Calibri"/>
      <family val="2"/>
    </font>
    <font>
      <sz val="20"/>
      <name val="Calibri"/>
      <family val="2"/>
    </font>
    <font>
      <b/>
      <u/>
      <sz val="10"/>
      <name val="Calibri"/>
      <family val="2"/>
    </font>
    <font>
      <sz val="15"/>
      <name val="Calibri"/>
      <family val="2"/>
    </font>
    <font>
      <b/>
      <u/>
      <sz val="10"/>
      <color indexed="10"/>
      <name val="Calibri"/>
      <family val="2"/>
    </font>
    <font>
      <b/>
      <sz val="8"/>
      <color indexed="8"/>
      <name val="Calibri"/>
      <family val="2"/>
    </font>
    <font>
      <b/>
      <sz val="9"/>
      <color indexed="8"/>
      <name val="Calibri"/>
      <family val="2"/>
    </font>
    <font>
      <sz val="18"/>
      <name val="Calibri"/>
      <family val="2"/>
    </font>
    <font>
      <b/>
      <sz val="13"/>
      <name val="Calibri"/>
      <family val="2"/>
    </font>
    <font>
      <sz val="13"/>
      <name val="Calibri"/>
      <family val="2"/>
    </font>
    <font>
      <sz val="19.7"/>
      <name val="Calibri"/>
      <family val="2"/>
    </font>
    <font>
      <sz val="17.5"/>
      <name val="Calibri"/>
      <family val="2"/>
    </font>
    <font>
      <i/>
      <sz val="10"/>
      <name val="Calibri"/>
      <family val="2"/>
    </font>
    <font>
      <sz val="8"/>
      <color indexed="12"/>
      <name val="Calibri"/>
      <family val="2"/>
    </font>
    <font>
      <sz val="9"/>
      <color indexed="12"/>
      <name val="Calibri"/>
      <family val="2"/>
    </font>
    <font>
      <i/>
      <sz val="8"/>
      <name val="Calibri"/>
      <family val="2"/>
    </font>
    <font>
      <i/>
      <sz val="8.5"/>
      <name val="Calibri"/>
      <family val="2"/>
    </font>
    <font>
      <b/>
      <sz val="14.6"/>
      <name val="Calibri"/>
      <family val="2"/>
    </font>
    <font>
      <sz val="14.6"/>
      <name val="Calibri"/>
      <family val="2"/>
    </font>
    <font>
      <b/>
      <sz val="12.5"/>
      <name val="Calibri"/>
      <family val="2"/>
    </font>
    <font>
      <sz val="12.5"/>
      <name val="Calibri"/>
      <family val="2"/>
    </font>
    <font>
      <b/>
      <sz val="10.4"/>
      <name val="Calibri"/>
      <family val="2"/>
    </font>
    <font>
      <sz val="10.4"/>
      <name val="Calibri"/>
      <family val="2"/>
    </font>
    <font>
      <i/>
      <sz val="8.3000000000000007"/>
      <name val="Calibri"/>
      <family val="2"/>
    </font>
    <font>
      <b/>
      <sz val="8.3000000000000007"/>
      <name val="Calibri"/>
      <family val="2"/>
    </font>
    <font>
      <sz val="8.3000000000000007"/>
      <name val="Calibri"/>
      <family val="2"/>
    </font>
    <font>
      <sz val="10"/>
      <color indexed="12"/>
      <name val="Calibri"/>
      <family val="2"/>
    </font>
    <font>
      <vertAlign val="superscript"/>
      <sz val="9"/>
      <name val="Calibri"/>
      <family val="2"/>
    </font>
    <font>
      <i/>
      <sz val="9"/>
      <name val="Calibri"/>
      <family val="2"/>
    </font>
    <font>
      <b/>
      <sz val="14.4"/>
      <color indexed="12"/>
      <name val="Calibri"/>
      <family val="2"/>
    </font>
    <font>
      <b/>
      <sz val="12.4"/>
      <color indexed="12"/>
      <name val="Calibri"/>
      <family val="2"/>
    </font>
    <font>
      <b/>
      <sz val="10.3"/>
      <color indexed="12"/>
      <name val="Calibri"/>
      <family val="2"/>
    </font>
    <font>
      <b/>
      <sz val="8.1999999999999993"/>
      <color indexed="12"/>
      <name val="Calibri"/>
      <family val="2"/>
    </font>
    <font>
      <b/>
      <u/>
      <sz val="13"/>
      <name val="Calibri"/>
      <family val="2"/>
    </font>
    <font>
      <b/>
      <u/>
      <sz val="13"/>
      <color indexed="10"/>
      <name val="Calibri"/>
      <family val="2"/>
    </font>
    <font>
      <b/>
      <sz val="13"/>
      <color indexed="10"/>
      <name val="Calibri"/>
      <family val="2"/>
    </font>
    <font>
      <b/>
      <u/>
      <sz val="15"/>
      <name val="Calibri"/>
      <family val="2"/>
    </font>
    <font>
      <sz val="15"/>
      <color indexed="12"/>
      <name val="Calibri"/>
      <family val="2"/>
    </font>
    <font>
      <sz val="13"/>
      <color indexed="12"/>
      <name val="Calibri"/>
      <family val="2"/>
    </font>
    <font>
      <sz val="11"/>
      <color indexed="12"/>
      <name val="Calibri"/>
      <family val="2"/>
    </font>
    <font>
      <b/>
      <vertAlign val="superscript"/>
      <sz val="10"/>
      <name val="Calibri"/>
      <family val="2"/>
    </font>
    <font>
      <vertAlign val="superscript"/>
      <sz val="9"/>
      <color indexed="9"/>
      <name val="Calibri"/>
      <family val="2"/>
    </font>
    <font>
      <sz val="9"/>
      <color indexed="8"/>
      <name val="Calibri"/>
      <family val="2"/>
    </font>
    <font>
      <b/>
      <u/>
      <sz val="9"/>
      <color indexed="12"/>
      <name val="Calibri"/>
      <family val="2"/>
    </font>
    <font>
      <b/>
      <u val="singleAccounting"/>
      <sz val="10"/>
      <color indexed="12"/>
      <name val="Calibri"/>
      <family val="2"/>
    </font>
    <font>
      <b/>
      <sz val="11"/>
      <color indexed="12"/>
      <name val="Calibri"/>
      <family val="2"/>
    </font>
    <font>
      <b/>
      <sz val="10"/>
      <color indexed="8"/>
      <name val="Calibri"/>
      <family val="2"/>
    </font>
    <font>
      <sz val="10"/>
      <color indexed="8"/>
      <name val="Calibri"/>
      <family val="2"/>
    </font>
    <font>
      <b/>
      <sz val="10"/>
      <color rgb="FF0218BE"/>
      <name val="Calibri"/>
      <family val="2"/>
    </font>
    <font>
      <b/>
      <sz val="11"/>
      <color theme="1"/>
      <name val="Calibri"/>
      <family val="2"/>
    </font>
    <font>
      <b/>
      <i/>
      <sz val="10"/>
      <name val="Calibri"/>
      <family val="2"/>
    </font>
    <font>
      <sz val="10"/>
      <color indexed="62"/>
      <name val="Calibri"/>
      <family val="2"/>
    </font>
    <font>
      <b/>
      <sz val="15"/>
      <color indexed="12"/>
      <name val="Calibri"/>
      <family val="2"/>
    </font>
    <font>
      <b/>
      <sz val="15"/>
      <color indexed="8"/>
      <name val="Calibri"/>
      <family val="2"/>
    </font>
    <font>
      <b/>
      <sz val="11"/>
      <color rgb="FFFF0000"/>
      <name val="Calibri"/>
      <family val="2"/>
    </font>
    <font>
      <sz val="10"/>
      <name val="Calibri"/>
      <family val="2"/>
      <scheme val="minor"/>
    </font>
    <font>
      <sz val="10"/>
      <color theme="1"/>
      <name val="Calibri"/>
      <family val="2"/>
    </font>
    <font>
      <b/>
      <sz val="11"/>
      <name val="Calibri"/>
      <family val="2"/>
      <scheme val="minor"/>
    </font>
    <font>
      <sz val="11"/>
      <name val="Calibri"/>
      <family val="2"/>
      <scheme val="minor"/>
    </font>
    <font>
      <b/>
      <sz val="9.5"/>
      <name val="Calibri"/>
      <family val="2"/>
    </font>
    <font>
      <b/>
      <sz val="9"/>
      <color rgb="FF0000FF"/>
      <name val="Calibri"/>
      <family val="2"/>
    </font>
    <font>
      <b/>
      <sz val="12"/>
      <color indexed="8"/>
      <name val="Calibri"/>
      <family val="2"/>
    </font>
    <font>
      <sz val="11"/>
      <color indexed="8"/>
      <name val="Calibri"/>
      <family val="2"/>
    </font>
    <font>
      <b/>
      <sz val="10"/>
      <color theme="1"/>
      <name val="Calibri"/>
      <family val="2"/>
    </font>
    <font>
      <sz val="10"/>
      <name val="Times New Roman"/>
      <family val="1"/>
    </font>
    <font>
      <sz val="11"/>
      <color rgb="FF000000"/>
      <name val="Calibri"/>
      <family val="2"/>
    </font>
    <font>
      <sz val="9"/>
      <color theme="1"/>
      <name val="Calibri"/>
      <family val="2"/>
    </font>
    <font>
      <sz val="9"/>
      <name val="Calibri"/>
      <family val="2"/>
      <scheme val="minor"/>
    </font>
    <font>
      <b/>
      <sz val="9"/>
      <color rgb="FFFF0000"/>
      <name val="Calibri"/>
      <family val="2"/>
    </font>
    <font>
      <b/>
      <sz val="10"/>
      <color theme="1"/>
      <name val="Calibri"/>
      <family val="2"/>
      <scheme val="minor"/>
    </font>
    <font>
      <b/>
      <sz val="10"/>
      <name val="Calibri"/>
      <family val="2"/>
      <scheme val="minor"/>
    </font>
    <font>
      <sz val="9"/>
      <color rgb="FFFF0000"/>
      <name val="Calibri"/>
      <family val="2"/>
    </font>
    <font>
      <sz val="9"/>
      <name val="Times New Roman"/>
      <family val="1"/>
    </font>
    <font>
      <sz val="8"/>
      <name val="Arial"/>
      <family val="2"/>
    </font>
    <font>
      <sz val="10"/>
      <color rgb="FF000000"/>
      <name val="Calibri"/>
      <family val="2"/>
    </font>
    <font>
      <sz val="8"/>
      <color rgb="FF000000"/>
      <name val="Calibri"/>
      <family val="2"/>
    </font>
    <font>
      <b/>
      <sz val="10"/>
      <color rgb="FF000000"/>
      <name val="Calibri"/>
      <family val="2"/>
    </font>
    <font>
      <sz val="10"/>
      <color theme="1"/>
      <name val="Calibri"/>
      <family val="2"/>
      <scheme val="minor"/>
    </font>
    <font>
      <b/>
      <sz val="11"/>
      <color rgb="FF0000FF"/>
      <name val="Calibri"/>
      <family val="2"/>
    </font>
    <font>
      <sz val="11"/>
      <color rgb="FF0000FF"/>
      <name val="Calibri"/>
      <family val="2"/>
    </font>
  </fonts>
  <fills count="28">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10"/>
        <bgColor indexed="64"/>
      </patternFill>
    </fill>
    <fill>
      <patternFill patternType="solid">
        <fgColor indexed="41"/>
        <bgColor indexed="64"/>
      </patternFill>
    </fill>
    <fill>
      <patternFill patternType="solid">
        <fgColor indexed="52"/>
        <bgColor indexed="64"/>
      </patternFill>
    </fill>
    <fill>
      <patternFill patternType="solid">
        <fgColor indexed="9"/>
        <bgColor indexed="64"/>
      </patternFill>
    </fill>
    <fill>
      <patternFill patternType="solid">
        <fgColor indexed="51"/>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7030A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99CCFF"/>
        <bgColor rgb="FF99CCFF"/>
      </patternFill>
    </fill>
    <fill>
      <patternFill patternType="solid">
        <fgColor rgb="FFCCFFCC"/>
        <bgColor rgb="FFCCFFCC"/>
      </patternFill>
    </fill>
    <fill>
      <patternFill patternType="solid">
        <fgColor rgb="FFFFFF99"/>
        <bgColor rgb="FFFFFF99"/>
      </patternFill>
    </fill>
    <fill>
      <patternFill patternType="solid">
        <fgColor theme="0" tint="-4.9989318521683403E-2"/>
        <bgColor indexed="64"/>
      </patternFill>
    </fill>
  </fills>
  <borders count="29">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double">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style="thin">
        <color indexed="64"/>
      </bottom>
      <diagonal/>
    </border>
    <border>
      <left/>
      <right/>
      <top style="thin">
        <color indexed="64"/>
      </top>
      <bottom style="thin">
        <color rgb="FF000000"/>
      </bottom>
      <diagonal/>
    </border>
  </borders>
  <cellStyleXfs count="47">
    <xf numFmtId="0" fontId="0"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43" fontId="34" fillId="0" borderId="0" applyFont="0" applyFill="0" applyBorder="0" applyAlignment="0" applyProtection="0"/>
    <xf numFmtId="0" fontId="34"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38" fontId="162"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635">
    <xf numFmtId="0" fontId="0" fillId="0" borderId="0" xfId="0"/>
    <xf numFmtId="0" fontId="10" fillId="0" borderId="0" xfId="0" applyFont="1"/>
    <xf numFmtId="6" fontId="12" fillId="0" borderId="0" xfId="0" applyNumberFormat="1" applyFont="1"/>
    <xf numFmtId="0" fontId="13" fillId="0" borderId="0" xfId="3" applyFont="1"/>
    <xf numFmtId="0" fontId="19" fillId="0" borderId="0" xfId="3" applyFont="1" applyAlignment="1">
      <alignment horizontal="center" vertical="center"/>
    </xf>
    <xf numFmtId="0" fontId="17" fillId="0" borderId="0" xfId="3" applyFont="1" applyAlignment="1">
      <alignment vertical="center"/>
    </xf>
    <xf numFmtId="41" fontId="17" fillId="0" borderId="0" xfId="3" applyNumberFormat="1" applyFont="1" applyAlignment="1">
      <alignment vertical="center"/>
    </xf>
    <xf numFmtId="167" fontId="17" fillId="0" borderId="0" xfId="3" applyNumberFormat="1" applyFont="1" applyAlignment="1">
      <alignment vertical="center"/>
    </xf>
    <xf numFmtId="167" fontId="17" fillId="0" borderId="1" xfId="3" applyNumberFormat="1" applyFont="1" applyBorder="1" applyAlignment="1">
      <alignment vertical="center"/>
    </xf>
    <xf numFmtId="0" fontId="21" fillId="0" borderId="0" xfId="3" applyFont="1" applyAlignment="1">
      <alignment horizontal="left" vertical="center"/>
    </xf>
    <xf numFmtId="0" fontId="13" fillId="0" borderId="0" xfId="3" applyFont="1" applyAlignment="1">
      <alignment vertical="center"/>
    </xf>
    <xf numFmtId="0" fontId="19" fillId="0" borderId="0" xfId="3" applyFont="1" applyAlignment="1">
      <alignment vertical="center"/>
    </xf>
    <xf numFmtId="0" fontId="17" fillId="0" borderId="0" xfId="3" applyFont="1" applyAlignment="1">
      <alignment horizontal="left" vertical="center"/>
    </xf>
    <xf numFmtId="41" fontId="17" fillId="0" borderId="1" xfId="3" applyNumberFormat="1" applyFont="1" applyBorder="1" applyAlignment="1">
      <alignment vertical="center"/>
    </xf>
    <xf numFmtId="0" fontId="15" fillId="0" borderId="0" xfId="3" applyFont="1"/>
    <xf numFmtId="0" fontId="20" fillId="0" borderId="0" xfId="3" applyFont="1"/>
    <xf numFmtId="0" fontId="19" fillId="0" borderId="0" xfId="3" applyFont="1" applyAlignment="1">
      <alignment horizontal="centerContinuous" vertical="center"/>
    </xf>
    <xf numFmtId="41" fontId="17" fillId="0" borderId="2" xfId="3" applyNumberFormat="1" applyFont="1" applyBorder="1" applyAlignment="1">
      <alignment vertical="center"/>
    </xf>
    <xf numFmtId="167" fontId="17" fillId="0" borderId="2" xfId="3" applyNumberFormat="1" applyFont="1" applyBorder="1" applyAlignment="1">
      <alignment vertical="center"/>
    </xf>
    <xf numFmtId="0" fontId="22" fillId="0" borderId="0" xfId="3" applyFont="1" applyAlignment="1">
      <alignment horizontal="center" vertical="center"/>
    </xf>
    <xf numFmtId="42" fontId="17" fillId="0" borderId="0" xfId="3" applyNumberFormat="1" applyFont="1" applyAlignment="1">
      <alignment vertical="center"/>
    </xf>
    <xf numFmtId="0" fontId="23" fillId="0" borderId="0" xfId="3" applyFont="1" applyAlignment="1">
      <alignment horizontal="right" vertical="center"/>
    </xf>
    <xf numFmtId="0" fontId="21" fillId="0" borderId="0" xfId="3" applyFont="1" applyAlignment="1">
      <alignment vertical="center"/>
    </xf>
    <xf numFmtId="5" fontId="23" fillId="0" borderId="0" xfId="3" applyNumberFormat="1" applyFont="1" applyAlignment="1">
      <alignment vertical="center"/>
    </xf>
    <xf numFmtId="0" fontId="21" fillId="0" borderId="0" xfId="3" applyFont="1" applyAlignment="1">
      <alignment vertical="top"/>
    </xf>
    <xf numFmtId="0" fontId="13" fillId="0" borderId="0" xfId="3" applyFont="1" applyProtection="1">
      <protection locked="0"/>
    </xf>
    <xf numFmtId="0" fontId="17" fillId="0" borderId="0" xfId="3" applyFont="1" applyAlignment="1" applyProtection="1">
      <alignment vertical="center"/>
      <protection locked="0"/>
    </xf>
    <xf numFmtId="0" fontId="13" fillId="0" borderId="0" xfId="3" applyFont="1" applyAlignment="1" applyProtection="1">
      <alignment vertical="center"/>
      <protection locked="0"/>
    </xf>
    <xf numFmtId="0" fontId="20" fillId="0" borderId="0" xfId="3" applyFont="1" applyProtection="1">
      <protection locked="0"/>
    </xf>
    <xf numFmtId="0" fontId="19" fillId="0" borderId="0" xfId="3" applyFont="1" applyAlignment="1" applyProtection="1">
      <alignment vertical="center"/>
      <protection locked="0"/>
    </xf>
    <xf numFmtId="0" fontId="17" fillId="0" borderId="0" xfId="3" applyFont="1" applyAlignment="1" applyProtection="1">
      <alignment horizontal="left" vertical="center"/>
      <protection locked="0"/>
    </xf>
    <xf numFmtId="41" fontId="17" fillId="0" borderId="0" xfId="3" applyNumberFormat="1" applyFont="1" applyAlignment="1" applyProtection="1">
      <alignment vertical="center"/>
      <protection locked="0"/>
    </xf>
    <xf numFmtId="167" fontId="17" fillId="0" borderId="0" xfId="3" applyNumberFormat="1" applyFont="1" applyAlignment="1" applyProtection="1">
      <alignment vertical="center"/>
      <protection locked="0"/>
    </xf>
    <xf numFmtId="167" fontId="17" fillId="0" borderId="1" xfId="3" applyNumberFormat="1" applyFont="1" applyBorder="1" applyAlignment="1" applyProtection="1">
      <alignment vertical="center"/>
      <protection locked="0"/>
    </xf>
    <xf numFmtId="6" fontId="23" fillId="0" borderId="0" xfId="3" applyNumberFormat="1" applyFont="1" applyAlignment="1" applyProtection="1">
      <alignment vertical="center"/>
      <protection locked="0"/>
    </xf>
    <xf numFmtId="0" fontId="17" fillId="0" borderId="0" xfId="3" applyFont="1" applyAlignment="1">
      <alignment horizontal="centerContinuous" vertical="center"/>
    </xf>
    <xf numFmtId="0" fontId="13" fillId="0" borderId="0" xfId="0" applyFont="1" applyProtection="1">
      <protection locked="0"/>
    </xf>
    <xf numFmtId="0" fontId="22" fillId="0" borderId="0" xfId="3" applyFont="1" applyAlignment="1">
      <alignment horizontal="left" vertical="center"/>
    </xf>
    <xf numFmtId="41" fontId="10" fillId="0" borderId="0" xfId="0" applyNumberFormat="1" applyFont="1"/>
    <xf numFmtId="6" fontId="23" fillId="0" borderId="0" xfId="3" applyNumberFormat="1" applyFont="1" applyAlignment="1">
      <alignment horizontal="right" vertical="center"/>
    </xf>
    <xf numFmtId="6" fontId="23" fillId="0" borderId="0" xfId="3" applyNumberFormat="1" applyFont="1" applyAlignment="1">
      <alignment vertical="center"/>
    </xf>
    <xf numFmtId="0" fontId="14" fillId="0" borderId="3" xfId="3" applyFont="1" applyBorder="1" applyAlignment="1">
      <alignment vertical="center"/>
    </xf>
    <xf numFmtId="0" fontId="25" fillId="0" borderId="0" xfId="3" applyFont="1" applyAlignment="1">
      <alignment horizontal="center" vertical="center"/>
    </xf>
    <xf numFmtId="0" fontId="16" fillId="0" borderId="0" xfId="3" applyFont="1" applyAlignment="1">
      <alignment horizontal="left" vertical="center"/>
    </xf>
    <xf numFmtId="166" fontId="11" fillId="0" borderId="0" xfId="3" applyNumberFormat="1" applyFont="1" applyAlignment="1">
      <alignment vertical="center"/>
    </xf>
    <xf numFmtId="41" fontId="17" fillId="0" borderId="0" xfId="0" applyNumberFormat="1" applyFont="1"/>
    <xf numFmtId="0" fontId="21" fillId="0" borderId="0" xfId="0" applyFont="1" applyAlignment="1">
      <alignment vertical="center"/>
    </xf>
    <xf numFmtId="38" fontId="17" fillId="0" borderId="0" xfId="0" applyNumberFormat="1" applyFont="1" applyAlignment="1">
      <alignment vertical="center"/>
    </xf>
    <xf numFmtId="41" fontId="17" fillId="0" borderId="0" xfId="0" applyNumberFormat="1" applyFont="1" applyAlignment="1">
      <alignment vertical="center"/>
    </xf>
    <xf numFmtId="0" fontId="11" fillId="0" borderId="0" xfId="0" applyFont="1" applyAlignment="1">
      <alignment vertical="center"/>
    </xf>
    <xf numFmtId="38" fontId="10" fillId="0" borderId="0" xfId="0" applyNumberFormat="1" applyFont="1" applyAlignment="1">
      <alignment vertical="center"/>
    </xf>
    <xf numFmtId="167" fontId="17" fillId="0" borderId="0" xfId="0" applyNumberFormat="1" applyFont="1" applyAlignment="1">
      <alignment vertical="center"/>
    </xf>
    <xf numFmtId="167" fontId="17" fillId="0" borderId="1" xfId="0" applyNumberFormat="1" applyFont="1" applyBorder="1" applyAlignment="1">
      <alignment vertical="center"/>
    </xf>
    <xf numFmtId="41" fontId="17" fillId="0" borderId="4" xfId="0" applyNumberFormat="1" applyFont="1" applyBorder="1" applyAlignment="1">
      <alignment vertical="center"/>
    </xf>
    <xf numFmtId="0" fontId="17" fillId="0" borderId="0" xfId="0" applyFont="1" applyAlignment="1">
      <alignment vertical="center"/>
    </xf>
    <xf numFmtId="0" fontId="19" fillId="0" borderId="0" xfId="0" applyFont="1" applyAlignment="1">
      <alignment horizontal="center"/>
    </xf>
    <xf numFmtId="0" fontId="18" fillId="0" borderId="0" xfId="0" applyFont="1"/>
    <xf numFmtId="0" fontId="17" fillId="0" borderId="0" xfId="0" applyFont="1"/>
    <xf numFmtId="0" fontId="10" fillId="0" borderId="3" xfId="0" applyFont="1" applyBorder="1" applyAlignment="1">
      <alignment vertical="center"/>
    </xf>
    <xf numFmtId="38" fontId="10" fillId="0" borderId="3" xfId="0" applyNumberFormat="1" applyFont="1" applyBorder="1" applyAlignment="1">
      <alignment vertical="center"/>
    </xf>
    <xf numFmtId="38" fontId="25" fillId="0" borderId="0" xfId="3" applyNumberFormat="1" applyFont="1" applyAlignment="1">
      <alignment horizontal="center" vertical="center"/>
    </xf>
    <xf numFmtId="0" fontId="10" fillId="0" borderId="0" xfId="0" applyFont="1" applyAlignment="1">
      <alignment vertical="center"/>
    </xf>
    <xf numFmtId="0" fontId="19" fillId="0" borderId="0" xfId="0" applyFont="1" applyAlignment="1">
      <alignment horizontal="center" vertical="center"/>
    </xf>
    <xf numFmtId="0" fontId="19" fillId="0" borderId="0" xfId="0" applyFont="1" applyAlignment="1">
      <alignment vertical="center"/>
    </xf>
    <xf numFmtId="38" fontId="19" fillId="0" borderId="0" xfId="0" applyNumberFormat="1" applyFont="1" applyAlignment="1">
      <alignment horizontal="center" vertical="center"/>
    </xf>
    <xf numFmtId="0" fontId="18" fillId="0" borderId="0" xfId="0" applyFont="1" applyAlignment="1">
      <alignment vertical="center"/>
    </xf>
    <xf numFmtId="38" fontId="18" fillId="0" borderId="0" xfId="0" applyNumberFormat="1" applyFont="1" applyAlignment="1">
      <alignment vertical="center"/>
    </xf>
    <xf numFmtId="41" fontId="17" fillId="0" borderId="0" xfId="0" applyNumberFormat="1" applyFont="1" applyAlignment="1">
      <alignment horizontal="center" vertical="center"/>
    </xf>
    <xf numFmtId="41" fontId="17" fillId="0" borderId="4" xfId="0" applyNumberFormat="1" applyFont="1" applyBorder="1" applyAlignment="1">
      <alignment horizontal="center" vertical="center"/>
    </xf>
    <xf numFmtId="6" fontId="12" fillId="0" borderId="0" xfId="0" applyNumberFormat="1" applyFont="1" applyAlignment="1">
      <alignment vertical="center"/>
    </xf>
    <xf numFmtId="6" fontId="24" fillId="0" borderId="0" xfId="0" applyNumberFormat="1" applyFont="1" applyAlignment="1">
      <alignment horizontal="center" vertical="center"/>
    </xf>
    <xf numFmtId="6" fontId="24" fillId="0" borderId="1" xfId="0" applyNumberFormat="1" applyFont="1" applyBorder="1" applyAlignment="1">
      <alignment horizontal="center" vertical="center"/>
    </xf>
    <xf numFmtId="6" fontId="24" fillId="0" borderId="0" xfId="0" applyNumberFormat="1" applyFont="1" applyAlignment="1">
      <alignment vertical="center"/>
    </xf>
    <xf numFmtId="6" fontId="23" fillId="0" borderId="0" xfId="0" applyNumberFormat="1" applyFont="1" applyAlignment="1">
      <alignment vertical="center"/>
    </xf>
    <xf numFmtId="6" fontId="23" fillId="0" borderId="1" xfId="0" applyNumberFormat="1" applyFont="1" applyBorder="1" applyAlignment="1">
      <alignment vertical="center"/>
    </xf>
    <xf numFmtId="6" fontId="23" fillId="0" borderId="4" xfId="0" applyNumberFormat="1" applyFont="1" applyBorder="1" applyAlignment="1">
      <alignment vertical="center"/>
    </xf>
    <xf numFmtId="6" fontId="23" fillId="0" borderId="0" xfId="0" applyNumberFormat="1" applyFont="1" applyAlignment="1">
      <alignment horizontal="right" vertical="center"/>
    </xf>
    <xf numFmtId="0" fontId="27" fillId="0" borderId="0" xfId="3" applyFont="1" applyAlignment="1">
      <alignment horizontal="left" vertical="center"/>
    </xf>
    <xf numFmtId="0" fontId="29" fillId="0" borderId="0" xfId="3" applyFont="1" applyAlignment="1">
      <alignment horizontal="left" vertical="center"/>
    </xf>
    <xf numFmtId="0" fontId="31" fillId="0" borderId="0" xfId="3" applyFont="1" applyAlignment="1">
      <alignment horizontal="left" vertical="center"/>
    </xf>
    <xf numFmtId="0" fontId="30" fillId="0" borderId="3" xfId="3" applyFont="1" applyBorder="1" applyAlignment="1">
      <alignment vertical="center"/>
    </xf>
    <xf numFmtId="5" fontId="23" fillId="0" borderId="0" xfId="0" applyNumberFormat="1" applyFont="1" applyAlignment="1">
      <alignment vertical="center"/>
    </xf>
    <xf numFmtId="5" fontId="23" fillId="0" borderId="0" xfId="0" applyNumberFormat="1" applyFont="1" applyAlignment="1">
      <alignment horizontal="right" vertical="center"/>
    </xf>
    <xf numFmtId="5" fontId="12" fillId="0" borderId="0" xfId="0" applyNumberFormat="1" applyFont="1"/>
    <xf numFmtId="165" fontId="23" fillId="0" borderId="0" xfId="3" applyNumberFormat="1" applyFont="1" applyAlignment="1">
      <alignment vertical="center"/>
    </xf>
    <xf numFmtId="0" fontId="11" fillId="0" borderId="0" xfId="3" applyFont="1" applyAlignment="1">
      <alignment horizontal="center" vertical="center"/>
    </xf>
    <xf numFmtId="0" fontId="14" fillId="0" borderId="0" xfId="3" applyFont="1" applyAlignment="1">
      <alignment vertical="center"/>
    </xf>
    <xf numFmtId="166" fontId="21" fillId="0" borderId="0" xfId="3" applyNumberFormat="1" applyFont="1" applyAlignment="1">
      <alignment horizontal="left" vertical="center"/>
    </xf>
    <xf numFmtId="166" fontId="21" fillId="0" borderId="0" xfId="3" applyNumberFormat="1" applyFont="1" applyAlignment="1">
      <alignment vertical="center"/>
    </xf>
    <xf numFmtId="166" fontId="17" fillId="0" borderId="0" xfId="3" applyNumberFormat="1" applyFont="1" applyAlignment="1">
      <alignment horizontal="left" vertical="center"/>
    </xf>
    <xf numFmtId="0" fontId="19" fillId="0" borderId="1" xfId="3" applyFont="1" applyBorder="1" applyAlignment="1">
      <alignment horizontal="center" vertical="center"/>
    </xf>
    <xf numFmtId="42" fontId="17" fillId="0" borderId="4" xfId="3" applyNumberFormat="1" applyFont="1" applyBorder="1" applyAlignment="1">
      <alignment vertical="center"/>
    </xf>
    <xf numFmtId="42" fontId="17" fillId="0" borderId="1" xfId="3" applyNumberFormat="1" applyFont="1" applyBorder="1" applyAlignment="1">
      <alignment vertical="center"/>
    </xf>
    <xf numFmtId="42" fontId="17" fillId="0" borderId="1" xfId="3" applyNumberFormat="1" applyFont="1" applyBorder="1" applyAlignment="1" applyProtection="1">
      <alignment vertical="center"/>
      <protection locked="0"/>
    </xf>
    <xf numFmtId="41" fontId="33" fillId="0" borderId="0" xfId="0" applyNumberFormat="1" applyFont="1" applyAlignment="1">
      <alignment horizontal="center"/>
    </xf>
    <xf numFmtId="0" fontId="34" fillId="0" borderId="0" xfId="0" applyFont="1"/>
    <xf numFmtId="41" fontId="35" fillId="2" borderId="0" xfId="0" applyNumberFormat="1" applyFont="1" applyFill="1" applyAlignment="1">
      <alignment horizontal="center"/>
    </xf>
    <xf numFmtId="41" fontId="34" fillId="0" borderId="0" xfId="0" applyNumberFormat="1" applyFont="1"/>
    <xf numFmtId="41" fontId="33" fillId="2" borderId="0" xfId="0" applyNumberFormat="1" applyFont="1" applyFill="1" applyAlignment="1">
      <alignment horizontal="center"/>
    </xf>
    <xf numFmtId="0" fontId="33" fillId="0" borderId="0" xfId="0" applyFont="1" applyAlignment="1">
      <alignment horizontal="center"/>
    </xf>
    <xf numFmtId="0" fontId="34" fillId="0" borderId="5" xfId="0" applyFont="1" applyBorder="1" applyAlignment="1">
      <alignment horizontal="center"/>
    </xf>
    <xf numFmtId="0" fontId="34" fillId="0" borderId="6" xfId="0" applyFont="1" applyBorder="1" applyAlignment="1">
      <alignment horizontal="center"/>
    </xf>
    <xf numFmtId="0" fontId="34" fillId="0" borderId="0" xfId="0" applyFont="1" applyAlignment="1">
      <alignment horizontal="center"/>
    </xf>
    <xf numFmtId="173" fontId="33" fillId="0" borderId="0" xfId="0" applyNumberFormat="1" applyFont="1" applyAlignment="1">
      <alignment horizontal="center"/>
    </xf>
    <xf numFmtId="41" fontId="33" fillId="0" borderId="1" xfId="0" applyNumberFormat="1" applyFont="1" applyBorder="1" applyAlignment="1">
      <alignment horizontal="center"/>
    </xf>
    <xf numFmtId="41" fontId="33" fillId="2" borderId="1" xfId="0" applyNumberFormat="1" applyFont="1" applyFill="1" applyBorder="1" applyAlignment="1">
      <alignment horizontal="center"/>
    </xf>
    <xf numFmtId="9" fontId="34" fillId="0" borderId="7" xfId="0" applyNumberFormat="1" applyFont="1" applyBorder="1" applyAlignment="1">
      <alignment horizontal="center"/>
    </xf>
    <xf numFmtId="9" fontId="34" fillId="0" borderId="8" xfId="0" applyNumberFormat="1" applyFont="1" applyBorder="1" applyAlignment="1">
      <alignment horizontal="center"/>
    </xf>
    <xf numFmtId="9" fontId="34" fillId="0" borderId="0" xfId="0" applyNumberFormat="1" applyFont="1" applyAlignment="1">
      <alignment horizontal="center"/>
    </xf>
    <xf numFmtId="9" fontId="33" fillId="0" borderId="0" xfId="0" applyNumberFormat="1" applyFont="1" applyAlignment="1">
      <alignment horizontal="center"/>
    </xf>
    <xf numFmtId="0" fontId="33" fillId="0" borderId="3" xfId="0" applyFont="1" applyBorder="1" applyAlignment="1">
      <alignment horizontal="center"/>
    </xf>
    <xf numFmtId="0" fontId="36" fillId="0" borderId="0" xfId="0" applyFont="1"/>
    <xf numFmtId="9" fontId="34" fillId="0" borderId="5" xfId="0" applyNumberFormat="1" applyFont="1" applyBorder="1" applyAlignment="1">
      <alignment horizontal="center"/>
    </xf>
    <xf numFmtId="9" fontId="34" fillId="0" borderId="6" xfId="0" applyNumberFormat="1" applyFont="1" applyBorder="1" applyAlignment="1">
      <alignment horizontal="center"/>
    </xf>
    <xf numFmtId="43" fontId="33" fillId="0" borderId="0" xfId="1" applyFont="1" applyFill="1"/>
    <xf numFmtId="9" fontId="35" fillId="0" borderId="5" xfId="0" applyNumberFormat="1" applyFont="1" applyBorder="1" applyAlignment="1">
      <alignment horizontal="center"/>
    </xf>
    <xf numFmtId="9" fontId="35" fillId="0" borderId="6" xfId="0" applyNumberFormat="1" applyFont="1" applyBorder="1" applyAlignment="1">
      <alignment horizontal="center"/>
    </xf>
    <xf numFmtId="0" fontId="35" fillId="0" borderId="0" xfId="0" applyFont="1" applyAlignment="1">
      <alignment horizontal="center"/>
    </xf>
    <xf numFmtId="0" fontId="33" fillId="0" borderId="0" xfId="0" applyFont="1"/>
    <xf numFmtId="167" fontId="34" fillId="0" borderId="0" xfId="0" applyNumberFormat="1" applyFont="1" applyAlignment="1">
      <alignment horizontal="center"/>
    </xf>
    <xf numFmtId="41" fontId="34" fillId="0" borderId="0" xfId="0" applyNumberFormat="1" applyFont="1" applyAlignment="1">
      <alignment horizontal="center"/>
    </xf>
    <xf numFmtId="41" fontId="34" fillId="2" borderId="0" xfId="0" applyNumberFormat="1" applyFont="1" applyFill="1" applyAlignment="1">
      <alignment horizontal="center"/>
    </xf>
    <xf numFmtId="9" fontId="33" fillId="0" borderId="5" xfId="0" applyNumberFormat="1" applyFont="1" applyBorder="1" applyAlignment="1">
      <alignment horizontal="center"/>
    </xf>
    <xf numFmtId="9" fontId="33" fillId="0" borderId="6" xfId="0" applyNumberFormat="1" applyFont="1" applyBorder="1" applyAlignment="1">
      <alignment horizontal="center"/>
    </xf>
    <xf numFmtId="167" fontId="34" fillId="0" borderId="0" xfId="0" applyNumberFormat="1" applyFont="1"/>
    <xf numFmtId="0" fontId="34" fillId="0" borderId="6" xfId="0" applyFont="1" applyBorder="1"/>
    <xf numFmtId="0" fontId="36" fillId="0" borderId="0" xfId="1" applyNumberFormat="1" applyFont="1" applyFill="1" applyAlignment="1">
      <alignment horizontal="left" indent="1"/>
    </xf>
    <xf numFmtId="43" fontId="34" fillId="0" borderId="0" xfId="1" applyFont="1" applyFill="1" applyAlignment="1">
      <alignment horizontal="left" indent="2"/>
    </xf>
    <xf numFmtId="165" fontId="34" fillId="0" borderId="0" xfId="0" applyNumberFormat="1" applyFont="1"/>
    <xf numFmtId="167" fontId="34" fillId="0" borderId="0" xfId="0" applyNumberFormat="1" applyFont="1" applyAlignment="1">
      <alignment horizontal="right"/>
    </xf>
    <xf numFmtId="3" fontId="34" fillId="0" borderId="0" xfId="0" applyNumberFormat="1" applyFont="1"/>
    <xf numFmtId="0" fontId="34" fillId="0" borderId="0" xfId="0" applyFont="1" applyAlignment="1">
      <alignment horizontal="left" indent="2"/>
    </xf>
    <xf numFmtId="167" fontId="33" fillId="0" borderId="9" xfId="0" applyNumberFormat="1" applyFont="1" applyBorder="1"/>
    <xf numFmtId="167" fontId="33" fillId="0" borderId="0" xfId="0" applyNumberFormat="1" applyFont="1"/>
    <xf numFmtId="41" fontId="33" fillId="0" borderId="0" xfId="0" applyNumberFormat="1" applyFont="1"/>
    <xf numFmtId="41" fontId="33" fillId="2" borderId="9" xfId="0" applyNumberFormat="1" applyFont="1" applyFill="1" applyBorder="1"/>
    <xf numFmtId="3" fontId="33" fillId="0" borderId="0" xfId="0" applyNumberFormat="1" applyFont="1"/>
    <xf numFmtId="0" fontId="33" fillId="0" borderId="5" xfId="0" applyFont="1" applyBorder="1" applyAlignment="1">
      <alignment horizontal="center"/>
    </xf>
    <xf numFmtId="0" fontId="33" fillId="0" borderId="6" xfId="0" applyFont="1" applyBorder="1" applyAlignment="1">
      <alignment horizontal="center"/>
    </xf>
    <xf numFmtId="0" fontId="34" fillId="0" borderId="0" xfId="0" applyFont="1" applyAlignment="1">
      <alignment horizontal="right"/>
    </xf>
    <xf numFmtId="41" fontId="33" fillId="0" borderId="9" xfId="0" applyNumberFormat="1" applyFont="1" applyBorder="1"/>
    <xf numFmtId="41" fontId="33" fillId="0" borderId="4" xfId="0" applyNumberFormat="1" applyFont="1" applyBorder="1"/>
    <xf numFmtId="41" fontId="37" fillId="0" borderId="0" xfId="0" applyNumberFormat="1" applyFont="1"/>
    <xf numFmtId="164" fontId="34" fillId="0" borderId="0" xfId="0" applyNumberFormat="1" applyFont="1"/>
    <xf numFmtId="43" fontId="33" fillId="0" borderId="0" xfId="1" applyFont="1" applyFill="1" applyAlignment="1">
      <alignment horizontal="left" indent="1"/>
    </xf>
    <xf numFmtId="0" fontId="33" fillId="0" borderId="10" xfId="0" applyFont="1" applyBorder="1" applyAlignment="1">
      <alignment horizontal="center"/>
    </xf>
    <xf numFmtId="41" fontId="34" fillId="0" borderId="9" xfId="0" applyNumberFormat="1" applyFont="1" applyBorder="1"/>
    <xf numFmtId="165" fontId="33" fillId="0" borderId="0" xfId="0" applyNumberFormat="1" applyFont="1"/>
    <xf numFmtId="41" fontId="34" fillId="2" borderId="0" xfId="0" applyNumberFormat="1" applyFont="1" applyFill="1"/>
    <xf numFmtId="0" fontId="33" fillId="5" borderId="0" xfId="0" applyFont="1" applyFill="1"/>
    <xf numFmtId="0" fontId="34" fillId="5" borderId="0" xfId="0" applyFont="1" applyFill="1"/>
    <xf numFmtId="174" fontId="33" fillId="0" borderId="0" xfId="1" applyNumberFormat="1" applyFont="1"/>
    <xf numFmtId="170" fontId="34" fillId="0" borderId="0" xfId="1" applyNumberFormat="1" applyFont="1"/>
    <xf numFmtId="171" fontId="33" fillId="0" borderId="0" xfId="4" applyNumberFormat="1" applyFont="1"/>
    <xf numFmtId="0" fontId="33" fillId="0" borderId="0" xfId="0" applyFont="1" applyAlignment="1">
      <alignment horizontal="center" vertical="center"/>
    </xf>
    <xf numFmtId="0" fontId="33" fillId="0" borderId="0" xfId="0" applyFont="1" applyAlignment="1">
      <alignment vertical="center"/>
    </xf>
    <xf numFmtId="0" fontId="33" fillId="0" borderId="1" xfId="0" applyFont="1" applyBorder="1" applyAlignment="1">
      <alignment horizontal="center" vertical="center"/>
    </xf>
    <xf numFmtId="0" fontId="34" fillId="0" borderId="0" xfId="0" applyFont="1" applyAlignment="1">
      <alignment vertical="center"/>
    </xf>
    <xf numFmtId="170" fontId="34" fillId="0" borderId="0" xfId="1" applyNumberFormat="1" applyFont="1" applyFill="1" applyAlignment="1">
      <alignment vertical="center"/>
    </xf>
    <xf numFmtId="170" fontId="33" fillId="0" borderId="0" xfId="1" applyNumberFormat="1" applyFont="1" applyFill="1" applyAlignment="1">
      <alignment horizontal="center" vertical="center"/>
    </xf>
    <xf numFmtId="170" fontId="33" fillId="0" borderId="1" xfId="1" applyNumberFormat="1" applyFont="1" applyFill="1" applyBorder="1" applyAlignment="1">
      <alignment horizontal="center" vertical="center"/>
    </xf>
    <xf numFmtId="5" fontId="33" fillId="0" borderId="0" xfId="0" applyNumberFormat="1" applyFont="1" applyAlignment="1">
      <alignment vertical="center"/>
    </xf>
    <xf numFmtId="5" fontId="33" fillId="0" borderId="0" xfId="1" applyNumberFormat="1" applyFont="1" applyFill="1" applyAlignment="1">
      <alignment vertical="center"/>
    </xf>
    <xf numFmtId="5" fontId="33" fillId="0" borderId="9" xfId="0" applyNumberFormat="1" applyFont="1" applyBorder="1" applyAlignment="1">
      <alignment vertical="center"/>
    </xf>
    <xf numFmtId="5" fontId="33" fillId="0" borderId="9" xfId="1" applyNumberFormat="1" applyFont="1" applyFill="1" applyBorder="1" applyAlignment="1">
      <alignment vertical="center"/>
    </xf>
    <xf numFmtId="41" fontId="34" fillId="0" borderId="0" xfId="0" applyNumberFormat="1" applyFont="1" applyAlignment="1">
      <alignment vertical="center"/>
    </xf>
    <xf numFmtId="5" fontId="33" fillId="0" borderId="12" xfId="0" applyNumberFormat="1" applyFont="1" applyBorder="1" applyAlignment="1">
      <alignment vertical="center"/>
    </xf>
    <xf numFmtId="5" fontId="33" fillId="0" borderId="12" xfId="1" applyNumberFormat="1" applyFont="1" applyFill="1" applyBorder="1" applyAlignment="1">
      <alignment vertical="center"/>
    </xf>
    <xf numFmtId="170" fontId="35" fillId="0" borderId="0" xfId="1" applyNumberFormat="1" applyFont="1"/>
    <xf numFmtId="170" fontId="33" fillId="0" borderId="0" xfId="1" applyNumberFormat="1" applyFont="1"/>
    <xf numFmtId="171" fontId="34" fillId="0" borderId="0" xfId="4" applyNumberFormat="1" applyFont="1"/>
    <xf numFmtId="5" fontId="33" fillId="0" borderId="0" xfId="1" applyNumberFormat="1" applyFont="1"/>
    <xf numFmtId="9" fontId="33" fillId="0" borderId="9" xfId="4" applyFont="1" applyFill="1" applyBorder="1" applyAlignment="1">
      <alignment vertical="center"/>
    </xf>
    <xf numFmtId="5" fontId="33" fillId="0" borderId="1" xfId="1" applyNumberFormat="1" applyFont="1" applyFill="1" applyBorder="1" applyAlignment="1">
      <alignment vertical="center"/>
    </xf>
    <xf numFmtId="5" fontId="33" fillId="0" borderId="2" xfId="1" applyNumberFormat="1" applyFont="1" applyFill="1" applyBorder="1" applyAlignment="1">
      <alignment vertical="center"/>
    </xf>
    <xf numFmtId="0" fontId="34" fillId="0" borderId="0" xfId="0" applyFont="1" applyAlignment="1">
      <alignment horizontal="left" indent="1"/>
    </xf>
    <xf numFmtId="0" fontId="34" fillId="0" borderId="0" xfId="0" applyFont="1" applyAlignment="1">
      <alignment horizontal="left" vertical="center" indent="1"/>
    </xf>
    <xf numFmtId="0" fontId="34" fillId="0" borderId="0" xfId="0" applyFont="1" applyAlignment="1">
      <alignment horizontal="left" vertical="center" indent="2"/>
    </xf>
    <xf numFmtId="0" fontId="35" fillId="0" borderId="0" xfId="0" applyFont="1" applyAlignment="1">
      <alignment horizontal="right"/>
    </xf>
    <xf numFmtId="0" fontId="33" fillId="0" borderId="0" xfId="0" applyFont="1" applyAlignment="1">
      <alignment horizontal="left" vertical="center" indent="1"/>
    </xf>
    <xf numFmtId="0" fontId="34" fillId="0" borderId="0" xfId="0" applyFont="1" applyAlignment="1">
      <alignment horizontal="left" vertical="center" indent="3"/>
    </xf>
    <xf numFmtId="0" fontId="33" fillId="0" borderId="0" xfId="0" applyFont="1" applyAlignment="1">
      <alignment horizontal="left" vertical="center" indent="2"/>
    </xf>
    <xf numFmtId="0" fontId="34" fillId="0" borderId="0" xfId="0" applyFont="1" applyAlignment="1">
      <alignment horizontal="left" vertical="center"/>
    </xf>
    <xf numFmtId="170" fontId="33" fillId="0" borderId="1" xfId="1" applyNumberFormat="1" applyFont="1" applyBorder="1" applyAlignment="1">
      <alignment horizontal="center"/>
    </xf>
    <xf numFmtId="170" fontId="34" fillId="0" borderId="0" xfId="1" applyNumberFormat="1" applyFont="1" applyAlignment="1"/>
    <xf numFmtId="170" fontId="33" fillId="0" borderId="2" xfId="1" applyNumberFormat="1" applyFont="1" applyBorder="1"/>
    <xf numFmtId="170" fontId="34" fillId="0" borderId="0" xfId="1" applyNumberFormat="1" applyFont="1" applyBorder="1"/>
    <xf numFmtId="170" fontId="33" fillId="0" borderId="0" xfId="1" applyNumberFormat="1" applyFont="1" applyBorder="1"/>
    <xf numFmtId="170" fontId="34" fillId="0" borderId="0" xfId="1" applyNumberFormat="1" applyFont="1" applyAlignment="1">
      <alignment horizontal="left" indent="1"/>
    </xf>
    <xf numFmtId="175" fontId="34" fillId="0" borderId="0" xfId="4" applyNumberFormat="1" applyFont="1"/>
    <xf numFmtId="170" fontId="40" fillId="6" borderId="3" xfId="1" applyNumberFormat="1" applyFont="1" applyFill="1" applyBorder="1" applyAlignment="1">
      <alignment horizontal="center" wrapText="1"/>
    </xf>
    <xf numFmtId="170" fontId="40" fillId="0" borderId="0" xfId="1" applyNumberFormat="1" applyFont="1" applyFill="1" applyBorder="1" applyAlignment="1">
      <alignment horizontal="center" wrapText="1"/>
    </xf>
    <xf numFmtId="170" fontId="41" fillId="0" borderId="0" xfId="1" applyNumberFormat="1" applyFont="1" applyFill="1" applyAlignment="1">
      <alignment wrapText="1"/>
    </xf>
    <xf numFmtId="0" fontId="40" fillId="0" borderId="0" xfId="0" applyFont="1"/>
    <xf numFmtId="170" fontId="40" fillId="0" borderId="0" xfId="1" applyNumberFormat="1" applyFont="1" applyFill="1" applyAlignment="1">
      <alignment horizontal="center" wrapText="1"/>
    </xf>
    <xf numFmtId="0" fontId="41" fillId="0" borderId="0" xfId="0" applyFont="1" applyAlignment="1">
      <alignment horizontal="left" indent="1"/>
    </xf>
    <xf numFmtId="170" fontId="41" fillId="0" borderId="0" xfId="1" applyNumberFormat="1" applyFont="1" applyFill="1"/>
    <xf numFmtId="170" fontId="41" fillId="0" borderId="0" xfId="1" applyNumberFormat="1" applyFont="1" applyFill="1" applyBorder="1"/>
    <xf numFmtId="0" fontId="40" fillId="0" borderId="0" xfId="0" applyFont="1" applyAlignment="1">
      <alignment horizontal="center"/>
    </xf>
    <xf numFmtId="170" fontId="40" fillId="0" borderId="9" xfId="1" applyNumberFormat="1" applyFont="1" applyFill="1" applyBorder="1"/>
    <xf numFmtId="170" fontId="40" fillId="0" borderId="0" xfId="1" applyNumberFormat="1" applyFont="1" applyFill="1" applyBorder="1"/>
    <xf numFmtId="170" fontId="40" fillId="0" borderId="0" xfId="1" applyNumberFormat="1" applyFont="1" applyFill="1"/>
    <xf numFmtId="0" fontId="41" fillId="0" borderId="0" xfId="0" applyFont="1"/>
    <xf numFmtId="0" fontId="41" fillId="0" borderId="0" xfId="0" applyFont="1" applyAlignment="1">
      <alignment horizontal="left" indent="2"/>
    </xf>
    <xf numFmtId="170" fontId="41" fillId="0" borderId="9" xfId="1" applyNumberFormat="1" applyFont="1" applyFill="1" applyBorder="1"/>
    <xf numFmtId="170" fontId="41" fillId="0" borderId="1" xfId="1" applyNumberFormat="1" applyFont="1" applyFill="1" applyBorder="1"/>
    <xf numFmtId="170" fontId="41" fillId="0" borderId="4" xfId="1" applyNumberFormat="1" applyFont="1" applyFill="1" applyBorder="1"/>
    <xf numFmtId="170" fontId="41" fillId="7" borderId="0" xfId="1" applyNumberFormat="1" applyFont="1" applyFill="1"/>
    <xf numFmtId="0" fontId="40" fillId="0" borderId="0" xfId="0" applyFont="1" applyAlignment="1">
      <alignment horizontal="left"/>
    </xf>
    <xf numFmtId="170" fontId="40" fillId="0" borderId="0" xfId="1" applyNumberFormat="1" applyFont="1" applyFill="1" applyAlignment="1">
      <alignment horizontal="center"/>
    </xf>
    <xf numFmtId="170" fontId="40" fillId="0" borderId="3" xfId="1" applyNumberFormat="1" applyFont="1" applyFill="1" applyBorder="1" applyAlignment="1">
      <alignment horizontal="center"/>
    </xf>
    <xf numFmtId="170" fontId="41" fillId="0" borderId="0" xfId="1" applyNumberFormat="1" applyFont="1"/>
    <xf numFmtId="0" fontId="41" fillId="0" borderId="0" xfId="3" applyFont="1" applyAlignment="1">
      <alignment vertical="center"/>
    </xf>
    <xf numFmtId="170" fontId="41" fillId="0" borderId="9" xfId="1" applyNumberFormat="1" applyFont="1" applyBorder="1"/>
    <xf numFmtId="170" fontId="40" fillId="0" borderId="13" xfId="1" applyNumberFormat="1" applyFont="1" applyFill="1" applyBorder="1" applyAlignment="1">
      <alignment vertical="center" wrapText="1"/>
    </xf>
    <xf numFmtId="170" fontId="40" fillId="0" borderId="0" xfId="1" applyNumberFormat="1" applyFont="1" applyFill="1" applyBorder="1" applyAlignment="1">
      <alignment vertical="center" wrapText="1"/>
    </xf>
    <xf numFmtId="170" fontId="40" fillId="0" borderId="0" xfId="1" applyNumberFormat="1" applyFont="1" applyFill="1" applyBorder="1" applyAlignment="1">
      <alignment vertical="center"/>
    </xf>
    <xf numFmtId="170" fontId="41" fillId="0" borderId="0" xfId="1" applyNumberFormat="1" applyFont="1" applyFill="1" applyAlignment="1">
      <alignment horizontal="left" vertical="center" indent="1"/>
    </xf>
    <xf numFmtId="170" fontId="41" fillId="0" borderId="0" xfId="1" applyNumberFormat="1" applyFont="1" applyFill="1" applyAlignment="1">
      <alignment vertical="center"/>
    </xf>
    <xf numFmtId="170" fontId="41" fillId="0" borderId="0" xfId="1" applyNumberFormat="1" applyFont="1" applyFill="1" applyAlignment="1">
      <alignment horizontal="left" vertical="center"/>
    </xf>
    <xf numFmtId="170" fontId="41" fillId="0" borderId="0" xfId="1" applyNumberFormat="1" applyFont="1" applyFill="1" applyAlignment="1">
      <alignment horizontal="left" vertical="center" indent="2"/>
    </xf>
    <xf numFmtId="170" fontId="41" fillId="0" borderId="0" xfId="1" applyNumberFormat="1" applyFont="1" applyFill="1" applyAlignment="1">
      <alignment horizontal="left" vertical="center" indent="3"/>
    </xf>
    <xf numFmtId="170" fontId="40" fillId="0" borderId="0" xfId="1" applyNumberFormat="1" applyFont="1" applyFill="1" applyAlignment="1">
      <alignment horizontal="left" vertical="center"/>
    </xf>
    <xf numFmtId="170" fontId="41" fillId="0" borderId="9" xfId="1" applyNumberFormat="1" applyFont="1" applyFill="1" applyBorder="1" applyAlignment="1">
      <alignment vertical="center"/>
    </xf>
    <xf numFmtId="170" fontId="40" fillId="0" borderId="0" xfId="1" applyNumberFormat="1" applyFont="1" applyFill="1" applyAlignment="1">
      <alignment vertical="center"/>
    </xf>
    <xf numFmtId="170" fontId="40" fillId="0" borderId="0" xfId="1" applyNumberFormat="1" applyFont="1" applyFill="1" applyAlignment="1">
      <alignment horizontal="left" vertical="center" indent="1"/>
    </xf>
    <xf numFmtId="170" fontId="41" fillId="0" borderId="9" xfId="1" applyNumberFormat="1" applyFont="1" applyFill="1" applyBorder="1" applyAlignment="1">
      <alignment horizontal="left" vertical="center" indent="1"/>
    </xf>
    <xf numFmtId="170" fontId="41" fillId="0" borderId="12" xfId="1" applyNumberFormat="1" applyFont="1" applyFill="1" applyBorder="1" applyAlignment="1">
      <alignment vertical="center"/>
    </xf>
    <xf numFmtId="170" fontId="42" fillId="0" borderId="0" xfId="1" applyNumberFormat="1" applyFont="1"/>
    <xf numFmtId="170" fontId="41" fillId="6" borderId="0" xfId="1" applyNumberFormat="1" applyFont="1" applyFill="1" applyAlignment="1">
      <alignment horizontal="left" vertical="center" indent="3"/>
    </xf>
    <xf numFmtId="170" fontId="41" fillId="6" borderId="0" xfId="1" applyNumberFormat="1" applyFont="1" applyFill="1"/>
    <xf numFmtId="170" fontId="41" fillId="6" borderId="0" xfId="1" applyNumberFormat="1" applyFont="1" applyFill="1" applyAlignment="1">
      <alignment vertical="center"/>
    </xf>
    <xf numFmtId="170" fontId="41" fillId="4" borderId="0" xfId="1" applyNumberFormat="1" applyFont="1" applyFill="1"/>
    <xf numFmtId="170" fontId="41" fillId="4" borderId="0" xfId="1" applyNumberFormat="1" applyFont="1" applyFill="1" applyAlignment="1">
      <alignment vertical="center"/>
    </xf>
    <xf numFmtId="170" fontId="40" fillId="0" borderId="14" xfId="1" applyNumberFormat="1" applyFont="1" applyFill="1" applyBorder="1" applyAlignment="1">
      <alignment horizontal="center" vertical="center" wrapText="1"/>
    </xf>
    <xf numFmtId="170" fontId="40" fillId="0" borderId="15" xfId="1" applyNumberFormat="1" applyFont="1" applyFill="1" applyBorder="1" applyAlignment="1">
      <alignment horizontal="center" wrapText="1"/>
    </xf>
    <xf numFmtId="170" fontId="40" fillId="0" borderId="16" xfId="1" applyNumberFormat="1" applyFont="1" applyFill="1" applyBorder="1" applyAlignment="1">
      <alignment horizontal="center" wrapText="1"/>
    </xf>
    <xf numFmtId="170" fontId="40" fillId="4" borderId="16" xfId="1" applyNumberFormat="1" applyFont="1" applyFill="1" applyBorder="1" applyAlignment="1">
      <alignment horizontal="center" wrapText="1"/>
    </xf>
    <xf numFmtId="170" fontId="40" fillId="2" borderId="16" xfId="1" applyNumberFormat="1" applyFont="1" applyFill="1" applyBorder="1" applyAlignment="1">
      <alignment horizontal="center" wrapText="1"/>
    </xf>
    <xf numFmtId="170" fontId="40" fillId="5" borderId="16" xfId="1" applyNumberFormat="1" applyFont="1" applyFill="1" applyBorder="1" applyAlignment="1">
      <alignment horizontal="center" wrapText="1"/>
    </xf>
    <xf numFmtId="170" fontId="40" fillId="6" borderId="16" xfId="1" applyNumberFormat="1" applyFont="1" applyFill="1" applyBorder="1" applyAlignment="1">
      <alignment horizontal="center" wrapText="1"/>
    </xf>
    <xf numFmtId="170" fontId="40" fillId="3" borderId="16" xfId="1" applyNumberFormat="1" applyFont="1" applyFill="1" applyBorder="1" applyAlignment="1">
      <alignment horizontal="center" wrapText="1"/>
    </xf>
    <xf numFmtId="170" fontId="40" fillId="8" borderId="16" xfId="1" applyNumberFormat="1" applyFont="1" applyFill="1" applyBorder="1" applyAlignment="1">
      <alignment horizontal="center" wrapText="1"/>
    </xf>
    <xf numFmtId="170" fontId="40" fillId="0" borderId="17" xfId="1" applyNumberFormat="1" applyFont="1" applyFill="1" applyBorder="1" applyAlignment="1">
      <alignment horizontal="center" wrapText="1"/>
    </xf>
    <xf numFmtId="170" fontId="41" fillId="2" borderId="0" xfId="1" applyNumberFormat="1" applyFont="1" applyFill="1"/>
    <xf numFmtId="170" fontId="41" fillId="2" borderId="0" xfId="1" applyNumberFormat="1" applyFont="1" applyFill="1" applyAlignment="1">
      <alignment vertical="center"/>
    </xf>
    <xf numFmtId="0" fontId="44" fillId="0" borderId="0" xfId="3" applyFont="1" applyAlignment="1">
      <alignment horizontal="center" vertical="center"/>
    </xf>
    <xf numFmtId="0" fontId="45" fillId="0" borderId="0" xfId="3" applyFont="1" applyAlignment="1">
      <alignment vertical="center"/>
    </xf>
    <xf numFmtId="0" fontId="47" fillId="0" borderId="0" xfId="3" applyFont="1" applyAlignment="1">
      <alignment horizontal="left" vertical="center"/>
    </xf>
    <xf numFmtId="0" fontId="48" fillId="0" borderId="0" xfId="3" applyFont="1" applyAlignment="1">
      <alignment horizontal="center" vertical="center"/>
    </xf>
    <xf numFmtId="0" fontId="49" fillId="0" borderId="0" xfId="3" applyFont="1" applyAlignment="1">
      <alignment vertical="center"/>
    </xf>
    <xf numFmtId="0" fontId="52" fillId="0" borderId="0" xfId="3" applyFont="1" applyAlignment="1">
      <alignment horizontal="center" vertical="center"/>
    </xf>
    <xf numFmtId="0" fontId="53" fillId="0" borderId="0" xfId="3" applyFont="1" applyAlignment="1">
      <alignment vertical="center"/>
    </xf>
    <xf numFmtId="0" fontId="58" fillId="0" borderId="0" xfId="3" applyFont="1" applyAlignment="1">
      <alignment vertical="center"/>
    </xf>
    <xf numFmtId="41" fontId="58" fillId="0" borderId="0" xfId="3" applyNumberFormat="1" applyFont="1" applyAlignment="1">
      <alignment vertical="center"/>
    </xf>
    <xf numFmtId="0" fontId="60" fillId="0" borderId="0" xfId="3" applyFont="1" applyAlignment="1">
      <alignment horizontal="center" vertical="center"/>
    </xf>
    <xf numFmtId="0" fontId="61" fillId="0" borderId="0" xfId="3" applyFont="1" applyAlignment="1">
      <alignment horizontal="center" vertical="center"/>
    </xf>
    <xf numFmtId="0" fontId="58" fillId="0" borderId="0" xfId="3" applyFont="1" applyAlignment="1">
      <alignment horizontal="centerContinuous" vertical="center"/>
    </xf>
    <xf numFmtId="41" fontId="59" fillId="0" borderId="2" xfId="3" applyNumberFormat="1" applyFont="1" applyBorder="1" applyAlignment="1">
      <alignment horizontal="center" vertical="center"/>
    </xf>
    <xf numFmtId="0" fontId="59" fillId="0" borderId="0" xfId="3" applyFont="1" applyAlignment="1">
      <alignment horizontal="center" vertical="center"/>
    </xf>
    <xf numFmtId="41" fontId="59" fillId="0" borderId="0" xfId="3" applyNumberFormat="1" applyFont="1" applyAlignment="1">
      <alignment horizontal="center" vertical="center"/>
    </xf>
    <xf numFmtId="42" fontId="59" fillId="0" borderId="0" xfId="3" applyNumberFormat="1" applyFont="1" applyAlignment="1">
      <alignment vertical="center"/>
    </xf>
    <xf numFmtId="0" fontId="61" fillId="0" borderId="1" xfId="3" applyFont="1" applyBorder="1" applyAlignment="1">
      <alignment horizontal="center" vertical="center"/>
    </xf>
    <xf numFmtId="0" fontId="62" fillId="0" borderId="0" xfId="3" applyFont="1" applyAlignment="1">
      <alignment horizontal="left" vertical="center"/>
    </xf>
    <xf numFmtId="42" fontId="45" fillId="0" borderId="0" xfId="3" applyNumberFormat="1" applyFont="1" applyAlignment="1">
      <alignment vertical="center"/>
    </xf>
    <xf numFmtId="41" fontId="45" fillId="0" borderId="0" xfId="3" applyNumberFormat="1" applyFont="1" applyAlignment="1">
      <alignment vertical="center"/>
    </xf>
    <xf numFmtId="168" fontId="45" fillId="0" borderId="0" xfId="3" applyNumberFormat="1" applyFont="1" applyAlignment="1">
      <alignment vertical="center"/>
    </xf>
    <xf numFmtId="6" fontId="64" fillId="0" borderId="0" xfId="3" applyNumberFormat="1" applyFont="1" applyAlignment="1">
      <alignment vertical="center"/>
    </xf>
    <xf numFmtId="170" fontId="45" fillId="0" borderId="0" xfId="1" applyNumberFormat="1" applyFont="1" applyFill="1" applyAlignment="1">
      <alignment vertical="center"/>
    </xf>
    <xf numFmtId="167" fontId="45" fillId="0" borderId="0" xfId="3" applyNumberFormat="1" applyFont="1" applyAlignment="1">
      <alignment vertical="center"/>
    </xf>
    <xf numFmtId="0" fontId="45" fillId="0" borderId="0" xfId="3" applyFont="1" applyAlignment="1">
      <alignment horizontal="left" vertical="center"/>
    </xf>
    <xf numFmtId="167" fontId="45" fillId="0" borderId="9" xfId="3" applyNumberFormat="1" applyFont="1" applyBorder="1" applyAlignment="1">
      <alignment vertical="center"/>
    </xf>
    <xf numFmtId="167" fontId="45" fillId="0" borderId="2" xfId="3" applyNumberFormat="1" applyFont="1" applyBorder="1" applyAlignment="1">
      <alignment vertical="center"/>
    </xf>
    <xf numFmtId="167" fontId="58" fillId="0" borderId="0" xfId="3" applyNumberFormat="1" applyFont="1" applyAlignment="1">
      <alignment vertical="center"/>
    </xf>
    <xf numFmtId="168" fontId="58" fillId="0" borderId="0" xfId="3" applyNumberFormat="1" applyFont="1" applyAlignment="1">
      <alignment vertical="center"/>
    </xf>
    <xf numFmtId="41" fontId="44" fillId="0" borderId="0" xfId="3" applyNumberFormat="1" applyFont="1" applyAlignment="1">
      <alignment horizontal="center" vertical="center"/>
    </xf>
    <xf numFmtId="41" fontId="66" fillId="0" borderId="0" xfId="3" applyNumberFormat="1" applyFont="1" applyAlignment="1">
      <alignment horizontal="centerContinuous" vertical="center"/>
    </xf>
    <xf numFmtId="41" fontId="45" fillId="0" borderId="0" xfId="3" applyNumberFormat="1" applyFont="1" applyAlignment="1">
      <alignment horizontal="centerContinuous" vertical="center"/>
    </xf>
    <xf numFmtId="41" fontId="64" fillId="0" borderId="0" xfId="3" applyNumberFormat="1" applyFont="1" applyAlignment="1">
      <alignment horizontal="right" vertical="center"/>
    </xf>
    <xf numFmtId="41" fontId="64" fillId="0" borderId="0" xfId="3" applyNumberFormat="1" applyFont="1" applyAlignment="1">
      <alignment vertical="center"/>
    </xf>
    <xf numFmtId="41" fontId="45" fillId="0" borderId="0" xfId="3" applyNumberFormat="1" applyFont="1" applyAlignment="1">
      <alignment horizontal="right" vertical="center"/>
    </xf>
    <xf numFmtId="41" fontId="67" fillId="0" borderId="0" xfId="3" applyNumberFormat="1" applyFont="1" applyAlignment="1">
      <alignment horizontal="right" vertical="center"/>
    </xf>
    <xf numFmtId="5" fontId="67" fillId="0" borderId="0" xfId="3" applyNumberFormat="1" applyFont="1" applyAlignment="1">
      <alignment vertical="center"/>
    </xf>
    <xf numFmtId="0" fontId="67" fillId="0" borderId="0" xfId="3" applyFont="1" applyAlignment="1">
      <alignment vertical="center"/>
    </xf>
    <xf numFmtId="0" fontId="59" fillId="0" borderId="0" xfId="3" applyFont="1" applyAlignment="1">
      <alignment vertical="center"/>
    </xf>
    <xf numFmtId="6" fontId="62" fillId="0" borderId="0" xfId="3" applyNumberFormat="1" applyFont="1" applyAlignment="1">
      <alignment vertical="center"/>
    </xf>
    <xf numFmtId="0" fontId="69" fillId="0" borderId="0" xfId="3" applyFont="1" applyAlignment="1">
      <alignment horizontal="left" vertical="center"/>
    </xf>
    <xf numFmtId="0" fontId="69" fillId="0" borderId="0" xfId="3" applyFont="1" applyAlignment="1">
      <alignment horizontal="center" vertical="center"/>
    </xf>
    <xf numFmtId="0" fontId="70" fillId="0" borderId="0" xfId="3" applyFont="1" applyAlignment="1">
      <alignment vertical="center"/>
    </xf>
    <xf numFmtId="6" fontId="69" fillId="0" borderId="0" xfId="3" applyNumberFormat="1" applyFont="1" applyAlignment="1">
      <alignment vertical="center"/>
    </xf>
    <xf numFmtId="0" fontId="71" fillId="0" borderId="0" xfId="3" applyFont="1" applyAlignment="1">
      <alignment vertical="center"/>
    </xf>
    <xf numFmtId="9" fontId="70" fillId="0" borderId="0" xfId="3" applyNumberFormat="1" applyFont="1" applyAlignment="1">
      <alignment vertical="center"/>
    </xf>
    <xf numFmtId="0" fontId="73" fillId="0" borderId="0" xfId="3" quotePrefix="1" applyFont="1" applyAlignment="1">
      <alignment vertical="center"/>
    </xf>
    <xf numFmtId="6" fontId="72" fillId="0" borderId="0" xfId="3" applyNumberFormat="1" applyFont="1" applyAlignment="1">
      <alignment vertical="center"/>
    </xf>
    <xf numFmtId="0" fontId="74" fillId="0" borderId="0" xfId="3" applyFont="1" applyAlignment="1">
      <alignment vertical="center"/>
    </xf>
    <xf numFmtId="0" fontId="76" fillId="0" borderId="0" xfId="3" applyFont="1" applyAlignment="1">
      <alignment horizontal="left" vertical="center"/>
    </xf>
    <xf numFmtId="0" fontId="75" fillId="0" borderId="0" xfId="3" applyFont="1" applyAlignment="1">
      <alignment vertical="center"/>
    </xf>
    <xf numFmtId="6" fontId="76" fillId="0" borderId="0" xfId="3" applyNumberFormat="1" applyFont="1" applyAlignment="1">
      <alignment vertical="center"/>
    </xf>
    <xf numFmtId="0" fontId="45" fillId="0" borderId="0" xfId="3" applyFont="1" applyAlignment="1">
      <alignment horizontal="center" vertical="center"/>
    </xf>
    <xf numFmtId="6" fontId="59" fillId="0" borderId="0" xfId="3" applyNumberFormat="1" applyFont="1" applyAlignment="1">
      <alignment vertical="center"/>
    </xf>
    <xf numFmtId="0" fontId="59" fillId="0" borderId="0" xfId="0" applyFont="1" applyAlignment="1">
      <alignment horizontal="center" vertical="center"/>
    </xf>
    <xf numFmtId="41" fontId="58" fillId="0" borderId="0" xfId="3" applyNumberFormat="1" applyFont="1" applyAlignment="1">
      <alignment horizontal="center" vertical="center"/>
    </xf>
    <xf numFmtId="0" fontId="44" fillId="0" borderId="0" xfId="3" applyFont="1" applyAlignment="1">
      <alignment vertical="center"/>
    </xf>
    <xf numFmtId="6" fontId="67" fillId="0" borderId="0" xfId="3" applyNumberFormat="1" applyFont="1" applyAlignment="1">
      <alignment vertical="center"/>
    </xf>
    <xf numFmtId="42" fontId="45" fillId="0" borderId="12" xfId="3" applyNumberFormat="1" applyFont="1" applyBorder="1" applyAlignment="1">
      <alignment vertical="center"/>
    </xf>
    <xf numFmtId="43" fontId="62" fillId="0" borderId="0" xfId="1" applyFont="1" applyFill="1" applyAlignment="1">
      <alignment horizontal="left" vertical="center"/>
    </xf>
    <xf numFmtId="43" fontId="45" fillId="0" borderId="0" xfId="1" applyFont="1" applyFill="1" applyAlignment="1">
      <alignment horizontal="left" vertical="center" indent="1"/>
    </xf>
    <xf numFmtId="43" fontId="62" fillId="0" borderId="0" xfId="1" applyFont="1" applyFill="1" applyAlignment="1">
      <alignment horizontal="left" vertical="center" indent="1"/>
    </xf>
    <xf numFmtId="43" fontId="45" fillId="0" borderId="0" xfId="1" applyFont="1" applyFill="1" applyAlignment="1">
      <alignment horizontal="left" vertical="center" indent="2"/>
    </xf>
    <xf numFmtId="43" fontId="45" fillId="0" borderId="0" xfId="1" applyFont="1" applyFill="1" applyAlignment="1">
      <alignment horizontal="left" vertical="center" indent="3"/>
    </xf>
    <xf numFmtId="0" fontId="40" fillId="0" borderId="0" xfId="3" applyFont="1" applyAlignment="1">
      <alignment horizontal="center" vertical="center"/>
    </xf>
    <xf numFmtId="0" fontId="44" fillId="0" borderId="0" xfId="3" quotePrefix="1" applyFont="1" applyAlignment="1">
      <alignment vertical="center"/>
    </xf>
    <xf numFmtId="38" fontId="43" fillId="0" borderId="0" xfId="3" applyNumberFormat="1" applyFont="1" applyAlignment="1">
      <alignment vertical="center"/>
    </xf>
    <xf numFmtId="0" fontId="62" fillId="0" borderId="0" xfId="3" applyFont="1" applyAlignment="1">
      <alignment vertical="top"/>
    </xf>
    <xf numFmtId="0" fontId="45" fillId="0" borderId="0" xfId="3" applyFont="1"/>
    <xf numFmtId="6" fontId="67" fillId="0" borderId="0" xfId="3" applyNumberFormat="1" applyFont="1"/>
    <xf numFmtId="0" fontId="79" fillId="0" borderId="0" xfId="3" applyFont="1" applyAlignment="1" applyProtection="1">
      <alignment horizontal="center" vertical="center"/>
      <protection locked="0"/>
    </xf>
    <xf numFmtId="0" fontId="58" fillId="0" borderId="0" xfId="3" applyFont="1" applyAlignment="1" applyProtection="1">
      <alignment vertical="center"/>
      <protection locked="0"/>
    </xf>
    <xf numFmtId="0" fontId="58" fillId="0" borderId="0" xfId="3" applyFont="1" applyProtection="1">
      <protection locked="0"/>
    </xf>
    <xf numFmtId="41" fontId="45" fillId="0" borderId="0" xfId="3" applyNumberFormat="1" applyFont="1" applyAlignment="1" applyProtection="1">
      <alignment vertical="center"/>
      <protection locked="0"/>
    </xf>
    <xf numFmtId="41" fontId="62" fillId="0" borderId="0" xfId="3" applyNumberFormat="1" applyFont="1" applyAlignment="1" applyProtection="1">
      <alignment vertical="center"/>
      <protection locked="0"/>
    </xf>
    <xf numFmtId="0" fontId="44" fillId="0" borderId="0" xfId="3" applyFont="1" applyAlignment="1" applyProtection="1">
      <alignment vertical="center"/>
      <protection locked="0"/>
    </xf>
    <xf numFmtId="0" fontId="59" fillId="0" borderId="0" xfId="3" applyFont="1" applyAlignment="1" applyProtection="1">
      <alignment vertical="center"/>
      <protection locked="0"/>
    </xf>
    <xf numFmtId="41" fontId="58" fillId="0" borderId="0" xfId="3" applyNumberFormat="1" applyFont="1" applyAlignment="1" applyProtection="1">
      <alignment vertical="center"/>
      <protection locked="0"/>
    </xf>
    <xf numFmtId="167" fontId="58" fillId="0" borderId="0" xfId="3" applyNumberFormat="1" applyFont="1" applyAlignment="1" applyProtection="1">
      <alignment vertical="center"/>
      <protection locked="0"/>
    </xf>
    <xf numFmtId="167" fontId="79" fillId="0" borderId="0" xfId="3" applyNumberFormat="1" applyFont="1" applyAlignment="1" applyProtection="1">
      <alignment horizontal="center" vertical="center"/>
      <protection locked="0"/>
    </xf>
    <xf numFmtId="0" fontId="45" fillId="0" borderId="0" xfId="3" applyFont="1" applyAlignment="1">
      <alignment vertical="top"/>
    </xf>
    <xf numFmtId="0" fontId="45" fillId="0" borderId="0" xfId="3" applyFont="1" applyAlignment="1">
      <alignment horizontal="center" vertical="top"/>
    </xf>
    <xf numFmtId="6" fontId="67" fillId="0" borderId="0" xfId="3" applyNumberFormat="1" applyFont="1" applyAlignment="1">
      <alignment vertical="top"/>
    </xf>
    <xf numFmtId="0" fontId="45" fillId="0" borderId="0" xfId="3" applyFont="1" applyAlignment="1">
      <alignment horizontal="center"/>
    </xf>
    <xf numFmtId="170" fontId="41" fillId="0" borderId="0" xfId="1" applyNumberFormat="1" applyFont="1" applyFill="1" applyBorder="1" applyAlignment="1">
      <alignment vertical="center"/>
    </xf>
    <xf numFmtId="170" fontId="41" fillId="0" borderId="0" xfId="1" applyNumberFormat="1" applyFont="1" applyFill="1" applyBorder="1" applyAlignment="1">
      <alignment horizontal="left" vertical="center" indent="1"/>
    </xf>
    <xf numFmtId="43" fontId="41" fillId="0" borderId="0" xfId="1" applyFont="1"/>
    <xf numFmtId="170" fontId="40" fillId="0" borderId="0" xfId="1" applyNumberFormat="1" applyFont="1" applyAlignment="1">
      <alignment horizontal="right"/>
    </xf>
    <xf numFmtId="170" fontId="40" fillId="0" borderId="0" xfId="1" applyNumberFormat="1" applyFont="1" applyFill="1" applyAlignment="1">
      <alignment horizontal="right" vertical="center"/>
    </xf>
    <xf numFmtId="170" fontId="41" fillId="0" borderId="4" xfId="1" applyNumberFormat="1" applyFont="1" applyBorder="1"/>
    <xf numFmtId="0" fontId="40" fillId="0" borderId="0" xfId="3" applyFont="1" applyAlignment="1">
      <alignment vertical="center"/>
    </xf>
    <xf numFmtId="0" fontId="40" fillId="0" borderId="2" xfId="3" applyFont="1" applyBorder="1" applyAlignment="1">
      <alignment horizontal="center" vertical="center"/>
    </xf>
    <xf numFmtId="41" fontId="40" fillId="0" borderId="2" xfId="3" applyNumberFormat="1" applyFont="1" applyBorder="1" applyAlignment="1">
      <alignment horizontal="center" vertical="center"/>
    </xf>
    <xf numFmtId="42" fontId="58" fillId="0" borderId="0" xfId="3" applyNumberFormat="1" applyFont="1" applyAlignment="1">
      <alignment vertical="center"/>
    </xf>
    <xf numFmtId="167" fontId="58" fillId="0" borderId="2" xfId="3" applyNumberFormat="1" applyFont="1" applyBorder="1" applyAlignment="1">
      <alignment vertical="center"/>
    </xf>
    <xf numFmtId="167" fontId="58" fillId="0" borderId="1" xfId="3" applyNumberFormat="1" applyFont="1" applyBorder="1" applyAlignment="1">
      <alignment vertical="center"/>
    </xf>
    <xf numFmtId="167" fontId="58" fillId="0" borderId="0" xfId="3" applyNumberFormat="1" applyFont="1" applyAlignment="1">
      <alignment horizontal="center" vertical="center"/>
    </xf>
    <xf numFmtId="167" fontId="58" fillId="0" borderId="2" xfId="3" applyNumberFormat="1" applyFont="1" applyBorder="1" applyAlignment="1">
      <alignment horizontal="center" vertical="center"/>
    </xf>
    <xf numFmtId="42" fontId="58" fillId="0" borderId="4" xfId="3" applyNumberFormat="1" applyFont="1" applyBorder="1" applyAlignment="1">
      <alignment vertical="center"/>
    </xf>
    <xf numFmtId="41" fontId="58" fillId="0" borderId="1" xfId="3" applyNumberFormat="1" applyFont="1" applyBorder="1" applyAlignment="1">
      <alignment vertical="center"/>
    </xf>
    <xf numFmtId="172" fontId="58" fillId="0" borderId="0" xfId="2" applyNumberFormat="1" applyFont="1" applyFill="1" applyBorder="1" applyAlignment="1">
      <alignment vertical="center"/>
    </xf>
    <xf numFmtId="169" fontId="58" fillId="0" borderId="0" xfId="3" applyNumberFormat="1" applyFont="1" applyAlignment="1">
      <alignment vertical="center"/>
    </xf>
    <xf numFmtId="41" fontId="59" fillId="0" borderId="0" xfId="3" applyNumberFormat="1" applyFont="1" applyAlignment="1">
      <alignment vertical="center"/>
    </xf>
    <xf numFmtId="0" fontId="58" fillId="0" borderId="0" xfId="3" applyFont="1" applyAlignment="1">
      <alignment horizontal="left" vertical="center" indent="1"/>
    </xf>
    <xf numFmtId="41" fontId="58" fillId="0" borderId="0" xfId="3" applyNumberFormat="1" applyFont="1" applyAlignment="1">
      <alignment horizontal="left" vertical="center"/>
    </xf>
    <xf numFmtId="0" fontId="58" fillId="0" borderId="0" xfId="3" applyFont="1" applyAlignment="1">
      <alignment horizontal="left" vertical="center" indent="2"/>
    </xf>
    <xf numFmtId="0" fontId="58" fillId="0" borderId="0" xfId="3" applyFont="1" applyAlignment="1">
      <alignment horizontal="left" vertical="center"/>
    </xf>
    <xf numFmtId="0" fontId="59" fillId="0" borderId="0" xfId="3" applyFont="1" applyAlignment="1">
      <alignment horizontal="left" vertical="center"/>
    </xf>
    <xf numFmtId="6" fontId="78" fillId="0" borderId="0" xfId="3" applyNumberFormat="1" applyFont="1" applyAlignment="1">
      <alignment vertical="center"/>
    </xf>
    <xf numFmtId="41" fontId="58" fillId="0" borderId="0" xfId="3" applyNumberFormat="1" applyFont="1" applyAlignment="1">
      <alignment horizontal="centerContinuous" vertical="center"/>
    </xf>
    <xf numFmtId="5" fontId="59" fillId="0" borderId="0" xfId="3" applyNumberFormat="1" applyFont="1" applyAlignment="1">
      <alignment vertical="center"/>
    </xf>
    <xf numFmtId="6" fontId="40" fillId="0" borderId="0" xfId="3" applyNumberFormat="1" applyFont="1" applyAlignment="1">
      <alignment vertical="center"/>
    </xf>
    <xf numFmtId="0" fontId="40" fillId="0" borderId="0" xfId="3" applyFont="1" applyAlignment="1">
      <alignment horizontal="centerContinuous" vertical="center"/>
    </xf>
    <xf numFmtId="6" fontId="40" fillId="0" borderId="0" xfId="3" applyNumberFormat="1" applyFont="1" applyAlignment="1">
      <alignment horizontal="center" vertical="center"/>
    </xf>
    <xf numFmtId="42" fontId="40" fillId="0" borderId="0" xfId="3" applyNumberFormat="1" applyFont="1" applyAlignment="1">
      <alignment horizontal="center" vertical="center"/>
    </xf>
    <xf numFmtId="42" fontId="58" fillId="0" borderId="0" xfId="3" applyNumberFormat="1" applyFont="1" applyAlignment="1">
      <alignment horizontal="center" vertical="center"/>
    </xf>
    <xf numFmtId="0" fontId="58" fillId="0" borderId="0" xfId="3" applyFont="1" applyAlignment="1">
      <alignment horizontal="center" vertical="center"/>
    </xf>
    <xf numFmtId="0" fontId="60" fillId="0" borderId="0" xfId="3" applyFont="1" applyAlignment="1">
      <alignment horizontal="left" vertical="center"/>
    </xf>
    <xf numFmtId="169" fontId="58" fillId="0" borderId="0" xfId="3" applyNumberFormat="1" applyFont="1" applyAlignment="1">
      <alignment horizontal="center" vertical="center"/>
    </xf>
    <xf numFmtId="0" fontId="79" fillId="0" borderId="0" xfId="3" applyFont="1" applyAlignment="1">
      <alignment horizontal="left" vertical="center"/>
    </xf>
    <xf numFmtId="41" fontId="58" fillId="0" borderId="2" xfId="3" applyNumberFormat="1" applyFont="1" applyBorder="1" applyAlignment="1">
      <alignment vertical="center"/>
    </xf>
    <xf numFmtId="0" fontId="60" fillId="0" borderId="0" xfId="3" applyFont="1" applyAlignment="1">
      <alignment vertical="center"/>
    </xf>
    <xf numFmtId="0" fontId="39" fillId="0" borderId="14" xfId="0" applyFont="1" applyBorder="1" applyAlignment="1">
      <alignment horizontal="center" vertical="center"/>
    </xf>
    <xf numFmtId="170" fontId="40" fillId="9" borderId="15" xfId="1" applyNumberFormat="1" applyFont="1" applyFill="1" applyBorder="1" applyAlignment="1">
      <alignment horizontal="center" wrapText="1"/>
    </xf>
    <xf numFmtId="170" fontId="40" fillId="9" borderId="16" xfId="1" applyNumberFormat="1" applyFont="1" applyFill="1" applyBorder="1" applyAlignment="1">
      <alignment horizontal="center" wrapText="1"/>
    </xf>
    <xf numFmtId="170" fontId="40" fillId="9" borderId="17" xfId="1" applyNumberFormat="1" applyFont="1" applyFill="1" applyBorder="1" applyAlignment="1">
      <alignment horizontal="center" wrapText="1"/>
    </xf>
    <xf numFmtId="170" fontId="41" fillId="0" borderId="12" xfId="1" applyNumberFormat="1" applyFont="1" applyFill="1" applyBorder="1" applyAlignment="1">
      <alignment horizontal="left" vertical="center" indent="1"/>
    </xf>
    <xf numFmtId="170" fontId="40" fillId="0" borderId="0" xfId="1" applyNumberFormat="1" applyFont="1" applyFill="1" applyBorder="1" applyAlignment="1">
      <alignment horizontal="left" vertical="center" indent="1"/>
    </xf>
    <xf numFmtId="170" fontId="41" fillId="6" borderId="0" xfId="1" applyNumberFormat="1" applyFont="1" applyFill="1" applyAlignment="1">
      <alignment horizontal="left" vertical="center" indent="1"/>
    </xf>
    <xf numFmtId="170" fontId="41" fillId="6" borderId="0" xfId="1" applyNumberFormat="1" applyFont="1" applyFill="1" applyAlignment="1">
      <alignment horizontal="left" vertical="center" indent="2"/>
    </xf>
    <xf numFmtId="170" fontId="41" fillId="6" borderId="0" xfId="1" applyNumberFormat="1" applyFont="1" applyFill="1" applyAlignment="1">
      <alignment horizontal="left" vertical="center"/>
    </xf>
    <xf numFmtId="170" fontId="41" fillId="10" borderId="0" xfId="1" applyNumberFormat="1" applyFont="1" applyFill="1" applyAlignment="1">
      <alignment horizontal="left" vertical="center" indent="1"/>
    </xf>
    <xf numFmtId="170" fontId="41" fillId="10" borderId="0" xfId="1" applyNumberFormat="1" applyFont="1" applyFill="1"/>
    <xf numFmtId="170" fontId="41" fillId="10" borderId="0" xfId="1" applyNumberFormat="1" applyFont="1" applyFill="1" applyAlignment="1">
      <alignment horizontal="left" vertical="center"/>
    </xf>
    <xf numFmtId="170" fontId="41" fillId="10" borderId="0" xfId="1" applyNumberFormat="1" applyFont="1" applyFill="1" applyAlignment="1">
      <alignment vertical="center"/>
    </xf>
    <xf numFmtId="6" fontId="61" fillId="0" borderId="0" xfId="3" applyNumberFormat="1" applyFont="1" applyAlignment="1">
      <alignment vertical="center"/>
    </xf>
    <xf numFmtId="6" fontId="61" fillId="0" borderId="0" xfId="3" applyNumberFormat="1" applyFont="1" applyAlignment="1">
      <alignment horizontal="right" vertical="center"/>
    </xf>
    <xf numFmtId="6" fontId="42" fillId="0" borderId="0" xfId="3" applyNumberFormat="1" applyFont="1" applyAlignment="1">
      <alignment horizontal="right" vertical="center"/>
    </xf>
    <xf numFmtId="6" fontId="42" fillId="0" borderId="0" xfId="3" applyNumberFormat="1" applyFont="1" applyAlignment="1">
      <alignment vertical="center"/>
    </xf>
    <xf numFmtId="170" fontId="40" fillId="11" borderId="16" xfId="1" applyNumberFormat="1" applyFont="1" applyFill="1" applyBorder="1" applyAlignment="1">
      <alignment horizontal="center" wrapText="1"/>
    </xf>
    <xf numFmtId="170" fontId="40" fillId="11" borderId="18" xfId="1" applyNumberFormat="1" applyFont="1" applyFill="1" applyBorder="1" applyAlignment="1">
      <alignment horizontal="center" wrapText="1"/>
    </xf>
    <xf numFmtId="170" fontId="41" fillId="0" borderId="0" xfId="1" applyNumberFormat="1" applyFont="1" applyFill="1" applyBorder="1" applyAlignment="1">
      <alignment horizontal="left" vertical="center"/>
    </xf>
    <xf numFmtId="170" fontId="41" fillId="0" borderId="2" xfId="1" applyNumberFormat="1" applyFont="1" applyBorder="1"/>
    <xf numFmtId="43" fontId="40" fillId="0" borderId="15" xfId="1" applyFont="1" applyFill="1" applyBorder="1" applyAlignment="1">
      <alignment horizontal="center" vertical="center" wrapText="1"/>
    </xf>
    <xf numFmtId="43" fontId="40" fillId="0" borderId="0" xfId="1" applyFont="1"/>
    <xf numFmtId="43" fontId="41" fillId="0" borderId="0" xfId="1" applyFont="1" applyAlignment="1">
      <alignment horizontal="left" indent="1"/>
    </xf>
    <xf numFmtId="43" fontId="41" fillId="0" borderId="0" xfId="1" applyFont="1" applyAlignment="1">
      <alignment horizontal="left" indent="2"/>
    </xf>
    <xf numFmtId="43" fontId="40" fillId="0" borderId="0" xfId="1" applyFont="1" applyAlignment="1">
      <alignment horizontal="left" indent="1"/>
    </xf>
    <xf numFmtId="0" fontId="62" fillId="0" borderId="0" xfId="3" applyFont="1" applyAlignment="1">
      <alignment vertical="center"/>
    </xf>
    <xf numFmtId="9" fontId="45" fillId="0" borderId="0" xfId="3" applyNumberFormat="1" applyFont="1" applyAlignment="1">
      <alignment vertical="center"/>
    </xf>
    <xf numFmtId="42" fontId="40" fillId="0" borderId="0" xfId="3" applyNumberFormat="1" applyFont="1" applyAlignment="1">
      <alignment vertical="center"/>
    </xf>
    <xf numFmtId="167" fontId="59" fillId="0" borderId="0" xfId="3" applyNumberFormat="1" applyFont="1" applyAlignment="1">
      <alignment vertical="center"/>
    </xf>
    <xf numFmtId="0" fontId="58" fillId="0" borderId="0" xfId="0" applyFont="1" applyAlignment="1">
      <alignment horizontal="left" vertical="center"/>
    </xf>
    <xf numFmtId="167" fontId="58" fillId="0" borderId="0" xfId="3" applyNumberFormat="1" applyFont="1" applyAlignment="1">
      <alignment horizontal="left" vertical="center"/>
    </xf>
    <xf numFmtId="0" fontId="61" fillId="0" borderId="0" xfId="3" applyFont="1" applyAlignment="1">
      <alignment vertical="center"/>
    </xf>
    <xf numFmtId="0" fontId="61" fillId="0" borderId="0" xfId="3" applyFont="1" applyAlignment="1">
      <alignment horizontal="right" vertical="center"/>
    </xf>
    <xf numFmtId="41" fontId="61" fillId="0" borderId="0" xfId="3" applyNumberFormat="1" applyFont="1" applyAlignment="1">
      <alignment vertical="center"/>
    </xf>
    <xf numFmtId="41" fontId="78" fillId="0" borderId="0" xfId="3" applyNumberFormat="1" applyFont="1" applyAlignment="1">
      <alignment vertical="center"/>
    </xf>
    <xf numFmtId="0" fontId="80" fillId="0" borderId="0" xfId="3" applyFont="1" applyAlignment="1">
      <alignment vertical="center"/>
    </xf>
    <xf numFmtId="170" fontId="40" fillId="0" borderId="18" xfId="1" applyNumberFormat="1" applyFont="1" applyFill="1" applyBorder="1" applyAlignment="1">
      <alignment horizontal="center" wrapText="1"/>
    </xf>
    <xf numFmtId="0" fontId="81" fillId="0" borderId="0" xfId="3" applyFont="1" applyAlignment="1">
      <alignment vertical="center"/>
    </xf>
    <xf numFmtId="0" fontId="82" fillId="0" borderId="0" xfId="3" applyFont="1" applyAlignment="1">
      <alignment horizontal="center" vertical="center"/>
    </xf>
    <xf numFmtId="0" fontId="83" fillId="0" borderId="0" xfId="3" applyFont="1" applyAlignment="1">
      <alignment vertical="center"/>
    </xf>
    <xf numFmtId="0" fontId="84" fillId="0" borderId="0" xfId="3" applyFont="1" applyAlignment="1">
      <alignment vertical="center"/>
    </xf>
    <xf numFmtId="0" fontId="85" fillId="0" borderId="0" xfId="3" quotePrefix="1" applyFont="1" applyAlignment="1">
      <alignment vertical="center"/>
    </xf>
    <xf numFmtId="0" fontId="86" fillId="0" borderId="0" xfId="3" applyFont="1" applyAlignment="1">
      <alignment vertical="center"/>
    </xf>
    <xf numFmtId="0" fontId="87" fillId="0" borderId="0" xfId="3" applyFont="1" applyAlignment="1">
      <alignment vertical="center"/>
    </xf>
    <xf numFmtId="166" fontId="88" fillId="0" borderId="0" xfId="3" applyNumberFormat="1" applyFont="1" applyAlignment="1">
      <alignment horizontal="left" vertical="center"/>
    </xf>
    <xf numFmtId="0" fontId="89" fillId="0" borderId="0" xfId="3" quotePrefix="1" applyFont="1" applyAlignment="1">
      <alignment vertical="center"/>
    </xf>
    <xf numFmtId="0" fontId="41" fillId="0" borderId="0" xfId="3" applyFont="1" applyAlignment="1">
      <alignment horizontal="center" vertical="center"/>
    </xf>
    <xf numFmtId="0" fontId="40" fillId="0" borderId="0" xfId="0" applyFont="1" applyAlignment="1">
      <alignment vertical="center"/>
    </xf>
    <xf numFmtId="0" fontId="59" fillId="0" borderId="0" xfId="0" applyFont="1" applyAlignment="1">
      <alignment vertical="center"/>
    </xf>
    <xf numFmtId="0" fontId="58" fillId="0" borderId="0" xfId="0" applyFont="1" applyAlignment="1">
      <alignment vertical="center"/>
    </xf>
    <xf numFmtId="41" fontId="58" fillId="0" borderId="2" xfId="3" applyNumberFormat="1" applyFont="1" applyBorder="1" applyAlignment="1">
      <alignment horizontal="center" vertical="center"/>
    </xf>
    <xf numFmtId="5" fontId="61" fillId="0" borderId="0" xfId="3" applyNumberFormat="1" applyFont="1" applyAlignment="1">
      <alignment vertical="center"/>
    </xf>
    <xf numFmtId="5" fontId="61" fillId="0" borderId="0" xfId="3" applyNumberFormat="1" applyFont="1" applyAlignment="1">
      <alignment horizontal="center" vertical="center"/>
    </xf>
    <xf numFmtId="0" fontId="58" fillId="0" borderId="0" xfId="3" applyFont="1" applyAlignment="1">
      <alignment vertical="top"/>
    </xf>
    <xf numFmtId="0" fontId="58" fillId="0" borderId="0" xfId="3" applyFont="1" applyAlignment="1">
      <alignment horizontal="center" vertical="top"/>
    </xf>
    <xf numFmtId="6" fontId="78" fillId="0" borderId="0" xfId="3" applyNumberFormat="1" applyFont="1" applyAlignment="1">
      <alignment vertical="top"/>
    </xf>
    <xf numFmtId="0" fontId="58" fillId="0" borderId="0" xfId="0" applyFont="1" applyAlignment="1">
      <alignment horizontal="left" vertical="center" indent="1"/>
    </xf>
    <xf numFmtId="0" fontId="58" fillId="0" borderId="0" xfId="0" applyFont="1" applyAlignment="1">
      <alignment horizontal="left" vertical="center" indent="2"/>
    </xf>
    <xf numFmtId="0" fontId="58" fillId="0" borderId="0" xfId="0" applyFont="1" applyAlignment="1">
      <alignment horizontal="left" vertical="center" indent="3"/>
    </xf>
    <xf numFmtId="0" fontId="59" fillId="0" borderId="0" xfId="0" applyFont="1" applyAlignment="1">
      <alignment horizontal="left" vertical="center" indent="1"/>
    </xf>
    <xf numFmtId="0" fontId="58" fillId="0" borderId="0" xfId="0" applyFont="1" applyAlignment="1">
      <alignment horizontal="left" vertical="center" indent="4"/>
    </xf>
    <xf numFmtId="0" fontId="90" fillId="0" borderId="0" xfId="3" applyFont="1" applyAlignment="1">
      <alignment vertical="center"/>
    </xf>
    <xf numFmtId="0" fontId="47" fillId="0" borderId="0" xfId="3" applyFont="1" applyAlignment="1">
      <alignment horizontal="center" vertical="center"/>
    </xf>
    <xf numFmtId="166" fontId="40" fillId="0" borderId="0" xfId="3" applyNumberFormat="1" applyFont="1" applyAlignment="1">
      <alignment vertical="center"/>
    </xf>
    <xf numFmtId="166" fontId="40" fillId="0" borderId="0" xfId="3" applyNumberFormat="1" applyFont="1" applyAlignment="1">
      <alignment horizontal="left" vertical="center"/>
    </xf>
    <xf numFmtId="0" fontId="41" fillId="0" borderId="0" xfId="0" applyFont="1" applyAlignment="1">
      <alignment vertical="center"/>
    </xf>
    <xf numFmtId="0" fontId="91" fillId="0" borderId="0" xfId="3" applyFont="1" applyAlignment="1">
      <alignment vertical="center"/>
    </xf>
    <xf numFmtId="38" fontId="59" fillId="0" borderId="0" xfId="0" applyNumberFormat="1" applyFont="1" applyAlignment="1">
      <alignment horizontal="center" vertical="center"/>
    </xf>
    <xf numFmtId="38" fontId="41" fillId="0" borderId="0" xfId="0" applyNumberFormat="1" applyFont="1" applyAlignment="1">
      <alignment vertical="center"/>
    </xf>
    <xf numFmtId="38" fontId="58" fillId="0" borderId="0" xfId="0" applyNumberFormat="1" applyFont="1" applyAlignment="1">
      <alignment vertical="center"/>
    </xf>
    <xf numFmtId="0" fontId="58" fillId="0" borderId="0" xfId="0" applyFont="1"/>
    <xf numFmtId="6" fontId="61" fillId="0" borderId="0" xfId="0" applyNumberFormat="1" applyFont="1" applyAlignment="1">
      <alignment vertical="center"/>
    </xf>
    <xf numFmtId="0" fontId="61" fillId="0" borderId="0" xfId="0" applyFont="1"/>
    <xf numFmtId="6" fontId="61" fillId="0" borderId="0" xfId="0" applyNumberFormat="1" applyFont="1"/>
    <xf numFmtId="38" fontId="40" fillId="0" borderId="0" xfId="0" applyNumberFormat="1" applyFont="1" applyAlignment="1">
      <alignment horizontal="center" vertical="center"/>
    </xf>
    <xf numFmtId="38" fontId="40" fillId="0" borderId="0" xfId="0" quotePrefix="1" applyNumberFormat="1" applyFont="1" applyAlignment="1">
      <alignment horizontal="center" vertical="center"/>
    </xf>
    <xf numFmtId="0" fontId="40" fillId="0" borderId="0" xfId="0" applyFont="1" applyAlignment="1">
      <alignment horizontal="center" vertical="center"/>
    </xf>
    <xf numFmtId="38" fontId="40" fillId="0" borderId="1" xfId="0" applyNumberFormat="1" applyFont="1" applyBorder="1" applyAlignment="1">
      <alignment horizontal="center" vertical="center"/>
    </xf>
    <xf numFmtId="41" fontId="58" fillId="0" borderId="0" xfId="0" applyNumberFormat="1" applyFont="1" applyAlignment="1">
      <alignment horizontal="center" vertical="center"/>
    </xf>
    <xf numFmtId="41" fontId="58" fillId="0" borderId="0" xfId="0" applyNumberFormat="1" applyFont="1" applyAlignment="1">
      <alignment vertical="center"/>
    </xf>
    <xf numFmtId="41" fontId="58" fillId="0" borderId="0" xfId="0" applyNumberFormat="1" applyFont="1"/>
    <xf numFmtId="167" fontId="58" fillId="0" borderId="0" xfId="0" applyNumberFormat="1" applyFont="1" applyAlignment="1">
      <alignment vertical="center"/>
    </xf>
    <xf numFmtId="167" fontId="58" fillId="0" borderId="0" xfId="0" applyNumberFormat="1" applyFont="1"/>
    <xf numFmtId="167" fontId="58" fillId="0" borderId="2" xfId="0" applyNumberFormat="1" applyFont="1" applyBorder="1" applyAlignment="1">
      <alignment vertical="center"/>
    </xf>
    <xf numFmtId="42" fontId="58" fillId="0" borderId="4" xfId="0" applyNumberFormat="1" applyFont="1" applyBorder="1" applyAlignment="1">
      <alignment vertical="center"/>
    </xf>
    <xf numFmtId="172" fontId="58" fillId="0" borderId="0" xfId="2" applyNumberFormat="1" applyFont="1" applyFill="1" applyAlignment="1">
      <alignment vertical="center"/>
    </xf>
    <xf numFmtId="167" fontId="58" fillId="0" borderId="1" xfId="0" applyNumberFormat="1" applyFont="1" applyBorder="1" applyAlignment="1">
      <alignment vertical="center"/>
    </xf>
    <xf numFmtId="0" fontId="77" fillId="0" borderId="0" xfId="3" applyFont="1" applyAlignment="1">
      <alignment vertical="center"/>
    </xf>
    <xf numFmtId="0" fontId="92" fillId="0" borderId="0" xfId="3" quotePrefix="1" applyFont="1" applyAlignment="1">
      <alignment vertical="center"/>
    </xf>
    <xf numFmtId="0" fontId="40" fillId="0" borderId="0" xfId="3" applyFont="1" applyAlignment="1">
      <alignment horizontal="left" vertical="center"/>
    </xf>
    <xf numFmtId="172" fontId="58" fillId="0" borderId="0" xfId="2" applyNumberFormat="1" applyFont="1" applyFill="1" applyBorder="1" applyAlignment="1">
      <alignment horizontal="center" vertical="center"/>
    </xf>
    <xf numFmtId="172" fontId="58" fillId="0" borderId="4" xfId="2" applyNumberFormat="1" applyFont="1" applyFill="1" applyBorder="1" applyAlignment="1">
      <alignment vertical="center"/>
    </xf>
    <xf numFmtId="42" fontId="58" fillId="0" borderId="0" xfId="0" applyNumberFormat="1" applyFont="1" applyAlignment="1">
      <alignment vertical="center"/>
    </xf>
    <xf numFmtId="0" fontId="93" fillId="0" borderId="0" xfId="3" applyFont="1" applyAlignment="1">
      <alignment vertical="center"/>
    </xf>
    <xf numFmtId="38" fontId="40" fillId="0" borderId="0" xfId="0" applyNumberFormat="1" applyFont="1" applyAlignment="1">
      <alignment vertical="center"/>
    </xf>
    <xf numFmtId="38" fontId="94" fillId="0" borderId="0" xfId="3" applyNumberFormat="1" applyFont="1" applyAlignment="1">
      <alignment horizontal="center" vertical="center"/>
    </xf>
    <xf numFmtId="38" fontId="62" fillId="0" borderId="0" xfId="3" applyNumberFormat="1" applyFont="1" applyAlignment="1">
      <alignment vertical="center"/>
    </xf>
    <xf numFmtId="0" fontId="44" fillId="0" borderId="0" xfId="3" applyFont="1" applyAlignment="1">
      <alignment horizontal="center"/>
    </xf>
    <xf numFmtId="38" fontId="40" fillId="0" borderId="0" xfId="3" applyNumberFormat="1" applyFont="1" applyAlignment="1">
      <alignment horizontal="center" vertical="center"/>
    </xf>
    <xf numFmtId="38" fontId="40" fillId="0" borderId="0" xfId="3" applyNumberFormat="1" applyFont="1" applyAlignment="1">
      <alignment vertical="center"/>
    </xf>
    <xf numFmtId="0" fontId="92" fillId="0" borderId="0" xfId="3" applyFont="1" applyAlignment="1">
      <alignment horizontal="center"/>
    </xf>
    <xf numFmtId="0" fontId="40" fillId="0" borderId="0" xfId="3" applyFont="1" applyAlignment="1">
      <alignment horizontal="center"/>
    </xf>
    <xf numFmtId="38" fontId="40" fillId="0" borderId="1" xfId="3" applyNumberFormat="1" applyFont="1" applyBorder="1" applyAlignment="1">
      <alignment horizontal="center" vertical="center"/>
    </xf>
    <xf numFmtId="0" fontId="40" fillId="0" borderId="0" xfId="3" applyFont="1" applyAlignment="1" applyProtection="1">
      <alignment vertical="center"/>
      <protection locked="0"/>
    </xf>
    <xf numFmtId="41" fontId="40" fillId="0" borderId="0" xfId="3" applyNumberFormat="1" applyFont="1" applyAlignment="1" applyProtection="1">
      <alignment vertical="center"/>
      <protection locked="0"/>
    </xf>
    <xf numFmtId="0" fontId="40" fillId="0" borderId="0" xfId="3" applyFont="1" applyProtection="1">
      <protection locked="0"/>
    </xf>
    <xf numFmtId="0" fontId="40" fillId="0" borderId="0" xfId="3" applyFont="1" applyAlignment="1" applyProtection="1">
      <alignment horizontal="center" vertical="center"/>
      <protection locked="0"/>
    </xf>
    <xf numFmtId="0" fontId="40" fillId="0" borderId="0" xfId="3" applyFont="1" applyAlignment="1" applyProtection="1">
      <alignment vertical="center" wrapText="1"/>
      <protection locked="0"/>
    </xf>
    <xf numFmtId="0" fontId="40" fillId="0" borderId="0" xfId="3" applyFont="1" applyAlignment="1">
      <alignment vertical="center" wrapText="1"/>
    </xf>
    <xf numFmtId="6" fontId="43" fillId="0" borderId="0" xfId="3" applyNumberFormat="1" applyFont="1" applyAlignment="1">
      <alignment vertical="center"/>
    </xf>
    <xf numFmtId="6" fontId="43" fillId="0" borderId="0" xfId="3" applyNumberFormat="1" applyFont="1" applyAlignment="1">
      <alignment horizontal="center" vertical="center"/>
    </xf>
    <xf numFmtId="0" fontId="59" fillId="0" borderId="0" xfId="3" applyFont="1" applyAlignment="1" applyProtection="1">
      <alignment horizontal="left" vertical="center"/>
      <protection locked="0"/>
    </xf>
    <xf numFmtId="0" fontId="58" fillId="0" borderId="0" xfId="3" applyFont="1" applyAlignment="1" applyProtection="1">
      <alignment horizontal="center" vertical="center"/>
      <protection locked="0"/>
    </xf>
    <xf numFmtId="0" fontId="58" fillId="0" borderId="0" xfId="3" applyFont="1" applyAlignment="1" applyProtection="1">
      <alignment horizontal="left" vertical="center"/>
      <protection locked="0"/>
    </xf>
    <xf numFmtId="42" fontId="58" fillId="0" borderId="0" xfId="0" applyNumberFormat="1" applyFont="1" applyAlignment="1" applyProtection="1">
      <alignment vertical="center"/>
      <protection locked="0"/>
    </xf>
    <xf numFmtId="41" fontId="59" fillId="0" borderId="0" xfId="3" applyNumberFormat="1" applyFont="1" applyAlignment="1" applyProtection="1">
      <alignment vertical="center"/>
      <protection locked="0"/>
    </xf>
    <xf numFmtId="0" fontId="59" fillId="0" borderId="0" xfId="3" applyFont="1" applyProtection="1">
      <protection locked="0"/>
    </xf>
    <xf numFmtId="170" fontId="58" fillId="0" borderId="0" xfId="1" applyNumberFormat="1" applyFont="1" applyFill="1" applyBorder="1" applyAlignment="1" applyProtection="1">
      <alignment vertical="center"/>
      <protection locked="0"/>
    </xf>
    <xf numFmtId="170" fontId="58" fillId="0" borderId="0" xfId="1" applyNumberFormat="1" applyFont="1" applyFill="1" applyBorder="1" applyAlignment="1" applyProtection="1">
      <alignment vertical="center"/>
    </xf>
    <xf numFmtId="41" fontId="58" fillId="0" borderId="0" xfId="0" applyNumberFormat="1" applyFont="1" applyAlignment="1" applyProtection="1">
      <alignment vertical="center"/>
      <protection locked="0"/>
    </xf>
    <xf numFmtId="167" fontId="58" fillId="0" borderId="0" xfId="3" applyNumberFormat="1" applyFont="1" applyAlignment="1" applyProtection="1">
      <alignment horizontal="left" vertical="center"/>
      <protection locked="0"/>
    </xf>
    <xf numFmtId="0" fontId="60" fillId="0" borderId="0" xfId="3" applyFont="1" applyProtection="1">
      <protection locked="0"/>
    </xf>
    <xf numFmtId="0" fontId="58" fillId="0" borderId="2" xfId="3" applyFont="1" applyBorder="1" applyAlignment="1" applyProtection="1">
      <alignment horizontal="center" vertical="center"/>
      <protection locked="0"/>
    </xf>
    <xf numFmtId="0" fontId="58" fillId="0" borderId="0" xfId="3" applyFont="1"/>
    <xf numFmtId="41" fontId="58" fillId="0" borderId="1" xfId="0" applyNumberFormat="1" applyFont="1" applyBorder="1" applyAlignment="1" applyProtection="1">
      <alignment vertical="center"/>
      <protection locked="0"/>
    </xf>
    <xf numFmtId="167" fontId="58" fillId="0" borderId="1" xfId="3" applyNumberFormat="1" applyFont="1" applyBorder="1" applyAlignment="1" applyProtection="1">
      <alignment vertical="center"/>
      <protection locked="0"/>
    </xf>
    <xf numFmtId="42" fontId="58" fillId="0" borderId="0" xfId="3" applyNumberFormat="1" applyFont="1" applyAlignment="1" applyProtection="1">
      <alignment vertical="center"/>
      <protection locked="0"/>
    </xf>
    <xf numFmtId="167" fontId="58" fillId="0" borderId="2" xfId="3" applyNumberFormat="1" applyFont="1" applyBorder="1" applyAlignment="1" applyProtection="1">
      <alignment vertical="center"/>
      <protection locked="0"/>
    </xf>
    <xf numFmtId="0" fontId="61" fillId="0" borderId="0" xfId="3" applyFont="1" applyProtection="1">
      <protection locked="0"/>
    </xf>
    <xf numFmtId="0" fontId="61" fillId="0" borderId="0" xfId="3" applyFont="1" applyAlignment="1" applyProtection="1">
      <alignment vertical="center"/>
      <protection locked="0"/>
    </xf>
    <xf numFmtId="0" fontId="61" fillId="0" borderId="0" xfId="3" applyFont="1" applyAlignment="1" applyProtection="1">
      <alignment horizontal="right" vertical="center"/>
      <protection locked="0"/>
    </xf>
    <xf numFmtId="0" fontId="61" fillId="0" borderId="0" xfId="3" applyFont="1" applyAlignment="1" applyProtection="1">
      <alignment horizontal="center" vertical="center"/>
      <protection locked="0"/>
    </xf>
    <xf numFmtId="0" fontId="58" fillId="0" borderId="0" xfId="3" applyFont="1" applyAlignment="1" applyProtection="1">
      <alignment horizontal="right" vertical="center"/>
      <protection locked="0"/>
    </xf>
    <xf numFmtId="37" fontId="58" fillId="0" borderId="0" xfId="3" applyNumberFormat="1" applyFont="1" applyAlignment="1">
      <alignment vertical="center"/>
    </xf>
    <xf numFmtId="0" fontId="58" fillId="0" borderId="0" xfId="3" applyFont="1" applyAlignment="1">
      <alignment horizontal="justify" vertical="center"/>
    </xf>
    <xf numFmtId="38" fontId="58" fillId="0" borderId="0" xfId="3" applyNumberFormat="1" applyFont="1" applyAlignment="1">
      <alignment vertical="center"/>
    </xf>
    <xf numFmtId="0" fontId="58" fillId="0" borderId="0" xfId="3" applyFont="1" applyAlignment="1">
      <alignment horizontal="left" vertical="justify" indent="2"/>
    </xf>
    <xf numFmtId="166" fontId="33" fillId="0" borderId="0" xfId="3" applyNumberFormat="1" applyFont="1" applyAlignment="1">
      <alignment vertical="center"/>
    </xf>
    <xf numFmtId="0" fontId="40" fillId="0" borderId="0" xfId="3" applyFont="1" applyAlignment="1">
      <alignment vertical="top"/>
    </xf>
    <xf numFmtId="0" fontId="41" fillId="0" borderId="0" xfId="3" applyFont="1"/>
    <xf numFmtId="0" fontId="79" fillId="0" borderId="0" xfId="3" applyFont="1" applyAlignment="1">
      <alignment horizontal="center" vertical="center"/>
    </xf>
    <xf numFmtId="0" fontId="58" fillId="0" borderId="2" xfId="3" applyFont="1" applyBorder="1" applyAlignment="1">
      <alignment vertical="center"/>
    </xf>
    <xf numFmtId="165" fontId="61" fillId="0" borderId="0" xfId="3" applyNumberFormat="1" applyFont="1" applyAlignment="1">
      <alignment vertical="center"/>
    </xf>
    <xf numFmtId="165" fontId="61" fillId="0" borderId="0" xfId="3" applyNumberFormat="1" applyFont="1" applyAlignment="1">
      <alignment horizontal="center" vertical="center"/>
    </xf>
    <xf numFmtId="172" fontId="58" fillId="0" borderId="0" xfId="2" applyNumberFormat="1" applyFont="1" applyFill="1" applyAlignment="1">
      <alignment horizontal="center" vertical="center"/>
    </xf>
    <xf numFmtId="0" fontId="45" fillId="0" borderId="0" xfId="0" applyFont="1" applyAlignment="1">
      <alignment vertical="center"/>
    </xf>
    <xf numFmtId="0" fontId="62" fillId="0" borderId="0" xfId="0" applyFont="1" applyAlignment="1">
      <alignment vertical="center"/>
    </xf>
    <xf numFmtId="169" fontId="45" fillId="0" borderId="0" xfId="3" applyNumberFormat="1" applyFont="1" applyAlignment="1">
      <alignment vertical="center"/>
    </xf>
    <xf numFmtId="6" fontId="61" fillId="0" borderId="0" xfId="3" applyNumberFormat="1" applyFont="1" applyAlignment="1">
      <alignment horizontal="center" vertical="center"/>
    </xf>
    <xf numFmtId="165" fontId="61" fillId="0" borderId="0" xfId="0" applyNumberFormat="1" applyFont="1" applyAlignment="1">
      <alignment vertical="center"/>
    </xf>
    <xf numFmtId="0" fontId="68" fillId="0" borderId="3" xfId="3" applyFont="1" applyBorder="1" applyAlignment="1">
      <alignment vertical="center"/>
    </xf>
    <xf numFmtId="0" fontId="93" fillId="0" borderId="0" xfId="0" applyFont="1" applyAlignment="1">
      <alignment vertical="center"/>
    </xf>
    <xf numFmtId="166" fontId="62" fillId="0" borderId="0" xfId="3" applyNumberFormat="1" applyFont="1" applyAlignment="1">
      <alignment horizontal="left" vertical="center"/>
    </xf>
    <xf numFmtId="166" fontId="62" fillId="0" borderId="0" xfId="3" applyNumberFormat="1" applyFont="1" applyAlignment="1">
      <alignment vertical="center"/>
    </xf>
    <xf numFmtId="0" fontId="41" fillId="0" borderId="0" xfId="0" applyFont="1" applyAlignment="1">
      <alignment horizontal="center" vertical="center"/>
    </xf>
    <xf numFmtId="38" fontId="45" fillId="0" borderId="0" xfId="0" applyNumberFormat="1" applyFont="1" applyAlignment="1">
      <alignment vertical="center"/>
    </xf>
    <xf numFmtId="0" fontId="45" fillId="0" borderId="0" xfId="0" applyFont="1"/>
    <xf numFmtId="41" fontId="45" fillId="0" borderId="0" xfId="0" applyNumberFormat="1" applyFont="1" applyAlignment="1">
      <alignment vertical="center"/>
    </xf>
    <xf numFmtId="167" fontId="45" fillId="0" borderId="0" xfId="0" applyNumberFormat="1" applyFont="1" applyAlignment="1">
      <alignment vertical="center"/>
    </xf>
    <xf numFmtId="0" fontId="58" fillId="0" borderId="0" xfId="0" applyFont="1" applyAlignment="1">
      <alignment horizontal="center" vertical="center"/>
    </xf>
    <xf numFmtId="0" fontId="97" fillId="0" borderId="0" xfId="3" applyFont="1" applyAlignment="1">
      <alignment vertical="center"/>
    </xf>
    <xf numFmtId="166" fontId="98" fillId="0" borderId="0" xfId="3" applyNumberFormat="1" applyFont="1" applyAlignment="1">
      <alignment vertical="center"/>
    </xf>
    <xf numFmtId="0" fontId="99" fillId="0" borderId="0" xfId="3" applyFont="1" applyAlignment="1">
      <alignment vertical="center"/>
    </xf>
    <xf numFmtId="0" fontId="34" fillId="0" borderId="0" xfId="3" applyFont="1" applyAlignment="1">
      <alignment vertical="center"/>
    </xf>
    <xf numFmtId="170" fontId="58" fillId="0" borderId="0" xfId="1" applyNumberFormat="1" applyFont="1" applyFill="1" applyAlignment="1">
      <alignment vertical="center"/>
    </xf>
    <xf numFmtId="170" fontId="58" fillId="0" borderId="0" xfId="1" applyNumberFormat="1" applyFont="1" applyFill="1" applyAlignment="1">
      <alignment horizontal="center" vertical="center"/>
    </xf>
    <xf numFmtId="0" fontId="68" fillId="0" borderId="0" xfId="3" applyFont="1" applyAlignment="1">
      <alignment vertical="center"/>
    </xf>
    <xf numFmtId="0" fontId="36" fillId="0" borderId="0" xfId="3" quotePrefix="1" applyFont="1" applyAlignment="1">
      <alignment vertical="center"/>
    </xf>
    <xf numFmtId="0" fontId="40" fillId="0" borderId="0" xfId="3" applyFont="1" applyAlignment="1">
      <alignment horizontal="right" vertical="center"/>
    </xf>
    <xf numFmtId="170" fontId="58" fillId="0" borderId="0" xfId="1" applyNumberFormat="1" applyFont="1" applyFill="1" applyBorder="1" applyAlignment="1">
      <alignment vertical="center"/>
    </xf>
    <xf numFmtId="170" fontId="59" fillId="0" borderId="0" xfId="1" applyNumberFormat="1" applyFont="1" applyFill="1" applyAlignment="1">
      <alignment vertical="center"/>
    </xf>
    <xf numFmtId="0" fontId="58" fillId="0" borderId="2" xfId="3" applyFont="1" applyBorder="1" applyAlignment="1">
      <alignment horizontal="center" vertical="center"/>
    </xf>
    <xf numFmtId="0" fontId="100" fillId="0" borderId="0" xfId="0" applyFont="1" applyAlignment="1">
      <alignment vertical="center"/>
    </xf>
    <xf numFmtId="0" fontId="40" fillId="0" borderId="0" xfId="0" quotePrefix="1" applyFont="1" applyAlignment="1">
      <alignment horizontal="center" vertical="center"/>
    </xf>
    <xf numFmtId="44" fontId="58" fillId="0" borderId="0" xfId="2" applyFont="1" applyFill="1" applyAlignment="1">
      <alignment vertical="center"/>
    </xf>
    <xf numFmtId="0" fontId="101" fillId="0" borderId="0" xfId="0" applyFont="1" applyAlignment="1">
      <alignment vertical="center"/>
    </xf>
    <xf numFmtId="41" fontId="58" fillId="0" borderId="0" xfId="3" applyNumberFormat="1" applyFont="1" applyAlignment="1">
      <alignment horizontal="left" vertical="center" indent="1"/>
    </xf>
    <xf numFmtId="41" fontId="58" fillId="0" borderId="0" xfId="3" applyNumberFormat="1" applyFont="1" applyAlignment="1">
      <alignment horizontal="left" vertical="center" indent="2"/>
    </xf>
    <xf numFmtId="0" fontId="40" fillId="0" borderId="0" xfId="0" applyFont="1" applyAlignment="1">
      <alignment horizontal="left" indent="1"/>
    </xf>
    <xf numFmtId="43" fontId="40" fillId="0" borderId="16" xfId="1" applyFont="1" applyFill="1" applyBorder="1" applyAlignment="1">
      <alignment horizontal="center" wrapText="1"/>
    </xf>
    <xf numFmtId="43" fontId="40" fillId="4" borderId="16" xfId="1" applyFont="1" applyFill="1" applyBorder="1" applyAlignment="1">
      <alignment horizontal="center" wrapText="1"/>
    </xf>
    <xf numFmtId="43" fontId="40" fillId="2" borderId="16" xfId="1" applyFont="1" applyFill="1" applyBorder="1" applyAlignment="1">
      <alignment horizontal="center" wrapText="1"/>
    </xf>
    <xf numFmtId="43" fontId="40" fillId="5" borderId="16" xfId="1" applyFont="1" applyFill="1" applyBorder="1" applyAlignment="1">
      <alignment horizontal="center" wrapText="1"/>
    </xf>
    <xf numFmtId="43" fontId="40" fillId="6" borderId="16" xfId="1" applyFont="1" applyFill="1" applyBorder="1" applyAlignment="1">
      <alignment horizontal="center" wrapText="1"/>
    </xf>
    <xf numFmtId="43" fontId="40" fillId="3" borderId="16" xfId="1" applyFont="1" applyFill="1" applyBorder="1" applyAlignment="1">
      <alignment horizontal="center" wrapText="1"/>
    </xf>
    <xf numFmtId="43" fontId="40" fillId="11" borderId="16" xfId="1" applyFont="1" applyFill="1" applyBorder="1" applyAlignment="1">
      <alignment horizontal="center" wrapText="1"/>
    </xf>
    <xf numFmtId="43" fontId="40" fillId="11" borderId="18" xfId="1" applyFont="1" applyFill="1" applyBorder="1" applyAlignment="1">
      <alignment horizontal="center" wrapText="1"/>
    </xf>
    <xf numFmtId="170" fontId="40" fillId="0" borderId="0" xfId="1" applyNumberFormat="1" applyFont="1"/>
    <xf numFmtId="170" fontId="40" fillId="0" borderId="0" xfId="1" applyNumberFormat="1" applyFont="1" applyAlignment="1">
      <alignment horizontal="left" indent="1"/>
    </xf>
    <xf numFmtId="170" fontId="41" fillId="0" borderId="0" xfId="1" applyNumberFormat="1" applyFont="1" applyAlignment="1">
      <alignment horizontal="left" indent="2"/>
    </xf>
    <xf numFmtId="172" fontId="41" fillId="0" borderId="4" xfId="2" applyNumberFormat="1" applyFont="1" applyBorder="1"/>
    <xf numFmtId="172" fontId="41" fillId="0" borderId="0" xfId="2" applyNumberFormat="1" applyFont="1"/>
    <xf numFmtId="172" fontId="40" fillId="0" borderId="0" xfId="2" applyNumberFormat="1" applyFont="1"/>
    <xf numFmtId="170" fontId="40" fillId="0" borderId="15" xfId="1" applyNumberFormat="1" applyFont="1" applyFill="1" applyBorder="1" applyAlignment="1">
      <alignment horizontal="center" vertical="center" wrapText="1"/>
    </xf>
    <xf numFmtId="43" fontId="40" fillId="0" borderId="0" xfId="1" applyFont="1" applyAlignment="1">
      <alignment horizontal="left" wrapText="1" indent="1"/>
    </xf>
    <xf numFmtId="170" fontId="40" fillId="0" borderId="2" xfId="1" applyNumberFormat="1" applyFont="1" applyBorder="1"/>
    <xf numFmtId="167" fontId="40" fillId="0" borderId="0" xfId="3" applyNumberFormat="1" applyFont="1" applyAlignment="1">
      <alignment horizontal="center" vertical="center"/>
    </xf>
    <xf numFmtId="0" fontId="42" fillId="0" borderId="0" xfId="3" applyFont="1" applyAlignment="1">
      <alignment horizontal="center" vertical="center"/>
    </xf>
    <xf numFmtId="166" fontId="42" fillId="0" borderId="0" xfId="3" applyNumberFormat="1" applyFont="1" applyAlignment="1">
      <alignment vertical="center"/>
    </xf>
    <xf numFmtId="0" fontId="103" fillId="0" borderId="0" xfId="3" applyFont="1" applyAlignment="1">
      <alignment vertical="center"/>
    </xf>
    <xf numFmtId="0" fontId="45" fillId="0" borderId="0" xfId="3" applyFont="1" applyAlignment="1" applyProtection="1">
      <alignment vertical="center"/>
      <protection locked="0"/>
    </xf>
    <xf numFmtId="0" fontId="45" fillId="0" borderId="0" xfId="3" applyFont="1" applyAlignment="1" applyProtection="1">
      <alignment horizontal="centerContinuous" vertical="center"/>
      <protection locked="0"/>
    </xf>
    <xf numFmtId="15" fontId="44" fillId="0" borderId="0" xfId="3" quotePrefix="1" applyNumberFormat="1" applyFont="1" applyAlignment="1" applyProtection="1">
      <alignment vertical="center"/>
      <protection locked="0"/>
    </xf>
    <xf numFmtId="0" fontId="45" fillId="0" borderId="0" xfId="3" applyFont="1" applyProtection="1">
      <protection locked="0"/>
    </xf>
    <xf numFmtId="49" fontId="40" fillId="0" borderId="0" xfId="3" applyNumberFormat="1" applyFont="1" applyAlignment="1" applyProtection="1">
      <alignment horizontal="centerContinuous" vertical="center"/>
      <protection locked="0"/>
    </xf>
    <xf numFmtId="0" fontId="40" fillId="0" borderId="1" xfId="3" applyFont="1" applyBorder="1" applyAlignment="1">
      <alignment horizontal="center" vertical="center"/>
    </xf>
    <xf numFmtId="0" fontId="40" fillId="0" borderId="2" xfId="0" applyFont="1" applyBorder="1" applyAlignment="1">
      <alignment horizontal="center" vertical="center"/>
    </xf>
    <xf numFmtId="170" fontId="58" fillId="0" borderId="0" xfId="1" applyNumberFormat="1" applyFont="1" applyFill="1" applyAlignment="1" applyProtection="1">
      <alignment vertical="center"/>
    </xf>
    <xf numFmtId="0" fontId="58" fillId="0" borderId="0" xfId="3" applyFont="1" applyAlignment="1" applyProtection="1">
      <alignment horizontal="left" vertical="center" indent="1"/>
      <protection locked="0"/>
    </xf>
    <xf numFmtId="42" fontId="58" fillId="0" borderId="1" xfId="3" applyNumberFormat="1" applyFont="1" applyBorder="1" applyAlignment="1">
      <alignment vertical="center"/>
    </xf>
    <xf numFmtId="0" fontId="59" fillId="0" borderId="0" xfId="3" applyFont="1" applyAlignment="1" applyProtection="1">
      <alignment horizontal="right" vertical="center"/>
      <protection locked="0"/>
    </xf>
    <xf numFmtId="0" fontId="78" fillId="0" borderId="0" xfId="3" applyFont="1" applyAlignment="1" applyProtection="1">
      <alignment vertical="center"/>
      <protection locked="0"/>
    </xf>
    <xf numFmtId="0" fontId="78" fillId="0" borderId="0" xfId="3" applyFont="1" applyProtection="1">
      <protection locked="0"/>
    </xf>
    <xf numFmtId="0" fontId="80" fillId="0" borderId="0" xfId="3" applyFont="1" applyAlignment="1" applyProtection="1">
      <alignment vertical="center"/>
      <protection locked="0"/>
    </xf>
    <xf numFmtId="0" fontId="80" fillId="0" borderId="0" xfId="3" applyFont="1" applyProtection="1">
      <protection locked="0"/>
    </xf>
    <xf numFmtId="9" fontId="44" fillId="0" borderId="0" xfId="3" applyNumberFormat="1" applyFont="1" applyAlignment="1" applyProtection="1">
      <alignment vertical="center"/>
      <protection locked="0"/>
    </xf>
    <xf numFmtId="0" fontId="44" fillId="0" borderId="0" xfId="3" quotePrefix="1" applyFont="1" applyAlignment="1" applyProtection="1">
      <alignment vertical="center"/>
      <protection locked="0"/>
    </xf>
    <xf numFmtId="0" fontId="45" fillId="0" borderId="0" xfId="3" applyFont="1" applyAlignment="1" applyProtection="1">
      <alignment horizontal="center" vertical="center"/>
      <protection locked="0"/>
    </xf>
    <xf numFmtId="41" fontId="58" fillId="0" borderId="0" xfId="3" applyNumberFormat="1" applyFont="1" applyAlignment="1" applyProtection="1">
      <alignment horizontal="center" vertical="center"/>
      <protection locked="0"/>
    </xf>
    <xf numFmtId="0" fontId="92" fillId="0" borderId="0" xfId="3" applyFont="1" applyAlignment="1" applyProtection="1">
      <alignment vertical="center"/>
      <protection locked="0"/>
    </xf>
    <xf numFmtId="0" fontId="40" fillId="0" borderId="0" xfId="3" applyFont="1" applyAlignment="1" applyProtection="1">
      <alignment horizontal="center" vertical="center" wrapText="1"/>
      <protection locked="0"/>
    </xf>
    <xf numFmtId="41" fontId="58" fillId="0" borderId="2" xfId="3" applyNumberFormat="1" applyFont="1" applyBorder="1" applyAlignment="1" applyProtection="1">
      <alignment vertical="center"/>
      <protection locked="0"/>
    </xf>
    <xf numFmtId="0" fontId="58" fillId="0" borderId="2" xfId="3" applyFont="1" applyBorder="1" applyAlignment="1" applyProtection="1">
      <alignment vertical="center"/>
      <protection locked="0"/>
    </xf>
    <xf numFmtId="42" fontId="58" fillId="0" borderId="4" xfId="3" applyNumberFormat="1" applyFont="1" applyBorder="1" applyAlignment="1" applyProtection="1">
      <alignment vertical="center"/>
      <protection locked="0"/>
    </xf>
    <xf numFmtId="0" fontId="40" fillId="0" borderId="0" xfId="3" applyFont="1"/>
    <xf numFmtId="0" fontId="59" fillId="0" borderId="0" xfId="3" applyFont="1"/>
    <xf numFmtId="0" fontId="60" fillId="0" borderId="0" xfId="3" applyFont="1"/>
    <xf numFmtId="169" fontId="58" fillId="0" borderId="1" xfId="3" applyNumberFormat="1" applyFont="1" applyBorder="1" applyAlignment="1">
      <alignment vertical="center"/>
    </xf>
    <xf numFmtId="0" fontId="45" fillId="0" borderId="0" xfId="3" applyFont="1" applyAlignment="1">
      <alignment horizontal="centerContinuous" vertical="center"/>
    </xf>
    <xf numFmtId="169" fontId="45" fillId="0" borderId="0" xfId="3" applyNumberFormat="1" applyFont="1" applyAlignment="1">
      <alignment horizontal="center" vertical="center"/>
    </xf>
    <xf numFmtId="169" fontId="62" fillId="0" borderId="0" xfId="3" applyNumberFormat="1" applyFont="1" applyAlignment="1">
      <alignment vertical="center"/>
    </xf>
    <xf numFmtId="0" fontId="49" fillId="0" borderId="0" xfId="3" applyFont="1" applyAlignment="1">
      <alignment horizontal="centerContinuous" vertical="center"/>
    </xf>
    <xf numFmtId="0" fontId="48" fillId="0" borderId="0" xfId="3" applyFont="1" applyAlignment="1">
      <alignment vertical="center"/>
    </xf>
    <xf numFmtId="0" fontId="92" fillId="0" borderId="0" xfId="3" applyFont="1" applyAlignment="1">
      <alignment vertical="center"/>
    </xf>
    <xf numFmtId="41" fontId="45" fillId="0" borderId="0" xfId="3" applyNumberFormat="1" applyFont="1" applyAlignment="1">
      <alignment horizontal="left" vertical="center"/>
    </xf>
    <xf numFmtId="167" fontId="45" fillId="0" borderId="0" xfId="3" applyNumberFormat="1" applyFont="1" applyAlignment="1">
      <alignment horizontal="right" vertical="center"/>
    </xf>
    <xf numFmtId="41" fontId="62" fillId="0" borderId="0" xfId="3" applyNumberFormat="1" applyFont="1" applyAlignment="1">
      <alignment vertical="center"/>
    </xf>
    <xf numFmtId="0" fontId="105" fillId="0" borderId="0" xfId="3" applyFont="1" applyAlignment="1">
      <alignment horizontal="left" vertical="center"/>
    </xf>
    <xf numFmtId="0" fontId="106" fillId="0" borderId="0" xfId="3" applyFont="1" applyAlignment="1">
      <alignment horizontal="left" vertical="center"/>
    </xf>
    <xf numFmtId="0" fontId="102" fillId="0" borderId="0" xfId="3" applyFont="1" applyAlignment="1">
      <alignment horizontal="left" vertical="center"/>
    </xf>
    <xf numFmtId="0" fontId="109" fillId="0" borderId="0" xfId="3" applyFont="1" applyAlignment="1">
      <alignment horizontal="left" vertical="center"/>
    </xf>
    <xf numFmtId="0" fontId="113" fillId="0" borderId="0" xfId="3" applyFont="1" applyAlignment="1">
      <alignment horizontal="left" vertical="center"/>
    </xf>
    <xf numFmtId="0" fontId="114" fillId="0" borderId="0" xfId="3" applyFont="1" applyAlignment="1">
      <alignment horizontal="left" vertical="center"/>
    </xf>
    <xf numFmtId="0" fontId="115" fillId="0" borderId="0" xfId="3" applyFont="1" applyAlignment="1">
      <alignment horizontal="left" vertical="center"/>
    </xf>
    <xf numFmtId="41" fontId="45" fillId="0" borderId="0" xfId="3" applyNumberFormat="1" applyFont="1"/>
    <xf numFmtId="41" fontId="62" fillId="0" borderId="0" xfId="3" applyNumberFormat="1" applyFont="1" applyAlignment="1">
      <alignment horizontal="center" vertical="center"/>
    </xf>
    <xf numFmtId="5" fontId="67" fillId="0" borderId="0" xfId="3" applyNumberFormat="1" applyFont="1" applyAlignment="1">
      <alignment horizontal="right" vertical="center"/>
    </xf>
    <xf numFmtId="5" fontId="67" fillId="0" borderId="0" xfId="3" applyNumberFormat="1" applyFont="1" applyAlignment="1">
      <alignment horizontal="centerContinuous" vertical="center"/>
    </xf>
    <xf numFmtId="43" fontId="59" fillId="0" borderId="0" xfId="1" applyFont="1" applyFill="1" applyAlignment="1">
      <alignment vertical="center"/>
    </xf>
    <xf numFmtId="43" fontId="45" fillId="0" borderId="0" xfId="1" applyFont="1" applyFill="1"/>
    <xf numFmtId="0" fontId="90" fillId="0" borderId="0" xfId="3" applyFont="1" applyAlignment="1" applyProtection="1">
      <alignment vertical="center"/>
      <protection locked="0"/>
    </xf>
    <xf numFmtId="169" fontId="45" fillId="0" borderId="0" xfId="0" applyNumberFormat="1" applyFont="1" applyAlignment="1">
      <alignment vertical="center"/>
    </xf>
    <xf numFmtId="169" fontId="45" fillId="0" borderId="0" xfId="0" applyNumberFormat="1" applyFont="1" applyAlignment="1">
      <alignment horizontal="center" vertical="center"/>
    </xf>
    <xf numFmtId="41" fontId="45" fillId="0" borderId="0" xfId="0" applyNumberFormat="1" applyFont="1" applyAlignment="1">
      <alignment horizontal="left" vertical="center"/>
    </xf>
    <xf numFmtId="167" fontId="45" fillId="0" borderId="0" xfId="0" applyNumberFormat="1" applyFont="1" applyAlignment="1">
      <alignment horizontal="left" vertical="center"/>
    </xf>
    <xf numFmtId="0" fontId="40" fillId="0" borderId="0" xfId="0" applyFont="1" applyAlignment="1" applyProtection="1">
      <alignment vertical="center"/>
      <protection locked="0"/>
    </xf>
    <xf numFmtId="42" fontId="58" fillId="0" borderId="0" xfId="3" quotePrefix="1" applyNumberFormat="1" applyFont="1" applyAlignment="1" applyProtection="1">
      <alignment vertical="center"/>
      <protection locked="0"/>
    </xf>
    <xf numFmtId="167" fontId="58" fillId="0" borderId="0" xfId="3" quotePrefix="1" applyNumberFormat="1" applyFont="1" applyAlignment="1">
      <alignment vertical="center"/>
    </xf>
    <xf numFmtId="41" fontId="58" fillId="0" borderId="2" xfId="3" quotePrefix="1" applyNumberFormat="1" applyFont="1" applyBorder="1" applyAlignment="1">
      <alignment vertical="center"/>
    </xf>
    <xf numFmtId="0" fontId="78" fillId="0" borderId="0" xfId="3" applyFont="1" applyAlignment="1">
      <alignment horizontal="center" vertical="center"/>
    </xf>
    <xf numFmtId="167" fontId="58" fillId="0" borderId="9" xfId="3" applyNumberFormat="1" applyFont="1" applyBorder="1" applyAlignment="1">
      <alignment vertical="center"/>
    </xf>
    <xf numFmtId="3" fontId="58" fillId="0" borderId="0" xfId="3" applyNumberFormat="1" applyFont="1" applyAlignment="1">
      <alignment vertical="center"/>
    </xf>
    <xf numFmtId="167" fontId="58" fillId="0" borderId="0" xfId="3" applyNumberFormat="1" applyFont="1" applyAlignment="1">
      <alignment horizontal="right" vertical="center"/>
    </xf>
    <xf numFmtId="41" fontId="40" fillId="0" borderId="0" xfId="3" applyNumberFormat="1" applyFont="1" applyAlignment="1">
      <alignment vertical="center"/>
    </xf>
    <xf numFmtId="41" fontId="40" fillId="0" borderId="0" xfId="3" applyNumberFormat="1" applyFont="1" applyAlignment="1">
      <alignment horizontal="centerContinuous" vertical="center"/>
    </xf>
    <xf numFmtId="169" fontId="58" fillId="0" borderId="4" xfId="3" applyNumberFormat="1" applyFont="1" applyBorder="1" applyAlignment="1">
      <alignment horizontal="center" vertical="center"/>
    </xf>
    <xf numFmtId="169" fontId="58" fillId="0" borderId="4" xfId="3" applyNumberFormat="1" applyFont="1" applyBorder="1" applyAlignment="1">
      <alignment vertical="center"/>
    </xf>
    <xf numFmtId="41" fontId="58" fillId="0" borderId="0" xfId="0" applyNumberFormat="1" applyFont="1" applyAlignment="1">
      <alignment horizontal="centerContinuous" vertical="center"/>
    </xf>
    <xf numFmtId="41" fontId="58" fillId="0" borderId="0" xfId="3" applyNumberFormat="1" applyFont="1"/>
    <xf numFmtId="41" fontId="58" fillId="0" borderId="0" xfId="3" applyNumberFormat="1" applyFont="1" applyProtection="1">
      <protection locked="0"/>
    </xf>
    <xf numFmtId="41" fontId="58" fillId="0" borderId="0" xfId="3" applyNumberFormat="1" applyFont="1" applyAlignment="1" applyProtection="1">
      <alignment horizontal="left" vertical="center"/>
      <protection locked="0"/>
    </xf>
    <xf numFmtId="41" fontId="61" fillId="0" borderId="0" xfId="3" applyNumberFormat="1" applyFont="1" applyAlignment="1" applyProtection="1">
      <alignment vertical="center"/>
      <protection locked="0"/>
    </xf>
    <xf numFmtId="5" fontId="61" fillId="0" borderId="0" xfId="3" applyNumberFormat="1" applyFont="1" applyAlignment="1" applyProtection="1">
      <alignment vertical="center"/>
      <protection locked="0"/>
    </xf>
    <xf numFmtId="167" fontId="61" fillId="0" borderId="0" xfId="3" applyNumberFormat="1" applyFont="1" applyAlignment="1" applyProtection="1">
      <alignment vertical="center"/>
      <protection locked="0"/>
    </xf>
    <xf numFmtId="6" fontId="61" fillId="0" borderId="0" xfId="3" applyNumberFormat="1" applyFont="1" applyAlignment="1" applyProtection="1">
      <alignment vertical="center"/>
      <protection locked="0"/>
    </xf>
    <xf numFmtId="0" fontId="59" fillId="0" borderId="0" xfId="0" applyFont="1" applyAlignment="1">
      <alignment horizontal="left" vertical="center"/>
    </xf>
    <xf numFmtId="170" fontId="58" fillId="0" borderId="0" xfId="1" applyNumberFormat="1" applyFont="1" applyFill="1" applyBorder="1" applyAlignment="1">
      <alignment horizontal="center" vertical="center"/>
    </xf>
    <xf numFmtId="170" fontId="58" fillId="0" borderId="0" xfId="1" applyNumberFormat="1" applyFont="1" applyFill="1"/>
    <xf numFmtId="0" fontId="61" fillId="0" borderId="0" xfId="0" applyFont="1" applyAlignment="1">
      <alignment vertical="center"/>
    </xf>
    <xf numFmtId="0" fontId="61" fillId="0" borderId="0" xfId="0" applyFont="1" applyAlignment="1">
      <alignment horizontal="right" vertical="center"/>
    </xf>
    <xf numFmtId="42" fontId="58" fillId="0" borderId="1" xfId="0" applyNumberFormat="1" applyFont="1" applyBorder="1" applyAlignment="1">
      <alignment vertical="center"/>
    </xf>
    <xf numFmtId="0" fontId="61" fillId="0" borderId="0" xfId="3" applyFont="1"/>
    <xf numFmtId="0" fontId="41" fillId="0" borderId="0" xfId="3" applyFont="1" applyProtection="1">
      <protection locked="0"/>
    </xf>
    <xf numFmtId="0" fontId="40" fillId="0" borderId="2" xfId="3" applyFont="1" applyBorder="1" applyAlignment="1">
      <alignment vertical="center"/>
    </xf>
    <xf numFmtId="6" fontId="78" fillId="0" borderId="0" xfId="3" applyNumberFormat="1" applyFont="1"/>
    <xf numFmtId="167" fontId="58" fillId="0" borderId="19" xfId="3" applyNumberFormat="1" applyFont="1" applyBorder="1" applyAlignment="1">
      <alignment horizontal="right" vertical="center"/>
    </xf>
    <xf numFmtId="43" fontId="40" fillId="0" borderId="0" xfId="1" applyFont="1" applyFill="1" applyBorder="1" applyAlignment="1">
      <alignment vertical="top"/>
    </xf>
    <xf numFmtId="43" fontId="40" fillId="0" borderId="0" xfId="1" applyFont="1" applyFill="1" applyAlignment="1">
      <alignment vertical="center"/>
    </xf>
    <xf numFmtId="0" fontId="40" fillId="0" borderId="1" xfId="3" quotePrefix="1" applyFont="1" applyBorder="1" applyAlignment="1">
      <alignment horizontal="center" vertical="center"/>
    </xf>
    <xf numFmtId="0" fontId="104" fillId="0" borderId="0" xfId="0" applyFont="1"/>
    <xf numFmtId="43" fontId="79" fillId="0" borderId="0" xfId="1" applyFont="1" applyFill="1" applyAlignment="1">
      <alignment horizontal="center" vertical="center"/>
    </xf>
    <xf numFmtId="43" fontId="58" fillId="0" borderId="0" xfId="1" applyFont="1" applyFill="1" applyAlignment="1">
      <alignment horizontal="left" vertical="center"/>
    </xf>
    <xf numFmtId="42" fontId="58" fillId="0" borderId="2" xfId="3" applyNumberFormat="1" applyFont="1" applyBorder="1" applyAlignment="1">
      <alignment vertical="center"/>
    </xf>
    <xf numFmtId="170" fontId="59" fillId="0" borderId="0" xfId="1" applyNumberFormat="1" applyFont="1" applyFill="1" applyAlignment="1">
      <alignment horizontal="left" vertical="center"/>
    </xf>
    <xf numFmtId="170" fontId="58" fillId="0" borderId="0" xfId="1" applyNumberFormat="1" applyFont="1" applyFill="1" applyAlignment="1">
      <alignment horizontal="left" vertical="center"/>
    </xf>
    <xf numFmtId="170" fontId="58" fillId="0" borderId="2" xfId="1" applyNumberFormat="1" applyFont="1" applyFill="1" applyBorder="1" applyAlignment="1">
      <alignment vertical="center"/>
    </xf>
    <xf numFmtId="42" fontId="58" fillId="0" borderId="0" xfId="3" applyNumberFormat="1" applyFont="1" applyAlignment="1">
      <alignment horizontal="right" vertical="center"/>
    </xf>
    <xf numFmtId="167" fontId="58" fillId="0" borderId="9" xfId="0" applyNumberFormat="1" applyFont="1" applyBorder="1" applyAlignment="1">
      <alignment vertical="center"/>
    </xf>
    <xf numFmtId="170" fontId="58" fillId="0" borderId="9" xfId="1" applyNumberFormat="1" applyFont="1" applyFill="1" applyBorder="1" applyAlignment="1">
      <alignment vertical="center"/>
    </xf>
    <xf numFmtId="0" fontId="117" fillId="0" borderId="0" xfId="3" applyFont="1" applyAlignment="1">
      <alignment vertical="center"/>
    </xf>
    <xf numFmtId="41" fontId="41" fillId="0" borderId="0" xfId="3" applyNumberFormat="1" applyFont="1"/>
    <xf numFmtId="0" fontId="40" fillId="0" borderId="1" xfId="3" applyFont="1" applyBorder="1" applyAlignment="1">
      <alignment vertical="center"/>
    </xf>
    <xf numFmtId="0" fontId="58" fillId="0" borderId="0" xfId="3" applyFont="1" applyAlignment="1">
      <alignment horizontal="right" vertical="center"/>
    </xf>
    <xf numFmtId="41" fontId="58" fillId="0" borderId="0" xfId="3" applyNumberFormat="1" applyFont="1" applyAlignment="1">
      <alignment horizontal="right" vertical="center"/>
    </xf>
    <xf numFmtId="41" fontId="61" fillId="0" borderId="0" xfId="3" applyNumberFormat="1" applyFont="1" applyAlignment="1">
      <alignment horizontal="right" vertical="center"/>
    </xf>
    <xf numFmtId="1" fontId="59" fillId="0" borderId="0" xfId="0" applyNumberFormat="1" applyFont="1" applyAlignment="1">
      <alignment horizontal="center" vertical="center"/>
    </xf>
    <xf numFmtId="1" fontId="59" fillId="0" borderId="9" xfId="0" applyNumberFormat="1" applyFont="1" applyBorder="1" applyAlignment="1">
      <alignment horizontal="center" vertical="center"/>
    </xf>
    <xf numFmtId="0" fontId="104" fillId="0" borderId="0" xfId="3" applyFont="1" applyAlignment="1" applyProtection="1">
      <alignment vertical="center"/>
      <protection locked="0"/>
    </xf>
    <xf numFmtId="0" fontId="104" fillId="0" borderId="0" xfId="3" applyFont="1" applyAlignment="1" applyProtection="1">
      <alignment horizontal="right" vertical="center"/>
      <protection locked="0"/>
    </xf>
    <xf numFmtId="41" fontId="104" fillId="0" borderId="0" xfId="3" applyNumberFormat="1" applyFont="1" applyAlignment="1">
      <alignment vertical="center"/>
    </xf>
    <xf numFmtId="0" fontId="104" fillId="0" borderId="0" xfId="3" applyFont="1" applyAlignment="1">
      <alignment vertical="center"/>
    </xf>
    <xf numFmtId="0" fontId="104" fillId="0" borderId="0" xfId="3" applyFont="1" applyProtection="1">
      <protection locked="0"/>
    </xf>
    <xf numFmtId="5" fontId="64" fillId="0" borderId="0" xfId="3" applyNumberFormat="1" applyFont="1" applyAlignment="1" applyProtection="1">
      <alignment vertical="center"/>
      <protection locked="0"/>
    </xf>
    <xf numFmtId="0" fontId="64" fillId="0" borderId="0" xfId="3" applyFont="1" applyAlignment="1" applyProtection="1">
      <alignment horizontal="center" vertical="center"/>
      <protection locked="0"/>
    </xf>
    <xf numFmtId="0" fontId="64" fillId="0" borderId="0" xfId="3" applyFont="1" applyAlignment="1" applyProtection="1">
      <alignment vertical="center"/>
      <protection locked="0"/>
    </xf>
    <xf numFmtId="37" fontId="64" fillId="0" borderId="0" xfId="3" applyNumberFormat="1" applyFont="1" applyAlignment="1">
      <alignment vertical="center"/>
    </xf>
    <xf numFmtId="0" fontId="64" fillId="0" borderId="0" xfId="3" applyFont="1" applyAlignment="1">
      <alignment horizontal="right" vertical="center"/>
    </xf>
    <xf numFmtId="0" fontId="64" fillId="0" borderId="0" xfId="3" applyFont="1" applyAlignment="1">
      <alignment vertical="center"/>
    </xf>
    <xf numFmtId="172" fontId="61" fillId="0" borderId="0" xfId="2" applyNumberFormat="1" applyFont="1" applyFill="1" applyAlignment="1" applyProtection="1">
      <alignment vertical="center"/>
      <protection locked="0"/>
    </xf>
    <xf numFmtId="41" fontId="104" fillId="0" borderId="0" xfId="1" applyNumberFormat="1" applyFont="1" applyFill="1" applyBorder="1" applyAlignment="1">
      <alignment vertical="center"/>
    </xf>
    <xf numFmtId="41" fontId="104" fillId="0" borderId="0" xfId="3" applyNumberFormat="1" applyFont="1" applyAlignment="1">
      <alignment horizontal="center" vertical="center"/>
    </xf>
    <xf numFmtId="169" fontId="104" fillId="0" borderId="0" xfId="3" applyNumberFormat="1" applyFont="1" applyAlignment="1">
      <alignment vertical="center"/>
    </xf>
    <xf numFmtId="169" fontId="104" fillId="0" borderId="0" xfId="3" applyNumberFormat="1" applyFont="1" applyAlignment="1">
      <alignment horizontal="center" vertical="center"/>
    </xf>
    <xf numFmtId="6" fontId="119" fillId="0" borderId="0" xfId="3" applyNumberFormat="1" applyFont="1" applyAlignment="1">
      <alignment vertical="center"/>
    </xf>
    <xf numFmtId="6" fontId="120" fillId="0" borderId="0" xfId="3" applyNumberFormat="1" applyFont="1" applyAlignment="1">
      <alignment vertical="center"/>
    </xf>
    <xf numFmtId="6" fontId="121" fillId="0" borderId="0" xfId="3" applyNumberFormat="1" applyFont="1" applyAlignment="1">
      <alignment vertical="center"/>
    </xf>
    <xf numFmtId="6" fontId="122" fillId="0" borderId="0" xfId="3" applyNumberFormat="1" applyFont="1" applyAlignment="1">
      <alignment vertical="center"/>
    </xf>
    <xf numFmtId="167" fontId="104" fillId="0" borderId="0" xfId="3" applyNumberFormat="1" applyFont="1" applyAlignment="1">
      <alignment vertical="center"/>
    </xf>
    <xf numFmtId="6" fontId="61" fillId="0" borderId="0" xfId="3" applyNumberFormat="1" applyFont="1" applyAlignment="1">
      <alignment vertical="top"/>
    </xf>
    <xf numFmtId="6" fontId="64" fillId="0" borderId="0" xfId="3" applyNumberFormat="1" applyFont="1" applyAlignment="1">
      <alignment vertical="top"/>
    </xf>
    <xf numFmtId="6" fontId="64" fillId="0" borderId="0" xfId="3" applyNumberFormat="1" applyFont="1"/>
    <xf numFmtId="0" fontId="98" fillId="0" borderId="0" xfId="3" applyFont="1" applyAlignment="1">
      <alignment horizontal="left" vertical="center"/>
    </xf>
    <xf numFmtId="0" fontId="59" fillId="0" borderId="0" xfId="3" applyFont="1" applyAlignment="1" applyProtection="1">
      <alignment horizontal="left" vertical="center" indent="1"/>
      <protection locked="0"/>
    </xf>
    <xf numFmtId="0" fontId="59" fillId="0" borderId="0" xfId="3" applyFont="1" applyAlignment="1" applyProtection="1">
      <alignment horizontal="left" vertical="center" indent="2"/>
      <protection locked="0"/>
    </xf>
    <xf numFmtId="0" fontId="58" fillId="0" borderId="0" xfId="3" applyFont="1" applyAlignment="1" applyProtection="1">
      <alignment horizontal="left" vertical="center" indent="2"/>
      <protection locked="0"/>
    </xf>
    <xf numFmtId="0" fontId="58" fillId="0" borderId="0" xfId="3" applyFont="1" applyAlignment="1" applyProtection="1">
      <alignment horizontal="left" vertical="center" indent="3"/>
      <protection locked="0"/>
    </xf>
    <xf numFmtId="0" fontId="58" fillId="0" borderId="0" xfId="3" applyFont="1" applyAlignment="1">
      <alignment horizontal="left" vertical="center" indent="3"/>
    </xf>
    <xf numFmtId="0" fontId="58" fillId="0" borderId="0" xfId="3" applyFont="1" applyAlignment="1" applyProtection="1">
      <alignment horizontal="left" vertical="center" indent="4"/>
      <protection locked="0"/>
    </xf>
    <xf numFmtId="0" fontId="59" fillId="0" borderId="0" xfId="3" applyFont="1" applyAlignment="1">
      <alignment horizontal="left" vertical="center" indent="1"/>
    </xf>
    <xf numFmtId="0" fontId="59" fillId="0" borderId="0" xfId="3" applyFont="1" applyAlignment="1">
      <alignment horizontal="left" vertical="center" indent="2"/>
    </xf>
    <xf numFmtId="0" fontId="58" fillId="0" borderId="0" xfId="3" applyFont="1" applyAlignment="1" applyProtection="1">
      <alignment horizontal="left" indent="1"/>
      <protection locked="0"/>
    </xf>
    <xf numFmtId="0" fontId="58" fillId="0" borderId="0" xfId="3" applyFont="1" applyAlignment="1" applyProtection="1">
      <alignment horizontal="left" indent="2"/>
      <protection locked="0"/>
    </xf>
    <xf numFmtId="0" fontId="58" fillId="0" borderId="0" xfId="3" applyFont="1" applyAlignment="1" applyProtection="1">
      <alignment horizontal="left" vertical="center" indent="5"/>
      <protection locked="0"/>
    </xf>
    <xf numFmtId="170" fontId="61" fillId="0" borderId="0" xfId="1" applyNumberFormat="1" applyFont="1" applyFill="1" applyAlignment="1">
      <alignment vertical="center"/>
    </xf>
    <xf numFmtId="0" fontId="98" fillId="0" borderId="0" xfId="3" applyFont="1" applyAlignment="1">
      <alignment horizontal="center" vertical="center"/>
    </xf>
    <xf numFmtId="38" fontId="99" fillId="0" borderId="0" xfId="0" applyNumberFormat="1" applyFont="1" applyAlignment="1">
      <alignment vertical="center"/>
    </xf>
    <xf numFmtId="0" fontId="99" fillId="0" borderId="0" xfId="0" applyFont="1" applyAlignment="1">
      <alignment vertical="center"/>
    </xf>
    <xf numFmtId="0" fontId="123" fillId="0" borderId="0" xfId="3" applyFont="1" applyAlignment="1">
      <alignment horizontal="center" vertical="center"/>
    </xf>
    <xf numFmtId="38" fontId="34" fillId="0" borderId="0" xfId="0" applyNumberFormat="1" applyFont="1" applyAlignment="1">
      <alignment vertical="center"/>
    </xf>
    <xf numFmtId="166" fontId="59" fillId="0" borderId="0" xfId="3" applyNumberFormat="1" applyFont="1" applyAlignment="1">
      <alignment horizontal="left" vertical="center"/>
    </xf>
    <xf numFmtId="0" fontId="123" fillId="0" borderId="0" xfId="3" applyFont="1" applyAlignment="1">
      <alignment vertical="center"/>
    </xf>
    <xf numFmtId="0" fontId="60" fillId="0" borderId="0" xfId="3" quotePrefix="1" applyFont="1" applyAlignment="1">
      <alignment vertical="center"/>
    </xf>
    <xf numFmtId="166" fontId="59" fillId="0" borderId="0" xfId="3" applyNumberFormat="1" applyFont="1" applyAlignment="1">
      <alignment vertical="center"/>
    </xf>
    <xf numFmtId="38" fontId="124" fillId="0" borderId="0" xfId="3" applyNumberFormat="1" applyFont="1" applyAlignment="1">
      <alignment horizontal="center" vertical="center"/>
    </xf>
    <xf numFmtId="0" fontId="99" fillId="0" borderId="0" xfId="3" applyFont="1" applyAlignment="1" applyProtection="1">
      <alignment vertical="center"/>
      <protection locked="0"/>
    </xf>
    <xf numFmtId="0" fontId="123" fillId="0" borderId="0" xfId="3" applyFont="1" applyAlignment="1" applyProtection="1">
      <alignment vertical="center"/>
      <protection locked="0"/>
    </xf>
    <xf numFmtId="38" fontId="78" fillId="0" borderId="0" xfId="3" applyNumberFormat="1" applyFont="1" applyAlignment="1">
      <alignment vertical="center"/>
    </xf>
    <xf numFmtId="0" fontId="34" fillId="0" borderId="0" xfId="3" applyFont="1" applyAlignment="1" applyProtection="1">
      <alignment vertical="center"/>
      <protection locked="0"/>
    </xf>
    <xf numFmtId="0" fontId="68" fillId="0" borderId="0" xfId="3" applyFont="1" applyAlignment="1">
      <alignment horizontal="right" vertical="center"/>
    </xf>
    <xf numFmtId="0" fontId="126" fillId="0" borderId="0" xfId="3" applyFont="1" applyAlignment="1">
      <alignment horizontal="center" vertical="center"/>
    </xf>
    <xf numFmtId="0" fontId="93" fillId="0" borderId="0" xfId="3" applyFont="1" applyAlignment="1" applyProtection="1">
      <alignment vertical="center"/>
      <protection locked="0"/>
    </xf>
    <xf numFmtId="0" fontId="124" fillId="0" borderId="0" xfId="3" applyFont="1" applyAlignment="1">
      <alignment horizontal="center" vertical="center"/>
    </xf>
    <xf numFmtId="0" fontId="99" fillId="0" borderId="0" xfId="3" applyFont="1" applyAlignment="1">
      <alignment horizontal="center" vertical="center"/>
    </xf>
    <xf numFmtId="43" fontId="98" fillId="0" borderId="0" xfId="1" applyFont="1" applyFill="1" applyAlignment="1">
      <alignment horizontal="center" vertical="center"/>
    </xf>
    <xf numFmtId="38" fontId="35" fillId="0" borderId="0" xfId="3" applyNumberFormat="1" applyFont="1" applyAlignment="1">
      <alignment vertical="center"/>
    </xf>
    <xf numFmtId="0" fontId="34" fillId="0" borderId="0" xfId="3" applyFont="1" applyAlignment="1">
      <alignment horizontal="center" vertical="center"/>
    </xf>
    <xf numFmtId="0" fontId="33" fillId="0" borderId="0" xfId="3" applyFont="1" applyAlignment="1">
      <alignment horizontal="center" vertical="center"/>
    </xf>
    <xf numFmtId="0" fontId="36" fillId="0" borderId="0" xfId="3" applyFont="1" applyAlignment="1">
      <alignment horizontal="center" vertical="center"/>
    </xf>
    <xf numFmtId="0" fontId="118" fillId="0" borderId="0" xfId="3" applyFont="1" applyAlignment="1">
      <alignment horizontal="left" vertical="center"/>
    </xf>
    <xf numFmtId="166" fontId="58" fillId="0" borderId="0" xfId="3" applyNumberFormat="1" applyFont="1" applyAlignment="1">
      <alignment horizontal="left" vertical="center"/>
    </xf>
    <xf numFmtId="43" fontId="59" fillId="0" borderId="0" xfId="1" applyFont="1" applyFill="1" applyAlignment="1">
      <alignment horizontal="left" vertical="center"/>
    </xf>
    <xf numFmtId="1" fontId="40" fillId="0" borderId="9" xfId="0" applyNumberFormat="1" applyFont="1" applyBorder="1" applyAlignment="1">
      <alignment horizontal="center" vertical="center"/>
    </xf>
    <xf numFmtId="1" fontId="40" fillId="0" borderId="0" xfId="0" applyNumberFormat="1" applyFont="1" applyAlignment="1">
      <alignment horizontal="center" vertical="center"/>
    </xf>
    <xf numFmtId="1" fontId="40" fillId="0" borderId="9" xfId="0" applyNumberFormat="1" applyFont="1" applyBorder="1" applyAlignment="1">
      <alignment horizontal="center" vertical="center" wrapText="1"/>
    </xf>
    <xf numFmtId="1" fontId="40" fillId="0" borderId="0" xfId="0" applyNumberFormat="1" applyFont="1" applyAlignment="1">
      <alignment horizontal="center" vertical="center" wrapText="1"/>
    </xf>
    <xf numFmtId="1" fontId="40" fillId="0" borderId="9" xfId="0" quotePrefix="1" applyNumberFormat="1" applyFont="1" applyBorder="1" applyAlignment="1">
      <alignment horizontal="center" vertical="center"/>
    </xf>
    <xf numFmtId="1" fontId="40" fillId="0" borderId="1" xfId="0" applyNumberFormat="1" applyFont="1" applyBorder="1" applyAlignment="1">
      <alignment horizontal="center" vertical="center"/>
    </xf>
    <xf numFmtId="1" fontId="40" fillId="0" borderId="1" xfId="0" applyNumberFormat="1" applyFont="1" applyBorder="1" applyAlignment="1">
      <alignment horizontal="center" vertical="center" wrapText="1"/>
    </xf>
    <xf numFmtId="1" fontId="40" fillId="0" borderId="0" xfId="0" quotePrefix="1" applyNumberFormat="1" applyFont="1" applyAlignment="1">
      <alignment horizontal="center" vertical="center"/>
    </xf>
    <xf numFmtId="0" fontId="59" fillId="0" borderId="0" xfId="0" applyFont="1"/>
    <xf numFmtId="0" fontId="58" fillId="0" borderId="0" xfId="3" applyFont="1" applyAlignment="1">
      <alignment horizontal="left" vertical="center" indent="4"/>
    </xf>
    <xf numFmtId="0" fontId="59" fillId="0" borderId="0" xfId="0" applyFont="1" applyAlignment="1">
      <alignment horizontal="left" vertical="center" indent="2"/>
    </xf>
    <xf numFmtId="0" fontId="127" fillId="0" borderId="0" xfId="3" applyFont="1" applyAlignment="1">
      <alignment vertical="center"/>
    </xf>
    <xf numFmtId="0" fontId="128" fillId="0" borderId="0" xfId="3" applyFont="1" applyAlignment="1">
      <alignment vertical="center"/>
    </xf>
    <xf numFmtId="0" fontId="129" fillId="0" borderId="0" xfId="3" applyFont="1" applyAlignment="1">
      <alignment vertical="center"/>
    </xf>
    <xf numFmtId="0" fontId="116" fillId="0" borderId="0" xfId="3" applyFont="1"/>
    <xf numFmtId="0" fontId="116" fillId="0" borderId="0" xfId="3" applyFont="1" applyAlignment="1">
      <alignment vertical="center"/>
    </xf>
    <xf numFmtId="0" fontId="42" fillId="0" borderId="0" xfId="3" applyFont="1" applyAlignment="1">
      <alignment vertical="center"/>
    </xf>
    <xf numFmtId="0" fontId="104" fillId="0" borderId="0" xfId="3" applyFont="1" applyAlignment="1">
      <alignment vertical="top"/>
    </xf>
    <xf numFmtId="0" fontId="103" fillId="0" borderId="0" xfId="3" applyFont="1" applyAlignment="1">
      <alignment vertical="top"/>
    </xf>
    <xf numFmtId="0" fontId="103" fillId="0" borderId="0" xfId="3" applyFont="1"/>
    <xf numFmtId="170" fontId="41" fillId="0" borderId="0" xfId="1" applyNumberFormat="1" applyFont="1" applyBorder="1"/>
    <xf numFmtId="167" fontId="64" fillId="0" borderId="0" xfId="3" applyNumberFormat="1" applyFont="1" applyAlignment="1">
      <alignment vertical="center"/>
    </xf>
    <xf numFmtId="0" fontId="59" fillId="0" borderId="0" xfId="3" applyFont="1" applyAlignment="1">
      <alignment horizontal="right" vertical="center"/>
    </xf>
    <xf numFmtId="0" fontId="42" fillId="0" borderId="0" xfId="0" applyFont="1" applyAlignment="1">
      <alignment horizontal="right"/>
    </xf>
    <xf numFmtId="167" fontId="132" fillId="0" borderId="0" xfId="3" applyNumberFormat="1" applyFont="1" applyAlignment="1">
      <alignment vertical="center"/>
    </xf>
    <xf numFmtId="5" fontId="64" fillId="0" borderId="0" xfId="3" applyNumberFormat="1" applyFont="1" applyAlignment="1">
      <alignment vertical="center"/>
    </xf>
    <xf numFmtId="0" fontId="133" fillId="0" borderId="0" xfId="3" applyFont="1" applyAlignment="1">
      <alignment vertical="center"/>
    </xf>
    <xf numFmtId="170" fontId="42" fillId="0" borderId="0" xfId="1" applyNumberFormat="1" applyFont="1" applyFill="1" applyAlignment="1">
      <alignment horizontal="center" vertical="center"/>
    </xf>
    <xf numFmtId="170" fontId="42" fillId="0" borderId="0" xfId="1" applyNumberFormat="1" applyFont="1" applyFill="1" applyAlignment="1">
      <alignment vertical="center"/>
    </xf>
    <xf numFmtId="170" fontId="103" fillId="0" borderId="0" xfId="1" applyNumberFormat="1" applyFont="1" applyFill="1" applyBorder="1" applyAlignment="1">
      <alignment vertical="center"/>
    </xf>
    <xf numFmtId="170" fontId="42" fillId="0" borderId="0" xfId="1" applyNumberFormat="1" applyFont="1" applyFill="1"/>
    <xf numFmtId="170" fontId="42" fillId="0" borderId="0" xfId="1" applyNumberFormat="1" applyFont="1" applyFill="1" applyBorder="1"/>
    <xf numFmtId="172" fontId="61" fillId="0" borderId="0" xfId="3" applyNumberFormat="1" applyFont="1" applyAlignment="1">
      <alignment vertical="center"/>
    </xf>
    <xf numFmtId="0" fontId="42" fillId="0" borderId="0" xfId="0" applyFont="1"/>
    <xf numFmtId="172" fontId="41" fillId="0" borderId="0" xfId="2" applyNumberFormat="1" applyFont="1" applyBorder="1"/>
    <xf numFmtId="9" fontId="35" fillId="0" borderId="0" xfId="0" applyNumberFormat="1" applyFont="1" applyAlignment="1">
      <alignment horizontal="center"/>
    </xf>
    <xf numFmtId="170" fontId="58" fillId="0" borderId="0" xfId="1" applyNumberFormat="1" applyFont="1" applyFill="1" applyAlignment="1">
      <alignment horizontal="left" vertical="center" indent="2"/>
    </xf>
    <xf numFmtId="170" fontId="41" fillId="0" borderId="2" xfId="1" applyNumberFormat="1" applyFont="1" applyFill="1" applyBorder="1"/>
    <xf numFmtId="170" fontId="58" fillId="0" borderId="0" xfId="1" applyNumberFormat="1" applyFont="1" applyFill="1" applyBorder="1"/>
    <xf numFmtId="170" fontId="58" fillId="0" borderId="0" xfId="1" applyNumberFormat="1" applyFont="1" applyFill="1" applyAlignment="1">
      <alignment horizontal="right" vertical="center"/>
    </xf>
    <xf numFmtId="170" fontId="42" fillId="0" borderId="0" xfId="1" applyNumberFormat="1" applyFont="1" applyFill="1" applyAlignment="1">
      <alignment horizontal="right" vertical="center"/>
    </xf>
    <xf numFmtId="170" fontId="42" fillId="0" borderId="0" xfId="1" applyNumberFormat="1" applyFont="1" applyAlignment="1">
      <alignment horizontal="right"/>
    </xf>
    <xf numFmtId="170" fontId="134" fillId="0" borderId="0" xfId="1" applyNumberFormat="1" applyFont="1" applyFill="1" applyAlignment="1">
      <alignment horizontal="center" vertical="center"/>
    </xf>
    <xf numFmtId="172" fontId="40" fillId="0" borderId="4" xfId="2" applyNumberFormat="1" applyFont="1" applyBorder="1"/>
    <xf numFmtId="41" fontId="35" fillId="0" borderId="0" xfId="0" applyNumberFormat="1" applyFont="1" applyAlignment="1">
      <alignment horizontal="center"/>
    </xf>
    <xf numFmtId="6" fontId="59" fillId="0" borderId="0" xfId="0" applyNumberFormat="1" applyFont="1" applyAlignment="1">
      <alignment horizontal="left" vertical="center"/>
    </xf>
    <xf numFmtId="6" fontId="59" fillId="0" borderId="0" xfId="0" applyNumberFormat="1" applyFont="1" applyAlignment="1">
      <alignment horizontal="left"/>
    </xf>
    <xf numFmtId="0" fontId="79" fillId="0" borderId="0" xfId="3" applyFont="1" applyAlignment="1" applyProtection="1">
      <alignment vertical="center"/>
      <protection locked="0"/>
    </xf>
    <xf numFmtId="6" fontId="78" fillId="0" borderId="0" xfId="0" applyNumberFormat="1" applyFont="1" applyAlignment="1">
      <alignment horizontal="right" vertical="center"/>
    </xf>
    <xf numFmtId="6" fontId="78" fillId="0" borderId="0" xfId="0" applyNumberFormat="1" applyFont="1" applyAlignment="1">
      <alignment vertical="center"/>
    </xf>
    <xf numFmtId="0" fontId="80" fillId="0" borderId="0" xfId="0" applyFont="1"/>
    <xf numFmtId="172" fontId="58" fillId="0" borderId="0" xfId="2" applyNumberFormat="1" applyFont="1" applyFill="1" applyAlignment="1" applyProtection="1">
      <alignment vertical="center"/>
    </xf>
    <xf numFmtId="0" fontId="125" fillId="0" borderId="0" xfId="3" applyFont="1" applyAlignment="1">
      <alignment horizontal="center" vertical="center"/>
    </xf>
    <xf numFmtId="0" fontId="98" fillId="0" borderId="0" xfId="3" applyFont="1" applyAlignment="1" applyProtection="1">
      <alignment horizontal="centerContinuous" vertical="center"/>
      <protection locked="0"/>
    </xf>
    <xf numFmtId="9" fontId="123" fillId="0" borderId="0" xfId="3" applyNumberFormat="1" applyFont="1" applyAlignment="1" applyProtection="1">
      <alignment vertical="center"/>
      <protection locked="0"/>
    </xf>
    <xf numFmtId="0" fontId="36" fillId="0" borderId="0" xfId="3" applyFont="1" applyAlignment="1" applyProtection="1">
      <alignment vertical="center"/>
      <protection locked="0"/>
    </xf>
    <xf numFmtId="0" fontId="40" fillId="0" borderId="0" xfId="3" applyFont="1" applyAlignment="1" applyProtection="1">
      <alignment horizontal="left" vertical="center"/>
      <protection locked="0"/>
    </xf>
    <xf numFmtId="41" fontId="59" fillId="0" borderId="0" xfId="3" applyNumberFormat="1" applyFont="1" applyAlignment="1" applyProtection="1">
      <alignment horizontal="center" vertical="center"/>
      <protection locked="0"/>
    </xf>
    <xf numFmtId="167" fontId="79" fillId="0" borderId="0" xfId="3" applyNumberFormat="1" applyFont="1" applyAlignment="1" applyProtection="1">
      <alignment vertical="center"/>
      <protection locked="0"/>
    </xf>
    <xf numFmtId="167" fontId="79" fillId="0" borderId="0" xfId="3" applyNumberFormat="1" applyFont="1" applyAlignment="1" applyProtection="1">
      <alignment horizontal="left" vertical="center"/>
      <protection locked="0"/>
    </xf>
    <xf numFmtId="167" fontId="79" fillId="0" borderId="0" xfId="3" applyNumberFormat="1" applyFont="1" applyAlignment="1">
      <alignment vertical="center"/>
    </xf>
    <xf numFmtId="41" fontId="79" fillId="0" borderId="0" xfId="3" applyNumberFormat="1" applyFont="1" applyAlignment="1">
      <alignment vertical="center"/>
    </xf>
    <xf numFmtId="172" fontId="58" fillId="0" borderId="0" xfId="2" applyNumberFormat="1" applyFont="1" applyFill="1" applyBorder="1" applyAlignment="1" applyProtection="1">
      <alignment vertical="center"/>
    </xf>
    <xf numFmtId="172" fontId="58" fillId="0" borderId="0" xfId="2" applyNumberFormat="1" applyFont="1" applyFill="1" applyBorder="1" applyAlignment="1" applyProtection="1">
      <alignment vertical="center"/>
      <protection locked="0"/>
    </xf>
    <xf numFmtId="170" fontId="58" fillId="0" borderId="0" xfId="1" applyNumberFormat="1" applyFont="1" applyFill="1" applyAlignment="1" applyProtection="1">
      <alignment vertical="center"/>
      <protection locked="0"/>
    </xf>
    <xf numFmtId="42" fontId="61" fillId="0" borderId="0" xfId="3" applyNumberFormat="1" applyFont="1" applyAlignment="1">
      <alignment horizontal="center" vertical="center"/>
    </xf>
    <xf numFmtId="0" fontId="62" fillId="0" borderId="0" xfId="3" applyFont="1" applyAlignment="1" applyProtection="1">
      <alignment horizontal="centerContinuous" vertical="center"/>
      <protection locked="0"/>
    </xf>
    <xf numFmtId="0" fontId="62" fillId="0" borderId="0" xfId="3" applyFont="1" applyAlignment="1" applyProtection="1">
      <alignment vertical="center"/>
      <protection locked="0"/>
    </xf>
    <xf numFmtId="0" fontId="41" fillId="0" borderId="0" xfId="3" applyFont="1" applyAlignment="1" applyProtection="1">
      <alignment vertical="center"/>
      <protection locked="0"/>
    </xf>
    <xf numFmtId="0" fontId="40" fillId="0" borderId="1" xfId="3" applyFont="1" applyBorder="1" applyAlignment="1" applyProtection="1">
      <alignment vertical="center"/>
      <protection locked="0"/>
    </xf>
    <xf numFmtId="167" fontId="58" fillId="0" borderId="0" xfId="3" applyNumberFormat="1" applyFont="1" applyAlignment="1" applyProtection="1">
      <alignment horizontal="center" vertical="center"/>
      <protection locked="0"/>
    </xf>
    <xf numFmtId="167" fontId="58" fillId="0" borderId="1" xfId="3" applyNumberFormat="1" applyFont="1" applyBorder="1" applyAlignment="1">
      <alignment horizontal="center" vertical="center"/>
    </xf>
    <xf numFmtId="0" fontId="79" fillId="0" borderId="0" xfId="3" applyFont="1" applyAlignment="1" applyProtection="1">
      <alignment horizontal="left" vertical="center"/>
      <protection locked="0"/>
    </xf>
    <xf numFmtId="167" fontId="58" fillId="0" borderId="2" xfId="3" applyNumberFormat="1" applyFont="1" applyBorder="1" applyAlignment="1" applyProtection="1">
      <alignment horizontal="center" vertical="center"/>
      <protection locked="0"/>
    </xf>
    <xf numFmtId="167" fontId="58" fillId="0" borderId="4" xfId="3" applyNumberFormat="1" applyFont="1" applyBorder="1" applyAlignment="1" applyProtection="1">
      <alignment horizontal="center" vertical="center"/>
      <protection locked="0"/>
    </xf>
    <xf numFmtId="167" fontId="58" fillId="0" borderId="4" xfId="3" applyNumberFormat="1" applyFont="1" applyBorder="1" applyAlignment="1">
      <alignment vertical="center"/>
    </xf>
    <xf numFmtId="167" fontId="45" fillId="0" borderId="0" xfId="3" applyNumberFormat="1" applyFont="1" applyAlignment="1" applyProtection="1">
      <alignment vertical="center"/>
      <protection locked="0"/>
    </xf>
    <xf numFmtId="167" fontId="45" fillId="0" borderId="0" xfId="3" applyNumberFormat="1" applyFont="1" applyAlignment="1" applyProtection="1">
      <alignment horizontal="center" vertical="center"/>
      <protection locked="0"/>
    </xf>
    <xf numFmtId="0" fontId="92" fillId="0" borderId="0" xfId="3" applyFont="1" applyAlignment="1" applyProtection="1">
      <alignment horizontal="center" vertical="center"/>
      <protection locked="0"/>
    </xf>
    <xf numFmtId="167" fontId="92" fillId="0" borderId="0" xfId="3" applyNumberFormat="1" applyFont="1" applyAlignment="1" applyProtection="1">
      <alignment horizontal="center" vertical="center"/>
      <protection locked="0"/>
    </xf>
    <xf numFmtId="0" fontId="41" fillId="0" borderId="0" xfId="3" applyFont="1" applyAlignment="1" applyProtection="1">
      <alignment horizontal="left" vertical="center"/>
      <protection locked="0"/>
    </xf>
    <xf numFmtId="41" fontId="79" fillId="0" borderId="4" xfId="3" applyNumberFormat="1" applyFont="1" applyBorder="1" applyAlignment="1">
      <alignment horizontal="center" vertical="center"/>
    </xf>
    <xf numFmtId="41" fontId="58" fillId="0" borderId="4" xfId="3" applyNumberFormat="1" applyFont="1" applyBorder="1" applyAlignment="1">
      <alignment vertical="center"/>
    </xf>
    <xf numFmtId="0" fontId="45" fillId="0" borderId="0" xfId="3" applyFont="1" applyAlignment="1" applyProtection="1">
      <alignment horizontal="left" vertical="center"/>
      <protection locked="0"/>
    </xf>
    <xf numFmtId="167" fontId="45" fillId="0" borderId="0" xfId="3" applyNumberFormat="1" applyFont="1" applyAlignment="1" applyProtection="1">
      <alignment horizontal="left" vertical="center"/>
      <protection locked="0"/>
    </xf>
    <xf numFmtId="0" fontId="103" fillId="0" borderId="0" xfId="3" applyFont="1" applyAlignment="1" applyProtection="1">
      <alignment horizontal="left" vertical="center"/>
      <protection locked="0"/>
    </xf>
    <xf numFmtId="167" fontId="103" fillId="0" borderId="0" xfId="3" applyNumberFormat="1" applyFont="1" applyAlignment="1" applyProtection="1">
      <alignment horizontal="left" vertical="center"/>
      <protection locked="0"/>
    </xf>
    <xf numFmtId="167" fontId="103" fillId="0" borderId="0" xfId="3" applyNumberFormat="1" applyFont="1" applyAlignment="1" applyProtection="1">
      <alignment vertical="center"/>
      <protection locked="0"/>
    </xf>
    <xf numFmtId="167" fontId="103" fillId="0" borderId="0" xfId="3" applyNumberFormat="1" applyFont="1" applyAlignment="1" applyProtection="1">
      <alignment horizontal="center" vertical="center"/>
      <protection locked="0"/>
    </xf>
    <xf numFmtId="167" fontId="103" fillId="0" borderId="0" xfId="3" applyNumberFormat="1" applyFont="1" applyAlignment="1">
      <alignment vertical="center"/>
    </xf>
    <xf numFmtId="0" fontId="103" fillId="0" borderId="0" xfId="3" applyFont="1" applyAlignment="1" applyProtection="1">
      <alignment vertical="center"/>
      <protection locked="0"/>
    </xf>
    <xf numFmtId="41" fontId="103" fillId="0" borderId="0" xfId="3" applyNumberFormat="1" applyFont="1" applyAlignment="1" applyProtection="1">
      <alignment horizontal="left" vertical="center"/>
      <protection locked="0"/>
    </xf>
    <xf numFmtId="41" fontId="103" fillId="0" borderId="0" xfId="3" applyNumberFormat="1" applyFont="1" applyAlignment="1" applyProtection="1">
      <alignment vertical="center"/>
      <protection locked="0"/>
    </xf>
    <xf numFmtId="0" fontId="103" fillId="0" borderId="0" xfId="3" applyFont="1" applyAlignment="1" applyProtection="1">
      <alignment horizontal="center" vertical="center"/>
      <protection locked="0"/>
    </xf>
    <xf numFmtId="167" fontId="64" fillId="0" borderId="0" xfId="3" applyNumberFormat="1" applyFont="1" applyAlignment="1" applyProtection="1">
      <alignment vertical="center"/>
      <protection locked="0"/>
    </xf>
    <xf numFmtId="41" fontId="64" fillId="0" borderId="0" xfId="3" applyNumberFormat="1" applyFont="1" applyAlignment="1" applyProtection="1">
      <alignment vertical="center"/>
      <protection locked="0"/>
    </xf>
    <xf numFmtId="41" fontId="59" fillId="0" borderId="2" xfId="3" applyNumberFormat="1" applyFont="1" applyBorder="1" applyAlignment="1" applyProtection="1">
      <alignment horizontal="center" vertical="center"/>
      <protection locked="0"/>
    </xf>
    <xf numFmtId="0" fontId="58" fillId="0" borderId="2" xfId="3" applyFont="1" applyBorder="1" applyAlignment="1">
      <alignment horizontal="centerContinuous" vertical="center"/>
    </xf>
    <xf numFmtId="167" fontId="135" fillId="0" borderId="0" xfId="3" applyNumberFormat="1" applyFont="1" applyAlignment="1">
      <alignment vertical="center"/>
    </xf>
    <xf numFmtId="170" fontId="41" fillId="4" borderId="2" xfId="1" applyNumberFormat="1" applyFont="1" applyFill="1" applyBorder="1"/>
    <xf numFmtId="170" fontId="41" fillId="4" borderId="0" xfId="1" applyNumberFormat="1" applyFont="1" applyFill="1" applyBorder="1"/>
    <xf numFmtId="0" fontId="136" fillId="4" borderId="20" xfId="1" applyNumberFormat="1" applyFont="1" applyFill="1" applyBorder="1"/>
    <xf numFmtId="170" fontId="41" fillId="4" borderId="13" xfId="1" applyNumberFormat="1" applyFont="1" applyFill="1" applyBorder="1"/>
    <xf numFmtId="170" fontId="41" fillId="4" borderId="21" xfId="1" applyNumberFormat="1" applyFont="1" applyFill="1" applyBorder="1"/>
    <xf numFmtId="0" fontId="137" fillId="4" borderId="5" xfId="1" applyNumberFormat="1" applyFont="1" applyFill="1" applyBorder="1" applyAlignment="1">
      <alignment horizontal="left" indent="1"/>
    </xf>
    <xf numFmtId="170" fontId="41" fillId="4" borderId="6" xfId="1" applyNumberFormat="1" applyFont="1" applyFill="1" applyBorder="1"/>
    <xf numFmtId="0" fontId="137" fillId="4" borderId="5" xfId="1" applyNumberFormat="1" applyFont="1" applyFill="1" applyBorder="1" applyAlignment="1">
      <alignment horizontal="center"/>
    </xf>
    <xf numFmtId="0" fontId="137" fillId="4" borderId="5" xfId="1" applyNumberFormat="1" applyFont="1" applyFill="1" applyBorder="1"/>
    <xf numFmtId="0" fontId="136" fillId="4" borderId="5" xfId="1" applyNumberFormat="1" applyFont="1" applyFill="1" applyBorder="1"/>
    <xf numFmtId="0" fontId="137" fillId="4" borderId="5" xfId="1" applyNumberFormat="1" applyFont="1" applyFill="1" applyBorder="1" applyAlignment="1">
      <alignment horizontal="left" indent="2"/>
    </xf>
    <xf numFmtId="170" fontId="40" fillId="4" borderId="7" xfId="1" applyNumberFormat="1" applyFont="1" applyFill="1" applyBorder="1"/>
    <xf numFmtId="170" fontId="41" fillId="4" borderId="22" xfId="1" applyNumberFormat="1" applyFont="1" applyFill="1" applyBorder="1"/>
    <xf numFmtId="170" fontId="41" fillId="4" borderId="3" xfId="1" applyNumberFormat="1" applyFont="1" applyFill="1" applyBorder="1"/>
    <xf numFmtId="170" fontId="41" fillId="4" borderId="8" xfId="1" applyNumberFormat="1" applyFont="1" applyFill="1" applyBorder="1"/>
    <xf numFmtId="166" fontId="111" fillId="0" borderId="0" xfId="3" applyNumberFormat="1" applyFont="1" applyAlignment="1">
      <alignment vertical="center"/>
    </xf>
    <xf numFmtId="9" fontId="38" fillId="0" borderId="6" xfId="0" applyNumberFormat="1" applyFont="1" applyBorder="1" applyAlignment="1">
      <alignment horizontal="center"/>
    </xf>
    <xf numFmtId="9" fontId="38" fillId="0" borderId="5" xfId="0" applyNumberFormat="1" applyFont="1" applyBorder="1" applyAlignment="1">
      <alignment horizontal="center"/>
    </xf>
    <xf numFmtId="43" fontId="58" fillId="0" borderId="0" xfId="1" applyFont="1" applyFill="1" applyBorder="1" applyAlignment="1">
      <alignment horizontal="left" vertical="center"/>
    </xf>
    <xf numFmtId="172" fontId="59" fillId="0" borderId="0" xfId="2" applyNumberFormat="1" applyFont="1" applyFill="1" applyBorder="1" applyAlignment="1">
      <alignment horizontal="left" vertical="center"/>
    </xf>
    <xf numFmtId="172" fontId="58" fillId="0" borderId="0" xfId="2" applyNumberFormat="1" applyFont="1" applyFill="1" applyBorder="1" applyAlignment="1">
      <alignment horizontal="left" vertical="center"/>
    </xf>
    <xf numFmtId="170" fontId="59" fillId="0" borderId="0" xfId="1" applyNumberFormat="1" applyFont="1" applyFill="1" applyBorder="1" applyAlignment="1">
      <alignment horizontal="left" vertical="center"/>
    </xf>
    <xf numFmtId="170" fontId="58" fillId="0" borderId="0" xfId="1" applyNumberFormat="1" applyFont="1" applyFill="1" applyBorder="1" applyAlignment="1">
      <alignment horizontal="left" vertical="center"/>
    </xf>
    <xf numFmtId="5" fontId="61" fillId="0" borderId="0" xfId="3" applyNumberFormat="1" applyFont="1" applyAlignment="1">
      <alignment horizontal="right" vertical="center"/>
    </xf>
    <xf numFmtId="170" fontId="42" fillId="0" borderId="0" xfId="0" applyNumberFormat="1" applyFont="1"/>
    <xf numFmtId="170" fontId="138" fillId="0" borderId="0" xfId="1" applyNumberFormat="1" applyFont="1" applyFill="1" applyAlignment="1">
      <alignment horizontal="right" vertical="center"/>
    </xf>
    <xf numFmtId="9" fontId="33" fillId="14" borderId="0" xfId="0" applyNumberFormat="1" applyFont="1" applyFill="1" applyAlignment="1">
      <alignment horizontal="center"/>
    </xf>
    <xf numFmtId="9" fontId="35" fillId="14" borderId="6" xfId="0" applyNumberFormat="1" applyFont="1" applyFill="1" applyBorder="1" applyAlignment="1">
      <alignment horizontal="center"/>
    </xf>
    <xf numFmtId="9" fontId="35" fillId="14" borderId="5" xfId="0" applyNumberFormat="1" applyFont="1" applyFill="1" applyBorder="1" applyAlignment="1">
      <alignment horizontal="center"/>
    </xf>
    <xf numFmtId="0" fontId="35" fillId="14" borderId="0" xfId="0" applyFont="1" applyFill="1" applyAlignment="1">
      <alignment horizontal="center"/>
    </xf>
    <xf numFmtId="43" fontId="33" fillId="14" borderId="0" xfId="1" applyFont="1" applyFill="1"/>
    <xf numFmtId="167" fontId="33" fillId="14" borderId="0" xfId="0" applyNumberFormat="1" applyFont="1" applyFill="1" applyAlignment="1">
      <alignment horizontal="center"/>
    </xf>
    <xf numFmtId="41" fontId="33" fillId="14" borderId="0" xfId="0" applyNumberFormat="1" applyFont="1" applyFill="1" applyAlignment="1">
      <alignment horizontal="center"/>
    </xf>
    <xf numFmtId="0" fontId="33" fillId="14" borderId="0" xfId="0" applyFont="1" applyFill="1" applyAlignment="1">
      <alignment horizontal="center"/>
    </xf>
    <xf numFmtId="9" fontId="35" fillId="14" borderId="20" xfId="0" applyNumberFormat="1" applyFont="1" applyFill="1" applyBorder="1" applyAlignment="1">
      <alignment horizontal="center"/>
    </xf>
    <xf numFmtId="9" fontId="35" fillId="14" borderId="21" xfId="0" applyNumberFormat="1" applyFont="1" applyFill="1" applyBorder="1" applyAlignment="1">
      <alignment horizontal="center"/>
    </xf>
    <xf numFmtId="9" fontId="35" fillId="14" borderId="0" xfId="0" applyNumberFormat="1" applyFont="1" applyFill="1" applyAlignment="1">
      <alignment horizontal="center"/>
    </xf>
    <xf numFmtId="41" fontId="33" fillId="14" borderId="0" xfId="0" applyNumberFormat="1" applyFont="1" applyFill="1"/>
    <xf numFmtId="41" fontId="33" fillId="0" borderId="11" xfId="0" applyNumberFormat="1" applyFont="1" applyBorder="1"/>
    <xf numFmtId="9" fontId="139" fillId="0" borderId="5" xfId="0" applyNumberFormat="1" applyFont="1" applyBorder="1" applyAlignment="1">
      <alignment horizontal="center"/>
    </xf>
    <xf numFmtId="9" fontId="139" fillId="0" borderId="6" xfId="0" applyNumberFormat="1" applyFont="1" applyBorder="1" applyAlignment="1">
      <alignment horizontal="center"/>
    </xf>
    <xf numFmtId="9" fontId="139" fillId="0" borderId="0" xfId="0" applyNumberFormat="1" applyFont="1" applyAlignment="1">
      <alignment horizontal="center"/>
    </xf>
    <xf numFmtId="9" fontId="139" fillId="0" borderId="7" xfId="0" applyNumberFormat="1" applyFont="1" applyBorder="1" applyAlignment="1">
      <alignment horizontal="center"/>
    </xf>
    <xf numFmtId="9" fontId="139" fillId="0" borderId="8" xfId="0" applyNumberFormat="1" applyFont="1" applyBorder="1" applyAlignment="1">
      <alignment horizontal="center"/>
    </xf>
    <xf numFmtId="9" fontId="139" fillId="0" borderId="3" xfId="0" applyNumberFormat="1" applyFont="1" applyBorder="1" applyAlignment="1">
      <alignment horizontal="center"/>
    </xf>
    <xf numFmtId="0" fontId="33" fillId="13" borderId="10" xfId="0" applyFont="1" applyFill="1" applyBorder="1" applyAlignment="1">
      <alignment horizontal="center"/>
    </xf>
    <xf numFmtId="41" fontId="33" fillId="13" borderId="9" xfId="0" applyNumberFormat="1" applyFont="1" applyFill="1" applyBorder="1"/>
    <xf numFmtId="41" fontId="33" fillId="13" borderId="11" xfId="0" applyNumberFormat="1" applyFont="1" applyFill="1" applyBorder="1"/>
    <xf numFmtId="43" fontId="33" fillId="0" borderId="0" xfId="1" applyFont="1" applyAlignment="1">
      <alignment horizontal="left"/>
    </xf>
    <xf numFmtId="1" fontId="59" fillId="0" borderId="1" xfId="0" applyNumberFormat="1" applyFont="1" applyBorder="1" applyAlignment="1">
      <alignment horizontal="center" vertical="center"/>
    </xf>
    <xf numFmtId="1" fontId="59" fillId="0" borderId="1" xfId="0" applyNumberFormat="1" applyFont="1" applyBorder="1" applyAlignment="1">
      <alignment horizontal="center" vertical="center" wrapText="1"/>
    </xf>
    <xf numFmtId="0" fontId="41" fillId="15" borderId="0" xfId="0" applyFont="1" applyFill="1" applyAlignment="1">
      <alignment horizontal="left" indent="1"/>
    </xf>
    <xf numFmtId="170" fontId="41" fillId="15" borderId="0" xfId="1" applyNumberFormat="1" applyFont="1" applyFill="1"/>
    <xf numFmtId="0" fontId="40" fillId="15" borderId="0" xfId="0" applyFont="1" applyFill="1" applyAlignment="1">
      <alignment horizontal="center"/>
    </xf>
    <xf numFmtId="170" fontId="40" fillId="15" borderId="9" xfId="1" applyNumberFormat="1" applyFont="1" applyFill="1" applyBorder="1"/>
    <xf numFmtId="170" fontId="40" fillId="15" borderId="0" xfId="1" applyNumberFormat="1" applyFont="1" applyFill="1" applyBorder="1"/>
    <xf numFmtId="170" fontId="40" fillId="15" borderId="0" xfId="1" applyNumberFormat="1" applyFont="1" applyFill="1"/>
    <xf numFmtId="0" fontId="41" fillId="15" borderId="0" xfId="0" applyFont="1" applyFill="1"/>
    <xf numFmtId="170" fontId="41" fillId="15" borderId="0" xfId="1" applyNumberFormat="1" applyFont="1" applyFill="1" applyBorder="1"/>
    <xf numFmtId="0" fontId="40" fillId="15" borderId="0" xfId="0" applyFont="1" applyFill="1"/>
    <xf numFmtId="170" fontId="40" fillId="15" borderId="0" xfId="1" applyNumberFormat="1" applyFont="1" applyFill="1" applyAlignment="1">
      <alignment horizontal="center" wrapText="1"/>
    </xf>
    <xf numFmtId="170" fontId="41" fillId="15" borderId="0" xfId="1" applyNumberFormat="1" applyFont="1" applyFill="1" applyAlignment="1">
      <alignment wrapText="1"/>
    </xf>
    <xf numFmtId="170" fontId="40" fillId="15" borderId="0" xfId="1" applyNumberFormat="1" applyFont="1" applyFill="1" applyBorder="1" applyAlignment="1">
      <alignment horizontal="center" wrapText="1"/>
    </xf>
    <xf numFmtId="0" fontId="41" fillId="15" borderId="0" xfId="0" applyFont="1" applyFill="1" applyAlignment="1">
      <alignment horizontal="left" indent="2"/>
    </xf>
    <xf numFmtId="170" fontId="41" fillId="15" borderId="9" xfId="1" applyNumberFormat="1" applyFont="1" applyFill="1" applyBorder="1"/>
    <xf numFmtId="170" fontId="41" fillId="15" borderId="1" xfId="1" applyNumberFormat="1" applyFont="1" applyFill="1" applyBorder="1"/>
    <xf numFmtId="170" fontId="41" fillId="15" borderId="4" xfId="1" applyNumberFormat="1" applyFont="1" applyFill="1" applyBorder="1"/>
    <xf numFmtId="170" fontId="58" fillId="0" borderId="1" xfId="1" applyNumberFormat="1" applyFont="1" applyFill="1" applyBorder="1" applyAlignment="1">
      <alignment vertical="center"/>
    </xf>
    <xf numFmtId="172" fontId="58" fillId="0" borderId="0" xfId="2" applyNumberFormat="1" applyFont="1" applyFill="1"/>
    <xf numFmtId="172" fontId="58" fillId="0" borderId="0" xfId="2" applyNumberFormat="1" applyFont="1" applyFill="1" applyAlignment="1">
      <alignment horizontal="left" vertical="center"/>
    </xf>
    <xf numFmtId="172" fontId="104" fillId="0" borderId="0" xfId="2" applyNumberFormat="1" applyFont="1" applyFill="1" applyAlignment="1">
      <alignment vertical="center"/>
    </xf>
    <xf numFmtId="0" fontId="92" fillId="0" borderId="0" xfId="3" applyFont="1" applyAlignment="1">
      <alignment horizontal="center" vertical="center"/>
    </xf>
    <xf numFmtId="0" fontId="56" fillId="0" borderId="0" xfId="3" applyFont="1" applyAlignment="1">
      <alignment horizontal="center" vertical="center"/>
    </xf>
    <xf numFmtId="0" fontId="55" fillId="0" borderId="0" xfId="3" applyFont="1" applyAlignment="1">
      <alignment vertical="center"/>
    </xf>
    <xf numFmtId="0" fontId="140" fillId="0" borderId="0" xfId="3" applyFont="1" applyAlignment="1">
      <alignment vertical="center"/>
    </xf>
    <xf numFmtId="170" fontId="142" fillId="0" borderId="3" xfId="1" applyNumberFormat="1" applyFont="1" applyFill="1" applyBorder="1" applyAlignment="1">
      <alignment vertical="center"/>
    </xf>
    <xf numFmtId="6" fontId="68" fillId="0" borderId="0" xfId="3" applyNumberFormat="1" applyFont="1" applyAlignment="1">
      <alignment vertical="center"/>
    </xf>
    <xf numFmtId="172" fontId="58" fillId="0" borderId="0" xfId="2" applyNumberFormat="1" applyFont="1" applyFill="1" applyBorder="1" applyAlignment="1" applyProtection="1">
      <alignment horizontal="left" vertical="center"/>
      <protection locked="0"/>
    </xf>
    <xf numFmtId="166" fontId="72" fillId="0" borderId="0" xfId="3" applyNumberFormat="1" applyFont="1" applyAlignment="1">
      <alignment horizontal="left" vertical="center"/>
    </xf>
    <xf numFmtId="166" fontId="72" fillId="0" borderId="0" xfId="3" applyNumberFormat="1" applyFont="1" applyAlignment="1">
      <alignment vertical="center"/>
    </xf>
    <xf numFmtId="49" fontId="40" fillId="0" borderId="0" xfId="3" applyNumberFormat="1" applyFont="1" applyAlignment="1">
      <alignment horizontal="center" vertical="center"/>
    </xf>
    <xf numFmtId="0" fontId="40" fillId="0" borderId="1" xfId="0" applyFont="1" applyBorder="1" applyAlignment="1">
      <alignment vertical="center"/>
    </xf>
    <xf numFmtId="42" fontId="40" fillId="0" borderId="1" xfId="3" applyNumberFormat="1" applyFont="1" applyBorder="1" applyAlignment="1">
      <alignment horizontal="center" vertical="center"/>
    </xf>
    <xf numFmtId="167" fontId="33" fillId="14" borderId="0" xfId="0" applyNumberFormat="1" applyFont="1" applyFill="1"/>
    <xf numFmtId="3" fontId="33" fillId="14" borderId="0" xfId="0" applyNumberFormat="1" applyFont="1" applyFill="1"/>
    <xf numFmtId="9" fontId="144" fillId="14" borderId="5" xfId="0" applyNumberFormat="1" applyFont="1" applyFill="1" applyBorder="1" applyAlignment="1">
      <alignment horizontal="center"/>
    </xf>
    <xf numFmtId="9" fontId="144" fillId="14" borderId="6" xfId="0" applyNumberFormat="1" applyFont="1" applyFill="1" applyBorder="1" applyAlignment="1">
      <alignment horizontal="center"/>
    </xf>
    <xf numFmtId="170" fontId="41" fillId="0" borderId="0" xfId="5" applyNumberFormat="1" applyFont="1"/>
    <xf numFmtId="170" fontId="41" fillId="0" borderId="0" xfId="5" applyNumberFormat="1" applyFont="1" applyFill="1" applyAlignment="1">
      <alignment vertical="center"/>
    </xf>
    <xf numFmtId="170" fontId="41" fillId="0" borderId="0" xfId="5" applyNumberFormat="1" applyFont="1" applyFill="1"/>
    <xf numFmtId="170" fontId="41" fillId="0" borderId="1" xfId="5" applyNumberFormat="1" applyFont="1" applyFill="1" applyBorder="1"/>
    <xf numFmtId="170" fontId="41" fillId="0" borderId="2" xfId="5" applyNumberFormat="1" applyFont="1" applyBorder="1"/>
    <xf numFmtId="167" fontId="45" fillId="0" borderId="1" xfId="3" applyNumberFormat="1" applyFont="1" applyBorder="1" applyAlignment="1">
      <alignment vertical="center"/>
    </xf>
    <xf numFmtId="170" fontId="40" fillId="0" borderId="0" xfId="1" applyNumberFormat="1" applyFont="1" applyFill="1" applyBorder="1" applyAlignment="1">
      <alignment horizontal="left" vertical="center"/>
    </xf>
    <xf numFmtId="170" fontId="41" fillId="0" borderId="1" xfId="1" applyNumberFormat="1" applyFont="1" applyFill="1" applyBorder="1" applyAlignment="1">
      <alignment vertical="center"/>
    </xf>
    <xf numFmtId="170" fontId="40" fillId="0" borderId="0" xfId="1" applyNumberFormat="1" applyFont="1" applyFill="1" applyBorder="1" applyAlignment="1">
      <alignment horizontal="center"/>
    </xf>
    <xf numFmtId="170" fontId="41" fillId="0" borderId="0" xfId="1" applyNumberFormat="1" applyFont="1" applyAlignment="1">
      <alignment vertical="center"/>
    </xf>
    <xf numFmtId="0" fontId="40" fillId="0" borderId="14" xfId="0" applyFont="1" applyBorder="1" applyAlignment="1">
      <alignment horizontal="center" vertical="center"/>
    </xf>
    <xf numFmtId="43" fontId="41" fillId="0" borderId="0" xfId="1" applyFont="1" applyFill="1" applyAlignment="1">
      <alignment horizontal="left" indent="1"/>
    </xf>
    <xf numFmtId="43" fontId="41" fillId="0" borderId="0" xfId="1" applyFont="1" applyFill="1"/>
    <xf numFmtId="43" fontId="41" fillId="0" borderId="0" xfId="1" applyFont="1" applyFill="1" applyBorder="1"/>
    <xf numFmtId="170" fontId="41" fillId="0" borderId="0" xfId="1" applyNumberFormat="1" applyFont="1" applyFill="1" applyAlignment="1">
      <alignment horizontal="left" indent="1"/>
    </xf>
    <xf numFmtId="170" fontId="41" fillId="0" borderId="0" xfId="1" applyNumberFormat="1" applyFont="1" applyFill="1" applyAlignment="1">
      <alignment horizontal="left" indent="2"/>
    </xf>
    <xf numFmtId="41" fontId="59" fillId="0" borderId="1" xfId="3" applyNumberFormat="1" applyFont="1" applyBorder="1" applyAlignment="1">
      <alignment horizontal="center" vertical="center"/>
    </xf>
    <xf numFmtId="166" fontId="33" fillId="0" borderId="0" xfId="3" applyNumberFormat="1" applyFont="1" applyAlignment="1">
      <alignment horizontal="left" vertical="center"/>
    </xf>
    <xf numFmtId="0" fontId="58" fillId="0" borderId="0" xfId="3" applyFont="1" applyAlignment="1">
      <alignment horizontal="justify" vertical="justify"/>
    </xf>
    <xf numFmtId="0" fontId="40" fillId="0" borderId="1" xfId="0" applyFont="1" applyBorder="1" applyAlignment="1">
      <alignment horizontal="center" vertical="center"/>
    </xf>
    <xf numFmtId="0" fontId="40" fillId="0" borderId="1" xfId="3" applyFont="1" applyBorder="1" applyAlignment="1" applyProtection="1">
      <alignment horizontal="center" vertical="center"/>
      <protection locked="0"/>
    </xf>
    <xf numFmtId="41" fontId="40" fillId="0" borderId="0" xfId="3" applyNumberFormat="1" applyFont="1" applyAlignment="1">
      <alignment horizontal="center" vertical="center"/>
    </xf>
    <xf numFmtId="0" fontId="40" fillId="0" borderId="0" xfId="3" applyFont="1" applyAlignment="1">
      <alignment horizontal="left" vertical="top"/>
    </xf>
    <xf numFmtId="167" fontId="60" fillId="0" borderId="0" xfId="3" applyNumberFormat="1" applyFont="1" applyAlignment="1" applyProtection="1">
      <alignment horizontal="center" vertical="center"/>
      <protection locked="0"/>
    </xf>
    <xf numFmtId="37" fontId="99" fillId="0" borderId="0" xfId="0" applyNumberFormat="1" applyFont="1" applyAlignment="1">
      <alignment vertical="center"/>
    </xf>
    <xf numFmtId="37" fontId="34" fillId="0" borderId="0" xfId="0" applyNumberFormat="1" applyFont="1" applyAlignment="1">
      <alignment vertical="center"/>
    </xf>
    <xf numFmtId="37" fontId="58" fillId="0" borderId="0" xfId="0" applyNumberFormat="1" applyFont="1" applyAlignment="1">
      <alignment vertical="center"/>
    </xf>
    <xf numFmtId="37" fontId="45" fillId="0" borderId="0" xfId="0" applyNumberFormat="1" applyFont="1" applyAlignment="1">
      <alignment vertical="center"/>
    </xf>
    <xf numFmtId="1" fontId="40" fillId="0" borderId="0" xfId="0" applyNumberFormat="1" applyFont="1" applyAlignment="1">
      <alignment vertical="center"/>
    </xf>
    <xf numFmtId="41" fontId="45" fillId="0" borderId="0" xfId="0" applyNumberFormat="1" applyFont="1" applyAlignment="1">
      <alignment horizontal="center" vertical="center"/>
    </xf>
    <xf numFmtId="41" fontId="45" fillId="0" borderId="0" xfId="0" applyNumberFormat="1" applyFont="1"/>
    <xf numFmtId="167" fontId="117" fillId="0" borderId="0" xfId="0" applyNumberFormat="1" applyFont="1" applyAlignment="1">
      <alignment horizontal="center" vertical="center"/>
    </xf>
    <xf numFmtId="170" fontId="58" fillId="0" borderId="0" xfId="1" applyNumberFormat="1" applyFont="1" applyFill="1" applyAlignment="1"/>
    <xf numFmtId="0" fontId="117" fillId="0" borderId="0" xfId="0" applyFont="1" applyAlignment="1">
      <alignment vertical="center"/>
    </xf>
    <xf numFmtId="0" fontId="58" fillId="0" borderId="0" xfId="0" applyFont="1" applyAlignment="1">
      <alignment horizontal="right" vertical="center"/>
    </xf>
    <xf numFmtId="37" fontId="58" fillId="0" borderId="0" xfId="0" applyNumberFormat="1" applyFont="1" applyAlignment="1">
      <alignment horizontal="right" vertical="center"/>
    </xf>
    <xf numFmtId="0" fontId="117" fillId="0" borderId="0" xfId="0" applyFont="1" applyAlignment="1">
      <alignment horizontal="right" vertical="center"/>
    </xf>
    <xf numFmtId="0" fontId="58" fillId="0" borderId="0" xfId="0" applyFont="1" applyAlignment="1">
      <alignment horizontal="center"/>
    </xf>
    <xf numFmtId="0" fontId="117" fillId="0" borderId="0" xfId="0" applyFont="1" applyAlignment="1">
      <alignment vertical="top"/>
    </xf>
    <xf numFmtId="167" fontId="58" fillId="0" borderId="0" xfId="0" applyNumberFormat="1" applyFont="1" applyAlignment="1">
      <alignment vertical="top"/>
    </xf>
    <xf numFmtId="0" fontId="58" fillId="0" borderId="0" xfId="0" applyFont="1" applyAlignment="1">
      <alignment vertical="top"/>
    </xf>
    <xf numFmtId="37" fontId="58" fillId="0" borderId="0" xfId="0" applyNumberFormat="1" applyFont="1" applyAlignment="1">
      <alignment vertical="top"/>
    </xf>
    <xf numFmtId="41" fontId="58" fillId="0" borderId="0" xfId="0" applyNumberFormat="1" applyFont="1" applyAlignment="1">
      <alignment vertical="top"/>
    </xf>
    <xf numFmtId="0" fontId="58" fillId="0" borderId="0" xfId="0" applyFont="1" applyAlignment="1">
      <alignment horizontal="justify" vertical="top"/>
    </xf>
    <xf numFmtId="37" fontId="41" fillId="0" borderId="0" xfId="0" applyNumberFormat="1" applyFont="1"/>
    <xf numFmtId="37" fontId="75" fillId="0" borderId="0" xfId="0" applyNumberFormat="1" applyFont="1" applyAlignment="1">
      <alignment vertical="center"/>
    </xf>
    <xf numFmtId="0" fontId="75" fillId="0" borderId="0" xfId="0" applyFont="1" applyAlignment="1">
      <alignment vertical="center"/>
    </xf>
    <xf numFmtId="167" fontId="58" fillId="0" borderId="2" xfId="0" applyNumberFormat="1" applyFont="1" applyBorder="1" applyAlignment="1">
      <alignment horizontal="center" vertical="center"/>
    </xf>
    <xf numFmtId="167" fontId="58" fillId="0" borderId="0" xfId="0" applyNumberFormat="1" applyFont="1" applyAlignment="1">
      <alignment horizontal="center" vertical="center"/>
    </xf>
    <xf numFmtId="0" fontId="58" fillId="0" borderId="0" xfId="0" applyFont="1" applyAlignment="1">
      <alignment vertical="justify"/>
    </xf>
    <xf numFmtId="171" fontId="58" fillId="0" borderId="0" xfId="0" applyNumberFormat="1" applyFont="1" applyAlignment="1">
      <alignment vertical="center"/>
    </xf>
    <xf numFmtId="171" fontId="58" fillId="0" borderId="0" xfId="0" applyNumberFormat="1" applyFont="1" applyAlignment="1">
      <alignment horizontal="center" vertical="center"/>
    </xf>
    <xf numFmtId="0" fontId="62" fillId="0" borderId="0" xfId="0" applyFont="1" applyAlignment="1">
      <alignment horizontal="center" vertical="center"/>
    </xf>
    <xf numFmtId="1" fontId="62" fillId="0" borderId="0" xfId="0" applyNumberFormat="1" applyFont="1" applyAlignment="1">
      <alignment horizontal="center" vertical="center"/>
    </xf>
    <xf numFmtId="1" fontId="62" fillId="0" borderId="0" xfId="0" quotePrefix="1" applyNumberFormat="1" applyFont="1" applyAlignment="1">
      <alignment horizontal="center" vertical="center"/>
    </xf>
    <xf numFmtId="37" fontId="41" fillId="0" borderId="0" xfId="0" applyNumberFormat="1" applyFont="1" applyAlignment="1">
      <alignment vertical="center"/>
    </xf>
    <xf numFmtId="37" fontId="58" fillId="0" borderId="2" xfId="0" applyNumberFormat="1" applyFont="1" applyBorder="1" applyAlignment="1">
      <alignment vertical="center"/>
    </xf>
    <xf numFmtId="37" fontId="115" fillId="0" borderId="0" xfId="0" applyNumberFormat="1" applyFont="1" applyAlignment="1">
      <alignment vertical="center"/>
    </xf>
    <xf numFmtId="0" fontId="115" fillId="0" borderId="0" xfId="0" applyFont="1" applyAlignment="1">
      <alignment vertical="center"/>
    </xf>
    <xf numFmtId="167" fontId="58" fillId="0" borderId="1" xfId="0" applyNumberFormat="1" applyFont="1" applyBorder="1" applyAlignment="1">
      <alignment horizontal="center" vertical="center"/>
    </xf>
    <xf numFmtId="0" fontId="108" fillId="0" borderId="0" xfId="0" applyFont="1" applyAlignment="1">
      <alignment vertical="center"/>
    </xf>
    <xf numFmtId="37" fontId="110" fillId="0" borderId="0" xfId="0" applyNumberFormat="1" applyFont="1" applyAlignment="1">
      <alignment vertical="center"/>
    </xf>
    <xf numFmtId="0" fontId="110" fillId="0" borderId="0" xfId="0" applyFont="1" applyAlignment="1">
      <alignment vertical="center"/>
    </xf>
    <xf numFmtId="37" fontId="112" fillId="0" borderId="0" xfId="0" applyNumberFormat="1" applyFont="1" applyAlignment="1">
      <alignment vertical="center"/>
    </xf>
    <xf numFmtId="0" fontId="112" fillId="0" borderId="0" xfId="0" applyFont="1" applyAlignment="1">
      <alignment vertical="center"/>
    </xf>
    <xf numFmtId="0" fontId="59" fillId="0" borderId="1" xfId="0" applyFont="1" applyBorder="1" applyAlignment="1">
      <alignment vertical="center"/>
    </xf>
    <xf numFmtId="42" fontId="58" fillId="0" borderId="4" xfId="0" applyNumberFormat="1" applyFont="1" applyBorder="1" applyAlignment="1">
      <alignment horizontal="center" vertical="center"/>
    </xf>
    <xf numFmtId="42" fontId="58" fillId="0" borderId="0" xfId="0" applyNumberFormat="1" applyFont="1" applyAlignment="1">
      <alignment horizontal="center" vertical="center"/>
    </xf>
    <xf numFmtId="42" fontId="78" fillId="0" borderId="0" xfId="0" applyNumberFormat="1" applyFont="1" applyAlignment="1">
      <alignment vertical="center"/>
    </xf>
    <xf numFmtId="0" fontId="93" fillId="0" borderId="0" xfId="0" applyFont="1"/>
    <xf numFmtId="0" fontId="127" fillId="0" borderId="0" xfId="0" applyFont="1"/>
    <xf numFmtId="0" fontId="99" fillId="0" borderId="0" xfId="0" applyFont="1"/>
    <xf numFmtId="0" fontId="128" fillId="0" borderId="0" xfId="0" applyFont="1"/>
    <xf numFmtId="0" fontId="129" fillId="0" borderId="0" xfId="0" applyFont="1"/>
    <xf numFmtId="0" fontId="116" fillId="0" borderId="0" xfId="0" applyFont="1"/>
    <xf numFmtId="42" fontId="59" fillId="0" borderId="0" xfId="0" applyNumberFormat="1" applyFont="1"/>
    <xf numFmtId="170" fontId="104" fillId="0" borderId="0" xfId="1" applyNumberFormat="1" applyFont="1" applyFill="1"/>
    <xf numFmtId="5" fontId="61" fillId="0" borderId="0" xfId="0" applyNumberFormat="1" applyFont="1"/>
    <xf numFmtId="170" fontId="59" fillId="0" borderId="0" xfId="1" applyNumberFormat="1" applyFont="1" applyFill="1"/>
    <xf numFmtId="172" fontId="58" fillId="0" borderId="0" xfId="2" applyNumberFormat="1" applyFont="1" applyFill="1" applyBorder="1"/>
    <xf numFmtId="172" fontId="104" fillId="0" borderId="0" xfId="2" applyNumberFormat="1" applyFont="1" applyFill="1" applyBorder="1"/>
    <xf numFmtId="172" fontId="59" fillId="0" borderId="0" xfId="2" applyNumberFormat="1" applyFont="1" applyFill="1" applyBorder="1"/>
    <xf numFmtId="170" fontId="104" fillId="0" borderId="0" xfId="1" applyNumberFormat="1" applyFont="1" applyFill="1" applyBorder="1"/>
    <xf numFmtId="170" fontId="59" fillId="0" borderId="0" xfId="1" applyNumberFormat="1" applyFont="1" applyFill="1" applyBorder="1"/>
    <xf numFmtId="43" fontId="58" fillId="0" borderId="0" xfId="1" applyFont="1" applyFill="1"/>
    <xf numFmtId="43" fontId="104" fillId="0" borderId="0" xfId="1" applyFont="1" applyFill="1"/>
    <xf numFmtId="170" fontId="58" fillId="0" borderId="0" xfId="5" applyNumberFormat="1" applyFont="1" applyFill="1"/>
    <xf numFmtId="170" fontId="58" fillId="0" borderId="1" xfId="5" applyNumberFormat="1" applyFont="1" applyFill="1" applyBorder="1"/>
    <xf numFmtId="165" fontId="61" fillId="0" borderId="0" xfId="0" applyNumberFormat="1" applyFont="1" applyAlignment="1">
      <alignment horizontal="left" vertical="center"/>
    </xf>
    <xf numFmtId="37" fontId="58" fillId="0" borderId="1" xfId="0" applyNumberFormat="1" applyFont="1" applyBorder="1" applyAlignment="1">
      <alignment vertical="center"/>
    </xf>
    <xf numFmtId="38" fontId="58" fillId="0" borderId="2" xfId="0" applyNumberFormat="1" applyFont="1" applyBorder="1" applyAlignment="1">
      <alignment vertical="center"/>
    </xf>
    <xf numFmtId="167" fontId="58" fillId="0" borderId="1" xfId="0" applyNumberFormat="1" applyFont="1" applyBorder="1"/>
    <xf numFmtId="0" fontId="58" fillId="0" borderId="0" xfId="3" applyFont="1" applyAlignment="1">
      <alignment horizontal="left" vertical="justify" indent="1"/>
    </xf>
    <xf numFmtId="37" fontId="58" fillId="0" borderId="0" xfId="3" applyNumberFormat="1" applyFont="1"/>
    <xf numFmtId="37" fontId="58" fillId="0" borderId="2" xfId="3" applyNumberFormat="1" applyFont="1" applyBorder="1" applyAlignment="1">
      <alignment vertical="center"/>
    </xf>
    <xf numFmtId="167" fontId="61" fillId="0" borderId="0" xfId="3" applyNumberFormat="1" applyFont="1" applyAlignment="1">
      <alignment horizontal="right" vertical="center"/>
    </xf>
    <xf numFmtId="170" fontId="143" fillId="0" borderId="0" xfId="1" applyNumberFormat="1" applyFont="1" applyFill="1" applyAlignment="1">
      <alignment vertical="center"/>
    </xf>
    <xf numFmtId="170" fontId="95" fillId="0" borderId="0" xfId="1" applyNumberFormat="1" applyFont="1" applyFill="1" applyAlignment="1">
      <alignment vertical="center"/>
    </xf>
    <xf numFmtId="170" fontId="64" fillId="0" borderId="0" xfId="1" applyNumberFormat="1" applyFont="1" applyFill="1" applyAlignment="1">
      <alignment horizontal="center" vertical="center"/>
    </xf>
    <xf numFmtId="170" fontId="96" fillId="0" borderId="0" xfId="1" applyNumberFormat="1" applyFont="1" applyFill="1" applyAlignment="1">
      <alignment vertical="center"/>
    </xf>
    <xf numFmtId="170" fontId="96" fillId="0" borderId="0" xfId="1" applyNumberFormat="1" applyFont="1" applyFill="1" applyAlignment="1">
      <alignment horizontal="center" vertical="center"/>
    </xf>
    <xf numFmtId="170" fontId="58" fillId="0" borderId="0" xfId="3" applyNumberFormat="1" applyFont="1" applyAlignment="1">
      <alignment vertical="center"/>
    </xf>
    <xf numFmtId="37" fontId="58" fillId="0" borderId="1" xfId="3" applyNumberFormat="1" applyFont="1" applyBorder="1" applyAlignment="1">
      <alignment vertical="center"/>
    </xf>
    <xf numFmtId="170" fontId="104" fillId="0" borderId="0" xfId="1" applyNumberFormat="1" applyFont="1" applyFill="1" applyAlignment="1">
      <alignment vertical="center"/>
    </xf>
    <xf numFmtId="170" fontId="103" fillId="0" borderId="0" xfId="1" applyNumberFormat="1" applyFont="1" applyFill="1" applyAlignment="1">
      <alignment vertical="center"/>
    </xf>
    <xf numFmtId="0" fontId="102" fillId="0" borderId="0" xfId="3" applyFont="1" applyAlignment="1">
      <alignment vertical="center"/>
    </xf>
    <xf numFmtId="0" fontId="41" fillId="0" borderId="0" xfId="3" applyFont="1" applyAlignment="1">
      <alignment horizontal="centerContinuous" vertical="center"/>
    </xf>
    <xf numFmtId="41" fontId="40" fillId="0" borderId="1" xfId="3" applyNumberFormat="1" applyFont="1" applyBorder="1" applyAlignment="1">
      <alignment horizontal="center" vertical="center"/>
    </xf>
    <xf numFmtId="37" fontId="58" fillId="0" borderId="0" xfId="3" quotePrefix="1" applyNumberFormat="1" applyFont="1" applyAlignment="1">
      <alignment horizontal="right" vertical="center"/>
    </xf>
    <xf numFmtId="167" fontId="58" fillId="0" borderId="2" xfId="3" applyNumberFormat="1" applyFont="1" applyBorder="1" applyAlignment="1">
      <alignment horizontal="right" vertical="center"/>
    </xf>
    <xf numFmtId="41" fontId="59" fillId="0" borderId="0" xfId="3" applyNumberFormat="1" applyFont="1" applyAlignment="1">
      <alignment horizontal="right" vertical="center"/>
    </xf>
    <xf numFmtId="5" fontId="59" fillId="0" borderId="0" xfId="3" applyNumberFormat="1" applyFont="1" applyAlignment="1">
      <alignment horizontal="right" vertical="center"/>
    </xf>
    <xf numFmtId="0" fontId="141" fillId="0" borderId="0" xfId="3" applyFont="1" applyAlignment="1">
      <alignment vertical="center"/>
    </xf>
    <xf numFmtId="0" fontId="50" fillId="0" borderId="0" xfId="3" applyFont="1" applyAlignment="1">
      <alignment vertical="center"/>
    </xf>
    <xf numFmtId="0" fontId="54" fillId="0" borderId="0" xfId="3" applyFont="1" applyAlignment="1">
      <alignment vertical="center"/>
    </xf>
    <xf numFmtId="0" fontId="57" fillId="0" borderId="0" xfId="3" applyFont="1" applyAlignment="1">
      <alignment vertical="center"/>
    </xf>
    <xf numFmtId="0" fontId="63" fillId="0" borderId="0" xfId="3" applyFont="1" applyAlignment="1">
      <alignment vertical="center"/>
    </xf>
    <xf numFmtId="0" fontId="46" fillId="0" borderId="0" xfId="3" applyFont="1" applyAlignment="1">
      <alignment vertical="center"/>
    </xf>
    <xf numFmtId="0" fontId="65" fillId="0" borderId="0" xfId="3" applyFont="1" applyAlignment="1">
      <alignment vertical="center"/>
    </xf>
    <xf numFmtId="172" fontId="59" fillId="0" borderId="0" xfId="2" applyNumberFormat="1" applyFont="1" applyFill="1" applyBorder="1" applyAlignment="1">
      <alignment vertical="center"/>
    </xf>
    <xf numFmtId="170" fontId="40" fillId="11" borderId="0" xfId="1" applyNumberFormat="1" applyFont="1" applyFill="1" applyBorder="1" applyAlignment="1">
      <alignment horizontal="center" wrapText="1"/>
    </xf>
    <xf numFmtId="170" fontId="41" fillId="0" borderId="9" xfId="5" applyNumberFormat="1" applyFont="1" applyBorder="1"/>
    <xf numFmtId="170" fontId="41" fillId="0" borderId="0" xfId="5" applyNumberFormat="1" applyFont="1" applyFill="1" applyBorder="1"/>
    <xf numFmtId="170" fontId="40" fillId="0" borderId="0" xfId="5" applyNumberFormat="1" applyFont="1" applyFill="1" applyAlignment="1">
      <alignment horizontal="center" wrapText="1"/>
    </xf>
    <xf numFmtId="170" fontId="41" fillId="0" borderId="2" xfId="5" applyNumberFormat="1" applyFont="1" applyFill="1" applyBorder="1"/>
    <xf numFmtId="0" fontId="34" fillId="0" borderId="7" xfId="0" applyFont="1" applyBorder="1"/>
    <xf numFmtId="0" fontId="34" fillId="0" borderId="8" xfId="0" applyFont="1" applyBorder="1"/>
    <xf numFmtId="42" fontId="58" fillId="0" borderId="0" xfId="0" applyNumberFormat="1" applyFont="1"/>
    <xf numFmtId="43" fontId="90" fillId="0" borderId="0" xfId="1" applyFont="1" applyFill="1" applyAlignment="1" applyProtection="1">
      <alignment vertical="center"/>
      <protection locked="0"/>
    </xf>
    <xf numFmtId="43" fontId="99" fillId="0" borderId="0" xfId="1" applyFont="1" applyFill="1" applyAlignment="1" applyProtection="1">
      <alignment vertical="center"/>
      <protection locked="0"/>
    </xf>
    <xf numFmtId="43" fontId="34" fillId="0" borderId="0" xfId="1" applyFont="1" applyFill="1" applyAlignment="1" applyProtection="1">
      <alignment vertical="center"/>
      <protection locked="0"/>
    </xf>
    <xf numFmtId="43" fontId="58" fillId="0" borderId="0" xfId="1" applyFont="1" applyFill="1" applyAlignment="1">
      <alignment vertical="center"/>
    </xf>
    <xf numFmtId="43" fontId="45" fillId="0" borderId="0" xfId="1" applyFont="1" applyFill="1" applyProtection="1">
      <protection locked="0"/>
    </xf>
    <xf numFmtId="43" fontId="40" fillId="0" borderId="0" xfId="1" applyFont="1" applyFill="1" applyProtection="1">
      <protection locked="0"/>
    </xf>
    <xf numFmtId="43" fontId="58" fillId="0" borderId="0" xfId="1" applyFont="1" applyFill="1" applyProtection="1">
      <protection locked="0"/>
    </xf>
    <xf numFmtId="43" fontId="58" fillId="0" borderId="0" xfId="1" applyFont="1" applyFill="1" applyBorder="1" applyProtection="1">
      <protection locked="0"/>
    </xf>
    <xf numFmtId="43" fontId="58" fillId="0" borderId="0" xfId="1" applyFont="1" applyFill="1" applyProtection="1"/>
    <xf numFmtId="43" fontId="80" fillId="0" borderId="0" xfId="1" applyFont="1" applyFill="1" applyProtection="1">
      <protection locked="0"/>
    </xf>
    <xf numFmtId="43" fontId="78" fillId="0" borderId="0" xfId="1" applyFont="1" applyFill="1" applyProtection="1">
      <protection locked="0"/>
    </xf>
    <xf numFmtId="6" fontId="61" fillId="0" borderId="0" xfId="3" applyNumberFormat="1" applyFont="1"/>
    <xf numFmtId="170" fontId="42" fillId="0" borderId="0" xfId="3" applyNumberFormat="1" applyFont="1" applyAlignment="1">
      <alignment vertical="center"/>
    </xf>
    <xf numFmtId="167" fontId="58" fillId="0" borderId="0" xfId="3" applyNumberFormat="1" applyFont="1" applyProtection="1">
      <protection locked="0"/>
    </xf>
    <xf numFmtId="167" fontId="58" fillId="0" borderId="0" xfId="3" applyNumberFormat="1" applyFont="1"/>
    <xf numFmtId="0" fontId="58" fillId="0" borderId="0" xfId="3" applyFont="1" applyAlignment="1" applyProtection="1">
      <alignment horizontal="left" wrapText="1" indent="3"/>
      <protection locked="0"/>
    </xf>
    <xf numFmtId="170" fontId="41" fillId="0" borderId="1" xfId="1" applyNumberFormat="1" applyFont="1" applyFill="1" applyBorder="1" applyAlignment="1">
      <alignment horizontal="center" wrapText="1"/>
    </xf>
    <xf numFmtId="6" fontId="135" fillId="0" borderId="0" xfId="3" applyNumberFormat="1" applyFont="1" applyAlignment="1">
      <alignment vertical="center"/>
    </xf>
    <xf numFmtId="170" fontId="0" fillId="0" borderId="0" xfId="1" applyNumberFormat="1" applyFont="1"/>
    <xf numFmtId="170" fontId="0" fillId="0" borderId="0" xfId="0" applyNumberFormat="1"/>
    <xf numFmtId="170" fontId="41" fillId="0" borderId="0" xfId="5" applyNumberFormat="1" applyFont="1" applyFill="1" applyBorder="1" applyAlignment="1">
      <alignment vertical="center"/>
    </xf>
    <xf numFmtId="43" fontId="40" fillId="0" borderId="0" xfId="1" applyFont="1" applyFill="1" applyAlignment="1">
      <alignment horizontal="left" vertical="center"/>
    </xf>
    <xf numFmtId="170" fontId="41" fillId="0" borderId="1" xfId="1" applyNumberFormat="1" applyFont="1" applyBorder="1"/>
    <xf numFmtId="170" fontId="41" fillId="0" borderId="1" xfId="5" applyNumberFormat="1" applyFont="1" applyFill="1" applyBorder="1" applyAlignment="1">
      <alignment vertical="center"/>
    </xf>
    <xf numFmtId="0" fontId="40" fillId="12" borderId="0" xfId="3" applyFont="1" applyFill="1" applyAlignment="1">
      <alignment horizontal="center" vertical="center"/>
    </xf>
    <xf numFmtId="0" fontId="40" fillId="12" borderId="1" xfId="3" applyFont="1" applyFill="1" applyBorder="1" applyAlignment="1">
      <alignment horizontal="center" vertical="center"/>
    </xf>
    <xf numFmtId="170" fontId="58" fillId="0" borderId="0" xfId="1" applyNumberFormat="1" applyFont="1"/>
    <xf numFmtId="170" fontId="132" fillId="0" borderId="0" xfId="5" applyNumberFormat="1" applyFont="1" applyFill="1"/>
    <xf numFmtId="0" fontId="147" fillId="0" borderId="0" xfId="8" applyFont="1"/>
    <xf numFmtId="0" fontId="148" fillId="0" borderId="0" xfId="8" applyFont="1"/>
    <xf numFmtId="0" fontId="41" fillId="0" borderId="2" xfId="0" applyFont="1" applyBorder="1"/>
    <xf numFmtId="42" fontId="64" fillId="0" borderId="0" xfId="3" applyNumberFormat="1" applyFont="1" applyAlignment="1" applyProtection="1">
      <alignment vertical="center"/>
      <protection locked="0"/>
    </xf>
    <xf numFmtId="170" fontId="135" fillId="16" borderId="23" xfId="1" applyNumberFormat="1" applyFont="1" applyFill="1" applyBorder="1" applyAlignment="1">
      <alignment vertical="center"/>
    </xf>
    <xf numFmtId="1" fontId="149" fillId="0" borderId="1" xfId="0" applyNumberFormat="1" applyFont="1" applyBorder="1" applyAlignment="1">
      <alignment horizontal="center" vertical="center"/>
    </xf>
    <xf numFmtId="1" fontId="149" fillId="0" borderId="0" xfId="0" applyNumberFormat="1" applyFont="1" applyAlignment="1">
      <alignment horizontal="center" vertical="center"/>
    </xf>
    <xf numFmtId="1" fontId="149" fillId="0" borderId="1" xfId="0" applyNumberFormat="1" applyFont="1" applyBorder="1" applyAlignment="1">
      <alignment horizontal="center" vertical="center" wrapText="1"/>
    </xf>
    <xf numFmtId="1" fontId="149" fillId="0" borderId="9" xfId="0" applyNumberFormat="1" applyFont="1" applyBorder="1" applyAlignment="1">
      <alignment horizontal="center" vertical="center" wrapText="1"/>
    </xf>
    <xf numFmtId="1" fontId="149" fillId="0" borderId="9" xfId="0" applyNumberFormat="1" applyFont="1" applyBorder="1" applyAlignment="1">
      <alignment horizontal="center" vertical="center"/>
    </xf>
    <xf numFmtId="0" fontId="149" fillId="0" borderId="0" xfId="0" applyFont="1" applyAlignment="1">
      <alignment horizontal="center" vertical="center"/>
    </xf>
    <xf numFmtId="43" fontId="58" fillId="0" borderId="0" xfId="1" applyFont="1" applyFill="1" applyAlignment="1">
      <alignment horizontal="left" vertical="center" indent="2"/>
    </xf>
    <xf numFmtId="171" fontId="58" fillId="0" borderId="0" xfId="4" applyNumberFormat="1" applyFont="1" applyFill="1" applyAlignment="1"/>
    <xf numFmtId="170" fontId="40" fillId="0" borderId="0" xfId="1" applyNumberFormat="1" applyFont="1" applyFill="1" applyAlignment="1">
      <alignment horizontal="right"/>
    </xf>
    <xf numFmtId="170" fontId="41" fillId="0" borderId="0" xfId="12" applyNumberFormat="1" applyFont="1" applyFill="1" applyAlignment="1">
      <alignment vertical="center"/>
    </xf>
    <xf numFmtId="170" fontId="41" fillId="0" borderId="0" xfId="12" applyNumberFormat="1" applyFont="1" applyFill="1"/>
    <xf numFmtId="170" fontId="41" fillId="0" borderId="0" xfId="12" applyNumberFormat="1" applyFont="1"/>
    <xf numFmtId="170" fontId="41" fillId="0" borderId="9" xfId="12" applyNumberFormat="1" applyFont="1" applyBorder="1"/>
    <xf numFmtId="170" fontId="41" fillId="0" borderId="0" xfId="12" applyNumberFormat="1" applyFont="1" applyFill="1" applyBorder="1" applyAlignment="1">
      <alignment vertical="center"/>
    </xf>
    <xf numFmtId="170" fontId="41" fillId="6" borderId="0" xfId="12" applyNumberFormat="1" applyFont="1" applyFill="1" applyAlignment="1">
      <alignment vertical="center"/>
    </xf>
    <xf numFmtId="170" fontId="41" fillId="0" borderId="0" xfId="13" applyNumberFormat="1" applyFont="1" applyFill="1"/>
    <xf numFmtId="170" fontId="41" fillId="0" borderId="2" xfId="12" applyNumberFormat="1" applyFont="1" applyBorder="1"/>
    <xf numFmtId="0" fontId="58" fillId="0" borderId="0" xfId="3" applyFont="1" applyAlignment="1" applyProtection="1">
      <alignment horizontal="left" wrapText="1" indent="4"/>
      <protection locked="0"/>
    </xf>
    <xf numFmtId="170" fontId="58" fillId="0" borderId="1" xfId="1" applyNumberFormat="1" applyFont="1" applyFill="1" applyBorder="1" applyAlignment="1" applyProtection="1">
      <alignment vertical="center"/>
    </xf>
    <xf numFmtId="170" fontId="61" fillId="0" borderId="0" xfId="3" applyNumberFormat="1" applyFont="1" applyAlignment="1">
      <alignment vertical="center"/>
    </xf>
    <xf numFmtId="170" fontId="58" fillId="0" borderId="0" xfId="1" applyNumberFormat="1" applyFont="1" applyFill="1" applyBorder="1" applyAlignment="1" applyProtection="1">
      <alignment horizontal="center" vertical="center"/>
    </xf>
    <xf numFmtId="170" fontId="64" fillId="0" borderId="0" xfId="3" applyNumberFormat="1" applyFont="1" applyAlignment="1" applyProtection="1">
      <alignment vertical="center"/>
      <protection locked="0"/>
    </xf>
    <xf numFmtId="0" fontId="58" fillId="0" borderId="0" xfId="3" applyFont="1" applyAlignment="1">
      <alignment horizontal="justify" vertical="justify" wrapText="1"/>
    </xf>
    <xf numFmtId="172" fontId="59" fillId="0" borderId="0" xfId="2" applyNumberFormat="1" applyFont="1" applyFill="1" applyAlignment="1">
      <alignment horizontal="left" vertical="center"/>
    </xf>
    <xf numFmtId="172" fontId="104" fillId="0" borderId="0" xfId="2" applyNumberFormat="1" applyFont="1" applyFill="1"/>
    <xf numFmtId="172" fontId="59" fillId="0" borderId="0" xfId="2" applyNumberFormat="1" applyFont="1" applyFill="1"/>
    <xf numFmtId="38" fontId="58" fillId="0" borderId="0" xfId="3" applyNumberFormat="1" applyFont="1"/>
    <xf numFmtId="42" fontId="58" fillId="0" borderId="0" xfId="3" applyNumberFormat="1" applyFont="1"/>
    <xf numFmtId="0" fontId="58" fillId="0" borderId="0" xfId="3" applyFont="1" applyAlignment="1">
      <alignment horizontal="center"/>
    </xf>
    <xf numFmtId="167" fontId="59" fillId="0" borderId="0" xfId="0" applyNumberFormat="1" applyFont="1" applyAlignment="1">
      <alignment vertical="center"/>
    </xf>
    <xf numFmtId="170" fontId="79" fillId="0" borderId="0" xfId="1" applyNumberFormat="1" applyFont="1" applyFill="1" applyAlignment="1" applyProtection="1">
      <alignment vertical="center"/>
      <protection locked="0"/>
    </xf>
    <xf numFmtId="170" fontId="79" fillId="0" borderId="0" xfId="1" applyNumberFormat="1" applyFont="1" applyFill="1" applyAlignment="1" applyProtection="1">
      <alignment horizontal="center" vertical="center"/>
      <protection locked="0"/>
    </xf>
    <xf numFmtId="170" fontId="79" fillId="0" borderId="0" xfId="1" applyNumberFormat="1" applyFont="1" applyFill="1" applyAlignment="1" applyProtection="1">
      <alignment vertical="center"/>
    </xf>
    <xf numFmtId="4" fontId="150" fillId="0" borderId="0" xfId="0" applyNumberFormat="1" applyFont="1" applyAlignment="1">
      <alignment horizontal="right"/>
    </xf>
    <xf numFmtId="0" fontId="150" fillId="0" borderId="0" xfId="3" applyFont="1"/>
    <xf numFmtId="0" fontId="150" fillId="17" borderId="0" xfId="0" applyFont="1" applyFill="1"/>
    <xf numFmtId="170" fontId="150" fillId="0" borderId="0" xfId="1" applyNumberFormat="1" applyFont="1" applyFill="1"/>
    <xf numFmtId="42" fontId="150" fillId="0" borderId="0" xfId="3" applyNumberFormat="1" applyFont="1"/>
    <xf numFmtId="0" fontId="150" fillId="18" borderId="0" xfId="0" applyFont="1" applyFill="1"/>
    <xf numFmtId="167" fontId="150" fillId="0" borderId="0" xfId="3" applyNumberFormat="1" applyFont="1"/>
    <xf numFmtId="0" fontId="150" fillId="19" borderId="0" xfId="0" applyFont="1" applyFill="1"/>
    <xf numFmtId="0" fontId="150" fillId="12" borderId="0" xfId="0" applyFont="1" applyFill="1"/>
    <xf numFmtId="0" fontId="150" fillId="13" borderId="0" xfId="0" applyFont="1" applyFill="1"/>
    <xf numFmtId="0" fontId="150" fillId="0" borderId="0" xfId="0" applyFont="1"/>
    <xf numFmtId="170" fontId="150" fillId="0" borderId="0" xfId="3" applyNumberFormat="1" applyFont="1"/>
    <xf numFmtId="0" fontId="150" fillId="0" borderId="0" xfId="3" applyFont="1" applyAlignment="1">
      <alignment horizontal="center"/>
    </xf>
    <xf numFmtId="170" fontId="34" fillId="0" borderId="0" xfId="1" applyNumberFormat="1" applyFont="1" applyFill="1" applyAlignment="1" applyProtection="1">
      <alignment horizontal="left" vertical="center" indent="1"/>
      <protection locked="0"/>
    </xf>
    <xf numFmtId="49" fontId="58" fillId="0" borderId="0" xfId="3" applyNumberFormat="1" applyFont="1" applyAlignment="1" applyProtection="1">
      <alignment horizontal="left" vertical="center" indent="1"/>
      <protection locked="0"/>
    </xf>
    <xf numFmtId="0" fontId="59" fillId="0" borderId="0" xfId="3" applyFont="1" applyAlignment="1" applyProtection="1">
      <alignment horizontal="left" vertical="center" indent="3"/>
      <protection locked="0"/>
    </xf>
    <xf numFmtId="0" fontId="59" fillId="0" borderId="0" xfId="3" applyFont="1" applyAlignment="1" applyProtection="1">
      <alignment horizontal="left" vertical="center" indent="4"/>
      <protection locked="0"/>
    </xf>
    <xf numFmtId="0" fontId="59" fillId="0" borderId="0" xfId="0" applyFont="1" applyAlignment="1">
      <alignment horizontal="left" vertical="center" indent="3"/>
    </xf>
    <xf numFmtId="0" fontId="58" fillId="0" borderId="0" xfId="0" applyFont="1" applyAlignment="1">
      <alignment horizontal="left" vertical="center" indent="5"/>
    </xf>
    <xf numFmtId="170" fontId="41" fillId="0" borderId="0" xfId="12" applyNumberFormat="1" applyFont="1" applyFill="1" applyBorder="1"/>
    <xf numFmtId="170" fontId="40" fillId="0" borderId="0" xfId="12" applyNumberFormat="1" applyFont="1" applyFill="1" applyAlignment="1">
      <alignment horizontal="center" wrapText="1"/>
    </xf>
    <xf numFmtId="43" fontId="41" fillId="0" borderId="0" xfId="12" applyFont="1" applyFill="1"/>
    <xf numFmtId="170" fontId="41" fillId="0" borderId="2" xfId="12" applyNumberFormat="1" applyFont="1" applyFill="1" applyBorder="1"/>
    <xf numFmtId="170" fontId="41" fillId="0" borderId="9" xfId="12" applyNumberFormat="1" applyFont="1" applyFill="1" applyBorder="1"/>
    <xf numFmtId="170" fontId="41" fillId="0" borderId="1" xfId="12" applyNumberFormat="1" applyFont="1" applyFill="1" applyBorder="1" applyAlignment="1">
      <alignment vertical="center"/>
    </xf>
    <xf numFmtId="170" fontId="34" fillId="0" borderId="0" xfId="1" applyNumberFormat="1" applyFont="1" applyFill="1"/>
    <xf numFmtId="170" fontId="41" fillId="0" borderId="1" xfId="12" applyNumberFormat="1" applyFont="1" applyFill="1" applyBorder="1"/>
    <xf numFmtId="170" fontId="41" fillId="0" borderId="4" xfId="12" applyNumberFormat="1" applyFont="1" applyBorder="1"/>
    <xf numFmtId="170" fontId="41" fillId="15" borderId="0" xfId="12" applyNumberFormat="1" applyFont="1" applyFill="1" applyAlignment="1">
      <alignment vertical="center"/>
    </xf>
    <xf numFmtId="170" fontId="41" fillId="15" borderId="0" xfId="12" applyNumberFormat="1" applyFont="1" applyFill="1" applyAlignment="1">
      <alignment horizontal="left" vertical="center"/>
    </xf>
    <xf numFmtId="170" fontId="41" fillId="0" borderId="12" xfId="12" applyNumberFormat="1" applyFont="1" applyFill="1" applyBorder="1" applyAlignment="1">
      <alignment horizontal="left" vertical="center" indent="1"/>
    </xf>
    <xf numFmtId="170" fontId="41" fillId="0" borderId="0" xfId="12" applyNumberFormat="1" applyFont="1" applyFill="1" applyBorder="1" applyAlignment="1">
      <alignment horizontal="left" vertical="center" indent="1"/>
    </xf>
    <xf numFmtId="170" fontId="41" fillId="6" borderId="0" xfId="12" applyNumberFormat="1" applyFont="1" applyFill="1" applyAlignment="1">
      <alignment horizontal="left" vertical="center"/>
    </xf>
    <xf numFmtId="170" fontId="41" fillId="0" borderId="9" xfId="12" applyNumberFormat="1" applyFont="1" applyFill="1" applyBorder="1" applyAlignment="1">
      <alignment horizontal="left" vertical="center" indent="1"/>
    </xf>
    <xf numFmtId="170" fontId="41" fillId="0" borderId="9" xfId="12" applyNumberFormat="1" applyFont="1" applyFill="1" applyBorder="1" applyAlignment="1">
      <alignment vertical="center"/>
    </xf>
    <xf numFmtId="170" fontId="41" fillId="20" borderId="0" xfId="1" applyNumberFormat="1" applyFont="1" applyFill="1"/>
    <xf numFmtId="170" fontId="41" fillId="20" borderId="0" xfId="5" applyNumberFormat="1" applyFont="1" applyFill="1"/>
    <xf numFmtId="0" fontId="139" fillId="0" borderId="0" xfId="0" applyFont="1" applyAlignment="1">
      <alignment horizontal="center"/>
    </xf>
    <xf numFmtId="0" fontId="38" fillId="0" borderId="0" xfId="1" applyNumberFormat="1" applyFont="1" applyFill="1"/>
    <xf numFmtId="0" fontId="151" fillId="0" borderId="0" xfId="1" applyNumberFormat="1" applyFont="1" applyFill="1"/>
    <xf numFmtId="0" fontId="152" fillId="0" borderId="0" xfId="1" applyNumberFormat="1" applyFont="1" applyFill="1"/>
    <xf numFmtId="170" fontId="152" fillId="0" borderId="0" xfId="1" applyNumberFormat="1" applyFont="1" applyFill="1"/>
    <xf numFmtId="170" fontId="152" fillId="0" borderId="0" xfId="1" applyNumberFormat="1" applyFont="1" applyFill="1" applyBorder="1"/>
    <xf numFmtId="170" fontId="152" fillId="0" borderId="0" xfId="1" applyNumberFormat="1" applyFont="1"/>
    <xf numFmtId="170" fontId="152" fillId="0" borderId="0" xfId="1" applyNumberFormat="1" applyFont="1" applyBorder="1"/>
    <xf numFmtId="170" fontId="38" fillId="0" borderId="0" xfId="1" applyNumberFormat="1" applyFont="1" applyFill="1" applyAlignment="1">
      <alignment horizontal="center"/>
    </xf>
    <xf numFmtId="170" fontId="38" fillId="0" borderId="0" xfId="1" applyNumberFormat="1" applyFont="1" applyFill="1" applyBorder="1" applyAlignment="1">
      <alignment horizontal="center"/>
    </xf>
    <xf numFmtId="0" fontId="38" fillId="0" borderId="0" xfId="1" applyNumberFormat="1" applyFont="1" applyFill="1" applyAlignment="1">
      <alignment horizontal="center"/>
    </xf>
    <xf numFmtId="170" fontId="38" fillId="0" borderId="1" xfId="1" applyNumberFormat="1" applyFont="1" applyFill="1" applyBorder="1" applyAlignment="1">
      <alignment horizontal="center"/>
    </xf>
    <xf numFmtId="0" fontId="152" fillId="0" borderId="0" xfId="1" applyNumberFormat="1" applyFont="1" applyFill="1" applyAlignment="1">
      <alignment horizontal="left" indent="1"/>
    </xf>
    <xf numFmtId="0" fontId="152" fillId="0" borderId="0" xfId="1" applyNumberFormat="1" applyFont="1" applyFill="1" applyAlignment="1">
      <alignment horizontal="center"/>
    </xf>
    <xf numFmtId="170" fontId="152" fillId="0" borderId="2" xfId="1" applyNumberFormat="1" applyFont="1" applyFill="1" applyBorder="1"/>
    <xf numFmtId="0" fontId="152" fillId="0" borderId="0" xfId="1" applyNumberFormat="1" applyFont="1" applyFill="1" applyAlignment="1">
      <alignment horizontal="left" indent="2"/>
    </xf>
    <xf numFmtId="170" fontId="152" fillId="0" borderId="12" xfId="1" applyNumberFormat="1" applyFont="1" applyFill="1" applyBorder="1"/>
    <xf numFmtId="170" fontId="152" fillId="0" borderId="12" xfId="1" applyNumberFormat="1" applyFont="1" applyBorder="1"/>
    <xf numFmtId="0" fontId="152" fillId="0" borderId="0" xfId="1" applyNumberFormat="1" applyFont="1" applyFill="1" applyAlignment="1">
      <alignment horizontal="left" wrapText="1" indent="1"/>
    </xf>
    <xf numFmtId="170" fontId="152" fillId="0" borderId="0" xfId="1" applyNumberFormat="1" applyFont="1" applyAlignment="1">
      <alignment horizontal="center"/>
    </xf>
    <xf numFmtId="170" fontId="152" fillId="0" borderId="0" xfId="1" applyNumberFormat="1" applyFont="1" applyFill="1" applyAlignment="1">
      <alignment horizontal="center"/>
    </xf>
    <xf numFmtId="170" fontId="152" fillId="0" borderId="0" xfId="1" applyNumberFormat="1" applyFont="1" applyFill="1" applyBorder="1" applyAlignment="1">
      <alignment horizontal="center"/>
    </xf>
    <xf numFmtId="170" fontId="41" fillId="21" borderId="0" xfId="1" applyNumberFormat="1" applyFont="1" applyFill="1"/>
    <xf numFmtId="170" fontId="41" fillId="21" borderId="0" xfId="1" applyNumberFormat="1" applyFont="1" applyFill="1" applyAlignment="1">
      <alignment vertical="center"/>
    </xf>
    <xf numFmtId="43" fontId="41" fillId="2" borderId="0" xfId="1" applyFont="1" applyFill="1" applyAlignment="1">
      <alignment horizontal="left" vertical="center" indent="3"/>
    </xf>
    <xf numFmtId="43" fontId="41" fillId="2" borderId="0" xfId="1" applyFont="1" applyFill="1" applyAlignment="1">
      <alignment vertical="center"/>
    </xf>
    <xf numFmtId="43" fontId="41" fillId="0" borderId="0" xfId="1" applyFont="1" applyFill="1" applyAlignment="1">
      <alignment horizontal="left" vertical="center" indent="3"/>
    </xf>
    <xf numFmtId="43" fontId="41" fillId="0" borderId="0" xfId="1" applyFont="1" applyFill="1" applyAlignment="1">
      <alignment vertical="center"/>
    </xf>
    <xf numFmtId="43" fontId="41" fillId="4" borderId="0" xfId="1" applyFont="1" applyFill="1" applyAlignment="1">
      <alignment horizontal="left" vertical="center" indent="3"/>
    </xf>
    <xf numFmtId="43" fontId="41" fillId="4" borderId="0" xfId="1" applyFont="1" applyFill="1" applyAlignment="1">
      <alignment vertical="center"/>
    </xf>
    <xf numFmtId="43" fontId="41" fillId="21" borderId="0" xfId="1" applyFont="1" applyFill="1" applyAlignment="1">
      <alignment horizontal="left" vertical="center" indent="3"/>
    </xf>
    <xf numFmtId="43" fontId="41" fillId="21" borderId="0" xfId="1" applyFont="1" applyFill="1" applyAlignment="1">
      <alignment vertical="center"/>
    </xf>
    <xf numFmtId="43" fontId="41" fillId="6" borderId="0" xfId="1" applyFont="1" applyFill="1" applyAlignment="1">
      <alignment horizontal="left" vertical="center" indent="3"/>
    </xf>
    <xf numFmtId="43" fontId="41" fillId="6" borderId="0" xfId="1" applyFont="1" applyFill="1" applyAlignment="1">
      <alignment vertical="center"/>
    </xf>
    <xf numFmtId="43" fontId="41" fillId="0" borderId="0" xfId="1" applyFont="1" applyFill="1" applyAlignment="1">
      <alignment horizontal="left" vertical="center" indent="2"/>
    </xf>
    <xf numFmtId="43" fontId="41" fillId="0" borderId="0" xfId="1" applyFont="1" applyFill="1" applyBorder="1" applyAlignment="1">
      <alignment vertical="center"/>
    </xf>
    <xf numFmtId="43" fontId="41" fillId="21" borderId="0" xfId="1" applyFont="1" applyFill="1" applyBorder="1" applyAlignment="1">
      <alignment vertical="center"/>
    </xf>
    <xf numFmtId="43" fontId="40" fillId="0" borderId="0" xfId="5" applyFont="1" applyFill="1" applyAlignment="1">
      <alignment horizontal="center"/>
    </xf>
    <xf numFmtId="170" fontId="40" fillId="0" borderId="0" xfId="5" applyNumberFormat="1" applyFont="1" applyFill="1" applyAlignment="1">
      <alignment horizontal="center"/>
    </xf>
    <xf numFmtId="170" fontId="40" fillId="0" borderId="3" xfId="5" applyNumberFormat="1" applyFont="1" applyFill="1" applyBorder="1" applyAlignment="1">
      <alignment horizontal="center"/>
    </xf>
    <xf numFmtId="0" fontId="41" fillId="0" borderId="0" xfId="0" applyFont="1" applyAlignment="1">
      <alignment horizontal="center"/>
    </xf>
    <xf numFmtId="43" fontId="41" fillId="0" borderId="0" xfId="5" applyFont="1" applyFill="1"/>
    <xf numFmtId="43" fontId="41" fillId="0" borderId="0" xfId="5" applyFont="1" applyFill="1" applyAlignment="1">
      <alignment horizontal="center"/>
    </xf>
    <xf numFmtId="0" fontId="41" fillId="0" borderId="3" xfId="0" applyFont="1" applyBorder="1" applyAlignment="1">
      <alignment horizontal="center"/>
    </xf>
    <xf numFmtId="43" fontId="41" fillId="0" borderId="3" xfId="5" applyFont="1" applyFill="1" applyBorder="1"/>
    <xf numFmtId="170" fontId="41" fillId="0" borderId="3" xfId="5" applyNumberFormat="1" applyFont="1" applyFill="1" applyBorder="1"/>
    <xf numFmtId="43" fontId="40" fillId="0" borderId="0" xfId="5" applyFont="1" applyFill="1"/>
    <xf numFmtId="170" fontId="40" fillId="0" borderId="0" xfId="5" applyNumberFormat="1" applyFont="1" applyFill="1"/>
    <xf numFmtId="0" fontId="40" fillId="0" borderId="3" xfId="0" applyFont="1" applyBorder="1" applyAlignment="1">
      <alignment horizontal="center"/>
    </xf>
    <xf numFmtId="43" fontId="40" fillId="0" borderId="3" xfId="5" applyFont="1" applyFill="1" applyBorder="1"/>
    <xf numFmtId="170" fontId="40" fillId="0" borderId="3" xfId="5" applyNumberFormat="1" applyFont="1" applyFill="1" applyBorder="1"/>
    <xf numFmtId="170" fontId="153" fillId="6" borderId="16" xfId="1" applyNumberFormat="1" applyFont="1" applyFill="1" applyBorder="1" applyAlignment="1">
      <alignment horizontal="center" wrapText="1"/>
    </xf>
    <xf numFmtId="170" fontId="153" fillId="5" borderId="16" xfId="1" applyNumberFormat="1" applyFont="1" applyFill="1" applyBorder="1" applyAlignment="1">
      <alignment horizontal="center" wrapText="1"/>
    </xf>
    <xf numFmtId="170" fontId="41" fillId="0" borderId="0" xfId="15" applyNumberFormat="1" applyFont="1" applyFill="1"/>
    <xf numFmtId="170" fontId="41" fillId="0" borderId="0" xfId="15" applyNumberFormat="1" applyFont="1" applyFill="1" applyBorder="1"/>
    <xf numFmtId="170" fontId="40" fillId="0" borderId="0" xfId="15" applyNumberFormat="1" applyFont="1" applyFill="1" applyAlignment="1">
      <alignment horizontal="center" wrapText="1"/>
    </xf>
    <xf numFmtId="0" fontId="154" fillId="0" borderId="0" xfId="0" applyFont="1"/>
    <xf numFmtId="0" fontId="155" fillId="0" borderId="0" xfId="0" applyFont="1" applyAlignment="1">
      <alignment vertical="center"/>
    </xf>
    <xf numFmtId="0" fontId="155" fillId="0" borderId="0" xfId="0" applyFont="1" applyAlignment="1">
      <alignment horizontal="right" vertical="center"/>
    </xf>
    <xf numFmtId="170" fontId="58" fillId="0" borderId="0" xfId="12" applyNumberFormat="1" applyFont="1" applyFill="1" applyAlignment="1">
      <alignment vertical="center"/>
    </xf>
    <xf numFmtId="170" fontId="58" fillId="0" borderId="0" xfId="12" applyNumberFormat="1" applyFont="1" applyFill="1" applyAlignment="1">
      <alignment horizontal="center" vertical="center"/>
    </xf>
    <xf numFmtId="170" fontId="58" fillId="0" borderId="0" xfId="12" applyNumberFormat="1" applyFont="1" applyFill="1" applyBorder="1" applyAlignment="1">
      <alignment vertical="center"/>
    </xf>
    <xf numFmtId="38" fontId="58" fillId="0" borderId="2" xfId="3" applyNumberFormat="1" applyFont="1" applyBorder="1" applyAlignment="1">
      <alignment vertical="center"/>
    </xf>
    <xf numFmtId="38" fontId="58" fillId="0" borderId="2" xfId="3" applyNumberFormat="1" applyFont="1" applyBorder="1" applyAlignment="1">
      <alignment horizontal="center" vertical="center"/>
    </xf>
    <xf numFmtId="170" fontId="40" fillId="0" borderId="0" xfId="1" applyNumberFormat="1" applyFont="1" applyBorder="1"/>
    <xf numFmtId="170" fontId="41" fillId="0" borderId="0" xfId="5" applyNumberFormat="1" applyFont="1" applyBorder="1"/>
    <xf numFmtId="170" fontId="41" fillId="0" borderId="0" xfId="12" applyNumberFormat="1" applyFont="1" applyBorder="1"/>
    <xf numFmtId="0" fontId="58" fillId="0" borderId="0" xfId="0" applyFont="1" applyAlignment="1">
      <alignment horizontal="left" vertical="center" wrapText="1"/>
    </xf>
    <xf numFmtId="0" fontId="58" fillId="0" borderId="0" xfId="0" applyFont="1" applyAlignment="1">
      <alignment vertical="center" wrapText="1"/>
    </xf>
    <xf numFmtId="171" fontId="58" fillId="0" borderId="0" xfId="4" applyNumberFormat="1" applyFont="1" applyFill="1" applyBorder="1" applyAlignment="1">
      <alignment horizontal="right" vertical="center"/>
    </xf>
    <xf numFmtId="172" fontId="58" fillId="0" borderId="1" xfId="2" applyNumberFormat="1" applyFont="1" applyFill="1" applyBorder="1" applyAlignment="1">
      <alignment vertical="center"/>
    </xf>
    <xf numFmtId="49" fontId="40" fillId="0" borderId="0" xfId="0" quotePrefix="1" applyNumberFormat="1" applyFont="1" applyAlignment="1">
      <alignment horizontal="center" vertical="center"/>
    </xf>
    <xf numFmtId="172" fontId="61" fillId="0" borderId="0" xfId="0" applyNumberFormat="1" applyFont="1" applyAlignment="1">
      <alignment vertical="center"/>
    </xf>
    <xf numFmtId="42" fontId="156" fillId="0" borderId="0" xfId="3" applyNumberFormat="1" applyFont="1" applyAlignment="1">
      <alignment vertical="center"/>
    </xf>
    <xf numFmtId="41" fontId="156" fillId="0" borderId="0" xfId="3" applyNumberFormat="1" applyFont="1" applyAlignment="1">
      <alignment vertical="center"/>
    </xf>
    <xf numFmtId="167" fontId="156" fillId="0" borderId="0" xfId="3" applyNumberFormat="1" applyFont="1" applyAlignment="1">
      <alignment vertical="center"/>
    </xf>
    <xf numFmtId="170" fontId="156" fillId="0" borderId="0" xfId="1" applyNumberFormat="1" applyFont="1" applyFill="1" applyBorder="1" applyAlignment="1">
      <alignment vertical="center"/>
    </xf>
    <xf numFmtId="167" fontId="156" fillId="0" borderId="2" xfId="3" applyNumberFormat="1" applyFont="1" applyBorder="1" applyAlignment="1">
      <alignment vertical="center"/>
    </xf>
    <xf numFmtId="42" fontId="156" fillId="0" borderId="4" xfId="3" applyNumberFormat="1" applyFont="1" applyBorder="1" applyAlignment="1">
      <alignment vertical="center"/>
    </xf>
    <xf numFmtId="172" fontId="156" fillId="0" borderId="0" xfId="2" applyNumberFormat="1" applyFont="1" applyFill="1" applyBorder="1" applyAlignment="1">
      <alignment vertical="center"/>
    </xf>
    <xf numFmtId="42" fontId="156" fillId="0" borderId="2" xfId="3" applyNumberFormat="1" applyFont="1" applyBorder="1" applyAlignment="1">
      <alignment vertical="center"/>
    </xf>
    <xf numFmtId="170" fontId="156" fillId="0" borderId="0" xfId="12" applyNumberFormat="1" applyFont="1" applyFill="1" applyBorder="1" applyAlignment="1">
      <alignment vertical="center"/>
    </xf>
    <xf numFmtId="165" fontId="61" fillId="0" borderId="0" xfId="3" applyNumberFormat="1" applyFont="1" applyAlignment="1">
      <alignment horizontal="right" vertical="center"/>
    </xf>
    <xf numFmtId="167" fontId="58" fillId="0" borderId="0" xfId="3" applyNumberFormat="1" applyFont="1" applyAlignment="1">
      <alignment vertical="top"/>
    </xf>
    <xf numFmtId="0" fontId="59" fillId="0" borderId="0" xfId="3" applyFont="1" applyAlignment="1">
      <alignment horizontal="left" vertical="center" wrapText="1"/>
    </xf>
    <xf numFmtId="42" fontId="58" fillId="0" borderId="4" xfId="3" applyNumberFormat="1" applyFont="1" applyBorder="1"/>
    <xf numFmtId="167" fontId="58" fillId="0" borderId="0" xfId="3" applyNumberFormat="1" applyFont="1" applyAlignment="1">
      <alignment horizontal="center"/>
    </xf>
    <xf numFmtId="43" fontId="58" fillId="0" borderId="0" xfId="1" applyFont="1" applyFill="1" applyBorder="1" applyAlignment="1">
      <alignment vertical="center"/>
    </xf>
    <xf numFmtId="42" fontId="58" fillId="0" borderId="0" xfId="7" applyNumberFormat="1" applyFont="1" applyAlignment="1">
      <alignment vertical="center"/>
    </xf>
    <xf numFmtId="167" fontId="58" fillId="0" borderId="0" xfId="7" applyNumberFormat="1" applyFont="1" applyAlignment="1">
      <alignment vertical="center"/>
    </xf>
    <xf numFmtId="167" fontId="58" fillId="0" borderId="1" xfId="7" applyNumberFormat="1" applyFont="1" applyBorder="1" applyAlignment="1">
      <alignment vertical="center"/>
    </xf>
    <xf numFmtId="0" fontId="58" fillId="0" borderId="0" xfId="3" applyFont="1" applyAlignment="1">
      <alignment vertical="justify"/>
    </xf>
    <xf numFmtId="43" fontId="58" fillId="12" borderId="0" xfId="1" applyFont="1" applyFill="1" applyAlignment="1">
      <alignment vertical="center"/>
    </xf>
    <xf numFmtId="37" fontId="41" fillId="0" borderId="0" xfId="12" applyNumberFormat="1" applyFont="1" applyFill="1"/>
    <xf numFmtId="170" fontId="146" fillId="0" borderId="0" xfId="12" applyNumberFormat="1" applyFont="1" applyFill="1"/>
    <xf numFmtId="170" fontId="41" fillId="20" borderId="0" xfId="12" applyNumberFormat="1" applyFont="1" applyFill="1"/>
    <xf numFmtId="0" fontId="145" fillId="0" borderId="0" xfId="0" applyFont="1"/>
    <xf numFmtId="170" fontId="145" fillId="0" borderId="0" xfId="1" applyNumberFormat="1" applyFont="1"/>
    <xf numFmtId="170" fontId="160" fillId="0" borderId="2" xfId="1" applyNumberFormat="1" applyFont="1" applyBorder="1"/>
    <xf numFmtId="170" fontId="160" fillId="0" borderId="0" xfId="1" applyNumberFormat="1" applyFont="1" applyBorder="1"/>
    <xf numFmtId="170" fontId="145" fillId="0" borderId="0" xfId="1" applyNumberFormat="1" applyFont="1" applyBorder="1"/>
    <xf numFmtId="1" fontId="149" fillId="0" borderId="1" xfId="0" quotePrefix="1" applyNumberFormat="1" applyFont="1" applyBorder="1" applyAlignment="1">
      <alignment horizontal="center" vertical="center" wrapText="1"/>
    </xf>
    <xf numFmtId="1" fontId="40" fillId="0" borderId="1" xfId="0" quotePrefix="1" applyNumberFormat="1" applyFont="1" applyBorder="1" applyAlignment="1">
      <alignment horizontal="center" vertical="center" wrapText="1"/>
    </xf>
    <xf numFmtId="167" fontId="61" fillId="0" borderId="0" xfId="3" applyNumberFormat="1" applyFont="1" applyAlignment="1">
      <alignment vertical="center"/>
    </xf>
    <xf numFmtId="0" fontId="58" fillId="0" borderId="0" xfId="3" applyFont="1" applyAlignment="1" applyProtection="1">
      <alignment horizontal="left" wrapText="1" indent="2"/>
      <protection locked="0"/>
    </xf>
    <xf numFmtId="172" fontId="58" fillId="0" borderId="0" xfId="2" applyNumberFormat="1" applyFont="1" applyFill="1" applyAlignment="1" applyProtection="1">
      <alignment vertical="center"/>
      <protection locked="0"/>
    </xf>
    <xf numFmtId="172" fontId="58" fillId="0" borderId="1" xfId="2" applyNumberFormat="1" applyFont="1" applyFill="1" applyBorder="1" applyAlignment="1" applyProtection="1">
      <alignment vertical="center"/>
    </xf>
    <xf numFmtId="170" fontId="41" fillId="0" borderId="0" xfId="18" applyNumberFormat="1" applyFont="1"/>
    <xf numFmtId="170" fontId="41" fillId="0" borderId="0" xfId="18" applyNumberFormat="1" applyFont="1" applyFill="1"/>
    <xf numFmtId="170" fontId="41" fillId="0" borderId="0" xfId="18" applyNumberFormat="1" applyFont="1" applyFill="1" applyAlignment="1">
      <alignment horizontal="left" vertical="center" indent="1"/>
    </xf>
    <xf numFmtId="170" fontId="41" fillId="0" borderId="9" xfId="18" applyNumberFormat="1" applyFont="1" applyFill="1" applyBorder="1"/>
    <xf numFmtId="170" fontId="41" fillId="0" borderId="0" xfId="18" applyNumberFormat="1" applyFont="1" applyFill="1" applyBorder="1"/>
    <xf numFmtId="170" fontId="41" fillId="0" borderId="0" xfId="18" applyNumberFormat="1" applyFont="1" applyFill="1" applyAlignment="1">
      <alignment vertical="center"/>
    </xf>
    <xf numFmtId="170" fontId="41" fillId="0" borderId="9" xfId="18" applyNumberFormat="1" applyFont="1" applyFill="1" applyBorder="1" applyAlignment="1">
      <alignment vertical="center"/>
    </xf>
    <xf numFmtId="170" fontId="41" fillId="0" borderId="0" xfId="18" applyNumberFormat="1" applyFont="1" applyFill="1" applyBorder="1" applyAlignment="1">
      <alignment vertical="center"/>
    </xf>
    <xf numFmtId="170" fontId="41" fillId="2" borderId="0" xfId="18" applyNumberFormat="1" applyFont="1" applyFill="1" applyAlignment="1">
      <alignment vertical="center"/>
    </xf>
    <xf numFmtId="170" fontId="41" fillId="4" borderId="0" xfId="18" applyNumberFormat="1" applyFont="1" applyFill="1" applyAlignment="1">
      <alignment vertical="center"/>
    </xf>
    <xf numFmtId="170" fontId="41" fillId="21" borderId="0" xfId="18" applyNumberFormat="1" applyFont="1" applyFill="1" applyAlignment="1">
      <alignment vertical="center"/>
    </xf>
    <xf numFmtId="170" fontId="41" fillId="6" borderId="0" xfId="18" applyNumberFormat="1" applyFont="1" applyFill="1" applyAlignment="1">
      <alignment vertical="center"/>
    </xf>
    <xf numFmtId="167" fontId="58" fillId="0" borderId="9" xfId="7" applyNumberFormat="1" applyFont="1" applyBorder="1" applyAlignment="1">
      <alignment vertical="center"/>
    </xf>
    <xf numFmtId="167" fontId="161" fillId="0" borderId="0" xfId="3" applyNumberFormat="1" applyFont="1" applyAlignment="1">
      <alignment vertical="center"/>
    </xf>
    <xf numFmtId="1" fontId="149" fillId="0" borderId="0" xfId="0" applyNumberFormat="1" applyFont="1" applyAlignment="1">
      <alignment horizontal="center" vertical="center" wrapText="1"/>
    </xf>
    <xf numFmtId="170" fontId="41" fillId="2" borderId="0" xfId="12" applyNumberFormat="1" applyFont="1" applyFill="1" applyAlignment="1">
      <alignment vertical="center"/>
    </xf>
    <xf numFmtId="170" fontId="41" fillId="4" borderId="0" xfId="12" applyNumberFormat="1" applyFont="1" applyFill="1" applyAlignment="1">
      <alignment vertical="center"/>
    </xf>
    <xf numFmtId="170" fontId="41" fillId="21" borderId="0" xfId="12" applyNumberFormat="1" applyFont="1" applyFill="1" applyAlignment="1">
      <alignment vertical="center"/>
    </xf>
    <xf numFmtId="170" fontId="58" fillId="0" borderId="2" xfId="12" applyNumberFormat="1" applyFont="1" applyFill="1" applyBorder="1" applyAlignment="1">
      <alignment vertical="center"/>
    </xf>
    <xf numFmtId="0" fontId="99" fillId="0" borderId="0" xfId="3" applyFont="1" applyAlignment="1" applyProtection="1">
      <alignment horizontal="center" vertical="center"/>
      <protection locked="0"/>
    </xf>
    <xf numFmtId="49" fontId="40" fillId="0" borderId="0" xfId="3" applyNumberFormat="1" applyFont="1" applyAlignment="1" applyProtection="1">
      <alignment horizontal="center" vertical="center"/>
      <protection locked="0"/>
    </xf>
    <xf numFmtId="0" fontId="8" fillId="0" borderId="0" xfId="7"/>
    <xf numFmtId="170" fontId="146" fillId="0" borderId="0" xfId="24" applyNumberFormat="1" applyFont="1" applyFill="1" applyBorder="1"/>
    <xf numFmtId="170" fontId="41" fillId="0" borderId="0" xfId="24" applyNumberFormat="1" applyFont="1" applyFill="1"/>
    <xf numFmtId="170" fontId="146" fillId="0" borderId="0" xfId="24" applyNumberFormat="1" applyFont="1" applyFill="1"/>
    <xf numFmtId="170" fontId="146" fillId="0" borderId="9" xfId="24" applyNumberFormat="1" applyFont="1" applyFill="1" applyBorder="1" applyAlignment="1">
      <alignment vertical="center"/>
    </xf>
    <xf numFmtId="170" fontId="41" fillId="0" borderId="0" xfId="24" applyNumberFormat="1" applyFont="1" applyFill="1" applyBorder="1" applyAlignment="1">
      <alignment vertical="center"/>
    </xf>
    <xf numFmtId="170" fontId="146" fillId="0" borderId="0" xfId="24" applyNumberFormat="1" applyFont="1" applyFill="1" applyBorder="1" applyAlignment="1">
      <alignment vertical="center"/>
    </xf>
    <xf numFmtId="170" fontId="146" fillId="0" borderId="0" xfId="5" applyNumberFormat="1" applyFont="1" applyFill="1"/>
    <xf numFmtId="170" fontId="146" fillId="0" borderId="0" xfId="24" applyNumberFormat="1" applyFont="1" applyFill="1" applyAlignment="1">
      <alignment horizontal="left" vertical="center" indent="1"/>
    </xf>
    <xf numFmtId="170" fontId="41" fillId="0" borderId="0" xfId="24" applyNumberFormat="1" applyFont="1" applyFill="1" applyAlignment="1">
      <alignment vertical="center"/>
    </xf>
    <xf numFmtId="170" fontId="146" fillId="0" borderId="0" xfId="24" applyNumberFormat="1" applyFont="1" applyFill="1" applyAlignment="1">
      <alignment vertical="center"/>
    </xf>
    <xf numFmtId="170" fontId="146" fillId="2" borderId="0" xfId="24" applyNumberFormat="1" applyFont="1" applyFill="1" applyAlignment="1">
      <alignment vertical="center"/>
    </xf>
    <xf numFmtId="170" fontId="146" fillId="4" borderId="0" xfId="24" applyNumberFormat="1" applyFont="1" applyFill="1" applyAlignment="1">
      <alignment vertical="center"/>
    </xf>
    <xf numFmtId="170" fontId="146" fillId="21" borderId="0" xfId="24" applyNumberFormat="1" applyFont="1" applyFill="1" applyAlignment="1">
      <alignment vertical="center"/>
    </xf>
    <xf numFmtId="170" fontId="146" fillId="6" borderId="0" xfId="24" applyNumberFormat="1" applyFont="1" applyFill="1" applyAlignment="1">
      <alignment vertical="center"/>
    </xf>
    <xf numFmtId="170" fontId="146" fillId="0" borderId="9" xfId="12" applyNumberFormat="1" applyFont="1" applyFill="1" applyBorder="1"/>
    <xf numFmtId="170" fontId="146" fillId="0" borderId="0" xfId="12" applyNumberFormat="1" applyFont="1" applyFill="1" applyBorder="1"/>
    <xf numFmtId="170" fontId="146" fillId="0" borderId="0" xfId="12" applyNumberFormat="1" applyFont="1" applyFill="1" applyAlignment="1">
      <alignment horizontal="center" wrapText="1"/>
    </xf>
    <xf numFmtId="43" fontId="146" fillId="0" borderId="0" xfId="12" applyFont="1" applyFill="1"/>
    <xf numFmtId="170" fontId="146" fillId="0" borderId="2" xfId="12" applyNumberFormat="1" applyFont="1" applyFill="1" applyBorder="1"/>
    <xf numFmtId="170" fontId="146" fillId="0" borderId="2" xfId="5" applyNumberFormat="1" applyFont="1" applyFill="1" applyBorder="1"/>
    <xf numFmtId="0" fontId="58" fillId="0" borderId="0" xfId="3" applyFont="1" applyAlignment="1">
      <alignment horizontal="justify"/>
    </xf>
    <xf numFmtId="170" fontId="58" fillId="0" borderId="0" xfId="12" applyNumberFormat="1" applyFont="1" applyFill="1" applyAlignment="1" applyProtection="1">
      <alignment vertical="center"/>
      <protection locked="0"/>
    </xf>
    <xf numFmtId="170" fontId="41" fillId="0" borderId="0" xfId="28" applyNumberFormat="1" applyFont="1" applyFill="1"/>
    <xf numFmtId="170" fontId="41" fillId="0" borderId="0" xfId="28" applyNumberFormat="1" applyFont="1" applyFill="1" applyAlignment="1">
      <alignment horizontal="left" vertical="center" indent="1"/>
    </xf>
    <xf numFmtId="170" fontId="41" fillId="0" borderId="0" xfId="28" applyNumberFormat="1" applyFont="1" applyFill="1" applyAlignment="1">
      <alignment vertical="center"/>
    </xf>
    <xf numFmtId="170" fontId="40" fillId="0" borderId="0" xfId="28" applyNumberFormat="1" applyFont="1" applyFill="1" applyAlignment="1">
      <alignment horizontal="left" vertical="center"/>
    </xf>
    <xf numFmtId="170" fontId="41" fillId="0" borderId="9" xfId="28" applyNumberFormat="1" applyFont="1" applyFill="1" applyBorder="1"/>
    <xf numFmtId="170" fontId="41" fillId="0" borderId="9" xfId="28" applyNumberFormat="1" applyFont="1" applyFill="1" applyBorder="1" applyAlignment="1">
      <alignment vertical="center"/>
    </xf>
    <xf numFmtId="170" fontId="41" fillId="0" borderId="0" xfId="28" applyNumberFormat="1" applyFont="1" applyFill="1" applyBorder="1" applyAlignment="1">
      <alignment vertical="center"/>
    </xf>
    <xf numFmtId="170" fontId="40" fillId="0" borderId="0" xfId="28" applyNumberFormat="1" applyFont="1" applyFill="1" applyAlignment="1">
      <alignment vertical="center"/>
    </xf>
    <xf numFmtId="170" fontId="41" fillId="0" borderId="9" xfId="28" applyNumberFormat="1" applyFont="1" applyFill="1" applyBorder="1" applyAlignment="1">
      <alignment horizontal="left" vertical="center" indent="1"/>
    </xf>
    <xf numFmtId="170" fontId="41" fillId="0" borderId="0" xfId="5" applyNumberFormat="1" applyFont="1" applyFill="1" applyAlignment="1">
      <alignment horizontal="left" vertical="center" indent="1"/>
    </xf>
    <xf numFmtId="170" fontId="41" fillId="2" borderId="0" xfId="28" applyNumberFormat="1" applyFont="1" applyFill="1" applyAlignment="1">
      <alignment vertical="center"/>
    </xf>
    <xf numFmtId="170" fontId="41" fillId="4" borderId="0" xfId="28" applyNumberFormat="1" applyFont="1" applyFill="1" applyAlignment="1">
      <alignment vertical="center"/>
    </xf>
    <xf numFmtId="170" fontId="41" fillId="21" borderId="0" xfId="28" applyNumberFormat="1" applyFont="1" applyFill="1" applyAlignment="1">
      <alignment vertical="center"/>
    </xf>
    <xf numFmtId="170" fontId="41" fillId="6" borderId="0" xfId="28" applyNumberFormat="1" applyFont="1" applyFill="1" applyAlignment="1">
      <alignment vertical="center"/>
    </xf>
    <xf numFmtId="170" fontId="41" fillId="0" borderId="0" xfId="13" applyNumberFormat="1" applyFont="1" applyFill="1" applyBorder="1"/>
    <xf numFmtId="170" fontId="40" fillId="0" borderId="0" xfId="13" applyNumberFormat="1" applyFont="1" applyFill="1" applyAlignment="1">
      <alignment horizontal="center" wrapText="1"/>
    </xf>
    <xf numFmtId="3" fontId="58" fillId="0" borderId="0" xfId="1" applyNumberFormat="1" applyFont="1" applyFill="1" applyBorder="1" applyAlignment="1">
      <alignment vertical="center"/>
    </xf>
    <xf numFmtId="170" fontId="42" fillId="0" borderId="0" xfId="1" applyNumberFormat="1" applyFont="1" applyFill="1" applyAlignment="1">
      <alignment horizontal="right"/>
    </xf>
    <xf numFmtId="42" fontId="58" fillId="0" borderId="0" xfId="2" applyNumberFormat="1" applyFont="1" applyFill="1" applyAlignment="1" applyProtection="1">
      <alignment vertical="center"/>
    </xf>
    <xf numFmtId="42" fontId="58" fillId="0" borderId="0" xfId="3" applyNumberFormat="1" applyFont="1" applyAlignment="1" applyProtection="1">
      <alignment horizontal="left" vertical="center"/>
      <protection locked="0"/>
    </xf>
    <xf numFmtId="42" fontId="58" fillId="0" borderId="0" xfId="3" applyNumberFormat="1" applyFont="1" applyAlignment="1" applyProtection="1">
      <alignment horizontal="center" vertical="center"/>
      <protection locked="0"/>
    </xf>
    <xf numFmtId="42" fontId="58" fillId="0" borderId="0" xfId="2" applyNumberFormat="1" applyFont="1" applyFill="1" applyBorder="1" applyAlignment="1">
      <alignment vertical="center"/>
    </xf>
    <xf numFmtId="42" fontId="58" fillId="0" borderId="0" xfId="1" applyNumberFormat="1" applyFont="1" applyFill="1" applyAlignment="1">
      <alignment vertical="center"/>
    </xf>
    <xf numFmtId="42" fontId="58" fillId="0" borderId="0" xfId="2" applyNumberFormat="1" applyFont="1" applyFill="1" applyAlignment="1">
      <alignment vertical="center"/>
    </xf>
    <xf numFmtId="42" fontId="58" fillId="0" borderId="0" xfId="2" applyNumberFormat="1" applyFont="1" applyFill="1" applyBorder="1" applyAlignment="1">
      <alignment horizontal="center" vertical="center"/>
    </xf>
    <xf numFmtId="6" fontId="150" fillId="0" borderId="0" xfId="0" applyNumberFormat="1" applyFont="1" applyAlignment="1">
      <alignment vertical="center"/>
    </xf>
    <xf numFmtId="42" fontId="58" fillId="0" borderId="0" xfId="2" applyNumberFormat="1" applyFont="1" applyFill="1" applyBorder="1" applyAlignment="1" applyProtection="1">
      <alignment horizontal="left" vertical="center"/>
      <protection locked="0"/>
    </xf>
    <xf numFmtId="170" fontId="58" fillId="0" borderId="0" xfId="10" applyNumberFormat="1" applyFont="1" applyFill="1" applyBorder="1" applyAlignment="1">
      <alignment vertical="center"/>
    </xf>
    <xf numFmtId="170" fontId="58" fillId="0" borderId="0" xfId="12" applyNumberFormat="1" applyFont="1" applyFill="1" applyAlignment="1">
      <alignment horizontal="right" vertical="center"/>
    </xf>
    <xf numFmtId="170" fontId="145" fillId="0" borderId="0" xfId="12" applyNumberFormat="1" applyFont="1" applyFill="1"/>
    <xf numFmtId="170" fontId="157" fillId="0" borderId="0" xfId="12" applyNumberFormat="1" applyFont="1" applyFill="1"/>
    <xf numFmtId="0" fontId="58" fillId="0" borderId="0" xfId="0" applyFont="1" applyAlignment="1">
      <alignment horizontal="left" indent="1"/>
    </xf>
    <xf numFmtId="176" fontId="157" fillId="0" borderId="0" xfId="29" applyNumberFormat="1" applyFont="1"/>
    <xf numFmtId="41" fontId="157" fillId="0" borderId="0" xfId="12" applyNumberFormat="1" applyFont="1" applyFill="1" applyBorder="1"/>
    <xf numFmtId="41" fontId="158" fillId="0" borderId="0" xfId="3" applyNumberFormat="1" applyFont="1" applyAlignment="1">
      <alignment vertical="center"/>
    </xf>
    <xf numFmtId="41" fontId="156" fillId="0" borderId="2" xfId="3" applyNumberFormat="1" applyFont="1" applyBorder="1" applyAlignment="1">
      <alignment vertical="center"/>
    </xf>
    <xf numFmtId="42" fontId="158" fillId="0" borderId="0" xfId="3" applyNumberFormat="1" applyFont="1" applyAlignment="1">
      <alignment vertical="center"/>
    </xf>
    <xf numFmtId="170" fontId="146" fillId="0" borderId="9" xfId="12" applyNumberFormat="1" applyFont="1" applyFill="1" applyBorder="1" applyAlignment="1">
      <alignment vertical="center"/>
    </xf>
    <xf numFmtId="170" fontId="146" fillId="0" borderId="0" xfId="12" applyNumberFormat="1" applyFont="1" applyFill="1" applyBorder="1" applyAlignment="1">
      <alignment vertical="center"/>
    </xf>
    <xf numFmtId="170" fontId="146" fillId="0" borderId="0" xfId="12" applyNumberFormat="1" applyFont="1" applyFill="1" applyAlignment="1">
      <alignment horizontal="left" vertical="center" indent="1"/>
    </xf>
    <xf numFmtId="170" fontId="146" fillId="0" borderId="0" xfId="12" applyNumberFormat="1" applyFont="1" applyFill="1" applyAlignment="1">
      <alignment vertical="center"/>
    </xf>
    <xf numFmtId="170" fontId="146" fillId="2" borderId="0" xfId="12" applyNumberFormat="1" applyFont="1" applyFill="1" applyAlignment="1">
      <alignment vertical="center"/>
    </xf>
    <xf numFmtId="170" fontId="146" fillId="4" borderId="0" xfId="12" applyNumberFormat="1" applyFont="1" applyFill="1" applyAlignment="1">
      <alignment vertical="center"/>
    </xf>
    <xf numFmtId="170" fontId="146" fillId="21" borderId="0" xfId="12" applyNumberFormat="1" applyFont="1" applyFill="1" applyAlignment="1">
      <alignment vertical="center"/>
    </xf>
    <xf numFmtId="170" fontId="146" fillId="6" borderId="0" xfId="12" applyNumberFormat="1" applyFont="1" applyFill="1" applyAlignment="1">
      <alignment vertical="center"/>
    </xf>
    <xf numFmtId="170" fontId="40" fillId="0" borderId="0" xfId="12" applyNumberFormat="1" applyFont="1" applyFill="1" applyAlignment="1">
      <alignment vertical="center"/>
    </xf>
    <xf numFmtId="167" fontId="58" fillId="0" borderId="0" xfId="0" applyNumberFormat="1" applyFont="1" applyAlignment="1" applyProtection="1">
      <alignment vertical="center"/>
      <protection locked="0"/>
    </xf>
    <xf numFmtId="167" fontId="58" fillId="0" borderId="2" xfId="0" applyNumberFormat="1" applyFont="1" applyBorder="1" applyAlignment="1" applyProtection="1">
      <alignment vertical="center"/>
      <protection locked="0"/>
    </xf>
    <xf numFmtId="170" fontId="58" fillId="0" borderId="0" xfId="12" applyNumberFormat="1" applyFont="1" applyFill="1"/>
    <xf numFmtId="170" fontId="41" fillId="0" borderId="0" xfId="12" applyNumberFormat="1" applyFont="1" applyFill="1" applyAlignment="1">
      <alignment horizontal="left" vertical="center" indent="1"/>
    </xf>
    <xf numFmtId="170" fontId="40" fillId="0" borderId="9" xfId="12" applyNumberFormat="1" applyFont="1" applyFill="1" applyBorder="1"/>
    <xf numFmtId="170" fontId="41" fillId="0" borderId="9" xfId="5" applyNumberFormat="1" applyFont="1" applyFill="1" applyBorder="1"/>
    <xf numFmtId="170" fontId="41" fillId="21" borderId="0" xfId="12" applyNumberFormat="1" applyFont="1" applyFill="1"/>
    <xf numFmtId="170" fontId="38" fillId="22" borderId="0" xfId="1" applyNumberFormat="1" applyFont="1" applyFill="1" applyAlignment="1">
      <alignment horizontal="right"/>
    </xf>
    <xf numFmtId="170" fontId="152" fillId="22" borderId="0" xfId="1" applyNumberFormat="1" applyFont="1" applyFill="1"/>
    <xf numFmtId="170" fontId="152" fillId="22" borderId="0" xfId="1" applyNumberFormat="1" applyFont="1" applyFill="1" applyBorder="1"/>
    <xf numFmtId="170" fontId="152" fillId="22" borderId="2" xfId="1" applyNumberFormat="1" applyFont="1" applyFill="1" applyBorder="1"/>
    <xf numFmtId="0" fontId="59" fillId="0" borderId="0" xfId="3" applyFont="1" applyAlignment="1">
      <alignment horizontal="left" wrapText="1"/>
    </xf>
    <xf numFmtId="42" fontId="58" fillId="0" borderId="4" xfId="0" applyNumberFormat="1" applyFont="1" applyBorder="1"/>
    <xf numFmtId="172" fontId="58" fillId="0" borderId="4" xfId="2" applyNumberFormat="1" applyFont="1" applyFill="1" applyBorder="1" applyAlignment="1"/>
    <xf numFmtId="41" fontId="58" fillId="0" borderId="0" xfId="0" applyNumberFormat="1" applyFont="1" applyAlignment="1">
      <alignment horizontal="center"/>
    </xf>
    <xf numFmtId="0" fontId="58" fillId="0" borderId="2" xfId="0" applyFont="1" applyBorder="1" applyAlignment="1">
      <alignment vertical="center"/>
    </xf>
    <xf numFmtId="170" fontId="41" fillId="0" borderId="4" xfId="12" applyNumberFormat="1" applyFont="1" applyFill="1" applyBorder="1"/>
    <xf numFmtId="9" fontId="41" fillId="0" borderId="0" xfId="4" applyFont="1" applyFill="1"/>
    <xf numFmtId="172" fontId="58" fillId="0" borderId="1" xfId="2" applyNumberFormat="1" applyFont="1" applyFill="1" applyBorder="1"/>
    <xf numFmtId="170" fontId="45" fillId="0" borderId="0" xfId="1" applyNumberFormat="1" applyFont="1" applyFill="1" applyAlignment="1">
      <alignment horizontal="center" vertical="center"/>
    </xf>
    <xf numFmtId="170" fontId="45" fillId="0" borderId="2" xfId="1" applyNumberFormat="1" applyFont="1" applyFill="1" applyBorder="1" applyAlignment="1">
      <alignment vertical="center"/>
    </xf>
    <xf numFmtId="170" fontId="45" fillId="0" borderId="0" xfId="3" applyNumberFormat="1" applyFont="1" applyAlignment="1">
      <alignment vertical="center"/>
    </xf>
    <xf numFmtId="177" fontId="152" fillId="0" borderId="0" xfId="1" applyNumberFormat="1" applyFont="1" applyFill="1"/>
    <xf numFmtId="178" fontId="152" fillId="0" borderId="0" xfId="1" applyNumberFormat="1" applyFont="1" applyFill="1"/>
    <xf numFmtId="172" fontId="157" fillId="0" borderId="0" xfId="2" applyNumberFormat="1" applyFont="1"/>
    <xf numFmtId="172" fontId="58" fillId="0" borderId="0" xfId="2" applyNumberFormat="1" applyFont="1" applyAlignment="1">
      <alignment vertical="center"/>
    </xf>
    <xf numFmtId="172" fontId="157" fillId="0" borderId="0" xfId="2" applyNumberFormat="1" applyFont="1" applyFill="1" applyBorder="1"/>
    <xf numFmtId="0" fontId="58" fillId="0" borderId="0" xfId="3" applyFont="1" applyAlignment="1" applyProtection="1">
      <alignment horizontal="left" vertical="center" indent="6"/>
      <protection locked="0"/>
    </xf>
    <xf numFmtId="170" fontId="58" fillId="0" borderId="0" xfId="1" quotePrefix="1" applyNumberFormat="1" applyFont="1" applyAlignment="1" applyProtection="1">
      <alignment vertical="center"/>
      <protection locked="0"/>
    </xf>
    <xf numFmtId="0" fontId="0" fillId="0" borderId="0" xfId="0" applyAlignment="1">
      <alignment horizontal="center"/>
    </xf>
    <xf numFmtId="170" fontId="34" fillId="20" borderId="0" xfId="18" applyNumberFormat="1" applyFont="1" applyFill="1" applyBorder="1" applyAlignment="1">
      <alignment vertical="center"/>
    </xf>
    <xf numFmtId="170" fontId="34" fillId="20" borderId="0" xfId="18" applyNumberFormat="1" applyFont="1" applyFill="1" applyBorder="1" applyAlignment="1">
      <alignment horizontal="right" vertical="center"/>
    </xf>
    <xf numFmtId="170" fontId="41" fillId="20" borderId="9" xfId="1" applyNumberFormat="1" applyFont="1" applyFill="1" applyBorder="1"/>
    <xf numFmtId="170" fontId="41" fillId="23" borderId="0" xfId="12" applyNumberFormat="1" applyFont="1" applyFill="1" applyAlignment="1">
      <alignment vertical="center"/>
    </xf>
    <xf numFmtId="167" fontId="59" fillId="0" borderId="0" xfId="0" applyNumberFormat="1" applyFont="1" applyAlignment="1">
      <alignment horizontal="left" vertical="center"/>
    </xf>
    <xf numFmtId="179" fontId="164" fillId="0" borderId="0" xfId="12" applyNumberFormat="1" applyFont="1" applyFill="1"/>
    <xf numFmtId="179" fontId="164" fillId="0" borderId="24" xfId="12" applyNumberFormat="1" applyFont="1" applyFill="1" applyBorder="1"/>
    <xf numFmtId="179" fontId="164" fillId="0" borderId="0" xfId="18" applyNumberFormat="1" applyFont="1" applyFill="1"/>
    <xf numFmtId="179" fontId="164" fillId="0" borderId="0" xfId="18" applyNumberFormat="1" applyFont="1" applyFill="1" applyAlignment="1">
      <alignment vertical="center"/>
    </xf>
    <xf numFmtId="179" fontId="164" fillId="0" borderId="0" xfId="12" applyNumberFormat="1" applyFont="1" applyFill="1" applyAlignment="1">
      <alignment vertical="center"/>
    </xf>
    <xf numFmtId="43" fontId="165" fillId="0" borderId="24" xfId="18" applyFont="1" applyFill="1" applyBorder="1" applyAlignment="1">
      <alignment vertical="center"/>
    </xf>
    <xf numFmtId="43" fontId="165" fillId="0" borderId="24" xfId="12" applyFont="1" applyFill="1" applyBorder="1" applyAlignment="1">
      <alignment vertical="center"/>
    </xf>
    <xf numFmtId="179" fontId="164" fillId="0" borderId="0" xfId="5" applyNumberFormat="1" applyFont="1" applyFill="1"/>
    <xf numFmtId="179" fontId="164" fillId="0" borderId="0" xfId="12" applyNumberFormat="1" applyFont="1" applyFill="1" applyAlignment="1">
      <alignment horizontal="left" vertical="center" indent="1"/>
    </xf>
    <xf numFmtId="179" fontId="164" fillId="0" borderId="0" xfId="18" applyNumberFormat="1" applyFont="1" applyFill="1" applyAlignment="1">
      <alignment horizontal="left" vertical="center" indent="1"/>
    </xf>
    <xf numFmtId="179" fontId="164" fillId="0" borderId="0" xfId="12" applyNumberFormat="1" applyFont="1"/>
    <xf numFmtId="179" fontId="164" fillId="0" borderId="0" xfId="18" applyNumberFormat="1" applyFont="1"/>
    <xf numFmtId="179" fontId="164" fillId="24" borderId="0" xfId="12" applyNumberFormat="1" applyFont="1" applyFill="1" applyAlignment="1">
      <alignment vertical="center"/>
    </xf>
    <xf numFmtId="179" fontId="164" fillId="24" borderId="0" xfId="18" applyNumberFormat="1" applyFont="1" applyFill="1" applyAlignment="1">
      <alignment vertical="center"/>
    </xf>
    <xf numFmtId="179" fontId="164" fillId="25" borderId="0" xfId="12" applyNumberFormat="1" applyFont="1" applyFill="1" applyAlignment="1">
      <alignment vertical="center"/>
    </xf>
    <xf numFmtId="179" fontId="164" fillId="25" borderId="0" xfId="18" applyNumberFormat="1" applyFont="1" applyFill="1" applyAlignment="1">
      <alignment vertical="center"/>
    </xf>
    <xf numFmtId="179" fontId="164" fillId="26" borderId="0" xfId="12" applyNumberFormat="1" applyFont="1" applyFill="1" applyAlignment="1">
      <alignment vertical="center"/>
    </xf>
    <xf numFmtId="179" fontId="164" fillId="26" borderId="0" xfId="18" applyNumberFormat="1" applyFont="1" applyFill="1" applyAlignment="1">
      <alignment vertical="center"/>
    </xf>
    <xf numFmtId="179" fontId="166" fillId="0" borderId="24" xfId="12" applyNumberFormat="1" applyFont="1" applyFill="1" applyBorder="1"/>
    <xf numFmtId="179" fontId="166" fillId="0" borderId="0" xfId="5" applyNumberFormat="1" applyFont="1" applyFill="1" applyAlignment="1">
      <alignment horizontal="center" wrapText="1"/>
    </xf>
    <xf numFmtId="179" fontId="166" fillId="0" borderId="0" xfId="12" applyNumberFormat="1" applyFont="1" applyFill="1" applyAlignment="1">
      <alignment horizontal="center" wrapText="1"/>
    </xf>
    <xf numFmtId="43" fontId="164" fillId="0" borderId="0" xfId="12" applyFont="1" applyFill="1"/>
    <xf numFmtId="179" fontId="164" fillId="0" borderId="0" xfId="5" applyNumberFormat="1" applyFont="1"/>
    <xf numFmtId="179" fontId="164" fillId="0" borderId="26" xfId="5" applyNumberFormat="1" applyFont="1" applyFill="1" applyBorder="1"/>
    <xf numFmtId="170" fontId="41" fillId="0" borderId="0" xfId="0" applyNumberFormat="1" applyFont="1"/>
    <xf numFmtId="170" fontId="58" fillId="0" borderId="0" xfId="1" applyNumberFormat="1" applyFont="1" applyAlignment="1">
      <alignment vertical="center"/>
    </xf>
    <xf numFmtId="179" fontId="164" fillId="0" borderId="0" xfId="12" applyNumberFormat="1" applyFont="1" applyFill="1" applyBorder="1"/>
    <xf numFmtId="179" fontId="164" fillId="0" borderId="25" xfId="12" applyNumberFormat="1" applyFont="1" applyFill="1" applyBorder="1" applyAlignment="1">
      <alignment vertical="center"/>
    </xf>
    <xf numFmtId="0" fontId="40" fillId="0" borderId="0" xfId="3" applyFont="1" applyAlignment="1">
      <alignment horizontal="center" vertical="top"/>
    </xf>
    <xf numFmtId="171" fontId="41" fillId="0" borderId="0" xfId="4" applyNumberFormat="1" applyFont="1" applyFill="1"/>
    <xf numFmtId="172" fontId="58" fillId="0" borderId="0" xfId="2" applyNumberFormat="1" applyFont="1" applyAlignment="1" applyProtection="1">
      <alignment vertical="center"/>
      <protection locked="0"/>
    </xf>
    <xf numFmtId="172" fontId="58" fillId="0" borderId="0" xfId="2" applyNumberFormat="1" applyFont="1" applyAlignment="1" applyProtection="1">
      <alignment horizontal="left" vertical="center"/>
      <protection locked="0"/>
    </xf>
    <xf numFmtId="172" fontId="58" fillId="0" borderId="0" xfId="2" applyNumberFormat="1" applyFont="1" applyAlignment="1">
      <alignment horizontal="left" vertical="center"/>
    </xf>
    <xf numFmtId="172" fontId="0" fillId="0" borderId="0" xfId="2" applyNumberFormat="1" applyFont="1"/>
    <xf numFmtId="170" fontId="58" fillId="0" borderId="0" xfId="1" applyNumberFormat="1" applyFont="1" applyAlignment="1" applyProtection="1">
      <alignment vertical="center"/>
      <protection locked="0"/>
    </xf>
    <xf numFmtId="170" fontId="58" fillId="0" borderId="0" xfId="1" applyNumberFormat="1" applyFont="1" applyAlignment="1" applyProtection="1">
      <alignment horizontal="left" vertical="center"/>
      <protection locked="0"/>
    </xf>
    <xf numFmtId="170" fontId="58" fillId="0" borderId="0" xfId="1" applyNumberFormat="1" applyFont="1" applyAlignment="1">
      <alignment horizontal="left" vertical="center"/>
    </xf>
    <xf numFmtId="170" fontId="41" fillId="15" borderId="0" xfId="1" applyNumberFormat="1" applyFont="1" applyFill="1" applyAlignment="1">
      <alignment horizontal="left" vertical="center" indent="1"/>
    </xf>
    <xf numFmtId="170" fontId="41" fillId="15" borderId="0" xfId="1" applyNumberFormat="1" applyFont="1" applyFill="1" applyAlignment="1">
      <alignment vertical="center"/>
    </xf>
    <xf numFmtId="170" fontId="41" fillId="15" borderId="0" xfId="1" applyNumberFormat="1" applyFont="1" applyFill="1" applyAlignment="1">
      <alignment horizontal="left" vertical="center" indent="2"/>
    </xf>
    <xf numFmtId="170" fontId="41" fillId="0" borderId="0" xfId="1" applyNumberFormat="1" applyFont="1" applyAlignment="1">
      <alignment horizontal="left" indent="1"/>
    </xf>
    <xf numFmtId="170" fontId="41" fillId="0" borderId="0" xfId="1" applyNumberFormat="1" applyFont="1" applyAlignment="1">
      <alignment horizontal="left" indent="3"/>
    </xf>
    <xf numFmtId="0" fontId="41" fillId="0" borderId="0" xfId="0" applyFont="1" applyAlignment="1">
      <alignment horizontal="left" indent="3"/>
    </xf>
    <xf numFmtId="43" fontId="58" fillId="0" borderId="0" xfId="1" applyFont="1" applyAlignment="1" applyProtection="1">
      <alignment horizontal="left" vertical="center" indent="2"/>
      <protection locked="0"/>
    </xf>
    <xf numFmtId="41" fontId="58" fillId="0" borderId="2" xfId="0" applyNumberFormat="1" applyFont="1" applyBorder="1" applyAlignment="1" applyProtection="1">
      <alignment vertical="center"/>
      <protection locked="0"/>
    </xf>
    <xf numFmtId="170" fontId="40" fillId="0" borderId="15" xfId="12" applyNumberFormat="1" applyFont="1" applyFill="1" applyBorder="1" applyAlignment="1">
      <alignment horizontal="center" vertical="center"/>
    </xf>
    <xf numFmtId="170" fontId="157" fillId="0" borderId="0" xfId="12" applyNumberFormat="1" applyFont="1"/>
    <xf numFmtId="170" fontId="34" fillId="0" borderId="0" xfId="18" applyNumberFormat="1" applyFont="1" applyFill="1" applyBorder="1" applyAlignment="1">
      <alignment vertical="center"/>
    </xf>
    <xf numFmtId="170" fontId="34" fillId="0" borderId="0" xfId="18" applyNumberFormat="1" applyFont="1" applyFill="1" applyBorder="1" applyAlignment="1">
      <alignment horizontal="right" vertical="center"/>
    </xf>
    <xf numFmtId="43" fontId="42" fillId="0" borderId="0" xfId="1" applyFont="1" applyFill="1" applyAlignment="1">
      <alignment horizontal="right" vertical="center"/>
    </xf>
    <xf numFmtId="0" fontId="159" fillId="0" borderId="0" xfId="0" applyFont="1" applyAlignment="1">
      <alignment horizontal="center" wrapText="1"/>
    </xf>
    <xf numFmtId="170" fontId="160" fillId="0" borderId="0" xfId="1" applyNumberFormat="1" applyFont="1" applyAlignment="1">
      <alignment horizontal="center" wrapText="1"/>
    </xf>
    <xf numFmtId="0" fontId="160" fillId="0" borderId="0" xfId="0" applyFont="1" applyAlignment="1">
      <alignment horizontal="center" wrapText="1"/>
    </xf>
    <xf numFmtId="170" fontId="58" fillId="0" borderId="2" xfId="12" applyNumberFormat="1" applyFont="1" applyFill="1" applyBorder="1" applyAlignment="1" applyProtection="1">
      <alignment vertical="center"/>
    </xf>
    <xf numFmtId="41" fontId="41" fillId="0" borderId="0" xfId="0" applyNumberFormat="1" applyFont="1"/>
    <xf numFmtId="170" fontId="58" fillId="0" borderId="0" xfId="5" applyNumberFormat="1" applyFont="1" applyFill="1" applyBorder="1" applyAlignment="1">
      <alignment vertical="center"/>
    </xf>
    <xf numFmtId="170" fontId="58" fillId="0" borderId="0" xfId="5" applyNumberFormat="1" applyFont="1" applyFill="1" applyAlignment="1">
      <alignment horizontal="left" vertical="center" indent="1"/>
    </xf>
    <xf numFmtId="170" fontId="58" fillId="0" borderId="0" xfId="5" applyNumberFormat="1" applyFont="1" applyFill="1" applyAlignment="1">
      <alignment vertical="center"/>
    </xf>
    <xf numFmtId="170" fontId="58" fillId="0" borderId="0" xfId="18" applyNumberFormat="1" applyFont="1" applyFill="1"/>
    <xf numFmtId="170" fontId="58" fillId="0" borderId="0" xfId="18" applyNumberFormat="1" applyFont="1" applyFill="1" applyAlignment="1">
      <alignment vertical="center"/>
    </xf>
    <xf numFmtId="167" fontId="58" fillId="0" borderId="2" xfId="7" applyNumberFormat="1" applyFont="1" applyBorder="1" applyAlignment="1">
      <alignment vertical="center"/>
    </xf>
    <xf numFmtId="38" fontId="41" fillId="0" borderId="2" xfId="0" applyNumberFormat="1" applyFont="1" applyBorder="1" applyAlignment="1">
      <alignment vertical="center"/>
    </xf>
    <xf numFmtId="179" fontId="164" fillId="0" borderId="1" xfId="12" applyNumberFormat="1" applyFont="1" applyBorder="1"/>
    <xf numFmtId="179" fontId="164" fillId="0" borderId="1" xfId="12" applyNumberFormat="1" applyFont="1" applyFill="1" applyBorder="1"/>
    <xf numFmtId="179" fontId="164" fillId="0" borderId="1" xfId="5" applyNumberFormat="1" applyFont="1" applyBorder="1"/>
    <xf numFmtId="179" fontId="164" fillId="0" borderId="26" xfId="12" applyNumberFormat="1" applyFont="1" applyBorder="1"/>
    <xf numFmtId="170" fontId="167" fillId="0" borderId="0" xfId="1" applyNumberFormat="1" applyFont="1"/>
    <xf numFmtId="170" fontId="41" fillId="0" borderId="2" xfId="1" applyNumberFormat="1" applyFont="1" applyFill="1" applyBorder="1" applyAlignment="1">
      <alignment vertical="center"/>
    </xf>
    <xf numFmtId="1" fontId="40" fillId="0" borderId="0" xfId="0" quotePrefix="1" applyNumberFormat="1" applyFont="1" applyAlignment="1">
      <alignment horizontal="center" vertical="center" wrapText="1"/>
    </xf>
    <xf numFmtId="0" fontId="58" fillId="0" borderId="0" xfId="0" applyFont="1" applyAlignment="1">
      <alignment vertical="justify" wrapText="1"/>
    </xf>
    <xf numFmtId="1" fontId="149" fillId="0" borderId="0" xfId="0" quotePrefix="1" applyNumberFormat="1" applyFont="1" applyAlignment="1">
      <alignment horizontal="center" vertical="center" wrapText="1"/>
    </xf>
    <xf numFmtId="170" fontId="41" fillId="0" borderId="0" xfId="1" applyNumberFormat="1" applyFont="1" applyFill="1" applyAlignment="1">
      <alignment horizontal="left" indent="3"/>
    </xf>
    <xf numFmtId="170" fontId="150" fillId="0" borderId="2" xfId="3" applyNumberFormat="1" applyFont="1" applyBorder="1"/>
    <xf numFmtId="42" fontId="58" fillId="27" borderId="0" xfId="3" applyNumberFormat="1" applyFont="1" applyFill="1" applyAlignment="1">
      <alignment vertical="center"/>
    </xf>
    <xf numFmtId="167" fontId="58" fillId="27" borderId="0" xfId="3" applyNumberFormat="1" applyFont="1" applyFill="1" applyAlignment="1">
      <alignment vertical="center"/>
    </xf>
    <xf numFmtId="170" fontId="58" fillId="27" borderId="0" xfId="1" applyNumberFormat="1" applyFont="1" applyFill="1"/>
    <xf numFmtId="42" fontId="59" fillId="0" borderId="0" xfId="3" applyNumberFormat="1" applyFont="1" applyAlignment="1">
      <alignment horizontal="center" vertical="center"/>
    </xf>
    <xf numFmtId="5" fontId="64" fillId="0" borderId="0" xfId="3" applyNumberFormat="1" applyFont="1" applyAlignment="1">
      <alignment horizontal="right" vertical="center"/>
    </xf>
    <xf numFmtId="170" fontId="41" fillId="0" borderId="9" xfId="5" applyNumberFormat="1" applyFont="1" applyFill="1" applyBorder="1" applyAlignment="1">
      <alignment vertical="center"/>
    </xf>
    <xf numFmtId="179" fontId="164" fillId="0" borderId="24" xfId="18" applyNumberFormat="1" applyFont="1" applyFill="1" applyBorder="1"/>
    <xf numFmtId="179" fontId="164" fillId="0" borderId="27" xfId="18" applyNumberFormat="1" applyFont="1" applyFill="1" applyBorder="1"/>
    <xf numFmtId="179" fontId="164" fillId="0" borderId="24" xfId="18" applyNumberFormat="1" applyFont="1" applyFill="1" applyBorder="1" applyAlignment="1">
      <alignment vertical="center"/>
    </xf>
    <xf numFmtId="179" fontId="164" fillId="0" borderId="24" xfId="12" applyNumberFormat="1" applyFont="1" applyFill="1" applyBorder="1" applyAlignment="1">
      <alignment vertical="center"/>
    </xf>
    <xf numFmtId="170" fontId="41" fillId="0" borderId="9" xfId="24" applyNumberFormat="1" applyFont="1" applyFill="1" applyBorder="1" applyAlignment="1">
      <alignment vertical="center"/>
    </xf>
    <xf numFmtId="179" fontId="164" fillId="0" borderId="28" xfId="5" applyNumberFormat="1" applyFont="1" applyFill="1" applyBorder="1" applyAlignment="1">
      <alignment vertical="center"/>
    </xf>
    <xf numFmtId="170" fontId="146" fillId="0" borderId="9" xfId="5" applyNumberFormat="1" applyFont="1" applyFill="1" applyBorder="1" applyAlignment="1">
      <alignment vertical="center"/>
    </xf>
    <xf numFmtId="170" fontId="41" fillId="0" borderId="2" xfId="5" applyNumberFormat="1" applyFont="1" applyFill="1" applyBorder="1" applyAlignment="1">
      <alignment vertical="center"/>
    </xf>
    <xf numFmtId="170" fontId="164" fillId="0" borderId="0" xfId="1" applyNumberFormat="1" applyFont="1" applyFill="1"/>
    <xf numFmtId="170" fontId="164" fillId="0" borderId="0" xfId="1" applyNumberFormat="1" applyFont="1"/>
    <xf numFmtId="170" fontId="168" fillId="0" borderId="0" xfId="1" applyNumberFormat="1" applyFont="1" applyFill="1" applyAlignment="1">
      <alignment horizontal="right"/>
    </xf>
    <xf numFmtId="170" fontId="169" fillId="0" borderId="0" xfId="1" applyNumberFormat="1" applyFont="1" applyFill="1"/>
    <xf numFmtId="43" fontId="58" fillId="0" borderId="0" xfId="1" applyFont="1" applyAlignment="1">
      <alignment vertical="center"/>
    </xf>
    <xf numFmtId="43" fontId="58" fillId="0" borderId="0" xfId="1" applyFont="1"/>
    <xf numFmtId="43" fontId="41" fillId="0" borderId="0" xfId="12" applyFont="1" applyAlignment="1">
      <alignment vertical="center"/>
    </xf>
    <xf numFmtId="167" fontId="58" fillId="0" borderId="0" xfId="3" applyNumberFormat="1" applyFont="1" applyAlignment="1" applyProtection="1">
      <alignment horizontal="left" vertical="center" indent="3"/>
      <protection locked="0"/>
    </xf>
    <xf numFmtId="41" fontId="58" fillId="0" borderId="0" xfId="3" applyNumberFormat="1" applyFont="1" applyAlignment="1" applyProtection="1">
      <alignment horizontal="left" vertical="center" indent="3"/>
      <protection locked="0"/>
    </xf>
    <xf numFmtId="170" fontId="58" fillId="0" borderId="0" xfId="1" applyNumberFormat="1" applyFont="1" applyFill="1" applyBorder="1" applyAlignment="1"/>
    <xf numFmtId="167" fontId="58" fillId="0" borderId="2" xfId="3" applyNumberFormat="1" applyFont="1" applyBorder="1" applyAlignment="1">
      <alignment horizontal="left" vertical="center"/>
    </xf>
    <xf numFmtId="170" fontId="41" fillId="0" borderId="12" xfId="1" applyNumberFormat="1" applyFont="1" applyFill="1" applyBorder="1"/>
    <xf numFmtId="172" fontId="58" fillId="0" borderId="0" xfId="23" applyNumberFormat="1" applyFont="1" applyFill="1" applyBorder="1" applyAlignment="1">
      <alignment vertical="center"/>
    </xf>
    <xf numFmtId="170" fontId="41" fillId="0" borderId="9" xfId="37" applyNumberFormat="1" applyFont="1" applyFill="1" applyBorder="1"/>
    <xf numFmtId="170" fontId="41" fillId="0" borderId="0" xfId="5" applyNumberFormat="1" applyFont="1" applyFill="1" applyAlignment="1">
      <alignment horizontal="left" vertical="center"/>
    </xf>
    <xf numFmtId="170" fontId="41" fillId="0" borderId="0" xfId="37" applyNumberFormat="1" applyFont="1" applyFill="1" applyAlignment="1">
      <alignment vertical="center"/>
    </xf>
    <xf numFmtId="170" fontId="41" fillId="0" borderId="9" xfId="37" applyNumberFormat="1" applyFont="1" applyFill="1" applyBorder="1" applyAlignment="1">
      <alignment vertical="center"/>
    </xf>
    <xf numFmtId="170" fontId="40" fillId="0" borderId="0" xfId="5" applyNumberFormat="1" applyFont="1" applyFill="1" applyAlignment="1">
      <alignment vertical="center"/>
    </xf>
    <xf numFmtId="170" fontId="40" fillId="0" borderId="0" xfId="5" applyNumberFormat="1" applyFont="1" applyFill="1" applyAlignment="1">
      <alignment horizontal="left" vertical="center"/>
    </xf>
    <xf numFmtId="170" fontId="41" fillId="0" borderId="9" xfId="37" applyNumberFormat="1" applyFont="1" applyFill="1" applyBorder="1" applyAlignment="1">
      <alignment horizontal="left" vertical="center" indent="1"/>
    </xf>
    <xf numFmtId="170" fontId="41" fillId="0" borderId="0" xfId="37" applyNumberFormat="1" applyFont="1" applyFill="1"/>
    <xf numFmtId="170" fontId="41" fillId="2" borderId="0" xfId="37" applyNumberFormat="1" applyFont="1" applyFill="1" applyAlignment="1">
      <alignment vertical="center"/>
    </xf>
    <xf numFmtId="170" fontId="41" fillId="4" borderId="0" xfId="37" applyNumberFormat="1" applyFont="1" applyFill="1" applyAlignment="1">
      <alignment vertical="center"/>
    </xf>
    <xf numFmtId="170" fontId="41" fillId="21" borderId="0" xfId="37" applyNumberFormat="1" applyFont="1" applyFill="1" applyAlignment="1">
      <alignment vertical="center"/>
    </xf>
    <xf numFmtId="170" fontId="41" fillId="6" borderId="0" xfId="37" applyNumberFormat="1" applyFont="1" applyFill="1" applyAlignment="1">
      <alignment vertical="center"/>
    </xf>
    <xf numFmtId="170" fontId="41" fillId="0" borderId="9" xfId="13" applyNumberFormat="1" applyFont="1" applyFill="1" applyBorder="1" applyAlignment="1">
      <alignment vertical="center"/>
    </xf>
    <xf numFmtId="170" fontId="41" fillId="0" borderId="1" xfId="5" applyNumberFormat="1" applyFont="1" applyBorder="1"/>
    <xf numFmtId="170" fontId="40" fillId="0" borderId="2" xfId="12" applyNumberFormat="1" applyFont="1" applyFill="1" applyBorder="1"/>
    <xf numFmtId="170" fontId="40" fillId="0" borderId="0" xfId="12" applyNumberFormat="1" applyFont="1" applyFill="1" applyBorder="1"/>
    <xf numFmtId="172" fontId="58" fillId="0" borderId="0" xfId="35" applyNumberFormat="1" applyFont="1" applyFill="1" applyAlignment="1" applyProtection="1">
      <alignment vertical="center"/>
    </xf>
    <xf numFmtId="172" fontId="58" fillId="0" borderId="0" xfId="35" applyNumberFormat="1" applyFont="1" applyFill="1" applyAlignment="1" applyProtection="1">
      <alignment vertical="center"/>
      <protection locked="0"/>
    </xf>
    <xf numFmtId="179" fontId="164" fillId="0" borderId="24" xfId="12" applyNumberFormat="1" applyFont="1" applyFill="1" applyBorder="1" applyAlignment="1">
      <alignment horizontal="left" vertical="center" indent="1"/>
    </xf>
    <xf numFmtId="179" fontId="164" fillId="0" borderId="24" xfId="18" applyNumberFormat="1" applyFont="1" applyFill="1" applyBorder="1" applyAlignment="1">
      <alignment horizontal="left" vertical="center" indent="1"/>
    </xf>
    <xf numFmtId="179" fontId="164" fillId="0" borderId="24" xfId="18" applyNumberFormat="1" applyFont="1" applyBorder="1"/>
    <xf numFmtId="179" fontId="41" fillId="0" borderId="28" xfId="5" applyNumberFormat="1" applyFont="1" applyFill="1" applyBorder="1" applyAlignment="1">
      <alignment vertical="center"/>
    </xf>
    <xf numFmtId="179" fontId="41" fillId="0" borderId="0" xfId="5" applyNumberFormat="1" applyFont="1" applyFill="1"/>
    <xf numFmtId="170" fontId="160" fillId="0" borderId="0" xfId="1" applyNumberFormat="1" applyFont="1"/>
    <xf numFmtId="170" fontId="41" fillId="0" borderId="9" xfId="24" applyNumberFormat="1" applyFont="1" applyBorder="1"/>
    <xf numFmtId="170" fontId="58" fillId="0" borderId="0" xfId="1" applyNumberFormat="1" applyFont="1" applyProtection="1">
      <protection locked="0"/>
    </xf>
    <xf numFmtId="170" fontId="58" fillId="0" borderId="0" xfId="1" applyNumberFormat="1" applyFont="1" applyAlignment="1" applyProtection="1">
      <alignment horizontal="left"/>
      <protection locked="0"/>
    </xf>
    <xf numFmtId="170" fontId="164" fillId="0" borderId="24" xfId="1" applyNumberFormat="1" applyFont="1" applyFill="1" applyBorder="1" applyAlignment="1">
      <alignment vertical="center"/>
    </xf>
    <xf numFmtId="170" fontId="58" fillId="0" borderId="0" xfId="1" applyNumberFormat="1" applyFont="1" applyAlignment="1" applyProtection="1">
      <alignment horizontal="center" vertical="center"/>
      <protection locked="0"/>
    </xf>
    <xf numFmtId="170" fontId="58" fillId="0" borderId="0" xfId="1" applyNumberFormat="1" applyFont="1" applyAlignment="1" applyProtection="1">
      <alignment horizontal="center"/>
      <protection locked="0"/>
    </xf>
    <xf numFmtId="170" fontId="58" fillId="0" borderId="1" xfId="1" applyNumberFormat="1" applyFont="1" applyBorder="1" applyAlignment="1" applyProtection="1">
      <alignment vertical="center"/>
      <protection locked="0"/>
    </xf>
    <xf numFmtId="170" fontId="58" fillId="0" borderId="1" xfId="12" applyNumberFormat="1" applyFont="1" applyFill="1" applyBorder="1" applyAlignment="1" applyProtection="1">
      <alignment vertical="center"/>
    </xf>
    <xf numFmtId="170" fontId="58" fillId="0" borderId="0" xfId="12" applyNumberFormat="1" applyFont="1" applyFill="1" applyBorder="1" applyAlignment="1" applyProtection="1">
      <alignment vertical="center"/>
    </xf>
    <xf numFmtId="170" fontId="58" fillId="0" borderId="0" xfId="3" applyNumberFormat="1" applyFont="1" applyProtection="1">
      <protection locked="0"/>
    </xf>
    <xf numFmtId="170" fontId="58" fillId="0" borderId="0" xfId="1" applyNumberFormat="1" applyFont="1" applyFill="1" applyProtection="1">
      <protection locked="0"/>
    </xf>
    <xf numFmtId="167" fontId="61" fillId="0" borderId="0" xfId="0" applyNumberFormat="1" applyFont="1" applyAlignment="1">
      <alignment vertical="center"/>
    </xf>
    <xf numFmtId="167" fontId="156" fillId="0" borderId="1" xfId="0" applyNumberFormat="1" applyFont="1" applyBorder="1" applyAlignment="1">
      <alignment vertical="center"/>
    </xf>
    <xf numFmtId="0" fontId="156" fillId="0" borderId="0" xfId="0" applyFont="1"/>
    <xf numFmtId="170" fontId="153" fillId="0" borderId="0" xfId="5" applyNumberFormat="1" applyFont="1" applyFill="1" applyAlignment="1">
      <alignment horizontal="center" wrapText="1"/>
    </xf>
    <xf numFmtId="42" fontId="156" fillId="0" borderId="0" xfId="0" applyNumberFormat="1" applyFont="1" applyAlignment="1">
      <alignment vertical="center"/>
    </xf>
    <xf numFmtId="167" fontId="156" fillId="0" borderId="0" xfId="3" applyNumberFormat="1" applyFont="1" applyAlignment="1" applyProtection="1">
      <alignment vertical="center"/>
      <protection locked="0"/>
    </xf>
    <xf numFmtId="170" fontId="153" fillId="0" borderId="9" xfId="12" applyNumberFormat="1" applyFont="1" applyFill="1" applyBorder="1"/>
    <xf numFmtId="170" fontId="146" fillId="0" borderId="0" xfId="5" applyNumberFormat="1" applyFont="1" applyFill="1" applyBorder="1"/>
    <xf numFmtId="167" fontId="156" fillId="0" borderId="2" xfId="0" applyNumberFormat="1" applyFont="1" applyBorder="1" applyAlignment="1">
      <alignment vertical="center"/>
    </xf>
    <xf numFmtId="167" fontId="156" fillId="0" borderId="0" xfId="0" applyNumberFormat="1" applyFont="1" applyAlignment="1">
      <alignment vertical="center"/>
    </xf>
    <xf numFmtId="167" fontId="41" fillId="0" borderId="0" xfId="3" applyNumberFormat="1" applyFont="1" applyAlignment="1">
      <alignment vertical="center"/>
    </xf>
    <xf numFmtId="172" fontId="58" fillId="0" borderId="0" xfId="45" applyNumberFormat="1" applyFont="1" applyFill="1" applyAlignment="1">
      <alignment vertical="center"/>
    </xf>
    <xf numFmtId="172" fontId="58" fillId="0" borderId="0" xfId="45" applyNumberFormat="1" applyFont="1" applyFill="1"/>
    <xf numFmtId="172" fontId="58" fillId="0" borderId="1" xfId="45" applyNumberFormat="1" applyFont="1" applyFill="1" applyBorder="1"/>
    <xf numFmtId="41" fontId="58" fillId="0" borderId="0" xfId="9" applyNumberFormat="1" applyFont="1"/>
    <xf numFmtId="170" fontId="58" fillId="0" borderId="0" xfId="9" applyNumberFormat="1" applyFont="1"/>
    <xf numFmtId="170" fontId="58" fillId="0" borderId="2" xfId="5" applyNumberFormat="1" applyFont="1" applyFill="1" applyBorder="1"/>
    <xf numFmtId="170" fontId="58" fillId="0" borderId="0" xfId="10" applyNumberFormat="1" applyFont="1" applyFill="1"/>
    <xf numFmtId="172" fontId="58" fillId="0" borderId="0" xfId="45" applyNumberFormat="1" applyFont="1" applyFill="1" applyBorder="1" applyAlignment="1" applyProtection="1">
      <alignment vertical="center"/>
      <protection locked="0"/>
    </xf>
    <xf numFmtId="38" fontId="156" fillId="0" borderId="0" xfId="0" applyNumberFormat="1" applyFont="1" applyAlignment="1">
      <alignment vertical="center"/>
    </xf>
    <xf numFmtId="38" fontId="146" fillId="0" borderId="2" xfId="0" applyNumberFormat="1" applyFont="1" applyBorder="1" applyAlignment="1">
      <alignment vertical="center"/>
    </xf>
    <xf numFmtId="172" fontId="156" fillId="0" borderId="0" xfId="45" applyNumberFormat="1" applyFont="1" applyFill="1" applyAlignment="1">
      <alignment vertical="center"/>
    </xf>
    <xf numFmtId="170" fontId="156" fillId="0" borderId="0" xfId="12" applyNumberFormat="1" applyFont="1" applyFill="1" applyAlignment="1">
      <alignment vertical="center"/>
    </xf>
    <xf numFmtId="170" fontId="156" fillId="0" borderId="0" xfId="12" applyNumberFormat="1" applyFont="1" applyFill="1"/>
    <xf numFmtId="42" fontId="156" fillId="0" borderId="1" xfId="0" applyNumberFormat="1" applyFont="1" applyBorder="1" applyAlignment="1">
      <alignment vertical="center"/>
    </xf>
    <xf numFmtId="170" fontId="156" fillId="0" borderId="2" xfId="5" applyNumberFormat="1" applyFont="1" applyFill="1" applyBorder="1"/>
    <xf numFmtId="172" fontId="58" fillId="0" borderId="0" xfId="45" applyNumberFormat="1" applyFont="1" applyFill="1" applyAlignment="1" applyProtection="1">
      <alignment vertical="center"/>
    </xf>
    <xf numFmtId="43" fontId="58" fillId="0" borderId="0" xfId="1" applyFont="1" applyAlignment="1" applyProtection="1">
      <alignment horizontal="left" vertical="center" indent="3"/>
      <protection locked="0"/>
    </xf>
    <xf numFmtId="43" fontId="41" fillId="0" borderId="2" xfId="12" applyFont="1" applyBorder="1" applyAlignment="1">
      <alignment vertical="center"/>
    </xf>
    <xf numFmtId="170" fontId="146" fillId="0" borderId="0" xfId="5" applyNumberFormat="1" applyFont="1" applyFill="1" applyBorder="1" applyAlignment="1">
      <alignment vertical="center"/>
    </xf>
    <xf numFmtId="170" fontId="58" fillId="0" borderId="2" xfId="1" applyNumberFormat="1" applyFont="1" applyBorder="1" applyAlignment="1">
      <alignment vertical="center"/>
    </xf>
    <xf numFmtId="170" fontId="58" fillId="0" borderId="0" xfId="1" applyNumberFormat="1" applyFont="1" applyBorder="1" applyAlignment="1">
      <alignment vertical="center"/>
    </xf>
    <xf numFmtId="0" fontId="41" fillId="0" borderId="0" xfId="7" applyFont="1"/>
    <xf numFmtId="170" fontId="58" fillId="0" borderId="2" xfId="10" applyNumberFormat="1" applyFont="1" applyFill="1" applyBorder="1" applyAlignment="1">
      <alignment vertical="center"/>
    </xf>
    <xf numFmtId="0" fontId="58" fillId="0" borderId="0" xfId="3" applyFont="1" applyAlignment="1">
      <alignment horizontal="left" vertical="center" wrapText="1" indent="1"/>
    </xf>
    <xf numFmtId="0" fontId="58" fillId="0" borderId="0" xfId="3" applyFont="1" applyAlignment="1">
      <alignment horizontal="left" indent="1"/>
    </xf>
    <xf numFmtId="170" fontId="58" fillId="0" borderId="0" xfId="1" applyNumberFormat="1" applyFont="1" applyAlignment="1">
      <alignment horizontal="left" vertical="center" indent="2"/>
    </xf>
    <xf numFmtId="170" fontId="58" fillId="0" borderId="0" xfId="1" applyNumberFormat="1" applyFont="1" applyAlignment="1" applyProtection="1">
      <alignment horizontal="left" vertical="center" indent="2"/>
      <protection locked="0"/>
    </xf>
    <xf numFmtId="180" fontId="58" fillId="0" borderId="0" xfId="4" applyNumberFormat="1" applyFont="1" applyFill="1" applyBorder="1" applyAlignment="1">
      <alignment horizontal="right" vertical="center"/>
    </xf>
    <xf numFmtId="43" fontId="58" fillId="0" borderId="1" xfId="1" applyFont="1" applyBorder="1" applyAlignment="1">
      <alignment vertical="center"/>
    </xf>
    <xf numFmtId="43" fontId="58" fillId="0" borderId="2" xfId="1" applyFont="1" applyBorder="1" applyAlignment="1">
      <alignment vertical="center"/>
    </xf>
    <xf numFmtId="44" fontId="58" fillId="0" borderId="0" xfId="3" applyNumberFormat="1" applyFont="1" applyAlignment="1">
      <alignment vertical="center"/>
    </xf>
    <xf numFmtId="170" fontId="151" fillId="0" borderId="3" xfId="1" applyNumberFormat="1" applyFont="1" applyFill="1" applyBorder="1" applyAlignment="1">
      <alignment horizontal="center"/>
    </xf>
    <xf numFmtId="170" fontId="151" fillId="0" borderId="3" xfId="1" applyNumberFormat="1" applyFont="1" applyBorder="1" applyAlignment="1">
      <alignment horizontal="center"/>
    </xf>
    <xf numFmtId="0" fontId="33" fillId="0" borderId="20" xfId="0" applyFont="1" applyBorder="1" applyAlignment="1">
      <alignment horizontal="center"/>
    </xf>
    <xf numFmtId="0" fontId="33" fillId="0" borderId="21" xfId="0" applyFont="1" applyBorder="1" applyAlignment="1">
      <alignment horizontal="center"/>
    </xf>
    <xf numFmtId="41" fontId="77" fillId="0" borderId="0" xfId="0" applyNumberFormat="1" applyFont="1" applyAlignment="1">
      <alignment horizontal="center"/>
    </xf>
    <xf numFmtId="0" fontId="47" fillId="0" borderId="3" xfId="3" applyFont="1" applyBorder="1" applyAlignment="1">
      <alignment horizontal="right" vertical="center"/>
    </xf>
    <xf numFmtId="166" fontId="51" fillId="0" borderId="0" xfId="3" applyNumberFormat="1" applyFont="1" applyAlignment="1">
      <alignment horizontal="left" vertical="center"/>
    </xf>
    <xf numFmtId="0" fontId="55" fillId="0" borderId="0" xfId="3" applyFont="1" applyAlignment="1">
      <alignment horizontal="left" vertical="center"/>
    </xf>
    <xf numFmtId="41" fontId="59" fillId="0" borderId="1" xfId="3" applyNumberFormat="1" applyFont="1" applyBorder="1" applyAlignment="1">
      <alignment horizontal="center"/>
    </xf>
    <xf numFmtId="0" fontId="47" fillId="0" borderId="0" xfId="3" applyFont="1" applyAlignment="1">
      <alignment horizontal="left" vertical="center"/>
    </xf>
    <xf numFmtId="0" fontId="40" fillId="0" borderId="1" xfId="3" applyFont="1" applyBorder="1" applyAlignment="1">
      <alignment horizontal="center" vertical="center"/>
    </xf>
    <xf numFmtId="0" fontId="40" fillId="0" borderId="9" xfId="3" applyFont="1" applyBorder="1" applyAlignment="1">
      <alignment horizontal="center" vertical="center"/>
    </xf>
    <xf numFmtId="0" fontId="140" fillId="0" borderId="3" xfId="3" applyFont="1" applyBorder="1" applyAlignment="1">
      <alignment horizontal="right" vertical="center"/>
    </xf>
    <xf numFmtId="166" fontId="33" fillId="0" borderId="0" xfId="3" applyNumberFormat="1" applyFont="1" applyAlignment="1">
      <alignment horizontal="left" vertical="center"/>
    </xf>
    <xf numFmtId="0" fontId="58" fillId="0" borderId="0" xfId="3" applyFont="1" applyAlignment="1">
      <alignment horizontal="left" vertical="center"/>
    </xf>
    <xf numFmtId="0" fontId="40" fillId="0" borderId="0" xfId="3" applyFont="1" applyAlignment="1">
      <alignment horizontal="center" vertical="center"/>
    </xf>
    <xf numFmtId="0" fontId="68" fillId="0" borderId="3" xfId="3" applyFont="1" applyBorder="1" applyAlignment="1">
      <alignment horizontal="right" vertical="center"/>
    </xf>
    <xf numFmtId="0" fontId="58" fillId="0" borderId="0" xfId="3" applyFont="1" applyAlignment="1">
      <alignment horizontal="left" vertical="justify" wrapText="1"/>
    </xf>
    <xf numFmtId="166" fontId="40" fillId="0" borderId="0" xfId="3" applyNumberFormat="1" applyFont="1" applyAlignment="1">
      <alignment horizontal="left" vertical="center"/>
    </xf>
    <xf numFmtId="0" fontId="58" fillId="0" borderId="0" xfId="3" applyFont="1" applyAlignment="1">
      <alignment horizontal="justify" vertical="justify"/>
    </xf>
    <xf numFmtId="0" fontId="58" fillId="0" borderId="0" xfId="3" applyFont="1" applyAlignment="1">
      <alignment horizontal="justify" vertical="justify" wrapText="1"/>
    </xf>
    <xf numFmtId="0" fontId="58" fillId="0" borderId="0" xfId="3" applyFont="1" applyAlignment="1">
      <alignment horizontal="left" wrapText="1"/>
    </xf>
    <xf numFmtId="0" fontId="58" fillId="0" borderId="0" xfId="3" applyFont="1" applyAlignment="1">
      <alignment horizontal="left" vertical="justify"/>
    </xf>
    <xf numFmtId="0" fontId="40" fillId="0" borderId="1" xfId="0" applyFont="1" applyBorder="1" applyAlignment="1">
      <alignment horizontal="center" vertical="center"/>
    </xf>
    <xf numFmtId="0" fontId="58" fillId="0" borderId="0" xfId="3" applyFont="1" applyAlignment="1">
      <alignment horizontal="left" vertical="center" wrapText="1"/>
    </xf>
    <xf numFmtId="0" fontId="40" fillId="0" borderId="1" xfId="3" applyFont="1" applyBorder="1" applyAlignment="1" applyProtection="1">
      <alignment horizontal="center" vertical="center"/>
      <protection locked="0"/>
    </xf>
    <xf numFmtId="0" fontId="40" fillId="0" borderId="0" xfId="3" applyFont="1" applyAlignment="1" applyProtection="1">
      <alignment horizontal="center" vertical="center"/>
      <protection locked="0"/>
    </xf>
    <xf numFmtId="0" fontId="59" fillId="0" borderId="0" xfId="3" applyFont="1" applyAlignment="1" applyProtection="1">
      <alignment horizontal="center" vertical="center"/>
      <protection locked="0"/>
    </xf>
    <xf numFmtId="0" fontId="68" fillId="0" borderId="0" xfId="3" applyFont="1" applyAlignment="1">
      <alignment horizontal="right" vertical="center"/>
    </xf>
    <xf numFmtId="0" fontId="156" fillId="0" borderId="0" xfId="3" applyFont="1" applyAlignment="1" applyProtection="1">
      <alignment horizontal="left" vertical="top" wrapText="1"/>
      <protection locked="0"/>
    </xf>
    <xf numFmtId="41" fontId="40" fillId="0" borderId="0" xfId="3" applyNumberFormat="1" applyFont="1" applyAlignment="1">
      <alignment horizontal="center" vertical="center"/>
    </xf>
    <xf numFmtId="0" fontId="62" fillId="0" borderId="0" xfId="3" applyFont="1" applyAlignment="1">
      <alignment horizontal="left" vertical="top"/>
    </xf>
    <xf numFmtId="0" fontId="40" fillId="0" borderId="0" xfId="3" applyFont="1" applyAlignment="1">
      <alignment horizontal="left" vertical="top"/>
    </xf>
    <xf numFmtId="0" fontId="40" fillId="0" borderId="0" xfId="0" applyFont="1" applyAlignment="1">
      <alignment horizontal="center" vertical="center"/>
    </xf>
    <xf numFmtId="0" fontId="59" fillId="0" borderId="0" xfId="3" applyFont="1" applyAlignment="1">
      <alignment horizontal="left" vertical="center"/>
    </xf>
    <xf numFmtId="0" fontId="68" fillId="0" borderId="3" xfId="3" applyFont="1" applyBorder="1" applyAlignment="1">
      <alignment horizontal="left" vertical="center"/>
    </xf>
    <xf numFmtId="0" fontId="40" fillId="0" borderId="0" xfId="3" applyFont="1" applyAlignment="1">
      <alignment horizontal="left" vertical="center"/>
    </xf>
    <xf numFmtId="0" fontId="58" fillId="0" borderId="0" xfId="0" applyFont="1" applyAlignment="1">
      <alignment vertical="justify"/>
    </xf>
    <xf numFmtId="0" fontId="0" fillId="0" borderId="0" xfId="0"/>
    <xf numFmtId="0" fontId="59" fillId="0" borderId="1" xfId="0" applyFont="1" applyBorder="1" applyAlignment="1">
      <alignment horizontal="center" vertical="center"/>
    </xf>
    <xf numFmtId="0" fontId="59" fillId="0" borderId="0" xfId="0" applyFont="1" applyAlignment="1">
      <alignment horizontal="center" vertical="center"/>
    </xf>
    <xf numFmtId="0" fontId="107" fillId="0" borderId="3" xfId="3" applyFont="1" applyBorder="1" applyAlignment="1">
      <alignment horizontal="right" vertical="center"/>
    </xf>
    <xf numFmtId="0" fontId="58" fillId="0" borderId="0" xfId="0" applyFont="1" applyAlignment="1">
      <alignment horizontal="left" vertical="justify"/>
    </xf>
    <xf numFmtId="1" fontId="40" fillId="0" borderId="0" xfId="0" applyNumberFormat="1" applyFont="1" applyAlignment="1">
      <alignment horizontal="right" vertical="center"/>
    </xf>
    <xf numFmtId="1" fontId="40" fillId="0" borderId="0" xfId="0" applyNumberFormat="1" applyFont="1" applyAlignment="1">
      <alignment horizontal="center" vertical="center"/>
    </xf>
    <xf numFmtId="37" fontId="40" fillId="0" borderId="0" xfId="0" applyNumberFormat="1" applyFont="1" applyAlignment="1">
      <alignment horizontal="center" vertical="center"/>
    </xf>
    <xf numFmtId="0" fontId="58" fillId="0" borderId="0" xfId="0" applyFont="1" applyAlignment="1">
      <alignment horizontal="center" vertical="center"/>
    </xf>
    <xf numFmtId="0" fontId="131" fillId="0" borderId="0" xfId="0" applyFont="1" applyAlignment="1">
      <alignment horizontal="center" vertical="center"/>
    </xf>
    <xf numFmtId="37" fontId="40" fillId="0" borderId="1" xfId="0" applyNumberFormat="1" applyFont="1" applyBorder="1" applyAlignment="1">
      <alignment horizontal="center" vertical="center"/>
    </xf>
    <xf numFmtId="37" fontId="40" fillId="0" borderId="1" xfId="0" applyNumberFormat="1" applyFont="1" applyBorder="1" applyAlignment="1">
      <alignment horizontal="center" vertical="top"/>
    </xf>
    <xf numFmtId="0" fontId="58" fillId="0" borderId="0" xfId="0" applyFont="1" applyAlignment="1">
      <alignment horizontal="justify" vertical="top"/>
    </xf>
    <xf numFmtId="0" fontId="58" fillId="0" borderId="0" xfId="0" applyFont="1" applyAlignment="1">
      <alignment horizontal="justify" vertical="justify" wrapText="1"/>
    </xf>
    <xf numFmtId="0" fontId="117" fillId="0" borderId="0" xfId="0" applyFont="1" applyAlignment="1">
      <alignment horizontal="justify" vertical="justify" wrapText="1"/>
    </xf>
    <xf numFmtId="0" fontId="58" fillId="0" borderId="0" xfId="0" applyFont="1" applyAlignment="1">
      <alignment horizontal="left" vertical="top" wrapText="1"/>
    </xf>
    <xf numFmtId="0" fontId="33" fillId="0" borderId="0" xfId="0" applyFont="1" applyAlignment="1">
      <alignment horizontal="center" vertical="center"/>
    </xf>
    <xf numFmtId="0" fontId="33" fillId="0" borderId="1" xfId="0" applyFont="1" applyBorder="1" applyAlignment="1">
      <alignment horizontal="center" vertical="center"/>
    </xf>
    <xf numFmtId="38" fontId="19" fillId="0" borderId="1" xfId="0" applyNumberFormat="1" applyFont="1" applyBorder="1" applyAlignment="1">
      <alignment horizontal="center" vertical="center"/>
    </xf>
    <xf numFmtId="38" fontId="19" fillId="0" borderId="0" xfId="0" applyNumberFormat="1" applyFont="1" applyAlignment="1">
      <alignment horizontal="center" vertical="center"/>
    </xf>
    <xf numFmtId="14" fontId="19" fillId="0" borderId="1" xfId="0" quotePrefix="1" applyNumberFormat="1" applyFont="1" applyBorder="1" applyAlignment="1">
      <alignment horizontal="center" vertical="center"/>
    </xf>
    <xf numFmtId="0" fontId="19" fillId="0" borderId="1" xfId="0" applyFont="1" applyBorder="1" applyAlignment="1">
      <alignment horizontal="center" vertical="center"/>
    </xf>
    <xf numFmtId="38" fontId="19" fillId="0" borderId="1" xfId="0" quotePrefix="1" applyNumberFormat="1" applyFont="1" applyBorder="1" applyAlignment="1">
      <alignment horizontal="center" vertical="center"/>
    </xf>
    <xf numFmtId="0" fontId="19" fillId="0" borderId="0" xfId="0" applyFont="1" applyAlignment="1">
      <alignment horizontal="center" vertical="center"/>
    </xf>
    <xf numFmtId="0" fontId="30" fillId="0" borderId="3" xfId="3" applyFont="1" applyBorder="1" applyAlignment="1">
      <alignment horizontal="left" vertical="center"/>
    </xf>
    <xf numFmtId="166" fontId="28" fillId="0" borderId="0" xfId="3" applyNumberFormat="1" applyFont="1" applyAlignment="1">
      <alignment horizontal="left" vertical="center"/>
    </xf>
    <xf numFmtId="166" fontId="32" fillId="0" borderId="0" xfId="3" applyNumberFormat="1" applyFont="1" applyAlignment="1">
      <alignment horizontal="left" vertical="center"/>
    </xf>
    <xf numFmtId="0" fontId="21" fillId="0" borderId="0" xfId="3" applyFont="1" applyAlignment="1">
      <alignment horizontal="left" vertical="center"/>
    </xf>
    <xf numFmtId="0" fontId="26" fillId="0" borderId="3" xfId="3" applyFont="1" applyBorder="1" applyAlignment="1">
      <alignment horizontal="left" vertical="center"/>
    </xf>
    <xf numFmtId="0" fontId="14" fillId="0" borderId="3" xfId="3" applyFont="1" applyBorder="1" applyAlignment="1">
      <alignment horizontal="right" vertical="center"/>
    </xf>
    <xf numFmtId="166" fontId="11" fillId="0" borderId="0" xfId="3" applyNumberFormat="1" applyFont="1" applyAlignment="1">
      <alignment horizontal="left" vertical="center"/>
    </xf>
  </cellXfs>
  <cellStyles count="47">
    <cellStyle name="Comma" xfId="1" builtinId="3"/>
    <cellStyle name="Comma 10" xfId="12" xr:uid="{00000000-0005-0000-0000-000001000000}"/>
    <cellStyle name="Comma 10 2" xfId="16" xr:uid="{00000000-0005-0000-0000-000002000000}"/>
    <cellStyle name="Comma 2" xfId="10" xr:uid="{00000000-0005-0000-0000-000003000000}"/>
    <cellStyle name="Comma 3" xfId="18" xr:uid="{00000000-0005-0000-0000-000004000000}"/>
    <cellStyle name="Comma 3 2" xfId="24" xr:uid="{00000000-0005-0000-0000-000005000000}"/>
    <cellStyle name="Comma 3 2 2" xfId="38" xr:uid="{546FF398-1375-4049-B9BA-A8ABC145A763}"/>
    <cellStyle name="Comma 3 3" xfId="28" xr:uid="{00000000-0005-0000-0000-000006000000}"/>
    <cellStyle name="Comma 3 3 2" xfId="37" xr:uid="{E66E353F-9479-4844-A7DA-CCE0F0C1380A}"/>
    <cellStyle name="Comma 3 3 3" xfId="46" xr:uid="{25939A6F-629A-4DB3-B305-E682F2844F46}"/>
    <cellStyle name="Comma 3 4" xfId="32" xr:uid="{D9ABE102-4247-4D8D-A023-2DCEF462C3A9}"/>
    <cellStyle name="Comma 3 5" xfId="36" xr:uid="{DE8B374C-F74B-4D25-B5B2-B48F853D31C0}"/>
    <cellStyle name="Comma 3 6" xfId="44" xr:uid="{C39A11EA-040B-47A9-B912-E09A0647C4DA}"/>
    <cellStyle name="Comma 37" xfId="5" xr:uid="{00000000-0005-0000-0000-000007000000}"/>
    <cellStyle name="Comma 37 2" xfId="13" xr:uid="{00000000-0005-0000-0000-000008000000}"/>
    <cellStyle name="Comma 37 2 2" xfId="15" xr:uid="{00000000-0005-0000-0000-000009000000}"/>
    <cellStyle name="Comma 38 2" xfId="14" xr:uid="{00000000-0005-0000-0000-00000A000000}"/>
    <cellStyle name="Comma 4" xfId="22" xr:uid="{00000000-0005-0000-0000-00000B000000}"/>
    <cellStyle name="Comma 5" xfId="26" xr:uid="{00000000-0005-0000-0000-00000C000000}"/>
    <cellStyle name="Comma 6" xfId="34" xr:uid="{914AD398-E4C4-42B0-B392-9E650FBF8E54}"/>
    <cellStyle name="Comma 7" xfId="40" xr:uid="{7572CBF8-1BC2-42EA-9F08-0864BBBC8FE2}"/>
    <cellStyle name="Comma 8" xfId="43" xr:uid="{A8DA902C-9A58-4F36-9F3C-6E1A78CFEE11}"/>
    <cellStyle name="Currency" xfId="2" builtinId="4"/>
    <cellStyle name="Currency 2" xfId="19" xr:uid="{00000000-0005-0000-0000-00000E000000}"/>
    <cellStyle name="Currency 3" xfId="23" xr:uid="{00000000-0005-0000-0000-00000F000000}"/>
    <cellStyle name="Currency 4" xfId="27" xr:uid="{00000000-0005-0000-0000-000010000000}"/>
    <cellStyle name="Currency 5" xfId="31" xr:uid="{93D59DB2-4939-4685-9E26-BC06C97431B8}"/>
    <cellStyle name="Currency 6" xfId="35" xr:uid="{6D06038A-BA89-42EA-8D6D-E992E5F98681}"/>
    <cellStyle name="Currency 7" xfId="41" xr:uid="{7062C26F-DB1F-4FED-BCFA-8E97240701CD}"/>
    <cellStyle name="Currency 8" xfId="45" xr:uid="{6C242098-1961-4541-B60B-B55142CA305C}"/>
    <cellStyle name="Normal" xfId="0" builtinId="0"/>
    <cellStyle name="Normal 10" xfId="42" xr:uid="{D7BA009C-D566-46FA-A28C-60531BE6FD86}"/>
    <cellStyle name="Normal 131" xfId="6" xr:uid="{00000000-0005-0000-0000-000012000000}"/>
    <cellStyle name="Normal 2" xfId="7" xr:uid="{00000000-0005-0000-0000-000013000000}"/>
    <cellStyle name="Normal 2 2 2 2 2" xfId="11" xr:uid="{00000000-0005-0000-0000-000014000000}"/>
    <cellStyle name="Normal 3" xfId="20" xr:uid="{00000000-0005-0000-0000-000015000000}"/>
    <cellStyle name="Normal 4" xfId="17" xr:uid="{00000000-0005-0000-0000-000016000000}"/>
    <cellStyle name="Normal 5" xfId="21" xr:uid="{00000000-0005-0000-0000-000017000000}"/>
    <cellStyle name="Normal 6" xfId="25" xr:uid="{00000000-0005-0000-0000-000018000000}"/>
    <cellStyle name="Normal 7" xfId="30" xr:uid="{87A9B491-5202-41A2-9702-31619932F90F}"/>
    <cellStyle name="Normal 8" xfId="33" xr:uid="{B8EFC157-E6F9-4090-9803-1E9197F08B12}"/>
    <cellStyle name="Normal 9" xfId="39" xr:uid="{1276DDED-0549-42A7-8AC7-34BF3F54F0BB}"/>
    <cellStyle name="Normal_Changes Assets_Liabilities (69)" xfId="29" xr:uid="{5D712EC2-5CD6-4179-A9A9-A03B644CF024}"/>
    <cellStyle name="Normal_ELIMINATION JE 02-Dec 2002" xfId="8" xr:uid="{00000000-0005-0000-0000-000019000000}"/>
    <cellStyle name="Normal_FY 2012 ITSD CAFR" xfId="9" xr:uid="{00000000-0005-0000-0000-00001A000000}"/>
    <cellStyle name="Normal_MockCAFR 2001 final" xfId="3" xr:uid="{00000000-0005-0000-0000-00001B000000}"/>
    <cellStyle name="Percent" xfId="4" builtinId="5"/>
  </cellStyles>
  <dxfs count="0"/>
  <tableStyles count="0" defaultTableStyle="TableStyleMedium9" defaultPivotStyle="PivotStyleLight16"/>
  <colors>
    <mruColors>
      <color rgb="FF0000FF"/>
      <color rgb="FFFF00FF"/>
      <color rgb="FF0218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4.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b05586\AppData\Local\Microsoft\Windows\INetCache\Content.Outlook\Y8A13WGG\FY%202024%20ACFR%20P13%20-%20SA.xlsx" TargetMode="External"/><Relationship Id="rId1" Type="http://schemas.openxmlformats.org/officeDocument/2006/relationships/externalLinkPath" Target="file:///C:\Users\ab05586\AppData\Local\Microsoft\Windows\INetCache\Content.Outlook\Y8A13WGG\FY%202024%20ACFR%20P13%20-%20S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20Accounting%20Division/FY%202016/Financial%20Reporting/CAFR/CAFR%20Drafts/Period%2013/Financials%20for%20Input/FY%202016%20CAFR%20Period%2013%20Gov%20fund%20%20Augustine%20Fannah.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b05586\AppData\Local\Microsoft\Windows\INetCache\Content.Outlook\Y8A13WGG\Gov't%20Fund%20%20ACFR%20Template%20P13%20-%20David.xlsx" TargetMode="External"/><Relationship Id="rId1" Type="http://schemas.openxmlformats.org/officeDocument/2006/relationships/externalLinkPath" Target="file:///C:\Users\ab05586\AppData\Local\Microsoft\Windows\INetCache\Content.Outlook\Y8A13WGG\Gov't%20Fund%20%20ACFR%20Template%20P13%20-%20David.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K:\.00%20Accounting%20Division\FY%202021\Financial%20Reporting\CAFR\ACFR%20Drafts\Period%2015\FY%202021%20ACFR%20Final.xlsx" TargetMode="External"/><Relationship Id="rId1" Type="http://schemas.openxmlformats.org/officeDocument/2006/relationships/externalLinkPath" Target="/.00%20Accounting%20Division/FY%202021/Financial%20Reporting/CAFR/ACFR%20Drafts/Period%2015/FY%202021%20ACFR%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2"/>
      <sheetName val="ISF Allocation"/>
      <sheetName val="Cash&amp; Invest"/>
      <sheetName val="Analysis of Net Position"/>
      <sheetName val="Major Fund Calc"/>
      <sheetName val="SONPws"/>
      <sheetName val="SOAws"/>
      <sheetName val="BSGFws"/>
      <sheetName val="recon-SONPws"/>
      <sheetName val="SORECGFws"/>
      <sheetName val="recon-SOAws"/>
      <sheetName val="SONP"/>
      <sheetName val="SOActivities"/>
      <sheetName val="BSGF-major"/>
      <sheetName val="reconSONP"/>
      <sheetName val="SORECGF-major"/>
      <sheetName val="reconSOA"/>
      <sheetName val="SONPPF"/>
      <sheetName val="SORECPF"/>
      <sheetName val="SOCFPF"/>
      <sheetName val="SONPFF"/>
      <sheetName val="SOCFNAFF"/>
      <sheetName val="SONPCU"/>
      <sheetName val="SOACU"/>
      <sheetName val="Nonmajor BS"/>
      <sheetName val="Nonmajor SOREC"/>
      <sheetName val="SR Tie BS"/>
      <sheetName val="SR Tie SOREC"/>
      <sheetName val="Grants BS"/>
      <sheetName val="Grants SOREC"/>
      <sheetName val="Special BS"/>
      <sheetName val="Special SOREC"/>
      <sheetName val="Blended BS"/>
      <sheetName val="Blended SOREC"/>
      <sheetName val="Cap Tie BS"/>
      <sheetName val="Cap Tie SOREC"/>
      <sheetName val="GO BS"/>
      <sheetName val="GO SOREC"/>
      <sheetName val="CO BS"/>
      <sheetName val="CO SOREC"/>
      <sheetName val="Capital BS"/>
      <sheetName val="Capital SOREC"/>
      <sheetName val="BS Perm"/>
      <sheetName val="SORECGF Perm"/>
      <sheetName val="Nonmajor Ent BS"/>
      <sheetName val="Nonmajor Ent SOREC"/>
      <sheetName val="Nonmajor Ent CF"/>
      <sheetName val="ISF-SONP"/>
      <sheetName val="ISF-SOREC"/>
      <sheetName val="ISF-CASH FLOW"/>
      <sheetName val="SONPFF PensionHealth"/>
      <sheetName val="SOCFNAFF PensionHealth"/>
      <sheetName val="SONPCustodial"/>
      <sheetName val="SOCFNAFFCust"/>
      <sheetName val="Combining SONPCU"/>
      <sheetName val="Combining SOACU"/>
      <sheetName val="Stat Net Pos by Component"/>
      <sheetName val="Stat Changes in Net Pos"/>
      <sheetName val="Stat Fund Balances"/>
      <sheetName val="Stat Changes in Fund Bal"/>
      <sheetName val="Stat Tax Rev by Source"/>
      <sheetName val="MD&amp;A"/>
      <sheetName val="BS-agency "/>
      <sheetName val="Changes Assets-agency"/>
      <sheetName val="XCombining Operating Stmt (62M)"/>
      <sheetName val="XCombining BS Liability(62Mem)"/>
      <sheetName val="XCombining BS Assets (62-Memor)"/>
      <sheetName val="x-SONAFF PrivatePurpose"/>
      <sheetName val="x-Changes PrivatePurp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1">
          <cell r="D61">
            <v>18160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E14">
            <v>152526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jor Fund Calc"/>
      <sheetName val="ISF Allocation"/>
      <sheetName val="Analysis of Net Position"/>
      <sheetName val="SONPws"/>
      <sheetName val="SOAws"/>
      <sheetName val="BSGFws"/>
      <sheetName val="recon-SONPws"/>
      <sheetName val="SORECGFws"/>
      <sheetName val="recon-SOAws"/>
      <sheetName val="SONP"/>
      <sheetName val="SOActivities"/>
      <sheetName val="BSGF-major"/>
      <sheetName val="reconSONP"/>
      <sheetName val="SORECGF-major"/>
      <sheetName val="reconSOA"/>
      <sheetName val="SONPPF"/>
      <sheetName val="SORECPF"/>
      <sheetName val="SOCFPF"/>
      <sheetName val="SONPFF"/>
      <sheetName val="SOCFNAFF"/>
      <sheetName val="SONPCU"/>
      <sheetName val="SOACU"/>
      <sheetName val="Nonmajor BS"/>
      <sheetName val="Nonmajor SOREC"/>
      <sheetName val="SR Tie BS"/>
      <sheetName val="SR Tie SOREC"/>
      <sheetName val="Grants BS"/>
      <sheetName val="Grants SOREC"/>
      <sheetName val="Special BS"/>
      <sheetName val="Special SOREC"/>
      <sheetName val="Blended BS"/>
      <sheetName val="Blended SOREC"/>
      <sheetName val="Cap Tie BS"/>
      <sheetName val="Cap Tie SOREC"/>
      <sheetName val="GO BS"/>
      <sheetName val="GO SOREC"/>
      <sheetName val="CO BS"/>
      <sheetName val="CO SOREC"/>
      <sheetName val="Capital BS"/>
      <sheetName val="Capital SOREC"/>
      <sheetName val="BS Perm"/>
      <sheetName val="SORECGF Perm"/>
      <sheetName val="Nonmajor Ent BS"/>
      <sheetName val="Nonmajor Ent SOREC"/>
      <sheetName val="Nonmajor Ent CF"/>
      <sheetName val="ISF-SONP"/>
      <sheetName val="ISF-SOREC"/>
      <sheetName val="ISF-CASH FLOW"/>
      <sheetName val="SONPFF PensionHealth"/>
      <sheetName val="SOCFNAFF PensionHealth"/>
      <sheetName val="BS-agency "/>
      <sheetName val="Changes Assets-agency"/>
      <sheetName val="Combining SONPCU"/>
      <sheetName val="Combining SOACU"/>
      <sheetName val="Stat Net Pos by Component"/>
      <sheetName val="Stat Changes in Net Pos"/>
      <sheetName val="Stat Changes in Fund Bal"/>
      <sheetName val="Stat Fund Balances"/>
      <sheetName val="Stat Tax Rev by Source"/>
      <sheetName val="MD&amp;A"/>
      <sheetName val="XCombining Operating Stmt (62M)"/>
      <sheetName val="XCombining BS Liability(62Mem)"/>
      <sheetName val="XCombining BS Assets (62-Memor)"/>
      <sheetName val="x-SONAFF PrivatePurpose"/>
      <sheetName val="x-Changes PrivatePurpose"/>
    </sheetNames>
    <sheetDataSet>
      <sheetData sheetId="0"/>
      <sheetData sheetId="1"/>
      <sheetData sheetId="2"/>
      <sheetData sheetId="3">
        <row r="65">
          <cell r="W6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2"/>
      <sheetName val="ISF Allocation"/>
      <sheetName val="Cash&amp; Invest"/>
      <sheetName val="Analysis of Net Position"/>
      <sheetName val="Major Fund Calc"/>
      <sheetName val="SONPws"/>
      <sheetName val="SOAws"/>
      <sheetName val="BSGFws"/>
      <sheetName val="recon-SONPws"/>
      <sheetName val="SORECGFws"/>
      <sheetName val="recon-SOAws"/>
      <sheetName val="SONP"/>
      <sheetName val="SOActivities"/>
      <sheetName val="BSGF-major"/>
      <sheetName val="reconSONP"/>
      <sheetName val="SORECGF-major"/>
      <sheetName val="reconSOA"/>
      <sheetName val="SONPPF"/>
      <sheetName val="SORECPF"/>
      <sheetName val="SOCFPF"/>
      <sheetName val="SONPFF"/>
      <sheetName val="SOCFNAFF"/>
      <sheetName val="SONPCU"/>
      <sheetName val="SOACU"/>
      <sheetName val="Nonmajor BS"/>
      <sheetName val="Nonmajor SOREC"/>
      <sheetName val="SR Tie BS"/>
      <sheetName val="SR Tie SOREC"/>
      <sheetName val="Grants BS"/>
      <sheetName val="Grants SOREC"/>
      <sheetName val="Special BS"/>
      <sheetName val="Special SOREC"/>
      <sheetName val="Blended BS"/>
      <sheetName val="Blended SOREC"/>
      <sheetName val="Cap Tie BS"/>
      <sheetName val="Cap Tie SOREC"/>
      <sheetName val="GO BS"/>
      <sheetName val="GO SOREC"/>
      <sheetName val="CO BS"/>
      <sheetName val="CO SOREC"/>
      <sheetName val="Capital BS"/>
      <sheetName val="Capital SOREC"/>
      <sheetName val="BS Perm"/>
      <sheetName val="SORECGF Perm"/>
      <sheetName val="Nonmajor Ent BS"/>
      <sheetName val="Nonmajor Ent SOREC"/>
      <sheetName val="Nonmajor Ent CF"/>
      <sheetName val="ISF-SONP"/>
      <sheetName val="ISF-SOREC"/>
      <sheetName val="ISF-CASH FLOW"/>
      <sheetName val="SONPFF PensionHealth"/>
      <sheetName val="SOCFNAFF PensionHealth"/>
      <sheetName val="SONPCustodial"/>
      <sheetName val="SOCFNAFFCust"/>
      <sheetName val="Combining SONPCU"/>
      <sheetName val="Combining SOACU"/>
      <sheetName val="Stat Net Pos by Component"/>
      <sheetName val="Stat Changes in Net Pos"/>
      <sheetName val="Stat Fund Balances"/>
      <sheetName val="Stat Changes in Fund Bal"/>
      <sheetName val="Stat Tax Rev by Source"/>
      <sheetName val="MD&amp;A"/>
      <sheetName val="BS-agency "/>
      <sheetName val="Changes Assets-agency"/>
      <sheetName val="XCombining Operating Stmt (62M)"/>
      <sheetName val="XCombining BS Liability(62Mem)"/>
      <sheetName val="XCombining BS Assets (62-Memor)"/>
      <sheetName val="x-SONAFF PrivatePurpose"/>
      <sheetName val="x-Changes PrivatePurpose"/>
    </sheetNames>
    <sheetDataSet>
      <sheetData sheetId="0" refreshError="1"/>
      <sheetData sheetId="1" refreshError="1"/>
      <sheetData sheetId="2" refreshError="1"/>
      <sheetData sheetId="3" refreshError="1"/>
      <sheetData sheetId="4" refreshError="1"/>
      <sheetData sheetId="5">
        <row r="17">
          <cell r="E17">
            <v>80038</v>
          </cell>
        </row>
        <row r="61">
          <cell r="F61">
            <v>11</v>
          </cell>
        </row>
      </sheetData>
      <sheetData sheetId="6">
        <row r="18">
          <cell r="E18">
            <v>25</v>
          </cell>
        </row>
        <row r="81">
          <cell r="E81">
            <v>61</v>
          </cell>
          <cell r="F81">
            <v>-120</v>
          </cell>
          <cell r="G81">
            <v>1237</v>
          </cell>
          <cell r="H81">
            <v>211</v>
          </cell>
          <cell r="I81">
            <v>878</v>
          </cell>
        </row>
      </sheetData>
      <sheetData sheetId="7">
        <row r="3">
          <cell r="E3">
            <v>0</v>
          </cell>
        </row>
      </sheetData>
      <sheetData sheetId="8"/>
      <sheetData sheetId="9">
        <row r="19">
          <cell r="E19">
            <v>16278</v>
          </cell>
        </row>
      </sheetData>
      <sheetData sheetId="10">
        <row r="3">
          <cell r="E3">
            <v>18487</v>
          </cell>
        </row>
        <row r="45">
          <cell r="E45">
            <v>61</v>
          </cell>
          <cell r="F45">
            <v>-120</v>
          </cell>
          <cell r="G45">
            <v>1237</v>
          </cell>
          <cell r="H45">
            <v>211</v>
          </cell>
          <cell r="I45">
            <v>878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5">
          <cell r="C25">
            <v>49903</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jor Fund Calc"/>
      <sheetName val="Sheet2"/>
      <sheetName val="ISF Allocation"/>
      <sheetName val="Cash&amp; Invest"/>
      <sheetName val="Analysis of Net Position"/>
      <sheetName val="SONPws"/>
      <sheetName val="SOAws"/>
      <sheetName val="BSGFws"/>
      <sheetName val="recon-SONPws"/>
      <sheetName val="SORECGFws"/>
      <sheetName val="recon-SOAws"/>
      <sheetName val="SONP"/>
      <sheetName val="SOActivities"/>
      <sheetName val="BSGF-major"/>
      <sheetName val="reconSONP"/>
      <sheetName val="SORECGF-major"/>
      <sheetName val="reconSOA"/>
      <sheetName val="SONPPF"/>
      <sheetName val="SORECPF"/>
      <sheetName val="SOCFPF"/>
      <sheetName val="SONPFF"/>
      <sheetName val="SOCFNAFF"/>
      <sheetName val="SONPCU"/>
      <sheetName val="SOACU"/>
      <sheetName val="Nonmajor BS"/>
      <sheetName val="Nonmajor SOREC"/>
      <sheetName val="SR Tie BS"/>
      <sheetName val="SR Tie SOREC"/>
      <sheetName val="Grants BS"/>
      <sheetName val="Grants SOREC"/>
      <sheetName val="Special BS"/>
      <sheetName val="Special SOREC"/>
      <sheetName val="Blended BS"/>
      <sheetName val="Blended SOREC"/>
      <sheetName val="Cap Tie BS"/>
      <sheetName val="Cap Tie SOREC"/>
      <sheetName val="GO BS"/>
      <sheetName val="GO SOREC"/>
      <sheetName val="CO BS"/>
      <sheetName val="CO SOREC"/>
      <sheetName val="Capital BS"/>
      <sheetName val="Capital SOREC"/>
      <sheetName val="BS Perm"/>
      <sheetName val="SORECGF Perm"/>
      <sheetName val="Nonmajor Ent BS"/>
      <sheetName val="Nonmajor Ent SOREC"/>
      <sheetName val="Nonmajor Ent CF"/>
      <sheetName val="ISF-SONP"/>
      <sheetName val="ISF-SOREC"/>
      <sheetName val="ISF-CASH FLOW"/>
      <sheetName val="SONPFF PensionHealth"/>
      <sheetName val="SOCFNAFF PensionHealth"/>
      <sheetName val="SONPCustodial"/>
      <sheetName val="SOCFNAFFCust"/>
      <sheetName val="Combining SONPCU"/>
      <sheetName val="Combining SOACU"/>
      <sheetName val="Stat Net Pos by Component"/>
      <sheetName val="Stat Changes in Net Pos"/>
      <sheetName val="Stat Fund Balances"/>
      <sheetName val="Stat Changes in Fund Bal"/>
      <sheetName val="Stat Tax Rev by Source"/>
      <sheetName val="MD&amp;A"/>
      <sheetName val="BS-agency "/>
      <sheetName val="Changes Assets-agency"/>
      <sheetName val="XCombining Operating Stmt (62M)"/>
      <sheetName val="XCombining BS Liability(62Mem)"/>
      <sheetName val="XCombining BS Assets (62-Memor)"/>
      <sheetName val="x-SONAFF PrivatePurpose"/>
      <sheetName val="x-Changes PrivatePurpos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7">
          <cell r="K57">
            <v>684784</v>
          </cell>
        </row>
        <row r="58">
          <cell r="K58">
            <v>439381</v>
          </cell>
        </row>
        <row r="59">
          <cell r="K59">
            <v>9083</v>
          </cell>
        </row>
        <row r="60">
          <cell r="K60">
            <v>22211</v>
          </cell>
        </row>
        <row r="61">
          <cell r="K61">
            <v>69520</v>
          </cell>
        </row>
        <row r="62">
          <cell r="K62">
            <v>4581</v>
          </cell>
        </row>
        <row r="63">
          <cell r="K63">
            <v>383127</v>
          </cell>
        </row>
        <row r="64">
          <cell r="K64">
            <v>1897</v>
          </cell>
          <cell r="M64">
            <v>233</v>
          </cell>
        </row>
        <row r="65">
          <cell r="K65">
            <v>117043</v>
          </cell>
          <cell r="M65">
            <v>2183</v>
          </cell>
        </row>
        <row r="66">
          <cell r="K66">
            <v>0</v>
          </cell>
          <cell r="M66"/>
        </row>
        <row r="68">
          <cell r="K68">
            <v>-7908</v>
          </cell>
          <cell r="M68">
            <v>-4630</v>
          </cell>
        </row>
      </sheetData>
      <sheetData sheetId="13">
        <row r="60">
          <cell r="C60">
            <v>7400</v>
          </cell>
        </row>
        <row r="61">
          <cell r="C61">
            <v>0</v>
          </cell>
        </row>
        <row r="62">
          <cell r="C62">
            <v>76165</v>
          </cell>
        </row>
        <row r="63">
          <cell r="C63">
            <v>7</v>
          </cell>
        </row>
        <row r="64">
          <cell r="C64">
            <v>289572</v>
          </cell>
        </row>
      </sheetData>
      <sheetData sheetId="14"/>
      <sheetData sheetId="15">
        <row r="14">
          <cell r="Y14">
            <v>682645</v>
          </cell>
        </row>
        <row r="15">
          <cell r="Y15">
            <v>439381</v>
          </cell>
        </row>
        <row r="16">
          <cell r="Y16">
            <v>9083</v>
          </cell>
        </row>
        <row r="17">
          <cell r="Y17">
            <v>22211</v>
          </cell>
        </row>
        <row r="18">
          <cell r="Y18">
            <v>69520</v>
          </cell>
        </row>
        <row r="19">
          <cell r="Y19">
            <v>4581</v>
          </cell>
        </row>
        <row r="20">
          <cell r="Y20">
            <v>8806</v>
          </cell>
        </row>
        <row r="21">
          <cell r="Y21">
            <v>452002</v>
          </cell>
        </row>
        <row r="22">
          <cell r="Y22">
            <v>383127</v>
          </cell>
        </row>
        <row r="23">
          <cell r="Y23">
            <v>170886</v>
          </cell>
        </row>
        <row r="24">
          <cell r="Y24">
            <v>6256</v>
          </cell>
        </row>
        <row r="25">
          <cell r="Y25">
            <v>76404</v>
          </cell>
        </row>
        <row r="26">
          <cell r="Y26">
            <v>1679</v>
          </cell>
        </row>
        <row r="27">
          <cell r="Y27">
            <v>48169</v>
          </cell>
        </row>
        <row r="33">
          <cell r="Y33">
            <v>97902</v>
          </cell>
        </row>
        <row r="34">
          <cell r="Y34">
            <v>846099</v>
          </cell>
        </row>
        <row r="35">
          <cell r="Y35">
            <v>133909</v>
          </cell>
        </row>
        <row r="36">
          <cell r="Y36">
            <v>103075</v>
          </cell>
        </row>
        <row r="37">
          <cell r="Y37">
            <v>10353</v>
          </cell>
        </row>
        <row r="38">
          <cell r="Y38">
            <v>199523</v>
          </cell>
        </row>
        <row r="39">
          <cell r="Y39">
            <v>176267</v>
          </cell>
        </row>
        <row r="40">
          <cell r="Y40">
            <v>41235</v>
          </cell>
        </row>
        <row r="41">
          <cell r="Y41">
            <v>138847</v>
          </cell>
        </row>
        <row r="42">
          <cell r="Y42">
            <v>70691</v>
          </cell>
        </row>
        <row r="43">
          <cell r="Y43">
            <v>100743</v>
          </cell>
        </row>
        <row r="44">
          <cell r="Y44">
            <v>124</v>
          </cell>
        </row>
        <row r="45">
          <cell r="Y45">
            <v>464797</v>
          </cell>
        </row>
        <row r="47">
          <cell r="Y47">
            <v>191140</v>
          </cell>
        </row>
        <row r="48">
          <cell r="Y48">
            <v>109025</v>
          </cell>
        </row>
        <row r="49">
          <cell r="Y49">
            <v>0</v>
          </cell>
        </row>
        <row r="50">
          <cell r="Y50">
            <v>2000</v>
          </cell>
        </row>
        <row r="58">
          <cell r="Y58">
            <v>335819</v>
          </cell>
        </row>
        <row r="59">
          <cell r="Y59">
            <v>0</v>
          </cell>
        </row>
        <row r="60">
          <cell r="Y60">
            <v>0</v>
          </cell>
        </row>
        <row r="61">
          <cell r="Y61">
            <v>188</v>
          </cell>
        </row>
        <row r="62">
          <cell r="Y62">
            <v>0</v>
          </cell>
        </row>
        <row r="63">
          <cell r="Y63">
            <v>50337</v>
          </cell>
        </row>
        <row r="64">
          <cell r="Y64">
            <v>618673</v>
          </cell>
        </row>
        <row r="65">
          <cell r="Y65">
            <v>-633724</v>
          </cell>
        </row>
      </sheetData>
      <sheetData sheetId="16">
        <row r="18">
          <cell r="D18">
            <v>405490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persons/person.xml><?xml version="1.0" encoding="utf-8"?>
<personList xmlns="http://schemas.microsoft.com/office/spreadsheetml/2018/threadedcomments" xmlns:x="http://schemas.openxmlformats.org/spreadsheetml/2006/main">
  <person displayName="Kimberly Nunez" id="{31856798-45AC-45AA-987C-BCFB3A0355F9}" userId="Kimberly Nunez"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52" dT="2023-03-07T18:05:22.99" personId="{31856798-45AC-45AA-987C-BCFB3A0355F9}" id="{0A0C2614-CC22-408A-AA4A-6121FD75CF47}">
    <text>$599 is tied to ITSD lease interest expense reflected in Other Expenses.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 Id="rId4" Type="http://schemas.microsoft.com/office/2017/10/relationships/threadedComment" Target="../threadedComments/threadedComment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CC7E6-91D0-42C4-AAB3-DA0C28F6C79C}">
  <sheetPr>
    <tabColor theme="9" tint="0.39997558519241921"/>
  </sheetPr>
  <dimension ref="A1"/>
  <sheetViews>
    <sheetView topLeftCell="A16" workbookViewId="0">
      <selection activeCell="W42" sqref="W42"/>
    </sheetView>
  </sheetViews>
  <sheetFormatPr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7" tint="0.39997558519241921"/>
    <pageSetUpPr fitToPage="1"/>
  </sheetPr>
  <dimension ref="A1:BU96"/>
  <sheetViews>
    <sheetView zoomScaleNormal="100" zoomScaleSheetLayoutView="100" workbookViewId="0">
      <pane xSplit="2" ySplit="1" topLeftCell="C41" activePane="bottomRight" state="frozen"/>
      <selection activeCell="BT109" sqref="BT109:BV113"/>
      <selection pane="topRight" activeCell="BT109" sqref="BT109:BV113"/>
      <selection pane="bottomLeft" activeCell="BT109" sqref="BT109:BV113"/>
      <selection pane="bottomRight" activeCell="F23" sqref="F23"/>
    </sheetView>
  </sheetViews>
  <sheetFormatPr defaultColWidth="9.140625" defaultRowHeight="12.75" x14ac:dyDescent="0.2"/>
  <cols>
    <col min="1" max="1" width="40.42578125" style="332" customWidth="1"/>
    <col min="2" max="2" width="17.5703125" style="211" customWidth="1"/>
    <col min="3" max="24" width="13.42578125" style="211" customWidth="1"/>
    <col min="25" max="26" width="13.42578125" style="211" hidden="1" customWidth="1"/>
    <col min="27" max="32" width="13.42578125" style="211" customWidth="1"/>
    <col min="33" max="35" width="13.42578125" style="211" hidden="1" customWidth="1"/>
    <col min="36" max="71" width="13.42578125" style="211" customWidth="1"/>
    <col min="72" max="16384" width="9.140625" style="202"/>
  </cols>
  <sheetData>
    <row r="1" spans="1:73" s="192" customFormat="1" ht="51.75" thickBot="1" x14ac:dyDescent="0.25">
      <c r="A1" s="389" t="s">
        <v>1031</v>
      </c>
      <c r="B1" s="236" t="s">
        <v>141</v>
      </c>
      <c r="C1" s="236" t="s">
        <v>120</v>
      </c>
      <c r="D1" s="237" t="s">
        <v>876</v>
      </c>
      <c r="E1" s="238" t="s">
        <v>1609</v>
      </c>
      <c r="F1" s="238" t="s">
        <v>877</v>
      </c>
      <c r="G1" s="238" t="s">
        <v>879</v>
      </c>
      <c r="H1" s="238" t="s">
        <v>126</v>
      </c>
      <c r="I1" s="238" t="s">
        <v>127</v>
      </c>
      <c r="J1" s="238" t="s">
        <v>880</v>
      </c>
      <c r="K1" s="240" t="s">
        <v>132</v>
      </c>
      <c r="L1" s="240" t="s">
        <v>881</v>
      </c>
      <c r="M1" s="240" t="s">
        <v>125</v>
      </c>
      <c r="N1" s="240" t="s">
        <v>882</v>
      </c>
      <c r="O1" s="240" t="s">
        <v>883</v>
      </c>
      <c r="P1" s="240" t="s">
        <v>885</v>
      </c>
      <c r="Q1" s="240" t="s">
        <v>123</v>
      </c>
      <c r="R1" s="240" t="s">
        <v>1190</v>
      </c>
      <c r="S1" s="240" t="s">
        <v>1501</v>
      </c>
      <c r="T1" s="240" t="s">
        <v>1201</v>
      </c>
      <c r="U1" s="240" t="s">
        <v>1030</v>
      </c>
      <c r="V1" s="552" t="s">
        <v>914</v>
      </c>
      <c r="W1" s="240" t="s">
        <v>858</v>
      </c>
      <c r="X1" s="240" t="s">
        <v>134</v>
      </c>
      <c r="Y1" s="239" t="s">
        <v>905</v>
      </c>
      <c r="Z1" s="239" t="s">
        <v>906</v>
      </c>
      <c r="AA1" s="1209" t="s">
        <v>1323</v>
      </c>
      <c r="AB1" s="1209" t="s">
        <v>1625</v>
      </c>
      <c r="AC1" s="239" t="s">
        <v>1042</v>
      </c>
      <c r="AD1" s="239" t="s">
        <v>1312</v>
      </c>
      <c r="AE1" s="239" t="s">
        <v>1568</v>
      </c>
      <c r="AF1" s="239" t="s">
        <v>908</v>
      </c>
      <c r="AG1" s="1209" t="s">
        <v>1431</v>
      </c>
      <c r="AH1" s="1209" t="s">
        <v>1456</v>
      </c>
      <c r="AI1" s="239" t="s">
        <v>1572</v>
      </c>
      <c r="AJ1" s="1209" t="s">
        <v>1728</v>
      </c>
      <c r="AK1" s="1209" t="s">
        <v>1728</v>
      </c>
      <c r="AL1" s="239" t="s">
        <v>1432</v>
      </c>
      <c r="AM1" s="1209" t="s">
        <v>1457</v>
      </c>
      <c r="AN1" s="1209" t="s">
        <v>1499</v>
      </c>
      <c r="AO1" s="1209" t="s">
        <v>1565</v>
      </c>
      <c r="AP1" s="1209" t="s">
        <v>1619</v>
      </c>
      <c r="AQ1" s="1209" t="s">
        <v>1732</v>
      </c>
      <c r="AR1" s="239" t="s">
        <v>909</v>
      </c>
      <c r="AS1" s="239" t="s">
        <v>910</v>
      </c>
      <c r="AT1" s="239" t="s">
        <v>165</v>
      </c>
      <c r="AU1" s="239" t="s">
        <v>166</v>
      </c>
      <c r="AV1" s="239" t="s">
        <v>911</v>
      </c>
      <c r="AW1" s="239" t="s">
        <v>912</v>
      </c>
      <c r="AX1" s="239" t="s">
        <v>647</v>
      </c>
      <c r="AY1" s="241" t="s">
        <v>913</v>
      </c>
      <c r="AZ1" s="241" t="s">
        <v>1070</v>
      </c>
      <c r="BA1" s="241" t="s">
        <v>916</v>
      </c>
      <c r="BB1" s="241" t="s">
        <v>917</v>
      </c>
      <c r="BC1" s="241" t="s">
        <v>1412</v>
      </c>
      <c r="BD1" s="385" t="s">
        <v>1687</v>
      </c>
      <c r="BE1" s="385" t="s">
        <v>896</v>
      </c>
      <c r="BF1" s="385" t="s">
        <v>1537</v>
      </c>
      <c r="BG1" s="385" t="s">
        <v>895</v>
      </c>
      <c r="BH1" s="385" t="s">
        <v>1317</v>
      </c>
      <c r="BI1" s="385" t="s">
        <v>898</v>
      </c>
      <c r="BJ1" s="385" t="s">
        <v>1135</v>
      </c>
      <c r="BK1" s="385" t="s">
        <v>904</v>
      </c>
      <c r="BL1" s="386" t="s">
        <v>723</v>
      </c>
      <c r="BM1" s="385" t="s">
        <v>901</v>
      </c>
      <c r="BN1" s="385" t="s">
        <v>1136</v>
      </c>
      <c r="BO1" s="385" t="s">
        <v>902</v>
      </c>
      <c r="BP1" s="385" t="s">
        <v>1098</v>
      </c>
      <c r="BQ1" s="385" t="s">
        <v>1540</v>
      </c>
      <c r="BR1" s="385" t="s">
        <v>1177</v>
      </c>
      <c r="BS1" s="1046" t="s">
        <v>1137</v>
      </c>
      <c r="BT1" s="191"/>
      <c r="BU1" s="191"/>
    </row>
    <row r="3" spans="1:73" x14ac:dyDescent="0.2">
      <c r="A3" s="390" t="s">
        <v>868</v>
      </c>
      <c r="V3" s="1098"/>
    </row>
    <row r="4" spans="1:73" x14ac:dyDescent="0.2">
      <c r="A4" s="391" t="s">
        <v>869</v>
      </c>
      <c r="V4" s="1098"/>
    </row>
    <row r="5" spans="1:73" x14ac:dyDescent="0.2">
      <c r="A5" s="392" t="s">
        <v>829</v>
      </c>
      <c r="B5" s="211">
        <f t="shared" ref="B5:B18" si="0">SUM(C5:BS5)</f>
        <v>805726</v>
      </c>
      <c r="C5" s="928">
        <v>459838</v>
      </c>
      <c r="D5" s="928">
        <v>295141</v>
      </c>
      <c r="E5" s="1098"/>
      <c r="F5" s="1098"/>
      <c r="G5" s="1098"/>
      <c r="H5" s="1098"/>
      <c r="I5" s="1098"/>
      <c r="J5" s="1098"/>
      <c r="N5" s="1098"/>
      <c r="O5" s="928">
        <v>6207</v>
      </c>
      <c r="P5" s="928"/>
      <c r="U5" s="1098"/>
      <c r="V5" s="1098"/>
      <c r="X5" s="928">
        <v>44540</v>
      </c>
      <c r="Y5" s="1097"/>
      <c r="Z5" s="1097"/>
      <c r="AA5" s="1097"/>
      <c r="AB5" s="1097"/>
      <c r="AC5" s="1097"/>
      <c r="AD5" s="1097"/>
      <c r="AE5" s="1097"/>
      <c r="AF5" s="1097"/>
      <c r="AG5" s="1097"/>
      <c r="AH5" s="1097"/>
      <c r="AI5" s="1097"/>
      <c r="AJ5" s="1097"/>
      <c r="AK5" s="1097"/>
      <c r="AL5" s="1097"/>
      <c r="AM5" s="1097"/>
      <c r="AN5" s="1097"/>
      <c r="AO5" s="1097"/>
      <c r="AP5" s="1097"/>
      <c r="AQ5" s="1097"/>
      <c r="AR5" s="1097"/>
      <c r="AS5" s="1097"/>
      <c r="AT5" s="1097"/>
      <c r="AU5" s="1097"/>
      <c r="AV5" s="1097"/>
      <c r="AW5" s="1097"/>
      <c r="AY5" s="196"/>
      <c r="BB5" s="196"/>
      <c r="BC5" s="196"/>
      <c r="BK5" s="1098"/>
      <c r="BL5" s="1098"/>
      <c r="BQ5" s="1098"/>
    </row>
    <row r="6" spans="1:73" x14ac:dyDescent="0.2">
      <c r="A6" s="392" t="s">
        <v>830</v>
      </c>
      <c r="B6" s="211">
        <f t="shared" si="0"/>
        <v>527129</v>
      </c>
      <c r="C6" s="928">
        <v>401918</v>
      </c>
      <c r="D6" s="928"/>
      <c r="E6" s="1098"/>
      <c r="F6" s="1098"/>
      <c r="G6" s="1098"/>
      <c r="H6" s="1098"/>
      <c r="I6" s="1098"/>
      <c r="J6" s="1098"/>
      <c r="K6" s="1097">
        <v>24731</v>
      </c>
      <c r="N6" s="1098"/>
      <c r="O6" s="928"/>
      <c r="P6" s="928"/>
      <c r="R6" s="1097">
        <v>50240</v>
      </c>
      <c r="S6" s="1097">
        <v>50240</v>
      </c>
      <c r="U6" s="1098"/>
      <c r="V6" s="1098"/>
      <c r="X6" s="928"/>
      <c r="Y6" s="1097"/>
      <c r="Z6" s="1097"/>
      <c r="AA6" s="1097"/>
      <c r="AB6" s="1097"/>
      <c r="AC6" s="1097"/>
      <c r="AD6" s="1097"/>
      <c r="AE6" s="1097"/>
      <c r="AF6" s="1097"/>
      <c r="AG6" s="1097"/>
      <c r="AH6" s="1097"/>
      <c r="AI6" s="1097"/>
      <c r="AJ6" s="1097"/>
      <c r="AK6" s="1097"/>
      <c r="AL6" s="1097"/>
      <c r="AM6" s="1097"/>
      <c r="AN6" s="1097"/>
      <c r="AO6" s="1097"/>
      <c r="AP6" s="1097"/>
      <c r="AQ6" s="1097"/>
      <c r="AR6" s="1097"/>
      <c r="AS6" s="1097"/>
      <c r="AT6" s="1097"/>
      <c r="AU6" s="1097"/>
      <c r="AV6" s="1097"/>
      <c r="AW6" s="1097"/>
      <c r="AY6" s="196"/>
      <c r="BB6" s="196"/>
      <c r="BC6" s="196"/>
      <c r="BK6" s="1098"/>
      <c r="BL6" s="1098"/>
      <c r="BQ6" s="1098"/>
    </row>
    <row r="7" spans="1:73" x14ac:dyDescent="0.2">
      <c r="A7" s="392" t="s">
        <v>831</v>
      </c>
      <c r="B7" s="211">
        <f t="shared" si="0"/>
        <v>12425</v>
      </c>
      <c r="C7" s="928">
        <v>12425</v>
      </c>
      <c r="D7" s="928"/>
      <c r="E7" s="1098"/>
      <c r="F7" s="1098"/>
      <c r="G7" s="1098"/>
      <c r="H7" s="1098"/>
      <c r="I7" s="1098"/>
      <c r="J7" s="1098"/>
      <c r="K7" s="1098"/>
      <c r="N7" s="1098"/>
      <c r="O7" s="928"/>
      <c r="P7" s="928"/>
      <c r="R7" s="1097"/>
      <c r="S7" s="1097"/>
      <c r="U7" s="1098"/>
      <c r="V7" s="1098"/>
      <c r="X7" s="928"/>
      <c r="Y7" s="1097"/>
      <c r="Z7" s="1097"/>
      <c r="AA7" s="1097"/>
      <c r="AB7" s="1097"/>
      <c r="AC7" s="1097"/>
      <c r="AD7" s="1097"/>
      <c r="AE7" s="1097"/>
      <c r="AF7" s="1097"/>
      <c r="AG7" s="1097"/>
      <c r="AH7" s="1097"/>
      <c r="AI7" s="1097"/>
      <c r="AJ7" s="1097"/>
      <c r="AK7" s="1097"/>
      <c r="AL7" s="1097"/>
      <c r="AM7" s="1097"/>
      <c r="AN7" s="1097"/>
      <c r="AO7" s="1097"/>
      <c r="AP7" s="1097"/>
      <c r="AQ7" s="1097"/>
      <c r="AR7" s="1097"/>
      <c r="AS7" s="1097"/>
      <c r="AT7" s="1097"/>
      <c r="AU7" s="1097"/>
      <c r="AV7" s="1097"/>
      <c r="AW7" s="1097"/>
      <c r="AY7" s="196"/>
      <c r="BB7" s="196"/>
      <c r="BC7" s="196"/>
      <c r="BK7" s="1098"/>
      <c r="BL7" s="1098"/>
      <c r="BQ7" s="1098"/>
    </row>
    <row r="8" spans="1:73" x14ac:dyDescent="0.2">
      <c r="A8" s="392" t="s">
        <v>827</v>
      </c>
      <c r="B8" s="211">
        <f t="shared" si="0"/>
        <v>17486</v>
      </c>
      <c r="C8" s="928">
        <v>15768</v>
      </c>
      <c r="D8" s="928"/>
      <c r="E8" s="1098"/>
      <c r="F8" s="1098"/>
      <c r="G8" s="1098"/>
      <c r="H8" s="1098"/>
      <c r="I8" s="1098"/>
      <c r="J8" s="1098"/>
      <c r="K8" s="1098"/>
      <c r="N8" s="1098"/>
      <c r="O8" s="928">
        <v>1718</v>
      </c>
      <c r="P8" s="928"/>
      <c r="R8" s="1097"/>
      <c r="S8" s="1097"/>
      <c r="U8" s="1098"/>
      <c r="V8" s="1098"/>
      <c r="X8" s="928"/>
      <c r="Y8" s="1097"/>
      <c r="Z8" s="1097"/>
      <c r="AA8" s="1097"/>
      <c r="AB8" s="1097"/>
      <c r="AC8" s="1097"/>
      <c r="AD8" s="1097"/>
      <c r="AE8" s="1097"/>
      <c r="AF8" s="1097"/>
      <c r="AG8" s="1097"/>
      <c r="AH8" s="1097"/>
      <c r="AI8" s="1097"/>
      <c r="AJ8" s="1097"/>
      <c r="AK8" s="1097"/>
      <c r="AL8" s="1097"/>
      <c r="AM8" s="1097"/>
      <c r="AN8" s="1097"/>
      <c r="AO8" s="1097"/>
      <c r="AP8" s="1097"/>
      <c r="AQ8" s="1097"/>
      <c r="AR8" s="1097"/>
      <c r="AS8" s="1097"/>
      <c r="AT8" s="1097"/>
      <c r="AU8" s="1097"/>
      <c r="AV8" s="1097"/>
      <c r="AW8" s="1097"/>
      <c r="AY8" s="196"/>
      <c r="BB8" s="196"/>
      <c r="BC8" s="196"/>
      <c r="BK8" s="1098"/>
      <c r="BL8" s="1098"/>
      <c r="BQ8" s="1098"/>
    </row>
    <row r="9" spans="1:73" x14ac:dyDescent="0.2">
      <c r="A9" s="392" t="s">
        <v>832</v>
      </c>
      <c r="B9" s="211">
        <f t="shared" si="0"/>
        <v>110048</v>
      </c>
      <c r="C9" s="928"/>
      <c r="D9" s="928"/>
      <c r="E9" s="1098"/>
      <c r="F9" s="1098"/>
      <c r="G9" s="1098"/>
      <c r="H9" s="1098"/>
      <c r="I9" s="1098"/>
      <c r="J9" s="1098"/>
      <c r="K9" s="1098"/>
      <c r="N9" s="1097">
        <v>77249</v>
      </c>
      <c r="O9" s="928">
        <v>10725</v>
      </c>
      <c r="P9" s="928">
        <v>22074</v>
      </c>
      <c r="R9" s="1097"/>
      <c r="S9" s="1097"/>
      <c r="U9" s="1098"/>
      <c r="V9" s="1098"/>
      <c r="X9" s="928"/>
      <c r="Y9" s="1097"/>
      <c r="Z9" s="1097"/>
      <c r="AA9" s="1097"/>
      <c r="AB9" s="1097"/>
      <c r="AC9" s="1097"/>
      <c r="AD9" s="1097"/>
      <c r="AE9" s="1097"/>
      <c r="AF9" s="1097"/>
      <c r="AG9" s="1097"/>
      <c r="AH9" s="1097"/>
      <c r="AI9" s="1097"/>
      <c r="AJ9" s="1097"/>
      <c r="AK9" s="1097"/>
      <c r="AL9" s="1097"/>
      <c r="AM9" s="1097"/>
      <c r="AN9" s="1097"/>
      <c r="AO9" s="1097"/>
      <c r="AP9" s="1097"/>
      <c r="AQ9" s="1097"/>
      <c r="AR9" s="1097"/>
      <c r="AS9" s="1097"/>
      <c r="AT9" s="1097"/>
      <c r="AU9" s="1097"/>
      <c r="AV9" s="1097"/>
      <c r="AW9" s="1097"/>
      <c r="AY9" s="196"/>
      <c r="BB9" s="196"/>
      <c r="BC9" s="196"/>
      <c r="BK9" s="1098"/>
      <c r="BL9" s="1098"/>
      <c r="BQ9" s="1098"/>
    </row>
    <row r="10" spans="1:73" x14ac:dyDescent="0.2">
      <c r="A10" s="392" t="s">
        <v>944</v>
      </c>
      <c r="B10" s="211">
        <f t="shared" si="0"/>
        <v>6682</v>
      </c>
      <c r="C10" s="928">
        <v>3487</v>
      </c>
      <c r="D10" s="928">
        <v>2234</v>
      </c>
      <c r="E10" s="1098"/>
      <c r="F10" s="1098"/>
      <c r="G10" s="1098"/>
      <c r="H10" s="1098"/>
      <c r="I10" s="1098"/>
      <c r="J10" s="1098"/>
      <c r="K10" s="1098"/>
      <c r="N10" s="1097">
        <v>747</v>
      </c>
      <c r="O10" s="928"/>
      <c r="P10" s="928">
        <v>214</v>
      </c>
      <c r="R10" s="1097"/>
      <c r="S10" s="1097"/>
      <c r="U10" s="1098"/>
      <c r="V10" s="1098"/>
      <c r="X10" s="928"/>
      <c r="Y10" s="1097"/>
      <c r="Z10" s="1097"/>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Y10" s="196"/>
      <c r="BB10" s="196"/>
      <c r="BC10" s="196"/>
      <c r="BK10" s="1098"/>
      <c r="BL10" s="1098"/>
      <c r="BQ10" s="1098"/>
    </row>
    <row r="11" spans="1:73" x14ac:dyDescent="0.2">
      <c r="A11" s="391" t="s">
        <v>945</v>
      </c>
      <c r="B11" s="211">
        <f t="shared" si="0"/>
        <v>10047</v>
      </c>
      <c r="C11" s="928">
        <v>10047</v>
      </c>
      <c r="D11" s="928"/>
      <c r="E11" s="1098"/>
      <c r="F11" s="1098"/>
      <c r="G11" s="1098"/>
      <c r="H11" s="1098"/>
      <c r="I11" s="1098"/>
      <c r="J11" s="1098"/>
      <c r="K11" s="1098"/>
      <c r="N11" s="1097"/>
      <c r="O11" s="928"/>
      <c r="P11" s="928"/>
      <c r="R11" s="1097"/>
      <c r="S11" s="1097"/>
      <c r="U11" s="1098"/>
      <c r="V11" s="1098"/>
      <c r="X11" s="928"/>
      <c r="Y11" s="1097"/>
      <c r="Z11" s="1097"/>
      <c r="AA11" s="1097"/>
      <c r="AB11" s="1097"/>
      <c r="AC11" s="1097"/>
      <c r="AD11" s="1097"/>
      <c r="AE11" s="1097"/>
      <c r="AF11" s="1097"/>
      <c r="AG11" s="1097"/>
      <c r="AH11" s="1097"/>
      <c r="AI11" s="1097"/>
      <c r="AJ11" s="1097"/>
      <c r="AK11" s="1097"/>
      <c r="AL11" s="1097"/>
      <c r="AM11" s="1097"/>
      <c r="AN11" s="1097"/>
      <c r="AO11" s="1097"/>
      <c r="AP11" s="1097"/>
      <c r="AQ11" s="1097"/>
      <c r="AR11" s="1097"/>
      <c r="AS11" s="1097"/>
      <c r="AT11" s="1097"/>
      <c r="AU11" s="1097"/>
      <c r="AV11" s="1097"/>
      <c r="AW11" s="1097"/>
      <c r="AY11" s="196"/>
      <c r="BB11" s="196"/>
      <c r="BC11" s="196"/>
      <c r="BK11" s="1098"/>
      <c r="BL11" s="1098"/>
      <c r="BQ11" s="1098"/>
    </row>
    <row r="12" spans="1:73" x14ac:dyDescent="0.2">
      <c r="A12" s="391" t="s">
        <v>946</v>
      </c>
      <c r="B12" s="211">
        <f t="shared" si="0"/>
        <v>494246</v>
      </c>
      <c r="C12" s="928">
        <v>108753</v>
      </c>
      <c r="D12" s="928"/>
      <c r="E12" s="1389">
        <v>92726</v>
      </c>
      <c r="F12" s="1389">
        <v>225467</v>
      </c>
      <c r="G12" s="1389">
        <v>13655</v>
      </c>
      <c r="H12" s="1389">
        <v>1071</v>
      </c>
      <c r="I12" s="1389">
        <v>7498</v>
      </c>
      <c r="J12" s="1098"/>
      <c r="K12" s="1098"/>
      <c r="N12" s="1097">
        <v>7940</v>
      </c>
      <c r="O12" s="928">
        <v>6365</v>
      </c>
      <c r="P12" s="928"/>
      <c r="R12" s="1097"/>
      <c r="S12" s="1097"/>
      <c r="U12" s="1098"/>
      <c r="V12" s="1098"/>
      <c r="X12" s="928"/>
      <c r="Y12" s="1097"/>
      <c r="Z12" s="1097"/>
      <c r="AA12" s="1097"/>
      <c r="AB12" s="1097">
        <v>0</v>
      </c>
      <c r="AC12" s="1097">
        <v>0</v>
      </c>
      <c r="AD12" s="1097">
        <v>0</v>
      </c>
      <c r="AE12" s="1097">
        <v>0</v>
      </c>
      <c r="AF12" s="1097">
        <v>19790</v>
      </c>
      <c r="AG12" s="1097">
        <v>0</v>
      </c>
      <c r="AH12" s="1097">
        <v>0</v>
      </c>
      <c r="AI12" s="1097">
        <v>0</v>
      </c>
      <c r="AJ12" s="1097">
        <v>0</v>
      </c>
      <c r="AK12" s="1097">
        <v>0</v>
      </c>
      <c r="AL12" s="1097">
        <v>0</v>
      </c>
      <c r="AM12" s="1097">
        <v>0</v>
      </c>
      <c r="AN12" s="1097">
        <v>0</v>
      </c>
      <c r="AO12" s="1097">
        <v>0</v>
      </c>
      <c r="AP12" s="1097">
        <v>0</v>
      </c>
      <c r="AQ12" s="1097">
        <v>0</v>
      </c>
      <c r="AR12" s="1097">
        <f>214+1-52</f>
        <v>163</v>
      </c>
      <c r="AS12" s="1097">
        <v>0</v>
      </c>
      <c r="AT12" s="1097">
        <f>21214-1-9291-3705+1-278</f>
        <v>7940</v>
      </c>
      <c r="AU12" s="1097">
        <v>0</v>
      </c>
      <c r="AV12" s="1097">
        <v>0</v>
      </c>
      <c r="AW12" s="1097">
        <v>0</v>
      </c>
      <c r="AX12" s="1097">
        <v>0</v>
      </c>
      <c r="AY12" s="196"/>
      <c r="BB12" s="196"/>
      <c r="BC12" s="196"/>
      <c r="BK12" s="1098"/>
      <c r="BL12" s="1098"/>
      <c r="BQ12" s="1098">
        <v>2878</v>
      </c>
    </row>
    <row r="13" spans="1:73" x14ac:dyDescent="0.2">
      <c r="A13" s="391" t="s">
        <v>947</v>
      </c>
      <c r="B13" s="211">
        <f t="shared" si="0"/>
        <v>500488</v>
      </c>
      <c r="C13" s="928">
        <v>500488</v>
      </c>
      <c r="D13" s="928"/>
      <c r="E13" s="1389"/>
      <c r="F13" s="1389"/>
      <c r="G13" s="1389"/>
      <c r="H13" s="1389"/>
      <c r="I13" s="1389"/>
      <c r="J13" s="1098"/>
      <c r="K13" s="1098"/>
      <c r="N13" s="1097"/>
      <c r="O13" s="928"/>
      <c r="P13" s="928"/>
      <c r="R13" s="1097"/>
      <c r="S13" s="1097"/>
      <c r="U13" s="1098"/>
      <c r="V13" s="1098"/>
      <c r="X13" s="928"/>
      <c r="Y13" s="1097"/>
      <c r="Z13" s="1097"/>
      <c r="AA13" s="1097"/>
      <c r="AB13" s="1097"/>
      <c r="AC13" s="1097"/>
      <c r="AD13" s="1097"/>
      <c r="AE13" s="1097"/>
      <c r="AF13" s="1097"/>
      <c r="AG13" s="1097"/>
      <c r="AH13" s="1097"/>
      <c r="AI13" s="1097"/>
      <c r="AJ13" s="1097"/>
      <c r="AK13" s="1097"/>
      <c r="AL13" s="1097"/>
      <c r="AM13" s="1097"/>
      <c r="AN13" s="1097"/>
      <c r="AO13" s="1097"/>
      <c r="AP13" s="1097"/>
      <c r="AQ13" s="1097"/>
      <c r="AR13" s="1097"/>
      <c r="AS13" s="1097"/>
      <c r="AT13" s="1097"/>
      <c r="AU13" s="1097"/>
      <c r="AV13" s="1097"/>
      <c r="AW13" s="1097"/>
      <c r="AX13" s="1097"/>
      <c r="AY13" s="196"/>
      <c r="BB13" s="196"/>
      <c r="BC13" s="196"/>
      <c r="BK13" s="1098"/>
      <c r="BL13" s="1098"/>
      <c r="BQ13" s="1098"/>
    </row>
    <row r="14" spans="1:73" x14ac:dyDescent="0.2">
      <c r="A14" s="391" t="s">
        <v>948</v>
      </c>
      <c r="B14" s="211">
        <f t="shared" si="0"/>
        <v>227880</v>
      </c>
      <c r="C14" s="928">
        <v>69075</v>
      </c>
      <c r="D14" s="928"/>
      <c r="E14" s="1389"/>
      <c r="F14" s="1389"/>
      <c r="G14" s="1389">
        <v>279</v>
      </c>
      <c r="H14" s="1389"/>
      <c r="I14" s="1389"/>
      <c r="J14" s="1098"/>
      <c r="K14" s="1098"/>
      <c r="N14" s="1097">
        <v>40523</v>
      </c>
      <c r="O14" s="928">
        <v>13740</v>
      </c>
      <c r="P14" s="928"/>
      <c r="Q14" s="1097"/>
      <c r="R14" s="1097"/>
      <c r="S14" s="1097"/>
      <c r="T14" s="1097">
        <v>11356</v>
      </c>
      <c r="U14" s="1097">
        <v>5033</v>
      </c>
      <c r="V14" s="1098"/>
      <c r="W14" s="1098">
        <v>63659</v>
      </c>
      <c r="X14" s="928"/>
      <c r="Y14" s="1097"/>
      <c r="Z14" s="1097"/>
      <c r="AA14" s="1097"/>
      <c r="AB14" s="1097"/>
      <c r="AC14" s="1097"/>
      <c r="AD14" s="1097"/>
      <c r="AE14" s="1097"/>
      <c r="AF14" s="1097"/>
      <c r="AG14" s="1097"/>
      <c r="AH14" s="1097"/>
      <c r="AI14" s="1097"/>
      <c r="AJ14" s="1097"/>
      <c r="AK14" s="1097"/>
      <c r="AL14" s="1097"/>
      <c r="AM14" s="1097"/>
      <c r="AN14" s="1097"/>
      <c r="AO14" s="1097"/>
      <c r="AP14" s="1097"/>
      <c r="AQ14" s="1097"/>
      <c r="AR14" s="1097"/>
      <c r="AS14" s="1097"/>
      <c r="AT14" s="1097"/>
      <c r="AU14" s="1097"/>
      <c r="AV14" s="1097"/>
      <c r="AW14" s="1097"/>
      <c r="AX14" s="1097"/>
      <c r="AY14" s="1097"/>
      <c r="AZ14" s="1098">
        <v>380</v>
      </c>
      <c r="BA14" s="1098"/>
      <c r="BB14" s="1097"/>
      <c r="BC14" s="1097"/>
      <c r="BD14" s="928"/>
      <c r="BE14" s="211">
        <v>20</v>
      </c>
      <c r="BJ14" s="196">
        <v>21158</v>
      </c>
      <c r="BK14" s="1098"/>
      <c r="BL14" s="1098"/>
      <c r="BP14" s="1098">
        <v>2657</v>
      </c>
      <c r="BQ14" s="1098"/>
    </row>
    <row r="15" spans="1:73" x14ac:dyDescent="0.2">
      <c r="A15" s="391" t="s">
        <v>16</v>
      </c>
      <c r="B15" s="211">
        <f t="shared" si="0"/>
        <v>9959</v>
      </c>
      <c r="C15" s="928">
        <v>9655</v>
      </c>
      <c r="D15" s="928"/>
      <c r="E15" s="1389"/>
      <c r="F15" s="1389"/>
      <c r="G15" s="1389"/>
      <c r="H15" s="1389"/>
      <c r="I15" s="1389"/>
      <c r="J15" s="1098"/>
      <c r="K15" s="1098"/>
      <c r="N15" s="1097"/>
      <c r="O15" s="928">
        <v>304</v>
      </c>
      <c r="P15" s="928"/>
      <c r="Q15" s="1098"/>
      <c r="R15" s="1097"/>
      <c r="S15" s="1097"/>
      <c r="T15" s="1098"/>
      <c r="U15" s="1097"/>
      <c r="V15" s="1098"/>
      <c r="W15" s="1098"/>
      <c r="X15" s="928"/>
      <c r="Y15" s="1097"/>
      <c r="Z15" s="1097"/>
      <c r="AA15" s="1097"/>
      <c r="AB15" s="1097"/>
      <c r="AC15" s="1097"/>
      <c r="AD15" s="1097"/>
      <c r="AE15" s="1097"/>
      <c r="AF15" s="1097"/>
      <c r="AG15" s="1097"/>
      <c r="AH15" s="1097"/>
      <c r="AI15" s="1097"/>
      <c r="AJ15" s="1097"/>
      <c r="AK15" s="1097"/>
      <c r="AL15" s="1097"/>
      <c r="AM15" s="1097"/>
      <c r="AN15" s="1097"/>
      <c r="AO15" s="1097"/>
      <c r="AP15" s="1097"/>
      <c r="AQ15" s="1097"/>
      <c r="AR15" s="1097"/>
      <c r="AS15" s="1097"/>
      <c r="AT15" s="1097"/>
      <c r="AU15" s="1097"/>
      <c r="AV15" s="1097"/>
      <c r="AW15" s="1097"/>
      <c r="AX15" s="1097"/>
      <c r="AY15" s="1097"/>
      <c r="AZ15" s="1098"/>
      <c r="BA15" s="1098"/>
      <c r="BB15" s="1097"/>
      <c r="BC15" s="1097"/>
      <c r="BD15" s="928"/>
      <c r="BJ15" s="196"/>
      <c r="BK15" s="1098"/>
      <c r="BL15" s="1098"/>
      <c r="BP15" s="1098"/>
      <c r="BQ15" s="1098"/>
    </row>
    <row r="16" spans="1:73" x14ac:dyDescent="0.2">
      <c r="A16" s="391" t="s">
        <v>775</v>
      </c>
      <c r="B16" s="211">
        <f t="shared" si="0"/>
        <v>77864</v>
      </c>
      <c r="C16" s="928">
        <v>21439</v>
      </c>
      <c r="D16" s="928">
        <v>430</v>
      </c>
      <c r="E16" s="1389">
        <v>1</v>
      </c>
      <c r="F16" s="1389">
        <v>359</v>
      </c>
      <c r="G16" s="1389">
        <v>1336</v>
      </c>
      <c r="H16" s="1389">
        <v>0</v>
      </c>
      <c r="I16" s="1389">
        <v>255</v>
      </c>
      <c r="J16" s="1098"/>
      <c r="K16" s="1098"/>
      <c r="N16" s="1097">
        <v>1000</v>
      </c>
      <c r="O16" s="928">
        <v>8561</v>
      </c>
      <c r="P16" s="928">
        <v>12</v>
      </c>
      <c r="Q16" s="1097"/>
      <c r="R16" s="1097">
        <v>38410</v>
      </c>
      <c r="S16" s="1097">
        <v>2898</v>
      </c>
      <c r="T16" s="1098"/>
      <c r="U16" s="1097">
        <v>1</v>
      </c>
      <c r="V16" s="1098"/>
      <c r="W16" s="1098">
        <v>36</v>
      </c>
      <c r="X16" s="928"/>
      <c r="Y16" s="1097"/>
      <c r="Z16" s="1097"/>
      <c r="AA16" s="1097"/>
      <c r="AB16" s="1097">
        <v>0</v>
      </c>
      <c r="AC16" s="1097">
        <v>0</v>
      </c>
      <c r="AD16" s="1097">
        <v>42</v>
      </c>
      <c r="AE16" s="1097">
        <v>0</v>
      </c>
      <c r="AF16" s="1097">
        <v>0</v>
      </c>
      <c r="AG16" s="1097">
        <v>0</v>
      </c>
      <c r="AH16" s="1097">
        <v>0</v>
      </c>
      <c r="AI16" s="1097">
        <v>0</v>
      </c>
      <c r="AJ16" s="1097">
        <v>0</v>
      </c>
      <c r="AK16" s="1097">
        <v>0</v>
      </c>
      <c r="AL16" s="1097">
        <v>0</v>
      </c>
      <c r="AM16" s="1097">
        <v>0</v>
      </c>
      <c r="AN16" s="1097">
        <v>0</v>
      </c>
      <c r="AO16" s="1097">
        <v>0</v>
      </c>
      <c r="AP16" s="1097">
        <v>0</v>
      </c>
      <c r="AQ16" s="1097">
        <v>0</v>
      </c>
      <c r="AR16" s="1097">
        <v>0</v>
      </c>
      <c r="AS16" s="1097">
        <v>0</v>
      </c>
      <c r="AT16" s="1097">
        <v>0</v>
      </c>
      <c r="AU16" s="1097">
        <v>0</v>
      </c>
      <c r="AV16" s="1097">
        <v>0</v>
      </c>
      <c r="AW16" s="1097">
        <f>550-550</f>
        <v>0</v>
      </c>
      <c r="AX16" s="1097">
        <v>0</v>
      </c>
      <c r="AY16" s="1097"/>
      <c r="AZ16" s="1098"/>
      <c r="BA16" s="1098"/>
      <c r="BB16" s="1097"/>
      <c r="BC16" s="1097"/>
      <c r="BD16" s="928"/>
      <c r="BH16" s="1097">
        <v>2631</v>
      </c>
      <c r="BJ16" s="196">
        <v>82</v>
      </c>
      <c r="BK16" s="1098">
        <v>1</v>
      </c>
      <c r="BL16" s="1098"/>
      <c r="BM16" s="1098">
        <v>7</v>
      </c>
      <c r="BP16" s="1098">
        <v>190</v>
      </c>
      <c r="BQ16" s="1098">
        <v>173</v>
      </c>
      <c r="BR16" s="1098"/>
    </row>
    <row r="17" spans="1:71" x14ac:dyDescent="0.2">
      <c r="A17" s="391" t="s">
        <v>774</v>
      </c>
      <c r="B17" s="211">
        <f t="shared" si="0"/>
        <v>123362</v>
      </c>
      <c r="C17" s="928">
        <v>35484</v>
      </c>
      <c r="D17" s="928">
        <v>5311</v>
      </c>
      <c r="E17" s="1389">
        <v>7958</v>
      </c>
      <c r="F17" s="1389">
        <v>98</v>
      </c>
      <c r="G17" s="1389">
        <v>109</v>
      </c>
      <c r="H17" s="1389">
        <v>283</v>
      </c>
      <c r="I17" s="1389">
        <v>544</v>
      </c>
      <c r="J17" s="1098"/>
      <c r="K17" s="1098">
        <v>895</v>
      </c>
      <c r="N17" s="1097">
        <v>9101</v>
      </c>
      <c r="O17" s="928">
        <v>6658</v>
      </c>
      <c r="P17" s="928">
        <v>272</v>
      </c>
      <c r="Q17" s="1097">
        <v>1705</v>
      </c>
      <c r="R17" s="1097">
        <v>62</v>
      </c>
      <c r="S17" s="1097">
        <v>78</v>
      </c>
      <c r="T17" s="1098">
        <v>4</v>
      </c>
      <c r="U17" s="1097">
        <v>182</v>
      </c>
      <c r="V17" s="1098">
        <v>811</v>
      </c>
      <c r="W17" s="1098">
        <v>3141</v>
      </c>
      <c r="X17" s="928">
        <v>3389</v>
      </c>
      <c r="Y17" s="1097"/>
      <c r="Z17" s="1097"/>
      <c r="AA17" s="1097"/>
      <c r="AB17" s="1097">
        <v>423</v>
      </c>
      <c r="AC17" s="1097">
        <v>1216</v>
      </c>
      <c r="AD17" s="1097">
        <v>12301</v>
      </c>
      <c r="AE17" s="1097">
        <v>14525</v>
      </c>
      <c r="AF17" s="1097">
        <v>0</v>
      </c>
      <c r="AG17" s="1097">
        <v>0</v>
      </c>
      <c r="AH17" s="1097">
        <v>0</v>
      </c>
      <c r="AI17" s="1097">
        <v>0</v>
      </c>
      <c r="AJ17" s="1097">
        <v>0</v>
      </c>
      <c r="AK17" s="1097">
        <v>3098</v>
      </c>
      <c r="AL17" s="1097">
        <v>152</v>
      </c>
      <c r="AM17" s="1097">
        <v>280</v>
      </c>
      <c r="AN17" s="1097">
        <v>1306</v>
      </c>
      <c r="AO17" s="1097">
        <v>1567</v>
      </c>
      <c r="AP17" s="1097">
        <v>248</v>
      </c>
      <c r="AQ17" s="1097">
        <v>223</v>
      </c>
      <c r="AR17" s="1097">
        <v>0</v>
      </c>
      <c r="AS17" s="1097">
        <v>0</v>
      </c>
      <c r="AT17" s="1097">
        <v>0</v>
      </c>
      <c r="AU17" s="1097">
        <v>17</v>
      </c>
      <c r="AV17" s="1097">
        <v>0</v>
      </c>
      <c r="AW17" s="1097">
        <v>2376</v>
      </c>
      <c r="AX17" s="1097"/>
      <c r="AY17" s="1097">
        <v>21</v>
      </c>
      <c r="AZ17" s="1098">
        <v>301</v>
      </c>
      <c r="BA17" s="1098">
        <v>19</v>
      </c>
      <c r="BB17" s="1097">
        <v>31</v>
      </c>
      <c r="BC17" s="1097">
        <v>78</v>
      </c>
      <c r="BD17" s="928"/>
      <c r="BE17" s="211">
        <v>7</v>
      </c>
      <c r="BF17" s="211">
        <v>15</v>
      </c>
      <c r="BH17" s="1098"/>
      <c r="BJ17" s="196">
        <v>262</v>
      </c>
      <c r="BK17" s="1098">
        <v>1659</v>
      </c>
      <c r="BL17" s="1098">
        <v>36</v>
      </c>
      <c r="BM17" s="1098"/>
      <c r="BP17" s="1098">
        <v>133</v>
      </c>
      <c r="BQ17" s="1098">
        <v>5142</v>
      </c>
      <c r="BR17" s="1098">
        <v>1713</v>
      </c>
      <c r="BS17" s="211">
        <v>128</v>
      </c>
    </row>
    <row r="18" spans="1:71" x14ac:dyDescent="0.2">
      <c r="A18" s="391" t="s">
        <v>766</v>
      </c>
      <c r="B18" s="211">
        <f t="shared" si="0"/>
        <v>24412</v>
      </c>
      <c r="C18" s="928"/>
      <c r="D18" s="928"/>
      <c r="E18" s="1389"/>
      <c r="F18" s="1389">
        <v>17536</v>
      </c>
      <c r="G18" s="1389"/>
      <c r="H18" s="1389"/>
      <c r="I18" s="1389">
        <v>894</v>
      </c>
      <c r="J18" s="1098"/>
      <c r="K18" s="1098"/>
      <c r="N18" s="1097">
        <v>10</v>
      </c>
      <c r="O18" s="928">
        <v>2665</v>
      </c>
      <c r="P18" s="928"/>
      <c r="Q18" s="1097"/>
      <c r="R18" s="1097"/>
      <c r="S18" s="1097"/>
      <c r="T18" s="1098"/>
      <c r="U18" s="1097"/>
      <c r="V18" s="1098"/>
      <c r="W18" s="1098"/>
      <c r="X18" s="928"/>
      <c r="Y18" s="1097"/>
      <c r="Z18" s="1097"/>
      <c r="AA18" s="1097"/>
      <c r="AB18" s="1097"/>
      <c r="AC18" s="1097"/>
      <c r="AD18" s="1097"/>
      <c r="AE18" s="1097"/>
      <c r="AF18" s="1097"/>
      <c r="AG18" s="1097"/>
      <c r="AH18" s="1097"/>
      <c r="AI18" s="1097"/>
      <c r="AJ18" s="1097"/>
      <c r="AK18" s="1097"/>
      <c r="AL18" s="1097"/>
      <c r="AM18" s="1097"/>
      <c r="AN18" s="1097"/>
      <c r="AO18" s="1097"/>
      <c r="AP18" s="1097"/>
      <c r="AQ18" s="1097"/>
      <c r="AR18" s="1097"/>
      <c r="AS18" s="1097"/>
      <c r="AT18" s="1097"/>
      <c r="AU18" s="1097"/>
      <c r="AV18" s="1097"/>
      <c r="AW18" s="1097"/>
      <c r="AX18" s="1097"/>
      <c r="AY18" s="1097"/>
      <c r="AZ18" s="1098"/>
      <c r="BA18" s="1098"/>
      <c r="BB18" s="1097"/>
      <c r="BC18" s="1097"/>
      <c r="BD18" s="928"/>
      <c r="BH18" s="1098"/>
      <c r="BJ18" s="196"/>
      <c r="BK18" s="1098"/>
      <c r="BL18" s="1098"/>
      <c r="BM18" s="1098"/>
      <c r="BP18" s="1098">
        <v>1816</v>
      </c>
      <c r="BQ18" s="1098">
        <v>780</v>
      </c>
      <c r="BR18" s="1098"/>
      <c r="BS18" s="211">
        <f>501+210</f>
        <v>711</v>
      </c>
    </row>
    <row r="19" spans="1:71" x14ac:dyDescent="0.2">
      <c r="A19" s="390" t="s">
        <v>950</v>
      </c>
      <c r="B19" s="213">
        <f t="shared" ref="B19:Z19" si="1">SUM(B5:B18)</f>
        <v>2947754</v>
      </c>
      <c r="C19" s="1143">
        <f t="shared" ref="C19" si="2">SUM(C5:C18)</f>
        <v>1648377</v>
      </c>
      <c r="D19" s="1143">
        <f>SUM(D5:D18)</f>
        <v>303116</v>
      </c>
      <c r="E19" s="1390">
        <f t="shared" ref="E19" si="3">SUM(E5:E18)</f>
        <v>100685</v>
      </c>
      <c r="F19" s="1390">
        <f>SUM(F5:F18)</f>
        <v>243460</v>
      </c>
      <c r="G19" s="1390">
        <f>SUM(G5:G18)</f>
        <v>15379</v>
      </c>
      <c r="H19" s="1390">
        <f>SUM(H5:H18)</f>
        <v>1354</v>
      </c>
      <c r="I19" s="1390">
        <f t="shared" ref="I19" si="4">SUM(I5:I18)</f>
        <v>9191</v>
      </c>
      <c r="J19" s="1143">
        <f t="shared" ref="J19:K19" si="5">SUM(J5:J18)</f>
        <v>0</v>
      </c>
      <c r="K19" s="1143">
        <f t="shared" si="5"/>
        <v>25626</v>
      </c>
      <c r="L19" s="1047">
        <f t="shared" si="1"/>
        <v>0</v>
      </c>
      <c r="M19" s="1047">
        <f t="shared" si="1"/>
        <v>0</v>
      </c>
      <c r="N19" s="1143">
        <f t="shared" ref="N19" si="6">SUM(N5:N18)</f>
        <v>136570</v>
      </c>
      <c r="O19" s="1143">
        <f t="shared" ref="O19" si="7">SUM(O5:O18)</f>
        <v>56943</v>
      </c>
      <c r="P19" s="1143">
        <f t="shared" si="1"/>
        <v>22572</v>
      </c>
      <c r="Q19" s="1143">
        <f t="shared" si="1"/>
        <v>1705</v>
      </c>
      <c r="R19" s="1143">
        <f t="shared" si="1"/>
        <v>88712</v>
      </c>
      <c r="S19" s="1143">
        <f t="shared" si="1"/>
        <v>53216</v>
      </c>
      <c r="T19" s="1143">
        <f t="shared" ref="T19:U19" si="8">SUM(T5:T18)</f>
        <v>11360</v>
      </c>
      <c r="U19" s="1143">
        <f t="shared" si="8"/>
        <v>5216</v>
      </c>
      <c r="V19" s="1143">
        <f t="shared" ref="V19:W19" si="9">SUM(V5:V18)</f>
        <v>811</v>
      </c>
      <c r="W19" s="1143">
        <f t="shared" si="9"/>
        <v>66836</v>
      </c>
      <c r="X19" s="1143">
        <f>SUM(X5:X18)</f>
        <v>47929</v>
      </c>
      <c r="Y19" s="1143">
        <f t="shared" si="1"/>
        <v>0</v>
      </c>
      <c r="Z19" s="1143">
        <f t="shared" si="1"/>
        <v>0</v>
      </c>
      <c r="AA19" s="1143">
        <f t="shared" ref="AA19:AW19" si="10">SUM(AA5:AA18)</f>
        <v>0</v>
      </c>
      <c r="AB19" s="1143">
        <f t="shared" si="10"/>
        <v>423</v>
      </c>
      <c r="AC19" s="1143">
        <f t="shared" si="10"/>
        <v>1216</v>
      </c>
      <c r="AD19" s="1143">
        <f t="shared" si="10"/>
        <v>12343</v>
      </c>
      <c r="AE19" s="1143">
        <f t="shared" si="10"/>
        <v>14525</v>
      </c>
      <c r="AF19" s="1143">
        <f t="shared" si="10"/>
        <v>19790</v>
      </c>
      <c r="AG19" s="1143">
        <f t="shared" si="10"/>
        <v>0</v>
      </c>
      <c r="AH19" s="1143">
        <f t="shared" si="10"/>
        <v>0</v>
      </c>
      <c r="AI19" s="1143">
        <f t="shared" si="10"/>
        <v>0</v>
      </c>
      <c r="AJ19" s="1143">
        <f t="shared" si="10"/>
        <v>0</v>
      </c>
      <c r="AK19" s="1143">
        <f t="shared" si="10"/>
        <v>3098</v>
      </c>
      <c r="AL19" s="1143">
        <f t="shared" si="10"/>
        <v>152</v>
      </c>
      <c r="AM19" s="1143">
        <f t="shared" si="10"/>
        <v>280</v>
      </c>
      <c r="AN19" s="1143">
        <f t="shared" si="10"/>
        <v>1306</v>
      </c>
      <c r="AO19" s="1143">
        <f t="shared" si="10"/>
        <v>1567</v>
      </c>
      <c r="AP19" s="1143">
        <f t="shared" si="10"/>
        <v>248</v>
      </c>
      <c r="AQ19" s="1143">
        <f t="shared" si="10"/>
        <v>223</v>
      </c>
      <c r="AR19" s="1143">
        <f t="shared" si="10"/>
        <v>163</v>
      </c>
      <c r="AS19" s="1143">
        <f t="shared" si="10"/>
        <v>0</v>
      </c>
      <c r="AT19" s="1143">
        <f t="shared" si="10"/>
        <v>7940</v>
      </c>
      <c r="AU19" s="1143">
        <f t="shared" si="10"/>
        <v>17</v>
      </c>
      <c r="AV19" s="1143">
        <f t="shared" si="10"/>
        <v>0</v>
      </c>
      <c r="AW19" s="1143">
        <f t="shared" si="10"/>
        <v>2376</v>
      </c>
      <c r="AX19" s="1143">
        <f t="shared" ref="AX19" si="11">SUM(AX5:AX18)</f>
        <v>0</v>
      </c>
      <c r="AY19" s="1300">
        <f t="shared" ref="AY19:BC19" si="12">SUM(AY5:AY18)</f>
        <v>21</v>
      </c>
      <c r="AZ19" s="1143">
        <f t="shared" si="12"/>
        <v>681</v>
      </c>
      <c r="BA19" s="1300">
        <f t="shared" si="12"/>
        <v>19</v>
      </c>
      <c r="BB19" s="1300">
        <f t="shared" si="12"/>
        <v>31</v>
      </c>
      <c r="BC19" s="1300">
        <f t="shared" si="12"/>
        <v>78</v>
      </c>
      <c r="BD19" s="1143">
        <f t="shared" ref="BD19" si="13">SUM(BD5:BD18)</f>
        <v>0</v>
      </c>
      <c r="BE19" s="1143">
        <f t="shared" ref="BE19" si="14">SUM(BE5:BE18)</f>
        <v>27</v>
      </c>
      <c r="BF19" s="1143">
        <f>SUM(BF5:BF18)</f>
        <v>15</v>
      </c>
      <c r="BG19" s="1047">
        <f t="shared" ref="BG19:BO19" si="15">SUM(BG5:BG18)</f>
        <v>0</v>
      </c>
      <c r="BH19" s="1047">
        <f t="shared" ref="BH19" si="16">SUM(BH5:BH18)</f>
        <v>2631</v>
      </c>
      <c r="BI19" s="1047">
        <f t="shared" si="15"/>
        <v>0</v>
      </c>
      <c r="BJ19" s="1359">
        <f t="shared" ref="BJ19" si="17">SUM(BJ5:BJ18)</f>
        <v>21502</v>
      </c>
      <c r="BK19" s="1099">
        <f t="shared" ref="BK19" si="18">SUM(BK5:BK18)</f>
        <v>1660</v>
      </c>
      <c r="BL19" s="1143">
        <f>SUM(BL5:BL18)</f>
        <v>36</v>
      </c>
      <c r="BM19" s="1047">
        <f t="shared" ref="BM19" si="19">SUM(BM5:BM18)</f>
        <v>7</v>
      </c>
      <c r="BN19" s="1047">
        <f t="shared" si="15"/>
        <v>0</v>
      </c>
      <c r="BO19" s="1047">
        <f t="shared" si="15"/>
        <v>0</v>
      </c>
      <c r="BP19" s="1047">
        <f>SUM(BP5:BP18)</f>
        <v>4796</v>
      </c>
      <c r="BQ19" s="1143">
        <f>SUM(BQ5:BQ18)</f>
        <v>8973</v>
      </c>
      <c r="BR19" s="1099">
        <f>SUM(BR5:BR18)</f>
        <v>1713</v>
      </c>
      <c r="BS19" s="1047">
        <f t="shared" ref="BS19" si="20">SUM(BS5:BS18)</f>
        <v>839</v>
      </c>
    </row>
    <row r="20" spans="1:71" x14ac:dyDescent="0.2">
      <c r="C20" s="928"/>
      <c r="D20" s="928"/>
      <c r="E20" s="1396"/>
      <c r="F20" s="1396"/>
      <c r="G20" s="1396"/>
      <c r="H20" s="1396"/>
      <c r="I20" s="1396"/>
      <c r="J20" s="928"/>
      <c r="K20" s="928"/>
      <c r="N20" s="928"/>
      <c r="O20" s="928"/>
      <c r="P20" s="928"/>
      <c r="Q20" s="1097"/>
      <c r="R20" s="928"/>
      <c r="S20" s="1097"/>
      <c r="T20" s="1098"/>
      <c r="U20" s="928"/>
      <c r="V20" s="1251"/>
      <c r="W20" s="1097"/>
      <c r="X20" s="928"/>
      <c r="Y20" s="1097"/>
      <c r="Z20" s="1097"/>
      <c r="AA20" s="1097"/>
      <c r="AB20" s="1097"/>
      <c r="AC20" s="1097"/>
      <c r="AD20" s="1097"/>
      <c r="AE20" s="1097"/>
      <c r="AF20" s="1097"/>
      <c r="AG20" s="1097"/>
      <c r="AH20" s="1097"/>
      <c r="AI20" s="1097"/>
      <c r="AJ20" s="1097"/>
      <c r="AK20" s="1097"/>
      <c r="AL20" s="1097"/>
      <c r="AM20" s="1097"/>
      <c r="AN20" s="1097"/>
      <c r="AO20" s="1097"/>
      <c r="AP20" s="1097"/>
      <c r="AQ20" s="1097"/>
      <c r="AR20" s="1097"/>
      <c r="AS20" s="1097"/>
      <c r="AT20" s="1097"/>
      <c r="AU20" s="1097"/>
      <c r="AV20" s="1097"/>
      <c r="AW20" s="928"/>
      <c r="AX20" s="928"/>
      <c r="AY20" s="1251"/>
      <c r="AZ20" s="1097"/>
      <c r="BA20" s="1251"/>
      <c r="BB20" s="1251"/>
      <c r="BC20" s="1251"/>
      <c r="BD20" s="928"/>
      <c r="BF20" s="1098"/>
      <c r="BH20" s="1098"/>
      <c r="BJ20" s="196"/>
      <c r="BK20" s="1285"/>
      <c r="BL20" s="1097"/>
      <c r="BM20" s="1098"/>
      <c r="BP20" s="1098"/>
      <c r="BQ20" s="1097"/>
      <c r="BR20" s="1098"/>
    </row>
    <row r="21" spans="1:71" x14ac:dyDescent="0.2">
      <c r="A21" s="390" t="s">
        <v>590</v>
      </c>
      <c r="C21" s="928"/>
      <c r="D21" s="928"/>
      <c r="E21" s="1396"/>
      <c r="F21" s="1396"/>
      <c r="G21" s="1396"/>
      <c r="H21" s="1396"/>
      <c r="I21" s="1396"/>
      <c r="J21" s="928"/>
      <c r="K21" s="928"/>
      <c r="N21" s="928"/>
      <c r="O21" s="928"/>
      <c r="P21" s="928"/>
      <c r="Q21" s="1097"/>
      <c r="R21" s="928"/>
      <c r="S21" s="1097"/>
      <c r="T21" s="1098"/>
      <c r="U21" s="928"/>
      <c r="V21" s="1251"/>
      <c r="W21" s="1097"/>
      <c r="X21" s="928"/>
      <c r="Y21" s="1097"/>
      <c r="Z21" s="1097"/>
      <c r="AA21" s="1097"/>
      <c r="AB21" s="1097"/>
      <c r="AC21" s="1097"/>
      <c r="AD21" s="1097"/>
      <c r="AE21" s="1097"/>
      <c r="AF21" s="1097"/>
      <c r="AG21" s="1097"/>
      <c r="AH21" s="1097"/>
      <c r="AI21" s="1097"/>
      <c r="AJ21" s="1097"/>
      <c r="AK21" s="1097"/>
      <c r="AL21" s="1097"/>
      <c r="AM21" s="1097"/>
      <c r="AN21" s="1097"/>
      <c r="AO21" s="1097"/>
      <c r="AP21" s="1097"/>
      <c r="AQ21" s="1097"/>
      <c r="AR21" s="1097"/>
      <c r="AS21" s="1097"/>
      <c r="AT21" s="1097"/>
      <c r="AU21" s="1097"/>
      <c r="AV21" s="1097"/>
      <c r="AW21" s="928"/>
      <c r="AX21" s="928"/>
      <c r="AY21" s="1251"/>
      <c r="AZ21" s="1097"/>
      <c r="BA21" s="1251"/>
      <c r="BB21" s="1251"/>
      <c r="BC21" s="1251"/>
      <c r="BD21" s="928"/>
      <c r="BF21" s="1098"/>
      <c r="BH21" s="1098"/>
      <c r="BJ21" s="196"/>
      <c r="BK21" s="1285"/>
      <c r="BL21" s="1097"/>
      <c r="BM21" s="1098"/>
      <c r="BP21" s="1098"/>
      <c r="BQ21" s="1097"/>
      <c r="BR21" s="1098"/>
    </row>
    <row r="22" spans="1:71" x14ac:dyDescent="0.2">
      <c r="A22" s="391" t="s">
        <v>952</v>
      </c>
      <c r="C22" s="928"/>
      <c r="D22" s="928"/>
      <c r="E22" s="1396"/>
      <c r="F22" s="1396"/>
      <c r="G22" s="1396"/>
      <c r="H22" s="1396"/>
      <c r="I22" s="1396"/>
      <c r="J22" s="928"/>
      <c r="K22" s="928"/>
      <c r="N22" s="928"/>
      <c r="O22" s="928"/>
      <c r="P22" s="928"/>
      <c r="Q22" s="1097"/>
      <c r="R22" s="928"/>
      <c r="S22" s="1097"/>
      <c r="T22" s="1098"/>
      <c r="U22" s="928"/>
      <c r="V22" s="1251"/>
      <c r="W22" s="1097"/>
      <c r="X22" s="928"/>
      <c r="Y22" s="1097"/>
      <c r="Z22" s="1097"/>
      <c r="AA22" s="1097"/>
      <c r="AB22" s="1097"/>
      <c r="AC22" s="1097"/>
      <c r="AD22" s="1097"/>
      <c r="AE22" s="1097"/>
      <c r="AF22" s="1097"/>
      <c r="AG22" s="1097"/>
      <c r="AH22" s="1097"/>
      <c r="AI22" s="1097"/>
      <c r="AJ22" s="1097"/>
      <c r="AK22" s="1097"/>
      <c r="AL22" s="1097"/>
      <c r="AM22" s="1097"/>
      <c r="AN22" s="1097"/>
      <c r="AO22" s="1097"/>
      <c r="AP22" s="1097"/>
      <c r="AQ22" s="1097"/>
      <c r="AR22" s="1097"/>
      <c r="AS22" s="1097"/>
      <c r="AT22" s="1097"/>
      <c r="AU22" s="1097"/>
      <c r="AV22" s="1097"/>
      <c r="AW22" s="928"/>
      <c r="AX22" s="928"/>
      <c r="AY22" s="1251"/>
      <c r="AZ22" s="1097"/>
      <c r="BA22" s="1251"/>
      <c r="BB22" s="1251"/>
      <c r="BC22" s="1251"/>
      <c r="BD22" s="928"/>
      <c r="BF22" s="1098"/>
      <c r="BH22" s="1098"/>
      <c r="BJ22" s="196"/>
      <c r="BK22" s="1285"/>
      <c r="BL22" s="1097"/>
      <c r="BM22" s="1098"/>
      <c r="BP22" s="1098"/>
      <c r="BQ22" s="1097"/>
      <c r="BR22" s="1098"/>
    </row>
    <row r="23" spans="1:71" x14ac:dyDescent="0.2">
      <c r="A23" s="392" t="s">
        <v>953</v>
      </c>
      <c r="B23" s="211">
        <f t="shared" ref="B23:B46" si="21">SUM(C23:BS23)</f>
        <v>158361</v>
      </c>
      <c r="C23" s="928">
        <v>131306</v>
      </c>
      <c r="D23" s="928">
        <v>1412</v>
      </c>
      <c r="E23" s="1396">
        <v>7086</v>
      </c>
      <c r="F23" s="1389">
        <v>3621</v>
      </c>
      <c r="G23" s="1389"/>
      <c r="H23" s="1389"/>
      <c r="I23" s="1389"/>
      <c r="J23" s="1098"/>
      <c r="K23" s="1098"/>
      <c r="N23" s="1097"/>
      <c r="O23" s="928">
        <v>5574</v>
      </c>
      <c r="P23" s="928"/>
      <c r="Q23" s="1097"/>
      <c r="R23" s="1097"/>
      <c r="S23" s="1097"/>
      <c r="T23" s="1098"/>
      <c r="U23" s="1097"/>
      <c r="V23" s="1098"/>
      <c r="W23" s="1098"/>
      <c r="X23" s="928"/>
      <c r="Y23" s="1097"/>
      <c r="Z23" s="1097"/>
      <c r="AA23" s="1097"/>
      <c r="AB23" s="1097"/>
      <c r="AC23" s="1097"/>
      <c r="AD23" s="1097"/>
      <c r="AE23" s="1097"/>
      <c r="AF23" s="1097"/>
      <c r="AG23" s="1097"/>
      <c r="AH23" s="1097"/>
      <c r="AI23" s="1097"/>
      <c r="AJ23" s="1097"/>
      <c r="AK23" s="1097"/>
      <c r="AL23" s="1097"/>
      <c r="AM23" s="1097"/>
      <c r="AN23" s="1097"/>
      <c r="AO23" s="1097"/>
      <c r="AP23" s="1097"/>
      <c r="AQ23" s="1097"/>
      <c r="AR23" s="1097"/>
      <c r="AS23" s="1097"/>
      <c r="AT23" s="1097"/>
      <c r="AU23" s="1097"/>
      <c r="AV23" s="1097"/>
      <c r="AW23" s="1097"/>
      <c r="AX23" s="1097"/>
      <c r="AY23" s="1097"/>
      <c r="AZ23" s="1098"/>
      <c r="BA23" s="1098"/>
      <c r="BB23" s="1097"/>
      <c r="BC23" s="1097"/>
      <c r="BD23" s="928"/>
      <c r="BF23" s="211">
        <v>9359</v>
      </c>
      <c r="BH23" s="1098"/>
      <c r="BJ23" s="196"/>
      <c r="BK23" s="1098">
        <v>3</v>
      </c>
      <c r="BL23" s="1098"/>
      <c r="BM23" s="1098"/>
      <c r="BQ23" s="1098"/>
      <c r="BR23" s="1098"/>
    </row>
    <row r="24" spans="1:71" x14ac:dyDescent="0.2">
      <c r="A24" s="392" t="s">
        <v>954</v>
      </c>
      <c r="B24" s="211">
        <f t="shared" si="21"/>
        <v>1030099</v>
      </c>
      <c r="C24" s="928">
        <v>996403</v>
      </c>
      <c r="D24" s="928"/>
      <c r="E24" s="1396">
        <v>213</v>
      </c>
      <c r="F24" s="1389">
        <v>22835</v>
      </c>
      <c r="G24" s="1389"/>
      <c r="H24" s="1389">
        <v>948</v>
      </c>
      <c r="I24" s="1389"/>
      <c r="J24" s="1098"/>
      <c r="K24" s="1098"/>
      <c r="N24" s="1097"/>
      <c r="O24" s="928">
        <v>9700</v>
      </c>
      <c r="P24" s="928"/>
      <c r="Q24" s="1097"/>
      <c r="R24" s="1097"/>
      <c r="S24" s="1097"/>
      <c r="T24" s="1098"/>
      <c r="U24" s="1097"/>
      <c r="V24" s="1098"/>
      <c r="W24" s="1098"/>
      <c r="X24" s="928"/>
      <c r="Y24" s="1097"/>
      <c r="Z24" s="1097"/>
      <c r="AA24" s="1097"/>
      <c r="AB24" s="1097"/>
      <c r="AC24" s="1097"/>
      <c r="AD24" s="1097"/>
      <c r="AE24" s="1097"/>
      <c r="AF24" s="1097"/>
      <c r="AG24" s="1097"/>
      <c r="AH24" s="1097"/>
      <c r="AI24" s="1097"/>
      <c r="AJ24" s="1097"/>
      <c r="AK24" s="1097"/>
      <c r="AL24" s="1097"/>
      <c r="AM24" s="1097"/>
      <c r="AN24" s="1097"/>
      <c r="AO24" s="1097"/>
      <c r="AP24" s="1097"/>
      <c r="AQ24" s="1097"/>
      <c r="AR24" s="1097"/>
      <c r="AS24" s="1097"/>
      <c r="AT24" s="1097"/>
      <c r="AU24" s="1097"/>
      <c r="AV24" s="1097"/>
      <c r="AW24" s="1097"/>
      <c r="AX24" s="1097"/>
      <c r="AY24" s="1097"/>
      <c r="AZ24" s="1098"/>
      <c r="BA24" s="1098"/>
      <c r="BB24" s="1097"/>
      <c r="BC24" s="1097"/>
      <c r="BD24" s="928"/>
      <c r="BH24" s="1098"/>
      <c r="BJ24" s="196"/>
      <c r="BK24" s="1098"/>
      <c r="BL24" s="1098"/>
      <c r="BM24" s="1098"/>
      <c r="BQ24" s="1098"/>
      <c r="BR24" s="1098"/>
    </row>
    <row r="25" spans="1:71" x14ac:dyDescent="0.2">
      <c r="A25" s="392" t="s">
        <v>955</v>
      </c>
      <c r="B25" s="211">
        <f t="shared" si="21"/>
        <v>159824</v>
      </c>
      <c r="C25" s="928">
        <v>69285</v>
      </c>
      <c r="D25" s="928"/>
      <c r="E25" s="1396">
        <v>12093</v>
      </c>
      <c r="F25" s="1389">
        <v>15043</v>
      </c>
      <c r="G25" s="1389"/>
      <c r="H25" s="1389"/>
      <c r="I25" s="1389"/>
      <c r="J25" s="1098"/>
      <c r="K25" s="1098">
        <v>8384</v>
      </c>
      <c r="N25" s="1097"/>
      <c r="O25" s="928">
        <v>4733</v>
      </c>
      <c r="P25" s="928"/>
      <c r="Q25" s="1097"/>
      <c r="R25" s="1097"/>
      <c r="S25" s="1097"/>
      <c r="T25" s="1098"/>
      <c r="U25" s="1097">
        <v>4002</v>
      </c>
      <c r="V25" s="1098"/>
      <c r="W25" s="1097">
        <v>46284</v>
      </c>
      <c r="X25" s="928"/>
      <c r="Y25" s="1097"/>
      <c r="Z25" s="1097"/>
      <c r="AA25" s="1097"/>
      <c r="AB25" s="1097"/>
      <c r="AC25" s="1097"/>
      <c r="AD25" s="1097"/>
      <c r="AE25" s="1097"/>
      <c r="AF25" s="1097"/>
      <c r="AG25" s="1097"/>
      <c r="AH25" s="1097"/>
      <c r="AI25" s="1097"/>
      <c r="AJ25" s="1097"/>
      <c r="AK25" s="1097"/>
      <c r="AL25" s="1097"/>
      <c r="AM25" s="1097"/>
      <c r="AN25" s="1097"/>
      <c r="AO25" s="1097"/>
      <c r="AP25" s="1097"/>
      <c r="AQ25" s="1097"/>
      <c r="AR25" s="1097"/>
      <c r="AS25" s="1097"/>
      <c r="AT25" s="1097"/>
      <c r="AU25" s="1097"/>
      <c r="AV25" s="1097"/>
      <c r="AW25" s="1097"/>
      <c r="AX25" s="1097"/>
      <c r="AY25" s="1097"/>
      <c r="AZ25" s="1098"/>
      <c r="BA25" s="1098"/>
      <c r="BB25" s="1097"/>
      <c r="BC25" s="1097"/>
      <c r="BD25" s="928"/>
      <c r="BH25" s="1098"/>
      <c r="BJ25" s="196"/>
      <c r="BK25" s="1098"/>
      <c r="BL25" s="1098"/>
      <c r="BM25" s="1098"/>
      <c r="BQ25" s="1098"/>
      <c r="BR25" s="1098"/>
    </row>
    <row r="26" spans="1:71" x14ac:dyDescent="0.2">
      <c r="A26" s="392" t="s">
        <v>956</v>
      </c>
      <c r="B26" s="211">
        <f t="shared" si="21"/>
        <v>120366</v>
      </c>
      <c r="C26" s="928">
        <v>67382</v>
      </c>
      <c r="D26" s="928"/>
      <c r="E26" s="1396">
        <v>25551</v>
      </c>
      <c r="F26" s="1389">
        <v>18351</v>
      </c>
      <c r="G26" s="1389"/>
      <c r="H26" s="1389">
        <v>0</v>
      </c>
      <c r="I26" s="1389"/>
      <c r="J26" s="1098"/>
      <c r="K26" s="1098"/>
      <c r="N26" s="1097"/>
      <c r="O26" s="928">
        <v>9082</v>
      </c>
      <c r="P26" s="928"/>
      <c r="Q26" s="1097"/>
      <c r="R26" s="1097"/>
      <c r="S26" s="1097"/>
      <c r="T26" s="1098"/>
      <c r="U26" s="1097"/>
      <c r="V26" s="1098"/>
      <c r="W26" s="1098"/>
      <c r="X26" s="928"/>
      <c r="Y26" s="1097"/>
      <c r="Z26" s="1097"/>
      <c r="AA26" s="1097"/>
      <c r="AB26" s="1097"/>
      <c r="AC26" s="1097"/>
      <c r="AD26" s="1097"/>
      <c r="AE26" s="1097"/>
      <c r="AF26" s="1097"/>
      <c r="AG26" s="1097"/>
      <c r="AH26" s="1097"/>
      <c r="AI26" s="1097"/>
      <c r="AJ26" s="1097"/>
      <c r="AK26" s="1097"/>
      <c r="AL26" s="1097"/>
      <c r="AM26" s="1097"/>
      <c r="AN26" s="1097"/>
      <c r="AO26" s="1097"/>
      <c r="AP26" s="1097"/>
      <c r="AQ26" s="1097"/>
      <c r="AR26" s="1097"/>
      <c r="AS26" s="1097"/>
      <c r="AT26" s="1097"/>
      <c r="AU26" s="1097"/>
      <c r="AV26" s="1097"/>
      <c r="AW26" s="1097"/>
      <c r="AX26" s="1097"/>
      <c r="AY26" s="1097"/>
      <c r="AZ26" s="1098"/>
      <c r="BA26" s="1098"/>
      <c r="BB26" s="1097"/>
      <c r="BC26" s="1097"/>
      <c r="BD26" s="928"/>
      <c r="BH26" s="1098"/>
      <c r="BJ26" s="196"/>
      <c r="BK26" s="1098"/>
      <c r="BL26" s="1098"/>
      <c r="BM26" s="1098"/>
      <c r="BQ26" s="1098"/>
      <c r="BR26" s="1098"/>
    </row>
    <row r="27" spans="1:71" x14ac:dyDescent="0.2">
      <c r="A27" s="392" t="s">
        <v>958</v>
      </c>
      <c r="B27" s="211">
        <f t="shared" si="21"/>
        <v>12609</v>
      </c>
      <c r="C27" s="928"/>
      <c r="D27" s="928"/>
      <c r="E27" s="1285"/>
      <c r="F27" s="1389">
        <v>23</v>
      </c>
      <c r="G27" s="1389"/>
      <c r="H27" s="1389"/>
      <c r="I27" s="1389"/>
      <c r="J27" s="1098"/>
      <c r="K27" s="1098"/>
      <c r="N27" s="1097"/>
      <c r="O27" s="928"/>
      <c r="P27" s="928"/>
      <c r="Q27" s="1097"/>
      <c r="R27" s="1097"/>
      <c r="S27" s="1097"/>
      <c r="T27" s="1097">
        <v>12586</v>
      </c>
      <c r="U27" s="1097"/>
      <c r="V27" s="1098"/>
      <c r="W27" s="1098"/>
      <c r="X27" s="928"/>
      <c r="Y27" s="1097"/>
      <c r="Z27" s="1097"/>
      <c r="AA27" s="1097"/>
      <c r="AB27" s="1097"/>
      <c r="AC27" s="1097"/>
      <c r="AD27" s="1097"/>
      <c r="AE27" s="1097"/>
      <c r="AF27" s="1097"/>
      <c r="AG27" s="1097"/>
      <c r="AH27" s="1097"/>
      <c r="AI27" s="1097"/>
      <c r="AJ27" s="1097"/>
      <c r="AK27" s="1097"/>
      <c r="AL27" s="1097"/>
      <c r="AM27" s="1097"/>
      <c r="AN27" s="1097"/>
      <c r="AO27" s="1097"/>
      <c r="AP27" s="1097"/>
      <c r="AQ27" s="1097"/>
      <c r="AR27" s="1097"/>
      <c r="AS27" s="1097"/>
      <c r="AT27" s="1097"/>
      <c r="AU27" s="1097"/>
      <c r="AV27" s="1097"/>
      <c r="AW27" s="1097"/>
      <c r="AX27" s="1097"/>
      <c r="AY27" s="1097"/>
      <c r="AZ27" s="1098"/>
      <c r="BA27" s="1098"/>
      <c r="BB27" s="1097"/>
      <c r="BC27" s="1097"/>
      <c r="BD27" s="928"/>
      <c r="BH27" s="1098"/>
      <c r="BJ27" s="196"/>
      <c r="BK27" s="1098"/>
      <c r="BL27" s="1098"/>
      <c r="BM27" s="1098"/>
      <c r="BQ27" s="1098"/>
      <c r="BR27" s="1098"/>
    </row>
    <row r="28" spans="1:71" x14ac:dyDescent="0.2">
      <c r="A28" s="392" t="s">
        <v>959</v>
      </c>
      <c r="B28" s="211">
        <f t="shared" si="21"/>
        <v>265507</v>
      </c>
      <c r="C28" s="928">
        <v>54428</v>
      </c>
      <c r="D28" s="928"/>
      <c r="E28" s="1396">
        <v>16934</v>
      </c>
      <c r="F28" s="1389">
        <v>192941</v>
      </c>
      <c r="G28" s="1389">
        <v>527</v>
      </c>
      <c r="H28" s="1389"/>
      <c r="I28" s="1389"/>
      <c r="J28" s="1098"/>
      <c r="K28" s="1098"/>
      <c r="N28" s="1097"/>
      <c r="O28" s="928">
        <v>677</v>
      </c>
      <c r="P28" s="928"/>
      <c r="Q28" s="1097"/>
      <c r="R28" s="1097"/>
      <c r="S28" s="1097"/>
      <c r="T28" s="1098"/>
      <c r="U28" s="1097"/>
      <c r="V28" s="1098"/>
      <c r="W28" s="1098"/>
      <c r="X28" s="928"/>
      <c r="Y28" s="1097"/>
      <c r="Z28" s="1097"/>
      <c r="AA28" s="1097"/>
      <c r="AB28" s="1097"/>
      <c r="AC28" s="1097"/>
      <c r="AD28" s="1097"/>
      <c r="AE28" s="1097"/>
      <c r="AF28" s="1097"/>
      <c r="AG28" s="1097"/>
      <c r="AH28" s="1097"/>
      <c r="AI28" s="1097"/>
      <c r="AJ28" s="1097"/>
      <c r="AK28" s="1097"/>
      <c r="AL28" s="1097"/>
      <c r="AM28" s="1097"/>
      <c r="AN28" s="1097"/>
      <c r="AO28" s="1097"/>
      <c r="AP28" s="1097"/>
      <c r="AQ28" s="1097"/>
      <c r="AR28" s="1097"/>
      <c r="AS28" s="1097"/>
      <c r="AT28" s="1097"/>
      <c r="AU28" s="1097"/>
      <c r="AV28" s="1097"/>
      <c r="AW28" s="1097"/>
      <c r="AX28" s="1097"/>
      <c r="AY28" s="1097"/>
      <c r="AZ28" s="1098"/>
      <c r="BA28" s="1098"/>
      <c r="BB28" s="1097"/>
      <c r="BC28" s="1097"/>
      <c r="BD28" s="928"/>
      <c r="BH28" s="1098"/>
      <c r="BJ28" s="196"/>
      <c r="BK28" s="1098"/>
      <c r="BL28" s="1098"/>
      <c r="BM28" s="1098"/>
      <c r="BQ28" s="1098"/>
      <c r="BR28" s="1098"/>
    </row>
    <row r="29" spans="1:71" x14ac:dyDescent="0.2">
      <c r="A29" s="392" t="s">
        <v>961</v>
      </c>
      <c r="B29" s="211">
        <f t="shared" si="21"/>
        <v>224238</v>
      </c>
      <c r="C29" s="928">
        <v>150007</v>
      </c>
      <c r="D29" s="928"/>
      <c r="E29" s="1396"/>
      <c r="F29" s="1389">
        <v>197</v>
      </c>
      <c r="G29" s="1389">
        <v>347</v>
      </c>
      <c r="H29" s="1389"/>
      <c r="I29" s="1389"/>
      <c r="J29" s="1098"/>
      <c r="K29" s="1098"/>
      <c r="N29" s="1097">
        <v>40741</v>
      </c>
      <c r="O29" s="928">
        <v>5380</v>
      </c>
      <c r="P29" s="928"/>
      <c r="Q29" s="1097"/>
      <c r="R29" s="1097"/>
      <c r="S29" s="1097"/>
      <c r="T29" s="1098"/>
      <c r="U29" s="1097"/>
      <c r="V29" s="1098"/>
      <c r="W29" s="1098"/>
      <c r="X29" s="928"/>
      <c r="Y29" s="1097"/>
      <c r="Z29" s="1097"/>
      <c r="AA29" s="1097"/>
      <c r="AB29" s="1097"/>
      <c r="AC29" s="1097"/>
      <c r="AD29" s="1097"/>
      <c r="AE29" s="1097"/>
      <c r="AF29" s="1097"/>
      <c r="AG29" s="1097"/>
      <c r="AH29" s="1097"/>
      <c r="AI29" s="1097"/>
      <c r="AJ29" s="1097"/>
      <c r="AK29" s="1097"/>
      <c r="AL29" s="1097"/>
      <c r="AM29" s="1097"/>
      <c r="AN29" s="1097"/>
      <c r="AO29" s="1097"/>
      <c r="AP29" s="1097"/>
      <c r="AQ29" s="1097"/>
      <c r="AR29" s="1097"/>
      <c r="AS29" s="1097"/>
      <c r="AT29" s="1097"/>
      <c r="AU29" s="1097"/>
      <c r="AV29" s="1097"/>
      <c r="AW29" s="1097"/>
      <c r="AX29" s="1097"/>
      <c r="AY29" s="1097">
        <v>9</v>
      </c>
      <c r="AZ29" s="1098">
        <v>442</v>
      </c>
      <c r="BA29" s="1098">
        <v>10</v>
      </c>
      <c r="BB29" s="1097">
        <v>16</v>
      </c>
      <c r="BC29" s="1097"/>
      <c r="BD29" s="928"/>
      <c r="BH29" s="1098"/>
      <c r="BJ29" s="196">
        <v>27089</v>
      </c>
      <c r="BK29" s="1098"/>
      <c r="BL29" s="1098"/>
      <c r="BM29" s="1098"/>
      <c r="BQ29" s="1098"/>
      <c r="BR29" s="1098"/>
    </row>
    <row r="30" spans="1:71" x14ac:dyDescent="0.2">
      <c r="A30" s="392" t="s">
        <v>960</v>
      </c>
      <c r="B30" s="211">
        <f t="shared" si="21"/>
        <v>77945</v>
      </c>
      <c r="C30" s="928"/>
      <c r="D30" s="928"/>
      <c r="E30" s="1396"/>
      <c r="F30" s="1389"/>
      <c r="G30" s="1389"/>
      <c r="H30" s="1389"/>
      <c r="I30" s="1389"/>
      <c r="J30" s="1098"/>
      <c r="K30" s="1098"/>
      <c r="N30" s="1097">
        <v>36436</v>
      </c>
      <c r="O30" s="928">
        <v>10699</v>
      </c>
      <c r="P30" s="928">
        <v>3</v>
      </c>
      <c r="Q30" s="1097"/>
      <c r="R30" s="1097"/>
      <c r="S30" s="1097"/>
      <c r="T30" s="1098"/>
      <c r="U30" s="1097"/>
      <c r="V30" s="1098"/>
      <c r="W30" s="1098"/>
      <c r="X30" s="928"/>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8"/>
      <c r="BA30" s="1098"/>
      <c r="BB30" s="1097"/>
      <c r="BC30" s="1097"/>
      <c r="BD30" s="928"/>
      <c r="BH30" s="1097">
        <v>30807</v>
      </c>
      <c r="BJ30" s="196"/>
      <c r="BK30" s="1098"/>
      <c r="BL30" s="1098"/>
      <c r="BM30" s="1098"/>
      <c r="BQ30" s="1097"/>
      <c r="BR30" s="1098"/>
    </row>
    <row r="31" spans="1:71" x14ac:dyDescent="0.2">
      <c r="A31" s="392" t="s">
        <v>963</v>
      </c>
      <c r="B31" s="211">
        <f t="shared" si="21"/>
        <v>85058</v>
      </c>
      <c r="C31" s="928">
        <v>37439</v>
      </c>
      <c r="D31" s="928"/>
      <c r="E31" s="1396">
        <v>11680</v>
      </c>
      <c r="F31" s="1389">
        <v>3419</v>
      </c>
      <c r="G31" s="1389">
        <v>12793</v>
      </c>
      <c r="H31" s="1389"/>
      <c r="I31" s="1389">
        <v>9517</v>
      </c>
      <c r="J31" s="1098"/>
      <c r="K31" s="1098"/>
      <c r="N31" s="1097"/>
      <c r="O31" s="928">
        <v>5450</v>
      </c>
      <c r="P31" s="928"/>
      <c r="Q31" s="1097"/>
      <c r="R31" s="1097"/>
      <c r="S31" s="1097"/>
      <c r="T31" s="1098"/>
      <c r="U31" s="1097"/>
      <c r="V31" s="1098">
        <v>1025</v>
      </c>
      <c r="W31" s="1098"/>
      <c r="X31" s="928"/>
      <c r="Y31" s="1097"/>
      <c r="Z31" s="1097"/>
      <c r="AA31" s="1097"/>
      <c r="AB31" s="1097"/>
      <c r="AC31" s="1097"/>
      <c r="AD31" s="1097"/>
      <c r="AE31" s="1097"/>
      <c r="AF31" s="1097"/>
      <c r="AG31" s="1097"/>
      <c r="AH31" s="1097"/>
      <c r="AI31" s="1097"/>
      <c r="AJ31" s="1097"/>
      <c r="AK31" s="1097"/>
      <c r="AL31" s="1097"/>
      <c r="AM31" s="1097"/>
      <c r="AN31" s="1097"/>
      <c r="AO31" s="1097"/>
      <c r="AP31" s="1097"/>
      <c r="AQ31" s="1097"/>
      <c r="AR31" s="1097"/>
      <c r="AS31" s="1097"/>
      <c r="AT31" s="1097"/>
      <c r="AU31" s="1097"/>
      <c r="AV31" s="1097"/>
      <c r="AW31" s="1097"/>
      <c r="AX31" s="1097"/>
      <c r="AY31" s="1097"/>
      <c r="AZ31" s="1098"/>
      <c r="BA31" s="1098"/>
      <c r="BB31" s="1097"/>
      <c r="BC31" s="1097"/>
      <c r="BD31" s="928"/>
      <c r="BH31" s="1098"/>
      <c r="BJ31" s="196"/>
      <c r="BK31" s="1098"/>
      <c r="BL31" s="1098"/>
      <c r="BM31" s="1098"/>
      <c r="BQ31" s="1097"/>
      <c r="BR31" s="1098"/>
      <c r="BS31" s="211">
        <f>3734+1</f>
        <v>3735</v>
      </c>
    </row>
    <row r="32" spans="1:71" x14ac:dyDescent="0.2">
      <c r="A32" s="392" t="s">
        <v>1191</v>
      </c>
      <c r="B32" s="211">
        <f t="shared" si="21"/>
        <v>141012</v>
      </c>
      <c r="C32" s="928"/>
      <c r="D32" s="928"/>
      <c r="E32" s="1396">
        <v>297</v>
      </c>
      <c r="F32" s="1389">
        <v>554</v>
      </c>
      <c r="G32" s="1389"/>
      <c r="H32" s="1389"/>
      <c r="I32" s="1389"/>
      <c r="J32" s="1098"/>
      <c r="K32" s="1098"/>
      <c r="N32" s="1097"/>
      <c r="O32" s="928">
        <v>312</v>
      </c>
      <c r="P32" s="928"/>
      <c r="Q32" s="1097"/>
      <c r="R32" s="1097">
        <v>38310</v>
      </c>
      <c r="S32" s="1097">
        <v>2876</v>
      </c>
      <c r="T32" s="1098"/>
      <c r="U32" s="1097"/>
      <c r="V32" s="1098"/>
      <c r="W32" s="1098"/>
      <c r="X32" s="928"/>
      <c r="Y32" s="1097"/>
      <c r="Z32" s="1097"/>
      <c r="AA32" s="1097"/>
      <c r="AB32" s="1097"/>
      <c r="AC32" s="1097"/>
      <c r="AD32" s="1097"/>
      <c r="AE32" s="1097"/>
      <c r="AF32" s="1097"/>
      <c r="AG32" s="1097"/>
      <c r="AH32" s="1097"/>
      <c r="AI32" s="1097"/>
      <c r="AJ32" s="1097"/>
      <c r="AK32" s="1097"/>
      <c r="AL32" s="1097"/>
      <c r="AM32" s="1097"/>
      <c r="AN32" s="1097"/>
      <c r="AO32" s="1097"/>
      <c r="AP32" s="1097"/>
      <c r="AQ32" s="1097"/>
      <c r="AR32" s="1097"/>
      <c r="AS32" s="1097"/>
      <c r="AT32" s="1097"/>
      <c r="AU32" s="1097"/>
      <c r="AV32" s="1097"/>
      <c r="AW32" s="1097"/>
      <c r="AX32" s="1097"/>
      <c r="AY32" s="1097"/>
      <c r="AZ32" s="1098"/>
      <c r="BA32" s="1098"/>
      <c r="BB32" s="1097"/>
      <c r="BC32" s="1097"/>
      <c r="BD32" s="928"/>
      <c r="BH32" s="1098"/>
      <c r="BJ32" s="196"/>
      <c r="BK32" s="1098"/>
      <c r="BL32" s="1098"/>
      <c r="BM32" s="1098"/>
      <c r="BQ32" s="1097">
        <v>98663</v>
      </c>
      <c r="BR32" s="1098"/>
    </row>
    <row r="33" spans="1:71" x14ac:dyDescent="0.2">
      <c r="A33" s="392" t="s">
        <v>964</v>
      </c>
      <c r="B33" s="211">
        <f t="shared" si="21"/>
        <v>56717</v>
      </c>
      <c r="C33" s="928">
        <v>9929</v>
      </c>
      <c r="D33" s="928"/>
      <c r="E33" s="1389">
        <v>5562</v>
      </c>
      <c r="F33" s="1389"/>
      <c r="G33" s="1389"/>
      <c r="H33" s="1389"/>
      <c r="I33" s="1389"/>
      <c r="J33" s="1098"/>
      <c r="K33" s="1098"/>
      <c r="N33" s="1097"/>
      <c r="O33" s="928">
        <v>6438</v>
      </c>
      <c r="P33" s="928"/>
      <c r="Q33" s="1097"/>
      <c r="R33" s="1097"/>
      <c r="S33" s="1097"/>
      <c r="T33" s="1098"/>
      <c r="U33" s="1097"/>
      <c r="V33" s="1098"/>
      <c r="W33" s="1098"/>
      <c r="X33" s="928">
        <v>30585</v>
      </c>
      <c r="Y33" s="1097"/>
      <c r="Z33" s="1097"/>
      <c r="AA33" s="1097"/>
      <c r="AB33" s="1097"/>
      <c r="AC33" s="1097"/>
      <c r="AD33" s="1097"/>
      <c r="AE33" s="1097"/>
      <c r="AF33" s="1097"/>
      <c r="AG33" s="1097"/>
      <c r="AH33" s="1097"/>
      <c r="AI33" s="1097"/>
      <c r="AJ33" s="1097"/>
      <c r="AK33" s="1097"/>
      <c r="AL33" s="1097"/>
      <c r="AM33" s="1097"/>
      <c r="AN33" s="1097"/>
      <c r="AO33" s="1097"/>
      <c r="AP33" s="1097"/>
      <c r="AQ33" s="1097"/>
      <c r="AR33" s="1097"/>
      <c r="AS33" s="1097"/>
      <c r="AT33" s="1097"/>
      <c r="AU33" s="1097"/>
      <c r="AV33" s="1097"/>
      <c r="AW33" s="1097"/>
      <c r="AX33" s="1097"/>
      <c r="AY33" s="1097"/>
      <c r="AZ33" s="1098"/>
      <c r="BA33" s="1098"/>
      <c r="BB33" s="1097"/>
      <c r="BC33" s="1097"/>
      <c r="BD33" s="928"/>
      <c r="BE33" s="211">
        <v>1</v>
      </c>
      <c r="BH33" s="1098"/>
      <c r="BJ33" s="196"/>
      <c r="BK33" s="1098"/>
      <c r="BL33" s="1098">
        <v>4</v>
      </c>
      <c r="BM33" s="1098">
        <v>259</v>
      </c>
      <c r="BP33" s="211">
        <v>3939</v>
      </c>
      <c r="BQ33" s="1097"/>
      <c r="BR33" s="1098"/>
    </row>
    <row r="34" spans="1:71" x14ac:dyDescent="0.2">
      <c r="A34" s="392" t="s">
        <v>1414</v>
      </c>
      <c r="B34" s="211">
        <f t="shared" si="21"/>
        <v>3619</v>
      </c>
      <c r="C34" s="928">
        <v>3225</v>
      </c>
      <c r="D34" s="928"/>
      <c r="E34" s="1396"/>
      <c r="F34" s="1389">
        <v>280</v>
      </c>
      <c r="G34" s="1389"/>
      <c r="H34" s="1389"/>
      <c r="I34" s="1389"/>
      <c r="J34" s="1098"/>
      <c r="K34" s="1098"/>
      <c r="N34" s="1097"/>
      <c r="O34" s="928">
        <v>114</v>
      </c>
      <c r="P34" s="928"/>
      <c r="Q34" s="1097"/>
      <c r="R34" s="1097"/>
      <c r="S34" s="1097"/>
      <c r="T34" s="1098"/>
      <c r="U34" s="1097"/>
      <c r="V34" s="1098"/>
      <c r="W34" s="1098"/>
      <c r="X34" s="928"/>
      <c r="Y34" s="1097"/>
      <c r="Z34" s="1097"/>
      <c r="AA34" s="1097"/>
      <c r="AB34" s="1097"/>
      <c r="AC34" s="1097"/>
      <c r="AD34" s="1097"/>
      <c r="AE34" s="1097"/>
      <c r="AF34" s="1097"/>
      <c r="AG34" s="1097"/>
      <c r="AH34" s="1097"/>
      <c r="AI34" s="1097"/>
      <c r="AJ34" s="1097"/>
      <c r="AK34" s="1097"/>
      <c r="AL34" s="1097"/>
      <c r="AM34" s="1097"/>
      <c r="AN34" s="1097"/>
      <c r="AO34" s="1097"/>
      <c r="AP34" s="1097"/>
      <c r="AQ34" s="1097"/>
      <c r="AR34" s="1097"/>
      <c r="AS34" s="1097"/>
      <c r="AT34" s="1097"/>
      <c r="AU34" s="1097"/>
      <c r="AV34" s="1097"/>
      <c r="AW34" s="1097"/>
      <c r="AX34" s="1097"/>
      <c r="AY34" s="1097"/>
      <c r="AZ34" s="1098"/>
      <c r="BA34" s="1098"/>
      <c r="BB34" s="1097"/>
      <c r="BC34" s="1097"/>
      <c r="BD34" s="928"/>
      <c r="BH34" s="1098"/>
      <c r="BJ34" s="196"/>
      <c r="BK34" s="1098"/>
      <c r="BL34" s="1098"/>
      <c r="BM34" s="1098"/>
      <c r="BQ34" s="1097"/>
      <c r="BR34" s="1098"/>
    </row>
    <row r="35" spans="1:71" x14ac:dyDescent="0.2">
      <c r="A35" s="391" t="s">
        <v>888</v>
      </c>
      <c r="B35" s="211">
        <f t="shared" si="21"/>
        <v>553157</v>
      </c>
      <c r="C35" s="928"/>
      <c r="D35" s="928"/>
      <c r="E35" s="1396"/>
      <c r="F35" s="1389"/>
      <c r="G35" s="1389"/>
      <c r="H35" s="1389"/>
      <c r="I35" s="1389"/>
      <c r="J35" s="1098"/>
      <c r="K35" s="1098"/>
      <c r="N35" s="1097"/>
      <c r="O35" s="928"/>
      <c r="P35" s="928"/>
      <c r="Q35" s="1097"/>
      <c r="R35" s="1097"/>
      <c r="S35" s="1097"/>
      <c r="T35" s="1098"/>
      <c r="U35" s="1097"/>
      <c r="V35" s="1098"/>
      <c r="W35" s="1098"/>
      <c r="X35" s="928"/>
      <c r="Y35" s="1097"/>
      <c r="Z35" s="1097"/>
      <c r="AA35" s="1097"/>
      <c r="AB35" s="1097">
        <v>0</v>
      </c>
      <c r="AC35" s="1097">
        <v>0</v>
      </c>
      <c r="AD35" s="1097">
        <v>0</v>
      </c>
      <c r="AE35" s="1097">
        <v>0</v>
      </c>
      <c r="AF35" s="1097">
        <v>262327</v>
      </c>
      <c r="AG35" s="1097">
        <v>0</v>
      </c>
      <c r="AH35" s="1097">
        <v>0</v>
      </c>
      <c r="AI35" s="1097">
        <v>0</v>
      </c>
      <c r="AJ35" s="1097">
        <v>0</v>
      </c>
      <c r="AK35" s="1097">
        <v>0</v>
      </c>
      <c r="AL35" s="1097">
        <v>0</v>
      </c>
      <c r="AM35" s="1097">
        <v>0</v>
      </c>
      <c r="AN35" s="1097">
        <v>0</v>
      </c>
      <c r="AO35" s="1097">
        <v>0</v>
      </c>
      <c r="AP35" s="1097">
        <v>0</v>
      </c>
      <c r="AQ35" s="1097">
        <v>0</v>
      </c>
      <c r="AR35" s="1097">
        <f>49096+522</f>
        <v>49618</v>
      </c>
      <c r="AS35" s="1097">
        <v>0</v>
      </c>
      <c r="AT35" s="1097">
        <v>240432</v>
      </c>
      <c r="AU35" s="1097">
        <v>0</v>
      </c>
      <c r="AV35" s="1097">
        <v>0</v>
      </c>
      <c r="AW35" s="1097">
        <v>0</v>
      </c>
      <c r="AX35" s="1097">
        <v>0</v>
      </c>
      <c r="AY35" s="1097"/>
      <c r="AZ35" s="1098"/>
      <c r="BA35" s="1098"/>
      <c r="BB35" s="1097"/>
      <c r="BC35" s="1097"/>
      <c r="BD35" s="928"/>
      <c r="BH35" s="1098"/>
      <c r="BJ35" s="196"/>
      <c r="BK35" s="1098"/>
      <c r="BL35" s="1098"/>
      <c r="BM35" s="1098"/>
      <c r="BQ35" s="1097">
        <v>780</v>
      </c>
      <c r="BR35" s="1098"/>
    </row>
    <row r="36" spans="1:71" x14ac:dyDescent="0.2">
      <c r="A36" s="391" t="s">
        <v>965</v>
      </c>
      <c r="B36" s="211">
        <f t="shared" si="21"/>
        <v>0</v>
      </c>
      <c r="C36" s="928"/>
      <c r="D36" s="928"/>
      <c r="E36" s="1396"/>
      <c r="F36" s="1389"/>
      <c r="G36" s="1389"/>
      <c r="H36" s="1389"/>
      <c r="I36" s="1389"/>
      <c r="J36" s="1098"/>
      <c r="K36" s="1098"/>
      <c r="N36" s="1097"/>
      <c r="O36" s="928"/>
      <c r="P36" s="928"/>
      <c r="Q36" s="1097"/>
      <c r="R36" s="1097"/>
      <c r="S36" s="1097"/>
      <c r="T36" s="1098"/>
      <c r="U36" s="1097"/>
      <c r="V36" s="1098"/>
      <c r="W36" s="1098"/>
      <c r="X36" s="928"/>
      <c r="Y36" s="1097"/>
      <c r="Z36" s="1097"/>
      <c r="AA36" s="1097"/>
      <c r="AB36" s="1097"/>
      <c r="AC36" s="1097"/>
      <c r="AD36" s="1097"/>
      <c r="AE36" s="1097"/>
      <c r="AF36" s="1097"/>
      <c r="AG36" s="1097"/>
      <c r="AH36" s="1097"/>
      <c r="AI36" s="1097"/>
      <c r="AJ36" s="1097"/>
      <c r="AK36" s="1097"/>
      <c r="AL36" s="1097"/>
      <c r="AM36" s="1097"/>
      <c r="AN36" s="1097"/>
      <c r="AO36" s="1097"/>
      <c r="AP36" s="1097"/>
      <c r="AQ36" s="1097"/>
      <c r="AR36" s="1097"/>
      <c r="AS36" s="1097"/>
      <c r="AT36" s="1097"/>
      <c r="AU36" s="1097"/>
      <c r="AV36" s="1097"/>
      <c r="AW36" s="1097"/>
      <c r="AX36" s="1097"/>
      <c r="AY36" s="1097"/>
      <c r="AZ36" s="1098"/>
      <c r="BA36" s="1098"/>
      <c r="BB36" s="1097"/>
      <c r="BC36" s="1097"/>
      <c r="BD36" s="928"/>
      <c r="BH36" s="1098"/>
      <c r="BJ36" s="196"/>
      <c r="BK36" s="1098"/>
      <c r="BL36" s="1098"/>
      <c r="BM36" s="1098"/>
      <c r="BQ36" s="1098"/>
      <c r="BR36" s="1098"/>
    </row>
    <row r="37" spans="1:71" x14ac:dyDescent="0.2">
      <c r="A37" s="392" t="s">
        <v>966</v>
      </c>
      <c r="B37" s="211">
        <f t="shared" si="21"/>
        <v>272959</v>
      </c>
      <c r="C37" s="928"/>
      <c r="D37" s="928">
        <v>234610</v>
      </c>
      <c r="E37" s="1396"/>
      <c r="F37" s="1389"/>
      <c r="G37" s="1389"/>
      <c r="H37" s="1389"/>
      <c r="I37" s="1389"/>
      <c r="J37" s="1098"/>
      <c r="K37" s="1098"/>
      <c r="N37" s="1097"/>
      <c r="O37" s="928"/>
      <c r="P37" s="928"/>
      <c r="Q37" s="1097"/>
      <c r="R37" s="1097"/>
      <c r="S37" s="1097"/>
      <c r="T37" s="1098"/>
      <c r="U37" s="1097"/>
      <c r="V37" s="1098"/>
      <c r="W37" s="1098"/>
      <c r="X37" s="928"/>
      <c r="Y37" s="1097"/>
      <c r="Z37" s="1097"/>
      <c r="AA37" s="1097"/>
      <c r="AB37" s="1097"/>
      <c r="AC37" s="1097"/>
      <c r="AD37" s="1097"/>
      <c r="AE37" s="1097"/>
      <c r="AF37" s="1097"/>
      <c r="AG37" s="1097"/>
      <c r="AH37" s="1097"/>
      <c r="AI37" s="1097"/>
      <c r="AJ37" s="1097"/>
      <c r="AK37" s="1097"/>
      <c r="AL37" s="1097"/>
      <c r="AM37" s="1097"/>
      <c r="AN37" s="1097"/>
      <c r="AO37" s="1097"/>
      <c r="AP37" s="1097"/>
      <c r="AQ37" s="1097"/>
      <c r="AR37" s="1097"/>
      <c r="AS37" s="1097"/>
      <c r="AT37" s="1097"/>
      <c r="AU37" s="1097"/>
      <c r="AV37" s="1097"/>
      <c r="AW37" s="1097"/>
      <c r="AX37" s="1097"/>
      <c r="AY37" s="1097"/>
      <c r="AZ37" s="1098"/>
      <c r="BA37" s="1098"/>
      <c r="BB37" s="1097"/>
      <c r="BC37" s="1097"/>
      <c r="BD37" s="928"/>
      <c r="BH37" s="1098">
        <v>23</v>
      </c>
      <c r="BJ37" s="196">
        <v>1211</v>
      </c>
      <c r="BK37" s="1098">
        <v>31975</v>
      </c>
      <c r="BL37" s="1098">
        <v>1100</v>
      </c>
      <c r="BM37" s="1098"/>
      <c r="BQ37" s="1098"/>
      <c r="BR37" s="1097">
        <v>4040</v>
      </c>
    </row>
    <row r="38" spans="1:71" x14ac:dyDescent="0.2">
      <c r="A38" s="392" t="s">
        <v>949</v>
      </c>
      <c r="B38" s="211">
        <f t="shared" si="21"/>
        <v>118276</v>
      </c>
      <c r="C38" s="928"/>
      <c r="D38" s="928">
        <v>87936</v>
      </c>
      <c r="E38" s="1396"/>
      <c r="F38" s="1389"/>
      <c r="G38" s="1389"/>
      <c r="H38" s="1389"/>
      <c r="I38" s="1389"/>
      <c r="J38" s="1098"/>
      <c r="K38" s="1098"/>
      <c r="N38" s="1097"/>
      <c r="O38" s="928"/>
      <c r="P38" s="928"/>
      <c r="Q38" s="1097"/>
      <c r="R38" s="1097"/>
      <c r="S38" s="1097"/>
      <c r="T38" s="1098"/>
      <c r="U38" s="1097"/>
      <c r="V38" s="1098"/>
      <c r="W38" s="1098"/>
      <c r="X38" s="928"/>
      <c r="Y38" s="1097"/>
      <c r="Z38" s="1097"/>
      <c r="AA38" s="1097"/>
      <c r="AB38" s="1097"/>
      <c r="AC38" s="1097"/>
      <c r="AD38" s="1097"/>
      <c r="AE38" s="1097"/>
      <c r="AF38" s="1097"/>
      <c r="AG38" s="1097"/>
      <c r="AH38" s="1097"/>
      <c r="AI38" s="1097"/>
      <c r="AJ38" s="1097"/>
      <c r="AK38" s="1097"/>
      <c r="AL38" s="1097"/>
      <c r="AM38" s="1097"/>
      <c r="AN38" s="1097"/>
      <c r="AO38" s="1097"/>
      <c r="AP38" s="1097"/>
      <c r="AQ38" s="1097"/>
      <c r="AR38" s="1097"/>
      <c r="AS38" s="1097"/>
      <c r="AT38" s="1097"/>
      <c r="AU38" s="1097"/>
      <c r="AV38" s="1097"/>
      <c r="AW38" s="1097"/>
      <c r="AX38" s="1097"/>
      <c r="AY38" s="1097"/>
      <c r="AZ38" s="1098"/>
      <c r="BA38" s="1098"/>
      <c r="BB38" s="1097"/>
      <c r="BC38" s="1097"/>
      <c r="BD38" s="928"/>
      <c r="BH38" s="1098"/>
      <c r="BJ38" s="196">
        <v>201</v>
      </c>
      <c r="BK38" s="1098">
        <v>4812</v>
      </c>
      <c r="BL38" s="1098">
        <v>560</v>
      </c>
      <c r="BM38" s="1098"/>
      <c r="BQ38" s="1098"/>
      <c r="BR38" s="1097">
        <v>24767</v>
      </c>
    </row>
    <row r="39" spans="1:71" x14ac:dyDescent="0.2">
      <c r="A39" s="392" t="s">
        <v>91</v>
      </c>
      <c r="B39" s="211">
        <f t="shared" si="21"/>
        <v>2731</v>
      </c>
      <c r="C39" s="928"/>
      <c r="D39" s="928"/>
      <c r="E39" s="1396"/>
      <c r="F39" s="1389"/>
      <c r="G39" s="1389"/>
      <c r="H39" s="1389"/>
      <c r="I39" s="1389"/>
      <c r="J39" s="1098"/>
      <c r="K39" s="1098"/>
      <c r="N39" s="1097"/>
      <c r="O39" s="928"/>
      <c r="P39" s="928"/>
      <c r="Q39" s="1097"/>
      <c r="R39" s="1097"/>
      <c r="S39" s="1097"/>
      <c r="T39" s="1098"/>
      <c r="U39" s="1097"/>
      <c r="V39" s="1098"/>
      <c r="W39" s="1098"/>
      <c r="X39" s="928"/>
      <c r="Y39" s="1097"/>
      <c r="Z39" s="1097"/>
      <c r="AA39" s="1097"/>
      <c r="AB39" s="1097"/>
      <c r="AC39" s="1097"/>
      <c r="AD39" s="1097">
        <v>2429</v>
      </c>
      <c r="AE39" s="1097"/>
      <c r="AF39" s="1097"/>
      <c r="AG39" s="1097"/>
      <c r="AH39" s="1097"/>
      <c r="AI39" s="1097"/>
      <c r="AJ39" s="1097"/>
      <c r="AK39" s="1097"/>
      <c r="AL39" s="1097">
        <v>258</v>
      </c>
      <c r="AM39" s="1097">
        <v>0</v>
      </c>
      <c r="AN39" s="1097"/>
      <c r="AO39" s="1097"/>
      <c r="AP39" s="1097"/>
      <c r="AQ39" s="1097"/>
      <c r="AR39" s="1097"/>
      <c r="AS39" s="1097"/>
      <c r="AT39" s="1097"/>
      <c r="AU39" s="1097"/>
      <c r="AV39" s="1097"/>
      <c r="AW39" s="1097">
        <v>44</v>
      </c>
      <c r="AX39" s="1097"/>
      <c r="AY39" s="1097"/>
      <c r="AZ39" s="1098"/>
      <c r="BA39" s="1098"/>
      <c r="BB39" s="1097"/>
      <c r="BC39" s="1097"/>
      <c r="BD39" s="928"/>
      <c r="BH39" s="1098"/>
      <c r="BJ39" s="196"/>
      <c r="BK39" s="1098"/>
      <c r="BL39" s="1098"/>
      <c r="BM39" s="1098"/>
      <c r="BQ39" s="1098"/>
      <c r="BR39" s="1098"/>
    </row>
    <row r="40" spans="1:71" x14ac:dyDescent="0.2">
      <c r="A40" s="392" t="s">
        <v>968</v>
      </c>
      <c r="B40" s="211">
        <f t="shared" si="21"/>
        <v>2731</v>
      </c>
      <c r="C40" s="928"/>
      <c r="D40" s="928"/>
      <c r="E40" s="1396"/>
      <c r="F40" s="1389"/>
      <c r="G40" s="1389"/>
      <c r="H40" s="1389"/>
      <c r="I40" s="1389"/>
      <c r="J40" s="1098"/>
      <c r="K40" s="1098"/>
      <c r="N40" s="1097"/>
      <c r="O40" s="928"/>
      <c r="P40" s="928"/>
      <c r="Q40" s="1097"/>
      <c r="R40" s="1097"/>
      <c r="S40" s="1097"/>
      <c r="T40" s="1098"/>
      <c r="U40" s="1097"/>
      <c r="V40" s="1098"/>
      <c r="W40" s="1098"/>
      <c r="X40" s="928"/>
      <c r="Y40" s="1097"/>
      <c r="Z40" s="1097"/>
      <c r="AA40" s="1097"/>
      <c r="AB40" s="1097">
        <v>0</v>
      </c>
      <c r="AC40" s="1097">
        <v>0</v>
      </c>
      <c r="AD40" s="1097">
        <v>0</v>
      </c>
      <c r="AE40" s="1097">
        <v>1180</v>
      </c>
      <c r="AF40" s="1097">
        <v>0</v>
      </c>
      <c r="AG40" s="1097">
        <v>0</v>
      </c>
      <c r="AH40" s="1097">
        <v>0</v>
      </c>
      <c r="AI40" s="1097">
        <v>0</v>
      </c>
      <c r="AJ40" s="1097">
        <v>0</v>
      </c>
      <c r="AK40" s="1097">
        <v>0</v>
      </c>
      <c r="AL40" s="1097">
        <v>0</v>
      </c>
      <c r="AM40" s="1097">
        <v>0</v>
      </c>
      <c r="AN40" s="1097">
        <v>0</v>
      </c>
      <c r="AO40" s="1097">
        <v>0</v>
      </c>
      <c r="AP40" s="1097">
        <v>13</v>
      </c>
      <c r="AQ40" s="1097">
        <v>1001</v>
      </c>
      <c r="AR40" s="1097">
        <v>0</v>
      </c>
      <c r="AS40" s="1097">
        <v>0</v>
      </c>
      <c r="AT40" s="1097">
        <v>0</v>
      </c>
      <c r="AU40" s="1097">
        <v>0</v>
      </c>
      <c r="AV40" s="1097">
        <v>0</v>
      </c>
      <c r="AW40" s="1097">
        <v>312</v>
      </c>
      <c r="AX40" s="1097"/>
      <c r="AY40" s="1097"/>
      <c r="AZ40" s="1098"/>
      <c r="BA40" s="1098"/>
      <c r="BB40" s="1097"/>
      <c r="BC40" s="1097"/>
      <c r="BD40" s="928"/>
      <c r="BH40" s="1098"/>
      <c r="BJ40" s="196"/>
      <c r="BK40" s="1098">
        <v>225</v>
      </c>
      <c r="BL40" s="1098"/>
      <c r="BM40" s="1098"/>
      <c r="BQ40" s="1098"/>
      <c r="BR40" s="1098"/>
    </row>
    <row r="41" spans="1:71" x14ac:dyDescent="0.2">
      <c r="A41" s="391" t="s">
        <v>1595</v>
      </c>
      <c r="B41" s="211">
        <f t="shared" si="21"/>
        <v>0</v>
      </c>
      <c r="C41" s="928"/>
      <c r="D41" s="928"/>
      <c r="E41" s="1396"/>
      <c r="F41" s="1389"/>
      <c r="G41" s="1389"/>
      <c r="H41" s="1389"/>
      <c r="I41" s="1389"/>
      <c r="J41" s="1098"/>
      <c r="K41" s="1098"/>
      <c r="N41" s="1097"/>
      <c r="O41" s="928"/>
      <c r="P41" s="928"/>
      <c r="Q41" s="1097"/>
      <c r="R41" s="1097"/>
      <c r="S41" s="1097"/>
      <c r="T41" s="1098"/>
      <c r="U41" s="1097"/>
      <c r="V41" s="1098"/>
      <c r="W41" s="1098"/>
      <c r="X41" s="928"/>
      <c r="Y41" s="1097"/>
      <c r="Z41" s="1097"/>
      <c r="AA41" s="1097"/>
      <c r="AB41" s="1097"/>
      <c r="AC41" s="1097"/>
      <c r="AD41" s="1097"/>
      <c r="AE41" s="1097"/>
      <c r="AF41" s="1097"/>
      <c r="AG41" s="1097"/>
      <c r="AH41" s="1097"/>
      <c r="AI41" s="1097"/>
      <c r="AJ41" s="1097"/>
      <c r="AK41" s="1097"/>
      <c r="AL41" s="1097"/>
      <c r="AM41" s="1097"/>
      <c r="AN41" s="1097"/>
      <c r="AO41" s="1097"/>
      <c r="AP41" s="1097"/>
      <c r="AQ41" s="1097"/>
      <c r="AR41" s="1097"/>
      <c r="AS41" s="1097"/>
      <c r="AT41" s="1097"/>
      <c r="AU41" s="1097"/>
      <c r="AV41" s="1097"/>
      <c r="AW41" s="1097"/>
      <c r="AX41" s="1097"/>
      <c r="AY41" s="1097"/>
      <c r="AZ41" s="1098"/>
      <c r="BA41" s="1098"/>
      <c r="BB41" s="1097"/>
      <c r="BC41" s="1097"/>
      <c r="BD41" s="928"/>
      <c r="BH41" s="1098"/>
      <c r="BJ41" s="196"/>
      <c r="BK41" s="1098"/>
      <c r="BL41" s="1098"/>
      <c r="BM41" s="1098"/>
      <c r="BQ41" s="1098"/>
      <c r="BR41" s="1098"/>
    </row>
    <row r="42" spans="1:71" x14ac:dyDescent="0.2">
      <c r="A42" s="392" t="s">
        <v>966</v>
      </c>
      <c r="B42" s="211">
        <f t="shared" si="21"/>
        <v>10220</v>
      </c>
      <c r="C42" s="928">
        <v>2902</v>
      </c>
      <c r="D42" s="928"/>
      <c r="E42" s="1396">
        <v>1319</v>
      </c>
      <c r="F42" s="1389">
        <v>2966</v>
      </c>
      <c r="G42" s="1389"/>
      <c r="H42" s="1389"/>
      <c r="I42" s="1389"/>
      <c r="J42" s="1098"/>
      <c r="K42" s="1098"/>
      <c r="N42" s="1097">
        <v>14</v>
      </c>
      <c r="O42" s="928">
        <v>51</v>
      </c>
      <c r="P42" s="928"/>
      <c r="Q42" s="1097"/>
      <c r="R42" s="1097"/>
      <c r="S42" s="1097"/>
      <c r="T42" s="1098"/>
      <c r="U42" s="1097">
        <v>1</v>
      </c>
      <c r="V42" s="1098"/>
      <c r="W42" s="1098">
        <v>5</v>
      </c>
      <c r="X42" s="928"/>
      <c r="Y42" s="1097"/>
      <c r="Z42" s="1097"/>
      <c r="AA42" s="1097"/>
      <c r="AB42" s="1097"/>
      <c r="AC42" s="1097"/>
      <c r="AD42" s="1097"/>
      <c r="AE42" s="1097"/>
      <c r="AF42" s="1097"/>
      <c r="AG42" s="1097"/>
      <c r="AH42" s="1097"/>
      <c r="AI42" s="1097"/>
      <c r="AJ42" s="1097"/>
      <c r="AK42" s="1097"/>
      <c r="AL42" s="1097"/>
      <c r="AM42" s="1097"/>
      <c r="AN42" s="1097"/>
      <c r="AO42" s="1097"/>
      <c r="AP42" s="1097"/>
      <c r="AQ42" s="1097"/>
      <c r="AR42" s="1097"/>
      <c r="AS42" s="1097"/>
      <c r="AT42" s="1097"/>
      <c r="AU42" s="1097"/>
      <c r="AV42" s="1097"/>
      <c r="AW42" s="1097"/>
      <c r="AX42" s="1097"/>
      <c r="AY42" s="1097"/>
      <c r="AZ42" s="1098"/>
      <c r="BA42" s="1098"/>
      <c r="BB42" s="1097"/>
      <c r="BC42" s="1097"/>
      <c r="BD42" s="928"/>
      <c r="BH42" s="1098"/>
      <c r="BJ42" s="196">
        <f>1311-943</f>
        <v>368</v>
      </c>
      <c r="BK42" s="1098"/>
      <c r="BL42" s="1098"/>
      <c r="BM42" s="1098"/>
      <c r="BP42" s="211">
        <v>69</v>
      </c>
      <c r="BQ42" s="1098">
        <v>2525</v>
      </c>
      <c r="BR42" s="1098"/>
    </row>
    <row r="43" spans="1:71" x14ac:dyDescent="0.2">
      <c r="A43" s="392" t="s">
        <v>949</v>
      </c>
      <c r="B43" s="211">
        <f t="shared" si="21"/>
        <v>1428</v>
      </c>
      <c r="C43" s="928">
        <v>497</v>
      </c>
      <c r="D43" s="928"/>
      <c r="E43" s="1396">
        <v>25</v>
      </c>
      <c r="F43" s="1389">
        <v>409</v>
      </c>
      <c r="G43" s="1389"/>
      <c r="H43" s="1389"/>
      <c r="I43" s="1389"/>
      <c r="J43" s="1098"/>
      <c r="K43" s="1098"/>
      <c r="N43" s="1097">
        <v>1</v>
      </c>
      <c r="O43" s="928">
        <v>1</v>
      </c>
      <c r="P43" s="928"/>
      <c r="Q43" s="1097"/>
      <c r="R43" s="1097"/>
      <c r="S43" s="1097"/>
      <c r="T43" s="1098"/>
      <c r="U43" s="1097"/>
      <c r="V43" s="1098"/>
      <c r="W43" s="1098"/>
      <c r="X43" s="928"/>
      <c r="Y43" s="1097"/>
      <c r="Z43" s="1097"/>
      <c r="AA43" s="1097"/>
      <c r="AB43" s="1097"/>
      <c r="AC43" s="1097"/>
      <c r="AD43" s="1097"/>
      <c r="AE43" s="1097"/>
      <c r="AF43" s="1097"/>
      <c r="AG43" s="1097"/>
      <c r="AH43" s="1097"/>
      <c r="AI43" s="1097"/>
      <c r="AJ43" s="1097"/>
      <c r="AK43" s="1097"/>
      <c r="AL43" s="1097"/>
      <c r="AM43" s="1097"/>
      <c r="AN43" s="1097"/>
      <c r="AO43" s="1097"/>
      <c r="AP43" s="1097"/>
      <c r="AQ43" s="1097"/>
      <c r="AR43" s="1097"/>
      <c r="AS43" s="1097"/>
      <c r="AT43" s="1097"/>
      <c r="AU43" s="1097"/>
      <c r="AV43" s="1097"/>
      <c r="AW43" s="1097"/>
      <c r="AX43" s="1097"/>
      <c r="AY43" s="1097"/>
      <c r="AZ43" s="1098"/>
      <c r="BA43" s="1098"/>
      <c r="BB43" s="1097"/>
      <c r="BC43" s="1097"/>
      <c r="BD43" s="928"/>
      <c r="BH43" s="1098"/>
      <c r="BJ43" s="196">
        <f>38-7</f>
        <v>31</v>
      </c>
      <c r="BK43" s="1098"/>
      <c r="BL43" s="1098"/>
      <c r="BM43" s="1098"/>
      <c r="BP43" s="211">
        <v>208</v>
      </c>
      <c r="BQ43" s="1098">
        <v>256</v>
      </c>
      <c r="BR43" s="1098"/>
    </row>
    <row r="44" spans="1:71" x14ac:dyDescent="0.2">
      <c r="A44" s="391" t="s">
        <v>1641</v>
      </c>
      <c r="B44" s="211">
        <f t="shared" si="21"/>
        <v>0</v>
      </c>
      <c r="C44"/>
      <c r="D44" s="928"/>
      <c r="E44" s="1396"/>
      <c r="F44" s="1389"/>
      <c r="G44" s="1389"/>
      <c r="H44" s="1389"/>
      <c r="I44" s="1389"/>
      <c r="J44" s="1098"/>
      <c r="K44" s="1098"/>
      <c r="N44" s="1097"/>
      <c r="O44" s="928"/>
      <c r="P44" s="928"/>
      <c r="Q44" s="1097"/>
      <c r="R44" s="1097"/>
      <c r="S44" s="1097"/>
      <c r="T44" s="1098"/>
      <c r="U44" s="1097"/>
      <c r="V44" s="1098"/>
      <c r="W44" s="1098"/>
      <c r="X44" s="928"/>
      <c r="Y44" s="1097"/>
      <c r="Z44" s="1097"/>
      <c r="AA44" s="1097"/>
      <c r="AB44" s="1097"/>
      <c r="AC44" s="1097"/>
      <c r="AD44" s="1097"/>
      <c r="AE44" s="1097"/>
      <c r="AF44" s="1097"/>
      <c r="AG44" s="1097"/>
      <c r="AH44" s="1097"/>
      <c r="AI44" s="1097"/>
      <c r="AJ44" s="1097"/>
      <c r="AK44" s="1097"/>
      <c r="AL44" s="1097"/>
      <c r="AM44" s="1097"/>
      <c r="AN44" s="1097"/>
      <c r="AO44" s="1097"/>
      <c r="AP44" s="1097"/>
      <c r="AQ44" s="1097"/>
      <c r="AR44" s="1097"/>
      <c r="AS44" s="1097"/>
      <c r="AT44" s="1097"/>
      <c r="AU44" s="1097"/>
      <c r="AV44" s="1097"/>
      <c r="AW44" s="1097"/>
      <c r="AX44" s="1097"/>
      <c r="AY44" s="1097"/>
      <c r="AZ44" s="1098"/>
      <c r="BA44" s="1098"/>
      <c r="BB44" s="1097"/>
      <c r="BC44" s="1097"/>
      <c r="BD44" s="928"/>
      <c r="BH44" s="1098"/>
      <c r="BJ44" s="196"/>
      <c r="BK44" s="1098"/>
      <c r="BL44" s="1098"/>
      <c r="BM44" s="1098"/>
      <c r="BQ44"/>
      <c r="BR44" s="1098"/>
    </row>
    <row r="45" spans="1:71" x14ac:dyDescent="0.2">
      <c r="A45" s="392" t="s">
        <v>966</v>
      </c>
      <c r="B45" s="211">
        <f t="shared" si="21"/>
        <v>7514</v>
      </c>
      <c r="C45" s="928">
        <v>6755</v>
      </c>
      <c r="D45" s="928"/>
      <c r="E45" s="1396"/>
      <c r="F45" s="1389">
        <v>57</v>
      </c>
      <c r="G45" s="1389"/>
      <c r="H45" s="1389">
        <v>62</v>
      </c>
      <c r="I45" s="1389"/>
      <c r="J45" s="1098"/>
      <c r="K45" s="1098">
        <v>3</v>
      </c>
      <c r="N45" s="1097">
        <v>280</v>
      </c>
      <c r="O45" s="928"/>
      <c r="P45" s="928"/>
      <c r="Q45" s="1097"/>
      <c r="R45" s="1097"/>
      <c r="S45" s="1097"/>
      <c r="T45" s="1098"/>
      <c r="U45" s="1097"/>
      <c r="V45" s="1098"/>
      <c r="W45" s="1098">
        <v>140</v>
      </c>
      <c r="X45" s="928"/>
      <c r="Y45" s="1097"/>
      <c r="Z45" s="1097"/>
      <c r="AA45" s="1097"/>
      <c r="AB45" s="1097"/>
      <c r="AC45" s="1097"/>
      <c r="AD45" s="1097"/>
      <c r="AE45" s="1097"/>
      <c r="AF45" s="1097"/>
      <c r="AG45" s="1097"/>
      <c r="AH45" s="1097"/>
      <c r="AI45" s="1097"/>
      <c r="AJ45" s="1097"/>
      <c r="AK45" s="1097"/>
      <c r="AL45" s="1097"/>
      <c r="AM45" s="1097"/>
      <c r="AN45" s="1097"/>
      <c r="AO45" s="1097"/>
      <c r="AP45" s="1097"/>
      <c r="AQ45" s="1097"/>
      <c r="AR45" s="1097"/>
      <c r="AS45" s="1097"/>
      <c r="AT45" s="1097"/>
      <c r="AU45" s="1097"/>
      <c r="AV45" s="1097"/>
      <c r="AW45" s="1097"/>
      <c r="AX45" s="1097"/>
      <c r="AY45" s="1097"/>
      <c r="AZ45" s="1098"/>
      <c r="BA45" s="1098"/>
      <c r="BB45" s="1097"/>
      <c r="BC45" s="1097"/>
      <c r="BD45" s="928"/>
      <c r="BH45" s="1098"/>
      <c r="BJ45" s="196"/>
      <c r="BK45" s="1098"/>
      <c r="BL45" s="1098"/>
      <c r="BM45" s="1098"/>
      <c r="BQ45" s="1098">
        <v>217</v>
      </c>
      <c r="BR45" s="1098"/>
    </row>
    <row r="46" spans="1:71" x14ac:dyDescent="0.2">
      <c r="A46" s="392" t="s">
        <v>949</v>
      </c>
      <c r="B46" s="211">
        <f t="shared" si="21"/>
        <v>2289</v>
      </c>
      <c r="C46" s="928">
        <v>2236</v>
      </c>
      <c r="D46" s="928"/>
      <c r="E46" s="1396"/>
      <c r="F46" s="1389">
        <v>0</v>
      </c>
      <c r="G46" s="1389"/>
      <c r="H46" s="1389">
        <v>3</v>
      </c>
      <c r="I46" s="1389"/>
      <c r="J46" s="1098"/>
      <c r="K46" s="1098"/>
      <c r="N46" s="1097">
        <v>11</v>
      </c>
      <c r="O46" s="928"/>
      <c r="P46" s="928"/>
      <c r="Q46" s="1097"/>
      <c r="R46" s="1097"/>
      <c r="S46" s="1097"/>
      <c r="T46" s="1098"/>
      <c r="U46" s="1097"/>
      <c r="V46" s="1098"/>
      <c r="W46" s="1098">
        <v>23</v>
      </c>
      <c r="X46" s="928"/>
      <c r="Y46" s="1097"/>
      <c r="Z46" s="1097"/>
      <c r="AA46" s="1097"/>
      <c r="AB46" s="1097"/>
      <c r="AC46" s="1097"/>
      <c r="AD46" s="1097"/>
      <c r="AE46" s="1097"/>
      <c r="AF46" s="1097"/>
      <c r="AG46" s="1097"/>
      <c r="AH46" s="1097"/>
      <c r="AI46" s="1097"/>
      <c r="AJ46" s="1097"/>
      <c r="AK46" s="1097"/>
      <c r="AL46" s="1097"/>
      <c r="AM46" s="1097"/>
      <c r="AN46" s="1097"/>
      <c r="AO46" s="1097"/>
      <c r="AP46" s="1097"/>
      <c r="AQ46" s="1097"/>
      <c r="AR46" s="1097"/>
      <c r="AS46" s="1097"/>
      <c r="AT46" s="1097"/>
      <c r="AU46" s="1097"/>
      <c r="AV46" s="1097"/>
      <c r="AW46" s="1097"/>
      <c r="AX46" s="1097"/>
      <c r="AY46" s="1097"/>
      <c r="AZ46" s="1098"/>
      <c r="BA46" s="1098"/>
      <c r="BB46" s="1097"/>
      <c r="BC46" s="1097"/>
      <c r="BD46" s="928"/>
      <c r="BH46" s="1098"/>
      <c r="BJ46" s="196"/>
      <c r="BK46" s="1098"/>
      <c r="BL46" s="1098"/>
      <c r="BM46" s="1098"/>
      <c r="BQ46" s="1098">
        <v>16</v>
      </c>
      <c r="BR46" s="1098"/>
    </row>
    <row r="47" spans="1:71" x14ac:dyDescent="0.2">
      <c r="A47" s="390" t="s">
        <v>970</v>
      </c>
      <c r="B47" s="213">
        <f>SUM(B23:B46)</f>
        <v>3306660</v>
      </c>
      <c r="C47" s="1143">
        <f t="shared" ref="C47" si="22">SUM(C23:C46)</f>
        <v>1531794</v>
      </c>
      <c r="D47" s="1099">
        <f t="shared" ref="D47:E47" si="23">SUM(D23:D46)</f>
        <v>323958</v>
      </c>
      <c r="E47" s="1143">
        <f t="shared" si="23"/>
        <v>80760</v>
      </c>
      <c r="F47" s="1143">
        <f>SUM(F23:F46)</f>
        <v>260696</v>
      </c>
      <c r="G47" s="1143">
        <f t="shared" ref="G47:I47" si="24">SUM(G23:G46)</f>
        <v>13667</v>
      </c>
      <c r="H47" s="1143">
        <f t="shared" si="24"/>
        <v>1013</v>
      </c>
      <c r="I47" s="1143">
        <f t="shared" si="24"/>
        <v>9517</v>
      </c>
      <c r="J47" s="213">
        <f t="shared" ref="J47:BO47" si="25">SUM(J23:J46)</f>
        <v>0</v>
      </c>
      <c r="K47" s="1099">
        <f t="shared" si="25"/>
        <v>8387</v>
      </c>
      <c r="L47" s="213">
        <f t="shared" si="25"/>
        <v>0</v>
      </c>
      <c r="M47" s="213">
        <f t="shared" si="25"/>
        <v>0</v>
      </c>
      <c r="N47" s="1143">
        <f>SUM(N23:N46)</f>
        <v>77483</v>
      </c>
      <c r="O47" s="1143">
        <f>SUM(O23:O43)</f>
        <v>58211</v>
      </c>
      <c r="P47" s="1099">
        <f t="shared" ref="P47:S47" si="26">SUM(P23:P46)</f>
        <v>3</v>
      </c>
      <c r="Q47" s="1099">
        <f t="shared" si="26"/>
        <v>0</v>
      </c>
      <c r="R47" s="1143">
        <f t="shared" si="26"/>
        <v>38310</v>
      </c>
      <c r="S47" s="1143">
        <f t="shared" si="26"/>
        <v>2876</v>
      </c>
      <c r="T47" s="1099">
        <f t="shared" ref="T47:U47" si="27">SUM(T23:T46)</f>
        <v>12586</v>
      </c>
      <c r="U47" s="1143">
        <f t="shared" si="27"/>
        <v>4003</v>
      </c>
      <c r="V47" s="213">
        <f t="shared" si="25"/>
        <v>1025</v>
      </c>
      <c r="W47" s="1099">
        <f t="shared" si="25"/>
        <v>46452</v>
      </c>
      <c r="X47" s="1099">
        <f t="shared" ref="X47" si="28">SUM(X23:X46)</f>
        <v>30585</v>
      </c>
      <c r="Y47" s="213">
        <f t="shared" si="25"/>
        <v>0</v>
      </c>
      <c r="Z47" s="213">
        <f t="shared" si="25"/>
        <v>0</v>
      </c>
      <c r="AA47" s="213">
        <f t="shared" si="25"/>
        <v>0</v>
      </c>
      <c r="AB47" s="1099">
        <f t="shared" si="25"/>
        <v>0</v>
      </c>
      <c r="AC47" s="1099">
        <f t="shared" si="25"/>
        <v>0</v>
      </c>
      <c r="AD47" s="1099">
        <f t="shared" si="25"/>
        <v>2429</v>
      </c>
      <c r="AE47" s="1099">
        <f t="shared" si="25"/>
        <v>1180</v>
      </c>
      <c r="AF47" s="1099">
        <f t="shared" si="25"/>
        <v>262327</v>
      </c>
      <c r="AG47" s="1099">
        <f t="shared" si="25"/>
        <v>0</v>
      </c>
      <c r="AH47" s="1099">
        <f t="shared" si="25"/>
        <v>0</v>
      </c>
      <c r="AI47" s="1099">
        <f t="shared" si="25"/>
        <v>0</v>
      </c>
      <c r="AJ47" s="1099">
        <f t="shared" si="25"/>
        <v>0</v>
      </c>
      <c r="AK47" s="1099">
        <f t="shared" si="25"/>
        <v>0</v>
      </c>
      <c r="AL47" s="1099">
        <f t="shared" si="25"/>
        <v>258</v>
      </c>
      <c r="AM47" s="1099">
        <f t="shared" si="25"/>
        <v>0</v>
      </c>
      <c r="AN47" s="1099">
        <f t="shared" si="25"/>
        <v>0</v>
      </c>
      <c r="AO47" s="1099">
        <f t="shared" si="25"/>
        <v>0</v>
      </c>
      <c r="AP47" s="1099">
        <f t="shared" si="25"/>
        <v>13</v>
      </c>
      <c r="AQ47" s="1099">
        <f t="shared" si="25"/>
        <v>1001</v>
      </c>
      <c r="AR47" s="1099">
        <f t="shared" si="25"/>
        <v>49618</v>
      </c>
      <c r="AS47" s="1099">
        <f t="shared" si="25"/>
        <v>0</v>
      </c>
      <c r="AT47" s="1099">
        <f t="shared" si="25"/>
        <v>240432</v>
      </c>
      <c r="AU47" s="1099">
        <f t="shared" si="25"/>
        <v>0</v>
      </c>
      <c r="AV47" s="1099">
        <f t="shared" si="25"/>
        <v>0</v>
      </c>
      <c r="AW47" s="1099">
        <f t="shared" si="25"/>
        <v>356</v>
      </c>
      <c r="AX47" s="1099">
        <f t="shared" si="25"/>
        <v>0</v>
      </c>
      <c r="AY47" s="1099">
        <f t="shared" ref="AY47:BC47" si="29">SUM(AY23:AY46)</f>
        <v>9</v>
      </c>
      <c r="AZ47" s="1099">
        <f t="shared" si="29"/>
        <v>442</v>
      </c>
      <c r="BA47" s="1099">
        <f t="shared" si="29"/>
        <v>10</v>
      </c>
      <c r="BB47" s="1099">
        <f t="shared" si="29"/>
        <v>16</v>
      </c>
      <c r="BC47" s="1099">
        <f t="shared" si="29"/>
        <v>0</v>
      </c>
      <c r="BD47" s="1099">
        <f t="shared" ref="BD47" si="30">SUM(BD23:BD46)</f>
        <v>0</v>
      </c>
      <c r="BE47" s="213">
        <f t="shared" si="25"/>
        <v>1</v>
      </c>
      <c r="BF47" s="213">
        <f t="shared" si="25"/>
        <v>9359</v>
      </c>
      <c r="BG47" s="213">
        <f t="shared" si="25"/>
        <v>0</v>
      </c>
      <c r="BH47" s="1099">
        <f t="shared" ref="BH47" si="31">SUM(BH23:BH46)</f>
        <v>30830</v>
      </c>
      <c r="BI47" s="213">
        <f t="shared" si="25"/>
        <v>0</v>
      </c>
      <c r="BJ47" s="204">
        <f t="shared" ref="BJ47" si="32">SUM(BJ23:BJ46)</f>
        <v>28900</v>
      </c>
      <c r="BK47" s="1099">
        <f t="shared" ref="BK47" si="33">SUM(BK23:BK46)</f>
        <v>37015</v>
      </c>
      <c r="BL47" s="1099">
        <f>SUM(BL23:BL46)</f>
        <v>1664</v>
      </c>
      <c r="BM47" s="213">
        <f t="shared" si="25"/>
        <v>259</v>
      </c>
      <c r="BN47" s="213">
        <f t="shared" si="25"/>
        <v>0</v>
      </c>
      <c r="BO47" s="213">
        <f t="shared" si="25"/>
        <v>0</v>
      </c>
      <c r="BP47" s="213">
        <f t="shared" ref="BP47" si="34">SUM(BP23:BP46)</f>
        <v>4216</v>
      </c>
      <c r="BQ47" s="1099">
        <f>SUM(BQ23:BQ46)</f>
        <v>102457</v>
      </c>
      <c r="BR47" s="1099">
        <f t="shared" ref="BR47" si="35">SUM(BR23:BR46)</f>
        <v>28807</v>
      </c>
      <c r="BS47" s="213">
        <f t="shared" ref="BS47" si="36">SUM(BS23:BS46)</f>
        <v>3735</v>
      </c>
    </row>
    <row r="48" spans="1:71" x14ac:dyDescent="0.2">
      <c r="C48" s="928"/>
      <c r="D48" s="928"/>
      <c r="E48" s="1396"/>
      <c r="F48" s="1396"/>
      <c r="G48" s="1396"/>
      <c r="H48" s="1396"/>
      <c r="I48" s="1396"/>
      <c r="J48" s="926"/>
      <c r="K48" s="928"/>
      <c r="N48" s="928"/>
      <c r="O48" s="928"/>
      <c r="P48" s="928"/>
      <c r="Q48" s="1097"/>
      <c r="R48" s="928"/>
      <c r="S48" s="1097"/>
      <c r="T48" s="1098"/>
      <c r="U48" s="928"/>
      <c r="V48" s="1251"/>
      <c r="W48" s="1097"/>
      <c r="X48" s="928"/>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928"/>
      <c r="AX48" s="928"/>
      <c r="AY48" s="1292"/>
      <c r="AZ48" s="1097"/>
      <c r="BA48" s="1251"/>
      <c r="BB48" s="1251"/>
      <c r="BC48" s="1251"/>
      <c r="BD48" s="928"/>
      <c r="BF48" s="1098"/>
      <c r="BH48" s="1098"/>
      <c r="BJ48" s="196"/>
      <c r="BK48" s="1285"/>
      <c r="BL48" s="1097"/>
      <c r="BM48" s="1098"/>
      <c r="BP48" s="1098"/>
      <c r="BQ48" s="1097"/>
      <c r="BR48" s="1098"/>
    </row>
    <row r="49" spans="1:71" x14ac:dyDescent="0.2">
      <c r="A49" s="390" t="s">
        <v>19</v>
      </c>
      <c r="C49" s="928"/>
      <c r="D49" s="928"/>
      <c r="E49" s="1396"/>
      <c r="F49" s="1396"/>
      <c r="G49" s="1396"/>
      <c r="H49" s="1396"/>
      <c r="I49" s="1396"/>
      <c r="J49" s="926"/>
      <c r="K49" s="928"/>
      <c r="N49" s="928"/>
      <c r="O49" s="928"/>
      <c r="P49" s="928"/>
      <c r="Q49" s="1097"/>
      <c r="R49" s="928"/>
      <c r="S49" s="1097"/>
      <c r="T49" s="1098"/>
      <c r="U49" s="928"/>
      <c r="V49" s="1251"/>
      <c r="W49" s="1097"/>
      <c r="X49" s="928"/>
      <c r="Y49" s="1097"/>
      <c r="Z49" s="1097"/>
      <c r="AA49" s="1097"/>
      <c r="AB49" s="1097"/>
      <c r="AC49" s="1097"/>
      <c r="AD49" s="1097"/>
      <c r="AE49" s="1097"/>
      <c r="AF49" s="1097"/>
      <c r="AG49" s="1097"/>
      <c r="AH49" s="1097"/>
      <c r="AI49" s="1097"/>
      <c r="AJ49" s="1097"/>
      <c r="AK49" s="1097"/>
      <c r="AL49" s="1097"/>
      <c r="AM49" s="1097"/>
      <c r="AN49" s="1097"/>
      <c r="AO49" s="1097"/>
      <c r="AP49" s="1097"/>
      <c r="AQ49" s="1097"/>
      <c r="AR49" s="1097"/>
      <c r="AS49" s="1097"/>
      <c r="AT49" s="1097"/>
      <c r="AU49" s="1097"/>
      <c r="AV49" s="1097"/>
      <c r="AW49" s="928"/>
      <c r="AX49" s="928"/>
      <c r="AY49" s="1292"/>
      <c r="AZ49" s="1097"/>
      <c r="BA49" s="1251"/>
      <c r="BB49" s="1251"/>
      <c r="BC49" s="1251"/>
      <c r="BD49" s="928"/>
      <c r="BF49" s="1098"/>
      <c r="BH49" s="1098"/>
      <c r="BJ49" s="196"/>
      <c r="BK49" s="1285"/>
      <c r="BL49" s="1097"/>
      <c r="BM49" s="1098"/>
      <c r="BP49" s="1098"/>
      <c r="BQ49" s="1097"/>
      <c r="BR49" s="1098"/>
    </row>
    <row r="50" spans="1:71" x14ac:dyDescent="0.2">
      <c r="A50" s="393" t="s">
        <v>20</v>
      </c>
      <c r="B50" s="211">
        <f>SUM(C50:BS50)</f>
        <v>-358906</v>
      </c>
      <c r="C50" s="1097">
        <f>+C19-C47</f>
        <v>116583</v>
      </c>
      <c r="D50" s="1097">
        <f>+D19-D47</f>
        <v>-20842</v>
      </c>
      <c r="E50" s="1389">
        <f t="shared" ref="E50" si="37">+E19-E47</f>
        <v>19925</v>
      </c>
      <c r="F50" s="1389">
        <f>+F19-F47</f>
        <v>-17236</v>
      </c>
      <c r="G50" s="1389">
        <f t="shared" ref="G50:H50" si="38">+G19-G47</f>
        <v>1712</v>
      </c>
      <c r="H50" s="1389">
        <f t="shared" si="38"/>
        <v>341</v>
      </c>
      <c r="I50" s="1389">
        <f>+I19-I47</f>
        <v>-326</v>
      </c>
      <c r="J50" s="1098">
        <f t="shared" ref="J50:K50" si="39">+J19-J47</f>
        <v>0</v>
      </c>
      <c r="K50" s="1097">
        <f t="shared" si="39"/>
        <v>17239</v>
      </c>
      <c r="L50" s="926">
        <f t="shared" ref="L50:BS50" si="40">+L19-L47</f>
        <v>0</v>
      </c>
      <c r="M50" s="926">
        <f t="shared" si="40"/>
        <v>0</v>
      </c>
      <c r="N50" s="1097">
        <f>+N19-N47</f>
        <v>59087</v>
      </c>
      <c r="O50" s="1097">
        <f>+O19-O47</f>
        <v>-1268</v>
      </c>
      <c r="P50" s="1097">
        <f t="shared" ref="P50" si="41">+P19-P47</f>
        <v>22569</v>
      </c>
      <c r="Q50" s="1097">
        <f>+Q19-Q47</f>
        <v>1705</v>
      </c>
      <c r="R50" s="1097">
        <f t="shared" ref="R50" si="42">+R19-R47</f>
        <v>50402</v>
      </c>
      <c r="S50" s="928">
        <f>+S19-S47</f>
        <v>50340</v>
      </c>
      <c r="T50" s="1098">
        <f t="shared" ref="T50" si="43">+T19-T47</f>
        <v>-1226</v>
      </c>
      <c r="U50" s="1097">
        <f>+U19-U47</f>
        <v>1213</v>
      </c>
      <c r="V50" s="1251">
        <f t="shared" si="40"/>
        <v>-214</v>
      </c>
      <c r="W50" s="1251">
        <f t="shared" si="40"/>
        <v>20384</v>
      </c>
      <c r="X50" s="1097">
        <f>+X19-X47</f>
        <v>17344</v>
      </c>
      <c r="Y50" s="1097">
        <f t="shared" si="40"/>
        <v>0</v>
      </c>
      <c r="Z50" s="1097">
        <f t="shared" si="40"/>
        <v>0</v>
      </c>
      <c r="AA50" s="1097">
        <f t="shared" si="40"/>
        <v>0</v>
      </c>
      <c r="AB50" s="1097">
        <f t="shared" si="40"/>
        <v>423</v>
      </c>
      <c r="AC50" s="1097">
        <f t="shared" si="40"/>
        <v>1216</v>
      </c>
      <c r="AD50" s="1097">
        <f t="shared" si="40"/>
        <v>9914</v>
      </c>
      <c r="AE50" s="1097">
        <f t="shared" si="40"/>
        <v>13345</v>
      </c>
      <c r="AF50" s="1097">
        <f t="shared" si="40"/>
        <v>-242537</v>
      </c>
      <c r="AG50" s="1097">
        <f t="shared" si="40"/>
        <v>0</v>
      </c>
      <c r="AH50" s="1097">
        <f t="shared" si="40"/>
        <v>0</v>
      </c>
      <c r="AI50" s="1097">
        <f t="shared" si="40"/>
        <v>0</v>
      </c>
      <c r="AJ50" s="1097">
        <f t="shared" si="40"/>
        <v>0</v>
      </c>
      <c r="AK50" s="1097">
        <f t="shared" si="40"/>
        <v>3098</v>
      </c>
      <c r="AL50" s="1097">
        <f t="shared" si="40"/>
        <v>-106</v>
      </c>
      <c r="AM50" s="1097">
        <f t="shared" si="40"/>
        <v>280</v>
      </c>
      <c r="AN50" s="1097">
        <f t="shared" si="40"/>
        <v>1306</v>
      </c>
      <c r="AO50" s="1097">
        <f t="shared" si="40"/>
        <v>1567</v>
      </c>
      <c r="AP50" s="1097">
        <f t="shared" si="40"/>
        <v>235</v>
      </c>
      <c r="AQ50" s="1097">
        <f t="shared" si="40"/>
        <v>-778</v>
      </c>
      <c r="AR50" s="1097">
        <f t="shared" si="40"/>
        <v>-49455</v>
      </c>
      <c r="AS50" s="1097">
        <f t="shared" si="40"/>
        <v>0</v>
      </c>
      <c r="AT50" s="1097">
        <f t="shared" si="40"/>
        <v>-232492</v>
      </c>
      <c r="AU50" s="1097">
        <f t="shared" si="40"/>
        <v>17</v>
      </c>
      <c r="AV50" s="1097">
        <f t="shared" si="40"/>
        <v>0</v>
      </c>
      <c r="AW50" s="1097">
        <f t="shared" si="40"/>
        <v>2020</v>
      </c>
      <c r="AX50" s="1097">
        <f t="shared" si="40"/>
        <v>0</v>
      </c>
      <c r="AY50" s="1251">
        <f t="shared" ref="AY50:BA50" si="44">+AY19-AY47</f>
        <v>12</v>
      </c>
      <c r="AZ50" s="1097">
        <f t="shared" si="44"/>
        <v>239</v>
      </c>
      <c r="BA50" s="1251">
        <f t="shared" si="44"/>
        <v>9</v>
      </c>
      <c r="BB50" s="1251">
        <f>+BB19-BB47</f>
        <v>15</v>
      </c>
      <c r="BC50" s="1251">
        <f>+BC19-BC47</f>
        <v>78</v>
      </c>
      <c r="BD50" s="1097">
        <f t="shared" ref="BD50" si="45">+BD19-BD47</f>
        <v>0</v>
      </c>
      <c r="BE50" s="926">
        <f t="shared" si="40"/>
        <v>26</v>
      </c>
      <c r="BF50" s="926">
        <f t="shared" si="40"/>
        <v>-9344</v>
      </c>
      <c r="BG50" s="926">
        <f t="shared" si="40"/>
        <v>0</v>
      </c>
      <c r="BH50" s="926">
        <f t="shared" si="40"/>
        <v>-28199</v>
      </c>
      <c r="BI50" s="926">
        <f t="shared" si="40"/>
        <v>0</v>
      </c>
      <c r="BJ50" s="928">
        <f t="shared" si="40"/>
        <v>-7398</v>
      </c>
      <c r="BK50" s="1097">
        <f>+BK19-BK47</f>
        <v>-35355</v>
      </c>
      <c r="BL50" s="1097">
        <f>+BL19-BL47</f>
        <v>-1628</v>
      </c>
      <c r="BM50" s="926">
        <f t="shared" si="40"/>
        <v>-252</v>
      </c>
      <c r="BN50" s="926">
        <f t="shared" si="40"/>
        <v>0</v>
      </c>
      <c r="BO50" s="926">
        <f t="shared" si="40"/>
        <v>0</v>
      </c>
      <c r="BP50" s="926">
        <f t="shared" si="40"/>
        <v>580</v>
      </c>
      <c r="BQ50" s="1097">
        <f t="shared" si="40"/>
        <v>-93484</v>
      </c>
      <c r="BR50" s="1098">
        <f t="shared" si="40"/>
        <v>-27094</v>
      </c>
      <c r="BS50" s="926">
        <f t="shared" si="40"/>
        <v>-2896</v>
      </c>
    </row>
    <row r="51" spans="1:71" x14ac:dyDescent="0.2">
      <c r="B51" s="388"/>
      <c r="C51" s="1050"/>
      <c r="D51" s="1050"/>
      <c r="E51" s="1412"/>
      <c r="F51" s="1412"/>
      <c r="G51" s="1412"/>
      <c r="H51" s="1412"/>
      <c r="I51" s="1412"/>
      <c r="J51" s="930"/>
      <c r="K51" s="1050"/>
      <c r="L51" s="388"/>
      <c r="M51" s="388"/>
      <c r="N51" s="1050"/>
      <c r="O51" s="1050"/>
      <c r="P51" s="1050"/>
      <c r="Q51" s="1142"/>
      <c r="R51" s="1050"/>
      <c r="S51" s="1142"/>
      <c r="T51" s="1103"/>
      <c r="U51" s="1050"/>
      <c r="V51" s="1304"/>
      <c r="W51" s="1142"/>
      <c r="X51" s="1050"/>
      <c r="Y51" s="1142"/>
      <c r="Z51" s="1142"/>
      <c r="AA51" s="1142"/>
      <c r="AB51" s="1142"/>
      <c r="AC51" s="1142"/>
      <c r="AD51" s="1142"/>
      <c r="AE51" s="1142"/>
      <c r="AF51" s="1142"/>
      <c r="AG51" s="1142"/>
      <c r="AH51" s="1142"/>
      <c r="AI51" s="1142"/>
      <c r="AJ51" s="1142"/>
      <c r="AK51" s="1142"/>
      <c r="AL51" s="1142"/>
      <c r="AM51" s="1142"/>
      <c r="AN51" s="1142"/>
      <c r="AO51" s="1142"/>
      <c r="AP51" s="1142"/>
      <c r="AQ51" s="1142"/>
      <c r="AR51" s="1142"/>
      <c r="AS51" s="1142"/>
      <c r="AT51" s="1142"/>
      <c r="AU51" s="1142"/>
      <c r="AV51" s="1142"/>
      <c r="AW51" s="1050"/>
      <c r="AX51" s="1050"/>
      <c r="AY51" s="1305"/>
      <c r="AZ51" s="1142"/>
      <c r="BA51" s="1304"/>
      <c r="BB51" s="1304"/>
      <c r="BC51" s="1304"/>
      <c r="BD51" s="1050"/>
      <c r="BE51" s="388"/>
      <c r="BF51" s="1103"/>
      <c r="BG51" s="388"/>
      <c r="BH51" s="1103"/>
      <c r="BI51" s="388"/>
      <c r="BJ51" s="777"/>
      <c r="BK51" s="1142"/>
      <c r="BL51" s="1142"/>
      <c r="BM51" s="1103"/>
      <c r="BN51" s="388"/>
      <c r="BO51" s="388"/>
      <c r="BP51" s="1103"/>
      <c r="BQ51" s="1142"/>
      <c r="BR51" s="1103"/>
      <c r="BS51" s="777"/>
    </row>
    <row r="52" spans="1:71" x14ac:dyDescent="0.2">
      <c r="A52" s="390" t="s">
        <v>34</v>
      </c>
      <c r="C52" s="928"/>
      <c r="D52" s="928"/>
      <c r="E52" s="1396"/>
      <c r="F52" s="1396"/>
      <c r="G52" s="1396"/>
      <c r="H52" s="1396"/>
      <c r="I52" s="1396"/>
      <c r="J52" s="926"/>
      <c r="K52" s="928"/>
      <c r="N52" s="928"/>
      <c r="O52" s="928"/>
      <c r="P52" s="928"/>
      <c r="Q52" s="1097"/>
      <c r="R52" s="928"/>
      <c r="S52" s="1097"/>
      <c r="T52" s="1098"/>
      <c r="U52" s="928"/>
      <c r="V52" s="1251"/>
      <c r="W52" s="1097"/>
      <c r="X52" s="928"/>
      <c r="Y52" s="1097"/>
      <c r="Z52" s="1097"/>
      <c r="AA52" s="1097"/>
      <c r="AB52" s="1097"/>
      <c r="AC52" s="1097"/>
      <c r="AD52" s="1097"/>
      <c r="AE52" s="1097"/>
      <c r="AF52" s="1097"/>
      <c r="AG52" s="1097"/>
      <c r="AH52" s="1097"/>
      <c r="AI52" s="1097"/>
      <c r="AJ52" s="1097"/>
      <c r="AK52" s="1097"/>
      <c r="AL52" s="1097"/>
      <c r="AM52" s="1097"/>
      <c r="AN52" s="1097"/>
      <c r="AO52" s="1097"/>
      <c r="AP52" s="1097"/>
      <c r="AQ52" s="1097"/>
      <c r="AR52" s="1097"/>
      <c r="AS52" s="1097"/>
      <c r="AT52" s="1097"/>
      <c r="AU52" s="1097"/>
      <c r="AV52" s="1097"/>
      <c r="AW52" s="928"/>
      <c r="AX52" s="928"/>
      <c r="AY52" s="1292"/>
      <c r="AZ52" s="1097"/>
      <c r="BA52" s="1251"/>
      <c r="BB52" s="1251"/>
      <c r="BC52" s="1251"/>
      <c r="BD52" s="928"/>
      <c r="BF52" s="1098"/>
      <c r="BH52" s="1098"/>
      <c r="BJ52" s="196"/>
      <c r="BK52" s="1285"/>
      <c r="BL52" s="1097"/>
      <c r="BM52" s="1098"/>
      <c r="BP52" s="1098"/>
      <c r="BQ52" s="1097"/>
      <c r="BR52" s="1098"/>
      <c r="BS52" s="196"/>
    </row>
    <row r="53" spans="1:71" x14ac:dyDescent="0.2">
      <c r="A53" s="391" t="s">
        <v>667</v>
      </c>
      <c r="B53" s="211">
        <f t="shared" ref="B53:B62" si="46">SUM(C53:BS53)</f>
        <v>418017</v>
      </c>
      <c r="C53" s="928"/>
      <c r="D53" s="928"/>
      <c r="E53" s="1396"/>
      <c r="F53" s="1389"/>
      <c r="G53" s="1389"/>
      <c r="H53" s="1389"/>
      <c r="I53" s="1389"/>
      <c r="J53" s="1098"/>
      <c r="K53" s="1098"/>
      <c r="N53" s="1097"/>
      <c r="O53" s="928"/>
      <c r="P53" s="928"/>
      <c r="Q53" s="1097"/>
      <c r="R53" s="1097"/>
      <c r="S53" s="1097"/>
      <c r="T53" s="1098"/>
      <c r="U53" s="1097"/>
      <c r="V53" s="1098"/>
      <c r="W53" s="1098"/>
      <c r="X53" s="928"/>
      <c r="Y53" s="1097"/>
      <c r="Z53" s="1097"/>
      <c r="AA53" s="1097"/>
      <c r="AB53" s="1097">
        <v>0</v>
      </c>
      <c r="AC53" s="1097">
        <v>0</v>
      </c>
      <c r="AD53" s="1097">
        <v>0</v>
      </c>
      <c r="AE53" s="1097">
        <v>175975</v>
      </c>
      <c r="AF53" s="1097">
        <v>0</v>
      </c>
      <c r="AG53" s="1097">
        <v>0</v>
      </c>
      <c r="AH53" s="1097">
        <v>0</v>
      </c>
      <c r="AI53" s="1097">
        <v>0</v>
      </c>
      <c r="AJ53" s="1097">
        <v>0</v>
      </c>
      <c r="AK53" s="1097">
        <v>0</v>
      </c>
      <c r="AL53" s="1097">
        <v>0</v>
      </c>
      <c r="AM53" s="1097">
        <v>0</v>
      </c>
      <c r="AN53" s="1097">
        <v>0</v>
      </c>
      <c r="AO53" s="1097">
        <v>0</v>
      </c>
      <c r="AP53" s="1097">
        <v>0</v>
      </c>
      <c r="AQ53" s="1097">
        <v>156205</v>
      </c>
      <c r="AR53" s="1097">
        <v>0</v>
      </c>
      <c r="AS53" s="1097">
        <v>0</v>
      </c>
      <c r="AT53" s="1097">
        <v>0</v>
      </c>
      <c r="AU53" s="1097">
        <v>0</v>
      </c>
      <c r="AV53" s="1097">
        <v>0</v>
      </c>
      <c r="AW53" s="1097">
        <v>55100</v>
      </c>
      <c r="AX53" s="1097"/>
      <c r="AY53" s="1097"/>
      <c r="AZ53" s="1098"/>
      <c r="BA53" s="1098"/>
      <c r="BB53" s="1097"/>
      <c r="BC53" s="1097"/>
      <c r="BD53" s="928"/>
      <c r="BH53" s="1098">
        <v>278</v>
      </c>
      <c r="BJ53" s="196">
        <v>1014</v>
      </c>
      <c r="BK53" s="1098">
        <v>29445</v>
      </c>
      <c r="BL53" s="1098"/>
      <c r="BM53" s="1098"/>
      <c r="BQ53" s="1098"/>
      <c r="BR53" s="1098"/>
    </row>
    <row r="54" spans="1:71" x14ac:dyDescent="0.2">
      <c r="A54" s="391" t="s">
        <v>1235</v>
      </c>
      <c r="B54" s="211">
        <f t="shared" si="46"/>
        <v>0</v>
      </c>
      <c r="C54" s="928"/>
      <c r="D54" s="928"/>
      <c r="E54" s="1396"/>
      <c r="F54" s="1389"/>
      <c r="G54" s="1389"/>
      <c r="H54" s="1389"/>
      <c r="I54" s="1389"/>
      <c r="J54" s="1098"/>
      <c r="K54" s="1098"/>
      <c r="N54" s="1097"/>
      <c r="O54" s="928"/>
      <c r="P54" s="928"/>
      <c r="Q54" s="1097"/>
      <c r="R54" s="1097"/>
      <c r="S54" s="1097"/>
      <c r="T54" s="1098"/>
      <c r="U54" s="1097"/>
      <c r="V54" s="1098"/>
      <c r="W54" s="1098"/>
      <c r="X54" s="928"/>
      <c r="Y54" s="1097"/>
      <c r="Z54" s="1097"/>
      <c r="AA54" s="1097"/>
      <c r="AB54" s="1097"/>
      <c r="AC54" s="1097"/>
      <c r="AD54" s="1097"/>
      <c r="AE54" s="1097"/>
      <c r="AF54" s="1097"/>
      <c r="AG54" s="1097"/>
      <c r="AH54" s="1097"/>
      <c r="AI54" s="1097"/>
      <c r="AJ54" s="1097"/>
      <c r="AK54" s="1097"/>
      <c r="AL54" s="1097"/>
      <c r="AM54" s="1097"/>
      <c r="AN54" s="1097"/>
      <c r="AO54" s="1097"/>
      <c r="AP54" s="1097"/>
      <c r="AQ54" s="1097"/>
      <c r="AR54" s="1097"/>
      <c r="AS54" s="1097"/>
      <c r="AT54" s="1097"/>
      <c r="AU54" s="1097"/>
      <c r="AV54" s="1097"/>
      <c r="AW54" s="1097"/>
      <c r="AX54" s="1097"/>
      <c r="AY54" s="1097"/>
      <c r="AZ54" s="1098"/>
      <c r="BA54" s="1098"/>
      <c r="BB54" s="1097"/>
      <c r="BC54" s="1097"/>
      <c r="BD54" s="928"/>
      <c r="BH54" s="1098"/>
      <c r="BJ54" s="196"/>
      <c r="BK54" s="1098"/>
      <c r="BL54" s="1098"/>
      <c r="BM54" s="1098"/>
      <c r="BQ54" s="1098"/>
      <c r="BR54" s="1098"/>
    </row>
    <row r="55" spans="1:71" x14ac:dyDescent="0.2">
      <c r="A55" s="391" t="s">
        <v>973</v>
      </c>
      <c r="B55" s="211">
        <f t="shared" si="46"/>
        <v>0</v>
      </c>
      <c r="C55" s="928"/>
      <c r="D55" s="928"/>
      <c r="E55" s="1396"/>
      <c r="F55" s="1389"/>
      <c r="G55" s="1389"/>
      <c r="H55" s="1389"/>
      <c r="I55" s="1389"/>
      <c r="J55" s="1098"/>
      <c r="K55" s="1098"/>
      <c r="N55" s="1097"/>
      <c r="O55" s="928"/>
      <c r="P55" s="928"/>
      <c r="Q55" s="1097"/>
      <c r="R55" s="1097"/>
      <c r="S55" s="1097"/>
      <c r="T55" s="1098"/>
      <c r="U55" s="1097"/>
      <c r="V55" s="1098"/>
      <c r="W55" s="1098"/>
      <c r="X55" s="928"/>
      <c r="Y55" s="1097"/>
      <c r="Z55" s="1097"/>
      <c r="AA55" s="1097"/>
      <c r="AB55" s="1097"/>
      <c r="AC55" s="1097"/>
      <c r="AD55" s="1097"/>
      <c r="AE55" s="1097"/>
      <c r="AF55" s="1097"/>
      <c r="AG55" s="1097"/>
      <c r="AH55" s="1097"/>
      <c r="AI55" s="1097"/>
      <c r="AJ55" s="1097"/>
      <c r="AK55" s="1097"/>
      <c r="AL55" s="1097"/>
      <c r="AM55" s="1097"/>
      <c r="AN55" s="1097"/>
      <c r="AO55" s="1097"/>
      <c r="AP55" s="1097"/>
      <c r="AQ55" s="1097"/>
      <c r="AR55" s="1097"/>
      <c r="AS55" s="1097"/>
      <c r="AT55" s="1097"/>
      <c r="AU55" s="1097"/>
      <c r="AV55" s="1097"/>
      <c r="AW55" s="1097"/>
      <c r="AX55" s="1097"/>
      <c r="AY55" s="1097"/>
      <c r="AZ55" s="1098"/>
      <c r="BA55" s="1098"/>
      <c r="BB55" s="1097"/>
      <c r="BC55" s="1097"/>
      <c r="BD55" s="928"/>
      <c r="BH55" s="1098"/>
      <c r="BJ55" s="196"/>
      <c r="BK55" s="1098"/>
      <c r="BL55" s="1098"/>
      <c r="BM55" s="1098"/>
      <c r="BQ55" s="1098"/>
      <c r="BR55" s="1098"/>
    </row>
    <row r="56" spans="1:71" x14ac:dyDescent="0.2">
      <c r="A56" s="391" t="s">
        <v>666</v>
      </c>
      <c r="B56" s="211">
        <f t="shared" si="46"/>
        <v>0</v>
      </c>
      <c r="C56" s="928"/>
      <c r="D56" s="928"/>
      <c r="E56" s="1396"/>
      <c r="F56" s="1389"/>
      <c r="G56" s="1389"/>
      <c r="H56" s="1389"/>
      <c r="I56" s="1389"/>
      <c r="J56" s="1098"/>
      <c r="K56" s="1098"/>
      <c r="N56" s="1097"/>
      <c r="O56" s="928"/>
      <c r="P56" s="928"/>
      <c r="Q56" s="1097"/>
      <c r="R56" s="1097"/>
      <c r="S56" s="1097"/>
      <c r="T56" s="1098"/>
      <c r="U56" s="1097"/>
      <c r="V56" s="1098"/>
      <c r="W56" s="1098"/>
      <c r="X56" s="928"/>
      <c r="Y56" s="1097"/>
      <c r="Z56" s="1097"/>
      <c r="AA56" s="1097"/>
      <c r="AB56" s="1097"/>
      <c r="AC56" s="1097"/>
      <c r="AD56" s="1097"/>
      <c r="AE56" s="1097"/>
      <c r="AF56" s="1097"/>
      <c r="AG56" s="1097"/>
      <c r="AH56" s="1097"/>
      <c r="AI56" s="1097"/>
      <c r="AJ56" s="1097"/>
      <c r="AK56" s="1097"/>
      <c r="AL56" s="1097"/>
      <c r="AM56" s="1097"/>
      <c r="AN56" s="1097"/>
      <c r="AO56" s="1097"/>
      <c r="AP56" s="1097"/>
      <c r="AQ56" s="1097"/>
      <c r="AR56" s="1097"/>
      <c r="AS56" s="1097"/>
      <c r="AT56" s="1097"/>
      <c r="AU56" s="1097"/>
      <c r="AV56" s="1097"/>
      <c r="AW56" s="1097"/>
      <c r="AX56" s="1097"/>
      <c r="AY56" s="1097"/>
      <c r="AZ56" s="1098"/>
      <c r="BA56" s="1098"/>
      <c r="BB56" s="1097"/>
      <c r="BC56" s="1097"/>
      <c r="BD56" s="928"/>
      <c r="BH56" s="1098"/>
      <c r="BJ56" s="196"/>
      <c r="BK56" s="1098"/>
      <c r="BL56" s="1098"/>
      <c r="BM56" s="1098"/>
      <c r="BQ56" s="1098"/>
      <c r="BR56" s="1098"/>
    </row>
    <row r="57" spans="1:71" x14ac:dyDescent="0.2">
      <c r="A57" s="391" t="s">
        <v>1581</v>
      </c>
      <c r="B57" s="211">
        <f t="shared" si="46"/>
        <v>3973</v>
      </c>
      <c r="C57" s="928">
        <v>1343</v>
      </c>
      <c r="D57" s="928"/>
      <c r="E57" s="1396"/>
      <c r="F57" s="1389"/>
      <c r="G57" s="1389"/>
      <c r="H57" s="1389"/>
      <c r="I57" s="1389"/>
      <c r="J57" s="1098"/>
      <c r="K57" s="1098"/>
      <c r="N57" s="1097">
        <v>15</v>
      </c>
      <c r="O57" s="928"/>
      <c r="P57" s="928"/>
      <c r="Q57" s="1097"/>
      <c r="R57" s="1097"/>
      <c r="S57" s="1097"/>
      <c r="T57" s="1098"/>
      <c r="U57" s="1097"/>
      <c r="V57" s="1098"/>
      <c r="W57" s="1098"/>
      <c r="X57" s="928"/>
      <c r="Y57" s="1097"/>
      <c r="Z57" s="1097"/>
      <c r="AA57" s="1097"/>
      <c r="AB57" s="1097"/>
      <c r="AC57" s="1097"/>
      <c r="AD57" s="1097"/>
      <c r="AE57" s="1097"/>
      <c r="AF57" s="1097"/>
      <c r="AG57" s="1097"/>
      <c r="AH57" s="1097"/>
      <c r="AI57" s="1097"/>
      <c r="AJ57" s="1097"/>
      <c r="AK57" s="1097"/>
      <c r="AL57" s="1097"/>
      <c r="AM57" s="1097"/>
      <c r="AN57" s="1097"/>
      <c r="AO57" s="1097"/>
      <c r="AP57" s="1097"/>
      <c r="AQ57" s="1097"/>
      <c r="AR57" s="1097"/>
      <c r="AS57" s="1097"/>
      <c r="AT57" s="1097"/>
      <c r="AU57" s="1097"/>
      <c r="AV57" s="1097"/>
      <c r="AW57" s="1097"/>
      <c r="AX57" s="1097"/>
      <c r="AY57" s="1097"/>
      <c r="AZ57" s="1098"/>
      <c r="BA57" s="1098"/>
      <c r="BB57" s="1097"/>
      <c r="BC57" s="1097"/>
      <c r="BD57" s="928"/>
      <c r="BH57" s="1098"/>
      <c r="BJ57" s="196">
        <f>3558-943</f>
        <v>2615</v>
      </c>
      <c r="BK57" s="1098"/>
      <c r="BL57" s="1098"/>
      <c r="BM57" s="1098"/>
      <c r="BQ57" s="1098"/>
      <c r="BR57" s="1098"/>
    </row>
    <row r="58" spans="1:71" x14ac:dyDescent="0.2">
      <c r="A58" s="391" t="s">
        <v>1642</v>
      </c>
      <c r="B58" s="211">
        <f t="shared" si="46"/>
        <v>64287</v>
      </c>
      <c r="C58" s="928">
        <v>63529</v>
      </c>
      <c r="D58" s="928"/>
      <c r="E58" s="1396"/>
      <c r="F58" s="1389"/>
      <c r="G58" s="1389"/>
      <c r="H58" s="1389"/>
      <c r="I58" s="1389"/>
      <c r="J58" s="1098"/>
      <c r="K58" s="1098"/>
      <c r="N58" s="1097"/>
      <c r="O58" s="928"/>
      <c r="P58" s="928"/>
      <c r="Q58" s="1097"/>
      <c r="R58" s="1097"/>
      <c r="S58" s="1097"/>
      <c r="T58" s="1098"/>
      <c r="U58" s="1097"/>
      <c r="V58" s="1098"/>
      <c r="W58" s="1098"/>
      <c r="X58" s="928"/>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8"/>
      <c r="BA58" s="1098"/>
      <c r="BB58" s="1097"/>
      <c r="BC58" s="1097"/>
      <c r="BD58" s="928"/>
      <c r="BH58" s="1098"/>
      <c r="BJ58" s="196"/>
      <c r="BK58" s="1098"/>
      <c r="BL58" s="1098"/>
      <c r="BM58" s="1098"/>
      <c r="BQ58" s="1098">
        <v>758</v>
      </c>
      <c r="BR58" s="1098"/>
    </row>
    <row r="59" spans="1:71" x14ac:dyDescent="0.2">
      <c r="A59" s="391" t="s">
        <v>668</v>
      </c>
      <c r="B59" s="211">
        <f t="shared" si="46"/>
        <v>0</v>
      </c>
      <c r="C59" s="928"/>
      <c r="D59" s="928"/>
      <c r="E59" s="1396"/>
      <c r="F59" s="1389"/>
      <c r="G59" s="1389"/>
      <c r="H59" s="1389"/>
      <c r="I59" s="1389"/>
      <c r="J59" s="1098"/>
      <c r="K59" s="1098"/>
      <c r="N59" s="1097"/>
      <c r="O59" s="928"/>
      <c r="P59" s="928"/>
      <c r="Q59" s="1097"/>
      <c r="R59" s="1097"/>
      <c r="S59" s="1097"/>
      <c r="T59" s="1098"/>
      <c r="U59" s="1097"/>
      <c r="V59" s="1098"/>
      <c r="W59" s="1098"/>
      <c r="X59" s="928"/>
      <c r="Y59" s="1097"/>
      <c r="Z59" s="1097"/>
      <c r="AA59" s="1097"/>
      <c r="AB59" s="1097"/>
      <c r="AC59" s="1097"/>
      <c r="AD59" s="1097"/>
      <c r="AE59" s="1097"/>
      <c r="AF59" s="1097"/>
      <c r="AG59" s="1097"/>
      <c r="AH59" s="1097"/>
      <c r="AI59" s="1097"/>
      <c r="AJ59" s="1097"/>
      <c r="AK59" s="1097"/>
      <c r="AL59" s="1097"/>
      <c r="AM59" s="1097"/>
      <c r="AN59" s="1097"/>
      <c r="AO59" s="1097"/>
      <c r="AP59" s="1097"/>
      <c r="AQ59" s="1097"/>
      <c r="AR59" s="1097"/>
      <c r="AS59" s="1097"/>
      <c r="AT59" s="1097"/>
      <c r="AU59" s="1097"/>
      <c r="AV59" s="1097"/>
      <c r="AW59" s="1097"/>
      <c r="AX59" s="1097"/>
      <c r="AY59" s="1097"/>
      <c r="AZ59" s="1098"/>
      <c r="BA59" s="1098"/>
      <c r="BB59" s="1097"/>
      <c r="BC59" s="1097"/>
      <c r="BD59" s="928"/>
      <c r="BH59" s="1098"/>
      <c r="BJ59" s="196"/>
      <c r="BK59" s="1098"/>
      <c r="BL59" s="1098"/>
      <c r="BM59" s="1098"/>
      <c r="BQ59" s="1098"/>
      <c r="BR59" s="1098"/>
    </row>
    <row r="60" spans="1:71" x14ac:dyDescent="0.2">
      <c r="A60" s="391" t="s">
        <v>404</v>
      </c>
      <c r="B60" s="211">
        <f t="shared" si="46"/>
        <v>35387</v>
      </c>
      <c r="C60" s="928"/>
      <c r="D60" s="928"/>
      <c r="E60" s="1396"/>
      <c r="F60" s="1389"/>
      <c r="G60" s="1389"/>
      <c r="H60" s="1389"/>
      <c r="I60" s="1389"/>
      <c r="J60" s="1098"/>
      <c r="K60" s="1098"/>
      <c r="N60" s="1097"/>
      <c r="O60" s="928"/>
      <c r="P60" s="928"/>
      <c r="Q60" s="1097"/>
      <c r="R60" s="1097"/>
      <c r="S60" s="1097"/>
      <c r="T60" s="1098"/>
      <c r="U60" s="1097"/>
      <c r="V60" s="1098"/>
      <c r="W60" s="1098"/>
      <c r="X60" s="928"/>
      <c r="Y60" s="1097"/>
      <c r="Z60" s="1097"/>
      <c r="AA60" s="1097"/>
      <c r="AB60" s="1097">
        <v>0</v>
      </c>
      <c r="AC60" s="1097">
        <v>0</v>
      </c>
      <c r="AD60" s="1097">
        <v>0</v>
      </c>
      <c r="AE60" s="1097">
        <v>20313</v>
      </c>
      <c r="AF60" s="1097">
        <v>0</v>
      </c>
      <c r="AG60" s="1097">
        <v>0</v>
      </c>
      <c r="AH60" s="1097">
        <v>0</v>
      </c>
      <c r="AI60" s="1097">
        <v>0</v>
      </c>
      <c r="AJ60" s="1097">
        <v>0</v>
      </c>
      <c r="AK60" s="1097">
        <v>0</v>
      </c>
      <c r="AL60" s="1097">
        <v>0</v>
      </c>
      <c r="AM60" s="1097">
        <v>0</v>
      </c>
      <c r="AN60" s="1097">
        <v>0</v>
      </c>
      <c r="AO60" s="1097">
        <v>0</v>
      </c>
      <c r="AP60" s="1097">
        <v>0</v>
      </c>
      <c r="AQ60" s="1097">
        <v>12069</v>
      </c>
      <c r="AR60" s="1097">
        <v>0</v>
      </c>
      <c r="AS60" s="1097">
        <v>0</v>
      </c>
      <c r="AT60" s="1097">
        <v>0</v>
      </c>
      <c r="AU60" s="1097">
        <v>0</v>
      </c>
      <c r="AV60" s="1097">
        <v>0</v>
      </c>
      <c r="AW60" s="1097">
        <v>1672</v>
      </c>
      <c r="AX60" s="1097"/>
      <c r="AY60" s="1097"/>
      <c r="AZ60" s="1098"/>
      <c r="BA60" s="1098"/>
      <c r="BB60" s="1097"/>
      <c r="BC60" s="1097"/>
      <c r="BD60" s="928"/>
      <c r="BH60" s="1098"/>
      <c r="BJ60" s="196"/>
      <c r="BK60" s="1098">
        <v>1333</v>
      </c>
      <c r="BL60" s="1098"/>
      <c r="BM60" s="1098"/>
      <c r="BQ60" s="1098"/>
      <c r="BR60" s="1098"/>
    </row>
    <row r="61" spans="1:71" x14ac:dyDescent="0.2">
      <c r="A61" s="391" t="s">
        <v>21</v>
      </c>
      <c r="B61" s="211">
        <f t="shared" si="46"/>
        <v>865464</v>
      </c>
      <c r="C61" s="928">
        <v>20845</v>
      </c>
      <c r="D61" s="928">
        <v>18160</v>
      </c>
      <c r="E61" s="1389">
        <v>91935</v>
      </c>
      <c r="F61" s="1389">
        <v>7094</v>
      </c>
      <c r="G61" s="1389"/>
      <c r="H61" s="1389"/>
      <c r="I61" s="1389">
        <v>1</v>
      </c>
      <c r="J61" s="1098"/>
      <c r="K61" s="1098"/>
      <c r="N61" s="1097">
        <v>7581</v>
      </c>
      <c r="O61" s="928">
        <v>17888</v>
      </c>
      <c r="P61" s="928">
        <v>13866</v>
      </c>
      <c r="Q61" s="1097"/>
      <c r="R61" s="1097"/>
      <c r="S61" s="1097"/>
      <c r="T61" s="1098">
        <v>1058</v>
      </c>
      <c r="U61" s="1097"/>
      <c r="V61" s="1098"/>
      <c r="W61" s="1098"/>
      <c r="X61" s="928"/>
      <c r="Y61" s="1097"/>
      <c r="Z61" s="1097"/>
      <c r="AA61" s="1097"/>
      <c r="AB61" s="1097">
        <v>0</v>
      </c>
      <c r="AC61" s="1097">
        <v>0</v>
      </c>
      <c r="AD61" s="1097">
        <v>0</v>
      </c>
      <c r="AE61" s="1097"/>
      <c r="AF61" s="1097">
        <v>239948</v>
      </c>
      <c r="AG61" s="1097">
        <v>0</v>
      </c>
      <c r="AH61" s="1097">
        <v>0</v>
      </c>
      <c r="AI61" s="1097">
        <v>0</v>
      </c>
      <c r="AJ61" s="1097">
        <v>0</v>
      </c>
      <c r="AK61" s="1097">
        <v>1945</v>
      </c>
      <c r="AL61" s="1097">
        <v>0</v>
      </c>
      <c r="AM61" s="1097">
        <v>0</v>
      </c>
      <c r="AN61" s="1097">
        <v>0</v>
      </c>
      <c r="AO61" s="1097">
        <v>0</v>
      </c>
      <c r="AP61" s="1097">
        <v>0</v>
      </c>
      <c r="AQ61" s="1097">
        <v>0</v>
      </c>
      <c r="AR61" s="1097">
        <f>48368+607</f>
        <v>48975</v>
      </c>
      <c r="AS61" s="1097">
        <v>0</v>
      </c>
      <c r="AT61" s="1097">
        <v>222305</v>
      </c>
      <c r="AU61" s="1097">
        <v>0</v>
      </c>
      <c r="AV61" s="1097">
        <v>0</v>
      </c>
      <c r="AW61" s="1097">
        <v>0</v>
      </c>
      <c r="AX61" s="1097"/>
      <c r="AY61" s="1097"/>
      <c r="AZ61" s="1098"/>
      <c r="BA61" s="1098"/>
      <c r="BB61" s="1097"/>
      <c r="BC61" s="1097"/>
      <c r="BD61" s="928"/>
      <c r="BF61" s="211">
        <v>9493</v>
      </c>
      <c r="BH61" s="1097">
        <v>27552</v>
      </c>
      <c r="BJ61" s="196">
        <v>175</v>
      </c>
      <c r="BK61" s="1098">
        <v>5964</v>
      </c>
      <c r="BL61" s="1098">
        <v>1605</v>
      </c>
      <c r="BM61" s="1098">
        <v>200</v>
      </c>
      <c r="BP61" s="211">
        <v>4</v>
      </c>
      <c r="BQ61" s="1098">
        <v>99556</v>
      </c>
      <c r="BR61" s="1098">
        <v>28768</v>
      </c>
      <c r="BS61" s="211">
        <v>546</v>
      </c>
    </row>
    <row r="62" spans="1:71" x14ac:dyDescent="0.2">
      <c r="A62" s="391" t="s">
        <v>22</v>
      </c>
      <c r="B62" s="211">
        <f t="shared" si="46"/>
        <v>-880271</v>
      </c>
      <c r="C62" s="928">
        <v>-184152</v>
      </c>
      <c r="D62" s="928"/>
      <c r="E62" s="1389">
        <v>0</v>
      </c>
      <c r="F62" s="1389">
        <v>-8675</v>
      </c>
      <c r="G62" s="1389">
        <v>-1483</v>
      </c>
      <c r="H62" s="1389"/>
      <c r="I62" s="1389"/>
      <c r="J62" s="1098"/>
      <c r="K62" s="1097">
        <v>-14908</v>
      </c>
      <c r="N62" s="1097">
        <v>-58545</v>
      </c>
      <c r="O62" s="928">
        <v>-17577</v>
      </c>
      <c r="P62" s="928">
        <v>-36298</v>
      </c>
      <c r="Q62" s="1097">
        <v>-8423</v>
      </c>
      <c r="R62" s="1097">
        <v>-50402</v>
      </c>
      <c r="S62" s="1097">
        <v>-50340</v>
      </c>
      <c r="T62" s="1097"/>
      <c r="U62" s="1097"/>
      <c r="V62" s="1098"/>
      <c r="W62" s="1097">
        <v>-27503</v>
      </c>
      <c r="X62" s="928">
        <v>-14587</v>
      </c>
      <c r="Y62" s="1097"/>
      <c r="Z62" s="1097"/>
      <c r="AA62" s="1097"/>
      <c r="AB62" s="1097">
        <v>-2388</v>
      </c>
      <c r="AC62" s="1097">
        <f>-4347-1</f>
        <v>-4348</v>
      </c>
      <c r="AD62" s="1097">
        <f>-55062-708-48</f>
        <v>-55818</v>
      </c>
      <c r="AE62" s="1097">
        <f>-144338+1545</f>
        <v>-142793</v>
      </c>
      <c r="AF62" s="1097">
        <v>-505</v>
      </c>
      <c r="AG62" s="1097">
        <v>0</v>
      </c>
      <c r="AH62" s="1097">
        <v>0</v>
      </c>
      <c r="AI62" s="1097">
        <v>0</v>
      </c>
      <c r="AJ62" s="1097">
        <v>0</v>
      </c>
      <c r="AK62" s="1097">
        <f>-23237-308-29</f>
        <v>-23574</v>
      </c>
      <c r="AL62" s="1097">
        <f>-1529-75</f>
        <v>-1604</v>
      </c>
      <c r="AM62" s="1097">
        <f>-6409-22</f>
        <v>-6431</v>
      </c>
      <c r="AN62" s="1097">
        <v>-15302</v>
      </c>
      <c r="AO62" s="1097">
        <f>-3185-1483-3308</f>
        <v>-7976</v>
      </c>
      <c r="AP62" s="1097">
        <v>-5192</v>
      </c>
      <c r="AQ62" s="1097">
        <f>-73668-719-1657</f>
        <v>-76044</v>
      </c>
      <c r="AR62" s="1097">
        <v>0</v>
      </c>
      <c r="AS62" s="1097">
        <v>0</v>
      </c>
      <c r="AT62" s="1097">
        <v>-175</v>
      </c>
      <c r="AU62" s="1097">
        <v>-204</v>
      </c>
      <c r="AV62" s="1097">
        <v>0</v>
      </c>
      <c r="AW62" s="1097">
        <v>-48808</v>
      </c>
      <c r="AX62" s="1097"/>
      <c r="AY62" s="1097"/>
      <c r="AZ62" s="1098"/>
      <c r="BA62" s="1098"/>
      <c r="BB62" s="1097"/>
      <c r="BC62" s="1097"/>
      <c r="BD62" s="928"/>
      <c r="BH62" s="1098"/>
      <c r="BJ62" s="196">
        <v>-1697</v>
      </c>
      <c r="BK62" s="1098">
        <v>-13400</v>
      </c>
      <c r="BL62" s="1098"/>
      <c r="BM62" s="1098"/>
      <c r="BQ62" s="1098"/>
      <c r="BR62" s="1098">
        <v>-1089</v>
      </c>
      <c r="BS62" s="211">
        <v>-30</v>
      </c>
    </row>
    <row r="63" spans="1:71" x14ac:dyDescent="0.2">
      <c r="A63" s="390" t="s">
        <v>986</v>
      </c>
      <c r="B63" s="213">
        <f>SUM(B53:B62)</f>
        <v>506857</v>
      </c>
      <c r="C63" s="213">
        <f t="shared" ref="C63:BR63" si="47">SUM(C53:C62)</f>
        <v>-98435</v>
      </c>
      <c r="D63" s="213">
        <f t="shared" si="47"/>
        <v>18160</v>
      </c>
      <c r="E63" s="213">
        <f t="shared" si="47"/>
        <v>91935</v>
      </c>
      <c r="F63" s="213">
        <f t="shared" si="47"/>
        <v>-1581</v>
      </c>
      <c r="G63" s="213">
        <f t="shared" si="47"/>
        <v>-1483</v>
      </c>
      <c r="H63" s="213">
        <f t="shared" si="47"/>
        <v>0</v>
      </c>
      <c r="I63" s="213">
        <f t="shared" si="47"/>
        <v>1</v>
      </c>
      <c r="J63" s="213">
        <f t="shared" si="47"/>
        <v>0</v>
      </c>
      <c r="K63" s="213">
        <f t="shared" si="47"/>
        <v>-14908</v>
      </c>
      <c r="L63" s="213">
        <f t="shared" si="47"/>
        <v>0</v>
      </c>
      <c r="M63" s="213">
        <f t="shared" si="47"/>
        <v>0</v>
      </c>
      <c r="N63" s="1099">
        <f>SUM(N53:N62)</f>
        <v>-50949</v>
      </c>
      <c r="O63" s="213">
        <f>SUM(O53:O62)</f>
        <v>311</v>
      </c>
      <c r="P63" s="213">
        <f t="shared" si="47"/>
        <v>-22432</v>
      </c>
      <c r="Q63" s="213">
        <f t="shared" si="47"/>
        <v>-8423</v>
      </c>
      <c r="R63" s="213">
        <f t="shared" si="47"/>
        <v>-50402</v>
      </c>
      <c r="S63" s="213">
        <f>SUM(S53:S62)</f>
        <v>-50340</v>
      </c>
      <c r="T63" s="213">
        <f t="shared" si="47"/>
        <v>1058</v>
      </c>
      <c r="U63" s="213">
        <f t="shared" si="47"/>
        <v>0</v>
      </c>
      <c r="V63" s="1099">
        <f>SUM(V53:V62)</f>
        <v>0</v>
      </c>
      <c r="W63" s="213">
        <f t="shared" si="47"/>
        <v>-27503</v>
      </c>
      <c r="X63" s="213">
        <f t="shared" si="47"/>
        <v>-14587</v>
      </c>
      <c r="Y63" s="213">
        <f t="shared" si="47"/>
        <v>0</v>
      </c>
      <c r="Z63" s="213">
        <f t="shared" si="47"/>
        <v>0</v>
      </c>
      <c r="AA63" s="213">
        <f t="shared" si="47"/>
        <v>0</v>
      </c>
      <c r="AB63" s="213">
        <f t="shared" si="47"/>
        <v>-2388</v>
      </c>
      <c r="AC63" s="213">
        <f t="shared" si="47"/>
        <v>-4348</v>
      </c>
      <c r="AD63" s="213">
        <f>SUM(AD53:AD62)</f>
        <v>-55818</v>
      </c>
      <c r="AE63" s="213">
        <f>SUM(AE53:AE62)</f>
        <v>53495</v>
      </c>
      <c r="AF63" s="213">
        <f t="shared" si="47"/>
        <v>239443</v>
      </c>
      <c r="AG63" s="213">
        <f t="shared" si="47"/>
        <v>0</v>
      </c>
      <c r="AH63" s="213">
        <f t="shared" ref="AH63:AM63" si="48">SUM(AH53:AH62)</f>
        <v>0</v>
      </c>
      <c r="AI63" s="213">
        <f t="shared" si="48"/>
        <v>0</v>
      </c>
      <c r="AJ63" s="213">
        <f t="shared" si="48"/>
        <v>0</v>
      </c>
      <c r="AK63" s="213">
        <f t="shared" si="48"/>
        <v>-21629</v>
      </c>
      <c r="AL63" s="213">
        <f t="shared" si="48"/>
        <v>-1604</v>
      </c>
      <c r="AM63" s="213">
        <f t="shared" si="48"/>
        <v>-6431</v>
      </c>
      <c r="AN63" s="213">
        <f t="shared" ref="AN63:AO63" si="49">SUM(AN53:AN62)</f>
        <v>-15302</v>
      </c>
      <c r="AO63" s="213">
        <f t="shared" si="49"/>
        <v>-7976</v>
      </c>
      <c r="AP63" s="213">
        <f t="shared" ref="AP63:AQ63" si="50">SUM(AP53:AP62)</f>
        <v>-5192</v>
      </c>
      <c r="AQ63" s="213">
        <f t="shared" si="50"/>
        <v>92230</v>
      </c>
      <c r="AR63" s="213">
        <f t="shared" si="47"/>
        <v>48975</v>
      </c>
      <c r="AS63" s="213">
        <f t="shared" si="47"/>
        <v>0</v>
      </c>
      <c r="AT63" s="213">
        <f t="shared" si="47"/>
        <v>222130</v>
      </c>
      <c r="AU63" s="213">
        <f t="shared" si="47"/>
        <v>-204</v>
      </c>
      <c r="AV63" s="213">
        <f t="shared" si="47"/>
        <v>0</v>
      </c>
      <c r="AW63" s="213">
        <f t="shared" si="47"/>
        <v>7964</v>
      </c>
      <c r="AX63" s="213">
        <f>SUM(AX53:AX62)</f>
        <v>0</v>
      </c>
      <c r="AY63" s="213">
        <f t="shared" si="47"/>
        <v>0</v>
      </c>
      <c r="AZ63" s="213">
        <f t="shared" si="47"/>
        <v>0</v>
      </c>
      <c r="BA63" s="213">
        <f t="shared" si="47"/>
        <v>0</v>
      </c>
      <c r="BB63" s="213">
        <f t="shared" si="47"/>
        <v>0</v>
      </c>
      <c r="BC63" s="213">
        <f>SUM(BC53:BC62)</f>
        <v>0</v>
      </c>
      <c r="BD63" s="213">
        <f t="shared" si="47"/>
        <v>0</v>
      </c>
      <c r="BE63" s="213">
        <f t="shared" si="47"/>
        <v>0</v>
      </c>
      <c r="BF63" s="213">
        <f t="shared" si="47"/>
        <v>9493</v>
      </c>
      <c r="BG63" s="213">
        <f t="shared" si="47"/>
        <v>0</v>
      </c>
      <c r="BH63" s="213">
        <f>SUM(BH53:BH62)</f>
        <v>27830</v>
      </c>
      <c r="BI63" s="213">
        <f t="shared" si="47"/>
        <v>0</v>
      </c>
      <c r="BJ63" s="213">
        <f t="shared" si="47"/>
        <v>2107</v>
      </c>
      <c r="BK63" s="213">
        <f t="shared" si="47"/>
        <v>23342</v>
      </c>
      <c r="BL63" s="213">
        <f t="shared" si="47"/>
        <v>1605</v>
      </c>
      <c r="BM63" s="213">
        <f t="shared" si="47"/>
        <v>200</v>
      </c>
      <c r="BN63" s="213">
        <f t="shared" si="47"/>
        <v>0</v>
      </c>
      <c r="BO63" s="213">
        <f t="shared" si="47"/>
        <v>0</v>
      </c>
      <c r="BP63" s="204">
        <f t="shared" si="47"/>
        <v>4</v>
      </c>
      <c r="BQ63" s="213">
        <f t="shared" si="47"/>
        <v>100314</v>
      </c>
      <c r="BR63" s="213">
        <f t="shared" si="47"/>
        <v>27679</v>
      </c>
      <c r="BS63" s="213">
        <f>SUM(BS53:BS62)</f>
        <v>516</v>
      </c>
    </row>
    <row r="64" spans="1:71" x14ac:dyDescent="0.2">
      <c r="E64" s="926"/>
      <c r="F64" s="926"/>
      <c r="G64" s="926"/>
      <c r="H64" s="926"/>
      <c r="I64" s="926"/>
      <c r="J64" s="926"/>
      <c r="N64" s="1098"/>
      <c r="V64" s="1098"/>
      <c r="BP64" s="196"/>
    </row>
    <row r="65" spans="1:71" x14ac:dyDescent="0.2">
      <c r="A65" s="390" t="s">
        <v>989</v>
      </c>
      <c r="B65" s="211">
        <f>+B50+B63</f>
        <v>147951</v>
      </c>
      <c r="C65" s="211">
        <f t="shared" ref="C65:BS65" si="51">+C50+C63</f>
        <v>18148</v>
      </c>
      <c r="D65" s="211">
        <f t="shared" si="51"/>
        <v>-2682</v>
      </c>
      <c r="E65" s="211">
        <f t="shared" si="51"/>
        <v>111860</v>
      </c>
      <c r="F65" s="211">
        <f>+F50+F63</f>
        <v>-18817</v>
      </c>
      <c r="G65" s="211">
        <f t="shared" si="51"/>
        <v>229</v>
      </c>
      <c r="H65" s="211">
        <f t="shared" si="51"/>
        <v>341</v>
      </c>
      <c r="I65" s="211">
        <f t="shared" si="51"/>
        <v>-325</v>
      </c>
      <c r="J65" s="211">
        <f t="shared" si="51"/>
        <v>0</v>
      </c>
      <c r="K65" s="211">
        <f t="shared" si="51"/>
        <v>2331</v>
      </c>
      <c r="L65" s="211">
        <f t="shared" si="51"/>
        <v>0</v>
      </c>
      <c r="M65" s="211">
        <f t="shared" si="51"/>
        <v>0</v>
      </c>
      <c r="N65" s="211">
        <f t="shared" si="51"/>
        <v>8138</v>
      </c>
      <c r="O65" s="211">
        <f t="shared" si="51"/>
        <v>-957</v>
      </c>
      <c r="P65" s="211">
        <f t="shared" si="51"/>
        <v>137</v>
      </c>
      <c r="Q65" s="211">
        <f t="shared" si="51"/>
        <v>-6718</v>
      </c>
      <c r="R65" s="211">
        <f t="shared" si="51"/>
        <v>0</v>
      </c>
      <c r="S65" s="211">
        <f t="shared" si="51"/>
        <v>0</v>
      </c>
      <c r="T65" s="211">
        <f t="shared" si="51"/>
        <v>-168</v>
      </c>
      <c r="U65" s="211">
        <f t="shared" si="51"/>
        <v>1213</v>
      </c>
      <c r="V65" s="211">
        <f t="shared" si="51"/>
        <v>-214</v>
      </c>
      <c r="W65" s="211">
        <f t="shared" si="51"/>
        <v>-7119</v>
      </c>
      <c r="X65" s="211">
        <f t="shared" si="51"/>
        <v>2757</v>
      </c>
      <c r="Y65" s="211">
        <f t="shared" si="51"/>
        <v>0</v>
      </c>
      <c r="Z65" s="211">
        <f t="shared" si="51"/>
        <v>0</v>
      </c>
      <c r="AA65" s="211">
        <f t="shared" si="51"/>
        <v>0</v>
      </c>
      <c r="AB65" s="211">
        <f t="shared" si="51"/>
        <v>-1965</v>
      </c>
      <c r="AC65" s="211">
        <f t="shared" si="51"/>
        <v>-3132</v>
      </c>
      <c r="AD65" s="211">
        <f t="shared" si="51"/>
        <v>-45904</v>
      </c>
      <c r="AE65" s="211">
        <f t="shared" si="51"/>
        <v>66840</v>
      </c>
      <c r="AF65" s="211">
        <f t="shared" si="51"/>
        <v>-3094</v>
      </c>
      <c r="AG65" s="211">
        <f t="shared" si="51"/>
        <v>0</v>
      </c>
      <c r="AH65" s="211">
        <f t="shared" si="51"/>
        <v>0</v>
      </c>
      <c r="AI65" s="211">
        <f t="shared" si="51"/>
        <v>0</v>
      </c>
      <c r="AJ65" s="211">
        <f t="shared" si="51"/>
        <v>0</v>
      </c>
      <c r="AK65" s="211">
        <f t="shared" si="51"/>
        <v>-18531</v>
      </c>
      <c r="AL65" s="211">
        <f t="shared" si="51"/>
        <v>-1710</v>
      </c>
      <c r="AM65" s="211">
        <f t="shared" si="51"/>
        <v>-6151</v>
      </c>
      <c r="AN65" s="211">
        <f t="shared" si="51"/>
        <v>-13996</v>
      </c>
      <c r="AO65" s="211">
        <f t="shared" si="51"/>
        <v>-6409</v>
      </c>
      <c r="AP65" s="211">
        <f t="shared" si="51"/>
        <v>-4957</v>
      </c>
      <c r="AQ65" s="211">
        <f t="shared" si="51"/>
        <v>91452</v>
      </c>
      <c r="AR65" s="211">
        <f t="shared" si="51"/>
        <v>-480</v>
      </c>
      <c r="AS65" s="211">
        <f t="shared" si="51"/>
        <v>0</v>
      </c>
      <c r="AT65" s="211">
        <f t="shared" si="51"/>
        <v>-10362</v>
      </c>
      <c r="AU65" s="211">
        <f t="shared" si="51"/>
        <v>-187</v>
      </c>
      <c r="AV65" s="211">
        <f t="shared" si="51"/>
        <v>0</v>
      </c>
      <c r="AW65" s="211">
        <f t="shared" si="51"/>
        <v>9984</v>
      </c>
      <c r="AX65" s="211">
        <f t="shared" si="51"/>
        <v>0</v>
      </c>
      <c r="AY65" s="211">
        <f t="shared" si="51"/>
        <v>12</v>
      </c>
      <c r="AZ65" s="211">
        <f t="shared" si="51"/>
        <v>239</v>
      </c>
      <c r="BA65" s="211">
        <f t="shared" si="51"/>
        <v>9</v>
      </c>
      <c r="BB65" s="211">
        <f t="shared" si="51"/>
        <v>15</v>
      </c>
      <c r="BC65" s="211">
        <f t="shared" si="51"/>
        <v>78</v>
      </c>
      <c r="BD65" s="211">
        <f t="shared" si="51"/>
        <v>0</v>
      </c>
      <c r="BE65" s="211">
        <f t="shared" si="51"/>
        <v>26</v>
      </c>
      <c r="BF65" s="211">
        <f t="shared" si="51"/>
        <v>149</v>
      </c>
      <c r="BG65" s="211">
        <f t="shared" si="51"/>
        <v>0</v>
      </c>
      <c r="BH65" s="211">
        <f t="shared" si="51"/>
        <v>-369</v>
      </c>
      <c r="BI65" s="211">
        <f t="shared" si="51"/>
        <v>0</v>
      </c>
      <c r="BJ65" s="211">
        <f t="shared" si="51"/>
        <v>-5291</v>
      </c>
      <c r="BK65" s="211">
        <f t="shared" si="51"/>
        <v>-12013</v>
      </c>
      <c r="BL65" s="211">
        <f t="shared" si="51"/>
        <v>-23</v>
      </c>
      <c r="BM65" s="211">
        <f t="shared" si="51"/>
        <v>-52</v>
      </c>
      <c r="BN65" s="211">
        <f t="shared" si="51"/>
        <v>0</v>
      </c>
      <c r="BO65" s="211">
        <f t="shared" si="51"/>
        <v>0</v>
      </c>
      <c r="BP65" s="211">
        <f t="shared" si="51"/>
        <v>584</v>
      </c>
      <c r="BQ65" s="211">
        <f t="shared" si="51"/>
        <v>6830</v>
      </c>
      <c r="BR65" s="211">
        <f t="shared" si="51"/>
        <v>585</v>
      </c>
      <c r="BS65" s="211">
        <f t="shared" si="51"/>
        <v>-2380</v>
      </c>
    </row>
    <row r="66" spans="1:71" ht="3.75" customHeight="1" x14ac:dyDescent="0.2">
      <c r="B66" s="388"/>
      <c r="C66" s="388"/>
      <c r="D66" s="388"/>
      <c r="E66" s="930"/>
      <c r="F66" s="930"/>
      <c r="G66" s="930"/>
      <c r="H66" s="930"/>
      <c r="I66" s="930"/>
      <c r="J66" s="930"/>
      <c r="K66" s="388"/>
      <c r="L66" s="388"/>
      <c r="M66" s="388"/>
      <c r="N66" s="1103"/>
      <c r="O66" s="388"/>
      <c r="P66" s="388"/>
      <c r="Q66" s="388"/>
      <c r="R66" s="388"/>
      <c r="S66" s="388"/>
      <c r="T66" s="388"/>
      <c r="U66" s="388"/>
      <c r="V66" s="1103"/>
      <c r="W66" s="388"/>
      <c r="X66" s="388"/>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88"/>
      <c r="AZ66" s="388"/>
      <c r="BA66" s="388"/>
      <c r="BB66" s="388"/>
      <c r="BC66" s="388"/>
      <c r="BD66" s="388"/>
      <c r="BE66" s="388"/>
      <c r="BF66" s="388"/>
      <c r="BG66" s="388"/>
      <c r="BH66" s="388"/>
      <c r="BI66" s="388"/>
      <c r="BJ66" s="388"/>
      <c r="BK66" s="388"/>
      <c r="BL66" s="388"/>
      <c r="BM66" s="388"/>
      <c r="BN66" s="388"/>
      <c r="BO66" s="388"/>
      <c r="BP66" s="388"/>
      <c r="BQ66" s="388"/>
      <c r="BR66" s="388"/>
      <c r="BS66" s="388"/>
    </row>
    <row r="67" spans="1:71" x14ac:dyDescent="0.2">
      <c r="A67" s="332" t="s">
        <v>1719</v>
      </c>
      <c r="B67" s="211">
        <f t="shared" ref="B67" si="52">SUM(C67:BS67)</f>
        <v>1941659</v>
      </c>
      <c r="C67" s="211">
        <v>565252</v>
      </c>
      <c r="D67" s="211">
        <v>46614</v>
      </c>
      <c r="E67" s="926">
        <v>-18487</v>
      </c>
      <c r="F67" s="926">
        <v>-14684</v>
      </c>
      <c r="G67" s="926">
        <v>-76</v>
      </c>
      <c r="H67" s="928">
        <v>4665</v>
      </c>
      <c r="I67" s="926">
        <v>0</v>
      </c>
      <c r="J67" s="926">
        <v>0</v>
      </c>
      <c r="K67" s="211">
        <v>14327</v>
      </c>
      <c r="L67" s="211">
        <v>0</v>
      </c>
      <c r="M67" s="211">
        <v>0</v>
      </c>
      <c r="N67" s="1097">
        <v>148688</v>
      </c>
      <c r="O67" s="211">
        <v>111399</v>
      </c>
      <c r="P67" s="211">
        <v>1128</v>
      </c>
      <c r="Q67" s="211">
        <v>28099</v>
      </c>
      <c r="R67" s="211">
        <v>0</v>
      </c>
      <c r="S67" s="211">
        <v>0</v>
      </c>
      <c r="T67" s="211">
        <v>65</v>
      </c>
      <c r="U67" s="211">
        <v>2732</v>
      </c>
      <c r="V67" s="1098">
        <v>11988</v>
      </c>
      <c r="W67" s="211">
        <v>55454</v>
      </c>
      <c r="X67" s="211">
        <v>55831</v>
      </c>
      <c r="Y67" s="211">
        <v>0</v>
      </c>
      <c r="Z67" s="211">
        <v>0</v>
      </c>
      <c r="AA67" s="211">
        <v>0</v>
      </c>
      <c r="AB67" s="211">
        <v>7141</v>
      </c>
      <c r="AC67" s="211">
        <v>19828</v>
      </c>
      <c r="AD67" s="211">
        <v>199496</v>
      </c>
      <c r="AE67" s="211">
        <v>309051</v>
      </c>
      <c r="AF67" s="211">
        <v>-6040</v>
      </c>
      <c r="AG67" s="1097">
        <v>0</v>
      </c>
      <c r="AH67" s="211">
        <v>0</v>
      </c>
      <c r="AI67" s="211">
        <v>0</v>
      </c>
      <c r="AK67" s="211">
        <v>55987</v>
      </c>
      <c r="AL67" s="211">
        <v>2773</v>
      </c>
      <c r="AM67" s="211">
        <v>8061</v>
      </c>
      <c r="AN67" s="211">
        <v>24014</v>
      </c>
      <c r="AO67" s="211">
        <v>24564</v>
      </c>
      <c r="AP67" s="211">
        <v>5904</v>
      </c>
      <c r="AR67" s="211">
        <v>-27</v>
      </c>
      <c r="AS67" s="211">
        <v>0</v>
      </c>
      <c r="AT67" s="211">
        <v>107</v>
      </c>
      <c r="AU67" s="211">
        <v>297</v>
      </c>
      <c r="AV67" s="211">
        <v>0</v>
      </c>
      <c r="AW67" s="211">
        <v>47143</v>
      </c>
      <c r="AX67" s="211">
        <v>0</v>
      </c>
      <c r="AY67" s="211">
        <v>358</v>
      </c>
      <c r="AZ67" s="211">
        <v>5174</v>
      </c>
      <c r="BA67" s="211">
        <v>320</v>
      </c>
      <c r="BB67" s="211">
        <v>528</v>
      </c>
      <c r="BC67" s="211">
        <v>1289</v>
      </c>
      <c r="BD67" s="211">
        <v>424</v>
      </c>
      <c r="BE67" s="211">
        <v>267</v>
      </c>
      <c r="BF67" s="211">
        <v>247</v>
      </c>
      <c r="BG67" s="211">
        <v>7</v>
      </c>
      <c r="BH67" s="211">
        <v>10313</v>
      </c>
      <c r="BI67" s="211">
        <v>29</v>
      </c>
      <c r="BJ67" s="211">
        <v>9780</v>
      </c>
      <c r="BK67" s="211">
        <v>36231</v>
      </c>
      <c r="BL67" s="211">
        <v>317</v>
      </c>
      <c r="BM67" s="211">
        <v>1813</v>
      </c>
      <c r="BN67" s="211">
        <v>0</v>
      </c>
      <c r="BO67" s="211">
        <v>0</v>
      </c>
      <c r="BP67" s="211">
        <v>3627</v>
      </c>
      <c r="BQ67" s="211">
        <v>123413</v>
      </c>
      <c r="BR67" s="211">
        <v>31396</v>
      </c>
      <c r="BS67" s="211">
        <v>4832</v>
      </c>
    </row>
    <row r="68" spans="1:71" ht="3.75" customHeight="1" x14ac:dyDescent="0.2">
      <c r="E68" s="926"/>
      <c r="F68" s="926"/>
      <c r="G68" s="926"/>
      <c r="H68" s="926"/>
      <c r="I68" s="926"/>
      <c r="J68" s="926"/>
      <c r="N68" s="1097"/>
      <c r="V68" s="1098"/>
      <c r="AG68" s="1097"/>
    </row>
    <row r="69" spans="1:71" x14ac:dyDescent="0.2">
      <c r="A69" s="332" t="s">
        <v>1715</v>
      </c>
      <c r="B69" s="211">
        <f t="shared" ref="B69" si="53">SUM(C69:BS69)</f>
        <v>0</v>
      </c>
      <c r="E69" s="926"/>
      <c r="F69" s="926"/>
      <c r="G69" s="926"/>
      <c r="H69" s="926"/>
      <c r="I69" s="926"/>
      <c r="J69" s="926"/>
      <c r="N69" s="1097"/>
      <c r="V69" s="1098"/>
      <c r="AG69" s="1097"/>
    </row>
    <row r="70" spans="1:71" ht="3.75" customHeight="1" x14ac:dyDescent="0.2">
      <c r="E70" s="926"/>
      <c r="F70" s="926"/>
      <c r="G70" s="926"/>
      <c r="H70" s="926"/>
      <c r="I70" s="926"/>
      <c r="J70" s="926"/>
      <c r="N70" s="1097"/>
      <c r="V70" s="1098"/>
      <c r="AG70" s="1097"/>
    </row>
    <row r="71" spans="1:71" x14ac:dyDescent="0.2">
      <c r="A71" s="332" t="s">
        <v>1716</v>
      </c>
      <c r="B71" s="211">
        <f t="shared" ref="B71" si="54">SUM(C71:BS71)</f>
        <v>-424</v>
      </c>
      <c r="E71" s="926"/>
      <c r="F71" s="926"/>
      <c r="G71" s="926"/>
      <c r="H71" s="926"/>
      <c r="I71" s="926"/>
      <c r="J71" s="926"/>
      <c r="N71" s="1097"/>
      <c r="V71" s="1098"/>
      <c r="AG71" s="1097"/>
      <c r="BD71" s="211">
        <v>-424</v>
      </c>
    </row>
    <row r="72" spans="1:71" ht="3.75" customHeight="1" x14ac:dyDescent="0.2">
      <c r="E72" s="926"/>
      <c r="F72" s="926"/>
      <c r="G72" s="926"/>
      <c r="H72" s="926"/>
      <c r="I72" s="926"/>
      <c r="J72" s="926"/>
      <c r="N72" s="1097"/>
      <c r="V72" s="1098"/>
      <c r="AG72" s="1097"/>
    </row>
    <row r="73" spans="1:71" x14ac:dyDescent="0.2">
      <c r="A73" s="332" t="s">
        <v>1717</v>
      </c>
      <c r="B73" s="211">
        <f t="shared" ref="B73" si="55">SUM(C73:BS73)</f>
        <v>0</v>
      </c>
      <c r="E73" s="926"/>
      <c r="F73" s="926"/>
      <c r="G73" s="926"/>
      <c r="H73" s="926"/>
      <c r="I73" s="926"/>
      <c r="J73" s="926"/>
      <c r="N73" s="1097"/>
      <c r="V73" s="1098"/>
      <c r="AG73" s="1097"/>
    </row>
    <row r="74" spans="1:71" ht="3.75" customHeight="1" x14ac:dyDescent="0.2">
      <c r="E74" s="926"/>
      <c r="F74" s="926"/>
      <c r="G74" s="926"/>
      <c r="H74" s="926"/>
      <c r="I74" s="926"/>
      <c r="J74" s="926"/>
      <c r="N74" s="1097"/>
      <c r="V74" s="1098"/>
      <c r="AG74" s="1097"/>
    </row>
    <row r="75" spans="1:71" x14ac:dyDescent="0.2">
      <c r="A75" s="332" t="s">
        <v>1720</v>
      </c>
      <c r="B75" s="211">
        <f t="shared" ref="B75" si="56">SUM(C75:BS75)</f>
        <v>1941235</v>
      </c>
      <c r="C75" s="211">
        <f t="shared" ref="C75:BO75" si="57">SUM(C67:C74)</f>
        <v>565252</v>
      </c>
      <c r="D75" s="211">
        <f t="shared" si="57"/>
        <v>46614</v>
      </c>
      <c r="E75" s="211">
        <f t="shared" si="57"/>
        <v>-18487</v>
      </c>
      <c r="F75" s="211">
        <f t="shared" si="57"/>
        <v>-14684</v>
      </c>
      <c r="G75" s="211">
        <f t="shared" si="57"/>
        <v>-76</v>
      </c>
      <c r="H75" s="211">
        <f t="shared" si="57"/>
        <v>4665</v>
      </c>
      <c r="I75" s="211">
        <f t="shared" si="57"/>
        <v>0</v>
      </c>
      <c r="J75" s="211">
        <f t="shared" si="57"/>
        <v>0</v>
      </c>
      <c r="K75" s="211">
        <f t="shared" si="57"/>
        <v>14327</v>
      </c>
      <c r="L75" s="211">
        <f t="shared" si="57"/>
        <v>0</v>
      </c>
      <c r="M75" s="211">
        <f t="shared" si="57"/>
        <v>0</v>
      </c>
      <c r="N75" s="211">
        <f t="shared" si="57"/>
        <v>148688</v>
      </c>
      <c r="O75" s="211">
        <f t="shared" si="57"/>
        <v>111399</v>
      </c>
      <c r="P75" s="211">
        <f t="shared" si="57"/>
        <v>1128</v>
      </c>
      <c r="Q75" s="211">
        <f t="shared" si="57"/>
        <v>28099</v>
      </c>
      <c r="R75" s="211">
        <f t="shared" si="57"/>
        <v>0</v>
      </c>
      <c r="S75" s="211">
        <f t="shared" si="57"/>
        <v>0</v>
      </c>
      <c r="T75" s="211">
        <f t="shared" si="57"/>
        <v>65</v>
      </c>
      <c r="U75" s="211">
        <f t="shared" si="57"/>
        <v>2732</v>
      </c>
      <c r="V75" s="211">
        <f t="shared" si="57"/>
        <v>11988</v>
      </c>
      <c r="W75" s="211">
        <f t="shared" si="57"/>
        <v>55454</v>
      </c>
      <c r="X75" s="211">
        <f t="shared" si="57"/>
        <v>55831</v>
      </c>
      <c r="Y75" s="211">
        <f t="shared" si="57"/>
        <v>0</v>
      </c>
      <c r="Z75" s="211">
        <f t="shared" si="57"/>
        <v>0</v>
      </c>
      <c r="AA75" s="211">
        <f t="shared" si="57"/>
        <v>0</v>
      </c>
      <c r="AB75" s="1098">
        <f t="shared" si="57"/>
        <v>7141</v>
      </c>
      <c r="AC75" s="1098">
        <f t="shared" si="57"/>
        <v>19828</v>
      </c>
      <c r="AD75" s="1098">
        <f t="shared" si="57"/>
        <v>199496</v>
      </c>
      <c r="AE75" s="1098">
        <f t="shared" si="57"/>
        <v>309051</v>
      </c>
      <c r="AF75" s="1098">
        <f t="shared" si="57"/>
        <v>-6040</v>
      </c>
      <c r="AG75" s="1098">
        <f t="shared" si="57"/>
        <v>0</v>
      </c>
      <c r="AH75" s="1098">
        <f t="shared" si="57"/>
        <v>0</v>
      </c>
      <c r="AI75" s="1098">
        <f t="shared" si="57"/>
        <v>0</v>
      </c>
      <c r="AJ75" s="1098">
        <f t="shared" si="57"/>
        <v>0</v>
      </c>
      <c r="AK75" s="1098">
        <f t="shared" si="57"/>
        <v>55987</v>
      </c>
      <c r="AL75" s="1098">
        <f t="shared" si="57"/>
        <v>2773</v>
      </c>
      <c r="AM75" s="1098">
        <f t="shared" si="57"/>
        <v>8061</v>
      </c>
      <c r="AN75" s="1098">
        <f t="shared" si="57"/>
        <v>24014</v>
      </c>
      <c r="AO75" s="1098">
        <f t="shared" si="57"/>
        <v>24564</v>
      </c>
      <c r="AP75" s="1098">
        <f t="shared" si="57"/>
        <v>5904</v>
      </c>
      <c r="AQ75" s="1098">
        <f t="shared" si="57"/>
        <v>0</v>
      </c>
      <c r="AR75" s="1098">
        <f t="shared" si="57"/>
        <v>-27</v>
      </c>
      <c r="AS75" s="1098">
        <f t="shared" si="57"/>
        <v>0</v>
      </c>
      <c r="AT75" s="1098">
        <f t="shared" si="57"/>
        <v>107</v>
      </c>
      <c r="AU75" s="1098">
        <f t="shared" si="57"/>
        <v>297</v>
      </c>
      <c r="AV75" s="1098">
        <f t="shared" si="57"/>
        <v>0</v>
      </c>
      <c r="AW75" s="1098">
        <f t="shared" si="57"/>
        <v>47143</v>
      </c>
      <c r="AX75" s="211">
        <f t="shared" si="57"/>
        <v>0</v>
      </c>
      <c r="AY75" s="211">
        <f t="shared" si="57"/>
        <v>358</v>
      </c>
      <c r="AZ75" s="211">
        <f t="shared" si="57"/>
        <v>5174</v>
      </c>
      <c r="BA75" s="211">
        <f t="shared" si="57"/>
        <v>320</v>
      </c>
      <c r="BB75" s="211">
        <f t="shared" si="57"/>
        <v>528</v>
      </c>
      <c r="BC75" s="211">
        <f t="shared" si="57"/>
        <v>1289</v>
      </c>
      <c r="BD75" s="211">
        <f t="shared" si="57"/>
        <v>0</v>
      </c>
      <c r="BE75" s="211">
        <f t="shared" si="57"/>
        <v>267</v>
      </c>
      <c r="BF75" s="211">
        <f t="shared" si="57"/>
        <v>247</v>
      </c>
      <c r="BG75" s="211">
        <f t="shared" si="57"/>
        <v>7</v>
      </c>
      <c r="BH75" s="211">
        <f t="shared" si="57"/>
        <v>10313</v>
      </c>
      <c r="BI75" s="211">
        <f t="shared" si="57"/>
        <v>29</v>
      </c>
      <c r="BJ75" s="211">
        <f t="shared" si="57"/>
        <v>9780</v>
      </c>
      <c r="BK75" s="211">
        <f t="shared" si="57"/>
        <v>36231</v>
      </c>
      <c r="BL75" s="211">
        <f t="shared" si="57"/>
        <v>317</v>
      </c>
      <c r="BM75" s="211">
        <f t="shared" si="57"/>
        <v>1813</v>
      </c>
      <c r="BN75" s="211">
        <f t="shared" si="57"/>
        <v>0</v>
      </c>
      <c r="BO75" s="211">
        <f t="shared" si="57"/>
        <v>0</v>
      </c>
      <c r="BP75" s="211">
        <f t="shared" ref="BP75:BS75" si="58">SUM(BP67:BP74)</f>
        <v>3627</v>
      </c>
      <c r="BQ75" s="211">
        <f t="shared" si="58"/>
        <v>123413</v>
      </c>
      <c r="BR75" s="211">
        <f t="shared" si="58"/>
        <v>31396</v>
      </c>
      <c r="BS75" s="211">
        <f t="shared" si="58"/>
        <v>4832</v>
      </c>
    </row>
    <row r="76" spans="1:71" ht="3.75" customHeight="1" x14ac:dyDescent="0.2">
      <c r="B76" s="388"/>
      <c r="C76" s="388"/>
      <c r="D76" s="388"/>
      <c r="E76" s="388"/>
      <c r="F76" s="388"/>
      <c r="G76" s="388"/>
      <c r="H76" s="388"/>
      <c r="I76" s="388"/>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88"/>
      <c r="AZ76" s="388"/>
      <c r="BA76" s="388"/>
      <c r="BB76" s="388"/>
      <c r="BC76" s="388"/>
      <c r="BD76" s="388"/>
      <c r="BE76" s="388"/>
      <c r="BF76" s="388"/>
      <c r="BG76" s="388"/>
      <c r="BH76" s="388"/>
      <c r="BI76" s="388"/>
      <c r="BJ76" s="388"/>
      <c r="BK76" s="388"/>
      <c r="BL76" s="388"/>
      <c r="BM76" s="388"/>
      <c r="BN76" s="388"/>
      <c r="BO76" s="388"/>
      <c r="BP76" s="388"/>
      <c r="BQ76" s="388"/>
      <c r="BR76" s="388"/>
      <c r="BS76" s="388"/>
    </row>
    <row r="77" spans="1:71" ht="13.5" thickBot="1" x14ac:dyDescent="0.25">
      <c r="A77" s="390" t="s">
        <v>1685</v>
      </c>
      <c r="B77" s="335">
        <f>+B75+B65</f>
        <v>2089186</v>
      </c>
      <c r="C77" s="335">
        <f t="shared" ref="C77:BO77" si="59">+C75+C65</f>
        <v>583400</v>
      </c>
      <c r="D77" s="335">
        <f t="shared" si="59"/>
        <v>43932</v>
      </c>
      <c r="E77" s="335">
        <f t="shared" si="59"/>
        <v>93373</v>
      </c>
      <c r="F77" s="335">
        <f>+F75+F65</f>
        <v>-33501</v>
      </c>
      <c r="G77" s="335">
        <f t="shared" si="59"/>
        <v>153</v>
      </c>
      <c r="H77" s="335">
        <f t="shared" si="59"/>
        <v>5006</v>
      </c>
      <c r="I77" s="335">
        <f t="shared" si="59"/>
        <v>-325</v>
      </c>
      <c r="J77" s="335">
        <f t="shared" si="59"/>
        <v>0</v>
      </c>
      <c r="K77" s="335">
        <f t="shared" si="59"/>
        <v>16658</v>
      </c>
      <c r="L77" s="335">
        <f t="shared" si="59"/>
        <v>0</v>
      </c>
      <c r="M77" s="335">
        <f t="shared" si="59"/>
        <v>0</v>
      </c>
      <c r="N77" s="335">
        <f t="shared" si="59"/>
        <v>156826</v>
      </c>
      <c r="O77" s="335">
        <f t="shared" si="59"/>
        <v>110442</v>
      </c>
      <c r="P77" s="335">
        <f t="shared" si="59"/>
        <v>1265</v>
      </c>
      <c r="Q77" s="335">
        <f t="shared" si="59"/>
        <v>21381</v>
      </c>
      <c r="R77" s="335">
        <f t="shared" si="59"/>
        <v>0</v>
      </c>
      <c r="S77" s="335">
        <f t="shared" si="59"/>
        <v>0</v>
      </c>
      <c r="T77" s="335">
        <f t="shared" si="59"/>
        <v>-103</v>
      </c>
      <c r="U77" s="335">
        <f t="shared" si="59"/>
        <v>3945</v>
      </c>
      <c r="V77" s="335">
        <f t="shared" si="59"/>
        <v>11774</v>
      </c>
      <c r="W77" s="335">
        <f t="shared" si="59"/>
        <v>48335</v>
      </c>
      <c r="X77" s="335">
        <f t="shared" si="59"/>
        <v>58588</v>
      </c>
      <c r="Y77" s="335">
        <f t="shared" si="59"/>
        <v>0</v>
      </c>
      <c r="Z77" s="335">
        <f t="shared" si="59"/>
        <v>0</v>
      </c>
      <c r="AA77" s="335">
        <f t="shared" si="59"/>
        <v>0</v>
      </c>
      <c r="AB77" s="335">
        <f t="shared" si="59"/>
        <v>5176</v>
      </c>
      <c r="AC77" s="335">
        <f t="shared" si="59"/>
        <v>16696</v>
      </c>
      <c r="AD77" s="335">
        <f t="shared" si="59"/>
        <v>153592</v>
      </c>
      <c r="AE77" s="335">
        <f t="shared" si="59"/>
        <v>375891</v>
      </c>
      <c r="AF77" s="335">
        <f t="shared" si="59"/>
        <v>-9134</v>
      </c>
      <c r="AG77" s="335">
        <f t="shared" si="59"/>
        <v>0</v>
      </c>
      <c r="AH77" s="335">
        <f t="shared" si="59"/>
        <v>0</v>
      </c>
      <c r="AI77" s="335">
        <f t="shared" si="59"/>
        <v>0</v>
      </c>
      <c r="AJ77" s="335">
        <f t="shared" si="59"/>
        <v>0</v>
      </c>
      <c r="AK77" s="335">
        <f t="shared" si="59"/>
        <v>37456</v>
      </c>
      <c r="AL77" s="335">
        <f t="shared" si="59"/>
        <v>1063</v>
      </c>
      <c r="AM77" s="335">
        <f t="shared" si="59"/>
        <v>1910</v>
      </c>
      <c r="AN77" s="335">
        <f t="shared" si="59"/>
        <v>10018</v>
      </c>
      <c r="AO77" s="335">
        <f t="shared" si="59"/>
        <v>18155</v>
      </c>
      <c r="AP77" s="335">
        <f t="shared" si="59"/>
        <v>947</v>
      </c>
      <c r="AQ77" s="335">
        <f t="shared" ref="AQ77" si="60">+AQ75+AQ65</f>
        <v>91452</v>
      </c>
      <c r="AR77" s="335">
        <f t="shared" si="59"/>
        <v>-507</v>
      </c>
      <c r="AS77" s="335">
        <f t="shared" si="59"/>
        <v>0</v>
      </c>
      <c r="AT77" s="335">
        <f t="shared" si="59"/>
        <v>-10255</v>
      </c>
      <c r="AU77" s="335">
        <f t="shared" si="59"/>
        <v>110</v>
      </c>
      <c r="AV77" s="335">
        <f t="shared" si="59"/>
        <v>0</v>
      </c>
      <c r="AW77" s="335">
        <f t="shared" si="59"/>
        <v>57127</v>
      </c>
      <c r="AX77" s="335">
        <f t="shared" si="59"/>
        <v>0</v>
      </c>
      <c r="AY77" s="335">
        <f t="shared" si="59"/>
        <v>370</v>
      </c>
      <c r="AZ77" s="335">
        <f t="shared" si="59"/>
        <v>5413</v>
      </c>
      <c r="BA77" s="335">
        <f t="shared" si="59"/>
        <v>329</v>
      </c>
      <c r="BB77" s="335">
        <f t="shared" si="59"/>
        <v>543</v>
      </c>
      <c r="BC77" s="335">
        <f t="shared" si="59"/>
        <v>1367</v>
      </c>
      <c r="BD77" s="335">
        <f t="shared" si="59"/>
        <v>0</v>
      </c>
      <c r="BE77" s="335">
        <f t="shared" si="59"/>
        <v>293</v>
      </c>
      <c r="BF77" s="335">
        <f t="shared" si="59"/>
        <v>396</v>
      </c>
      <c r="BG77" s="335">
        <f t="shared" si="59"/>
        <v>7</v>
      </c>
      <c r="BH77" s="335">
        <f t="shared" si="59"/>
        <v>9944</v>
      </c>
      <c r="BI77" s="335">
        <f t="shared" si="59"/>
        <v>29</v>
      </c>
      <c r="BJ77" s="335">
        <f t="shared" si="59"/>
        <v>4489</v>
      </c>
      <c r="BK77" s="335">
        <f t="shared" si="59"/>
        <v>24218</v>
      </c>
      <c r="BL77" s="335">
        <f t="shared" si="59"/>
        <v>294</v>
      </c>
      <c r="BM77" s="335">
        <f t="shared" si="59"/>
        <v>1761</v>
      </c>
      <c r="BN77" s="335">
        <f t="shared" si="59"/>
        <v>0</v>
      </c>
      <c r="BO77" s="335">
        <f t="shared" si="59"/>
        <v>0</v>
      </c>
      <c r="BP77" s="335">
        <f t="shared" ref="BP77:BS77" si="61">+BP75+BP65</f>
        <v>4211</v>
      </c>
      <c r="BQ77" s="335">
        <f t="shared" si="61"/>
        <v>130243</v>
      </c>
      <c r="BR77" s="335">
        <f t="shared" si="61"/>
        <v>31981</v>
      </c>
      <c r="BS77" s="335">
        <f t="shared" si="61"/>
        <v>2452</v>
      </c>
    </row>
    <row r="78" spans="1:71" ht="13.5" thickTop="1" x14ac:dyDescent="0.2">
      <c r="V78" s="1098"/>
    </row>
    <row r="79" spans="1:71" x14ac:dyDescent="0.2">
      <c r="A79" s="202"/>
      <c r="C79" s="211">
        <f>+C65-'recon-SOAws'!C3</f>
        <v>0</v>
      </c>
      <c r="D79" s="211">
        <f>+D65-'recon-SOAws'!D3</f>
        <v>0</v>
      </c>
      <c r="E79" s="211">
        <f>+E65-'recon-SOAws'!E3</f>
        <v>0</v>
      </c>
      <c r="F79" s="211">
        <f>+F65-'recon-SOAws'!F3</f>
        <v>0</v>
      </c>
      <c r="G79" s="211">
        <f>+G65-'recon-SOAws'!G3</f>
        <v>0</v>
      </c>
      <c r="H79" s="211">
        <f>+H65-'recon-SOAws'!H3</f>
        <v>0</v>
      </c>
      <c r="I79" s="211">
        <f>+I65-'recon-SOAws'!I3</f>
        <v>0</v>
      </c>
      <c r="J79" s="211">
        <f>+J65-'recon-SOAws'!J3</f>
        <v>0</v>
      </c>
      <c r="K79" s="211">
        <f>+K65-'recon-SOAws'!K3</f>
        <v>0</v>
      </c>
      <c r="L79" s="211">
        <f>+L65-'recon-SOAws'!L3</f>
        <v>0</v>
      </c>
      <c r="M79" s="211">
        <f>+M65-'recon-SOAws'!M3</f>
        <v>0</v>
      </c>
      <c r="N79" s="211">
        <f>+N65-'recon-SOAws'!N3</f>
        <v>0</v>
      </c>
      <c r="O79" s="211">
        <f>+O65-'recon-SOAws'!O3</f>
        <v>0</v>
      </c>
      <c r="P79" s="211">
        <f>+P65-'recon-SOAws'!P3</f>
        <v>0</v>
      </c>
      <c r="Q79" s="211">
        <f>+Q65-'recon-SOAws'!Q3</f>
        <v>0</v>
      </c>
      <c r="R79" s="211">
        <f>+R65-'recon-SOAws'!R3</f>
        <v>0</v>
      </c>
      <c r="S79" s="211">
        <f>+S65-'recon-SOAws'!S3</f>
        <v>0</v>
      </c>
      <c r="T79" s="211">
        <f>+T65-'recon-SOAws'!T3</f>
        <v>0</v>
      </c>
      <c r="U79" s="211">
        <f>+U65-'recon-SOAws'!U3</f>
        <v>0</v>
      </c>
      <c r="V79" s="211">
        <f>+V65-'recon-SOAws'!V3</f>
        <v>0</v>
      </c>
      <c r="W79" s="211">
        <f>+W65-'recon-SOAws'!W3</f>
        <v>0</v>
      </c>
      <c r="X79" s="211">
        <f>+X65-'recon-SOAws'!X3</f>
        <v>0</v>
      </c>
      <c r="Y79" s="211">
        <f>+Y65-'recon-SOAws'!Y3</f>
        <v>0</v>
      </c>
      <c r="Z79" s="211">
        <f>+Z65-'recon-SOAws'!Z3</f>
        <v>0</v>
      </c>
      <c r="AA79" s="211">
        <f>+AA65-'recon-SOAws'!AA3</f>
        <v>0</v>
      </c>
      <c r="AB79" s="211">
        <f>+AB65-'recon-SOAws'!AB3</f>
        <v>0</v>
      </c>
      <c r="AC79" s="211">
        <f>+AC65-'recon-SOAws'!AC3</f>
        <v>0</v>
      </c>
      <c r="AD79" s="211">
        <f>+AD65-'recon-SOAws'!AD3</f>
        <v>0</v>
      </c>
      <c r="AE79" s="211">
        <f>+AE65-'recon-SOAws'!AE3</f>
        <v>0</v>
      </c>
      <c r="AF79" s="211">
        <f>+AF65-'recon-SOAws'!AF3</f>
        <v>0</v>
      </c>
      <c r="AG79" s="211">
        <f>+AG65-'recon-SOAws'!AG3</f>
        <v>0</v>
      </c>
      <c r="AH79" s="211">
        <f>+AH65-'recon-SOAws'!AH3</f>
        <v>0</v>
      </c>
      <c r="AI79" s="211">
        <f>+AI65-'recon-SOAws'!AI3</f>
        <v>0</v>
      </c>
      <c r="AJ79" s="211">
        <f>+AJ65-'recon-SOAws'!AJ3</f>
        <v>0</v>
      </c>
      <c r="AK79" s="211">
        <f>+AK65-'recon-SOAws'!AK3</f>
        <v>0</v>
      </c>
      <c r="AL79" s="211">
        <f>+AL65-'recon-SOAws'!AL3</f>
        <v>0</v>
      </c>
      <c r="AM79" s="211">
        <f>+AM65-'recon-SOAws'!AM3</f>
        <v>0</v>
      </c>
      <c r="AR79" s="211">
        <f>+AR65-'recon-SOAws'!AR3</f>
        <v>0</v>
      </c>
      <c r="AS79" s="211">
        <f>+AS65-'recon-SOAws'!AS3</f>
        <v>0</v>
      </c>
      <c r="AT79" s="211">
        <f>+AT65-'recon-SOAws'!AT3</f>
        <v>0</v>
      </c>
      <c r="AU79" s="211">
        <f>+AU65-'recon-SOAws'!AU3</f>
        <v>0</v>
      </c>
      <c r="AV79" s="211">
        <f>+AV65-'recon-SOAws'!AV3</f>
        <v>0</v>
      </c>
      <c r="AW79" s="211">
        <f>+AW65-'recon-SOAws'!AW3</f>
        <v>0</v>
      </c>
      <c r="AX79" s="211">
        <f>+AX65-'recon-SOAws'!AX3</f>
        <v>0</v>
      </c>
      <c r="AY79" s="211">
        <f>+AY65-'recon-SOAws'!AY3</f>
        <v>0</v>
      </c>
      <c r="AZ79" s="211">
        <f>+AZ65-'recon-SOAws'!AZ3</f>
        <v>0</v>
      </c>
      <c r="BA79" s="211">
        <f>+BA65-'recon-SOAws'!BA3</f>
        <v>0</v>
      </c>
      <c r="BB79" s="211">
        <f>+BB65-'recon-SOAws'!BB3</f>
        <v>0</v>
      </c>
      <c r="BC79" s="211">
        <f>+BC65-'recon-SOAws'!BC3</f>
        <v>0</v>
      </c>
      <c r="BD79" s="211">
        <f>+BD65-'recon-SOAws'!BD3</f>
        <v>0</v>
      </c>
      <c r="BE79" s="211">
        <f>+BE65-'recon-SOAws'!BE3</f>
        <v>0</v>
      </c>
      <c r="BF79" s="211">
        <f>+BF65-'recon-SOAws'!BF3</f>
        <v>0</v>
      </c>
      <c r="BG79" s="211">
        <f>+BG65-'recon-SOAws'!BG3</f>
        <v>0</v>
      </c>
      <c r="BH79" s="211">
        <f>+BH65-'recon-SOAws'!BH3</f>
        <v>0</v>
      </c>
      <c r="BI79" s="211">
        <f>+BI65-'recon-SOAws'!BI3</f>
        <v>0</v>
      </c>
      <c r="BJ79" s="211">
        <f>+BJ65-'recon-SOAws'!BJ3</f>
        <v>0</v>
      </c>
      <c r="BK79" s="211">
        <f>+BK65-'recon-SOAws'!BK3</f>
        <v>0</v>
      </c>
      <c r="BL79" s="211">
        <f>+BL65-'recon-SOAws'!BL3</f>
        <v>0</v>
      </c>
      <c r="BM79" s="211">
        <f>+BM65-'recon-SOAws'!BM3</f>
        <v>0</v>
      </c>
      <c r="BN79" s="211">
        <f>+BN65-'recon-SOAws'!BN3</f>
        <v>0</v>
      </c>
      <c r="BO79" s="211">
        <f>+BO65-'recon-SOAws'!BO3</f>
        <v>0</v>
      </c>
      <c r="BP79" s="211">
        <f>+BP65-'recon-SOAws'!BP3</f>
        <v>0</v>
      </c>
      <c r="BQ79" s="211">
        <f>+BQ65-'recon-SOAws'!BQ3</f>
        <v>0</v>
      </c>
      <c r="BR79" s="211">
        <f>+BR65-'recon-SOAws'!BR3</f>
        <v>0</v>
      </c>
      <c r="BS79" s="211">
        <f>+BS65-'recon-SOAws'!BS3</f>
        <v>0</v>
      </c>
    </row>
    <row r="81" spans="1:71" s="384" customFormat="1" x14ac:dyDescent="0.2">
      <c r="A81" s="383" t="s">
        <v>497</v>
      </c>
      <c r="B81" s="384">
        <f>SUM(C81:BS81)</f>
        <v>0</v>
      </c>
      <c r="C81" s="384">
        <f>+C77-BSGFws!C55</f>
        <v>0</v>
      </c>
      <c r="D81" s="384">
        <f>+D77-BSGFws!D55</f>
        <v>0</v>
      </c>
      <c r="E81" s="384">
        <f>+E77-BSGFws!E55</f>
        <v>0</v>
      </c>
      <c r="F81" s="384">
        <f>+F77-BSGFws!F55</f>
        <v>0</v>
      </c>
      <c r="G81" s="384">
        <f>+G77-BSGFws!G55</f>
        <v>0</v>
      </c>
      <c r="H81" s="384">
        <f>+H77-BSGFws!H55</f>
        <v>0</v>
      </c>
      <c r="I81" s="384">
        <f>+I77-BSGFws!I55</f>
        <v>0</v>
      </c>
      <c r="J81" s="384">
        <f>+J77-BSGFws!J55</f>
        <v>0</v>
      </c>
      <c r="K81" s="384">
        <f>+K77-BSGFws!K55</f>
        <v>0</v>
      </c>
      <c r="L81" s="384">
        <f>+L77-BSGFws!L55</f>
        <v>0</v>
      </c>
      <c r="M81" s="384">
        <f>+M77-BSGFws!M55</f>
        <v>0</v>
      </c>
      <c r="N81" s="384">
        <f>+N77-BSGFws!N55</f>
        <v>0</v>
      </c>
      <c r="O81" s="384">
        <f>+O77-BSGFws!O55</f>
        <v>0</v>
      </c>
      <c r="P81" s="384">
        <f>+P77-BSGFws!P55</f>
        <v>0</v>
      </c>
      <c r="Q81" s="384">
        <f>+Q77-BSGFws!Q55</f>
        <v>0</v>
      </c>
      <c r="R81" s="384">
        <f>+R77-BSGFws!R55</f>
        <v>0</v>
      </c>
      <c r="S81" s="384">
        <f>+S77-BSGFws!S55</f>
        <v>0</v>
      </c>
      <c r="T81" s="384">
        <f>+T77-BSGFws!T55</f>
        <v>0</v>
      </c>
      <c r="U81" s="384">
        <f>+U77-BSGFws!U55</f>
        <v>0</v>
      </c>
      <c r="V81" s="384">
        <f>+V77-BSGFws!V55</f>
        <v>0</v>
      </c>
      <c r="W81" s="384">
        <f>+W77-BSGFws!W55</f>
        <v>0</v>
      </c>
      <c r="X81" s="384">
        <f>+X77-BSGFws!X55</f>
        <v>0</v>
      </c>
      <c r="Y81" s="384">
        <f>+Y77-BSGFws!Y55</f>
        <v>0</v>
      </c>
      <c r="Z81" s="384">
        <f>+Z77-BSGFws!Z55</f>
        <v>0</v>
      </c>
      <c r="AA81" s="384">
        <f>+AA77-BSGFws!AA55</f>
        <v>0</v>
      </c>
      <c r="AB81" s="384">
        <f>+AB77-BSGFws!AB55</f>
        <v>0</v>
      </c>
      <c r="AC81" s="384">
        <f>+AC77-BSGFws!AC55</f>
        <v>0</v>
      </c>
      <c r="AD81" s="384">
        <f>+AD77-BSGFws!AD55</f>
        <v>0</v>
      </c>
      <c r="AE81" s="384">
        <f>+AE77-BSGFws!AE55</f>
        <v>0</v>
      </c>
      <c r="AF81" s="384">
        <f>+AF77-BSGFws!AF55</f>
        <v>0</v>
      </c>
      <c r="AG81" s="384">
        <f>+AG77-BSGFws!AG55</f>
        <v>0</v>
      </c>
      <c r="AH81" s="384">
        <f>+AH77-BSGFws!AH55</f>
        <v>0</v>
      </c>
      <c r="AI81" s="384">
        <f>+AI77-BSGFws!AI55</f>
        <v>0</v>
      </c>
      <c r="AJ81" s="384">
        <f>+AJ77-BSGFws!AJ55</f>
        <v>0</v>
      </c>
      <c r="AK81" s="384">
        <f>+AK77-BSGFws!AK55</f>
        <v>0</v>
      </c>
      <c r="AL81" s="384">
        <f>+AL77-BSGFws!AL55</f>
        <v>0</v>
      </c>
      <c r="AM81" s="384">
        <f>+AM77-BSGFws!AM55</f>
        <v>0</v>
      </c>
      <c r="AN81" s="384">
        <f>+AN77-BSGFws!AN55</f>
        <v>0</v>
      </c>
      <c r="AO81" s="384">
        <f>+AO77-BSGFws!AO55</f>
        <v>0</v>
      </c>
      <c r="AP81" s="384">
        <f>+AP77-BSGFws!AP55</f>
        <v>0</v>
      </c>
      <c r="AQ81" s="384">
        <f>+AQ77-BSGFws!AQ55</f>
        <v>0</v>
      </c>
      <c r="AR81" s="384">
        <f>+AR77-BSGFws!AR55</f>
        <v>0</v>
      </c>
      <c r="AS81" s="384">
        <f>+AS77-BSGFws!AS55</f>
        <v>0</v>
      </c>
      <c r="AT81" s="384">
        <f>+AT77-BSGFws!AT55</f>
        <v>0</v>
      </c>
      <c r="AU81" s="384">
        <f>+AU77-BSGFws!AU55</f>
        <v>0</v>
      </c>
      <c r="AV81" s="384">
        <f>+AV77-BSGFws!AV55</f>
        <v>0</v>
      </c>
      <c r="AW81" s="384">
        <f>+AW77-BSGFws!AW55</f>
        <v>0</v>
      </c>
      <c r="AX81" s="384">
        <f>+AX77-BSGFws!AX55</f>
        <v>0</v>
      </c>
      <c r="AY81" s="384">
        <f>+AY77-BSGFws!AY55</f>
        <v>0</v>
      </c>
      <c r="AZ81" s="384">
        <f>+AZ77-BSGFws!AZ55</f>
        <v>0</v>
      </c>
      <c r="BA81" s="384">
        <f>+BA77-BSGFws!BA55</f>
        <v>0</v>
      </c>
      <c r="BB81" s="384">
        <f>+BB77-BSGFws!BB55</f>
        <v>0</v>
      </c>
      <c r="BC81" s="384">
        <f>+BC77-BSGFws!BC55</f>
        <v>0</v>
      </c>
      <c r="BD81" s="384">
        <f>+BD77-BSGFws!BD55</f>
        <v>0</v>
      </c>
      <c r="BE81" s="384">
        <f>+BE77-BSGFws!BE55</f>
        <v>0</v>
      </c>
      <c r="BF81" s="384">
        <f>+BF77-BSGFws!BF55</f>
        <v>0</v>
      </c>
      <c r="BG81" s="384">
        <f>+BG77-BSGFws!BG55</f>
        <v>0</v>
      </c>
      <c r="BH81" s="384">
        <f>+BH77-BSGFws!BH55</f>
        <v>0</v>
      </c>
      <c r="BI81" s="384">
        <f>+BI77-BSGFws!BI55</f>
        <v>0</v>
      </c>
      <c r="BJ81" s="384">
        <f>+BJ77-BSGFws!BJ55</f>
        <v>0</v>
      </c>
      <c r="BK81" s="384">
        <f>+BK77-BSGFws!BK55</f>
        <v>0</v>
      </c>
      <c r="BL81" s="384">
        <f>+BL77-BSGFws!BL55</f>
        <v>0</v>
      </c>
      <c r="BM81" s="384">
        <f>+BM77-BSGFws!BM55</f>
        <v>0</v>
      </c>
      <c r="BN81" s="384">
        <f>+BN77-BSGFws!BN55</f>
        <v>0</v>
      </c>
      <c r="BO81" s="384">
        <f>+BO77-BSGFws!BO55</f>
        <v>0</v>
      </c>
      <c r="BP81" s="384">
        <f>+BP77-BSGFws!BP55</f>
        <v>0</v>
      </c>
      <c r="BQ81" s="384">
        <f>+BQ77-BSGFws!BQ55</f>
        <v>0</v>
      </c>
      <c r="BR81" s="384">
        <f>+BR77-BSGFws!BR55</f>
        <v>0</v>
      </c>
      <c r="BS81" s="384">
        <f>+BS77-BSGFws!BS55</f>
        <v>0</v>
      </c>
    </row>
    <row r="83" spans="1:71" s="773" customFormat="1" x14ac:dyDescent="0.2">
      <c r="A83" s="781" t="s">
        <v>253</v>
      </c>
      <c r="B83" s="863">
        <f>SUM(C83:BR83)</f>
        <v>-30</v>
      </c>
      <c r="C83" s="228">
        <f>+C19-SOAws!C34-SOAws!C49-SOAws!C64-SUM(SOAws!C68:C76)+'recon-SOAws'!C17</f>
        <v>0</v>
      </c>
      <c r="D83" s="228">
        <f>+D19-SOAws!D34-SOAws!D49-SOAws!D64-SUM(SOAws!D68:D76)+'recon-SOAws'!D17</f>
        <v>0</v>
      </c>
      <c r="E83" s="228">
        <f>+E19-SOAws!E34-SOAws!E49-SOAws!E64-SUM(SOAws!E68:E76)+'recon-SOAws'!E17</f>
        <v>0</v>
      </c>
      <c r="F83" s="228">
        <f>+F19-SOAws!F34-SOAws!F49-SOAws!F64-SUM(SOAws!F68:F76)+'recon-SOAws'!F17</f>
        <v>0</v>
      </c>
      <c r="G83" s="228">
        <f>+G19-SOAws!G34-SOAws!G49-SOAws!G64-SUM(SOAws!G68:G76)+'recon-SOAws'!G17</f>
        <v>0</v>
      </c>
      <c r="H83" s="228">
        <f>+H19-SOAws!H34-SOAws!H49-SOAws!H64-SUM(SOAws!H68:H76)+'recon-SOAws'!H17</f>
        <v>0</v>
      </c>
      <c r="I83" s="228">
        <f>+I19-SOAws!I34-SOAws!I49-SOAws!I64-SUM(SOAws!I68:I76)+'recon-SOAws'!I17</f>
        <v>0</v>
      </c>
      <c r="J83" s="228">
        <f>+J19-SOAws!J34-SOAws!J49-SOAws!J64-SUM(SOAws!J68:J76)+'recon-SOAws'!J17</f>
        <v>0</v>
      </c>
      <c r="K83" s="228">
        <f>+K19-SOAws!K34-SOAws!K49-SOAws!K64-SUM(SOAws!K68:K76)+'recon-SOAws'!K17</f>
        <v>0</v>
      </c>
      <c r="L83" s="228">
        <f>+L19-SOAws!L34-SOAws!L49-SOAws!L64-SUM(SOAws!L68:L76)+'recon-SOAws'!L17</f>
        <v>0</v>
      </c>
      <c r="M83" s="228">
        <f>+M19-SOAws!M34-SOAws!M49-SOAws!M64-SUM(SOAws!M68:M76)+'recon-SOAws'!M17</f>
        <v>0</v>
      </c>
      <c r="N83" s="228">
        <f>+N19-SOAws!N34-SOAws!N49-SOAws!N64-SUM(SOAws!N68:N76)+'recon-SOAws'!N17</f>
        <v>0</v>
      </c>
      <c r="O83" s="228">
        <f>+O19-SOAws!O34-SOAws!O49-SOAws!O64-SUM(SOAws!O68:O76)+'recon-SOAws'!O17</f>
        <v>0</v>
      </c>
      <c r="P83" s="228">
        <f>+P19-SOAws!P34-SOAws!P49-SOAws!P64-SUM(SOAws!P68:P76)+'recon-SOAws'!P17</f>
        <v>0</v>
      </c>
      <c r="Q83" s="228">
        <f>+Q19-SOAws!Q34-SOAws!Q49-SOAws!Q64-SUM(SOAws!Q68:Q76)+'recon-SOAws'!Q17</f>
        <v>0</v>
      </c>
      <c r="R83" s="228">
        <f>+R19-SOAws!R34-SOAws!R49-SOAws!R64-SUM(SOAws!R68:R76)+'recon-SOAws'!R17</f>
        <v>0</v>
      </c>
      <c r="S83" s="228">
        <f>+S19-SOAws!S34-SOAws!S49-SOAws!S64-SUM(SOAws!S68:S76)+'recon-SOAws'!S17</f>
        <v>0</v>
      </c>
      <c r="T83" s="228">
        <f>+T19-SOAws!T34-SOAws!T49-SOAws!T64-SUM(SOAws!T68:T76)+'recon-SOAws'!T17</f>
        <v>0</v>
      </c>
      <c r="U83" s="228">
        <f>+U19-SOAws!U34-SOAws!U49-SOAws!U64-SUM(SOAws!U68:U76)+'recon-SOAws'!U17</f>
        <v>0</v>
      </c>
      <c r="V83" s="228">
        <f>+V19-SOAws!V34-SOAws!V49-SOAws!V64-SUM(SOAws!V68:V76)+'recon-SOAws'!V17</f>
        <v>0</v>
      </c>
      <c r="W83" s="228">
        <f>+W19-SOAws!W34-SOAws!W49-SOAws!W64-SUM(SOAws!W68:W76)+'recon-SOAws'!W17</f>
        <v>0</v>
      </c>
      <c r="X83" s="228">
        <f>+X19-SOAws!X34-SOAws!X49-SOAws!X64-SUM(SOAws!X68:X76)+'recon-SOAws'!X17</f>
        <v>0</v>
      </c>
      <c r="Y83" s="228">
        <f>+Y19-SOAws!Y34-SOAws!Y49-SOAws!Y64-SUM(SOAws!Y68:Y76)+'recon-SOAws'!Y17</f>
        <v>0</v>
      </c>
      <c r="Z83" s="228">
        <f>+Z19-SOAws!Z34-SOAws!Z49-SOAws!Z64-SUM(SOAws!Z68:Z76)+'recon-SOAws'!Z17</f>
        <v>0</v>
      </c>
      <c r="AA83" s="228">
        <f>+AA19-SOAws!AA34-SOAws!AA49-SOAws!AA64-SUM(SOAws!AA68:AA76)+'recon-SOAws'!AA17</f>
        <v>0</v>
      </c>
      <c r="AB83" s="228">
        <f>+AB19-SOAws!AB34-SOAws!AB49-SOAws!AB64-SUM(SOAws!AB68:AB76)+'recon-SOAws'!AB17</f>
        <v>0</v>
      </c>
      <c r="AC83" s="228">
        <f>+AC19-SOAws!AC34-SOAws!AC49-SOAws!AC64-SUM(SOAws!AC68:AC76)+'recon-SOAws'!AC17</f>
        <v>0</v>
      </c>
      <c r="AD83" s="228">
        <f>+AD19-SOAws!AD34-SOAws!AD49-SOAws!AD64-SUM(SOAws!AD68:AD76)+'recon-SOAws'!AD17</f>
        <v>0</v>
      </c>
      <c r="AE83" s="228">
        <f>+AE19-SOAws!AE34-SOAws!AE49-SOAws!AE64-SUM(SOAws!AE68:AE76)+'recon-SOAws'!AE17</f>
        <v>0</v>
      </c>
      <c r="AF83" s="228">
        <f>+AF19-SOAws!AF34-SOAws!AF49-SOAws!AF64-SUM(SOAws!AF68:AF76)+'recon-SOAws'!AF17</f>
        <v>0</v>
      </c>
      <c r="AG83" s="228">
        <f>+AG19-SOAws!AG34-SOAws!AG49-SOAws!AG64-SUM(SOAws!AG68:AG76)+'recon-SOAws'!AG17</f>
        <v>0</v>
      </c>
      <c r="AH83" s="228">
        <f>+AH19-SOAws!AH34-SOAws!AH49-SOAws!AH64-SUM(SOAws!AH68:AH76)+'recon-SOAws'!AH17</f>
        <v>0</v>
      </c>
      <c r="AI83" s="228">
        <f>+AI19-SOAws!AI34-SOAws!AI49-SOAws!AI64-SUM(SOAws!AI68:AI76)+'recon-SOAws'!AI17</f>
        <v>0</v>
      </c>
      <c r="AJ83" s="228">
        <f>+AJ19-SOAws!AJ34-SOAws!AJ49-SOAws!AJ64-SUM(SOAws!AJ68:AJ76)+'recon-SOAws'!AJ17</f>
        <v>0</v>
      </c>
      <c r="AK83" s="228">
        <f>+AK19-SOAws!AK34-SOAws!AK49-SOAws!AK64-SUM(SOAws!AK68:AK76)+'recon-SOAws'!AK17</f>
        <v>0</v>
      </c>
      <c r="AL83" s="228">
        <f>+AL19-SOAws!AL34-SOAws!AL49-SOAws!AL64-SUM(SOAws!AL68:AL76)+'recon-SOAws'!AL17</f>
        <v>0</v>
      </c>
      <c r="AM83" s="228">
        <f>+AM19-SOAws!AM34-SOAws!AM49-SOAws!AM64-SUM(SOAws!AM68:AM76)+'recon-SOAws'!AM17</f>
        <v>0</v>
      </c>
      <c r="AN83" s="228">
        <f>+AN19-SOAws!AN34-SOAws!AN49-SOAws!AN64-SUM(SOAws!AN68:AN76)+'recon-SOAws'!AN17</f>
        <v>0</v>
      </c>
      <c r="AO83" s="228">
        <f>+AO19-SOAws!AO34-SOAws!AO49-SOAws!AO64-SUM(SOAws!AO68:AO76)+'recon-SOAws'!AO17</f>
        <v>0</v>
      </c>
      <c r="AP83" s="228"/>
      <c r="AQ83" s="228"/>
      <c r="AR83" s="228">
        <f>+AR19-SOAws!AR34-SOAws!AR49-SOAws!AR64-SUM(SOAws!AR68:AR76)+'recon-SOAws'!AR17</f>
        <v>0</v>
      </c>
      <c r="AS83" s="228">
        <f>+AS19-SOAws!AS34-SOAws!AS49-SOAws!AS64-SUM(SOAws!AS68:AS76)+'recon-SOAws'!AS17</f>
        <v>0</v>
      </c>
      <c r="AT83" s="228">
        <f>+AT19-SOAws!AT34-SOAws!AT49-SOAws!AT64-SUM(SOAws!AT68:AT76)+'recon-SOAws'!AT17</f>
        <v>0</v>
      </c>
      <c r="AU83" s="228">
        <f>+AU19-SOAws!AU34-SOAws!AU49-SOAws!AU64-SUM(SOAws!AU68:AU76)+'recon-SOAws'!AU17</f>
        <v>0</v>
      </c>
      <c r="AV83" s="228">
        <f>+AV19-SOAws!AV34-SOAws!AV49-SOAws!AV64-SUM(SOAws!AV68:AV76)+'recon-SOAws'!AV17</f>
        <v>0</v>
      </c>
      <c r="AW83" s="228">
        <f>+AW19-SOAws!AW34-SOAws!AW49-SOAws!AW64-SUM(SOAws!AW68:AW76)+'recon-SOAws'!AW17</f>
        <v>0</v>
      </c>
      <c r="AX83" s="228">
        <f>+AX19-SOAws!AX34-SOAws!AX49-SOAws!AX64-SUM(SOAws!AX68:AX76)+'recon-SOAws'!AX17</f>
        <v>0</v>
      </c>
      <c r="AY83" s="228">
        <f>+AY19-SOAws!AY34-SOAws!AY49-SOAws!AY64-SUM(SOAws!AY68:AY76)+'recon-SOAws'!AY17</f>
        <v>0</v>
      </c>
      <c r="AZ83" s="228">
        <f>+AZ19-SOAws!AZ34-SOAws!AZ49-SOAws!AZ64-SUM(SOAws!AZ68:AZ76)+'recon-SOAws'!AZ17</f>
        <v>0</v>
      </c>
      <c r="BA83" s="228">
        <f>+BA19-SOAws!BA34-SOAws!BA49-SOAws!BA64-SUM(SOAws!BA68:BA76)+'recon-SOAws'!BA17</f>
        <v>0</v>
      </c>
      <c r="BB83" s="228">
        <f>+BB19-SOAws!BB34-SOAws!BB49-SOAws!BB64-SUM(SOAws!BB68:BB76)+'recon-SOAws'!BB17</f>
        <v>0</v>
      </c>
      <c r="BC83" s="228">
        <f>+BC19-SOAws!BC34-SOAws!BC49-SOAws!BC64-SUM(SOAws!BC68:BC76)+'recon-SOAws'!BC17</f>
        <v>0</v>
      </c>
      <c r="BD83" s="228">
        <f>+BD19-SOAws!BD34-SOAws!BD49-SOAws!BD64-SUM(SOAws!BD68:BD76)+'recon-SOAws'!BD17</f>
        <v>0</v>
      </c>
      <c r="BE83" s="228">
        <f>+BE19-SOAws!BE34-SOAws!BE49-SOAws!BE64-SUM(SOAws!BE68:BE76)+'recon-SOAws'!BE17</f>
        <v>0</v>
      </c>
      <c r="BF83" s="228">
        <f>+BF19-SOAws!BF34-SOAws!BF49-SOAws!BF64-SUM(SOAws!BF68:BF76)+'recon-SOAws'!BF17</f>
        <v>0</v>
      </c>
      <c r="BG83" s="228">
        <f>+BG19-SOAws!BG34-SOAws!BG49-SOAws!BG64-SUM(SOAws!BG68:BG76)+'recon-SOAws'!BG17</f>
        <v>0</v>
      </c>
      <c r="BH83" s="228">
        <f>+BH19-SOAws!BH34-SOAws!BH49-SOAws!BH64-SUM(SOAws!BH68:BH76)+'recon-SOAws'!BH17</f>
        <v>0</v>
      </c>
      <c r="BI83" s="228">
        <f>+BI19-SOAws!BI34-SOAws!BI49-SOAws!BI64-SUM(SOAws!BI68:BI76)+'recon-SOAws'!BI17</f>
        <v>0</v>
      </c>
      <c r="BJ83" s="228">
        <f>+BJ19-SOAws!BJ34-SOAws!BJ49-SOAws!BJ64-SUM(SOAws!BJ68:BJ76)+'recon-SOAws'!BJ17</f>
        <v>0</v>
      </c>
      <c r="BK83" s="228">
        <f>+BK19-SOAws!BK34-SOAws!BK49-SOAws!BK64-SUM(SOAws!BK68:BK76)+'recon-SOAws'!BK17</f>
        <v>0</v>
      </c>
      <c r="BL83" s="228">
        <f>+BL19-SOAws!BL34-SOAws!BL49-SOAws!BL64-SUM(SOAws!BL68:BL76)+'recon-SOAws'!BL17</f>
        <v>0</v>
      </c>
      <c r="BM83" s="228">
        <f>+BM19-SOAws!BM34-SOAws!BM49-SOAws!BM64-SUM(SOAws!BM68:BM76)+'recon-SOAws'!BM17</f>
        <v>-30</v>
      </c>
      <c r="BN83" s="228">
        <f>+BN19-SOAws!BN34-SOAws!BN49-SOAws!BN64-SUM(SOAws!BN68:BN76)+'recon-SOAws'!BN17</f>
        <v>0</v>
      </c>
      <c r="BO83" s="228">
        <f>+BO19-SOAws!BO34-SOAws!BO49-SOAws!BO64-SUM(SOAws!BO68:BO76)+'recon-SOAws'!BO17</f>
        <v>0</v>
      </c>
      <c r="BP83" s="228">
        <f>+BP19-SOAws!BP34-SOAws!BP49-SOAws!BP64-SUM(SOAws!BP68:BP76)+'recon-SOAws'!BP17</f>
        <v>0</v>
      </c>
      <c r="BQ83" s="228">
        <f>+BQ19-SOAws!BQ34-SOAws!BQ49-SOAws!BQ64-SUM(SOAws!BQ68:BQ76)+'recon-SOAws'!BQ17</f>
        <v>0</v>
      </c>
      <c r="BR83" s="228">
        <f>+BR19-SOAws!BR34-SOAws!BR49-SOAws!BR64-SUM(SOAws!BR68:BR76)+'recon-SOAws'!BR17</f>
        <v>0</v>
      </c>
      <c r="BS83" s="228">
        <f>+BS19-SOAws!BS34-SOAws!BS49-SOAws!BS64-SUM(SOAws!BS68:BS76)+'recon-SOAws'!BS17</f>
        <v>0</v>
      </c>
    </row>
    <row r="85" spans="1:71" x14ac:dyDescent="0.2">
      <c r="A85" s="781" t="s">
        <v>1081</v>
      </c>
      <c r="C85" s="211">
        <f>+C54+'recon-SOAws'!C22</f>
        <v>0</v>
      </c>
      <c r="D85" s="211">
        <f>+D54+'recon-SOAws'!D22</f>
        <v>0</v>
      </c>
      <c r="E85" s="211">
        <f>+E54+'[3]recon-SOAws'!D22</f>
        <v>0</v>
      </c>
      <c r="F85" s="211">
        <f>+F54+'[3]recon-SOAws'!F22</f>
        <v>0</v>
      </c>
      <c r="G85" s="211">
        <f>+G54+'[3]recon-SOAws'!G22</f>
        <v>0</v>
      </c>
      <c r="H85" s="211">
        <f>+H54+'[3]recon-SOAws'!H22</f>
        <v>0</v>
      </c>
      <c r="I85" s="211">
        <f>+I54+'[3]recon-SOAws'!I22</f>
        <v>0</v>
      </c>
      <c r="J85" s="211">
        <f>+J54+'recon-SOAws'!J22</f>
        <v>0</v>
      </c>
      <c r="K85" s="211">
        <f>+K54+'recon-SOAws'!K22</f>
        <v>0</v>
      </c>
      <c r="L85" s="211">
        <f>+L54+'recon-SOAws'!L22</f>
        <v>0</v>
      </c>
      <c r="M85" s="211">
        <f>+M54+'recon-SOAws'!M22</f>
        <v>0</v>
      </c>
      <c r="N85" s="211">
        <f>+N54+'recon-SOAws'!N22</f>
        <v>0</v>
      </c>
      <c r="O85" s="211">
        <f>+O54+'recon-SOAws'!O22</f>
        <v>0</v>
      </c>
      <c r="P85" s="211">
        <f>+P54+'recon-SOAws'!P22</f>
        <v>0</v>
      </c>
      <c r="Q85" s="211">
        <f>+Q54+'recon-SOAws'!Q22</f>
        <v>0</v>
      </c>
      <c r="R85" s="211">
        <f>+R54+'recon-SOAws'!R22</f>
        <v>0</v>
      </c>
      <c r="S85" s="211">
        <f>+S54+'recon-SOAws'!S22</f>
        <v>0</v>
      </c>
      <c r="T85" s="211">
        <f>+T54+'recon-SOAws'!T22</f>
        <v>0</v>
      </c>
      <c r="U85" s="211">
        <f>+U54+'recon-SOAws'!U22</f>
        <v>0</v>
      </c>
      <c r="V85" s="211">
        <f>+V54+'recon-SOAws'!V22</f>
        <v>0</v>
      </c>
      <c r="W85" s="211">
        <f>+W54+'recon-SOAws'!W22</f>
        <v>0</v>
      </c>
      <c r="X85" s="211">
        <f>+X54+'recon-SOAws'!X22</f>
        <v>0</v>
      </c>
      <c r="Y85" s="211">
        <f>+Y54+'recon-SOAws'!Y22</f>
        <v>0</v>
      </c>
      <c r="Z85" s="211">
        <f>+Z54+'recon-SOAws'!Z22</f>
        <v>0</v>
      </c>
      <c r="AA85" s="211">
        <f>+AA54+'recon-SOAws'!AA22</f>
        <v>0</v>
      </c>
      <c r="AB85" s="211">
        <f>+AB54+'recon-SOAws'!AB22</f>
        <v>0</v>
      </c>
      <c r="AC85" s="211">
        <f>+AC54+'recon-SOAws'!AC22</f>
        <v>0</v>
      </c>
      <c r="AD85" s="211">
        <f>+AD54+'recon-SOAws'!AF22</f>
        <v>0</v>
      </c>
      <c r="AE85" s="211">
        <f>+AE54+'recon-SOAws'!AG22</f>
        <v>0</v>
      </c>
      <c r="AF85" s="211">
        <f>+AF54+'recon-SOAws'!AF22</f>
        <v>0</v>
      </c>
      <c r="AG85" s="211">
        <f>+AG54+'recon-SOAws'!AG22</f>
        <v>0</v>
      </c>
      <c r="AH85" s="211">
        <f>+AH54+'recon-SOAws'!AH22</f>
        <v>0</v>
      </c>
      <c r="AR85" s="211">
        <f>+AR54+'recon-SOAws'!AR22</f>
        <v>0</v>
      </c>
      <c r="AS85" s="211">
        <f>+AS54+'recon-SOAws'!AS22</f>
        <v>0</v>
      </c>
      <c r="AT85" s="211">
        <f>+AT54+'recon-SOAws'!AT22</f>
        <v>0</v>
      </c>
      <c r="AU85" s="211">
        <f>+AU54+'recon-SOAws'!AU22</f>
        <v>0</v>
      </c>
      <c r="AV85" s="211">
        <f>+AV54+'recon-SOAws'!AV22</f>
        <v>0</v>
      </c>
      <c r="AW85" s="211">
        <f>+AW53+'recon-SOAws'!AW22</f>
        <v>0</v>
      </c>
      <c r="AX85" s="211">
        <f>+AX53+'recon-SOAws'!AX22</f>
        <v>0</v>
      </c>
      <c r="AY85" s="211">
        <f>+AY54+'recon-SOAws'!AY22</f>
        <v>0</v>
      </c>
      <c r="AZ85" s="211">
        <f>+AZ54+'recon-SOAws'!AZ22</f>
        <v>0</v>
      </c>
      <c r="BA85" s="211">
        <f>+BA54+'recon-SOAws'!BA22</f>
        <v>0</v>
      </c>
      <c r="BB85" s="211">
        <f>+BB54+'recon-SOAws'!BB22</f>
        <v>0</v>
      </c>
      <c r="BC85" s="211">
        <f>+BC54+'recon-SOAws'!BC22</f>
        <v>0</v>
      </c>
      <c r="BD85" s="211">
        <f>+BD54+'recon-SOAws'!BD22</f>
        <v>0</v>
      </c>
      <c r="BE85" s="211">
        <f>+BE54+'recon-SOAws'!BE22</f>
        <v>0</v>
      </c>
      <c r="BF85" s="211">
        <f>+BF54+'recon-SOAws'!BF22</f>
        <v>0</v>
      </c>
      <c r="BG85" s="211">
        <f>+BG54+'recon-SOAws'!BG22</f>
        <v>0</v>
      </c>
      <c r="BH85" s="211">
        <f>+BH54+'recon-SOAws'!BH22</f>
        <v>-278</v>
      </c>
      <c r="BI85" s="211">
        <f>+BI54+'recon-SOAws'!BI22</f>
        <v>0</v>
      </c>
      <c r="BJ85" s="211">
        <f>+BJ53+'recon-SOAws'!BJ22</f>
        <v>0</v>
      </c>
      <c r="BK85" s="211">
        <f>+BK54+'recon-SOAws'!BK22</f>
        <v>-29445</v>
      </c>
      <c r="BL85" s="211">
        <f>+BL54+'recon-SOAws'!BL22</f>
        <v>0</v>
      </c>
      <c r="BM85" s="211">
        <f>+BM54+'recon-SOAws'!BM22</f>
        <v>0</v>
      </c>
      <c r="BN85" s="211">
        <f>+BN54+'recon-SOAws'!BN22</f>
        <v>0</v>
      </c>
      <c r="BO85" s="211">
        <f>+BO54+'recon-SOAws'!BO22</f>
        <v>0</v>
      </c>
      <c r="BP85" s="211">
        <f>+BP54+'recon-SOAws'!BP22</f>
        <v>0</v>
      </c>
      <c r="BQ85" s="211">
        <f>+BQ54+'recon-SOAws'!BQ22</f>
        <v>0</v>
      </c>
      <c r="BR85" s="211">
        <f>+BR54+'recon-SOAws'!BR22+BR53</f>
        <v>0</v>
      </c>
      <c r="BS85" s="211">
        <f>+BS54+'recon-SOAws'!BS22</f>
        <v>0</v>
      </c>
    </row>
    <row r="86" spans="1:71" x14ac:dyDescent="0.2">
      <c r="A86" s="781" t="s">
        <v>1172</v>
      </c>
      <c r="C86" s="1066">
        <f>+C55+'recon-SOAws'!C25</f>
        <v>0</v>
      </c>
      <c r="D86" s="1066">
        <f>+D55+'recon-SOAws'!D25</f>
        <v>0</v>
      </c>
      <c r="E86" s="1066">
        <f>+E55+'[3]recon-SOAws'!E25</f>
        <v>0</v>
      </c>
      <c r="F86" s="1066">
        <f>+F55+'[3]recon-SOAws'!F25</f>
        <v>0</v>
      </c>
      <c r="G86" s="1066">
        <f>+G55+'[3]recon-SOAws'!G25</f>
        <v>0</v>
      </c>
      <c r="H86" s="1066">
        <f>+H55+'[3]recon-SOAws'!H25</f>
        <v>0</v>
      </c>
      <c r="I86" s="1066">
        <f>+I55+'[3]recon-SOAws'!I25</f>
        <v>0</v>
      </c>
      <c r="J86" s="1066">
        <f>+J55+'recon-SOAws'!J25</f>
        <v>0</v>
      </c>
      <c r="K86" s="1066">
        <f>+K55+'recon-SOAws'!K25</f>
        <v>0</v>
      </c>
      <c r="L86" s="1066">
        <f>+L55+'recon-SOAws'!L25</f>
        <v>0</v>
      </c>
      <c r="M86" s="1066">
        <f>+M55+'recon-SOAws'!M25</f>
        <v>0</v>
      </c>
      <c r="N86" s="1066">
        <f>+N55+'recon-SOAws'!N25</f>
        <v>0</v>
      </c>
      <c r="O86" s="1066">
        <f>+O55+'recon-SOAws'!O25</f>
        <v>0</v>
      </c>
      <c r="P86" s="1066">
        <f>+P55+'recon-SOAws'!P25</f>
        <v>0</v>
      </c>
      <c r="Q86" s="1066">
        <f>+Q55+'recon-SOAws'!Q25</f>
        <v>0</v>
      </c>
      <c r="R86" s="1066">
        <f>+R55+'recon-SOAws'!R25</f>
        <v>0</v>
      </c>
      <c r="S86" s="1066">
        <f>+S55+'recon-SOAws'!S25</f>
        <v>0</v>
      </c>
      <c r="T86" s="1066">
        <f>+T55+'recon-SOAws'!T25</f>
        <v>0</v>
      </c>
      <c r="U86" s="1066">
        <f>+U55+'recon-SOAws'!U25</f>
        <v>0</v>
      </c>
      <c r="V86" s="1066">
        <f>+V55+'recon-SOAws'!V25</f>
        <v>0</v>
      </c>
      <c r="W86" s="1066">
        <f>+W55+'recon-SOAws'!W25</f>
        <v>0</v>
      </c>
      <c r="X86" s="1066">
        <f>+X55+'recon-SOAws'!X25</f>
        <v>0</v>
      </c>
      <c r="Y86" s="1066">
        <f>+Y55+'recon-SOAws'!Y25</f>
        <v>0</v>
      </c>
      <c r="Z86" s="1066">
        <f>+Z55+'recon-SOAws'!Z25</f>
        <v>0</v>
      </c>
      <c r="AA86" s="1066">
        <f>+AA55+'recon-SOAws'!AA25</f>
        <v>0</v>
      </c>
      <c r="AB86" s="1066">
        <f>+AB55+'recon-SOAws'!AB25</f>
        <v>0</v>
      </c>
      <c r="AC86" s="1066">
        <f>+AC55+'recon-SOAws'!AC25</f>
        <v>0</v>
      </c>
      <c r="AD86" s="1066">
        <f>+AD55+'recon-SOAws'!AF25</f>
        <v>0</v>
      </c>
      <c r="AE86" s="1066">
        <f>+AE55+'recon-SOAws'!AG25</f>
        <v>0</v>
      </c>
      <c r="AF86" s="1066">
        <f>+AF55+'recon-SOAws'!AF25</f>
        <v>0</v>
      </c>
      <c r="AG86" s="1066">
        <f>+AG55+'recon-SOAws'!AG25</f>
        <v>0</v>
      </c>
      <c r="AH86" s="1066">
        <f>+AH55+'recon-SOAws'!AR25</f>
        <v>0</v>
      </c>
      <c r="AI86" s="1066"/>
      <c r="AJ86" s="1066"/>
      <c r="AK86" s="1066"/>
      <c r="AL86" s="1066"/>
      <c r="AM86" s="1066"/>
      <c r="AN86" s="1066"/>
      <c r="AO86" s="1066"/>
      <c r="AP86" s="1066"/>
      <c r="AQ86" s="1066"/>
      <c r="AR86" s="1066">
        <f>+AR55+'recon-SOAws'!AR25</f>
        <v>0</v>
      </c>
      <c r="AS86" s="1066">
        <f>+AS55+'recon-SOAws'!AS25</f>
        <v>0</v>
      </c>
      <c r="AT86" s="1066">
        <f>+AT55+'recon-SOAws'!AT25</f>
        <v>0</v>
      </c>
      <c r="AU86" s="1066">
        <f>+AU55+'recon-SOAws'!AU25</f>
        <v>0</v>
      </c>
      <c r="AV86" s="1066">
        <f>+AV55+'recon-SOAws'!AV25</f>
        <v>0</v>
      </c>
      <c r="AW86" s="1066">
        <f>+AW55+'recon-SOAws'!AW25</f>
        <v>0</v>
      </c>
      <c r="AX86" s="1066">
        <f>+AX55+'recon-SOAws'!AX25</f>
        <v>0</v>
      </c>
      <c r="AY86" s="1066">
        <f>+AY55+'recon-SOAws'!AY25</f>
        <v>0</v>
      </c>
      <c r="AZ86" s="1066">
        <f>+AZ55+'recon-SOAws'!AZ25</f>
        <v>0</v>
      </c>
      <c r="BA86" s="1066">
        <f>+BA55+'recon-SOAws'!BA25</f>
        <v>0</v>
      </c>
      <c r="BB86" s="1066">
        <f>+BB55+'recon-SOAws'!BB25</f>
        <v>0</v>
      </c>
      <c r="BC86" s="1066">
        <f>+BC55+'recon-SOAws'!BC25</f>
        <v>0</v>
      </c>
      <c r="BD86" s="1066">
        <f>+BD55+'recon-SOAws'!BD25</f>
        <v>0</v>
      </c>
      <c r="BE86" s="1066">
        <f>+BE55+'recon-SOAws'!BE25</f>
        <v>0</v>
      </c>
      <c r="BF86" s="1066">
        <f>+BF55+'recon-SOAws'!BF25</f>
        <v>0</v>
      </c>
      <c r="BG86" s="1066">
        <f>+BG55+'recon-SOAws'!BG25</f>
        <v>0</v>
      </c>
      <c r="BH86" s="1066">
        <f>+BH55+'recon-SOAws'!BH25</f>
        <v>0</v>
      </c>
      <c r="BI86" s="1066">
        <f>+BI55+'recon-SOAws'!BI25</f>
        <v>0</v>
      </c>
      <c r="BJ86" s="1066">
        <f>+BJ55+'recon-SOAws'!BJ25</f>
        <v>0</v>
      </c>
      <c r="BK86" s="1066">
        <f>+BK55+'recon-SOAws'!BK25</f>
        <v>0</v>
      </c>
      <c r="BL86" s="1066">
        <f>+BL55+'recon-SOAws'!BL25</f>
        <v>0</v>
      </c>
      <c r="BM86" s="1066">
        <f>+BM55+'recon-SOAws'!BM25</f>
        <v>0</v>
      </c>
      <c r="BN86" s="1066">
        <f>+BN55+'recon-SOAws'!BN25</f>
        <v>0</v>
      </c>
      <c r="BO86" s="1066">
        <f>+BO55+'recon-SOAws'!BO25</f>
        <v>0</v>
      </c>
      <c r="BP86" s="1066">
        <f>+BP55+'recon-SOAws'!BP25</f>
        <v>0</v>
      </c>
      <c r="BQ86" s="1066">
        <f>+BQ55+'recon-SOAws'!BQ25</f>
        <v>0</v>
      </c>
      <c r="BR86" s="1066">
        <f>+BR55+'recon-SOAws'!BR25</f>
        <v>0</v>
      </c>
      <c r="BS86" s="1066">
        <f>+BS55+'recon-SOAws'!BS25</f>
        <v>0</v>
      </c>
    </row>
    <row r="87" spans="1:71" x14ac:dyDescent="0.2">
      <c r="A87" s="781" t="s">
        <v>1172</v>
      </c>
    </row>
    <row r="89" spans="1:71" x14ac:dyDescent="0.2">
      <c r="B89" s="211">
        <f>SUM(C89:BS89)</f>
        <v>15021</v>
      </c>
      <c r="C89" s="211">
        <f t="shared" ref="C89:AD89" si="62">+C65-C81</f>
        <v>18148</v>
      </c>
      <c r="D89" s="211">
        <f t="shared" si="62"/>
        <v>-2682</v>
      </c>
      <c r="E89" s="211">
        <f t="shared" si="62"/>
        <v>111860</v>
      </c>
      <c r="F89" s="211">
        <f t="shared" si="62"/>
        <v>-18817</v>
      </c>
      <c r="G89" s="211">
        <f t="shared" si="62"/>
        <v>229</v>
      </c>
      <c r="H89" s="211">
        <f t="shared" si="62"/>
        <v>341</v>
      </c>
      <c r="I89" s="211">
        <f t="shared" si="62"/>
        <v>-325</v>
      </c>
      <c r="J89" s="211">
        <f t="shared" si="62"/>
        <v>0</v>
      </c>
      <c r="K89" s="211">
        <f t="shared" si="62"/>
        <v>2331</v>
      </c>
      <c r="L89" s="211">
        <f t="shared" si="62"/>
        <v>0</v>
      </c>
      <c r="M89" s="211">
        <f t="shared" si="62"/>
        <v>0</v>
      </c>
      <c r="N89" s="211">
        <f t="shared" si="62"/>
        <v>8138</v>
      </c>
      <c r="O89" s="211">
        <f t="shared" si="62"/>
        <v>-957</v>
      </c>
      <c r="P89" s="211">
        <f t="shared" si="62"/>
        <v>137</v>
      </c>
      <c r="Q89" s="211">
        <f t="shared" si="62"/>
        <v>-6718</v>
      </c>
      <c r="R89" s="211">
        <f t="shared" si="62"/>
        <v>0</v>
      </c>
      <c r="S89" s="211">
        <f t="shared" si="62"/>
        <v>0</v>
      </c>
      <c r="T89" s="211">
        <f t="shared" si="62"/>
        <v>-168</v>
      </c>
      <c r="U89" s="211">
        <f t="shared" si="62"/>
        <v>1213</v>
      </c>
      <c r="V89" s="211">
        <f t="shared" si="62"/>
        <v>-214</v>
      </c>
      <c r="W89" s="211">
        <f t="shared" si="62"/>
        <v>-7119</v>
      </c>
      <c r="X89" s="211">
        <f t="shared" si="62"/>
        <v>2757</v>
      </c>
      <c r="Y89" s="211">
        <f t="shared" si="62"/>
        <v>0</v>
      </c>
      <c r="Z89" s="211">
        <f t="shared" si="62"/>
        <v>0</v>
      </c>
      <c r="AA89" s="211">
        <f t="shared" si="62"/>
        <v>0</v>
      </c>
      <c r="AB89" s="211">
        <f t="shared" si="62"/>
        <v>-1965</v>
      </c>
      <c r="AC89" s="211">
        <f t="shared" si="62"/>
        <v>-3132</v>
      </c>
      <c r="AD89" s="211">
        <f t="shared" si="62"/>
        <v>-45904</v>
      </c>
      <c r="AF89" s="211">
        <f t="shared" ref="AF89:AM89" si="63">+AF65-AF81</f>
        <v>-3094</v>
      </c>
      <c r="AG89" s="211">
        <f t="shared" si="63"/>
        <v>0</v>
      </c>
      <c r="AH89" s="211">
        <f t="shared" si="63"/>
        <v>0</v>
      </c>
      <c r="AI89" s="211">
        <f t="shared" si="63"/>
        <v>0</v>
      </c>
      <c r="AJ89" s="211">
        <f t="shared" si="63"/>
        <v>0</v>
      </c>
      <c r="AK89" s="211">
        <f t="shared" si="63"/>
        <v>-18531</v>
      </c>
      <c r="AL89" s="211">
        <f t="shared" si="63"/>
        <v>-1710</v>
      </c>
      <c r="AM89" s="211">
        <f t="shared" si="63"/>
        <v>-6151</v>
      </c>
      <c r="AR89" s="211">
        <f t="shared" ref="AR89:BS89" si="64">+AR65-AR81</f>
        <v>-480</v>
      </c>
      <c r="AS89" s="211">
        <f t="shared" si="64"/>
        <v>0</v>
      </c>
      <c r="AT89" s="211">
        <f t="shared" si="64"/>
        <v>-10362</v>
      </c>
      <c r="AU89" s="211">
        <f t="shared" si="64"/>
        <v>-187</v>
      </c>
      <c r="AV89" s="211">
        <f t="shared" si="64"/>
        <v>0</v>
      </c>
      <c r="AW89" s="211">
        <f t="shared" si="64"/>
        <v>9984</v>
      </c>
      <c r="AX89" s="211">
        <f t="shared" si="64"/>
        <v>0</v>
      </c>
      <c r="AY89" s="211">
        <f t="shared" si="64"/>
        <v>12</v>
      </c>
      <c r="AZ89" s="211">
        <f t="shared" si="64"/>
        <v>239</v>
      </c>
      <c r="BA89" s="211">
        <f t="shared" si="64"/>
        <v>9</v>
      </c>
      <c r="BB89" s="211">
        <f t="shared" si="64"/>
        <v>15</v>
      </c>
      <c r="BC89" s="211">
        <f t="shared" si="64"/>
        <v>78</v>
      </c>
      <c r="BD89" s="211">
        <f t="shared" si="64"/>
        <v>0</v>
      </c>
      <c r="BE89" s="211">
        <f t="shared" si="64"/>
        <v>26</v>
      </c>
      <c r="BF89" s="211">
        <f t="shared" si="64"/>
        <v>149</v>
      </c>
      <c r="BG89" s="211">
        <f t="shared" si="64"/>
        <v>0</v>
      </c>
      <c r="BH89" s="211">
        <f t="shared" si="64"/>
        <v>-369</v>
      </c>
      <c r="BI89" s="211">
        <f t="shared" si="64"/>
        <v>0</v>
      </c>
      <c r="BJ89" s="211">
        <f t="shared" si="64"/>
        <v>-5291</v>
      </c>
      <c r="BK89" s="211">
        <f t="shared" si="64"/>
        <v>-12013</v>
      </c>
      <c r="BL89" s="211">
        <f t="shared" si="64"/>
        <v>-23</v>
      </c>
      <c r="BM89" s="211">
        <f t="shared" si="64"/>
        <v>-52</v>
      </c>
      <c r="BN89" s="211">
        <f t="shared" si="64"/>
        <v>0</v>
      </c>
      <c r="BO89" s="211">
        <f t="shared" si="64"/>
        <v>0</v>
      </c>
      <c r="BP89" s="211">
        <f t="shared" si="64"/>
        <v>584</v>
      </c>
      <c r="BQ89" s="211">
        <f t="shared" si="64"/>
        <v>6830</v>
      </c>
      <c r="BR89" s="211">
        <f t="shared" si="64"/>
        <v>585</v>
      </c>
      <c r="BS89" s="211">
        <f t="shared" si="64"/>
        <v>-2380</v>
      </c>
    </row>
    <row r="93" spans="1:71" x14ac:dyDescent="0.2">
      <c r="B93" s="211">
        <f>+B81-B65</f>
        <v>-147951</v>
      </c>
    </row>
    <row r="94" spans="1:71" x14ac:dyDescent="0.2">
      <c r="D94" s="211">
        <v>231926</v>
      </c>
    </row>
    <row r="95" spans="1:71" x14ac:dyDescent="0.2">
      <c r="D95" s="211">
        <v>272752</v>
      </c>
    </row>
    <row r="96" spans="1:71" x14ac:dyDescent="0.2">
      <c r="D96" s="211">
        <f>+D94-D95</f>
        <v>-40826</v>
      </c>
    </row>
  </sheetData>
  <phoneticPr fontId="9" type="noConversion"/>
  <pageMargins left="0.5" right="0.5" top="0.5" bottom="0.25" header="0.5" footer="0.5"/>
  <pageSetup paperSize="17" scale="62" fitToWidth="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7" tint="0.39997558519241921"/>
    <pageSetUpPr fitToPage="1"/>
  </sheetPr>
  <dimension ref="A1:CC63"/>
  <sheetViews>
    <sheetView zoomScaleNormal="100" zoomScaleSheetLayoutView="100" workbookViewId="0">
      <pane xSplit="1" ySplit="1" topLeftCell="B2" activePane="bottomRight" state="frozen"/>
      <selection activeCell="BT109" sqref="BT109:BV113"/>
      <selection pane="topRight" activeCell="BT109" sqref="BT109:BV113"/>
      <selection pane="bottomLeft" activeCell="BT109" sqref="BT109:BV113"/>
      <selection pane="bottomRight" activeCell="C6" sqref="C6:CA40"/>
    </sheetView>
  </sheetViews>
  <sheetFormatPr defaultColWidth="9.140625" defaultRowHeight="12.75" x14ac:dyDescent="0.2"/>
  <cols>
    <col min="1" max="1" width="44.140625" style="202" customWidth="1"/>
    <col min="2" max="2" width="13.5703125" style="332" customWidth="1"/>
    <col min="3" max="24" width="13.5703125" style="202" customWidth="1"/>
    <col min="25" max="26" width="13.5703125" style="202" hidden="1" customWidth="1"/>
    <col min="27" max="32" width="13.5703125" style="202" customWidth="1"/>
    <col min="33" max="36" width="13.5703125" style="202" hidden="1" customWidth="1"/>
    <col min="37" max="80" width="13.5703125" style="202" customWidth="1"/>
    <col min="81" max="16384" width="9.140625" style="202"/>
  </cols>
  <sheetData>
    <row r="1" spans="1:81" s="192" customFormat="1" ht="51.75" thickBot="1" x14ac:dyDescent="0.25">
      <c r="A1" s="389" t="s">
        <v>739</v>
      </c>
      <c r="B1" s="548" t="s">
        <v>141</v>
      </c>
      <c r="C1" s="548" t="s">
        <v>120</v>
      </c>
      <c r="D1" s="549" t="s">
        <v>876</v>
      </c>
      <c r="E1" s="238" t="s">
        <v>1609</v>
      </c>
      <c r="F1" s="550" t="s">
        <v>877</v>
      </c>
      <c r="G1" s="550" t="s">
        <v>879</v>
      </c>
      <c r="H1" s="550" t="s">
        <v>126</v>
      </c>
      <c r="I1" s="550" t="s">
        <v>127</v>
      </c>
      <c r="J1" s="550" t="s">
        <v>880</v>
      </c>
      <c r="K1" s="552" t="s">
        <v>132</v>
      </c>
      <c r="L1" s="552" t="s">
        <v>881</v>
      </c>
      <c r="M1" s="552" t="s">
        <v>125</v>
      </c>
      <c r="N1" s="552" t="s">
        <v>882</v>
      </c>
      <c r="O1" s="552" t="s">
        <v>883</v>
      </c>
      <c r="P1" s="552" t="s">
        <v>885</v>
      </c>
      <c r="Q1" s="240" t="s">
        <v>123</v>
      </c>
      <c r="R1" s="240" t="s">
        <v>1190</v>
      </c>
      <c r="S1" s="552" t="s">
        <v>1501</v>
      </c>
      <c r="T1" s="240" t="s">
        <v>1201</v>
      </c>
      <c r="U1" s="552" t="s">
        <v>1030</v>
      </c>
      <c r="V1" s="552" t="s">
        <v>914</v>
      </c>
      <c r="W1" s="552" t="s">
        <v>858</v>
      </c>
      <c r="X1" s="552" t="s">
        <v>134</v>
      </c>
      <c r="Y1" s="551" t="s">
        <v>905</v>
      </c>
      <c r="Z1" s="551" t="s">
        <v>906</v>
      </c>
      <c r="AA1" s="1209" t="s">
        <v>1323</v>
      </c>
      <c r="AB1" s="1209" t="s">
        <v>1625</v>
      </c>
      <c r="AC1" s="551" t="s">
        <v>1042</v>
      </c>
      <c r="AD1" s="551" t="s">
        <v>1312</v>
      </c>
      <c r="AE1" s="551" t="s">
        <v>1568</v>
      </c>
      <c r="AF1" s="551" t="s">
        <v>908</v>
      </c>
      <c r="AG1" s="1209" t="s">
        <v>1431</v>
      </c>
      <c r="AH1" s="1209" t="s">
        <v>1456</v>
      </c>
      <c r="AI1" s="551" t="s">
        <v>1572</v>
      </c>
      <c r="AJ1" s="1209" t="s">
        <v>1622</v>
      </c>
      <c r="AK1" s="1209" t="s">
        <v>1728</v>
      </c>
      <c r="AL1" s="551" t="s">
        <v>1432</v>
      </c>
      <c r="AM1" s="1209" t="s">
        <v>1457</v>
      </c>
      <c r="AN1" s="1209" t="s">
        <v>1499</v>
      </c>
      <c r="AO1" s="1209" t="s">
        <v>1565</v>
      </c>
      <c r="AP1" s="1209" t="s">
        <v>1619</v>
      </c>
      <c r="AQ1" s="1209" t="s">
        <v>1732</v>
      </c>
      <c r="AR1" s="551" t="s">
        <v>909</v>
      </c>
      <c r="AS1" s="551" t="s">
        <v>910</v>
      </c>
      <c r="AT1" s="551" t="s">
        <v>165</v>
      </c>
      <c r="AU1" s="551" t="s">
        <v>166</v>
      </c>
      <c r="AV1" s="551" t="s">
        <v>911</v>
      </c>
      <c r="AW1" s="551" t="s">
        <v>912</v>
      </c>
      <c r="AX1" s="239" t="s">
        <v>647</v>
      </c>
      <c r="AY1" s="553" t="s">
        <v>913</v>
      </c>
      <c r="AZ1" s="241" t="s">
        <v>1070</v>
      </c>
      <c r="BA1" s="553" t="s">
        <v>916</v>
      </c>
      <c r="BB1" s="553" t="s">
        <v>917</v>
      </c>
      <c r="BC1" s="241" t="s">
        <v>1412</v>
      </c>
      <c r="BD1" s="385" t="s">
        <v>1687</v>
      </c>
      <c r="BE1" s="554" t="s">
        <v>896</v>
      </c>
      <c r="BF1" s="385" t="s">
        <v>1537</v>
      </c>
      <c r="BG1" s="554" t="s">
        <v>895</v>
      </c>
      <c r="BH1" s="385" t="s">
        <v>1317</v>
      </c>
      <c r="BI1" s="554" t="s">
        <v>898</v>
      </c>
      <c r="BJ1" s="554" t="s">
        <v>1135</v>
      </c>
      <c r="BK1" s="554" t="s">
        <v>904</v>
      </c>
      <c r="BL1" s="555" t="s">
        <v>723</v>
      </c>
      <c r="BM1" s="554" t="s">
        <v>901</v>
      </c>
      <c r="BN1" s="554" t="s">
        <v>1136</v>
      </c>
      <c r="BO1" s="554" t="s">
        <v>902</v>
      </c>
      <c r="BP1" s="385" t="s">
        <v>1098</v>
      </c>
      <c r="BQ1" s="385" t="s">
        <v>1540</v>
      </c>
      <c r="BR1" s="385" t="s">
        <v>1128</v>
      </c>
      <c r="BS1" s="385" t="s">
        <v>1137</v>
      </c>
      <c r="BT1" s="242" t="s">
        <v>918</v>
      </c>
      <c r="BU1" s="242" t="s">
        <v>919</v>
      </c>
      <c r="BV1" s="242" t="s">
        <v>920</v>
      </c>
      <c r="BW1" s="242" t="s">
        <v>921</v>
      </c>
      <c r="BX1" s="242" t="s">
        <v>922</v>
      </c>
      <c r="BY1" s="242" t="s">
        <v>881</v>
      </c>
      <c r="BZ1" s="236" t="s">
        <v>923</v>
      </c>
      <c r="CA1" s="236" t="s">
        <v>1011</v>
      </c>
      <c r="CB1" s="243" t="s">
        <v>924</v>
      </c>
    </row>
    <row r="2" spans="1:81" x14ac:dyDescent="0.2">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row>
    <row r="3" spans="1:81" x14ac:dyDescent="0.2">
      <c r="A3" s="561" t="s">
        <v>740</v>
      </c>
      <c r="B3" s="560">
        <f>SUM(C3:CB3)</f>
        <v>147951</v>
      </c>
      <c r="C3" s="211">
        <f>+SORECGFws!C65</f>
        <v>18148</v>
      </c>
      <c r="D3" s="211">
        <f>+SORECGFws!D65</f>
        <v>-2682</v>
      </c>
      <c r="E3" s="211">
        <f>+SORECGFws!E65</f>
        <v>111860</v>
      </c>
      <c r="F3" s="211">
        <f>+SORECGFws!F65</f>
        <v>-18817</v>
      </c>
      <c r="G3" s="211">
        <f>+SORECGFws!G65</f>
        <v>229</v>
      </c>
      <c r="H3" s="211">
        <f>+SORECGFws!H65</f>
        <v>341</v>
      </c>
      <c r="I3" s="211">
        <f>+SORECGFws!I65</f>
        <v>-325</v>
      </c>
      <c r="J3" s="211">
        <f>+SORECGFws!J65</f>
        <v>0</v>
      </c>
      <c r="K3" s="211">
        <f>+SORECGFws!K65</f>
        <v>2331</v>
      </c>
      <c r="L3" s="211"/>
      <c r="M3" s="211">
        <f>+SORECGFws!M65</f>
        <v>0</v>
      </c>
      <c r="N3" s="211">
        <f>+SORECGFws!N65</f>
        <v>8138</v>
      </c>
      <c r="O3" s="211">
        <f>+SORECGFws!O65</f>
        <v>-957</v>
      </c>
      <c r="P3" s="211">
        <f>+SORECGFws!P65</f>
        <v>137</v>
      </c>
      <c r="Q3" s="211">
        <f>+SORECGFws!Q65</f>
        <v>-6718</v>
      </c>
      <c r="R3" s="211">
        <f>+SORECGFws!R65</f>
        <v>0</v>
      </c>
      <c r="S3" s="211">
        <f>+SORECGFws!S65</f>
        <v>0</v>
      </c>
      <c r="T3" s="211">
        <f>+SORECGFws!T65</f>
        <v>-168</v>
      </c>
      <c r="U3" s="211">
        <f>+SORECGFws!U65</f>
        <v>1213</v>
      </c>
      <c r="V3" s="211">
        <f>+SORECGFws!V65</f>
        <v>-214</v>
      </c>
      <c r="W3" s="211">
        <f>+SORECGFws!W65</f>
        <v>-7119</v>
      </c>
      <c r="X3" s="211">
        <f>+SORECGFws!X65</f>
        <v>2757</v>
      </c>
      <c r="Y3" s="211">
        <f>+SORECGFws!Y65</f>
        <v>0</v>
      </c>
      <c r="Z3" s="211">
        <f>+SORECGFws!Z65</f>
        <v>0</v>
      </c>
      <c r="AA3" s="211">
        <f>+SORECGFws!AA65</f>
        <v>0</v>
      </c>
      <c r="AB3" s="211">
        <f>+SORECGFws!AB65</f>
        <v>-1965</v>
      </c>
      <c r="AC3" s="211">
        <f>+SORECGFws!AC65</f>
        <v>-3132</v>
      </c>
      <c r="AD3" s="211">
        <f>+SORECGFws!AD65</f>
        <v>-45904</v>
      </c>
      <c r="AE3" s="211">
        <f>+SORECGFws!AE65</f>
        <v>66840</v>
      </c>
      <c r="AF3" s="211">
        <f>+SORECGFws!AF65</f>
        <v>-3094</v>
      </c>
      <c r="AG3" s="211">
        <f>+SORECGFws!AG65</f>
        <v>0</v>
      </c>
      <c r="AH3" s="211">
        <f>+SORECGFws!AH65</f>
        <v>0</v>
      </c>
      <c r="AI3" s="211">
        <f>+SORECGFws!AI65</f>
        <v>0</v>
      </c>
      <c r="AJ3" s="211">
        <f>+SORECGFws!AJ65</f>
        <v>0</v>
      </c>
      <c r="AK3" s="211">
        <f>+SORECGFws!AK65</f>
        <v>-18531</v>
      </c>
      <c r="AL3" s="211">
        <f>+SORECGFws!AL65</f>
        <v>-1710</v>
      </c>
      <c r="AM3" s="211">
        <f>+SORECGFws!AM65</f>
        <v>-6151</v>
      </c>
      <c r="AN3" s="211">
        <f>+SORECGFws!AN65</f>
        <v>-13996</v>
      </c>
      <c r="AO3" s="211">
        <f>+SORECGFws!AO65</f>
        <v>-6409</v>
      </c>
      <c r="AP3" s="211">
        <f>+SORECGFws!AP65</f>
        <v>-4957</v>
      </c>
      <c r="AQ3" s="211">
        <f>+SORECGFws!AQ65</f>
        <v>91452</v>
      </c>
      <c r="AR3" s="211">
        <f>+SORECGFws!AR65</f>
        <v>-480</v>
      </c>
      <c r="AS3" s="211">
        <f>+SORECGFws!AS65</f>
        <v>0</v>
      </c>
      <c r="AT3" s="211">
        <f>+SORECGFws!AT65</f>
        <v>-10362</v>
      </c>
      <c r="AU3" s="211">
        <f>+SORECGFws!AU65</f>
        <v>-187</v>
      </c>
      <c r="AV3" s="211">
        <f>+SORECGFws!AV65</f>
        <v>0</v>
      </c>
      <c r="AW3" s="211">
        <f>+SORECGFws!AW65</f>
        <v>9984</v>
      </c>
      <c r="AX3" s="211"/>
      <c r="AY3" s="211">
        <f>+SORECGFws!AY65</f>
        <v>12</v>
      </c>
      <c r="AZ3" s="211">
        <f>+SORECGFws!AZ65</f>
        <v>239</v>
      </c>
      <c r="BA3" s="211">
        <f>+SORECGFws!BA65</f>
        <v>9</v>
      </c>
      <c r="BB3" s="211">
        <f>+SORECGFws!BB65</f>
        <v>15</v>
      </c>
      <c r="BC3" s="211">
        <f>+SORECGFws!BC65</f>
        <v>78</v>
      </c>
      <c r="BD3" s="211">
        <f>+SORECGFws!BD65</f>
        <v>0</v>
      </c>
      <c r="BE3" s="211">
        <f>+SORECGFws!BE65</f>
        <v>26</v>
      </c>
      <c r="BF3" s="211">
        <f>+SORECGFws!BF65</f>
        <v>149</v>
      </c>
      <c r="BG3" s="211">
        <f>+SORECGFws!BG65</f>
        <v>0</v>
      </c>
      <c r="BH3" s="211">
        <f>+SORECGFws!BH65</f>
        <v>-369</v>
      </c>
      <c r="BI3" s="211">
        <f>+SORECGFws!BI65</f>
        <v>0</v>
      </c>
      <c r="BJ3" s="211">
        <f>+SORECGFws!BJ65</f>
        <v>-5291</v>
      </c>
      <c r="BK3" s="211">
        <f>+SORECGFws!BK65</f>
        <v>-12013</v>
      </c>
      <c r="BL3" s="211">
        <f>+SORECGFws!BL65</f>
        <v>-23</v>
      </c>
      <c r="BM3" s="211">
        <f>+SORECGFws!BM65</f>
        <v>-52</v>
      </c>
      <c r="BN3" s="211">
        <f>+SORECGFws!BN65</f>
        <v>0</v>
      </c>
      <c r="BO3" s="211">
        <f>+SORECGFws!BO65</f>
        <v>0</v>
      </c>
      <c r="BP3" s="211">
        <f>+SORECGFws!BP65</f>
        <v>584</v>
      </c>
      <c r="BQ3" s="211">
        <f>+SORECGFws!BQ65</f>
        <v>6830</v>
      </c>
      <c r="BR3" s="211">
        <f>+SORECGFws!BR65</f>
        <v>585</v>
      </c>
      <c r="BS3" s="211">
        <f>+SORECGFws!BS65</f>
        <v>-2380</v>
      </c>
      <c r="BT3" s="211"/>
      <c r="BU3" s="211"/>
      <c r="BV3" s="211"/>
      <c r="BW3" s="211"/>
      <c r="BX3" s="211"/>
      <c r="BY3" s="211"/>
      <c r="BZ3" s="211"/>
      <c r="CA3" s="211"/>
      <c r="CB3" s="211"/>
      <c r="CC3" s="211"/>
    </row>
    <row r="4" spans="1:81" x14ac:dyDescent="0.2">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row>
    <row r="5" spans="1:81" x14ac:dyDescent="0.2">
      <c r="A5" s="547" t="s">
        <v>686</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row>
    <row r="6" spans="1:81" x14ac:dyDescent="0.2">
      <c r="A6" s="203" t="s">
        <v>44</v>
      </c>
      <c r="B6" s="211">
        <f>SUM(C6:CB6)</f>
        <v>465478</v>
      </c>
      <c r="C6" s="211"/>
      <c r="D6" s="211"/>
      <c r="E6" s="926"/>
      <c r="F6" s="926"/>
      <c r="G6" s="926"/>
      <c r="H6" s="926"/>
      <c r="I6" s="926"/>
      <c r="J6" s="926"/>
      <c r="K6" s="211"/>
      <c r="L6" s="211"/>
      <c r="M6" s="211"/>
      <c r="N6" s="211"/>
      <c r="O6" s="926"/>
      <c r="P6" s="211"/>
      <c r="Q6" s="211"/>
      <c r="R6" s="211"/>
      <c r="S6" s="211"/>
      <c r="T6" s="211"/>
      <c r="U6" s="211"/>
      <c r="V6" s="211"/>
      <c r="W6" s="211"/>
      <c r="X6" s="211"/>
      <c r="Y6" s="196"/>
      <c r="Z6" s="196"/>
      <c r="AA6" s="1097"/>
      <c r="AB6" s="1097"/>
      <c r="AC6" s="1097"/>
      <c r="AD6" s="1097"/>
      <c r="AE6" s="1097"/>
      <c r="AF6" s="1097"/>
      <c r="AG6" s="1097"/>
      <c r="AH6" s="1097"/>
      <c r="AI6" s="1097"/>
      <c r="AJ6" s="1097"/>
      <c r="AK6" s="1097"/>
      <c r="AL6" s="1097"/>
      <c r="AM6" s="1097"/>
      <c r="AN6" s="1097"/>
      <c r="AO6" s="1097"/>
      <c r="AP6" s="1097"/>
      <c r="AQ6" s="1097"/>
      <c r="AR6" s="1097"/>
      <c r="AS6" s="1097"/>
      <c r="AT6" s="1097"/>
      <c r="AU6" s="1097"/>
      <c r="AV6" s="1097"/>
      <c r="AW6" s="1097"/>
      <c r="AX6" s="1097"/>
      <c r="AY6" s="211"/>
      <c r="AZ6" s="211"/>
      <c r="BA6" s="211"/>
      <c r="BB6" s="211"/>
      <c r="BC6" s="211"/>
      <c r="BD6" s="211"/>
      <c r="BE6" s="211"/>
      <c r="BF6" s="211"/>
      <c r="BG6" s="211"/>
      <c r="BH6" s="1097">
        <v>439</v>
      </c>
      <c r="BI6" s="211"/>
      <c r="BJ6" s="211">
        <v>9258</v>
      </c>
      <c r="BK6" s="211"/>
      <c r="BL6" s="211"/>
      <c r="BM6" s="211"/>
      <c r="BN6" s="211"/>
      <c r="BO6" s="211"/>
      <c r="BP6" s="1097">
        <v>393</v>
      </c>
      <c r="BQ6" s="211"/>
      <c r="BR6" s="211"/>
      <c r="BS6" s="211"/>
      <c r="BT6" s="211"/>
      <c r="BU6" s="211"/>
      <c r="BV6" s="211"/>
      <c r="BW6" s="211"/>
      <c r="BX6" s="211"/>
      <c r="BY6" s="211"/>
      <c r="BZ6" s="211"/>
      <c r="CA6" s="211">
        <v>455388</v>
      </c>
      <c r="CB6" s="211"/>
      <c r="CC6" s="211"/>
    </row>
    <row r="7" spans="1:81" x14ac:dyDescent="0.2">
      <c r="A7" s="203" t="s">
        <v>181</v>
      </c>
      <c r="B7" s="211">
        <f>SUM(C7:CB7)</f>
        <v>350</v>
      </c>
      <c r="C7" s="211"/>
      <c r="D7" s="211"/>
      <c r="E7" s="926"/>
      <c r="F7" s="926"/>
      <c r="G7" s="926"/>
      <c r="H7" s="926"/>
      <c r="I7" s="926"/>
      <c r="J7" s="926"/>
      <c r="K7" s="211"/>
      <c r="L7" s="211"/>
      <c r="M7" s="211"/>
      <c r="N7" s="211"/>
      <c r="O7" s="926"/>
      <c r="P7" s="211"/>
      <c r="Q7" s="211"/>
      <c r="R7" s="211"/>
      <c r="S7" s="211"/>
      <c r="T7" s="211"/>
      <c r="U7" s="211"/>
      <c r="V7" s="211"/>
      <c r="W7" s="211"/>
      <c r="X7" s="211"/>
      <c r="Y7" s="196"/>
      <c r="Z7" s="196"/>
      <c r="AA7" s="1097"/>
      <c r="AB7" s="1097"/>
      <c r="AC7" s="1097"/>
      <c r="AD7" s="1097"/>
      <c r="AE7" s="1097"/>
      <c r="AF7" s="1097"/>
      <c r="AG7" s="1097"/>
      <c r="AH7" s="1097"/>
      <c r="AI7" s="1097"/>
      <c r="AJ7" s="1097"/>
      <c r="AK7" s="1097"/>
      <c r="AL7" s="1097"/>
      <c r="AM7" s="1097"/>
      <c r="AN7" s="1097"/>
      <c r="AO7" s="1097"/>
      <c r="AP7" s="1097"/>
      <c r="AQ7" s="1097"/>
      <c r="AR7" s="1097"/>
      <c r="AS7" s="1097"/>
      <c r="AT7" s="1097"/>
      <c r="AU7" s="1097"/>
      <c r="AV7" s="1097"/>
      <c r="AW7" s="1097"/>
      <c r="AX7" s="1097"/>
      <c r="AY7" s="211"/>
      <c r="AZ7" s="211"/>
      <c r="BA7" s="211"/>
      <c r="BB7" s="211"/>
      <c r="BC7" s="211"/>
      <c r="BD7" s="211"/>
      <c r="BE7" s="211"/>
      <c r="BF7" s="211"/>
      <c r="BG7" s="211"/>
      <c r="BH7" s="1097"/>
      <c r="BI7" s="211"/>
      <c r="BJ7" s="211"/>
      <c r="BK7" s="211"/>
      <c r="BL7" s="211"/>
      <c r="BM7" s="211"/>
      <c r="BN7" s="211"/>
      <c r="BO7" s="211"/>
      <c r="BP7" s="1097"/>
      <c r="BQ7" s="211"/>
      <c r="BR7" s="211"/>
      <c r="BS7" s="211"/>
      <c r="BT7" s="211"/>
      <c r="BU7" s="211"/>
      <c r="BV7" s="211"/>
      <c r="BW7" s="211"/>
      <c r="BX7" s="211"/>
      <c r="BY7" s="211"/>
      <c r="BZ7" s="211"/>
      <c r="CA7" s="211">
        <v>350</v>
      </c>
      <c r="CB7" s="211"/>
      <c r="CC7" s="211"/>
    </row>
    <row r="8" spans="1:81" x14ac:dyDescent="0.2">
      <c r="A8" s="203" t="s">
        <v>741</v>
      </c>
      <c r="B8" s="211">
        <f>SUM(C8:CB8)</f>
        <v>791</v>
      </c>
      <c r="C8" s="211"/>
      <c r="D8" s="211"/>
      <c r="E8" s="926"/>
      <c r="F8" s="926"/>
      <c r="G8" s="926"/>
      <c r="H8" s="926"/>
      <c r="I8" s="926"/>
      <c r="J8" s="926"/>
      <c r="K8" s="211"/>
      <c r="L8" s="211"/>
      <c r="M8" s="211"/>
      <c r="N8" s="211"/>
      <c r="O8" s="926"/>
      <c r="P8" s="211"/>
      <c r="Q8" s="211"/>
      <c r="R8" s="211"/>
      <c r="S8" s="211"/>
      <c r="T8" s="211"/>
      <c r="U8" s="211"/>
      <c r="V8" s="211"/>
      <c r="W8" s="211"/>
      <c r="X8" s="211"/>
      <c r="Y8" s="196"/>
      <c r="Z8" s="196"/>
      <c r="AA8" s="1097"/>
      <c r="AB8" s="1097"/>
      <c r="AC8" s="1097"/>
      <c r="AD8" s="1097"/>
      <c r="AE8" s="1097"/>
      <c r="AF8" s="1097"/>
      <c r="AG8" s="1097"/>
      <c r="AH8" s="1097"/>
      <c r="AI8" s="1097"/>
      <c r="AJ8" s="1097"/>
      <c r="AK8" s="1097"/>
      <c r="AL8" s="1097"/>
      <c r="AM8" s="1097"/>
      <c r="AN8" s="1097"/>
      <c r="AO8" s="1097"/>
      <c r="AP8" s="1097"/>
      <c r="AQ8" s="1097"/>
      <c r="AR8" s="1097"/>
      <c r="AS8" s="1097"/>
      <c r="AT8" s="1097"/>
      <c r="AU8" s="1097"/>
      <c r="AV8" s="1097"/>
      <c r="AW8" s="1097"/>
      <c r="AX8" s="1097"/>
      <c r="AY8" s="211"/>
      <c r="AZ8" s="211"/>
      <c r="BA8" s="211"/>
      <c r="BB8" s="211"/>
      <c r="BC8" s="211"/>
      <c r="BD8" s="211"/>
      <c r="BE8" s="211"/>
      <c r="BF8" s="211"/>
      <c r="BG8" s="211"/>
      <c r="BH8" s="1097"/>
      <c r="BI8" s="211"/>
      <c r="BJ8" s="211"/>
      <c r="BK8" s="211"/>
      <c r="BL8" s="211"/>
      <c r="BM8" s="211"/>
      <c r="BN8" s="211"/>
      <c r="BO8" s="211"/>
      <c r="BP8" s="1097"/>
      <c r="BQ8" s="211">
        <v>780</v>
      </c>
      <c r="BR8" s="211"/>
      <c r="BS8" s="211"/>
      <c r="BT8" s="211"/>
      <c r="BU8" s="211"/>
      <c r="BV8" s="211"/>
      <c r="BW8" s="211"/>
      <c r="BX8" s="211"/>
      <c r="BY8" s="211"/>
      <c r="BZ8" s="211"/>
      <c r="CA8" s="196">
        <v>11</v>
      </c>
      <c r="CB8" s="211"/>
      <c r="CC8" s="211"/>
    </row>
    <row r="9" spans="1:81" x14ac:dyDescent="0.2">
      <c r="A9" s="203" t="s">
        <v>173</v>
      </c>
      <c r="B9" s="211">
        <f>SUM(C9:CB9)</f>
        <v>-252769</v>
      </c>
      <c r="C9" s="211"/>
      <c r="D9" s="211"/>
      <c r="E9" s="926"/>
      <c r="F9" s="926"/>
      <c r="G9" s="926"/>
      <c r="H9" s="926"/>
      <c r="I9" s="926"/>
      <c r="J9" s="926"/>
      <c r="K9" s="211"/>
      <c r="L9" s="211"/>
      <c r="M9" s="211"/>
      <c r="N9" s="211"/>
      <c r="O9" s="926"/>
      <c r="P9" s="211"/>
      <c r="Q9" s="211"/>
      <c r="R9" s="211"/>
      <c r="S9" s="211"/>
      <c r="T9" s="211"/>
      <c r="U9" s="211"/>
      <c r="V9" s="211"/>
      <c r="W9" s="211"/>
      <c r="X9" s="211"/>
      <c r="Y9" s="196"/>
      <c r="Z9" s="196"/>
      <c r="AA9" s="1097"/>
      <c r="AB9" s="1097"/>
      <c r="AC9" s="1097"/>
      <c r="AD9" s="1097"/>
      <c r="AE9" s="1097"/>
      <c r="AF9" s="1097"/>
      <c r="AG9" s="1097"/>
      <c r="AH9" s="1097"/>
      <c r="AI9" s="1097"/>
      <c r="AJ9" s="1097"/>
      <c r="AK9" s="1097"/>
      <c r="AL9" s="1097"/>
      <c r="AM9" s="1097"/>
      <c r="AN9" s="1097"/>
      <c r="AO9" s="1097"/>
      <c r="AP9" s="1097"/>
      <c r="AQ9" s="1097"/>
      <c r="AR9" s="1097"/>
      <c r="AS9" s="1097"/>
      <c r="AT9" s="1097"/>
      <c r="AU9" s="1097"/>
      <c r="AV9" s="1097"/>
      <c r="AW9" s="1097"/>
      <c r="AX9" s="1097"/>
      <c r="AY9" s="211"/>
      <c r="AZ9" s="211"/>
      <c r="BA9" s="211"/>
      <c r="BB9" s="211"/>
      <c r="BC9" s="211"/>
      <c r="BD9" s="211"/>
      <c r="BE9" s="211"/>
      <c r="BF9" s="211"/>
      <c r="BG9" s="211"/>
      <c r="BH9" s="1097">
        <v>-162</v>
      </c>
      <c r="BI9" s="211"/>
      <c r="BJ9" s="211">
        <v>-3016</v>
      </c>
      <c r="BK9" s="211"/>
      <c r="BL9" s="211"/>
      <c r="BM9" s="211"/>
      <c r="BN9" s="211"/>
      <c r="BO9" s="211"/>
      <c r="BP9" s="1097">
        <v>-197</v>
      </c>
      <c r="BQ9" s="211"/>
      <c r="BR9" s="211"/>
      <c r="BS9" s="211"/>
      <c r="BT9" s="211"/>
      <c r="BU9" s="211"/>
      <c r="BV9" s="211"/>
      <c r="BW9" s="211"/>
      <c r="BX9" s="211"/>
      <c r="BY9" s="211"/>
      <c r="BZ9" s="211"/>
      <c r="CA9" s="196">
        <v>-249394</v>
      </c>
      <c r="CB9" s="211"/>
      <c r="CC9" s="211"/>
    </row>
    <row r="10" spans="1:81" x14ac:dyDescent="0.2">
      <c r="A10" s="203" t="s">
        <v>174</v>
      </c>
      <c r="B10" s="211">
        <f>SUM(C10:CB10)</f>
        <v>-16693</v>
      </c>
      <c r="C10" s="211"/>
      <c r="D10" s="211"/>
      <c r="E10" s="926"/>
      <c r="F10" s="926"/>
      <c r="G10" s="926"/>
      <c r="H10" s="926"/>
      <c r="I10" s="926"/>
      <c r="J10" s="926"/>
      <c r="K10" s="211"/>
      <c r="L10" s="211"/>
      <c r="M10" s="211"/>
      <c r="N10" s="211"/>
      <c r="O10" s="926"/>
      <c r="P10" s="211"/>
      <c r="Q10" s="211"/>
      <c r="R10" s="211"/>
      <c r="S10" s="211"/>
      <c r="T10" s="211"/>
      <c r="U10" s="211"/>
      <c r="V10" s="211"/>
      <c r="W10" s="211"/>
      <c r="X10" s="211"/>
      <c r="Y10" s="196"/>
      <c r="Z10" s="196"/>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211"/>
      <c r="AZ10" s="211"/>
      <c r="BA10" s="211"/>
      <c r="BB10" s="211"/>
      <c r="BC10" s="211"/>
      <c r="BD10" s="211"/>
      <c r="BE10" s="211"/>
      <c r="BF10" s="211"/>
      <c r="BG10" s="211"/>
      <c r="BH10" s="1097"/>
      <c r="BI10" s="211"/>
      <c r="BJ10" s="211"/>
      <c r="BK10" s="211"/>
      <c r="BL10" s="211"/>
      <c r="BM10" s="211"/>
      <c r="BN10" s="211"/>
      <c r="BO10" s="211"/>
      <c r="BP10" s="1097"/>
      <c r="BQ10" s="211"/>
      <c r="BR10" s="211"/>
      <c r="BS10" s="211"/>
      <c r="BT10" s="211"/>
      <c r="BU10" s="211"/>
      <c r="BV10" s="211"/>
      <c r="BW10" s="211"/>
      <c r="BX10" s="211"/>
      <c r="BY10" s="211"/>
      <c r="BZ10" s="211"/>
      <c r="CA10" s="211">
        <v>-16693</v>
      </c>
      <c r="CB10" s="211"/>
      <c r="CC10" s="211"/>
    </row>
    <row r="11" spans="1:81" x14ac:dyDescent="0.2">
      <c r="A11" s="547" t="s">
        <v>997</v>
      </c>
      <c r="B11" s="388">
        <f>SUM(B5:B10)</f>
        <v>197157</v>
      </c>
      <c r="C11" s="388">
        <f t="shared" ref="C11:BT11" si="0">SUM(C5:C10)</f>
        <v>0</v>
      </c>
      <c r="D11" s="388">
        <f t="shared" si="0"/>
        <v>0</v>
      </c>
      <c r="E11" s="388">
        <f t="shared" ref="E11" si="1">SUM(E5:E10)</f>
        <v>0</v>
      </c>
      <c r="F11" s="388">
        <f t="shared" si="0"/>
        <v>0</v>
      </c>
      <c r="G11" s="388">
        <f t="shared" si="0"/>
        <v>0</v>
      </c>
      <c r="H11" s="388">
        <f t="shared" si="0"/>
        <v>0</v>
      </c>
      <c r="I11" s="388">
        <f t="shared" si="0"/>
        <v>0</v>
      </c>
      <c r="J11" s="388">
        <f t="shared" si="0"/>
        <v>0</v>
      </c>
      <c r="K11" s="388">
        <f t="shared" si="0"/>
        <v>0</v>
      </c>
      <c r="L11" s="388">
        <f t="shared" si="0"/>
        <v>0</v>
      </c>
      <c r="M11" s="388">
        <f t="shared" si="0"/>
        <v>0</v>
      </c>
      <c r="N11" s="388">
        <f t="shared" si="0"/>
        <v>0</v>
      </c>
      <c r="O11" s="388">
        <f t="shared" si="0"/>
        <v>0</v>
      </c>
      <c r="P11" s="388">
        <f t="shared" si="0"/>
        <v>0</v>
      </c>
      <c r="Q11" s="388">
        <f t="shared" si="0"/>
        <v>0</v>
      </c>
      <c r="R11" s="388">
        <f t="shared" si="0"/>
        <v>0</v>
      </c>
      <c r="S11" s="388">
        <f>SUM(S5:S10)</f>
        <v>0</v>
      </c>
      <c r="T11" s="388">
        <f t="shared" si="0"/>
        <v>0</v>
      </c>
      <c r="U11" s="388">
        <f t="shared" si="0"/>
        <v>0</v>
      </c>
      <c r="V11" s="388">
        <f>SUM(V5:V10)</f>
        <v>0</v>
      </c>
      <c r="W11" s="388">
        <f t="shared" si="0"/>
        <v>0</v>
      </c>
      <c r="X11" s="388">
        <f t="shared" si="0"/>
        <v>0</v>
      </c>
      <c r="Y11" s="777">
        <f t="shared" si="0"/>
        <v>0</v>
      </c>
      <c r="Z11" s="777">
        <f t="shared" si="0"/>
        <v>0</v>
      </c>
      <c r="AA11" s="1142">
        <f t="shared" ref="AA11" si="2">SUM(AA5:AA10)</f>
        <v>0</v>
      </c>
      <c r="AB11" s="1142">
        <f t="shared" ref="AB11:AX11" si="3">SUM(AB5:AB10)</f>
        <v>0</v>
      </c>
      <c r="AC11" s="1142">
        <f t="shared" si="3"/>
        <v>0</v>
      </c>
      <c r="AD11" s="1142">
        <f t="shared" si="3"/>
        <v>0</v>
      </c>
      <c r="AE11" s="1142">
        <f>SUM(AE5:AE10)</f>
        <v>0</v>
      </c>
      <c r="AF11" s="1142">
        <f>SUM(AF5:AF10)</f>
        <v>0</v>
      </c>
      <c r="AG11" s="1142">
        <f t="shared" si="3"/>
        <v>0</v>
      </c>
      <c r="AH11" s="1142">
        <f t="shared" si="3"/>
        <v>0</v>
      </c>
      <c r="AI11" s="1142">
        <f t="shared" si="3"/>
        <v>0</v>
      </c>
      <c r="AJ11" s="1142">
        <f t="shared" si="3"/>
        <v>0</v>
      </c>
      <c r="AK11" s="1142">
        <f t="shared" si="3"/>
        <v>0</v>
      </c>
      <c r="AL11" s="1142">
        <f t="shared" si="3"/>
        <v>0</v>
      </c>
      <c r="AM11" s="1142">
        <f t="shared" si="3"/>
        <v>0</v>
      </c>
      <c r="AN11" s="1142">
        <f t="shared" si="3"/>
        <v>0</v>
      </c>
      <c r="AO11" s="1142">
        <f t="shared" si="3"/>
        <v>0</v>
      </c>
      <c r="AP11" s="1142">
        <f t="shared" ref="AP11:AR11" si="4">SUM(AP5:AP10)</f>
        <v>0</v>
      </c>
      <c r="AQ11" s="1142">
        <f t="shared" si="4"/>
        <v>0</v>
      </c>
      <c r="AR11" s="1142">
        <f t="shared" si="4"/>
        <v>0</v>
      </c>
      <c r="AS11" s="1142">
        <f t="shared" si="3"/>
        <v>0</v>
      </c>
      <c r="AT11" s="1142">
        <f t="shared" si="3"/>
        <v>0</v>
      </c>
      <c r="AU11" s="1142">
        <f t="shared" si="3"/>
        <v>0</v>
      </c>
      <c r="AV11" s="1142">
        <f t="shared" si="3"/>
        <v>0</v>
      </c>
      <c r="AW11" s="1142">
        <f t="shared" si="3"/>
        <v>0</v>
      </c>
      <c r="AX11" s="1142">
        <f t="shared" si="3"/>
        <v>0</v>
      </c>
      <c r="AY11" s="388">
        <f t="shared" si="0"/>
        <v>0</v>
      </c>
      <c r="AZ11" s="388">
        <f t="shared" si="0"/>
        <v>0</v>
      </c>
      <c r="BA11" s="388">
        <f t="shared" si="0"/>
        <v>0</v>
      </c>
      <c r="BB11" s="388">
        <f t="shared" si="0"/>
        <v>0</v>
      </c>
      <c r="BC11" s="388">
        <f>SUM(BC5:BC10)</f>
        <v>0</v>
      </c>
      <c r="BD11" s="388">
        <f t="shared" si="0"/>
        <v>0</v>
      </c>
      <c r="BE11" s="388">
        <f t="shared" si="0"/>
        <v>0</v>
      </c>
      <c r="BF11" s="1103">
        <f t="shared" ref="BF11" si="5">SUM(BF5:BF10)</f>
        <v>0</v>
      </c>
      <c r="BG11" s="388">
        <f t="shared" si="0"/>
        <v>0</v>
      </c>
      <c r="BH11" s="388">
        <f t="shared" si="0"/>
        <v>277</v>
      </c>
      <c r="BI11" s="388">
        <f t="shared" si="0"/>
        <v>0</v>
      </c>
      <c r="BJ11" s="388">
        <f t="shared" si="0"/>
        <v>6242</v>
      </c>
      <c r="BK11" s="1103">
        <f>SUM(BK5:BK10)</f>
        <v>0</v>
      </c>
      <c r="BL11" s="388">
        <f t="shared" si="0"/>
        <v>0</v>
      </c>
      <c r="BM11" s="388">
        <f t="shared" si="0"/>
        <v>0</v>
      </c>
      <c r="BN11" s="388">
        <f>SUM(BN5:BN10)</f>
        <v>0</v>
      </c>
      <c r="BO11" s="388">
        <f t="shared" si="0"/>
        <v>0</v>
      </c>
      <c r="BP11" s="1142">
        <f>SUM(BP5:BP10)</f>
        <v>196</v>
      </c>
      <c r="BQ11" s="388">
        <f t="shared" si="0"/>
        <v>780</v>
      </c>
      <c r="BR11" s="388">
        <f t="shared" si="0"/>
        <v>0</v>
      </c>
      <c r="BS11" s="388">
        <f>SUM(BS5:BS10)</f>
        <v>0</v>
      </c>
      <c r="BT11" s="388">
        <f t="shared" si="0"/>
        <v>0</v>
      </c>
      <c r="BU11" s="388">
        <f t="shared" ref="BU11:CB11" si="6">SUM(BU5:BU10)</f>
        <v>0</v>
      </c>
      <c r="BV11" s="388">
        <f t="shared" si="6"/>
        <v>0</v>
      </c>
      <c r="BW11" s="388">
        <f t="shared" si="6"/>
        <v>0</v>
      </c>
      <c r="BX11" s="388">
        <f t="shared" si="6"/>
        <v>0</v>
      </c>
      <c r="BY11" s="388">
        <f t="shared" si="6"/>
        <v>0</v>
      </c>
      <c r="BZ11" s="388">
        <f t="shared" si="6"/>
        <v>0</v>
      </c>
      <c r="CA11" s="388">
        <f>SUM(CA6:CA10)</f>
        <v>189662</v>
      </c>
      <c r="CB11" s="388">
        <f t="shared" si="6"/>
        <v>0</v>
      </c>
      <c r="CC11" s="211"/>
    </row>
    <row r="12" spans="1:81" x14ac:dyDescent="0.2">
      <c r="A12" s="195"/>
      <c r="B12" s="760"/>
      <c r="C12" s="760"/>
      <c r="D12" s="760"/>
      <c r="E12" s="760"/>
      <c r="F12" s="760"/>
      <c r="G12" s="760"/>
      <c r="H12" s="760"/>
      <c r="I12" s="760"/>
      <c r="J12" s="760"/>
      <c r="K12" s="760"/>
      <c r="L12" s="760"/>
      <c r="M12" s="760"/>
      <c r="N12" s="760"/>
      <c r="O12" s="760"/>
      <c r="P12" s="760"/>
      <c r="Q12" s="760"/>
      <c r="R12" s="760"/>
      <c r="S12" s="760"/>
      <c r="T12" s="760"/>
      <c r="U12" s="760"/>
      <c r="V12" s="760"/>
      <c r="W12" s="760"/>
      <c r="X12" s="760"/>
      <c r="Y12" s="197"/>
      <c r="Z12" s="197"/>
      <c r="AA12" s="1139"/>
      <c r="AB12" s="1139"/>
      <c r="AC12" s="1139"/>
      <c r="AD12" s="1139"/>
      <c r="AE12" s="1139"/>
      <c r="AF12" s="1139"/>
      <c r="AG12" s="1139"/>
      <c r="AH12" s="1139"/>
      <c r="AI12" s="1139"/>
      <c r="AJ12" s="1139"/>
      <c r="AK12" s="1139"/>
      <c r="AL12" s="1139"/>
      <c r="AM12" s="1139"/>
      <c r="AN12" s="1139"/>
      <c r="AO12" s="1139"/>
      <c r="AP12" s="1139"/>
      <c r="AQ12" s="1139"/>
      <c r="AR12" s="1139"/>
      <c r="AS12" s="1139"/>
      <c r="AT12" s="1139"/>
      <c r="AU12" s="1139"/>
      <c r="AV12" s="1139"/>
      <c r="AW12" s="1139"/>
      <c r="AX12" s="1139"/>
      <c r="AY12" s="760"/>
      <c r="AZ12" s="760"/>
      <c r="BA12" s="760"/>
      <c r="BB12" s="760"/>
      <c r="BC12" s="760"/>
      <c r="BD12" s="760"/>
      <c r="BE12" s="760"/>
      <c r="BF12" s="1223"/>
      <c r="BG12" s="760"/>
      <c r="BH12" s="760"/>
      <c r="BI12" s="760"/>
      <c r="BJ12" s="760"/>
      <c r="BK12" s="1223"/>
      <c r="BL12" s="760"/>
      <c r="BM12" s="760"/>
      <c r="BN12" s="760"/>
      <c r="BO12" s="760"/>
      <c r="BP12" s="1139"/>
      <c r="BQ12" s="760"/>
      <c r="BR12" s="760"/>
      <c r="BS12" s="760"/>
      <c r="BT12" s="760"/>
      <c r="BU12" s="760"/>
      <c r="BV12" s="760"/>
      <c r="BW12" s="760"/>
      <c r="BX12" s="760"/>
      <c r="BY12" s="760"/>
      <c r="BZ12" s="760"/>
      <c r="CA12" s="760"/>
      <c r="CB12" s="760"/>
      <c r="CC12" s="211"/>
    </row>
    <row r="13" spans="1:81" x14ac:dyDescent="0.2">
      <c r="A13" s="203" t="s">
        <v>1577</v>
      </c>
      <c r="B13" s="211">
        <f t="shared" ref="B13:B14" si="7">SUM(C13:CB13)</f>
        <v>0</v>
      </c>
      <c r="C13" s="760"/>
      <c r="D13" s="760"/>
      <c r="E13" s="1411"/>
      <c r="F13" s="1411"/>
      <c r="G13" s="1411"/>
      <c r="H13" s="1411"/>
      <c r="I13" s="1411"/>
      <c r="J13" s="760"/>
      <c r="K13" s="760"/>
      <c r="L13" s="760"/>
      <c r="M13" s="760"/>
      <c r="N13" s="760"/>
      <c r="O13" s="760"/>
      <c r="P13" s="760"/>
      <c r="Q13" s="760"/>
      <c r="R13" s="760"/>
      <c r="S13" s="760"/>
      <c r="T13" s="760"/>
      <c r="U13" s="760"/>
      <c r="V13" s="760"/>
      <c r="W13" s="760"/>
      <c r="X13" s="760"/>
      <c r="Y13" s="197"/>
      <c r="Z13" s="197"/>
      <c r="AA13" s="1139"/>
      <c r="AB13" s="1139"/>
      <c r="AC13" s="1139"/>
      <c r="AD13" s="1139"/>
      <c r="AE13" s="1139"/>
      <c r="AF13" s="1139"/>
      <c r="AG13" s="1139"/>
      <c r="AH13" s="1139"/>
      <c r="AI13" s="1139"/>
      <c r="AJ13" s="1139"/>
      <c r="AK13" s="1139"/>
      <c r="AL13" s="1139"/>
      <c r="AM13" s="1139"/>
      <c r="AN13" s="1139"/>
      <c r="AO13" s="1139"/>
      <c r="AP13" s="1139"/>
      <c r="AQ13" s="1139"/>
      <c r="AR13" s="1139"/>
      <c r="AS13" s="1139"/>
      <c r="AT13" s="1139"/>
      <c r="AU13" s="1139"/>
      <c r="AV13" s="1139"/>
      <c r="AW13" s="1139"/>
      <c r="AX13" s="1139"/>
      <c r="AY13" s="760"/>
      <c r="AZ13" s="760"/>
      <c r="BA13" s="760"/>
      <c r="BB13" s="760"/>
      <c r="BC13" s="760"/>
      <c r="BD13" s="760"/>
      <c r="BE13" s="760"/>
      <c r="BF13" s="1223"/>
      <c r="BG13" s="760"/>
      <c r="BH13" s="760"/>
      <c r="BI13" s="760"/>
      <c r="BJ13" s="760"/>
      <c r="BK13" s="1223"/>
      <c r="BL13" s="760"/>
      <c r="BM13" s="760"/>
      <c r="BN13" s="760"/>
      <c r="BO13" s="760"/>
      <c r="BP13" s="1139"/>
      <c r="BQ13" s="760"/>
      <c r="BR13" s="760"/>
      <c r="BS13" s="760"/>
      <c r="BT13" s="760"/>
      <c r="BU13" s="760"/>
      <c r="BV13" s="760"/>
      <c r="BW13" s="760"/>
      <c r="BX13" s="760"/>
      <c r="BY13" s="760"/>
      <c r="BZ13" s="760"/>
      <c r="CA13" s="760"/>
      <c r="CB13" s="760"/>
      <c r="CC13" s="211"/>
    </row>
    <row r="14" spans="1:81" x14ac:dyDescent="0.2">
      <c r="A14" s="203" t="s">
        <v>1578</v>
      </c>
      <c r="B14" s="211">
        <f t="shared" si="7"/>
        <v>0</v>
      </c>
      <c r="C14" s="760"/>
      <c r="D14" s="760"/>
      <c r="E14" s="1453"/>
      <c r="F14" s="1453"/>
      <c r="G14" s="1453"/>
      <c r="H14" s="1453"/>
      <c r="I14" s="1453"/>
      <c r="J14" s="760"/>
      <c r="K14" s="760"/>
      <c r="L14" s="760"/>
      <c r="M14" s="760"/>
      <c r="N14" s="760"/>
      <c r="O14" s="760"/>
      <c r="P14" s="760"/>
      <c r="Q14" s="760"/>
      <c r="R14" s="760"/>
      <c r="S14" s="760"/>
      <c r="T14" s="760"/>
      <c r="U14" s="760"/>
      <c r="V14" s="760"/>
      <c r="W14" s="760"/>
      <c r="X14" s="760"/>
      <c r="Y14" s="197"/>
      <c r="Z14" s="197"/>
      <c r="AA14" s="1139"/>
      <c r="AB14" s="1139"/>
      <c r="AC14" s="1139"/>
      <c r="AD14" s="1139"/>
      <c r="AE14" s="1139"/>
      <c r="AF14" s="1139"/>
      <c r="AG14" s="1139"/>
      <c r="AH14" s="1139"/>
      <c r="AI14" s="1139"/>
      <c r="AJ14" s="1139"/>
      <c r="AK14" s="1139"/>
      <c r="AL14" s="1139"/>
      <c r="AM14" s="1139"/>
      <c r="AN14" s="1139"/>
      <c r="AO14" s="1139"/>
      <c r="AP14" s="1139"/>
      <c r="AQ14" s="1139"/>
      <c r="AR14" s="1139"/>
      <c r="AS14" s="1139"/>
      <c r="AT14" s="1139"/>
      <c r="AU14" s="1139"/>
      <c r="AV14" s="1139"/>
      <c r="AW14" s="1139"/>
      <c r="AX14" s="1139"/>
      <c r="AY14" s="760"/>
      <c r="AZ14" s="760"/>
      <c r="BA14" s="760"/>
      <c r="BB14" s="760"/>
      <c r="BC14" s="760"/>
      <c r="BD14" s="760"/>
      <c r="BE14" s="760"/>
      <c r="BF14" s="1223"/>
      <c r="BG14" s="760"/>
      <c r="BH14" s="760"/>
      <c r="BI14" s="760"/>
      <c r="BJ14" s="760"/>
      <c r="BK14" s="1223"/>
      <c r="BL14" s="760"/>
      <c r="BM14" s="760"/>
      <c r="BN14" s="760"/>
      <c r="BO14" s="760"/>
      <c r="BP14" s="1139"/>
      <c r="BQ14" s="1223"/>
      <c r="BR14" s="760"/>
      <c r="BS14" s="760"/>
      <c r="BT14" s="760"/>
      <c r="BU14" s="760"/>
      <c r="BV14" s="760"/>
      <c r="BW14" s="760"/>
      <c r="BX14" s="760"/>
      <c r="BY14" s="760"/>
      <c r="BZ14" s="760"/>
      <c r="CA14" s="760"/>
      <c r="CB14" s="760"/>
      <c r="CC14" s="211"/>
    </row>
    <row r="15" spans="1:81" x14ac:dyDescent="0.2">
      <c r="A15" s="1431" t="s">
        <v>1579</v>
      </c>
      <c r="B15" s="388">
        <f>SUM(B13:B14)</f>
        <v>0</v>
      </c>
      <c r="C15" s="388">
        <f t="shared" ref="C15:BP15" si="8">SUM(C13:C14)</f>
        <v>0</v>
      </c>
      <c r="D15" s="388">
        <f t="shared" si="8"/>
        <v>0</v>
      </c>
      <c r="E15" s="1411">
        <f>SUM(E13:E14)</f>
        <v>0</v>
      </c>
      <c r="F15" s="1411">
        <f t="shared" ref="F15:I15" si="9">SUM(F13:F14)</f>
        <v>0</v>
      </c>
      <c r="G15" s="1411">
        <f t="shared" si="9"/>
        <v>0</v>
      </c>
      <c r="H15" s="1411">
        <f t="shared" si="9"/>
        <v>0</v>
      </c>
      <c r="I15" s="1411">
        <f t="shared" si="9"/>
        <v>0</v>
      </c>
      <c r="J15" s="388">
        <f t="shared" si="8"/>
        <v>0</v>
      </c>
      <c r="K15" s="388">
        <f t="shared" si="8"/>
        <v>0</v>
      </c>
      <c r="L15" s="388">
        <f t="shared" si="8"/>
        <v>0</v>
      </c>
      <c r="M15" s="388">
        <f t="shared" si="8"/>
        <v>0</v>
      </c>
      <c r="N15" s="388">
        <f t="shared" si="8"/>
        <v>0</v>
      </c>
      <c r="O15" s="388">
        <f t="shared" si="8"/>
        <v>0</v>
      </c>
      <c r="P15" s="388">
        <f t="shared" si="8"/>
        <v>0</v>
      </c>
      <c r="Q15" s="388">
        <f t="shared" si="8"/>
        <v>0</v>
      </c>
      <c r="R15" s="388">
        <f t="shared" si="8"/>
        <v>0</v>
      </c>
      <c r="S15" s="388">
        <f t="shared" si="8"/>
        <v>0</v>
      </c>
      <c r="T15" s="388">
        <f t="shared" si="8"/>
        <v>0</v>
      </c>
      <c r="U15" s="388">
        <f t="shared" si="8"/>
        <v>0</v>
      </c>
      <c r="V15" s="388">
        <f t="shared" si="8"/>
        <v>0</v>
      </c>
      <c r="W15" s="388">
        <f t="shared" si="8"/>
        <v>0</v>
      </c>
      <c r="X15" s="388">
        <f t="shared" si="8"/>
        <v>0</v>
      </c>
      <c r="Y15" s="388">
        <f t="shared" si="8"/>
        <v>0</v>
      </c>
      <c r="Z15" s="388">
        <f t="shared" si="8"/>
        <v>0</v>
      </c>
      <c r="AA15" s="388">
        <f t="shared" si="8"/>
        <v>0</v>
      </c>
      <c r="AB15" s="1103">
        <f t="shared" ref="AB15:AX15" si="10">SUM(AB13:AB14)</f>
        <v>0</v>
      </c>
      <c r="AC15" s="1103">
        <f t="shared" si="10"/>
        <v>0</v>
      </c>
      <c r="AD15" s="1103">
        <f t="shared" si="10"/>
        <v>0</v>
      </c>
      <c r="AE15" s="1103">
        <f t="shared" si="10"/>
        <v>0</v>
      </c>
      <c r="AF15" s="1103">
        <f t="shared" si="10"/>
        <v>0</v>
      </c>
      <c r="AG15" s="1103">
        <f t="shared" si="10"/>
        <v>0</v>
      </c>
      <c r="AH15" s="1103">
        <f t="shared" si="10"/>
        <v>0</v>
      </c>
      <c r="AI15" s="1103">
        <f t="shared" si="10"/>
        <v>0</v>
      </c>
      <c r="AJ15" s="1103">
        <f t="shared" si="10"/>
        <v>0</v>
      </c>
      <c r="AK15" s="1103">
        <f t="shared" si="10"/>
        <v>0</v>
      </c>
      <c r="AL15" s="1103">
        <f t="shared" si="10"/>
        <v>0</v>
      </c>
      <c r="AM15" s="1103">
        <f t="shared" si="10"/>
        <v>0</v>
      </c>
      <c r="AN15" s="1103">
        <f t="shared" si="10"/>
        <v>0</v>
      </c>
      <c r="AO15" s="1103">
        <f t="shared" si="10"/>
        <v>0</v>
      </c>
      <c r="AP15" s="1103">
        <f t="shared" ref="AP15:AR15" si="11">SUM(AP13:AP14)</f>
        <v>0</v>
      </c>
      <c r="AQ15" s="1103">
        <f t="shared" si="11"/>
        <v>0</v>
      </c>
      <c r="AR15" s="1103">
        <f t="shared" si="11"/>
        <v>0</v>
      </c>
      <c r="AS15" s="1103">
        <f t="shared" si="10"/>
        <v>0</v>
      </c>
      <c r="AT15" s="1103">
        <f t="shared" si="10"/>
        <v>0</v>
      </c>
      <c r="AU15" s="1103">
        <f t="shared" si="10"/>
        <v>0</v>
      </c>
      <c r="AV15" s="1103">
        <f t="shared" si="10"/>
        <v>0</v>
      </c>
      <c r="AW15" s="1103">
        <f t="shared" si="10"/>
        <v>0</v>
      </c>
      <c r="AX15" s="1103">
        <f t="shared" si="10"/>
        <v>0</v>
      </c>
      <c r="AY15" s="388">
        <f t="shared" si="8"/>
        <v>0</v>
      </c>
      <c r="AZ15" s="388">
        <f t="shared" si="8"/>
        <v>0</v>
      </c>
      <c r="BA15" s="388">
        <f t="shared" si="8"/>
        <v>0</v>
      </c>
      <c r="BB15" s="388">
        <f t="shared" si="8"/>
        <v>0</v>
      </c>
      <c r="BC15" s="388">
        <f t="shared" si="8"/>
        <v>0</v>
      </c>
      <c r="BD15" s="388">
        <f t="shared" si="8"/>
        <v>0</v>
      </c>
      <c r="BE15" s="388">
        <f t="shared" si="8"/>
        <v>0</v>
      </c>
      <c r="BF15" s="388">
        <f t="shared" si="8"/>
        <v>0</v>
      </c>
      <c r="BG15" s="388">
        <f t="shared" si="8"/>
        <v>0</v>
      </c>
      <c r="BH15" s="388">
        <f t="shared" si="8"/>
        <v>0</v>
      </c>
      <c r="BI15" s="388">
        <f t="shared" si="8"/>
        <v>0</v>
      </c>
      <c r="BJ15" s="388">
        <f t="shared" si="8"/>
        <v>0</v>
      </c>
      <c r="BK15" s="388">
        <f t="shared" si="8"/>
        <v>0</v>
      </c>
      <c r="BL15" s="388">
        <f t="shared" si="8"/>
        <v>0</v>
      </c>
      <c r="BM15" s="388">
        <f t="shared" si="8"/>
        <v>0</v>
      </c>
      <c r="BN15" s="388">
        <f t="shared" si="8"/>
        <v>0</v>
      </c>
      <c r="BO15" s="388">
        <f t="shared" si="8"/>
        <v>0</v>
      </c>
      <c r="BP15" s="388">
        <f t="shared" si="8"/>
        <v>0</v>
      </c>
      <c r="BQ15" s="1103">
        <f t="shared" ref="BQ15" si="12">SUM(BQ13:BQ14)</f>
        <v>0</v>
      </c>
      <c r="BR15" s="388">
        <f t="shared" ref="BR15:CB15" si="13">SUM(BR13:BR14)</f>
        <v>0</v>
      </c>
      <c r="BS15" s="388">
        <f t="shared" si="13"/>
        <v>0</v>
      </c>
      <c r="BT15" s="388">
        <f t="shared" si="13"/>
        <v>0</v>
      </c>
      <c r="BU15" s="388">
        <f t="shared" si="13"/>
        <v>0</v>
      </c>
      <c r="BV15" s="388">
        <f t="shared" si="13"/>
        <v>0</v>
      </c>
      <c r="BW15" s="388">
        <f t="shared" si="13"/>
        <v>0</v>
      </c>
      <c r="BX15" s="388">
        <f t="shared" si="13"/>
        <v>0</v>
      </c>
      <c r="BY15" s="388">
        <f t="shared" si="13"/>
        <v>0</v>
      </c>
      <c r="BZ15" s="388">
        <f t="shared" si="13"/>
        <v>0</v>
      </c>
      <c r="CA15" s="388">
        <f t="shared" si="13"/>
        <v>0</v>
      </c>
      <c r="CB15" s="388">
        <f t="shared" si="13"/>
        <v>0</v>
      </c>
      <c r="CC15" s="211"/>
    </row>
    <row r="16" spans="1:81" x14ac:dyDescent="0.2">
      <c r="A16" s="195"/>
      <c r="B16" s="760"/>
      <c r="C16" s="760"/>
      <c r="D16" s="760"/>
      <c r="E16" s="1411"/>
      <c r="F16" s="1411"/>
      <c r="G16" s="1411"/>
      <c r="H16" s="1411"/>
      <c r="I16" s="1411"/>
      <c r="J16" s="760"/>
      <c r="K16" s="760"/>
      <c r="L16" s="760"/>
      <c r="M16" s="760"/>
      <c r="N16" s="760"/>
      <c r="O16" s="760"/>
      <c r="P16" s="760"/>
      <c r="Q16" s="760"/>
      <c r="R16" s="760"/>
      <c r="S16" s="760"/>
      <c r="T16" s="760"/>
      <c r="U16" s="760"/>
      <c r="V16" s="760"/>
      <c r="W16" s="760"/>
      <c r="X16" s="760"/>
      <c r="Y16" s="197"/>
      <c r="Z16" s="197"/>
      <c r="AA16" s="1139"/>
      <c r="AB16" s="1139"/>
      <c r="AC16" s="1139"/>
      <c r="AD16" s="1139"/>
      <c r="AE16" s="1139"/>
      <c r="AF16" s="1139"/>
      <c r="AG16" s="1139"/>
      <c r="AH16" s="1139"/>
      <c r="AI16" s="1139"/>
      <c r="AJ16" s="1139"/>
      <c r="AK16" s="1139"/>
      <c r="AL16" s="1139"/>
      <c r="AM16" s="1139"/>
      <c r="AN16" s="1139"/>
      <c r="AO16" s="1139"/>
      <c r="AP16" s="1139"/>
      <c r="AQ16" s="1139"/>
      <c r="AR16" s="1139"/>
      <c r="AS16" s="1139"/>
      <c r="AT16" s="1139"/>
      <c r="AU16" s="1139"/>
      <c r="AV16" s="1139"/>
      <c r="AW16" s="1139"/>
      <c r="AX16" s="1139"/>
      <c r="AY16" s="760"/>
      <c r="AZ16" s="760"/>
      <c r="BA16" s="760"/>
      <c r="BB16" s="760"/>
      <c r="BC16" s="760"/>
      <c r="BD16" s="760"/>
      <c r="BE16" s="760"/>
      <c r="BF16" s="1223"/>
      <c r="BG16" s="760"/>
      <c r="BH16" s="760"/>
      <c r="BI16" s="760"/>
      <c r="BJ16" s="760"/>
      <c r="BK16" s="1223"/>
      <c r="BL16" s="760"/>
      <c r="BM16" s="760"/>
      <c r="BN16" s="760"/>
      <c r="BO16" s="760"/>
      <c r="BP16" s="1139"/>
      <c r="BQ16" s="1223"/>
      <c r="BR16" s="760"/>
      <c r="BS16" s="760"/>
      <c r="BT16" s="760"/>
      <c r="BU16" s="760"/>
      <c r="BV16" s="760"/>
      <c r="BW16" s="760"/>
      <c r="BX16" s="760"/>
      <c r="BY16" s="760"/>
      <c r="BZ16" s="760"/>
      <c r="CA16" s="760"/>
      <c r="CB16" s="760"/>
      <c r="CC16" s="211"/>
    </row>
    <row r="17" spans="1:81" x14ac:dyDescent="0.2">
      <c r="A17" s="547" t="s">
        <v>117</v>
      </c>
      <c r="B17" s="211">
        <f>SUM(C17:CB17)</f>
        <v>18565</v>
      </c>
      <c r="C17" s="1097">
        <v>-10239</v>
      </c>
      <c r="D17" s="1097">
        <v>1628</v>
      </c>
      <c r="E17" s="1389">
        <f>-40+252</f>
        <v>212</v>
      </c>
      <c r="F17" s="1396">
        <v>18817</v>
      </c>
      <c r="G17" s="1396">
        <v>748</v>
      </c>
      <c r="H17" s="1396"/>
      <c r="I17" s="1396">
        <v>1203</v>
      </c>
      <c r="J17" s="926"/>
      <c r="K17" s="211"/>
      <c r="L17" s="211"/>
      <c r="M17" s="211"/>
      <c r="N17" s="211">
        <v>3531</v>
      </c>
      <c r="O17" s="926">
        <v>-2138</v>
      </c>
      <c r="P17" s="211">
        <v>1009</v>
      </c>
      <c r="Q17" s="211"/>
      <c r="R17" s="211"/>
      <c r="S17" s="211"/>
      <c r="T17" s="211"/>
      <c r="U17" s="211"/>
      <c r="V17" s="211">
        <v>502</v>
      </c>
      <c r="W17" s="211"/>
      <c r="X17" s="211"/>
      <c r="Y17" s="196"/>
      <c r="Z17" s="196"/>
      <c r="AA17" s="1097"/>
      <c r="AB17" s="1097"/>
      <c r="AC17" s="1097"/>
      <c r="AD17" s="1097"/>
      <c r="AE17" s="1097">
        <v>3025</v>
      </c>
      <c r="AF17" s="1097">
        <v>531</v>
      </c>
      <c r="AG17" s="1097"/>
      <c r="AH17" s="1097"/>
      <c r="AI17" s="1097"/>
      <c r="AJ17" s="1097"/>
      <c r="AK17" s="1097"/>
      <c r="AL17" s="1097"/>
      <c r="AM17" s="1097"/>
      <c r="AN17" s="1097"/>
      <c r="AO17" s="1097"/>
      <c r="AP17" s="1097"/>
      <c r="AQ17" s="1097"/>
      <c r="AR17" s="1097">
        <v>-19</v>
      </c>
      <c r="AS17" s="1097"/>
      <c r="AT17" s="1097">
        <v>-208</v>
      </c>
      <c r="AU17" s="1097"/>
      <c r="AV17" s="1097"/>
      <c r="AW17" s="1097"/>
      <c r="AX17" s="1097"/>
      <c r="AY17" s="211"/>
      <c r="AZ17" s="211"/>
      <c r="BA17" s="211"/>
      <c r="BB17" s="211"/>
      <c r="BC17" s="211"/>
      <c r="BD17" s="1098"/>
      <c r="BE17" s="211"/>
      <c r="BF17" s="211"/>
      <c r="BG17" s="211"/>
      <c r="BH17" s="1098"/>
      <c r="BI17" s="211"/>
      <c r="BJ17" s="211"/>
      <c r="BK17" s="211"/>
      <c r="BL17" s="211"/>
      <c r="BM17" s="211">
        <v>-30</v>
      </c>
      <c r="BN17" s="211"/>
      <c r="BO17" s="211"/>
      <c r="BP17" s="1097">
        <v>-7</v>
      </c>
      <c r="BQ17" s="1098"/>
      <c r="BR17" s="1098"/>
      <c r="BS17" s="211"/>
      <c r="BT17" s="1389"/>
      <c r="BU17" s="1396"/>
      <c r="BV17" s="1396"/>
      <c r="BW17" s="1396"/>
      <c r="BX17" s="1396"/>
      <c r="BY17" s="211"/>
      <c r="BZ17" s="211"/>
      <c r="CA17" s="1098"/>
      <c r="CB17" s="211"/>
      <c r="CC17" s="211"/>
    </row>
    <row r="18" spans="1:81" x14ac:dyDescent="0.2">
      <c r="A18" s="547"/>
      <c r="B18" s="211"/>
      <c r="C18" s="1097"/>
      <c r="D18" s="1097"/>
      <c r="E18" s="1411"/>
      <c r="F18" s="1411"/>
      <c r="G18" s="1411"/>
      <c r="H18" s="1411"/>
      <c r="I18" s="1411"/>
      <c r="J18" s="926"/>
      <c r="K18" s="211"/>
      <c r="L18" s="211"/>
      <c r="M18" s="211"/>
      <c r="N18" s="211"/>
      <c r="O18" s="926"/>
      <c r="P18" s="211"/>
      <c r="Q18" s="211"/>
      <c r="R18" s="211"/>
      <c r="S18" s="211"/>
      <c r="T18" s="211"/>
      <c r="U18" s="211"/>
      <c r="V18" s="211"/>
      <c r="W18" s="211"/>
      <c r="X18" s="211"/>
      <c r="Y18" s="196"/>
      <c r="Z18" s="196"/>
      <c r="AA18" s="1097"/>
      <c r="AB18" s="1097"/>
      <c r="AC18" s="1097"/>
      <c r="AD18" s="1097"/>
      <c r="AE18" s="1097"/>
      <c r="AF18" s="1097"/>
      <c r="AG18" s="1097"/>
      <c r="AH18" s="1097"/>
      <c r="AI18" s="1097"/>
      <c r="AJ18" s="1097"/>
      <c r="AK18" s="1097"/>
      <c r="AL18" s="1097"/>
      <c r="AM18" s="1097"/>
      <c r="AN18" s="1097"/>
      <c r="AO18" s="1097"/>
      <c r="AP18" s="1097"/>
      <c r="AQ18" s="1097"/>
      <c r="AR18" s="1097"/>
      <c r="AS18" s="1097"/>
      <c r="AT18" s="1097"/>
      <c r="AU18" s="1097"/>
      <c r="AV18" s="1097"/>
      <c r="AW18" s="1097"/>
      <c r="AX18" s="1097"/>
      <c r="AY18" s="211"/>
      <c r="AZ18" s="211"/>
      <c r="BA18" s="211"/>
      <c r="BB18" s="211"/>
      <c r="BC18" s="211"/>
      <c r="BD18" s="1098"/>
      <c r="BE18" s="211"/>
      <c r="BF18" s="1098"/>
      <c r="BG18" s="211"/>
      <c r="BH18" s="211"/>
      <c r="BI18" s="211"/>
      <c r="BJ18" s="211"/>
      <c r="BK18" s="211"/>
      <c r="BL18" s="211"/>
      <c r="BM18" s="211"/>
      <c r="BN18" s="211"/>
      <c r="BO18" s="211"/>
      <c r="BP18" s="1097"/>
      <c r="BQ18" s="1098"/>
      <c r="BR18" s="1098"/>
      <c r="BS18" s="211"/>
      <c r="BT18" s="211"/>
      <c r="BU18" s="211"/>
      <c r="BV18" s="211"/>
      <c r="BW18" s="211"/>
      <c r="BX18" s="211"/>
      <c r="BY18" s="211"/>
      <c r="BZ18" s="211"/>
      <c r="CA18" s="211"/>
      <c r="CB18" s="211"/>
      <c r="CC18" s="211"/>
    </row>
    <row r="19" spans="1:81" x14ac:dyDescent="0.2">
      <c r="A19" s="547" t="s">
        <v>1427</v>
      </c>
      <c r="B19" s="211">
        <f>SUM(C19:CB19)</f>
        <v>0</v>
      </c>
      <c r="C19" s="1097"/>
      <c r="D19" s="1097"/>
      <c r="E19" s="1411"/>
      <c r="F19" s="1411"/>
      <c r="G19" s="1411"/>
      <c r="H19" s="1411"/>
      <c r="I19" s="1411"/>
      <c r="J19" s="926"/>
      <c r="K19" s="211"/>
      <c r="L19" s="211"/>
      <c r="M19" s="211"/>
      <c r="N19" s="211"/>
      <c r="O19" s="926"/>
      <c r="P19" s="211"/>
      <c r="Q19" s="211"/>
      <c r="R19" s="211"/>
      <c r="S19" s="211"/>
      <c r="T19" s="211"/>
      <c r="U19" s="211"/>
      <c r="V19" s="211"/>
      <c r="W19" s="211"/>
      <c r="X19" s="211"/>
      <c r="Y19" s="196"/>
      <c r="Z19" s="196"/>
      <c r="AA19" s="1097"/>
      <c r="AB19" s="1097"/>
      <c r="AC19" s="1097"/>
      <c r="AD19" s="1097"/>
      <c r="AE19" s="1097"/>
      <c r="AF19" s="1097"/>
      <c r="AG19" s="1097"/>
      <c r="AH19" s="1097"/>
      <c r="AI19" s="1097"/>
      <c r="AJ19" s="1097"/>
      <c r="AK19" s="1097"/>
      <c r="AL19" s="1097"/>
      <c r="AM19" s="1097"/>
      <c r="AN19" s="1097"/>
      <c r="AO19" s="1097"/>
      <c r="AP19" s="1097"/>
      <c r="AQ19" s="1097"/>
      <c r="AR19" s="1097"/>
      <c r="AS19" s="1097"/>
      <c r="AT19" s="1097"/>
      <c r="AU19" s="1097"/>
      <c r="AV19" s="1097"/>
      <c r="AW19" s="1097"/>
      <c r="AX19" s="1097"/>
      <c r="AY19" s="211"/>
      <c r="AZ19" s="211"/>
      <c r="BA19" s="211"/>
      <c r="BB19" s="211"/>
      <c r="BC19" s="211"/>
      <c r="BD19" s="1098"/>
      <c r="BE19" s="211"/>
      <c r="BF19" s="211"/>
      <c r="BG19" s="211"/>
      <c r="BH19" s="1098"/>
      <c r="BI19" s="211"/>
      <c r="BJ19" s="211"/>
      <c r="BK19" s="211"/>
      <c r="BL19" s="211"/>
      <c r="BM19" s="211"/>
      <c r="BN19" s="211"/>
      <c r="BO19" s="211"/>
      <c r="BP19" s="1097"/>
      <c r="BQ19" s="1098"/>
      <c r="BR19" s="1098"/>
      <c r="BS19" s="211"/>
      <c r="BT19" s="211"/>
      <c r="BU19" s="211"/>
      <c r="BV19" s="211"/>
      <c r="BW19" s="211"/>
      <c r="BX19" s="211"/>
      <c r="BY19" s="211"/>
      <c r="BZ19" s="211"/>
      <c r="CA19" s="1098"/>
      <c r="CB19" s="211"/>
      <c r="CC19" s="211"/>
    </row>
    <row r="20" spans="1:81" x14ac:dyDescent="0.2">
      <c r="B20" s="211"/>
      <c r="C20" s="1097"/>
      <c r="D20" s="1097"/>
      <c r="E20" s="1411"/>
      <c r="F20" s="1411"/>
      <c r="G20" s="1411"/>
      <c r="H20" s="1411"/>
      <c r="I20" s="1411"/>
      <c r="J20" s="926"/>
      <c r="K20" s="211"/>
      <c r="L20" s="211"/>
      <c r="M20" s="211"/>
      <c r="N20" s="211"/>
      <c r="O20" s="926"/>
      <c r="P20" s="211"/>
      <c r="Q20" s="211"/>
      <c r="R20" s="211"/>
      <c r="S20" s="211"/>
      <c r="T20" s="211"/>
      <c r="U20" s="211"/>
      <c r="V20" s="211"/>
      <c r="W20" s="211"/>
      <c r="X20" s="211"/>
      <c r="Y20" s="196"/>
      <c r="Z20" s="196"/>
      <c r="AA20" s="1097"/>
      <c r="AB20" s="1097"/>
      <c r="AC20" s="1097"/>
      <c r="AD20" s="1097"/>
      <c r="AE20" s="1097"/>
      <c r="AF20" s="1097"/>
      <c r="AG20" s="1097"/>
      <c r="AH20" s="1097"/>
      <c r="AI20" s="1097"/>
      <c r="AJ20" s="1097"/>
      <c r="AK20" s="1097"/>
      <c r="AL20" s="1097"/>
      <c r="AM20" s="1097"/>
      <c r="AN20" s="1097"/>
      <c r="AO20" s="1097"/>
      <c r="AP20" s="1097"/>
      <c r="AQ20" s="1097"/>
      <c r="AR20" s="1097"/>
      <c r="AS20" s="1097"/>
      <c r="AT20" s="1097"/>
      <c r="AU20" s="1097"/>
      <c r="AV20" s="1097"/>
      <c r="AW20" s="1097"/>
      <c r="AX20" s="1097"/>
      <c r="AY20" s="211"/>
      <c r="AZ20" s="211"/>
      <c r="BA20" s="211"/>
      <c r="BB20" s="211"/>
      <c r="BC20" s="211"/>
      <c r="BD20" s="1098"/>
      <c r="BE20" s="211"/>
      <c r="BF20" s="211"/>
      <c r="BG20" s="211"/>
      <c r="BH20" s="1098"/>
      <c r="BI20" s="211"/>
      <c r="BJ20" s="211"/>
      <c r="BK20" s="211"/>
      <c r="BL20" s="211"/>
      <c r="BM20" s="211"/>
      <c r="BN20" s="211"/>
      <c r="BO20" s="211"/>
      <c r="BP20" s="1097"/>
      <c r="BQ20" s="1098"/>
      <c r="BR20" s="1098"/>
      <c r="BS20" s="211"/>
      <c r="BT20" s="211"/>
      <c r="BU20" s="211"/>
      <c r="BV20" s="211"/>
      <c r="BW20" s="211"/>
      <c r="BX20" s="211"/>
      <c r="BY20" s="211"/>
      <c r="BZ20" s="211"/>
      <c r="CA20" s="1098"/>
      <c r="CB20" s="211"/>
      <c r="CC20" s="211"/>
    </row>
    <row r="21" spans="1:81" x14ac:dyDescent="0.2">
      <c r="A21" s="547" t="s">
        <v>742</v>
      </c>
      <c r="B21" s="211"/>
      <c r="C21" s="1097"/>
      <c r="D21" s="1097"/>
      <c r="E21" s="1411"/>
      <c r="F21" s="1411"/>
      <c r="G21" s="1411"/>
      <c r="H21" s="1411"/>
      <c r="I21" s="1411"/>
      <c r="J21" s="926"/>
      <c r="K21" s="211"/>
      <c r="L21" s="211"/>
      <c r="M21" s="211"/>
      <c r="N21" s="211"/>
      <c r="O21" s="926"/>
      <c r="P21" s="211"/>
      <c r="Q21" s="211"/>
      <c r="R21" s="211"/>
      <c r="S21" s="211"/>
      <c r="T21" s="211"/>
      <c r="U21" s="211"/>
      <c r="V21" s="211"/>
      <c r="W21" s="211"/>
      <c r="X21" s="211"/>
      <c r="Y21" s="196"/>
      <c r="Z21" s="196"/>
      <c r="AA21" s="1097"/>
      <c r="AB21" s="1097"/>
      <c r="AC21" s="1097"/>
      <c r="AD21" s="1097"/>
      <c r="AE21" s="1097"/>
      <c r="AF21" s="1097"/>
      <c r="AG21" s="1097"/>
      <c r="AH21" s="1097"/>
      <c r="AI21" s="1097"/>
      <c r="AJ21" s="1097"/>
      <c r="AK21" s="1097"/>
      <c r="AL21" s="1097"/>
      <c r="AM21" s="1097"/>
      <c r="AN21" s="1097"/>
      <c r="AO21" s="1097"/>
      <c r="AP21" s="1097"/>
      <c r="AQ21" s="1097"/>
      <c r="AR21" s="1097"/>
      <c r="AS21" s="1097"/>
      <c r="AT21" s="1097"/>
      <c r="AU21" s="1097"/>
      <c r="AV21" s="1097"/>
      <c r="AW21" s="1097"/>
      <c r="AX21" s="1097"/>
      <c r="AY21" s="211"/>
      <c r="AZ21" s="211"/>
      <c r="BA21" s="211"/>
      <c r="BB21" s="211"/>
      <c r="BC21" s="211"/>
      <c r="BD21" s="1098"/>
      <c r="BE21" s="211"/>
      <c r="BF21" s="211"/>
      <c r="BG21" s="211"/>
      <c r="BH21" s="1098"/>
      <c r="BI21" s="211"/>
      <c r="BJ21" s="211"/>
      <c r="BK21" s="211"/>
      <c r="BL21" s="211"/>
      <c r="BM21" s="211"/>
      <c r="BN21" s="211"/>
      <c r="BO21" s="211"/>
      <c r="BP21" s="1097"/>
      <c r="BQ21" s="1098"/>
      <c r="BR21" s="1098"/>
      <c r="BS21" s="211"/>
      <c r="BT21" s="211"/>
      <c r="BU21" s="211"/>
      <c r="BV21" s="211"/>
      <c r="BW21" s="211"/>
      <c r="BX21" s="211"/>
      <c r="BY21" s="211"/>
      <c r="BZ21" s="211"/>
      <c r="CA21" s="1098"/>
      <c r="CB21" s="211"/>
      <c r="CC21" s="211"/>
    </row>
    <row r="22" spans="1:81" x14ac:dyDescent="0.2">
      <c r="A22" s="203" t="s">
        <v>1588</v>
      </c>
      <c r="B22" s="211">
        <f t="shared" ref="B22:B27" si="14">SUM(C22:CB22)</f>
        <v>-418017</v>
      </c>
      <c r="C22" s="1097"/>
      <c r="D22" s="1097"/>
      <c r="E22" s="1411"/>
      <c r="F22" s="1411"/>
      <c r="G22" s="1411"/>
      <c r="H22" s="1411"/>
      <c r="I22" s="1411"/>
      <c r="J22" s="926"/>
      <c r="K22" s="211"/>
      <c r="L22" s="211"/>
      <c r="M22" s="211"/>
      <c r="N22" s="211"/>
      <c r="O22" s="926"/>
      <c r="P22" s="211"/>
      <c r="Q22" s="211"/>
      <c r="R22" s="211"/>
      <c r="S22" s="211"/>
      <c r="T22" s="211"/>
      <c r="U22" s="211"/>
      <c r="V22" s="211"/>
      <c r="W22" s="211"/>
      <c r="X22" s="211"/>
      <c r="Y22" s="196"/>
      <c r="Z22" s="196"/>
      <c r="AA22" s="1097"/>
      <c r="AB22" s="1097">
        <v>0</v>
      </c>
      <c r="AC22" s="1097">
        <v>0</v>
      </c>
      <c r="AD22" s="1097">
        <v>0</v>
      </c>
      <c r="AE22" s="1097">
        <v>-175975</v>
      </c>
      <c r="AF22" s="1097">
        <v>0</v>
      </c>
      <c r="AG22" s="1097">
        <v>0</v>
      </c>
      <c r="AH22" s="1097">
        <v>0</v>
      </c>
      <c r="AI22" s="1097">
        <v>0</v>
      </c>
      <c r="AJ22" s="1097">
        <v>0</v>
      </c>
      <c r="AK22" s="1097">
        <v>0</v>
      </c>
      <c r="AL22" s="1097">
        <v>0</v>
      </c>
      <c r="AM22" s="1097">
        <v>0</v>
      </c>
      <c r="AN22" s="1097">
        <v>0</v>
      </c>
      <c r="AO22" s="1097">
        <v>0</v>
      </c>
      <c r="AP22" s="1097">
        <v>0</v>
      </c>
      <c r="AQ22" s="1097">
        <v>-156205</v>
      </c>
      <c r="AR22" s="1097">
        <v>0</v>
      </c>
      <c r="AS22" s="1097">
        <v>0</v>
      </c>
      <c r="AT22" s="1097">
        <v>0</v>
      </c>
      <c r="AU22" s="1097">
        <v>0</v>
      </c>
      <c r="AV22" s="1097">
        <v>0</v>
      </c>
      <c r="AW22" s="1097">
        <v>-55100</v>
      </c>
      <c r="AX22" s="1097"/>
      <c r="AY22" s="211"/>
      <c r="AZ22" s="211"/>
      <c r="BA22" s="211"/>
      <c r="BB22" s="211"/>
      <c r="BC22" s="211"/>
      <c r="BD22" s="1098"/>
      <c r="BE22" s="211"/>
      <c r="BF22" s="211"/>
      <c r="BG22" s="211"/>
      <c r="BH22" s="1098">
        <v>-278</v>
      </c>
      <c r="BI22" s="211"/>
      <c r="BJ22" s="211">
        <v>-1014</v>
      </c>
      <c r="BK22" s="1098">
        <v>-29445</v>
      </c>
      <c r="BL22" s="1098"/>
      <c r="BM22" s="211"/>
      <c r="BN22" s="211"/>
      <c r="BO22" s="211"/>
      <c r="BP22" s="1097"/>
      <c r="BQ22" s="1098"/>
      <c r="BR22" s="1098"/>
      <c r="BS22" s="211"/>
      <c r="BT22" s="211"/>
      <c r="BU22" s="211"/>
      <c r="BV22" s="211"/>
      <c r="BW22" s="211"/>
      <c r="BX22" s="211"/>
      <c r="BY22" s="211"/>
      <c r="BZ22" s="211"/>
      <c r="CA22" s="1098"/>
      <c r="CB22" s="211"/>
      <c r="CC22" s="211"/>
    </row>
    <row r="23" spans="1:81" x14ac:dyDescent="0.2">
      <c r="A23" s="203" t="s">
        <v>743</v>
      </c>
      <c r="B23" s="211">
        <f t="shared" si="14"/>
        <v>-35387</v>
      </c>
      <c r="C23" s="1097"/>
      <c r="D23" s="1097"/>
      <c r="E23" s="1411"/>
      <c r="F23" s="1411"/>
      <c r="G23" s="1411"/>
      <c r="H23" s="1411"/>
      <c r="I23" s="1411"/>
      <c r="J23" s="926"/>
      <c r="K23" s="211"/>
      <c r="L23" s="211"/>
      <c r="M23" s="211"/>
      <c r="N23" s="211"/>
      <c r="O23" s="926"/>
      <c r="P23" s="211"/>
      <c r="Q23" s="211"/>
      <c r="R23" s="211"/>
      <c r="S23" s="211"/>
      <c r="T23" s="211"/>
      <c r="U23" s="211"/>
      <c r="V23" s="211"/>
      <c r="W23" s="211"/>
      <c r="X23" s="211"/>
      <c r="Y23" s="196"/>
      <c r="Z23" s="196"/>
      <c r="AA23" s="1097"/>
      <c r="AB23" s="1097">
        <v>0</v>
      </c>
      <c r="AC23" s="1097">
        <v>0</v>
      </c>
      <c r="AD23" s="1097">
        <v>0</v>
      </c>
      <c r="AE23" s="1097">
        <v>-20313</v>
      </c>
      <c r="AF23" s="1097">
        <v>0</v>
      </c>
      <c r="AG23" s="1097">
        <v>0</v>
      </c>
      <c r="AH23" s="1097">
        <v>0</v>
      </c>
      <c r="AI23" s="1097">
        <v>0</v>
      </c>
      <c r="AJ23" s="1097">
        <v>0</v>
      </c>
      <c r="AK23" s="1097">
        <v>0</v>
      </c>
      <c r="AL23" s="1097">
        <v>0</v>
      </c>
      <c r="AM23" s="1097">
        <v>0</v>
      </c>
      <c r="AN23" s="1097">
        <v>0</v>
      </c>
      <c r="AO23" s="1097">
        <v>0</v>
      </c>
      <c r="AP23" s="1097">
        <v>0</v>
      </c>
      <c r="AQ23" s="1097">
        <v>-12069</v>
      </c>
      <c r="AR23" s="1097">
        <v>0</v>
      </c>
      <c r="AS23" s="1097">
        <v>0</v>
      </c>
      <c r="AT23" s="1097">
        <v>0</v>
      </c>
      <c r="AU23" s="1097">
        <v>0</v>
      </c>
      <c r="AV23" s="1097">
        <v>0</v>
      </c>
      <c r="AW23" s="1097">
        <v>-1672</v>
      </c>
      <c r="AX23" s="1097"/>
      <c r="AY23" s="211"/>
      <c r="AZ23" s="211"/>
      <c r="BA23" s="211"/>
      <c r="BB23" s="211"/>
      <c r="BC23" s="211"/>
      <c r="BD23" s="1098"/>
      <c r="BE23" s="211"/>
      <c r="BF23" s="211"/>
      <c r="BG23" s="211"/>
      <c r="BH23" s="1098"/>
      <c r="BI23" s="211"/>
      <c r="BJ23" s="211"/>
      <c r="BK23" s="1098">
        <v>-1333</v>
      </c>
      <c r="BL23" s="1098"/>
      <c r="BM23" s="211"/>
      <c r="BN23" s="211"/>
      <c r="BO23" s="211"/>
      <c r="BP23" s="1097"/>
      <c r="BQ23" s="1098"/>
      <c r="BR23" s="1098"/>
      <c r="BS23" s="211"/>
      <c r="BT23" s="211"/>
      <c r="BU23" s="211"/>
      <c r="BV23" s="211"/>
      <c r="BW23" s="211"/>
      <c r="BX23" s="211"/>
      <c r="BY23" s="211"/>
      <c r="BZ23" s="211"/>
      <c r="CA23" s="1098"/>
      <c r="CB23" s="211"/>
      <c r="CC23" s="211"/>
    </row>
    <row r="24" spans="1:81" x14ac:dyDescent="0.2">
      <c r="A24" s="203" t="s">
        <v>195</v>
      </c>
      <c r="B24" s="211">
        <f t="shared" si="14"/>
        <v>0</v>
      </c>
      <c r="C24" s="1097"/>
      <c r="D24" s="1097"/>
      <c r="E24" s="1411"/>
      <c r="F24" s="1411"/>
      <c r="G24" s="1411"/>
      <c r="H24" s="1411"/>
      <c r="I24" s="1411"/>
      <c r="J24" s="926"/>
      <c r="K24" s="211"/>
      <c r="L24" s="211"/>
      <c r="M24" s="211"/>
      <c r="N24" s="211"/>
      <c r="O24" s="926"/>
      <c r="P24" s="211"/>
      <c r="Q24" s="211"/>
      <c r="R24" s="211"/>
      <c r="S24" s="211"/>
      <c r="T24" s="211"/>
      <c r="U24" s="211"/>
      <c r="V24" s="211"/>
      <c r="W24" s="211"/>
      <c r="X24" s="211"/>
      <c r="Y24" s="196"/>
      <c r="Z24" s="196"/>
      <c r="AA24" s="1097"/>
      <c r="AB24" s="1097"/>
      <c r="AC24" s="1097"/>
      <c r="AD24" s="1097"/>
      <c r="AE24" s="1097"/>
      <c r="AF24" s="1097"/>
      <c r="AG24" s="1097"/>
      <c r="AH24" s="1097"/>
      <c r="AI24" s="1097"/>
      <c r="AJ24" s="1097"/>
      <c r="AK24" s="1097"/>
      <c r="AL24" s="1097"/>
      <c r="AM24" s="1097"/>
      <c r="AN24" s="1097"/>
      <c r="AO24" s="1097"/>
      <c r="AP24" s="1097"/>
      <c r="AQ24" s="1097"/>
      <c r="AR24" s="1097"/>
      <c r="AS24" s="1097"/>
      <c r="AT24" s="1097"/>
      <c r="AU24" s="1097"/>
      <c r="AV24" s="1097"/>
      <c r="AW24" s="1097"/>
      <c r="AX24" s="1097"/>
      <c r="AY24" s="211"/>
      <c r="AZ24" s="211"/>
      <c r="BA24" s="211"/>
      <c r="BB24" s="211"/>
      <c r="BC24" s="211"/>
      <c r="BD24" s="1098"/>
      <c r="BE24" s="211"/>
      <c r="BF24" s="211"/>
      <c r="BG24" s="211"/>
      <c r="BH24" s="1098"/>
      <c r="BI24" s="211"/>
      <c r="BJ24" s="211"/>
      <c r="BK24" s="1098"/>
      <c r="BL24" s="1098"/>
      <c r="BM24" s="211"/>
      <c r="BN24" s="211"/>
      <c r="BO24" s="211"/>
      <c r="BP24" s="1097"/>
      <c r="BQ24" s="1098"/>
      <c r="BR24" s="1098"/>
      <c r="BS24" s="211"/>
      <c r="BT24" s="211"/>
      <c r="BU24" s="211"/>
      <c r="BV24" s="211"/>
      <c r="BW24" s="211"/>
      <c r="BX24" s="211"/>
      <c r="BY24" s="211"/>
      <c r="BZ24" s="211"/>
      <c r="CA24" s="1098"/>
      <c r="CB24" s="211"/>
      <c r="CC24" s="211"/>
    </row>
    <row r="25" spans="1:81" x14ac:dyDescent="0.2">
      <c r="A25" s="203" t="s">
        <v>744</v>
      </c>
      <c r="B25" s="211">
        <f t="shared" si="14"/>
        <v>0</v>
      </c>
      <c r="C25" s="1097"/>
      <c r="D25" s="1097"/>
      <c r="E25" s="1411"/>
      <c r="F25" s="1411"/>
      <c r="G25" s="1411"/>
      <c r="H25" s="1411"/>
      <c r="I25" s="1411"/>
      <c r="J25" s="926"/>
      <c r="K25" s="211"/>
      <c r="L25" s="211"/>
      <c r="M25" s="211"/>
      <c r="N25" s="211"/>
      <c r="O25" s="926"/>
      <c r="P25" s="211"/>
      <c r="Q25" s="211"/>
      <c r="R25" s="211"/>
      <c r="S25" s="211"/>
      <c r="T25" s="211"/>
      <c r="U25" s="211"/>
      <c r="V25" s="211"/>
      <c r="W25" s="211"/>
      <c r="X25" s="211"/>
      <c r="Y25" s="196"/>
      <c r="Z25" s="196"/>
      <c r="AA25" s="1097"/>
      <c r="AB25" s="1097"/>
      <c r="AC25" s="1097"/>
      <c r="AD25" s="1097"/>
      <c r="AE25" s="1097"/>
      <c r="AF25" s="1097"/>
      <c r="AG25" s="1097"/>
      <c r="AH25" s="1097"/>
      <c r="AI25" s="1097"/>
      <c r="AJ25" s="1097"/>
      <c r="AK25" s="1097"/>
      <c r="AL25" s="1097"/>
      <c r="AM25" s="1097"/>
      <c r="AN25" s="1097"/>
      <c r="AO25" s="1097"/>
      <c r="AP25" s="1097"/>
      <c r="AQ25" s="1097"/>
      <c r="AR25" s="1097"/>
      <c r="AS25" s="1097"/>
      <c r="AT25" s="1097"/>
      <c r="AU25" s="1097"/>
      <c r="AV25" s="1097"/>
      <c r="AW25" s="1097"/>
      <c r="AX25" s="1097"/>
      <c r="AY25" s="211"/>
      <c r="AZ25" s="211"/>
      <c r="BA25" s="211"/>
      <c r="BB25" s="211"/>
      <c r="BC25" s="211"/>
      <c r="BD25" s="1098"/>
      <c r="BE25" s="211"/>
      <c r="BF25" s="211"/>
      <c r="BG25" s="211"/>
      <c r="BH25" s="1098"/>
      <c r="BI25" s="211"/>
      <c r="BJ25" s="211"/>
      <c r="BK25" s="1098"/>
      <c r="BL25" s="1098"/>
      <c r="BM25" s="211"/>
      <c r="BN25" s="211"/>
      <c r="BO25" s="211"/>
      <c r="BP25" s="1097"/>
      <c r="BQ25" s="1098"/>
      <c r="BR25" s="1098"/>
      <c r="BS25" s="211"/>
      <c r="BT25" s="211"/>
      <c r="BU25" s="211"/>
      <c r="BV25" s="211"/>
      <c r="BW25" s="211"/>
      <c r="BX25" s="211"/>
      <c r="BY25" s="211"/>
      <c r="BZ25" s="211"/>
      <c r="CA25" s="1098"/>
      <c r="CB25" s="211"/>
      <c r="CC25" s="211"/>
    </row>
    <row r="26" spans="1:81" x14ac:dyDescent="0.2">
      <c r="A26" s="203" t="s">
        <v>1213</v>
      </c>
      <c r="B26" s="211">
        <f t="shared" si="14"/>
        <v>28460</v>
      </c>
      <c r="C26" s="1097"/>
      <c r="D26" s="1097">
        <v>60</v>
      </c>
      <c r="E26" s="1411"/>
      <c r="F26" s="1411"/>
      <c r="G26" s="1411"/>
      <c r="H26" s="1411"/>
      <c r="I26" s="1411"/>
      <c r="J26" s="926"/>
      <c r="K26" s="211"/>
      <c r="L26" s="211"/>
      <c r="M26" s="211"/>
      <c r="N26" s="211"/>
      <c r="O26" s="928"/>
      <c r="P26" s="211"/>
      <c r="Q26" s="211"/>
      <c r="R26" s="211"/>
      <c r="S26" s="211"/>
      <c r="T26" s="211"/>
      <c r="U26" s="211"/>
      <c r="V26" s="211"/>
      <c r="W26" s="211"/>
      <c r="X26" s="211"/>
      <c r="Y26" s="196"/>
      <c r="Z26" s="196"/>
      <c r="AA26" s="1097"/>
      <c r="AB26" s="1097">
        <v>0</v>
      </c>
      <c r="AC26" s="1097">
        <v>2266</v>
      </c>
      <c r="AD26" s="1097">
        <v>8334</v>
      </c>
      <c r="AE26" s="1097">
        <v>4233</v>
      </c>
      <c r="AF26" s="1097">
        <v>0</v>
      </c>
      <c r="AG26" s="1097">
        <v>0</v>
      </c>
      <c r="AH26" s="1097">
        <v>0</v>
      </c>
      <c r="AI26" s="1097">
        <v>0</v>
      </c>
      <c r="AJ26" s="1097">
        <v>0</v>
      </c>
      <c r="AK26" s="1097">
        <v>2620</v>
      </c>
      <c r="AL26" s="1097">
        <v>450</v>
      </c>
      <c r="AM26" s="1097">
        <v>709</v>
      </c>
      <c r="AN26" s="1097">
        <v>670</v>
      </c>
      <c r="AO26" s="1097">
        <v>879</v>
      </c>
      <c r="AP26" s="1097">
        <v>740</v>
      </c>
      <c r="AQ26" s="1097">
        <v>2480</v>
      </c>
      <c r="AR26" s="1097">
        <v>0</v>
      </c>
      <c r="AS26" s="1097">
        <v>0</v>
      </c>
      <c r="AT26" s="1097">
        <v>0</v>
      </c>
      <c r="AU26" s="1097">
        <v>0</v>
      </c>
      <c r="AV26" s="1097">
        <v>0</v>
      </c>
      <c r="AW26" s="1097">
        <v>1327</v>
      </c>
      <c r="AX26" s="1097"/>
      <c r="AY26" s="211"/>
      <c r="AZ26" s="211"/>
      <c r="BA26" s="211"/>
      <c r="BB26" s="211"/>
      <c r="BC26" s="211"/>
      <c r="BD26" s="1098"/>
      <c r="BE26" s="211"/>
      <c r="BF26" s="211"/>
      <c r="BG26" s="211"/>
      <c r="BH26" s="1098"/>
      <c r="BI26" s="211"/>
      <c r="BJ26" s="211"/>
      <c r="BK26" s="1098">
        <v>687</v>
      </c>
      <c r="BL26" s="1098">
        <v>-37</v>
      </c>
      <c r="BM26" s="211"/>
      <c r="BN26" s="211"/>
      <c r="BO26" s="211"/>
      <c r="BP26" s="1097"/>
      <c r="BQ26" s="1098"/>
      <c r="BR26" s="1098">
        <v>3042</v>
      </c>
      <c r="BS26" s="211"/>
      <c r="BT26" s="211"/>
      <c r="BU26" s="211"/>
      <c r="BV26" s="211"/>
      <c r="BW26" s="211"/>
      <c r="BX26" s="211"/>
      <c r="BY26" s="211"/>
      <c r="BZ26" s="211"/>
      <c r="CA26" s="1098"/>
      <c r="CB26" s="211"/>
      <c r="CC26" s="211"/>
    </row>
    <row r="27" spans="1:81" x14ac:dyDescent="0.2">
      <c r="A27" s="203" t="s">
        <v>1606</v>
      </c>
      <c r="B27" s="211">
        <f t="shared" si="14"/>
        <v>272959</v>
      </c>
      <c r="C27" s="1097"/>
      <c r="D27" s="1097">
        <v>234610</v>
      </c>
      <c r="E27" s="1411"/>
      <c r="F27" s="1411"/>
      <c r="G27" s="1411"/>
      <c r="H27" s="1411"/>
      <c r="I27" s="1411"/>
      <c r="J27" s="926"/>
      <c r="K27" s="211"/>
      <c r="L27" s="211"/>
      <c r="M27" s="211"/>
      <c r="N27" s="211"/>
      <c r="O27" s="926"/>
      <c r="P27" s="211"/>
      <c r="Q27" s="211"/>
      <c r="R27" s="211"/>
      <c r="S27" s="211"/>
      <c r="T27" s="211"/>
      <c r="U27" s="211"/>
      <c r="V27" s="211"/>
      <c r="W27" s="211"/>
      <c r="X27" s="211"/>
      <c r="Y27" s="196"/>
      <c r="Z27" s="196"/>
      <c r="AA27" s="1097"/>
      <c r="AB27" s="1097"/>
      <c r="AC27" s="1097"/>
      <c r="AD27" s="1097"/>
      <c r="AE27" s="1097"/>
      <c r="AF27" s="1097"/>
      <c r="AG27" s="1097"/>
      <c r="AH27" s="1097"/>
      <c r="AI27" s="1097"/>
      <c r="AJ27" s="1097"/>
      <c r="AK27" s="1097"/>
      <c r="AL27" s="1097"/>
      <c r="AM27" s="1097"/>
      <c r="AN27" s="1097"/>
      <c r="AO27" s="1097"/>
      <c r="AP27" s="1097"/>
      <c r="AQ27" s="1097"/>
      <c r="AR27" s="1097"/>
      <c r="AS27" s="1097"/>
      <c r="AT27" s="1097"/>
      <c r="AU27" s="1097"/>
      <c r="AV27" s="1097"/>
      <c r="AW27" s="1097"/>
      <c r="AX27" s="1097"/>
      <c r="AY27" s="211"/>
      <c r="AZ27" s="211"/>
      <c r="BA27" s="211"/>
      <c r="BB27" s="211"/>
      <c r="BC27" s="211"/>
      <c r="BD27" s="1098"/>
      <c r="BE27" s="211"/>
      <c r="BF27" s="211"/>
      <c r="BG27" s="211"/>
      <c r="BH27" s="1098">
        <v>23</v>
      </c>
      <c r="BI27" s="211"/>
      <c r="BJ27" s="211">
        <v>1211</v>
      </c>
      <c r="BK27" s="1098">
        <v>31975</v>
      </c>
      <c r="BL27" s="1098">
        <v>1100</v>
      </c>
      <c r="BM27" s="211"/>
      <c r="BN27" s="211"/>
      <c r="BO27" s="211"/>
      <c r="BP27" s="1097"/>
      <c r="BQ27" s="1098"/>
      <c r="BR27" s="1098">
        <v>4040</v>
      </c>
      <c r="BS27" s="211"/>
      <c r="BT27" s="211"/>
      <c r="BU27" s="211"/>
      <c r="BV27" s="211"/>
      <c r="BW27" s="211"/>
      <c r="BX27" s="211"/>
      <c r="BY27" s="211"/>
      <c r="BZ27" s="211"/>
      <c r="CA27" s="1098"/>
      <c r="CB27" s="211"/>
      <c r="CC27" s="211"/>
    </row>
    <row r="28" spans="1:81" x14ac:dyDescent="0.2">
      <c r="A28" s="547" t="s">
        <v>747</v>
      </c>
      <c r="B28" s="388">
        <f>SUM(B22:B27)</f>
        <v>-151985</v>
      </c>
      <c r="C28" s="1142">
        <f t="shared" ref="C28" si="15">SUM(C22:C27)</f>
        <v>0</v>
      </c>
      <c r="D28" s="1142">
        <f>SUM(D22:D27)</f>
        <v>234670</v>
      </c>
      <c r="E28" s="1454">
        <f t="shared" ref="E28" si="16">SUM(E22:E27)</f>
        <v>0</v>
      </c>
      <c r="F28" s="1454">
        <f t="shared" ref="F28:I28" si="17">SUM(F22:F27)</f>
        <v>0</v>
      </c>
      <c r="G28" s="1454">
        <f t="shared" si="17"/>
        <v>0</v>
      </c>
      <c r="H28" s="1454">
        <f t="shared" si="17"/>
        <v>0</v>
      </c>
      <c r="I28" s="1454">
        <f t="shared" si="17"/>
        <v>0</v>
      </c>
      <c r="J28" s="1103">
        <f>SUM(J22:J27)</f>
        <v>0</v>
      </c>
      <c r="K28" s="388">
        <f t="shared" ref="K28:BT28" si="18">SUM(K22:K27)</f>
        <v>0</v>
      </c>
      <c r="L28" s="388">
        <f t="shared" si="18"/>
        <v>0</v>
      </c>
      <c r="M28" s="388">
        <f t="shared" si="18"/>
        <v>0</v>
      </c>
      <c r="N28" s="1103">
        <f>SUM(N22:N27)</f>
        <v>0</v>
      </c>
      <c r="O28" s="1103">
        <f t="shared" ref="O28" si="19">SUM(O22:O27)</f>
        <v>0</v>
      </c>
      <c r="P28" s="388">
        <f t="shared" si="18"/>
        <v>0</v>
      </c>
      <c r="Q28" s="388">
        <f t="shared" si="18"/>
        <v>0</v>
      </c>
      <c r="R28" s="388">
        <f t="shared" si="18"/>
        <v>0</v>
      </c>
      <c r="S28" s="388">
        <f>SUM(S22:S27)</f>
        <v>0</v>
      </c>
      <c r="T28" s="388">
        <f t="shared" si="18"/>
        <v>0</v>
      </c>
      <c r="U28" s="388">
        <f t="shared" si="18"/>
        <v>0</v>
      </c>
      <c r="V28" s="388">
        <f>SUM(V22:V27)</f>
        <v>0</v>
      </c>
      <c r="W28" s="388">
        <f t="shared" si="18"/>
        <v>0</v>
      </c>
      <c r="X28" s="388">
        <f t="shared" si="18"/>
        <v>0</v>
      </c>
      <c r="Y28" s="1103">
        <f t="shared" ref="Y28:AA28" si="20">SUM(Y22:Y27)</f>
        <v>0</v>
      </c>
      <c r="Z28" s="1103">
        <f t="shared" si="20"/>
        <v>0</v>
      </c>
      <c r="AA28" s="1103">
        <f t="shared" si="20"/>
        <v>0</v>
      </c>
      <c r="AB28" s="1103">
        <v>0</v>
      </c>
      <c r="AC28" s="1103">
        <v>2266</v>
      </c>
      <c r="AD28" s="1103">
        <v>8334</v>
      </c>
      <c r="AE28" s="1103">
        <v>-192055</v>
      </c>
      <c r="AF28" s="1103">
        <v>0</v>
      </c>
      <c r="AG28" s="1103">
        <v>0</v>
      </c>
      <c r="AH28" s="1103">
        <v>0</v>
      </c>
      <c r="AI28" s="1103">
        <v>0</v>
      </c>
      <c r="AJ28" s="1103">
        <v>0</v>
      </c>
      <c r="AK28" s="1103">
        <v>2620</v>
      </c>
      <c r="AL28" s="1142">
        <v>450</v>
      </c>
      <c r="AM28" s="1103">
        <v>709</v>
      </c>
      <c r="AN28" s="1103">
        <v>670</v>
      </c>
      <c r="AO28" s="1103">
        <v>879</v>
      </c>
      <c r="AP28" s="1103">
        <v>740</v>
      </c>
      <c r="AQ28" s="1103">
        <v>-165794</v>
      </c>
      <c r="AR28" s="1103">
        <v>0</v>
      </c>
      <c r="AS28" s="1103">
        <v>0</v>
      </c>
      <c r="AT28" s="1103">
        <v>0</v>
      </c>
      <c r="AU28" s="1103">
        <v>0</v>
      </c>
      <c r="AV28" s="1103">
        <v>0</v>
      </c>
      <c r="AW28" s="1103">
        <v>-55445</v>
      </c>
      <c r="AX28" s="1103">
        <f t="shared" ref="AX28" si="21">SUM(AX22:AX27)</f>
        <v>0</v>
      </c>
      <c r="AY28" s="388">
        <f t="shared" si="18"/>
        <v>0</v>
      </c>
      <c r="AZ28" s="388">
        <f t="shared" si="18"/>
        <v>0</v>
      </c>
      <c r="BA28" s="388">
        <f t="shared" si="18"/>
        <v>0</v>
      </c>
      <c r="BB28" s="388">
        <f t="shared" si="18"/>
        <v>0</v>
      </c>
      <c r="BC28" s="388">
        <f>SUM(BC22:BC27)</f>
        <v>0</v>
      </c>
      <c r="BD28" s="1103">
        <f>SUM(BD22:BD27)</f>
        <v>0</v>
      </c>
      <c r="BE28" s="388">
        <f t="shared" si="18"/>
        <v>0</v>
      </c>
      <c r="BF28" s="388">
        <f t="shared" si="18"/>
        <v>0</v>
      </c>
      <c r="BG28" s="388">
        <f t="shared" si="18"/>
        <v>0</v>
      </c>
      <c r="BH28" s="388">
        <f t="shared" si="18"/>
        <v>-255</v>
      </c>
      <c r="BI28" s="388">
        <f t="shared" si="18"/>
        <v>0</v>
      </c>
      <c r="BJ28" s="388">
        <f t="shared" si="18"/>
        <v>197</v>
      </c>
      <c r="BK28" s="1142">
        <f>SUM(BK22:BK27)</f>
        <v>1884</v>
      </c>
      <c r="BL28" s="1142">
        <f>SUM(BL22:BL27)</f>
        <v>1063</v>
      </c>
      <c r="BM28" s="388">
        <f t="shared" si="18"/>
        <v>0</v>
      </c>
      <c r="BN28" s="388">
        <f>SUM(BN22:BN27)</f>
        <v>0</v>
      </c>
      <c r="BO28" s="388">
        <f t="shared" si="18"/>
        <v>0</v>
      </c>
      <c r="BP28" s="1142">
        <f>SUM(BP22:BP27)</f>
        <v>0</v>
      </c>
      <c r="BQ28" s="1103">
        <f t="shared" ref="BQ28" si="22">SUM(BQ22:BQ27)</f>
        <v>0</v>
      </c>
      <c r="BR28" s="1103">
        <f>SUM(BR22:BR27)</f>
        <v>7082</v>
      </c>
      <c r="BS28" s="388">
        <f>SUM(BS22:BS27)</f>
        <v>0</v>
      </c>
      <c r="BT28" s="388">
        <f t="shared" si="18"/>
        <v>0</v>
      </c>
      <c r="BU28" s="388">
        <f t="shared" ref="BU28:CB28" si="23">SUM(BU22:BU27)</f>
        <v>0</v>
      </c>
      <c r="BV28" s="388">
        <f t="shared" si="23"/>
        <v>0</v>
      </c>
      <c r="BW28" s="388">
        <f t="shared" si="23"/>
        <v>0</v>
      </c>
      <c r="BX28" s="388">
        <f t="shared" si="23"/>
        <v>0</v>
      </c>
      <c r="BY28" s="388">
        <f t="shared" si="23"/>
        <v>0</v>
      </c>
      <c r="BZ28" s="1103">
        <f>SUM(BZ22:BZ27)</f>
        <v>0</v>
      </c>
      <c r="CA28" s="388">
        <f t="shared" si="23"/>
        <v>0</v>
      </c>
      <c r="CB28" s="388">
        <f t="shared" si="23"/>
        <v>0</v>
      </c>
      <c r="CC28" s="211"/>
    </row>
    <row r="29" spans="1:81" x14ac:dyDescent="0.2">
      <c r="A29" s="547"/>
      <c r="B29" s="211"/>
      <c r="C29" s="928"/>
      <c r="D29" s="1097"/>
      <c r="E29" s="1411"/>
      <c r="F29" s="1411"/>
      <c r="G29" s="1411"/>
      <c r="H29" s="1411"/>
      <c r="I29" s="1411"/>
      <c r="J29" s="926"/>
      <c r="K29" s="211"/>
      <c r="L29" s="211"/>
      <c r="M29" s="211"/>
      <c r="N29" s="1098"/>
      <c r="O29" s="1098"/>
      <c r="P29" s="211"/>
      <c r="Q29" s="211"/>
      <c r="R29" s="211"/>
      <c r="S29" s="211"/>
      <c r="T29" s="211"/>
      <c r="U29" s="211"/>
      <c r="V29" s="211"/>
      <c r="W29" s="211"/>
      <c r="X29" s="211"/>
      <c r="Y29" s="1098"/>
      <c r="Z29" s="1098"/>
      <c r="AA29" s="1098"/>
      <c r="AB29" s="1098"/>
      <c r="AC29" s="1098"/>
      <c r="AD29" s="1098"/>
      <c r="AE29" s="1098"/>
      <c r="AF29" s="1098"/>
      <c r="AG29" s="1098"/>
      <c r="AH29" s="1098"/>
      <c r="AI29" s="1098"/>
      <c r="AJ29" s="1098"/>
      <c r="AK29" s="1098"/>
      <c r="AL29" s="1097"/>
      <c r="AM29" s="1098"/>
      <c r="AN29" s="1098"/>
      <c r="AO29" s="1098"/>
      <c r="AP29" s="1098"/>
      <c r="AQ29" s="1098"/>
      <c r="AR29" s="1098"/>
      <c r="AS29" s="1098"/>
      <c r="AT29" s="1098"/>
      <c r="AU29" s="1098"/>
      <c r="AV29" s="1098"/>
      <c r="AW29" s="1098"/>
      <c r="AX29" s="1098"/>
      <c r="AY29" s="211"/>
      <c r="AZ29" s="211"/>
      <c r="BA29" s="211"/>
      <c r="BB29" s="211"/>
      <c r="BC29" s="211"/>
      <c r="BD29" s="1098"/>
      <c r="BE29" s="211"/>
      <c r="BF29" s="211"/>
      <c r="BG29" s="211"/>
      <c r="BH29" s="211"/>
      <c r="BI29" s="211"/>
      <c r="BJ29" s="211"/>
      <c r="BK29" s="1102"/>
      <c r="BL29" s="928"/>
      <c r="BM29" s="211"/>
      <c r="BN29" s="211"/>
      <c r="BO29" s="211"/>
      <c r="BP29" s="1097"/>
      <c r="BQ29" s="1098"/>
      <c r="BR29" s="1098"/>
      <c r="BS29" s="211"/>
      <c r="BT29" s="211"/>
      <c r="BU29" s="211"/>
      <c r="BV29" s="211"/>
      <c r="BW29" s="211"/>
      <c r="BX29" s="211"/>
      <c r="BY29" s="211"/>
      <c r="BZ29" s="928"/>
      <c r="CA29" s="211"/>
      <c r="CB29" s="211"/>
      <c r="CC29" s="211"/>
    </row>
    <row r="30" spans="1:81" x14ac:dyDescent="0.2">
      <c r="A30" s="547" t="s">
        <v>790</v>
      </c>
      <c r="B30" s="211"/>
      <c r="C30" s="928"/>
      <c r="D30" s="1097"/>
      <c r="E30" s="1411"/>
      <c r="F30" s="1411"/>
      <c r="G30" s="1411"/>
      <c r="H30" s="1411"/>
      <c r="I30" s="1411"/>
      <c r="J30" s="926"/>
      <c r="K30" s="211"/>
      <c r="L30" s="211"/>
      <c r="M30" s="211"/>
      <c r="N30" s="211"/>
      <c r="O30" s="926"/>
      <c r="P30" s="211"/>
      <c r="Q30" s="211"/>
      <c r="R30" s="211"/>
      <c r="S30" s="211"/>
      <c r="T30" s="211"/>
      <c r="U30" s="211"/>
      <c r="V30" s="211"/>
      <c r="W30" s="211"/>
      <c r="X30" s="211"/>
      <c r="Y30" s="196"/>
      <c r="Z30" s="196"/>
      <c r="AA30" s="1098"/>
      <c r="AB30" s="1098"/>
      <c r="AC30" s="1098"/>
      <c r="AD30" s="1098"/>
      <c r="AE30" s="1098"/>
      <c r="AF30" s="1098"/>
      <c r="AG30" s="1098"/>
      <c r="AH30" s="1098"/>
      <c r="AI30" s="1098"/>
      <c r="AJ30" s="1098"/>
      <c r="AK30" s="1098"/>
      <c r="AL30" s="1097"/>
      <c r="AM30" s="1098"/>
      <c r="AN30" s="1098"/>
      <c r="AO30" s="1098"/>
      <c r="AP30" s="1098"/>
      <c r="AQ30" s="1098"/>
      <c r="AR30" s="1098"/>
      <c r="AS30" s="1098"/>
      <c r="AT30" s="1098"/>
      <c r="AU30" s="1098"/>
      <c r="AV30" s="1098"/>
      <c r="AW30" s="1098"/>
      <c r="AX30" s="1098"/>
      <c r="AY30" s="211"/>
      <c r="AZ30" s="211"/>
      <c r="BA30" s="211"/>
      <c r="BB30" s="211"/>
      <c r="BC30" s="211"/>
      <c r="BD30" s="1098"/>
      <c r="BE30" s="211"/>
      <c r="BF30" s="211"/>
      <c r="BG30" s="211"/>
      <c r="BH30" s="211"/>
      <c r="BI30" s="211"/>
      <c r="BJ30" s="211"/>
      <c r="BK30" s="1102"/>
      <c r="BL30" s="928"/>
      <c r="BM30" s="211"/>
      <c r="BN30" s="211"/>
      <c r="BO30" s="211"/>
      <c r="BP30" s="1097"/>
      <c r="BQ30" s="1098"/>
      <c r="BR30" s="1098"/>
      <c r="BS30" s="211"/>
      <c r="BT30" s="211"/>
      <c r="BU30" s="211"/>
      <c r="BV30" s="211"/>
      <c r="BW30" s="211"/>
      <c r="BX30" s="211"/>
      <c r="BY30" s="211"/>
      <c r="BZ30" s="928"/>
      <c r="CA30" s="1098"/>
      <c r="CB30" s="211"/>
      <c r="CC30" s="211"/>
    </row>
    <row r="31" spans="1:81" x14ac:dyDescent="0.2">
      <c r="A31" s="203" t="s">
        <v>332</v>
      </c>
      <c r="B31" s="211">
        <f t="shared" ref="B31:B40" si="24">SUM(C31:CB31)</f>
        <v>-2561</v>
      </c>
      <c r="C31" s="1097"/>
      <c r="D31" s="1097">
        <v>-2618</v>
      </c>
      <c r="E31" s="1411"/>
      <c r="F31" s="1411"/>
      <c r="G31" s="1411"/>
      <c r="H31" s="1411"/>
      <c r="I31" s="1411"/>
      <c r="J31" s="926"/>
      <c r="K31" s="211"/>
      <c r="L31" s="211"/>
      <c r="M31" s="211"/>
      <c r="N31" s="211"/>
      <c r="O31" s="926"/>
      <c r="P31" s="211"/>
      <c r="Q31" s="211"/>
      <c r="R31" s="211"/>
      <c r="S31" s="211"/>
      <c r="T31" s="211"/>
      <c r="U31" s="211"/>
      <c r="V31" s="211"/>
      <c r="W31" s="211"/>
      <c r="X31" s="211"/>
      <c r="Y31" s="196"/>
      <c r="Z31" s="196"/>
      <c r="AA31" s="1097"/>
      <c r="AB31" s="1097"/>
      <c r="AC31" s="1097"/>
      <c r="AD31" s="1097"/>
      <c r="AE31" s="1097"/>
      <c r="AF31" s="1097"/>
      <c r="AG31" s="1097"/>
      <c r="AH31" s="1097"/>
      <c r="AI31" s="1097"/>
      <c r="AJ31" s="1097"/>
      <c r="AK31" s="1097"/>
      <c r="AL31" s="1097"/>
      <c r="AM31" s="1097"/>
      <c r="AN31" s="1097"/>
      <c r="AO31" s="1097"/>
      <c r="AP31" s="1097"/>
      <c r="AQ31" s="1097"/>
      <c r="AR31" s="1097"/>
      <c r="AS31" s="1097"/>
      <c r="AT31" s="1097"/>
      <c r="AU31" s="1097"/>
      <c r="AV31" s="1097"/>
      <c r="AW31" s="1097"/>
      <c r="AX31" s="1097"/>
      <c r="AY31" s="211"/>
      <c r="AZ31" s="211"/>
      <c r="BA31" s="211"/>
      <c r="BB31" s="211"/>
      <c r="BC31" s="211"/>
      <c r="BD31" s="1098"/>
      <c r="BE31" s="211"/>
      <c r="BF31" s="211"/>
      <c r="BG31" s="211"/>
      <c r="BH31" s="1098"/>
      <c r="BI31" s="211"/>
      <c r="BJ31" s="211"/>
      <c r="BK31" s="1098">
        <v>45</v>
      </c>
      <c r="BL31" s="1098">
        <v>5</v>
      </c>
      <c r="BM31" s="211"/>
      <c r="BN31" s="211"/>
      <c r="BO31" s="211"/>
      <c r="BP31" s="1097"/>
      <c r="BQ31" s="1097"/>
      <c r="BR31" s="1098">
        <v>7</v>
      </c>
      <c r="BS31" s="211"/>
      <c r="BT31" s="211"/>
      <c r="BU31" s="211"/>
      <c r="BV31" s="211"/>
      <c r="BW31" s="211"/>
      <c r="BX31" s="211"/>
      <c r="BY31" s="211"/>
      <c r="BZ31" s="1098"/>
      <c r="CA31" s="1098"/>
      <c r="CB31" s="211"/>
      <c r="CC31" s="211"/>
    </row>
    <row r="32" spans="1:81" x14ac:dyDescent="0.2">
      <c r="A32" s="203" t="s">
        <v>700</v>
      </c>
      <c r="B32" s="211">
        <f t="shared" si="24"/>
        <v>-8412</v>
      </c>
      <c r="C32" s="1097"/>
      <c r="D32" s="1097"/>
      <c r="E32" s="1411"/>
      <c r="F32" s="1411"/>
      <c r="G32" s="1411"/>
      <c r="H32" s="1411"/>
      <c r="I32" s="1411"/>
      <c r="J32" s="926"/>
      <c r="K32" s="211"/>
      <c r="L32" s="211"/>
      <c r="M32" s="211"/>
      <c r="N32" s="211"/>
      <c r="O32" s="926"/>
      <c r="P32" s="211"/>
      <c r="Q32" s="211"/>
      <c r="R32" s="211"/>
      <c r="S32" s="211"/>
      <c r="T32" s="211"/>
      <c r="U32" s="211"/>
      <c r="V32" s="211"/>
      <c r="W32" s="211"/>
      <c r="X32" s="211"/>
      <c r="Y32" s="196"/>
      <c r="Z32" s="196"/>
      <c r="AA32" s="1097"/>
      <c r="AB32" s="1097"/>
      <c r="AC32" s="1097"/>
      <c r="AD32" s="1097"/>
      <c r="AE32" s="1097"/>
      <c r="AF32" s="1097"/>
      <c r="AG32" s="1097"/>
      <c r="AH32" s="1097"/>
      <c r="AI32" s="1097"/>
      <c r="AJ32" s="1097"/>
      <c r="AK32" s="1097"/>
      <c r="AL32" s="1097"/>
      <c r="AM32" s="1097"/>
      <c r="AN32" s="1097"/>
      <c r="AO32" s="1097"/>
      <c r="AP32" s="1097"/>
      <c r="AQ32" s="1097"/>
      <c r="AR32" s="1097"/>
      <c r="AS32" s="1097"/>
      <c r="AT32" s="1097"/>
      <c r="AU32" s="1097"/>
      <c r="AV32" s="1097"/>
      <c r="AW32" s="1097"/>
      <c r="AX32" s="1097"/>
      <c r="AY32" s="211"/>
      <c r="AZ32" s="211"/>
      <c r="BA32" s="211"/>
      <c r="BB32" s="211"/>
      <c r="BC32" s="211"/>
      <c r="BD32" s="1098"/>
      <c r="BE32" s="211"/>
      <c r="BF32" s="211">
        <v>-77</v>
      </c>
      <c r="BG32" s="211"/>
      <c r="BH32" s="1098"/>
      <c r="BI32" s="211"/>
      <c r="BJ32" s="211"/>
      <c r="BK32" s="1098"/>
      <c r="BL32" s="1098"/>
      <c r="BM32" s="211"/>
      <c r="BN32" s="211"/>
      <c r="BO32" s="211"/>
      <c r="BP32" s="1097"/>
      <c r="BQ32" s="1097"/>
      <c r="BR32" s="1098"/>
      <c r="BS32" s="211"/>
      <c r="BT32" s="211"/>
      <c r="BU32" s="211"/>
      <c r="BV32" s="211"/>
      <c r="BW32" s="211"/>
      <c r="BX32" s="211"/>
      <c r="BY32" s="211"/>
      <c r="BZ32" s="1097">
        <v>-8335</v>
      </c>
      <c r="CA32" s="1098"/>
      <c r="CB32" s="211"/>
      <c r="CC32" s="211"/>
    </row>
    <row r="33" spans="1:81" x14ac:dyDescent="0.2">
      <c r="A33" s="203" t="s">
        <v>607</v>
      </c>
      <c r="B33" s="211">
        <f t="shared" si="24"/>
        <v>-38929</v>
      </c>
      <c r="C33" s="1097"/>
      <c r="D33" s="1098"/>
      <c r="E33" s="1411"/>
      <c r="F33" s="1411"/>
      <c r="G33" s="1411"/>
      <c r="H33" s="1411"/>
      <c r="I33" s="1411"/>
      <c r="J33" s="926"/>
      <c r="K33" s="211"/>
      <c r="L33" s="211"/>
      <c r="M33" s="211"/>
      <c r="N33" s="211"/>
      <c r="O33" s="926"/>
      <c r="P33" s="211"/>
      <c r="Q33" s="211"/>
      <c r="R33" s="211"/>
      <c r="S33" s="211"/>
      <c r="T33" s="211"/>
      <c r="U33" s="211"/>
      <c r="V33" s="211"/>
      <c r="W33" s="211"/>
      <c r="X33" s="211"/>
      <c r="Y33" s="196"/>
      <c r="Z33" s="196"/>
      <c r="AA33" s="1097"/>
      <c r="AB33" s="1097"/>
      <c r="AC33" s="1097"/>
      <c r="AD33" s="1097"/>
      <c r="AE33" s="1097"/>
      <c r="AF33" s="1097"/>
      <c r="AG33" s="1097"/>
      <c r="AH33" s="1097"/>
      <c r="AI33" s="1097"/>
      <c r="AJ33" s="1097"/>
      <c r="AK33" s="1097"/>
      <c r="AL33" s="1097"/>
      <c r="AM33" s="1097"/>
      <c r="AN33" s="1097"/>
      <c r="AO33" s="1097"/>
      <c r="AP33" s="1097"/>
      <c r="AQ33" s="1097"/>
      <c r="AR33" s="1097"/>
      <c r="AS33" s="1097"/>
      <c r="AT33" s="1097"/>
      <c r="AU33" s="1097"/>
      <c r="AV33" s="1097"/>
      <c r="AW33" s="1097"/>
      <c r="AX33" s="1097"/>
      <c r="AY33" s="211"/>
      <c r="AZ33" s="211"/>
      <c r="BA33" s="211"/>
      <c r="BB33" s="211"/>
      <c r="BC33" s="211"/>
      <c r="BD33" s="1098"/>
      <c r="BE33" s="211"/>
      <c r="BF33" s="211"/>
      <c r="BG33" s="211"/>
      <c r="BH33" s="1098"/>
      <c r="BI33" s="211"/>
      <c r="BJ33" s="211"/>
      <c r="BK33" s="1098"/>
      <c r="BL33" s="1098"/>
      <c r="BM33" s="211"/>
      <c r="BN33" s="211"/>
      <c r="BO33" s="211"/>
      <c r="BP33" s="1097"/>
      <c r="BQ33" s="1097"/>
      <c r="BR33" s="1098"/>
      <c r="BS33" s="211"/>
      <c r="BT33" s="211"/>
      <c r="BU33" s="211"/>
      <c r="BV33" s="211"/>
      <c r="BW33" s="211"/>
      <c r="BX33" s="211"/>
      <c r="BY33" s="211"/>
      <c r="BZ33" s="1097">
        <v>-38929</v>
      </c>
      <c r="CA33" s="1098"/>
      <c r="CB33" s="211"/>
      <c r="CC33" s="211"/>
    </row>
    <row r="34" spans="1:81" x14ac:dyDescent="0.2">
      <c r="A34" s="203" t="s">
        <v>331</v>
      </c>
      <c r="B34" s="211">
        <f t="shared" si="24"/>
        <v>4506</v>
      </c>
      <c r="C34" s="1097">
        <v>-16</v>
      </c>
      <c r="D34" s="1098"/>
      <c r="E34" s="1411"/>
      <c r="F34" s="1411"/>
      <c r="G34" s="1411"/>
      <c r="H34" s="1411"/>
      <c r="I34" s="1411"/>
      <c r="J34" s="926"/>
      <c r="K34" s="211"/>
      <c r="L34" s="211"/>
      <c r="M34" s="211"/>
      <c r="N34" s="1097">
        <v>1</v>
      </c>
      <c r="O34" s="926">
        <v>65</v>
      </c>
      <c r="P34" s="211"/>
      <c r="Q34" s="211"/>
      <c r="R34" s="211"/>
      <c r="S34" s="211"/>
      <c r="T34" s="211"/>
      <c r="U34" s="211"/>
      <c r="V34" s="211"/>
      <c r="W34" s="211"/>
      <c r="X34" s="211"/>
      <c r="Y34" s="196"/>
      <c r="Z34" s="196"/>
      <c r="AA34" s="1097"/>
      <c r="AB34" s="1097"/>
      <c r="AC34" s="1097"/>
      <c r="AD34" s="1097"/>
      <c r="AE34" s="1097"/>
      <c r="AF34" s="1097">
        <v>-71</v>
      </c>
      <c r="AG34" s="1097"/>
      <c r="AH34" s="1097"/>
      <c r="AI34" s="1097"/>
      <c r="AJ34" s="1097"/>
      <c r="AK34" s="1097"/>
      <c r="AL34" s="1097"/>
      <c r="AM34" s="1097"/>
      <c r="AN34" s="1097"/>
      <c r="AO34" s="1097"/>
      <c r="AP34" s="1097"/>
      <c r="AQ34" s="1097"/>
      <c r="AR34" s="1097">
        <v>-387</v>
      </c>
      <c r="AS34" s="1097"/>
      <c r="AT34" s="1097">
        <v>4914</v>
      </c>
      <c r="AU34" s="1097"/>
      <c r="AV34" s="1097"/>
      <c r="AW34" s="1097"/>
      <c r="AX34" s="1097"/>
      <c r="AY34" s="211"/>
      <c r="AZ34" s="211"/>
      <c r="BA34" s="211"/>
      <c r="BB34" s="211"/>
      <c r="BC34" s="211"/>
      <c r="BD34" s="1098"/>
      <c r="BE34" s="211"/>
      <c r="BF34" s="211"/>
      <c r="BG34" s="211"/>
      <c r="BH34" s="1098"/>
      <c r="BI34" s="211"/>
      <c r="BJ34" s="211"/>
      <c r="BK34" s="1098"/>
      <c r="BL34" s="1098"/>
      <c r="BM34" s="211"/>
      <c r="BN34" s="211"/>
      <c r="BO34" s="211"/>
      <c r="BP34" s="1097"/>
      <c r="BQ34" s="1097"/>
      <c r="BR34" s="1098"/>
      <c r="BS34" s="211"/>
      <c r="BT34" s="211"/>
      <c r="BU34" s="211"/>
      <c r="BV34" s="211"/>
      <c r="BW34" s="211"/>
      <c r="BX34" s="211"/>
      <c r="BY34" s="211"/>
      <c r="BZ34" s="1097"/>
      <c r="CA34" s="1098"/>
      <c r="CB34" s="211"/>
      <c r="CC34" s="211"/>
    </row>
    <row r="35" spans="1:81" x14ac:dyDescent="0.2">
      <c r="A35" s="203" t="s">
        <v>728</v>
      </c>
      <c r="B35" s="211">
        <f t="shared" si="24"/>
        <v>575</v>
      </c>
      <c r="C35" s="1097"/>
      <c r="D35" s="211"/>
      <c r="E35" s="1411"/>
      <c r="F35" s="1411"/>
      <c r="G35" s="1411"/>
      <c r="H35" s="1411"/>
      <c r="I35" s="1411"/>
      <c r="J35" s="926"/>
      <c r="K35" s="211"/>
      <c r="L35" s="211"/>
      <c r="M35" s="211"/>
      <c r="N35" s="1097"/>
      <c r="O35" s="928"/>
      <c r="P35" s="211"/>
      <c r="Q35" s="211"/>
      <c r="R35" s="211"/>
      <c r="S35" s="211"/>
      <c r="T35" s="211"/>
      <c r="U35" s="211"/>
      <c r="V35" s="211"/>
      <c r="W35" s="211"/>
      <c r="X35" s="211"/>
      <c r="Y35" s="196"/>
      <c r="Z35" s="196"/>
      <c r="AA35" s="1097"/>
      <c r="AB35" s="1097"/>
      <c r="AC35" s="1097"/>
      <c r="AD35" s="1097"/>
      <c r="AE35" s="1097"/>
      <c r="AF35" s="1097"/>
      <c r="AG35" s="1097"/>
      <c r="AH35" s="1097"/>
      <c r="AI35" s="1097"/>
      <c r="AJ35" s="1097"/>
      <c r="AK35" s="1097"/>
      <c r="AL35" s="1097"/>
      <c r="AM35" s="1097"/>
      <c r="AN35" s="1097"/>
      <c r="AO35" s="1097"/>
      <c r="AP35" s="1097"/>
      <c r="AQ35" s="1097"/>
      <c r="AR35" s="1097"/>
      <c r="AS35" s="1097"/>
      <c r="AT35" s="1097"/>
      <c r="AU35" s="1097"/>
      <c r="AV35" s="1097"/>
      <c r="AW35" s="1097"/>
      <c r="AX35" s="1097"/>
      <c r="AY35" s="211"/>
      <c r="AZ35" s="211"/>
      <c r="BA35" s="211"/>
      <c r="BB35" s="211"/>
      <c r="BC35" s="211"/>
      <c r="BD35" s="211"/>
      <c r="BE35" s="211"/>
      <c r="BF35" s="211"/>
      <c r="BG35" s="211"/>
      <c r="BH35" s="1098"/>
      <c r="BI35" s="211"/>
      <c r="BJ35" s="211"/>
      <c r="BK35" s="1098"/>
      <c r="BL35" s="1098"/>
      <c r="BM35" s="211"/>
      <c r="BN35" s="211"/>
      <c r="BO35" s="211"/>
      <c r="BP35" s="1097"/>
      <c r="BQ35" s="1097"/>
      <c r="BR35" s="1098"/>
      <c r="BS35" s="211"/>
      <c r="BT35" s="211"/>
      <c r="BU35" s="211"/>
      <c r="BV35" s="211"/>
      <c r="BW35" s="211"/>
      <c r="BX35" s="211"/>
      <c r="BY35" s="211"/>
      <c r="BZ35" s="1097">
        <v>575</v>
      </c>
      <c r="CA35" s="1098"/>
      <c r="CB35" s="211"/>
      <c r="CC35" s="211"/>
    </row>
    <row r="36" spans="1:81" x14ac:dyDescent="0.2">
      <c r="A36" s="203" t="s">
        <v>1419</v>
      </c>
      <c r="B36" s="211">
        <f t="shared" si="24"/>
        <v>-31135</v>
      </c>
      <c r="C36" s="1097"/>
      <c r="D36" s="211">
        <v>-28725</v>
      </c>
      <c r="E36" s="1411"/>
      <c r="F36" s="1411"/>
      <c r="G36" s="1411" t="s">
        <v>39</v>
      </c>
      <c r="H36" s="1411"/>
      <c r="I36" s="1411"/>
      <c r="J36" s="926"/>
      <c r="K36" s="211"/>
      <c r="L36" s="211"/>
      <c r="M36" s="211"/>
      <c r="N36" s="1097"/>
      <c r="O36" s="926"/>
      <c r="P36" s="211"/>
      <c r="Q36" s="211"/>
      <c r="R36" s="211"/>
      <c r="S36" s="211"/>
      <c r="T36" s="211"/>
      <c r="U36" s="211"/>
      <c r="V36" s="211"/>
      <c r="W36" s="211"/>
      <c r="X36" s="211"/>
      <c r="Y36" s="196"/>
      <c r="Z36" s="196"/>
      <c r="AA36" s="1097"/>
      <c r="AB36" s="1097"/>
      <c r="AC36" s="1097"/>
      <c r="AD36" s="1097"/>
      <c r="AE36" s="1097"/>
      <c r="AF36" s="1097"/>
      <c r="AG36" s="1097"/>
      <c r="AH36" s="1097"/>
      <c r="AI36" s="1097"/>
      <c r="AJ36" s="1097"/>
      <c r="AK36" s="1097">
        <v>-2410</v>
      </c>
      <c r="AL36" s="1097"/>
      <c r="AM36" s="1097"/>
      <c r="AN36" s="1097"/>
      <c r="AO36" s="1097"/>
      <c r="AP36" s="1097"/>
      <c r="AQ36" s="1097"/>
      <c r="AR36" s="1097"/>
      <c r="AS36" s="1097"/>
      <c r="AT36" s="1097"/>
      <c r="AU36" s="1097"/>
      <c r="AV36" s="1097"/>
      <c r="AW36" s="1097"/>
      <c r="AX36" s="1097"/>
      <c r="AY36" s="211"/>
      <c r="AZ36" s="211"/>
      <c r="BA36" s="211"/>
      <c r="BB36" s="211"/>
      <c r="BC36" s="211"/>
      <c r="BD36" s="211"/>
      <c r="BE36" s="211"/>
      <c r="BF36" s="211"/>
      <c r="BG36" s="211"/>
      <c r="BH36" s="1098"/>
      <c r="BI36" s="211"/>
      <c r="BJ36" s="211"/>
      <c r="BK36" s="1098"/>
      <c r="BL36" s="1098"/>
      <c r="BM36" s="211"/>
      <c r="BN36" s="211"/>
      <c r="BO36" s="211"/>
      <c r="BP36" s="1097"/>
      <c r="BQ36" s="1098"/>
      <c r="BR36" s="1098"/>
      <c r="BS36" s="211"/>
      <c r="BT36" s="211"/>
      <c r="BU36" s="211"/>
      <c r="BV36" s="211"/>
      <c r="BW36" s="211"/>
      <c r="BX36" s="211"/>
      <c r="BY36" s="211"/>
      <c r="BZ36" s="1097"/>
      <c r="CA36" s="1098"/>
      <c r="CB36" s="211"/>
      <c r="CC36" s="211"/>
    </row>
    <row r="37" spans="1:81" x14ac:dyDescent="0.2">
      <c r="A37" s="203" t="s">
        <v>92</v>
      </c>
      <c r="B37" s="211">
        <f t="shared" si="24"/>
        <v>-10462</v>
      </c>
      <c r="C37" s="1097"/>
      <c r="D37" s="211">
        <v>575</v>
      </c>
      <c r="E37" s="1411"/>
      <c r="F37" s="1411"/>
      <c r="G37" s="1411"/>
      <c r="H37" s="1411"/>
      <c r="I37" s="1411"/>
      <c r="J37" s="926"/>
      <c r="K37" s="211"/>
      <c r="L37" s="211"/>
      <c r="M37" s="211"/>
      <c r="N37" s="1097"/>
      <c r="O37" s="926"/>
      <c r="P37" s="211"/>
      <c r="Q37" s="211"/>
      <c r="R37" s="211"/>
      <c r="S37" s="211"/>
      <c r="T37" s="211"/>
      <c r="U37" s="211"/>
      <c r="V37" s="211"/>
      <c r="W37" s="211"/>
      <c r="X37" s="211"/>
      <c r="Y37" s="196"/>
      <c r="Z37" s="196"/>
      <c r="AA37" s="1097"/>
      <c r="AB37" s="1097"/>
      <c r="AC37" s="1097"/>
      <c r="AD37" s="1097">
        <v>-6384</v>
      </c>
      <c r="AE37" s="1097">
        <v>-2522</v>
      </c>
      <c r="AF37" s="1097"/>
      <c r="AG37" s="1097"/>
      <c r="AH37" s="1097"/>
      <c r="AI37" s="1097"/>
      <c r="AJ37" s="1097"/>
      <c r="AK37" s="1097"/>
      <c r="AL37" s="1097">
        <v>152</v>
      </c>
      <c r="AM37" s="1097">
        <v>-34</v>
      </c>
      <c r="AN37" s="1097">
        <v>-223</v>
      </c>
      <c r="AO37" s="1097">
        <v>-491</v>
      </c>
      <c r="AP37" s="1097">
        <v>-86</v>
      </c>
      <c r="AQ37" s="1097"/>
      <c r="AR37" s="1097"/>
      <c r="AS37" s="1097"/>
      <c r="AT37" s="1097"/>
      <c r="AU37" s="1097"/>
      <c r="AV37" s="1097"/>
      <c r="AW37" s="1097">
        <v>-817</v>
      </c>
      <c r="AX37" s="1097"/>
      <c r="AY37" s="211"/>
      <c r="AZ37" s="211"/>
      <c r="BA37" s="211"/>
      <c r="BB37" s="211"/>
      <c r="BC37" s="211"/>
      <c r="BD37" s="211"/>
      <c r="BE37" s="211"/>
      <c r="BF37" s="211"/>
      <c r="BG37" s="211"/>
      <c r="BH37" s="1098"/>
      <c r="BI37" s="211"/>
      <c r="BJ37" s="211"/>
      <c r="BK37" s="1098">
        <v>-2</v>
      </c>
      <c r="BL37" s="1098"/>
      <c r="BM37" s="211"/>
      <c r="BN37" s="211"/>
      <c r="BO37" s="211"/>
      <c r="BP37" s="1097"/>
      <c r="BQ37" s="211"/>
      <c r="BR37" s="1098">
        <v>-630</v>
      </c>
      <c r="BS37" s="211"/>
      <c r="BT37" s="211"/>
      <c r="BU37" s="211"/>
      <c r="BV37" s="211"/>
      <c r="BW37" s="211"/>
      <c r="BX37" s="211"/>
      <c r="BY37" s="211"/>
      <c r="BZ37" s="211"/>
      <c r="CA37" s="1098"/>
      <c r="CB37" s="211"/>
      <c r="CC37" s="211"/>
    </row>
    <row r="38" spans="1:81" x14ac:dyDescent="0.2">
      <c r="A38" s="203" t="s">
        <v>1597</v>
      </c>
      <c r="B38" s="211">
        <f t="shared" si="24"/>
        <v>15225</v>
      </c>
      <c r="C38" s="1097">
        <v>-167</v>
      </c>
      <c r="D38" s="211"/>
      <c r="E38" s="1411">
        <v>61</v>
      </c>
      <c r="F38" s="1411">
        <v>-112</v>
      </c>
      <c r="G38" s="1411"/>
      <c r="H38" s="1411"/>
      <c r="I38" s="1411"/>
      <c r="J38" s="926"/>
      <c r="K38" s="211"/>
      <c r="L38" s="211"/>
      <c r="M38" s="211"/>
      <c r="N38" s="1097">
        <v>-143</v>
      </c>
      <c r="O38" s="926">
        <v>-132</v>
      </c>
      <c r="P38" s="211"/>
      <c r="Q38" s="211"/>
      <c r="R38" s="211"/>
      <c r="S38" s="211"/>
      <c r="T38" s="211"/>
      <c r="U38" s="211">
        <v>-102</v>
      </c>
      <c r="V38" s="211"/>
      <c r="W38" s="211"/>
      <c r="X38" s="211"/>
      <c r="Y38" s="196"/>
      <c r="Z38" s="196"/>
      <c r="AA38" s="1097"/>
      <c r="AB38" s="1097"/>
      <c r="AC38" s="1097"/>
      <c r="AD38" s="1097"/>
      <c r="AE38" s="1097"/>
      <c r="AF38" s="1097"/>
      <c r="AG38" s="1097"/>
      <c r="AH38" s="1097"/>
      <c r="AI38" s="1097"/>
      <c r="AJ38" s="1097"/>
      <c r="AK38" s="1097"/>
      <c r="AL38" s="1097"/>
      <c r="AM38" s="1097"/>
      <c r="AN38" s="1097"/>
      <c r="AO38" s="1097"/>
      <c r="AP38" s="1097"/>
      <c r="AQ38" s="1097"/>
      <c r="AR38" s="1097"/>
      <c r="AS38" s="1097"/>
      <c r="AT38" s="1097"/>
      <c r="AU38" s="1097"/>
      <c r="AV38" s="1097"/>
      <c r="AW38" s="1097"/>
      <c r="AX38" s="1097"/>
      <c r="AY38" s="211"/>
      <c r="AZ38" s="211"/>
      <c r="BA38" s="211"/>
      <c r="BB38" s="211"/>
      <c r="BC38" s="211"/>
      <c r="BD38" s="211"/>
      <c r="BE38" s="211"/>
      <c r="BF38" s="211"/>
      <c r="BG38" s="211"/>
      <c r="BH38" s="1098"/>
      <c r="BI38" s="211"/>
      <c r="BJ38" s="211">
        <v>-46</v>
      </c>
      <c r="BK38" s="1098"/>
      <c r="BL38" s="1098"/>
      <c r="BM38" s="211"/>
      <c r="BN38" s="211"/>
      <c r="BO38" s="211"/>
      <c r="BP38" s="1097"/>
      <c r="BQ38" s="211">
        <v>15866</v>
      </c>
      <c r="BR38" s="1098"/>
      <c r="BS38" s="211"/>
      <c r="BT38" s="211"/>
      <c r="BU38" s="211"/>
      <c r="BV38" s="211"/>
      <c r="BW38" s="211"/>
      <c r="BX38" s="211"/>
      <c r="BY38" s="211"/>
      <c r="BZ38" s="211"/>
      <c r="CA38" s="1098"/>
      <c r="CB38" s="211"/>
      <c r="CC38" s="211"/>
    </row>
    <row r="39" spans="1:81" ht="12.4" customHeight="1" x14ac:dyDescent="0.2">
      <c r="A39" s="203" t="s">
        <v>1643</v>
      </c>
      <c r="B39" s="211">
        <f t="shared" si="24"/>
        <v>-1692</v>
      </c>
      <c r="C39" s="1097">
        <v>-2379</v>
      </c>
      <c r="D39" s="211"/>
      <c r="E39" s="1411"/>
      <c r="F39" s="1411">
        <v>-20</v>
      </c>
      <c r="G39" s="1411"/>
      <c r="H39" s="1411">
        <f>2</f>
        <v>2</v>
      </c>
      <c r="I39" s="1411"/>
      <c r="J39" s="926"/>
      <c r="K39" s="211"/>
      <c r="L39" s="211"/>
      <c r="M39" s="211"/>
      <c r="N39" s="1097">
        <v>137</v>
      </c>
      <c r="O39" s="926"/>
      <c r="P39" s="211"/>
      <c r="Q39" s="211"/>
      <c r="R39" s="211"/>
      <c r="S39" s="211"/>
      <c r="T39" s="211"/>
      <c r="U39" s="211"/>
      <c r="V39" s="211"/>
      <c r="W39" s="211">
        <v>-7</v>
      </c>
      <c r="X39" s="211"/>
      <c r="Y39" s="196"/>
      <c r="Z39" s="196"/>
      <c r="AA39" s="1097"/>
      <c r="AB39" s="1097"/>
      <c r="AC39" s="1097"/>
      <c r="AD39" s="1097"/>
      <c r="AE39" s="1097"/>
      <c r="AF39" s="1097"/>
      <c r="AG39" s="1097"/>
      <c r="AH39" s="1097"/>
      <c r="AI39" s="1097"/>
      <c r="AJ39" s="1097"/>
      <c r="AK39" s="1097"/>
      <c r="AL39" s="1097"/>
      <c r="AM39" s="1097"/>
      <c r="AN39" s="1097"/>
      <c r="AO39" s="1097"/>
      <c r="AP39" s="1097"/>
      <c r="AQ39" s="1097"/>
      <c r="AR39" s="1097"/>
      <c r="AS39" s="1097"/>
      <c r="AT39" s="1097"/>
      <c r="AU39" s="1097"/>
      <c r="AV39" s="1097"/>
      <c r="AW39" s="1097"/>
      <c r="AX39" s="1097"/>
      <c r="AY39" s="211"/>
      <c r="AZ39" s="211"/>
      <c r="BA39" s="211"/>
      <c r="BB39" s="211"/>
      <c r="BC39" s="211"/>
      <c r="BD39" s="211"/>
      <c r="BE39" s="211"/>
      <c r="BF39" s="211"/>
      <c r="BG39" s="211"/>
      <c r="BH39" s="1098"/>
      <c r="BI39" s="211"/>
      <c r="BJ39" s="211"/>
      <c r="BK39" s="211"/>
      <c r="BL39" s="211"/>
      <c r="BM39" s="211"/>
      <c r="BN39" s="211"/>
      <c r="BO39" s="211"/>
      <c r="BP39" s="1097">
        <v>-209</v>
      </c>
      <c r="BQ39" s="211">
        <v>784</v>
      </c>
      <c r="BR39" s="211"/>
      <c r="BS39" s="211"/>
      <c r="BT39" s="211"/>
      <c r="BU39" s="211"/>
      <c r="BV39" s="211"/>
      <c r="BW39" s="211"/>
      <c r="BX39" s="211"/>
      <c r="BY39" s="211"/>
      <c r="BZ39" s="211"/>
      <c r="CA39" s="1098"/>
      <c r="CB39" s="211"/>
      <c r="CC39" s="211"/>
    </row>
    <row r="40" spans="1:81" x14ac:dyDescent="0.2">
      <c r="A40" s="203" t="s">
        <v>1165</v>
      </c>
      <c r="B40" s="211">
        <f t="shared" si="24"/>
        <v>0</v>
      </c>
      <c r="C40" s="1098"/>
      <c r="D40" s="211"/>
      <c r="E40" s="926"/>
      <c r="F40" s="926"/>
      <c r="G40" s="926"/>
      <c r="H40" s="926"/>
      <c r="I40" s="926"/>
      <c r="J40" s="926"/>
      <c r="K40" s="211"/>
      <c r="L40" s="211"/>
      <c r="M40" s="211"/>
      <c r="N40" s="211"/>
      <c r="O40" s="926"/>
      <c r="P40" s="211"/>
      <c r="Q40" s="211"/>
      <c r="R40" s="211"/>
      <c r="S40" s="211"/>
      <c r="T40" s="211"/>
      <c r="U40" s="211"/>
      <c r="V40" s="211"/>
      <c r="W40" s="211"/>
      <c r="X40" s="211"/>
      <c r="Y40" s="196"/>
      <c r="Z40" s="196"/>
      <c r="AA40" s="1097"/>
      <c r="AB40" s="1097"/>
      <c r="AC40" s="1097"/>
      <c r="AD40" s="1097"/>
      <c r="AE40" s="1097"/>
      <c r="AF40" s="1097"/>
      <c r="AG40" s="1097"/>
      <c r="AH40" s="1097"/>
      <c r="AI40" s="1097"/>
      <c r="AJ40" s="1097"/>
      <c r="AK40" s="1097"/>
      <c r="AL40" s="1097"/>
      <c r="AM40" s="1097"/>
      <c r="AN40" s="1097"/>
      <c r="AO40" s="1097"/>
      <c r="AP40" s="1097"/>
      <c r="AQ40" s="1097"/>
      <c r="AR40" s="1097"/>
      <c r="AS40" s="1097"/>
      <c r="AT40" s="1097"/>
      <c r="AU40" s="1097"/>
      <c r="AV40" s="1097"/>
      <c r="AW40" s="1097"/>
      <c r="AX40" s="1097"/>
      <c r="AY40" s="211"/>
      <c r="AZ40" s="211"/>
      <c r="BA40" s="211"/>
      <c r="BB40" s="211"/>
      <c r="BC40" s="211"/>
      <c r="BD40" s="211"/>
      <c r="BE40" s="211"/>
      <c r="BF40" s="211"/>
      <c r="BG40" s="211"/>
      <c r="BH40" s="1098"/>
      <c r="BI40" s="211"/>
      <c r="BJ40" s="211"/>
      <c r="BK40" s="211"/>
      <c r="BL40" s="211"/>
      <c r="BM40" s="211"/>
      <c r="BN40" s="211"/>
      <c r="BO40" s="211"/>
      <c r="BP40" s="1097"/>
      <c r="BQ40" s="211"/>
      <c r="BR40" s="211"/>
      <c r="BS40" s="211"/>
      <c r="BT40" s="211"/>
      <c r="BU40" s="211"/>
      <c r="BV40" s="211"/>
      <c r="BW40" s="211"/>
      <c r="BX40" s="211"/>
      <c r="BY40" s="211"/>
      <c r="BZ40" s="211"/>
      <c r="CA40" s="1098"/>
      <c r="CB40" s="211"/>
      <c r="CC40" s="211"/>
    </row>
    <row r="41" spans="1:81" x14ac:dyDescent="0.2">
      <c r="A41" s="547" t="s">
        <v>520</v>
      </c>
      <c r="B41" s="388">
        <f t="shared" ref="B41:AG41" si="25">SUM(B31:B40)</f>
        <v>-72885</v>
      </c>
      <c r="C41" s="1103">
        <f t="shared" si="25"/>
        <v>-2562</v>
      </c>
      <c r="D41" s="388">
        <f t="shared" si="25"/>
        <v>-30768</v>
      </c>
      <c r="E41" s="388">
        <f t="shared" si="25"/>
        <v>61</v>
      </c>
      <c r="F41" s="388">
        <f t="shared" si="25"/>
        <v>-132</v>
      </c>
      <c r="G41" s="388">
        <f t="shared" si="25"/>
        <v>0</v>
      </c>
      <c r="H41" s="388">
        <f t="shared" si="25"/>
        <v>2</v>
      </c>
      <c r="I41" s="388">
        <f t="shared" si="25"/>
        <v>0</v>
      </c>
      <c r="J41" s="388">
        <f t="shared" si="25"/>
        <v>0</v>
      </c>
      <c r="K41" s="388">
        <f t="shared" si="25"/>
        <v>0</v>
      </c>
      <c r="L41" s="388">
        <f t="shared" si="25"/>
        <v>0</v>
      </c>
      <c r="M41" s="388">
        <f t="shared" si="25"/>
        <v>0</v>
      </c>
      <c r="N41" s="388">
        <f t="shared" si="25"/>
        <v>-5</v>
      </c>
      <c r="O41" s="388">
        <f t="shared" si="25"/>
        <v>-67</v>
      </c>
      <c r="P41" s="388">
        <f t="shared" si="25"/>
        <v>0</v>
      </c>
      <c r="Q41" s="388">
        <f t="shared" si="25"/>
        <v>0</v>
      </c>
      <c r="R41" s="388">
        <f t="shared" si="25"/>
        <v>0</v>
      </c>
      <c r="S41" s="388">
        <f t="shared" si="25"/>
        <v>0</v>
      </c>
      <c r="T41" s="388">
        <f t="shared" si="25"/>
        <v>0</v>
      </c>
      <c r="U41" s="388">
        <f t="shared" si="25"/>
        <v>-102</v>
      </c>
      <c r="V41" s="388">
        <f t="shared" si="25"/>
        <v>0</v>
      </c>
      <c r="W41" s="388">
        <f t="shared" si="25"/>
        <v>-7</v>
      </c>
      <c r="X41" s="388">
        <f t="shared" si="25"/>
        <v>0</v>
      </c>
      <c r="Y41" s="777">
        <f t="shared" si="25"/>
        <v>0</v>
      </c>
      <c r="Z41" s="777">
        <f t="shared" si="25"/>
        <v>0</v>
      </c>
      <c r="AA41" s="777">
        <f t="shared" si="25"/>
        <v>0</v>
      </c>
      <c r="AB41" s="1142">
        <f t="shared" si="25"/>
        <v>0</v>
      </c>
      <c r="AC41" s="1142">
        <f t="shared" si="25"/>
        <v>0</v>
      </c>
      <c r="AD41" s="1142">
        <f t="shared" si="25"/>
        <v>-6384</v>
      </c>
      <c r="AE41" s="1142">
        <f t="shared" si="25"/>
        <v>-2522</v>
      </c>
      <c r="AF41" s="1142">
        <f t="shared" si="25"/>
        <v>-71</v>
      </c>
      <c r="AG41" s="1142">
        <f t="shared" si="25"/>
        <v>0</v>
      </c>
      <c r="AH41" s="1142">
        <f t="shared" ref="AH41:BO41" si="26">SUM(AH31:AH40)</f>
        <v>0</v>
      </c>
      <c r="AI41" s="1142">
        <f t="shared" si="26"/>
        <v>0</v>
      </c>
      <c r="AJ41" s="1142">
        <f t="shared" si="26"/>
        <v>0</v>
      </c>
      <c r="AK41" s="1142">
        <f t="shared" si="26"/>
        <v>-2410</v>
      </c>
      <c r="AL41" s="1142">
        <f t="shared" si="26"/>
        <v>152</v>
      </c>
      <c r="AM41" s="1142">
        <f t="shared" si="26"/>
        <v>-34</v>
      </c>
      <c r="AN41" s="1142">
        <f t="shared" si="26"/>
        <v>-223</v>
      </c>
      <c r="AO41" s="1142">
        <f t="shared" si="26"/>
        <v>-491</v>
      </c>
      <c r="AP41" s="1142">
        <f t="shared" si="26"/>
        <v>-86</v>
      </c>
      <c r="AQ41" s="1142">
        <f t="shared" ref="AQ41" si="27">SUM(AQ31:AQ40)</f>
        <v>0</v>
      </c>
      <c r="AR41" s="1142">
        <f t="shared" si="26"/>
        <v>-387</v>
      </c>
      <c r="AS41" s="1142">
        <f t="shared" si="26"/>
        <v>0</v>
      </c>
      <c r="AT41" s="1142">
        <f t="shared" si="26"/>
        <v>4914</v>
      </c>
      <c r="AU41" s="1142">
        <f t="shared" si="26"/>
        <v>0</v>
      </c>
      <c r="AV41" s="1142">
        <f t="shared" si="26"/>
        <v>0</v>
      </c>
      <c r="AW41" s="1142">
        <f t="shared" si="26"/>
        <v>-817</v>
      </c>
      <c r="AX41" s="1142">
        <f t="shared" si="26"/>
        <v>0</v>
      </c>
      <c r="AY41" s="388">
        <f t="shared" si="26"/>
        <v>0</v>
      </c>
      <c r="AZ41" s="388">
        <f t="shared" si="26"/>
        <v>0</v>
      </c>
      <c r="BA41" s="388">
        <f t="shared" si="26"/>
        <v>0</v>
      </c>
      <c r="BB41" s="388">
        <f t="shared" si="26"/>
        <v>0</v>
      </c>
      <c r="BC41" s="388">
        <f t="shared" si="26"/>
        <v>0</v>
      </c>
      <c r="BD41" s="388">
        <f t="shared" si="26"/>
        <v>0</v>
      </c>
      <c r="BE41" s="388">
        <f t="shared" si="26"/>
        <v>0</v>
      </c>
      <c r="BF41" s="388">
        <f t="shared" si="26"/>
        <v>-77</v>
      </c>
      <c r="BG41" s="388">
        <f t="shared" si="26"/>
        <v>0</v>
      </c>
      <c r="BH41" s="388">
        <f t="shared" si="26"/>
        <v>0</v>
      </c>
      <c r="BI41" s="388">
        <f t="shared" si="26"/>
        <v>0</v>
      </c>
      <c r="BJ41" s="388">
        <f t="shared" si="26"/>
        <v>-46</v>
      </c>
      <c r="BK41" s="388">
        <f t="shared" si="26"/>
        <v>43</v>
      </c>
      <c r="BL41" s="388">
        <f t="shared" si="26"/>
        <v>5</v>
      </c>
      <c r="BM41" s="388">
        <f t="shared" si="26"/>
        <v>0</v>
      </c>
      <c r="BN41" s="388">
        <f t="shared" si="26"/>
        <v>0</v>
      </c>
      <c r="BO41" s="388">
        <f t="shared" si="26"/>
        <v>0</v>
      </c>
      <c r="BP41" s="388">
        <f t="shared" ref="BP41:CB41" si="28">SUM(BP31:BP40)</f>
        <v>-209</v>
      </c>
      <c r="BQ41" s="388">
        <f t="shared" si="28"/>
        <v>16650</v>
      </c>
      <c r="BR41" s="388">
        <f t="shared" si="28"/>
        <v>-623</v>
      </c>
      <c r="BS41" s="388">
        <f t="shared" si="28"/>
        <v>0</v>
      </c>
      <c r="BT41" s="388">
        <f t="shared" si="28"/>
        <v>0</v>
      </c>
      <c r="BU41" s="388">
        <f t="shared" si="28"/>
        <v>0</v>
      </c>
      <c r="BV41" s="388">
        <f t="shared" si="28"/>
        <v>0</v>
      </c>
      <c r="BW41" s="388">
        <f t="shared" si="28"/>
        <v>0</v>
      </c>
      <c r="BX41" s="388">
        <f t="shared" si="28"/>
        <v>0</v>
      </c>
      <c r="BY41" s="388">
        <f t="shared" si="28"/>
        <v>0</v>
      </c>
      <c r="BZ41" s="388">
        <f t="shared" si="28"/>
        <v>-46689</v>
      </c>
      <c r="CA41" s="388">
        <f t="shared" si="28"/>
        <v>0</v>
      </c>
      <c r="CB41" s="388">
        <f t="shared" si="28"/>
        <v>0</v>
      </c>
      <c r="CC41" s="211"/>
    </row>
    <row r="42" spans="1:81" x14ac:dyDescent="0.2">
      <c r="B42" s="211"/>
      <c r="C42" s="211"/>
      <c r="D42" s="211"/>
      <c r="E42" s="926"/>
      <c r="F42" s="926"/>
      <c r="G42" s="926"/>
      <c r="H42" s="926"/>
      <c r="I42" s="926"/>
      <c r="J42" s="926"/>
      <c r="K42" s="211"/>
      <c r="L42" s="211"/>
      <c r="M42" s="211"/>
      <c r="N42" s="211"/>
      <c r="O42" s="211"/>
      <c r="P42" s="211"/>
      <c r="Q42" s="211"/>
      <c r="R42" s="211"/>
      <c r="S42" s="211"/>
      <c r="T42" s="211"/>
      <c r="U42" s="211"/>
      <c r="V42" s="211"/>
      <c r="W42" s="211"/>
      <c r="X42" s="211"/>
      <c r="Y42" s="196"/>
      <c r="Z42" s="196"/>
      <c r="AA42" s="196"/>
      <c r="AB42" s="1097"/>
      <c r="AC42" s="1097"/>
      <c r="AD42" s="1097"/>
      <c r="AE42" s="1097"/>
      <c r="AF42" s="1097"/>
      <c r="AG42" s="1097"/>
      <c r="AH42" s="1097"/>
      <c r="AI42" s="1097"/>
      <c r="AJ42" s="1097"/>
      <c r="AK42" s="1097"/>
      <c r="AL42" s="1097"/>
      <c r="AM42" s="1097"/>
      <c r="AN42" s="1097"/>
      <c r="AO42" s="1097"/>
      <c r="AP42" s="1097"/>
      <c r="AQ42" s="1097"/>
      <c r="AR42" s="1097"/>
      <c r="AS42" s="1097"/>
      <c r="AT42" s="1097"/>
      <c r="AU42" s="1097"/>
      <c r="AV42" s="1097"/>
      <c r="AW42" s="1097"/>
      <c r="AX42" s="1097"/>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row>
    <row r="43" spans="1:81" x14ac:dyDescent="0.2">
      <c r="A43" s="547" t="s">
        <v>599</v>
      </c>
      <c r="B43" s="211">
        <f>SUM(C43:CB43)</f>
        <v>33023</v>
      </c>
      <c r="C43" s="211"/>
      <c r="D43" s="211"/>
      <c r="E43" s="211"/>
      <c r="F43" s="211"/>
      <c r="G43" s="211"/>
      <c r="H43" s="211"/>
      <c r="I43" s="211"/>
      <c r="J43" s="211"/>
      <c r="K43" s="211"/>
      <c r="L43" s="211"/>
      <c r="M43" s="211"/>
      <c r="N43" s="211"/>
      <c r="O43" s="211"/>
      <c r="P43" s="211"/>
      <c r="Q43" s="211"/>
      <c r="R43" s="211"/>
      <c r="S43" s="211"/>
      <c r="T43" s="211"/>
      <c r="U43" s="211"/>
      <c r="V43" s="211"/>
      <c r="W43" s="211"/>
      <c r="X43" s="211"/>
      <c r="Y43" s="196"/>
      <c r="Z43" s="196"/>
      <c r="AA43" s="196"/>
      <c r="AB43" s="1097"/>
      <c r="AC43" s="1097"/>
      <c r="AD43" s="1097"/>
      <c r="AE43" s="1097"/>
      <c r="AF43" s="1097"/>
      <c r="AG43" s="1097"/>
      <c r="AH43" s="1097"/>
      <c r="AI43" s="1097"/>
      <c r="AJ43" s="1097"/>
      <c r="AK43" s="1097"/>
      <c r="AL43" s="1097"/>
      <c r="AM43" s="1097"/>
      <c r="AN43" s="1097"/>
      <c r="AO43" s="1097"/>
      <c r="AP43" s="1097"/>
      <c r="AQ43" s="1097"/>
      <c r="AR43" s="1097"/>
      <c r="AS43" s="1097"/>
      <c r="AT43" s="1097"/>
      <c r="AU43" s="1097"/>
      <c r="AV43" s="1097"/>
      <c r="AW43" s="1097"/>
      <c r="AX43" s="1097"/>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f>SOAws!BT81</f>
        <v>7252</v>
      </c>
      <c r="BU43" s="211">
        <f>SOAws!BU81</f>
        <v>480</v>
      </c>
      <c r="BV43" s="211">
        <f>SOAws!BV81</f>
        <v>6344</v>
      </c>
      <c r="BW43" s="211">
        <f>SOAws!BW81</f>
        <v>907</v>
      </c>
      <c r="BX43" s="211">
        <f>SOAws!BX81</f>
        <v>17658</v>
      </c>
      <c r="BY43" s="211">
        <f>SOAws!BY81</f>
        <v>382</v>
      </c>
      <c r="BZ43" s="211"/>
      <c r="CA43" s="211"/>
      <c r="CB43" s="211"/>
      <c r="CC43" s="211"/>
    </row>
    <row r="44" spans="1:81" x14ac:dyDescent="0.2">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row>
    <row r="45" spans="1:81" ht="13.5" thickBot="1" x14ac:dyDescent="0.25">
      <c r="A45" s="193" t="s">
        <v>46</v>
      </c>
      <c r="B45" s="559">
        <f t="shared" ref="B45:AG45" si="29">+B3+B11+B17+B28+B41+B43+B19+B15</f>
        <v>171826</v>
      </c>
      <c r="C45" s="559">
        <f t="shared" si="29"/>
        <v>5347</v>
      </c>
      <c r="D45" s="559">
        <f t="shared" si="29"/>
        <v>202848</v>
      </c>
      <c r="E45" s="559">
        <f t="shared" si="29"/>
        <v>112133</v>
      </c>
      <c r="F45" s="559">
        <f t="shared" si="29"/>
        <v>-132</v>
      </c>
      <c r="G45" s="559">
        <f t="shared" si="29"/>
        <v>977</v>
      </c>
      <c r="H45" s="559">
        <f t="shared" si="29"/>
        <v>343</v>
      </c>
      <c r="I45" s="559">
        <f t="shared" si="29"/>
        <v>878</v>
      </c>
      <c r="J45" s="559">
        <f t="shared" si="29"/>
        <v>0</v>
      </c>
      <c r="K45" s="559">
        <f t="shared" si="29"/>
        <v>2331</v>
      </c>
      <c r="L45" s="559">
        <f t="shared" si="29"/>
        <v>0</v>
      </c>
      <c r="M45" s="559">
        <f t="shared" si="29"/>
        <v>0</v>
      </c>
      <c r="N45" s="559">
        <f t="shared" si="29"/>
        <v>11664</v>
      </c>
      <c r="O45" s="559">
        <f t="shared" si="29"/>
        <v>-3162</v>
      </c>
      <c r="P45" s="559">
        <f t="shared" si="29"/>
        <v>1146</v>
      </c>
      <c r="Q45" s="559">
        <f t="shared" si="29"/>
        <v>-6718</v>
      </c>
      <c r="R45" s="559">
        <f t="shared" si="29"/>
        <v>0</v>
      </c>
      <c r="S45" s="559">
        <f t="shared" si="29"/>
        <v>0</v>
      </c>
      <c r="T45" s="559">
        <f t="shared" si="29"/>
        <v>-168</v>
      </c>
      <c r="U45" s="559">
        <f t="shared" si="29"/>
        <v>1111</v>
      </c>
      <c r="V45" s="559">
        <f t="shared" si="29"/>
        <v>288</v>
      </c>
      <c r="W45" s="559">
        <f t="shared" si="29"/>
        <v>-7126</v>
      </c>
      <c r="X45" s="559">
        <f t="shared" si="29"/>
        <v>2757</v>
      </c>
      <c r="Y45" s="559">
        <f t="shared" si="29"/>
        <v>0</v>
      </c>
      <c r="Z45" s="559">
        <f t="shared" si="29"/>
        <v>0</v>
      </c>
      <c r="AA45" s="559">
        <f t="shared" si="29"/>
        <v>0</v>
      </c>
      <c r="AB45" s="559">
        <f t="shared" si="29"/>
        <v>-1965</v>
      </c>
      <c r="AC45" s="559">
        <f t="shared" si="29"/>
        <v>-866</v>
      </c>
      <c r="AD45" s="559">
        <f t="shared" si="29"/>
        <v>-43954</v>
      </c>
      <c r="AE45" s="559">
        <f t="shared" si="29"/>
        <v>-124712</v>
      </c>
      <c r="AF45" s="559">
        <f t="shared" si="29"/>
        <v>-2634</v>
      </c>
      <c r="AG45" s="559">
        <f t="shared" si="29"/>
        <v>0</v>
      </c>
      <c r="AH45" s="559">
        <f t="shared" ref="AH45:BO45" si="30">+AH3+AH11+AH17+AH28+AH41+AH43+AH19+AH15</f>
        <v>0</v>
      </c>
      <c r="AI45" s="559">
        <f t="shared" si="30"/>
        <v>0</v>
      </c>
      <c r="AJ45" s="559">
        <f t="shared" si="30"/>
        <v>0</v>
      </c>
      <c r="AK45" s="559">
        <f t="shared" si="30"/>
        <v>-18321</v>
      </c>
      <c r="AL45" s="559">
        <f t="shared" si="30"/>
        <v>-1108</v>
      </c>
      <c r="AM45" s="559">
        <f t="shared" si="30"/>
        <v>-5476</v>
      </c>
      <c r="AN45" s="559">
        <f t="shared" si="30"/>
        <v>-13549</v>
      </c>
      <c r="AO45" s="559">
        <f t="shared" si="30"/>
        <v>-6021</v>
      </c>
      <c r="AP45" s="559">
        <f t="shared" ref="AP45:AQ45" si="31">+AP3+AP11+AP17+AP28+AP41+AP43+AP19+AP15</f>
        <v>-4303</v>
      </c>
      <c r="AQ45" s="559">
        <f t="shared" si="31"/>
        <v>-74342</v>
      </c>
      <c r="AR45" s="559">
        <f t="shared" si="30"/>
        <v>-886</v>
      </c>
      <c r="AS45" s="559">
        <f t="shared" si="30"/>
        <v>0</v>
      </c>
      <c r="AT45" s="559">
        <f t="shared" si="30"/>
        <v>-5656</v>
      </c>
      <c r="AU45" s="559">
        <f t="shared" si="30"/>
        <v>-187</v>
      </c>
      <c r="AV45" s="559">
        <f t="shared" si="30"/>
        <v>0</v>
      </c>
      <c r="AW45" s="559">
        <f t="shared" si="30"/>
        <v>-46278</v>
      </c>
      <c r="AX45" s="559">
        <f t="shared" si="30"/>
        <v>0</v>
      </c>
      <c r="AY45" s="559">
        <f t="shared" si="30"/>
        <v>12</v>
      </c>
      <c r="AZ45" s="559">
        <f t="shared" si="30"/>
        <v>239</v>
      </c>
      <c r="BA45" s="559">
        <f t="shared" si="30"/>
        <v>9</v>
      </c>
      <c r="BB45" s="559">
        <f t="shared" si="30"/>
        <v>15</v>
      </c>
      <c r="BC45" s="559">
        <f t="shared" si="30"/>
        <v>78</v>
      </c>
      <c r="BD45" s="559">
        <f t="shared" si="30"/>
        <v>0</v>
      </c>
      <c r="BE45" s="559">
        <f t="shared" si="30"/>
        <v>26</v>
      </c>
      <c r="BF45" s="559">
        <f t="shared" si="30"/>
        <v>72</v>
      </c>
      <c r="BG45" s="559">
        <f t="shared" si="30"/>
        <v>0</v>
      </c>
      <c r="BH45" s="559">
        <f t="shared" si="30"/>
        <v>-347</v>
      </c>
      <c r="BI45" s="559">
        <f t="shared" si="30"/>
        <v>0</v>
      </c>
      <c r="BJ45" s="559">
        <f t="shared" si="30"/>
        <v>1102</v>
      </c>
      <c r="BK45" s="559">
        <f t="shared" si="30"/>
        <v>-10086</v>
      </c>
      <c r="BL45" s="559">
        <f t="shared" si="30"/>
        <v>1045</v>
      </c>
      <c r="BM45" s="559">
        <f t="shared" si="30"/>
        <v>-82</v>
      </c>
      <c r="BN45" s="559">
        <f t="shared" si="30"/>
        <v>0</v>
      </c>
      <c r="BO45" s="559">
        <f t="shared" si="30"/>
        <v>0</v>
      </c>
      <c r="BP45" s="559">
        <f t="shared" ref="BP45:CB45" si="32">+BP3+BP11+BP17+BP28+BP41+BP43+BP19+BP15</f>
        <v>564</v>
      </c>
      <c r="BQ45" s="559">
        <f t="shared" si="32"/>
        <v>24260</v>
      </c>
      <c r="BR45" s="559">
        <f t="shared" si="32"/>
        <v>7044</v>
      </c>
      <c r="BS45" s="559">
        <f t="shared" si="32"/>
        <v>-2380</v>
      </c>
      <c r="BT45" s="559">
        <f t="shared" si="32"/>
        <v>7252</v>
      </c>
      <c r="BU45" s="559">
        <f t="shared" si="32"/>
        <v>480</v>
      </c>
      <c r="BV45" s="559">
        <f t="shared" si="32"/>
        <v>6344</v>
      </c>
      <c r="BW45" s="559">
        <f t="shared" si="32"/>
        <v>907</v>
      </c>
      <c r="BX45" s="559">
        <f t="shared" si="32"/>
        <v>17658</v>
      </c>
      <c r="BY45" s="559">
        <f t="shared" si="32"/>
        <v>382</v>
      </c>
      <c r="BZ45" s="559">
        <f t="shared" si="32"/>
        <v>-46689</v>
      </c>
      <c r="CA45" s="559">
        <f t="shared" si="32"/>
        <v>189662</v>
      </c>
      <c r="CB45" s="559">
        <f t="shared" si="32"/>
        <v>0</v>
      </c>
      <c r="CC45" s="211"/>
    </row>
    <row r="46" spans="1:81" ht="13.5" thickTop="1" x14ac:dyDescent="0.2">
      <c r="A46" s="193"/>
      <c r="B46" s="774"/>
      <c r="C46" s="774"/>
      <c r="D46" s="774"/>
      <c r="E46" s="774"/>
      <c r="F46" s="774"/>
      <c r="G46" s="774"/>
      <c r="H46" s="774"/>
      <c r="I46" s="774"/>
      <c r="J46" s="774"/>
      <c r="K46" s="774"/>
      <c r="L46" s="774"/>
      <c r="M46" s="774"/>
      <c r="N46" s="774"/>
      <c r="O46" s="774"/>
      <c r="P46" s="774"/>
      <c r="Q46" s="774"/>
      <c r="R46" s="774"/>
      <c r="S46" s="774"/>
      <c r="T46" s="774"/>
      <c r="U46" s="774"/>
      <c r="V46" s="774"/>
      <c r="W46" s="774"/>
      <c r="X46" s="774"/>
      <c r="Y46" s="774"/>
      <c r="Z46" s="774"/>
      <c r="AA46" s="774"/>
      <c r="AB46" s="774"/>
      <c r="AC46" s="774"/>
      <c r="AD46" s="774"/>
      <c r="AE46" s="774"/>
      <c r="AF46" s="774"/>
      <c r="AG46" s="774"/>
      <c r="AH46" s="774"/>
      <c r="AI46" s="774"/>
      <c r="AJ46" s="774"/>
      <c r="AK46" s="774"/>
      <c r="AL46" s="774"/>
      <c r="AM46" s="774"/>
      <c r="AN46" s="774"/>
      <c r="AO46" s="774"/>
      <c r="AP46" s="774"/>
      <c r="AQ46" s="774"/>
      <c r="AR46" s="774"/>
      <c r="AS46" s="774"/>
      <c r="AT46" s="774"/>
      <c r="AU46" s="774"/>
      <c r="AV46" s="774"/>
      <c r="AW46" s="774"/>
      <c r="AX46" s="774"/>
      <c r="AY46" s="774"/>
      <c r="AZ46" s="774"/>
      <c r="BA46" s="774"/>
      <c r="BB46" s="774"/>
      <c r="BC46" s="774"/>
      <c r="BD46" s="774"/>
      <c r="BE46" s="774"/>
      <c r="BF46" s="774"/>
      <c r="BG46" s="774"/>
      <c r="BH46" s="774"/>
      <c r="BI46" s="774"/>
      <c r="BJ46" s="774"/>
      <c r="BK46" s="774"/>
      <c r="BL46" s="774"/>
      <c r="BM46" s="774"/>
      <c r="BN46" s="774"/>
      <c r="BO46" s="774"/>
      <c r="BP46" s="774"/>
      <c r="BQ46" s="774"/>
      <c r="BR46" s="774"/>
      <c r="BS46" s="774"/>
      <c r="BT46" s="774"/>
      <c r="BU46" s="774"/>
      <c r="BV46" s="774"/>
      <c r="BW46" s="774"/>
      <c r="BX46" s="774"/>
      <c r="BY46" s="774"/>
      <c r="BZ46" s="774"/>
      <c r="CA46" s="774"/>
      <c r="CB46" s="774"/>
      <c r="CC46" s="211"/>
    </row>
    <row r="48" spans="1:81" s="658" customFormat="1" ht="12" x14ac:dyDescent="0.2">
      <c r="A48" s="441" t="s">
        <v>297</v>
      </c>
      <c r="B48" s="420">
        <f>+SOAws!B81-'recon-SOAws'!B45</f>
        <v>0</v>
      </c>
      <c r="C48" s="420">
        <f>+SOAws!C81-'recon-SOAws'!C45</f>
        <v>0</v>
      </c>
      <c r="D48" s="420">
        <f>+SOAws!D81-'recon-SOAws'!D45</f>
        <v>0</v>
      </c>
      <c r="E48" s="420">
        <f>+[3]SOAws!E81-'[3]recon-SOAws'!E45</f>
        <v>0</v>
      </c>
      <c r="F48" s="420">
        <f>+[3]SOAws!F81-'[3]recon-SOAws'!F45</f>
        <v>0</v>
      </c>
      <c r="G48" s="420">
        <f>+[3]SOAws!G81-'[3]recon-SOAws'!G45</f>
        <v>0</v>
      </c>
      <c r="H48" s="420">
        <f>+[3]SOAws!H81-'[3]recon-SOAws'!H45</f>
        <v>0</v>
      </c>
      <c r="I48" s="420">
        <f>+[3]SOAws!I81-'[3]recon-SOAws'!I45</f>
        <v>0</v>
      </c>
      <c r="J48" s="420">
        <f>+SOAws!J81-'recon-SOAws'!J45</f>
        <v>0</v>
      </c>
      <c r="K48" s="420">
        <f>+SOAws!K81-'recon-SOAws'!K45</f>
        <v>0</v>
      </c>
      <c r="L48" s="420">
        <f>+SOAws!L81-'recon-SOAws'!L45</f>
        <v>0</v>
      </c>
      <c r="M48" s="420">
        <f>+SOAws!M81-'recon-SOAws'!M45</f>
        <v>0</v>
      </c>
      <c r="N48" s="420">
        <f>+SOAws!N81-'recon-SOAws'!N45</f>
        <v>0</v>
      </c>
      <c r="O48" s="420">
        <f>+SOAws!O81-'recon-SOAws'!O45</f>
        <v>0</v>
      </c>
      <c r="P48" s="420">
        <f>+SOAws!P81-'recon-SOAws'!P45</f>
        <v>0</v>
      </c>
      <c r="Q48" s="420">
        <f>+SOAws!Q81-'recon-SOAws'!Q45</f>
        <v>0</v>
      </c>
      <c r="R48" s="420">
        <f>+SOAws!R81-'recon-SOAws'!R45</f>
        <v>0</v>
      </c>
      <c r="S48" s="420">
        <f>+SOAws!S81-'recon-SOAws'!S45</f>
        <v>0</v>
      </c>
      <c r="T48" s="420">
        <f>+SOAws!T81-'recon-SOAws'!T45</f>
        <v>0</v>
      </c>
      <c r="U48" s="420">
        <f>+SOAws!U81-'recon-SOAws'!U45</f>
        <v>0</v>
      </c>
      <c r="V48" s="420">
        <f>+SOAws!V81-'recon-SOAws'!V45</f>
        <v>0</v>
      </c>
      <c r="W48" s="420">
        <f>+SOAws!W81-'recon-SOAws'!W45</f>
        <v>0</v>
      </c>
      <c r="X48" s="420">
        <f>+SOAws!X81-'recon-SOAws'!X45</f>
        <v>0</v>
      </c>
      <c r="Y48" s="420">
        <f>+SOAws!Y81-'recon-SOAws'!Y45</f>
        <v>0</v>
      </c>
      <c r="Z48" s="420">
        <f>+SOAws!Z81-'recon-SOAws'!Z45</f>
        <v>0</v>
      </c>
      <c r="AA48" s="420">
        <f>+SOAws!AA81-'recon-SOAws'!AA45</f>
        <v>0</v>
      </c>
      <c r="AB48" s="420">
        <f>+SOAws!AB81-'recon-SOAws'!AB45</f>
        <v>0</v>
      </c>
      <c r="AC48" s="420">
        <f>+SOAws!AC81-'recon-SOAws'!AC45</f>
        <v>0</v>
      </c>
      <c r="AD48" s="420">
        <f>+SOAws!AD81-'recon-SOAws'!AD45</f>
        <v>0</v>
      </c>
      <c r="AE48" s="420">
        <f>+SOAws!AE81-'recon-SOAws'!AE45</f>
        <v>0</v>
      </c>
      <c r="AF48" s="420">
        <f>+SOAws!AF81-'recon-SOAws'!AF45</f>
        <v>0</v>
      </c>
      <c r="AG48" s="420">
        <f>+SOAws!AG81-'recon-SOAws'!AG45</f>
        <v>0</v>
      </c>
      <c r="AH48" s="420">
        <f>+SOAws!AH81-'recon-SOAws'!AH45</f>
        <v>0</v>
      </c>
      <c r="AI48" s="420">
        <f>+SOAws!AI81-'recon-SOAws'!AI45</f>
        <v>0</v>
      </c>
      <c r="AJ48" s="420">
        <f>+SOAws!AJ81-'recon-SOAws'!AJ45</f>
        <v>0</v>
      </c>
      <c r="AK48" s="420">
        <f>+SOAws!AK81-'recon-SOAws'!AK45</f>
        <v>0</v>
      </c>
      <c r="AL48" s="420">
        <f>+SOAws!AL81-'recon-SOAws'!AL45</f>
        <v>0</v>
      </c>
      <c r="AM48" s="420">
        <f>+SOAws!AM81-'recon-SOAws'!AM45</f>
        <v>0</v>
      </c>
      <c r="AN48" s="420">
        <f>+SOAws!AN81-'recon-SOAws'!AN45</f>
        <v>0</v>
      </c>
      <c r="AO48" s="420">
        <f>+SOAws!AO81-'recon-SOAws'!AO45</f>
        <v>0</v>
      </c>
      <c r="AP48" s="420">
        <f>+SOAws!AP81-'recon-SOAws'!AP45</f>
        <v>0</v>
      </c>
      <c r="AQ48" s="420">
        <f>+SOAws!AQ81-'recon-SOAws'!AQ45</f>
        <v>0</v>
      </c>
      <c r="AR48" s="420">
        <f>+SOAws!AR81-'recon-SOAws'!AR45</f>
        <v>0</v>
      </c>
      <c r="AS48" s="420">
        <f>+SOAws!AS81-'recon-SOAws'!AS45</f>
        <v>0</v>
      </c>
      <c r="AT48" s="420">
        <f>+SOAws!AT81-'recon-SOAws'!AT45</f>
        <v>0</v>
      </c>
      <c r="AU48" s="420">
        <f>+SOAws!AU81-'recon-SOAws'!AU45</f>
        <v>0</v>
      </c>
      <c r="AV48" s="420">
        <f>+SOAws!AV81-'recon-SOAws'!AV45</f>
        <v>0</v>
      </c>
      <c r="AW48" s="420">
        <f>+SOAws!AW81-'recon-SOAws'!AW45</f>
        <v>0</v>
      </c>
      <c r="AX48" s="420">
        <f>+SOAws!AX81-'recon-SOAws'!AX45</f>
        <v>0</v>
      </c>
      <c r="AY48" s="420">
        <f>+SOAws!AY81-'recon-SOAws'!AY45</f>
        <v>0</v>
      </c>
      <c r="AZ48" s="420">
        <f>+SOAws!AZ81-'recon-SOAws'!AZ45</f>
        <v>0</v>
      </c>
      <c r="BA48" s="420">
        <f>+SOAws!BA81-'recon-SOAws'!BA45</f>
        <v>0</v>
      </c>
      <c r="BB48" s="420">
        <f>+SOAws!BB81-'recon-SOAws'!BB45</f>
        <v>0</v>
      </c>
      <c r="BC48" s="420">
        <f>+SOAws!BC81-'recon-SOAws'!BC45</f>
        <v>0</v>
      </c>
      <c r="BD48" s="420">
        <f>+SOAws!BD81-'recon-SOAws'!BD45</f>
        <v>0</v>
      </c>
      <c r="BE48" s="420">
        <f>+SOAws!BE81-'recon-SOAws'!BE45</f>
        <v>0</v>
      </c>
      <c r="BF48" s="420">
        <f>+SOAws!BF81-'recon-SOAws'!BF45</f>
        <v>0</v>
      </c>
      <c r="BG48" s="420">
        <f>+SOAws!BG81-'recon-SOAws'!BG45</f>
        <v>0</v>
      </c>
      <c r="BH48" s="420">
        <f>+SOAws!BH81-'recon-SOAws'!BH45</f>
        <v>0</v>
      </c>
      <c r="BI48" s="420">
        <f>+SOAws!BI81-'recon-SOAws'!BI45</f>
        <v>0</v>
      </c>
      <c r="BJ48" s="420">
        <f>+SOAws!BJ81-'recon-SOAws'!BJ45</f>
        <v>0</v>
      </c>
      <c r="BK48" s="420">
        <f>+SOAws!BK81-'recon-SOAws'!BK45</f>
        <v>0</v>
      </c>
      <c r="BL48" s="420">
        <f>+SOAws!BL81-'recon-SOAws'!BL45</f>
        <v>0</v>
      </c>
      <c r="BM48" s="420">
        <f>+SOAws!BM81-'recon-SOAws'!BM45</f>
        <v>0</v>
      </c>
      <c r="BN48" s="420">
        <f>+SOAws!BN81-'recon-SOAws'!BN45</f>
        <v>0</v>
      </c>
      <c r="BO48" s="420">
        <f>+SOAws!BO81-'recon-SOAws'!BO45</f>
        <v>0</v>
      </c>
      <c r="BP48" s="420">
        <f>+SOAws!BP81-'recon-SOAws'!BP45</f>
        <v>0</v>
      </c>
      <c r="BQ48" s="420">
        <f>+SOAws!BQ81-'recon-SOAws'!BQ45</f>
        <v>0</v>
      </c>
      <c r="BR48" s="420">
        <f>+SOAws!BR81-'recon-SOAws'!BR45</f>
        <v>0</v>
      </c>
      <c r="BS48" s="420">
        <f>+SOAws!BS81-'recon-SOAws'!BS45</f>
        <v>0</v>
      </c>
      <c r="BT48" s="420">
        <f>+SOAws!BT81-'recon-SOAws'!BT45</f>
        <v>0</v>
      </c>
      <c r="BU48" s="420">
        <f>+SOAws!BU81-'recon-SOAws'!BU45</f>
        <v>0</v>
      </c>
      <c r="BV48" s="420">
        <f>+SOAws!BV81-'recon-SOAws'!BV45</f>
        <v>0</v>
      </c>
      <c r="BW48" s="420">
        <f>+SOAws!BW81-'recon-SOAws'!BW45</f>
        <v>0</v>
      </c>
      <c r="BX48" s="420">
        <f>+SOAws!BX81-'recon-SOAws'!BX45</f>
        <v>0</v>
      </c>
      <c r="BY48" s="420">
        <f>+SOAws!BY81-'recon-SOAws'!BY45</f>
        <v>0</v>
      </c>
      <c r="BZ48" s="420">
        <f>+SOAws!BZ81-'recon-SOAws'!BZ45</f>
        <v>0</v>
      </c>
      <c r="CA48" s="420">
        <f>+SOAws!CA81-'recon-SOAws'!CA45</f>
        <v>0</v>
      </c>
      <c r="CB48" s="420">
        <f>+SOAws!CB81-'recon-SOAws'!CB45</f>
        <v>0</v>
      </c>
    </row>
    <row r="52" spans="1:80" s="420" customFormat="1" ht="12" x14ac:dyDescent="0.2">
      <c r="A52" s="862" t="s">
        <v>1212</v>
      </c>
      <c r="B52" s="712">
        <f>SUM(C52:BY52)</f>
        <v>0</v>
      </c>
      <c r="C52" s="712">
        <f>SUM(SOAws!C15:C17)+C26-SOAws!C16</f>
        <v>0</v>
      </c>
      <c r="D52" s="712">
        <f>SUM(SOAws!D15:D17)+D26-SOAws!D16</f>
        <v>0</v>
      </c>
      <c r="E52" s="712">
        <f>SUM(SOAws!E15:E17)+E26-SOAws!E16</f>
        <v>0</v>
      </c>
      <c r="F52" s="712">
        <f>SUM(SOAws!F15:F17)+F26-SOAws!F16</f>
        <v>0</v>
      </c>
      <c r="G52" s="712">
        <f>SUM(SOAws!G15:G17)+G26-SOAws!G16</f>
        <v>0</v>
      </c>
      <c r="H52" s="712">
        <f>SUM(SOAws!H15:H17)+H26-SOAws!H16</f>
        <v>0</v>
      </c>
      <c r="I52" s="712">
        <f>SUM(SOAws!I15:I17)+I26-SOAws!I16</f>
        <v>0</v>
      </c>
      <c r="J52" s="712">
        <f>SUM(SOAws!J15:J17)+J26-SOAws!J16</f>
        <v>0</v>
      </c>
      <c r="K52" s="712">
        <f>SUM(SOAws!K15:K17)+K26-SOAws!K16</f>
        <v>0</v>
      </c>
      <c r="L52" s="712">
        <f>SUM(SOAws!L15:L17)+L26-SOAws!L16</f>
        <v>0</v>
      </c>
      <c r="M52" s="712">
        <f>SUM(SOAws!M15:M17)+M26-SOAws!M16</f>
        <v>0</v>
      </c>
      <c r="N52" s="712">
        <f>SUM(SOAws!N15:N17)+N26-SOAws!N16</f>
        <v>0</v>
      </c>
      <c r="O52" s="712">
        <f>SUM(SOAws!O15:O17)+O26-SOAws!O16</f>
        <v>0</v>
      </c>
      <c r="P52" s="712">
        <f>SUM(SOAws!P15:P17)+P26-SOAws!P16</f>
        <v>0</v>
      </c>
      <c r="Q52" s="712">
        <f>SUM(SOAws!Q15:Q17)+Q26-SOAws!Q16</f>
        <v>0</v>
      </c>
      <c r="R52" s="712">
        <f>SUM(SOAws!R15:R17)+R26-SOAws!R16</f>
        <v>0</v>
      </c>
      <c r="S52" s="712">
        <f>SUM(SOAws!S15:S17)+S26-SOAws!S16</f>
        <v>0</v>
      </c>
      <c r="T52" s="712">
        <f>SUM(SOAws!T15:T17)+T26-SOAws!T16</f>
        <v>0</v>
      </c>
      <c r="U52" s="712">
        <f>SUM(SOAws!U15:U17)+U26-SOAws!U16</f>
        <v>0</v>
      </c>
      <c r="V52" s="712">
        <f>SUM(SOAws!V15:V17)+V26-SOAws!V16</f>
        <v>0</v>
      </c>
      <c r="W52" s="712">
        <f>SUM(SOAws!W15:W17)+W26-SOAws!W16</f>
        <v>0</v>
      </c>
      <c r="X52" s="712">
        <f>SUM(SOAws!X15:X17)+X26-SOAws!X16</f>
        <v>0</v>
      </c>
      <c r="Y52" s="712">
        <f>SUM(SOAws!Y15:Y17)+Y26-SOAws!Y16</f>
        <v>0</v>
      </c>
      <c r="Z52" s="712">
        <f>SUM(SOAws!Z15:Z17)+Z26-SOAws!Z16</f>
        <v>0</v>
      </c>
      <c r="AA52" s="712">
        <f>SUM(SOAws!AA15:AA17)+AA26-SOAws!AA16</f>
        <v>0</v>
      </c>
      <c r="AB52" s="712">
        <f>SUM(SOAws!AB15:AB17)+AB26-SOAws!AB16</f>
        <v>0</v>
      </c>
      <c r="AC52" s="712">
        <f>SUM(SOAws!AC15:AC17)+AC26-SOAws!AC16</f>
        <v>0</v>
      </c>
      <c r="AD52" s="712">
        <f>SUM(SOAws!AD15:AD17)+AD26-SOAws!AD16</f>
        <v>0</v>
      </c>
      <c r="AE52" s="712">
        <f>SUM(SOAws!AE15:AE17)+AE26-SOAws!AE16</f>
        <v>0</v>
      </c>
      <c r="AF52" s="712">
        <f>SUM(SOAws!AF15:AF17)+AF26-SOAws!AF16</f>
        <v>0</v>
      </c>
      <c r="AG52" s="712">
        <f>SUM(SOAws!AG15:AG17)+AG26-SOAws!AG16</f>
        <v>0</v>
      </c>
      <c r="AH52" s="712">
        <f>SUM(SOAws!AH15:AH17)+AH26-SOAws!AH16</f>
        <v>0</v>
      </c>
      <c r="AI52" s="712"/>
      <c r="AJ52" s="712"/>
      <c r="AK52" s="712"/>
      <c r="AL52" s="712"/>
      <c r="AM52" s="712"/>
      <c r="AN52" s="712"/>
      <c r="AO52" s="712"/>
      <c r="AP52" s="712"/>
      <c r="AQ52" s="712"/>
      <c r="AR52" s="712">
        <f>SUM(SOAws!AR15:AR17)+AR26-SOAws!AR16</f>
        <v>0</v>
      </c>
      <c r="AS52" s="712">
        <f>SUM(SOAws!AS15:AS17)+AS26-SOAws!AS16</f>
        <v>0</v>
      </c>
      <c r="AT52" s="712">
        <f>SUM(SOAws!AT15:AT17)+AT26-SOAws!AT16</f>
        <v>0</v>
      </c>
      <c r="AU52" s="712">
        <f>SUM(SOAws!AU15:AU17)+AU26-SOAws!AU16</f>
        <v>0</v>
      </c>
      <c r="AV52" s="712">
        <f>SUM(SOAws!AV15:AV17)+AV26-SOAws!AV16</f>
        <v>0</v>
      </c>
      <c r="AW52" s="712">
        <f>SUM(SOAws!AW15:AW17)+AW26-SOAws!AW16</f>
        <v>0</v>
      </c>
      <c r="AX52" s="712">
        <f>SUM(SOAws!AX15:AX17)+AX26-SOAws!AX16</f>
        <v>0</v>
      </c>
      <c r="AY52" s="712">
        <f>SUM(SOAws!AY15:AY17)+AY26-SOAws!AY16</f>
        <v>0</v>
      </c>
      <c r="AZ52" s="712">
        <f>SUM(SOAws!AZ15:AZ17)+AZ26-SOAws!AZ16</f>
        <v>0</v>
      </c>
      <c r="BA52" s="712">
        <f>SUM(SOAws!BA15:BA17)+BA26-SOAws!BA16</f>
        <v>0</v>
      </c>
      <c r="BB52" s="712">
        <f>SUM(SOAws!BB15:BB17)+BB26-SOAws!BB16</f>
        <v>0</v>
      </c>
      <c r="BC52" s="712">
        <f>SUM(SOAws!BC15:BC17)+BC26-SOAws!BC16</f>
        <v>0</v>
      </c>
      <c r="BD52" s="712">
        <f>SUM(SOAws!BD15:BD17)+BD26-SOAws!BD16</f>
        <v>0</v>
      </c>
      <c r="BE52" s="712">
        <f>SUM(SOAws!BE15:BE17)+BE26-SOAws!BE16</f>
        <v>0</v>
      </c>
      <c r="BF52" s="712">
        <f>SUM(SOAws!BF15:BF17)+BF26-SOAws!BF16</f>
        <v>0</v>
      </c>
      <c r="BG52" s="712">
        <f>SUM(SOAws!BG15:BG17)+BG26-SOAws!BG16</f>
        <v>0</v>
      </c>
      <c r="BH52" s="712">
        <f>SUM(SOAws!BH15:BH17)+BH26-SOAws!BH16</f>
        <v>0</v>
      </c>
      <c r="BI52" s="712">
        <f>SUM(SOAws!BI15:BI17)+BI26-SOAws!BI16</f>
        <v>0</v>
      </c>
      <c r="BJ52" s="712">
        <f>SUM(SOAws!BJ15:BJ17)+BJ26-SOAws!BJ16</f>
        <v>0</v>
      </c>
      <c r="BK52" s="712">
        <f>SUM(SOAws!BK15:BK17)+BK26-SOAws!BK16</f>
        <v>0</v>
      </c>
      <c r="BL52" s="712">
        <f>SUM(SOAws!BL15:BL17)+BL26-SOAws!BL16</f>
        <v>0</v>
      </c>
      <c r="BM52" s="712">
        <f>SUM(SOAws!BM15:BM17)+BM26-SOAws!BM16</f>
        <v>0</v>
      </c>
      <c r="BN52" s="712">
        <f>SUM(SOAws!BN15:BN17)+BN26-SOAws!BN16</f>
        <v>0</v>
      </c>
      <c r="BO52" s="712">
        <f>SUM(SOAws!BO15:BO17)+BO26-SOAws!BO16</f>
        <v>0</v>
      </c>
      <c r="BP52" s="712">
        <f>SUM(SOAws!BP15:BP17)+BP26-SOAws!BP16</f>
        <v>0</v>
      </c>
      <c r="BQ52" s="712">
        <f>SUM(SOAws!BQ15:BQ17)+BQ26-SOAws!BQ16</f>
        <v>0</v>
      </c>
      <c r="BR52" s="712">
        <f>SUM(SOAws!BR15:BR17)+BR26-SOAws!BR16</f>
        <v>0</v>
      </c>
      <c r="BS52" s="712">
        <f>SUM(SOAws!BS15:BS17)+BS26-SOAws!BS16</f>
        <v>0</v>
      </c>
      <c r="BT52" s="712">
        <f>SUM(SOAws!BT15:BT17)+BT26-SOAws!BT16</f>
        <v>0</v>
      </c>
      <c r="BU52" s="712">
        <f>SUM(SOAws!BU15:BU17)+BU26-SOAws!BU16</f>
        <v>0</v>
      </c>
      <c r="BV52" s="712">
        <f>SUM(SOAws!BV15:BV17)+BV26-SOAws!BV16</f>
        <v>0</v>
      </c>
      <c r="BW52" s="712">
        <f>SUM(SOAws!BW15:BW17)+BW26-SOAws!BW16</f>
        <v>0</v>
      </c>
      <c r="BX52" s="712">
        <f>SUM(SOAws!BX15:BX17)+BX26-SOAws!BX16</f>
        <v>0</v>
      </c>
      <c r="BY52" s="712">
        <f>SUM(SOAws!BY15:BY17)+BY26-SOAws!BY16</f>
        <v>0</v>
      </c>
      <c r="BZ52" s="712">
        <f>SUM(SOAws!BZ15:BZ17)+BZ26-SOAws!BZ16</f>
        <v>0</v>
      </c>
      <c r="CA52" s="712">
        <f>SUM(SOAws!CA15:CA17)+CA26-SOAws!CA16</f>
        <v>0</v>
      </c>
      <c r="CB52" s="712">
        <f>SUM(SOAws!CB15:CB17)+CB26-SOAws!CB16</f>
        <v>0</v>
      </c>
    </row>
    <row r="53" spans="1:80" x14ac:dyDescent="0.2">
      <c r="A53" s="862" t="s">
        <v>1440</v>
      </c>
      <c r="B53" s="712">
        <f>SUM(C53:BS53)</f>
        <v>2380</v>
      </c>
      <c r="C53" s="712">
        <f>+SORECGFws!C19-SOAws!C34-SOAws!C49-SOAws!C64-SOAws!C79+SOAws!C78+C17</f>
        <v>0</v>
      </c>
      <c r="D53" s="712">
        <f>+SORECGFws!D19-SOAws!D34-SOAws!D49-SOAws!D64-SOAws!D79+SOAws!D78+D17+D36</f>
        <v>0</v>
      </c>
      <c r="E53" s="712">
        <f>+SORECGFws!E19-SOAws!E34-SOAws!E49-SOAws!E64-SOAws!E79+SOAws!E78+E17</f>
        <v>0</v>
      </c>
      <c r="F53" s="712">
        <f>+SORECGFws!F19-SOAws!F34-SOAws!F49-SOAws!F64-SOAws!F79+SOAws!F78+F17</f>
        <v>0</v>
      </c>
      <c r="G53" s="712">
        <f>+SORECGFws!G19-SOAws!G34-SOAws!G49-SOAws!G64-SOAws!G79+SOAws!G78+G17</f>
        <v>0</v>
      </c>
      <c r="H53" s="712">
        <f>+SORECGFws!H19-SOAws!H34-SOAws!H49-SOAws!H64-SOAws!H79+SOAws!H78+H17</f>
        <v>0</v>
      </c>
      <c r="I53" s="712">
        <f>+SORECGFws!I19-SOAws!I34-SOAws!I49-SOAws!I64-SOAws!I79+SOAws!I78+I17</f>
        <v>0</v>
      </c>
      <c r="J53" s="712">
        <f>+SORECGFws!J19-SOAws!J34-SOAws!J49-SOAws!J64-SOAws!J79+SOAws!J78+J17</f>
        <v>0</v>
      </c>
      <c r="K53" s="712">
        <f>+SORECGFws!K19-SOAws!K34-SOAws!K49-SOAws!K64-SOAws!K79+SOAws!K78+K17</f>
        <v>0</v>
      </c>
      <c r="L53" s="712">
        <f>+SORECGFws!L19-SOAws!L34-SOAws!L49-SOAws!L64-SOAws!L79+SOAws!L78+L17</f>
        <v>0</v>
      </c>
      <c r="M53" s="712">
        <f>+SORECGFws!M19-SOAws!M34-SOAws!M49-SOAws!M64-SOAws!M79+SOAws!M78+M17</f>
        <v>0</v>
      </c>
      <c r="N53" s="712">
        <f>+SORECGFws!N19-SOAws!N34-SOAws!N49-SOAws!N64-SOAws!N79+SOAws!N78+N17</f>
        <v>0</v>
      </c>
      <c r="O53" s="712">
        <f>+SORECGFws!O19-SOAws!O34-SOAws!O49-SOAws!O64-SOAws!O79+SOAws!O78+O17</f>
        <v>0</v>
      </c>
      <c r="P53" s="712">
        <f>+SORECGFws!P19-SOAws!P34-SOAws!P49-SOAws!P64-SOAws!P79+SOAws!P78+P17</f>
        <v>0</v>
      </c>
      <c r="Q53" s="712">
        <f>+SORECGFws!Q19-SOAws!Q34-SOAws!Q49-SOAws!Q64-SOAws!Q79+SOAws!Q78+Q17</f>
        <v>0</v>
      </c>
      <c r="R53" s="712">
        <f>+SORECGFws!R19-SOAws!R34-SOAws!R49-SOAws!R64-SOAws!R79+SOAws!R78+R17</f>
        <v>0</v>
      </c>
      <c r="S53" s="712">
        <f>+SORECGFws!S19-SOAws!S34-SOAws!S49-SOAws!S64-SOAws!S79+SOAws!S78+S17</f>
        <v>0</v>
      </c>
      <c r="T53" s="712">
        <f>+SORECGFws!T19-SOAws!T34-SOAws!T49-SOAws!T64-SOAws!T79+SOAws!T78+T17</f>
        <v>0</v>
      </c>
      <c r="U53" s="712">
        <f>+SORECGFws!U19-SOAws!U34-SOAws!U49-SOAws!U64-SOAws!U79+SOAws!U78+U17</f>
        <v>0</v>
      </c>
      <c r="V53" s="712">
        <f>+SORECGFws!V19-SOAws!V34-SOAws!V49-SOAws!V64-SOAws!V79+SOAws!V78+V17</f>
        <v>0</v>
      </c>
      <c r="W53" s="712">
        <f>+SORECGFws!W19-SOAws!W34-SOAws!W49-SOAws!W64-SOAws!W79+SOAws!W78+W17</f>
        <v>0</v>
      </c>
      <c r="X53" s="712">
        <f>+SORECGFws!X19-SOAws!X34-SOAws!X49-SOAws!X64-SOAws!X79+SOAws!X78+X17</f>
        <v>0</v>
      </c>
      <c r="Y53" s="712">
        <f>+SORECGFws!Y19-SOAws!Y34-SOAws!Y49-SOAws!Y64-SOAws!Y79+SOAws!Y78+Y17</f>
        <v>0</v>
      </c>
      <c r="Z53" s="712">
        <f>+SORECGFws!Z19-SOAws!Z34-SOAws!Z49-SOAws!Z64-SOAws!Z79+SOAws!Z78+Z17</f>
        <v>0</v>
      </c>
      <c r="AA53" s="712">
        <f>+SORECGFws!AA19-SOAws!AA34-SOAws!AA49-SOAws!AA64-SOAws!AA79+SOAws!AA78+AA17</f>
        <v>0</v>
      </c>
      <c r="AB53" s="712">
        <f>+SORECGFws!AB19-SOAws!AB34-SOAws!AB49-SOAws!AB64-SOAws!AB79+SOAws!AB78+AB17</f>
        <v>0</v>
      </c>
      <c r="AC53" s="712">
        <f>+SORECGFws!AC19-SOAws!AC34-SOAws!AC49-SOAws!AC64-SOAws!AC79+SOAws!AC78+AC17</f>
        <v>0</v>
      </c>
      <c r="AD53" s="712">
        <f>+SORECGFws!AD19-SOAws!AD34-SOAws!AD49-SOAws!AD64-SOAws!AD79+SOAws!AD78+AD17</f>
        <v>0</v>
      </c>
      <c r="AE53" s="712">
        <f>+SORECGFws!AE19-SOAws!AE34-SOAws!AE49-SOAws!AE64-SOAws!AE79+SOAws!AE78+AE17</f>
        <v>0</v>
      </c>
      <c r="AF53" s="712">
        <f>+SORECGFws!AF19-SOAws!AF34-SOAws!AF49-SOAws!AF64-SOAws!AF79+SOAws!AF78+AF17</f>
        <v>0</v>
      </c>
      <c r="AG53" s="712">
        <f>+SORECGFws!AG19-SOAws!AG34-SOAws!AG49-SOAws!AG64-SOAws!AG79+SOAws!AG78+AG17</f>
        <v>0</v>
      </c>
      <c r="AH53" s="712">
        <f>+SORECGFws!AH19-SOAws!AH34-SOAws!AH49-SOAws!AH64-SOAws!AH79+SOAws!AH78+AH17</f>
        <v>0</v>
      </c>
      <c r="AI53" s="712">
        <f>+SORECGFws!AI19-SOAws!AI34-SOAws!AI49-SOAws!AI64-SOAws!AI79+SOAws!AI78+AI17</f>
        <v>0</v>
      </c>
      <c r="AJ53" s="712">
        <f>+SORECGFws!AJ19-SOAws!AJ34-SOAws!AJ49-SOAws!AJ64-SOAws!AJ79+SOAws!AJ78+AJ17</f>
        <v>0</v>
      </c>
      <c r="AK53" s="712">
        <f>+SORECGFws!AK19-SOAws!AK34-SOAws!AK49-SOAws!AK64-SOAws!AK79+SOAws!AK78+AK17</f>
        <v>2410</v>
      </c>
      <c r="AL53" s="712">
        <f>+SORECGFws!AL19-SOAws!AL34-SOAws!AL49-SOAws!AL64-SOAws!AL79+SOAws!AL78+AL17</f>
        <v>0</v>
      </c>
      <c r="AM53" s="712">
        <f>+SORECGFws!AM19-SOAws!AM34-SOAws!AM49-SOAws!AM64-SOAws!AM79+SOAws!AM78+AM17</f>
        <v>0</v>
      </c>
      <c r="AN53" s="712">
        <f>+SORECGFws!AN19-SOAws!AN34-SOAws!AN49-SOAws!AN64-SOAws!AN79+SOAws!AN78+AN17</f>
        <v>0</v>
      </c>
      <c r="AO53" s="712">
        <f>+SORECGFws!AO19-SOAws!AO34-SOAws!AO49-SOAws!AO64-SOAws!AO79+SOAws!AO78+AO17</f>
        <v>0</v>
      </c>
      <c r="AP53" s="712"/>
      <c r="AQ53" s="712"/>
      <c r="AR53" s="712">
        <f>+SORECGFws!AR19-SOAws!AR34-SOAws!AR49-SOAws!AR64-SOAws!AR79+SOAws!AR78+AR17</f>
        <v>0</v>
      </c>
      <c r="AS53" s="712">
        <f>+SORECGFws!AS19-SOAws!AS34-SOAws!AS49-SOAws!AS64-SOAws!AS79+SOAws!AS78+AS17</f>
        <v>0</v>
      </c>
      <c r="AT53" s="712">
        <f>+SORECGFws!AT19-SOAws!AT34-SOAws!AT49-SOAws!AT64-SOAws!AT79+SOAws!AT78+AT17</f>
        <v>0</v>
      </c>
      <c r="AU53" s="712">
        <f>+SORECGFws!AU19-SOAws!AU34-SOAws!AU49-SOAws!AU64-SOAws!AU79+SOAws!AU78+AU17</f>
        <v>0</v>
      </c>
      <c r="AV53" s="712">
        <f>+SORECGFws!AV19-SOAws!AV34-SOAws!AV49-SOAws!AV64-SOAws!AV79+SOAws!AV78+AV17</f>
        <v>0</v>
      </c>
      <c r="AW53" s="712">
        <f>+SORECGFws!AW19-SOAws!AW34-SOAws!AW49-SOAws!AW64-SOAws!AW79+SOAws!AW78+AW17</f>
        <v>0</v>
      </c>
      <c r="AX53" s="712">
        <f>+SORECGFws!AX19-SOAws!AX34-SOAws!AX49-SOAws!AX64-SOAws!AX79+SOAws!AX78+AX17</f>
        <v>0</v>
      </c>
      <c r="AY53" s="712">
        <f>+SORECGFws!AY19-SOAws!AY34-SOAws!AY49-SOAws!AY64-SOAws!AY79+SOAws!AY78+AY17</f>
        <v>0</v>
      </c>
      <c r="AZ53" s="712">
        <f>+SORECGFws!AZ19-SOAws!AZ34-SOAws!AZ49-SOAws!AZ64-SOAws!AZ79+SOAws!AZ78+AZ17</f>
        <v>0</v>
      </c>
      <c r="BA53" s="712">
        <f>+SORECGFws!BA19-SOAws!BA34-SOAws!BA49-SOAws!BA64-SOAws!BA79+SOAws!BA78+BA17</f>
        <v>0</v>
      </c>
      <c r="BB53" s="712">
        <f>+SORECGFws!BB19-SOAws!BB34-SOAws!BB49-SOAws!BB64-SOAws!BB79+SOAws!BB78+BB17</f>
        <v>0</v>
      </c>
      <c r="BC53" s="712">
        <f>+SORECGFws!BC19-SOAws!BC34-SOAws!BC49-SOAws!BC64-SOAws!BC79+SOAws!BC78+BC17</f>
        <v>0</v>
      </c>
      <c r="BD53" s="712">
        <f>+SORECGFws!BD19-SOAws!BD34-SOAws!BD49-SOAws!BD64-SOAws!BD79+SOAws!BD78+BD17</f>
        <v>0</v>
      </c>
      <c r="BE53" s="712">
        <f>+SORECGFws!BE19-SOAws!BE34-SOAws!BE49-SOAws!BE64-SOAws!BE79+SOAws!BE78+BE17</f>
        <v>0</v>
      </c>
      <c r="BF53" s="712">
        <f>+SORECGFws!BF19-SOAws!BF34-SOAws!BF49-SOAws!BF64-SOAws!BF79+SOAws!BF78+BF17</f>
        <v>0</v>
      </c>
      <c r="BG53" s="712">
        <f>+SORECGFws!BG19-SOAws!BG34-SOAws!BG49-SOAws!BG64-SOAws!BG79+SOAws!BG78+BG17</f>
        <v>0</v>
      </c>
      <c r="BH53" s="712">
        <f>+SORECGFws!BH19-SOAws!BH34-SOAws!BH49-SOAws!BH64-SOAws!BH79+SOAws!BH78+BH17</f>
        <v>0</v>
      </c>
      <c r="BI53" s="712">
        <f>+SORECGFws!BI19-SOAws!BI34-SOAws!BI49-SOAws!BI64-SOAws!BI79+SOAws!BI78+BI17</f>
        <v>0</v>
      </c>
      <c r="BJ53" s="712">
        <f>+SORECGFws!BJ19-SOAws!BJ34-SOAws!BJ49-SOAws!BJ64-SOAws!BJ79+SOAws!BJ78+BJ17</f>
        <v>0</v>
      </c>
      <c r="BK53" s="712">
        <f>+SORECGFws!BK19-SOAws!BK34-SOAws!BK49-SOAws!BK64-SOAws!BK79+SOAws!BK78+BK17</f>
        <v>0</v>
      </c>
      <c r="BL53" s="712">
        <f>+SORECGFws!BL19-SOAws!BL34-SOAws!BL49-SOAws!BL64-SOAws!BL79+SOAws!BL78+BL17</f>
        <v>0</v>
      </c>
      <c r="BM53" s="712">
        <f>+SORECGFws!BM19-SOAws!BM34-SOAws!BM49-SOAws!BM64-SOAws!BM79+SOAws!BM78+BM17</f>
        <v>-30</v>
      </c>
      <c r="BN53" s="712">
        <f>+SORECGFws!BN19-SOAws!BN34-SOAws!BN49-SOAws!BN64-SOAws!BN79+SOAws!BN78+BN17</f>
        <v>0</v>
      </c>
      <c r="BO53" s="712">
        <f>+SORECGFws!BO19-SOAws!BO34-SOAws!BO49-SOAws!BO64-SOAws!BO79+SOAws!BO78+BO17</f>
        <v>0</v>
      </c>
      <c r="BP53" s="712">
        <f>+SORECGFws!BP19-SOAws!BP34-SOAws!BP49-SOAws!BP64-SOAws!BP79+SOAws!BP78+BP17</f>
        <v>0</v>
      </c>
      <c r="BQ53" s="712">
        <f>+SORECGFws!BQ19-SOAws!BQ34-SOAws!BQ49-SOAws!BQ64-SOAws!BQ79+SOAws!BQ78+BQ17</f>
        <v>0</v>
      </c>
      <c r="BR53" s="712">
        <f>+SORECGFws!BR19-SOAws!BR34-SOAws!BR49-SOAws!BR64-SOAws!BR79+SOAws!BR78+BR17</f>
        <v>0</v>
      </c>
      <c r="BS53" s="712">
        <f>+SORECGFws!BS19-SOAws!BS34-SOAws!BS49-SOAws!BS64-SOAws!BS79+SOAws!BS78+BS17</f>
        <v>0</v>
      </c>
      <c r="BT53" s="712">
        <f>+SORECGFws!BT19-SOAws!BT34-SOAws!BT49-SOAws!BT64-SOAws!BT79+SOAws!BT78</f>
        <v>-21401</v>
      </c>
      <c r="BU53" s="712">
        <f>+SORECGFws!BV19-SOAws!BU34-SOAws!BU49-SOAws!BU64-SOAws!BU79+SOAws!BU78</f>
        <v>-1910</v>
      </c>
      <c r="BV53" s="712">
        <f>+SORECGFws!BW19-SOAws!BV34-SOAws!BV49-SOAws!BV64-SOAws!BV79+SOAws!BV78</f>
        <v>-2471</v>
      </c>
      <c r="BW53" s="712">
        <f>+SORECGFws!BX19-SOAws!BW34-SOAws!BW49-SOAws!BW64-SOAws!BW79+SOAws!BW78</f>
        <v>-1348</v>
      </c>
      <c r="BX53" s="712">
        <f>+SORECGFws!BY19-SOAws!BX34-SOAws!BX49-SOAws!BX64-SOAws!BX79+SOAws!BX78</f>
        <v>-12936</v>
      </c>
      <c r="BY53" s="712">
        <f>+SORECGFws!BZ19-SOAws!BY34-SOAws!BY49-SOAws!BY64-SOAws!BY79+SOAws!BY78</f>
        <v>-10</v>
      </c>
      <c r="BZ53" s="712">
        <f>+SORECGFws!CA19-SOAws!BZ34-SOAws!BZ49-SOAws!BZ64-SOAws!BZ79+SOAws!BZ78</f>
        <v>0</v>
      </c>
      <c r="CA53" s="712">
        <f>+SORECGFws!CB19-SOAws!CA34-SOAws!CA49-SOAws!CA64-SOAws!CA79+SOAws!CA78</f>
        <v>0</v>
      </c>
      <c r="CB53" s="712">
        <f>+SORECGFws!CC19-SOAws!CB34-SOAws!CB49-SOAws!CB64-SOAws!CB79+SOAws!CB78</f>
        <v>0</v>
      </c>
    </row>
    <row r="54" spans="1:80" x14ac:dyDescent="0.2">
      <c r="A54" s="862" t="s">
        <v>332</v>
      </c>
      <c r="B54" s="712">
        <f>+SOAws!B18+'recon-SOAws'!B31-SORECGFws!B38+SORECPF!K35-SORECGFws!B43</f>
        <v>927</v>
      </c>
      <c r="C54" s="712">
        <f>+SOAws!C18+'recon-SOAws'!C31-SORECGFws!C38-SORECGFws!C43</f>
        <v>2236</v>
      </c>
      <c r="D54" s="712">
        <f>+SOAws!D18+'recon-SOAws'!D31-SORECGFws!D38-SORECGFws!D43</f>
        <v>0</v>
      </c>
      <c r="E54" s="712">
        <f>+SOAws!E18+'recon-SOAws'!E31-SORECGFws!E38-SORECGFws!E43</f>
        <v>0</v>
      </c>
      <c r="F54" s="712">
        <f>+SOAws!F18+'recon-SOAws'!F31-SORECGFws!F38-SORECGFws!F43</f>
        <v>0</v>
      </c>
      <c r="G54" s="712">
        <f>+SOAws!G18+'recon-SOAws'!G31-SORECGFws!G38-SORECGFws!G43</f>
        <v>0</v>
      </c>
      <c r="H54" s="712">
        <f>+SOAws!H18+'recon-SOAws'!H31-SORECGFws!H38-SORECGFws!H43</f>
        <v>3</v>
      </c>
      <c r="I54" s="712">
        <f>+SOAws!I18+'recon-SOAws'!I31-SORECGFws!I38-SORECGFws!I43</f>
        <v>0</v>
      </c>
      <c r="J54" s="712">
        <f>+SOAws!J18+'recon-SOAws'!J31-SORECGFws!J38-SORECGFws!J43</f>
        <v>0</v>
      </c>
      <c r="K54" s="712">
        <f>+SOAws!K18+'recon-SOAws'!K31-SORECGFws!K38-SORECGFws!K43</f>
        <v>0</v>
      </c>
      <c r="L54" s="712">
        <f>+SOAws!L18+'recon-SOAws'!L31-SORECGFws!L38-SORECGFws!L43</f>
        <v>0</v>
      </c>
      <c r="M54" s="712">
        <f>+SOAws!M18+'recon-SOAws'!M31-SORECGFws!M38-SORECGFws!M43</f>
        <v>0</v>
      </c>
      <c r="N54" s="712">
        <f>+SOAws!N18+'recon-SOAws'!N31-SORECGFws!N38-SORECGFws!N43</f>
        <v>11</v>
      </c>
      <c r="O54" s="712">
        <f>+SOAws!O18+'recon-SOAws'!O31-SORECGFws!O38-SORECGFws!O43</f>
        <v>0</v>
      </c>
      <c r="P54" s="712">
        <f>+SOAws!P18+'recon-SOAws'!P31-SORECGFws!P38-SORECGFws!P43</f>
        <v>0</v>
      </c>
      <c r="Q54" s="712">
        <f>+SOAws!Q18+'recon-SOAws'!Q31-SORECGFws!Q38-SORECGFws!Q43</f>
        <v>0</v>
      </c>
      <c r="R54" s="712">
        <f>+SOAws!R18+'recon-SOAws'!R31-SORECGFws!R38-SORECGFws!R43</f>
        <v>0</v>
      </c>
      <c r="S54" s="712">
        <f>+SOAws!S18+'recon-SOAws'!S31-SORECGFws!S38-SORECGFws!S43</f>
        <v>0</v>
      </c>
      <c r="T54" s="712">
        <f>+SOAws!T18+'recon-SOAws'!T31-SORECGFws!T38-SORECGFws!T43</f>
        <v>0</v>
      </c>
      <c r="U54" s="712">
        <f>+SOAws!U18+'recon-SOAws'!U31-SORECGFws!U38-SORECGFws!U43</f>
        <v>0</v>
      </c>
      <c r="V54" s="712">
        <f>+SOAws!V18+'recon-SOAws'!V31-SORECGFws!V38-SORECGFws!V43</f>
        <v>0</v>
      </c>
      <c r="W54" s="712">
        <f>+SOAws!W18+'recon-SOAws'!W31-SORECGFws!W38-SORECGFws!W43</f>
        <v>23</v>
      </c>
      <c r="X54" s="712">
        <f>+SOAws!X18+'recon-SOAws'!X31-SORECGFws!X38-SORECGFws!X43</f>
        <v>0</v>
      </c>
      <c r="Y54" s="712">
        <f>+SOAws!Y18+'recon-SOAws'!Y31-SORECGFws!Y38-SORECGFws!Y43</f>
        <v>0</v>
      </c>
      <c r="Z54" s="712">
        <f>+SOAws!Z18+'recon-SOAws'!Z31-SORECGFws!Z38-SORECGFws!Z43</f>
        <v>0</v>
      </c>
      <c r="AA54" s="712">
        <f>+SOAws!AA18+'recon-SOAws'!AA31-SORECGFws!AA38-SORECGFws!AA43</f>
        <v>0</v>
      </c>
      <c r="AB54" s="712">
        <f>+SOAws!AB18+'recon-SOAws'!AB31-SORECGFws!AB38-SORECGFws!AB43</f>
        <v>0</v>
      </c>
      <c r="AC54" s="712">
        <f>+SOAws!AC18+'recon-SOAws'!AC31-SORECGFws!AC38-SORECGFws!AC43</f>
        <v>0</v>
      </c>
      <c r="AD54" s="712">
        <f>+SOAws!AD18+'recon-SOAws'!AD31-SORECGFws!AD38-SORECGFws!AD43</f>
        <v>0</v>
      </c>
      <c r="AE54" s="712">
        <f>+SOAws!AE18+'recon-SOAws'!AE31-SORECGFws!AE38-SORECGFws!AE43</f>
        <v>0</v>
      </c>
      <c r="AF54" s="712">
        <f>+SOAws!AF18+'recon-SOAws'!AF31-SORECGFws!AF38-SORECGFws!AF43</f>
        <v>0</v>
      </c>
      <c r="AG54" s="712">
        <f>+SOAws!AG18+'recon-SOAws'!AG31-SORECGFws!AG38-SORECGFws!AG43</f>
        <v>0</v>
      </c>
      <c r="AH54" s="712">
        <f>+SOAws!AH18+'recon-SOAws'!AH31-SORECGFws!AH38-SORECGFws!AH43</f>
        <v>0</v>
      </c>
      <c r="AI54" s="712">
        <f>+SOAws!AI18+'recon-SOAws'!AI31-SORECGFws!AI38-SORECGFws!AI43</f>
        <v>0</v>
      </c>
      <c r="AJ54" s="712">
        <f>+SOAws!AJ18+'recon-SOAws'!AJ31-SORECGFws!AJ38-SORECGFws!AJ43</f>
        <v>0</v>
      </c>
      <c r="AK54" s="712">
        <f>+SOAws!AK18+'recon-SOAws'!AK31-SORECGFws!AK38-SORECGFws!AK43</f>
        <v>0</v>
      </c>
      <c r="AL54" s="712">
        <f>+SOAws!AL18+'recon-SOAws'!AL31-SORECGFws!AL38-SORECGFws!AL43</f>
        <v>0</v>
      </c>
      <c r="AM54" s="712">
        <f>+SOAws!AM18+'recon-SOAws'!AM31-SORECGFws!AM38-SORECGFws!AM43</f>
        <v>0</v>
      </c>
      <c r="AN54" s="712">
        <f>+SOAws!AN18+'recon-SOAws'!AN31-SORECGFws!AN38-SORECGFws!AN43</f>
        <v>0</v>
      </c>
      <c r="AO54" s="712">
        <f>+SOAws!AO18+'recon-SOAws'!AO31-SORECGFws!AO38-SORECGFws!AO43</f>
        <v>0</v>
      </c>
      <c r="AP54" s="712"/>
      <c r="AQ54" s="712"/>
      <c r="AR54" s="712">
        <f>+SOAws!AR18+'recon-SOAws'!AR31-SORECGFws!AR38-SORECGFws!AR43</f>
        <v>0</v>
      </c>
      <c r="AS54" s="712">
        <f>+SOAws!AS18+'recon-SOAws'!AS31-SORECGFws!AS38-SORECGFws!AS43</f>
        <v>0</v>
      </c>
      <c r="AT54" s="712">
        <f>+SOAws!AT18+'recon-SOAws'!AT31-SORECGFws!AT38-SORECGFws!AT43</f>
        <v>0</v>
      </c>
      <c r="AU54" s="712">
        <f>+SOAws!AU18+'recon-SOAws'!AU31-SORECGFws!AU38-SORECGFws!AU43</f>
        <v>0</v>
      </c>
      <c r="AV54" s="712">
        <f>+SOAws!AV18+'recon-SOAws'!AV31-SORECGFws!AV38-SORECGFws!AV43</f>
        <v>0</v>
      </c>
      <c r="AW54" s="712">
        <f>+SOAws!AW18+'recon-SOAws'!AW31-SORECGFws!AW38-SORECGFws!AW43</f>
        <v>0</v>
      </c>
      <c r="AX54" s="712">
        <f>+SOAws!AX18+'recon-SOAws'!AX31-SORECGFws!AX38-SORECGFws!AX43</f>
        <v>0</v>
      </c>
      <c r="AY54" s="712">
        <f>+SOAws!AY18+'recon-SOAws'!AY31-SORECGFws!AY38-SORECGFws!AY43</f>
        <v>0</v>
      </c>
      <c r="AZ54" s="712">
        <f>+SOAws!AZ18+'recon-SOAws'!AZ31-SORECGFws!AZ38-SORECGFws!AZ43</f>
        <v>0</v>
      </c>
      <c r="BA54" s="712">
        <f>+SOAws!BA18+'recon-SOAws'!BA31-SORECGFws!BA38-SORECGFws!BA43</f>
        <v>0</v>
      </c>
      <c r="BB54" s="712">
        <f>+SOAws!BB18+'recon-SOAws'!BB31-SORECGFws!BB38-SORECGFws!BB43</f>
        <v>0</v>
      </c>
      <c r="BC54" s="712">
        <f>+SOAws!BC18+'recon-SOAws'!BC31-SORECGFws!BC38-SORECGFws!BC43</f>
        <v>0</v>
      </c>
      <c r="BD54" s="712">
        <f>+SOAws!BD18+'recon-SOAws'!BD31-SORECGFws!BD38-SORECGFws!BD43</f>
        <v>0</v>
      </c>
      <c r="BE54" s="712">
        <f>+SOAws!BE18+'recon-SOAws'!BE31-SORECGFws!BE38-SORECGFws!BE43</f>
        <v>0</v>
      </c>
      <c r="BF54" s="712">
        <f>+SOAws!BF18+'recon-SOAws'!BF31-SORECGFws!BF38-SORECGFws!BF43</f>
        <v>0</v>
      </c>
      <c r="BG54" s="712">
        <f>+SOAws!BG18+'recon-SOAws'!BG31-SORECGFws!BG38-SORECGFws!BG43</f>
        <v>0</v>
      </c>
      <c r="BH54" s="712">
        <f>+SOAws!BH18+'recon-SOAws'!BH31-SORECGFws!BH38-SORECGFws!BH43</f>
        <v>0</v>
      </c>
      <c r="BI54" s="712">
        <f>+SOAws!BI18+'recon-SOAws'!BI31-SORECGFws!BI38-SORECGFws!BI43</f>
        <v>0</v>
      </c>
      <c r="BJ54" s="712">
        <f>+SOAws!BJ18+'recon-SOAws'!BJ31-SORECGFws!BJ38-SORECGFws!BJ43</f>
        <v>0</v>
      </c>
      <c r="BK54" s="712">
        <f>+SOAws!BK18+'recon-SOAws'!BK31-SORECGFws!BK38-SORECGFws!BK43</f>
        <v>0</v>
      </c>
      <c r="BL54" s="712">
        <f>+SOAws!BL18+'recon-SOAws'!BL31-SORECGFws!BL38-SORECGFws!BL43</f>
        <v>0</v>
      </c>
      <c r="BM54" s="712">
        <f>+SOAws!BM18+'recon-SOAws'!BM31-SORECGFws!BM38-SORECGFws!BM43</f>
        <v>0</v>
      </c>
      <c r="BN54" s="712">
        <f>+SOAws!BN18+'recon-SOAws'!BN31-SORECGFws!BN38-SORECGFws!BN43</f>
        <v>0</v>
      </c>
      <c r="BO54" s="712">
        <f>+SOAws!BO18+'recon-SOAws'!BO31-SORECGFws!BO38-SORECGFws!BO43</f>
        <v>0</v>
      </c>
      <c r="BP54" s="712">
        <f>+SOAws!BP18+'recon-SOAws'!BP31-SORECGFws!BP38-SORECGFws!BP43</f>
        <v>0</v>
      </c>
      <c r="BQ54" s="712">
        <f>+SOAws!BQ18+'recon-SOAws'!BQ31-SORECGFws!BQ38-SORECGFws!BQ43</f>
        <v>16</v>
      </c>
      <c r="BR54" s="712">
        <f>+SOAws!BR18+'recon-SOAws'!BR31-SORECGFws!BR38-SORECGFws!BR43</f>
        <v>0</v>
      </c>
      <c r="BS54" s="712">
        <f>+SOAws!BS18+'recon-SOAws'!BS31-SORECGFws!BS38-SORECGFws!BS43</f>
        <v>0</v>
      </c>
      <c r="BT54" s="712">
        <f>+SOAws!BT18+'recon-SOAws'!BT31-SORECGFws!BT38</f>
        <v>0</v>
      </c>
      <c r="BU54" s="712">
        <f>+SOAws!BU18+'recon-SOAws'!BU31-SORECGFws!BU38</f>
        <v>0</v>
      </c>
      <c r="BV54" s="712">
        <f>+SOAws!BV18+'recon-SOAws'!BV31-SORECGFws!BV38</f>
        <v>0</v>
      </c>
      <c r="BW54" s="712">
        <f>+SOAws!BW18+'recon-SOAws'!BW31-SORECGFws!BW38</f>
        <v>-1357</v>
      </c>
      <c r="BX54" s="712"/>
      <c r="BY54" s="712">
        <f>+SOAws!BY18+'recon-SOAws'!BY31-SORECGFws!BY38</f>
        <v>-5</v>
      </c>
      <c r="BZ54" s="712">
        <f>+SOAws!BZ18+'recon-SOAws'!BZ31-SORECGFws!BZ38</f>
        <v>0</v>
      </c>
    </row>
    <row r="55" spans="1:80" x14ac:dyDescent="0.2">
      <c r="C55" s="1413">
        <f>+C22-SORECGFws!C53</f>
        <v>0</v>
      </c>
      <c r="D55" s="1413">
        <f>+D22-SORECGFws!D53</f>
        <v>0</v>
      </c>
      <c r="E55" s="1413">
        <f>+E22-SORECGFws!E53</f>
        <v>0</v>
      </c>
      <c r="F55" s="1413">
        <f>+F22-SORECGFws!F53</f>
        <v>0</v>
      </c>
      <c r="G55" s="1413">
        <f>+G22-SORECGFws!G53</f>
        <v>0</v>
      </c>
      <c r="H55" s="1413">
        <f>+H22-SORECGFws!H53</f>
        <v>0</v>
      </c>
      <c r="I55" s="1413">
        <f>+I22-SORECGFws!I53</f>
        <v>0</v>
      </c>
      <c r="J55" s="1413">
        <f>+J22-SORECGFws!J53</f>
        <v>0</v>
      </c>
      <c r="K55" s="1413">
        <f>+K22-SORECGFws!K53</f>
        <v>0</v>
      </c>
      <c r="L55" s="1413">
        <f>+L22-SORECGFws!L53</f>
        <v>0</v>
      </c>
      <c r="M55" s="1413">
        <f>+M22-SORECGFws!M53</f>
        <v>0</v>
      </c>
      <c r="N55" s="1413">
        <f>+N22-SORECGFws!N53</f>
        <v>0</v>
      </c>
      <c r="O55" s="1413">
        <f>+O22-SORECGFws!O53</f>
        <v>0</v>
      </c>
      <c r="P55" s="1413">
        <f>+P22-SORECGFws!P53</f>
        <v>0</v>
      </c>
      <c r="Q55" s="1413">
        <f>+Q22-SORECGFws!Q53</f>
        <v>0</v>
      </c>
      <c r="R55" s="1413">
        <f>+R22-SORECGFws!R53</f>
        <v>0</v>
      </c>
      <c r="S55" s="1413">
        <f>+S22-SORECGFws!S53</f>
        <v>0</v>
      </c>
      <c r="T55" s="1413">
        <f>+T22-SORECGFws!T53</f>
        <v>0</v>
      </c>
      <c r="U55" s="1413">
        <f>+U22-SORECGFws!U53</f>
        <v>0</v>
      </c>
      <c r="V55" s="1413">
        <f>+V22-SORECGFws!V53</f>
        <v>0</v>
      </c>
      <c r="W55" s="1413">
        <f>+W22-SORECGFws!W53</f>
        <v>0</v>
      </c>
      <c r="X55" s="1413">
        <f>+X22-SORECGFws!X53</f>
        <v>0</v>
      </c>
      <c r="Y55" s="1413">
        <f>+Y22-SORECGFws!Y53</f>
        <v>0</v>
      </c>
      <c r="Z55" s="1413">
        <f>+Z22-SORECGFws!Z53</f>
        <v>0</v>
      </c>
      <c r="AA55" s="1413">
        <f>+AA22-SORECGFws!AA53</f>
        <v>0</v>
      </c>
      <c r="AB55" s="1413">
        <f>+AB22-SORECGFws!AB53</f>
        <v>0</v>
      </c>
      <c r="AC55" s="1413">
        <f>+AC22-SORECGFws!AC53</f>
        <v>0</v>
      </c>
      <c r="AD55" s="1413">
        <f>+AD22-SORECGFws!AD53</f>
        <v>0</v>
      </c>
      <c r="AE55" s="1413"/>
      <c r="AF55" s="1413">
        <f>+AF22-SORECGFws!AF53</f>
        <v>0</v>
      </c>
      <c r="AG55" s="1413">
        <f>+AG22-SORECGFws!AG53</f>
        <v>0</v>
      </c>
      <c r="AH55" s="1413">
        <f>+AH22-SORECGFws!AH53</f>
        <v>0</v>
      </c>
      <c r="AI55" s="1413">
        <f>+AI22-SORECGFws!AI53</f>
        <v>0</v>
      </c>
      <c r="AJ55" s="1413">
        <f>+AJ22-SORECGFws!AJ53</f>
        <v>0</v>
      </c>
      <c r="AK55" s="1413">
        <f>+AK22-SORECGFws!AK53</f>
        <v>0</v>
      </c>
      <c r="AL55" s="1413">
        <f>+AL22-SORECGFws!AL53</f>
        <v>0</v>
      </c>
      <c r="AM55" s="1413">
        <f>+AM22-SORECGFws!AM53</f>
        <v>0</v>
      </c>
      <c r="AN55" s="1413">
        <f>+AN22-SORECGFws!AN53</f>
        <v>0</v>
      </c>
      <c r="AO55" s="1413"/>
      <c r="AP55" s="1413"/>
      <c r="AQ55" s="1413"/>
      <c r="AR55" s="1413">
        <f>+AR22-SORECGFws!AR53</f>
        <v>0</v>
      </c>
      <c r="AS55" s="1413">
        <f>+AS22-SORECGFws!AS53</f>
        <v>0</v>
      </c>
      <c r="AT55" s="1413">
        <f>+AT22-SORECGFws!AT53</f>
        <v>0</v>
      </c>
      <c r="AU55" s="1413">
        <f>+AU22-SORECGFws!AU53</f>
        <v>0</v>
      </c>
      <c r="AV55" s="1413">
        <f>+AV22-SORECGFws!AV53</f>
        <v>0</v>
      </c>
      <c r="AW55" s="1413">
        <f>+AW22-SORECGFws!AW53</f>
        <v>-110200</v>
      </c>
      <c r="AX55" s="1413">
        <f>+AX22-SORECGFws!AX53</f>
        <v>0</v>
      </c>
      <c r="AY55" s="1413">
        <f>+AY22-SORECGFws!AY53</f>
        <v>0</v>
      </c>
      <c r="AZ55" s="1413">
        <f>+AZ22-SORECGFws!AZ53</f>
        <v>0</v>
      </c>
      <c r="BA55" s="1413">
        <f>+BA22-SORECGFws!BA53</f>
        <v>0</v>
      </c>
      <c r="BB55" s="1413">
        <f>+BB22-SORECGFws!BB53</f>
        <v>0</v>
      </c>
      <c r="BC55" s="1413">
        <f>+BC22-SORECGFws!BC53</f>
        <v>0</v>
      </c>
      <c r="BD55" s="1413">
        <f>+BD22-SORECGFws!BD53</f>
        <v>0</v>
      </c>
      <c r="BE55" s="1413">
        <f>+BE22-SORECGFws!BE53</f>
        <v>0</v>
      </c>
      <c r="BF55" s="1413">
        <f>+BF22-SORECGFws!BF53</f>
        <v>0</v>
      </c>
      <c r="BG55" s="1413">
        <f>+BG22-SORECGFws!BG53</f>
        <v>0</v>
      </c>
      <c r="BH55" s="1413">
        <f>+BH22-SORECGFws!BH53</f>
        <v>-556</v>
      </c>
      <c r="BI55" s="1413">
        <f>+BI22-SORECGFws!BI53</f>
        <v>0</v>
      </c>
      <c r="BJ55" s="1413">
        <f>+BJ22-SORECGFws!BJ53</f>
        <v>-2028</v>
      </c>
      <c r="BK55" s="1413">
        <f>+BK22-SORECGFws!BK53</f>
        <v>-58890</v>
      </c>
      <c r="BL55" s="1413">
        <f>+BL22-SORECGFws!BL53</f>
        <v>0</v>
      </c>
      <c r="BM55" s="1413">
        <f>+BM22-SORECGFws!BM53</f>
        <v>0</v>
      </c>
      <c r="BN55" s="1413">
        <f>+BN22-SORECGFws!BN53</f>
        <v>0</v>
      </c>
      <c r="BO55" s="1413">
        <f>+BO22-SORECGFws!BO53</f>
        <v>0</v>
      </c>
      <c r="BP55" s="1413">
        <f>+BP22-SORECGFws!BP53</f>
        <v>0</v>
      </c>
      <c r="BQ55" s="1413">
        <f>+BQ22-SORECGFws!BQ53</f>
        <v>0</v>
      </c>
      <c r="BR55" s="1413">
        <f>+BR22-SORECGFws!BR53</f>
        <v>0</v>
      </c>
      <c r="BS55" s="1413">
        <f>+BS22-SORECGFws!BS53</f>
        <v>0</v>
      </c>
      <c r="BT55" s="1413">
        <f>+BT22-SORECGFws!BT53</f>
        <v>0</v>
      </c>
      <c r="BU55" s="1413">
        <f>+BU22-SORECGFws!BU53</f>
        <v>0</v>
      </c>
      <c r="BV55" s="1413">
        <f>+BV22-SORECGFws!BV53</f>
        <v>0</v>
      </c>
      <c r="BW55" s="1413">
        <f>+BW22-SORECGFws!BW53</f>
        <v>0</v>
      </c>
      <c r="BX55" s="1413">
        <f>+BX22-SORECGFws!BX53</f>
        <v>0</v>
      </c>
      <c r="BY55" s="1413">
        <f>+BY22-SORECGFws!BY53</f>
        <v>0</v>
      </c>
      <c r="BZ55" s="1413">
        <f>+BZ22-SORECGFws!BZ53</f>
        <v>0</v>
      </c>
      <c r="CA55" s="1413">
        <f>+CA22-SORECGFws!CA53</f>
        <v>0</v>
      </c>
      <c r="CB55" s="1413">
        <f>+CB22-SORECGFws!CB53</f>
        <v>0</v>
      </c>
    </row>
    <row r="60" spans="1:80" x14ac:dyDescent="0.2">
      <c r="D60" s="202">
        <v>280396</v>
      </c>
    </row>
    <row r="61" spans="1:80" x14ac:dyDescent="0.2">
      <c r="D61" s="202">
        <v>278186</v>
      </c>
    </row>
    <row r="63" spans="1:80" x14ac:dyDescent="0.2">
      <c r="D63" s="202">
        <f>+D60-D61</f>
        <v>2210</v>
      </c>
    </row>
  </sheetData>
  <phoneticPr fontId="9" type="noConversion"/>
  <pageMargins left="0.5" right="0.5" top="0.75" bottom="0.25" header="0.5" footer="0.5"/>
  <pageSetup scale="66" fitToWidth="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6" tint="0.39997558519241921"/>
    <pageSetUpPr fitToPage="1"/>
  </sheetPr>
  <dimension ref="A1:R133"/>
  <sheetViews>
    <sheetView view="pageBreakPreview" topLeftCell="A2" zoomScale="110" zoomScaleNormal="100" zoomScaleSheetLayoutView="110" workbookViewId="0">
      <selection activeCell="E41" sqref="E41"/>
    </sheetView>
  </sheetViews>
  <sheetFormatPr defaultColWidth="9.140625" defaultRowHeight="9.9499999999999993" customHeight="1" x14ac:dyDescent="0.2"/>
  <cols>
    <col min="1" max="1" width="38.42578125" style="247" customWidth="1"/>
    <col min="2" max="2" width="1.5703125" style="247" customWidth="1"/>
    <col min="3" max="3" width="12.5703125" style="247" customWidth="1"/>
    <col min="4" max="4" width="1.5703125" style="247" customWidth="1"/>
    <col min="5" max="5" width="12.5703125" style="247" customWidth="1"/>
    <col min="6" max="6" width="1.5703125" style="247" customWidth="1"/>
    <col min="7" max="7" width="12.5703125" style="247" customWidth="1"/>
    <col min="8" max="8" width="1.5703125" style="247" customWidth="1"/>
    <col min="9" max="9" width="12.5703125" style="247" customWidth="1"/>
    <col min="10" max="10" width="3.5703125" style="247" customWidth="1"/>
    <col min="11" max="11" width="9.42578125" style="247" hidden="1" customWidth="1"/>
    <col min="12" max="12" width="12.42578125" style="247" bestFit="1" customWidth="1"/>
    <col min="13" max="13" width="1.5703125" style="247" customWidth="1"/>
    <col min="14" max="14" width="7.5703125" style="1043" bestFit="1" customWidth="1"/>
    <col min="15" max="15" width="9.140625" style="247"/>
    <col min="16" max="16" width="10.42578125" style="247" bestFit="1" customWidth="1"/>
    <col min="17" max="16384" width="9.140625" style="247"/>
  </cols>
  <sheetData>
    <row r="1" spans="1:17" s="212" customFormat="1" ht="16.5" customHeight="1" thickBot="1" x14ac:dyDescent="0.25">
      <c r="A1" s="1571" t="s">
        <v>1033</v>
      </c>
      <c r="B1" s="1571"/>
      <c r="C1" s="1571"/>
      <c r="D1" s="1571"/>
      <c r="E1" s="1571"/>
      <c r="F1" s="1571"/>
      <c r="G1" s="1571"/>
      <c r="H1" s="1571"/>
      <c r="I1" s="1571"/>
      <c r="J1" s="910"/>
      <c r="N1" s="1038"/>
    </row>
    <row r="2" spans="1:17" s="250" customFormat="1" ht="13.5" customHeight="1" x14ac:dyDescent="0.2">
      <c r="A2" s="1575" t="s">
        <v>1109</v>
      </c>
      <c r="B2" s="1575"/>
      <c r="C2" s="1575"/>
      <c r="D2" s="1575"/>
      <c r="E2" s="1575"/>
      <c r="F2" s="1575"/>
      <c r="G2" s="1575"/>
      <c r="H2" s="1575"/>
      <c r="I2" s="1575"/>
      <c r="J2" s="249"/>
      <c r="N2" s="1039"/>
    </row>
    <row r="3" spans="1:17" s="252" customFormat="1" ht="13.5" customHeight="1" x14ac:dyDescent="0.2">
      <c r="A3" s="1572" t="s">
        <v>1724</v>
      </c>
      <c r="B3" s="1572"/>
      <c r="C3" s="1572"/>
      <c r="D3" s="1572"/>
      <c r="E3" s="1572"/>
      <c r="F3" s="1572"/>
      <c r="G3" s="1572"/>
      <c r="H3" s="1572"/>
      <c r="I3" s="1572"/>
      <c r="J3" s="251"/>
      <c r="N3" s="1040"/>
    </row>
    <row r="4" spans="1:17" s="912" customFormat="1" ht="13.5" customHeight="1" x14ac:dyDescent="0.2">
      <c r="A4" s="1573" t="s">
        <v>972</v>
      </c>
      <c r="B4" s="1573"/>
      <c r="C4" s="1573"/>
      <c r="D4" s="1573"/>
      <c r="E4" s="1573"/>
      <c r="F4" s="1573"/>
      <c r="G4" s="1573"/>
      <c r="H4" s="1573"/>
      <c r="I4" s="1573"/>
      <c r="J4" s="911"/>
      <c r="N4" s="1041"/>
    </row>
    <row r="5" spans="1:17" s="253" customFormat="1" ht="18.75" customHeight="1" x14ac:dyDescent="0.2">
      <c r="C5" s="1574" t="s">
        <v>1034</v>
      </c>
      <c r="D5" s="1574"/>
      <c r="E5" s="1574"/>
      <c r="F5" s="1574"/>
      <c r="G5" s="1574"/>
      <c r="I5" s="254"/>
      <c r="J5" s="255"/>
      <c r="L5" s="256" t="s">
        <v>1068</v>
      </c>
      <c r="N5" s="256" t="s">
        <v>417</v>
      </c>
    </row>
    <row r="6" spans="1:17" s="253" customFormat="1" ht="12.6" customHeight="1" x14ac:dyDescent="0.2">
      <c r="B6" s="257"/>
      <c r="C6" s="258" t="s">
        <v>669</v>
      </c>
      <c r="D6" s="259"/>
      <c r="E6" s="258" t="s">
        <v>750</v>
      </c>
      <c r="F6" s="259"/>
      <c r="G6" s="260"/>
      <c r="H6" s="259"/>
      <c r="I6" s="260" t="s">
        <v>761</v>
      </c>
      <c r="J6" s="255"/>
      <c r="K6" s="259"/>
      <c r="L6" s="256" t="s">
        <v>587</v>
      </c>
      <c r="N6" s="256" t="s">
        <v>587</v>
      </c>
    </row>
    <row r="7" spans="1:17" s="253" customFormat="1" ht="12.6" customHeight="1" x14ac:dyDescent="0.2">
      <c r="C7" s="942" t="s">
        <v>670</v>
      </c>
      <c r="D7" s="261"/>
      <c r="E7" s="942" t="s">
        <v>670</v>
      </c>
      <c r="F7" s="259"/>
      <c r="G7" s="942" t="s">
        <v>671</v>
      </c>
      <c r="H7" s="259"/>
      <c r="I7" s="942" t="s">
        <v>762</v>
      </c>
      <c r="J7" s="255"/>
      <c r="K7" s="259"/>
      <c r="L7" s="262" t="s">
        <v>588</v>
      </c>
      <c r="N7" s="262" t="s">
        <v>588</v>
      </c>
    </row>
    <row r="8" spans="1:17" s="253" customFormat="1" ht="9.9499999999999993" customHeight="1" x14ac:dyDescent="0.2">
      <c r="A8" s="305" t="s">
        <v>589</v>
      </c>
      <c r="B8" s="263"/>
      <c r="J8" s="255"/>
      <c r="N8" s="1042"/>
    </row>
    <row r="9" spans="1:17" s="253" customFormat="1" ht="9.9499999999999993" customHeight="1" x14ac:dyDescent="0.2">
      <c r="A9" s="307" t="s">
        <v>61</v>
      </c>
      <c r="B9" s="263"/>
      <c r="J9" s="255"/>
      <c r="N9" s="1042"/>
    </row>
    <row r="10" spans="1:17" ht="9.9499999999999993" customHeight="1" x14ac:dyDescent="0.2">
      <c r="A10" s="308" t="s">
        <v>673</v>
      </c>
      <c r="C10" s="264">
        <f>+SONPws!B4</f>
        <v>217159</v>
      </c>
      <c r="D10" s="265"/>
      <c r="E10" s="264">
        <f>+SONPws!CD4</f>
        <v>13880</v>
      </c>
      <c r="F10" s="265"/>
      <c r="G10" s="264">
        <f t="shared" ref="G10:G48" si="0">SUM(C10:E10)</f>
        <v>231039</v>
      </c>
      <c r="H10" s="265"/>
      <c r="I10" s="264">
        <f>SUM(SONPCU!I13)</f>
        <v>661262</v>
      </c>
      <c r="J10" s="246"/>
      <c r="K10" s="266"/>
      <c r="L10" s="267">
        <f>SUM(C10-'BSGF-major'!Y12-SONPPF!K16)</f>
        <v>0</v>
      </c>
      <c r="M10" s="267"/>
      <c r="N10" s="267">
        <f>+E10-SONPPF!I16</f>
        <v>0</v>
      </c>
    </row>
    <row r="11" spans="1:17" ht="9.9499999999999993" customHeight="1" thickBot="1" x14ac:dyDescent="0.25">
      <c r="A11" s="308" t="s">
        <v>674</v>
      </c>
      <c r="C11" s="269">
        <f>SONPws!B5</f>
        <v>669966</v>
      </c>
      <c r="D11" s="269"/>
      <c r="E11" s="269">
        <f>+SONPws!CD5</f>
        <v>64113</v>
      </c>
      <c r="F11" s="269"/>
      <c r="G11" s="269">
        <f t="shared" si="0"/>
        <v>734079</v>
      </c>
      <c r="H11" s="269"/>
      <c r="I11" s="269">
        <f>SUM(SONPCU!I15)</f>
        <v>511211</v>
      </c>
      <c r="J11" s="246"/>
      <c r="K11" s="266"/>
      <c r="L11" s="267">
        <f>SUM(C11-'BSGF-major'!Y13-SONPPF!K17)</f>
        <v>0</v>
      </c>
      <c r="M11" s="267"/>
      <c r="N11" s="267">
        <f>+E11-SONPPF!I17</f>
        <v>0</v>
      </c>
    </row>
    <row r="12" spans="1:17" ht="9.75" customHeight="1" thickBot="1" x14ac:dyDescent="0.25">
      <c r="A12" s="308" t="s">
        <v>252</v>
      </c>
      <c r="C12" s="268">
        <f>SONPws!B6</f>
        <v>196832</v>
      </c>
      <c r="D12" s="269"/>
      <c r="E12" s="269">
        <f>+SONPws!CD6</f>
        <v>20314</v>
      </c>
      <c r="F12" s="269"/>
      <c r="G12" s="269">
        <f t="shared" si="0"/>
        <v>217146</v>
      </c>
      <c r="H12" s="269"/>
      <c r="I12" s="269">
        <f>SUM(SONPCU!I16)</f>
        <v>538346</v>
      </c>
      <c r="J12" s="246"/>
      <c r="K12" s="266"/>
      <c r="L12" s="267">
        <f>SUM(C12-'BSGF-major'!Y14-SONPPF!K18)</f>
        <v>0</v>
      </c>
      <c r="M12" s="267"/>
      <c r="N12" s="267">
        <f>+E12-SONPPF!I18</f>
        <v>0</v>
      </c>
      <c r="P12" s="1086">
        <f>C13</f>
        <v>0</v>
      </c>
      <c r="Q12" s="1071" t="s">
        <v>1197</v>
      </c>
    </row>
    <row r="13" spans="1:17" ht="8.25" hidden="1" customHeight="1" x14ac:dyDescent="0.2">
      <c r="A13" s="308" t="s">
        <v>1197</v>
      </c>
      <c r="C13" s="269">
        <f>(+SONPws!B9+SONPws!B23-SONPws!B53-SONPws!B60+SONPws!CD9+SONPws!CD23-SONPws!CD53-SONPws!CD60)*0</f>
        <v>0</v>
      </c>
      <c r="D13" s="269"/>
      <c r="E13" s="269"/>
      <c r="F13" s="269"/>
      <c r="G13" s="269">
        <f t="shared" si="0"/>
        <v>0</v>
      </c>
      <c r="H13" s="269"/>
      <c r="I13" s="269">
        <f>SUM(SONPCU!I17)</f>
        <v>0</v>
      </c>
      <c r="J13" s="265"/>
      <c r="K13" s="266"/>
      <c r="L13" s="267"/>
      <c r="M13" s="267"/>
      <c r="N13" s="267"/>
    </row>
    <row r="14" spans="1:17" ht="9.9499999999999993" customHeight="1" x14ac:dyDescent="0.2">
      <c r="A14" s="308" t="s">
        <v>763</v>
      </c>
      <c r="C14" s="269">
        <f>SONPws!B7</f>
        <v>14137</v>
      </c>
      <c r="D14" s="269"/>
      <c r="E14" s="269">
        <f>+SONPws!CD7</f>
        <v>1362</v>
      </c>
      <c r="F14" s="269"/>
      <c r="G14" s="269">
        <f>SUM(C14:E14)</f>
        <v>15499</v>
      </c>
      <c r="H14" s="269"/>
      <c r="I14" s="269">
        <f>SUM(SONPCU!I20)</f>
        <v>225087</v>
      </c>
      <c r="J14" s="265"/>
      <c r="K14" s="266"/>
      <c r="L14" s="267">
        <f>SUM(C14-'BSGF-major'!Y15-SONPPF!K19)</f>
        <v>0</v>
      </c>
      <c r="M14" s="267"/>
      <c r="N14" s="267">
        <f>+E14-SONPPF!I19</f>
        <v>0</v>
      </c>
    </row>
    <row r="15" spans="1:17" ht="9.9499999999999993" customHeight="1" x14ac:dyDescent="0.2">
      <c r="A15" s="308" t="s">
        <v>680</v>
      </c>
      <c r="C15" s="269">
        <f>+SONPws!B8+SONPws!B23+SONPws!B9-SONPws!B53-SONPws!B60-C13</f>
        <v>8613</v>
      </c>
      <c r="D15" s="269"/>
      <c r="E15" s="269">
        <f>+SONPws!CD116+SONPws!CD9+SONPws!CD23-SONPws!CD53-SONPws!CD60</f>
        <v>-15161</v>
      </c>
      <c r="F15" s="269"/>
      <c r="G15" s="269">
        <f>SUM(C15:E15)</f>
        <v>-6548</v>
      </c>
      <c r="H15" s="269"/>
      <c r="I15" s="269">
        <f>SUM(SONPCU!I19)</f>
        <v>0</v>
      </c>
      <c r="J15" s="265"/>
      <c r="K15" s="266"/>
      <c r="L15" s="267">
        <f>+C15+E15</f>
        <v>-6548</v>
      </c>
      <c r="M15" s="267"/>
      <c r="N15" s="267">
        <f>+E15+C15</f>
        <v>-6548</v>
      </c>
    </row>
    <row r="16" spans="1:17" ht="8.25" hidden="1" customHeight="1" x14ac:dyDescent="0.2">
      <c r="A16" s="308"/>
      <c r="C16" s="838"/>
      <c r="D16" s="269"/>
      <c r="E16" s="269"/>
      <c r="F16" s="269"/>
      <c r="G16" s="269"/>
      <c r="H16" s="269"/>
      <c r="J16" s="265"/>
      <c r="K16" s="266"/>
      <c r="L16" s="267"/>
      <c r="M16" s="267"/>
      <c r="N16" s="267"/>
    </row>
    <row r="17" spans="1:16" ht="9.9499999999999993" customHeight="1" x14ac:dyDescent="0.2">
      <c r="A17" s="308" t="s">
        <v>1216</v>
      </c>
      <c r="C17" s="269">
        <f>SONPws!B11</f>
        <v>4224</v>
      </c>
      <c r="D17" s="269"/>
      <c r="E17" s="269">
        <f>+SONPws!CD11</f>
        <v>78</v>
      </c>
      <c r="F17" s="269"/>
      <c r="G17" s="269">
        <f t="shared" si="0"/>
        <v>4302</v>
      </c>
      <c r="H17" s="269"/>
      <c r="I17" s="269">
        <f>SUM(SONPCU!I21)</f>
        <v>987</v>
      </c>
      <c r="J17" s="265"/>
      <c r="K17" s="266"/>
      <c r="L17" s="267">
        <f>+C17-'BSGF-major'!Y20-SONPPF!K24</f>
        <v>0</v>
      </c>
      <c r="M17" s="267"/>
      <c r="N17" s="267">
        <f>+E17-SONPPF!I24</f>
        <v>0</v>
      </c>
    </row>
    <row r="18" spans="1:16" ht="9.9499999999999993" customHeight="1" x14ac:dyDescent="0.2">
      <c r="A18" s="308" t="s">
        <v>683</v>
      </c>
      <c r="C18" s="269">
        <f>SONPws!B14</f>
        <v>304</v>
      </c>
      <c r="D18" s="269"/>
      <c r="E18" s="269">
        <f>+SONPws!CD22</f>
        <v>0</v>
      </c>
      <c r="F18" s="269"/>
      <c r="G18" s="269">
        <f>SUM(C18:E18)</f>
        <v>304</v>
      </c>
      <c r="H18" s="269"/>
      <c r="J18" s="265"/>
      <c r="K18" s="266"/>
      <c r="L18" s="267">
        <f>+C18-'BSGF-major'!Y16-SONPPF!K20</f>
        <v>0</v>
      </c>
      <c r="M18" s="267"/>
      <c r="N18" s="267">
        <f>+E18-SONPPF!G20</f>
        <v>0</v>
      </c>
    </row>
    <row r="19" spans="1:16" ht="9.9499999999999993" customHeight="1" x14ac:dyDescent="0.2">
      <c r="A19" s="308" t="s">
        <v>679</v>
      </c>
      <c r="C19" s="269">
        <f>SONPws!B12</f>
        <v>12701</v>
      </c>
      <c r="D19" s="269"/>
      <c r="E19" s="269">
        <f>+SONPws!CD12</f>
        <v>101</v>
      </c>
      <c r="F19" s="269"/>
      <c r="G19" s="269">
        <f t="shared" si="0"/>
        <v>12802</v>
      </c>
      <c r="H19" s="269"/>
      <c r="I19" s="269">
        <f>SUM(SONPCU!I22)</f>
        <v>179262</v>
      </c>
      <c r="J19" s="265"/>
      <c r="K19" s="266"/>
      <c r="L19" s="267">
        <f>+C19-'BSGF-major'!Y17-SONPPF!K21</f>
        <v>0</v>
      </c>
      <c r="M19" s="267"/>
      <c r="N19" s="267">
        <f>+E19-SONPPF!I21</f>
        <v>0</v>
      </c>
    </row>
    <row r="20" spans="1:16" ht="9.9499999999999993" customHeight="1" x14ac:dyDescent="0.2">
      <c r="A20" s="308" t="s">
        <v>1773</v>
      </c>
      <c r="C20" s="269">
        <f>SONPws!B13</f>
        <v>3228</v>
      </c>
      <c r="D20" s="269"/>
      <c r="E20" s="269">
        <f>+SONPws!CD13</f>
        <v>9666</v>
      </c>
      <c r="F20" s="269"/>
      <c r="G20" s="269">
        <f t="shared" ref="G20" si="1">SUM(C20:E20)</f>
        <v>12894</v>
      </c>
      <c r="H20" s="269"/>
      <c r="I20" s="269">
        <f>SONPCU!I24</f>
        <v>26265</v>
      </c>
      <c r="J20" s="265"/>
      <c r="K20" s="266"/>
      <c r="L20" s="267"/>
      <c r="M20" s="267"/>
      <c r="N20" s="267"/>
    </row>
    <row r="21" spans="1:16" ht="9.9499999999999993" customHeight="1" x14ac:dyDescent="0.2">
      <c r="A21" s="308" t="s">
        <v>982</v>
      </c>
      <c r="C21" s="269"/>
      <c r="D21" s="269"/>
      <c r="F21" s="269"/>
      <c r="G21" s="269">
        <f t="shared" si="0"/>
        <v>0</v>
      </c>
      <c r="H21" s="269"/>
      <c r="I21" s="269">
        <f>SUM(SONPCU!I23)</f>
        <v>8</v>
      </c>
      <c r="J21" s="265"/>
      <c r="K21" s="266"/>
      <c r="L21" s="267"/>
      <c r="M21" s="267"/>
      <c r="N21" s="267"/>
    </row>
    <row r="22" spans="1:16" ht="9.9499999999999993" hidden="1" customHeight="1" x14ac:dyDescent="0.2">
      <c r="I22" s="269"/>
    </row>
    <row r="23" spans="1:16" ht="9.9499999999999993" customHeight="1" x14ac:dyDescent="0.2">
      <c r="A23" s="308" t="s">
        <v>685</v>
      </c>
      <c r="C23" s="269"/>
      <c r="D23" s="269"/>
      <c r="E23" s="269">
        <f>+SONPws!CD15</f>
        <v>0</v>
      </c>
      <c r="F23" s="269"/>
      <c r="G23" s="269">
        <f t="shared" si="0"/>
        <v>0</v>
      </c>
      <c r="H23" s="269"/>
      <c r="I23" s="269">
        <f>SUM(SONPCU!I27)</f>
        <v>0</v>
      </c>
      <c r="J23" s="265"/>
      <c r="K23" s="266"/>
      <c r="L23" s="267"/>
      <c r="M23" s="267"/>
      <c r="N23" s="267"/>
    </row>
    <row r="24" spans="1:16" ht="9.9499999999999993" customHeight="1" x14ac:dyDescent="0.2">
      <c r="A24" s="309" t="s">
        <v>673</v>
      </c>
      <c r="C24" s="269">
        <f>SONPws!B16</f>
        <v>557381</v>
      </c>
      <c r="D24" s="269"/>
      <c r="E24" s="269">
        <f>+SONPws!CD16</f>
        <v>164906</v>
      </c>
      <c r="F24" s="269"/>
      <c r="G24" s="269">
        <f t="shared" si="0"/>
        <v>722287</v>
      </c>
      <c r="H24" s="269"/>
      <c r="I24" s="269">
        <f>+SONPCU!I30+SONPCU!I34+SONPCU!I38+SONPCU!I42</f>
        <v>633141</v>
      </c>
      <c r="J24" s="265"/>
      <c r="K24" s="266"/>
      <c r="L24" s="267">
        <f>+C24-'BSGF-major'!Y22-SONPPF!K30-SONPPF!K37-SONPPF!K44-SONPPF!K51</f>
        <v>0</v>
      </c>
      <c r="M24" s="267"/>
      <c r="N24" s="267">
        <f>+E24-SONPPF!I30-SONPPF!I37-SONPPF!I44-SONPPF!I51</f>
        <v>0</v>
      </c>
    </row>
    <row r="25" spans="1:16" ht="9.9499999999999993" customHeight="1" x14ac:dyDescent="0.2">
      <c r="A25" s="309" t="s">
        <v>674</v>
      </c>
      <c r="C25" s="269">
        <f>SONPws!B17</f>
        <v>917855</v>
      </c>
      <c r="D25" s="269"/>
      <c r="E25" s="269">
        <f>+SONPws!CD17</f>
        <v>330264</v>
      </c>
      <c r="F25" s="269"/>
      <c r="G25" s="269">
        <f t="shared" si="0"/>
        <v>1248119</v>
      </c>
      <c r="H25" s="269"/>
      <c r="I25" s="269">
        <f>+SONPCU!I31+SONPCU!I35+SONPCU!I39+SONPCU!I44</f>
        <v>1445676</v>
      </c>
      <c r="J25" s="265"/>
      <c r="K25" s="266"/>
      <c r="L25" s="267">
        <f>+C25-'BSGF-major'!Y23-SONPPF!K31-SONPPF!K38-SONPPF!K45-SONPPF!K52-'recon-SONPws'!B32+C42</f>
        <v>0</v>
      </c>
      <c r="M25" s="267"/>
      <c r="N25" s="267">
        <f>+E25-SONPPF!I31-SONPPF!I38-SONPPF!I45-SONPPF!I52</f>
        <v>0</v>
      </c>
    </row>
    <row r="26" spans="1:16" ht="9.9499999999999993" customHeight="1" x14ac:dyDescent="0.2">
      <c r="A26" s="309" t="s">
        <v>252</v>
      </c>
      <c r="C26" s="269">
        <f>SONPws!B18</f>
        <v>121286</v>
      </c>
      <c r="D26" s="269"/>
      <c r="E26" s="269">
        <f>+SONPws!CD18</f>
        <v>6688</v>
      </c>
      <c r="F26" s="269"/>
      <c r="G26" s="269">
        <f t="shared" si="0"/>
        <v>127974</v>
      </c>
      <c r="H26" s="269"/>
      <c r="I26" s="269">
        <f>+SONPCU!I32+SONPCU!I45+SONPCU!I48+SONPCU!I40+SONPCU!I36</f>
        <v>9654</v>
      </c>
      <c r="J26" s="265"/>
      <c r="K26" s="266"/>
      <c r="L26" s="267">
        <f>+C26-'BSGF-major'!Y24-SONPPF!K32-SONPPF!K40-SONPPF!K46-SONPPF!K53+G43-'recon-SONPws'!BJ28-'recon-SONPws'!B34</f>
        <v>0</v>
      </c>
      <c r="M26" s="267"/>
      <c r="N26" s="267">
        <f>+E26-SONPPF!I33-SONPPF!I39-SONPPF!I47-SONPPF!I54</f>
        <v>0</v>
      </c>
    </row>
    <row r="27" spans="1:16" ht="9.9499999999999993" customHeight="1" x14ac:dyDescent="0.2">
      <c r="A27" s="309" t="s">
        <v>763</v>
      </c>
      <c r="B27" s="270"/>
      <c r="C27" s="269">
        <f>SONPws!B19</f>
        <v>1647</v>
      </c>
      <c r="D27" s="269"/>
      <c r="E27" s="269">
        <f>SONPws!CD19</f>
        <v>0</v>
      </c>
      <c r="F27" s="269"/>
      <c r="G27" s="269">
        <f>SUM(C27:E27)</f>
        <v>1647</v>
      </c>
      <c r="H27" s="269"/>
      <c r="I27" s="269"/>
      <c r="J27" s="265"/>
      <c r="K27" s="266"/>
      <c r="L27" s="267">
        <f>+C27-'BSGF-major'!Y25-SONPPF!K33-SONPPF!K39-SONPPF!K47-SONPPF!K54</f>
        <v>0</v>
      </c>
      <c r="M27" s="267"/>
      <c r="N27" s="267"/>
    </row>
    <row r="28" spans="1:16" ht="9.9499999999999993" hidden="1" customHeight="1" x14ac:dyDescent="0.2">
      <c r="A28" s="309" t="s">
        <v>684</v>
      </c>
      <c r="B28" s="270"/>
      <c r="C28" s="269"/>
      <c r="D28" s="269"/>
      <c r="E28" s="269"/>
      <c r="F28" s="269"/>
      <c r="G28" s="269"/>
      <c r="H28" s="269"/>
      <c r="I28" s="269">
        <f>+SONPCU!I47</f>
        <v>0</v>
      </c>
      <c r="J28" s="265"/>
      <c r="K28" s="266"/>
      <c r="L28" s="267"/>
      <c r="M28" s="267"/>
      <c r="N28" s="267"/>
      <c r="P28" s="269"/>
    </row>
    <row r="29" spans="1:16" ht="9.9499999999999993" customHeight="1" x14ac:dyDescent="0.2">
      <c r="A29" s="309" t="s">
        <v>683</v>
      </c>
      <c r="C29" s="269">
        <f>SONPws!B22</f>
        <v>15</v>
      </c>
      <c r="D29" s="269"/>
      <c r="E29" s="269">
        <f>+SONPws!CD22</f>
        <v>0</v>
      </c>
      <c r="F29" s="269"/>
      <c r="G29" s="269">
        <f>SUM(C29:E29)</f>
        <v>15</v>
      </c>
      <c r="H29" s="269"/>
      <c r="I29" s="269"/>
      <c r="J29" s="265"/>
      <c r="K29" s="266"/>
      <c r="L29" s="267"/>
      <c r="M29" s="267"/>
      <c r="N29" s="267"/>
      <c r="P29" s="247" t="s">
        <v>39</v>
      </c>
    </row>
    <row r="30" spans="1:16" ht="9.9499999999999993" customHeight="1" x14ac:dyDescent="0.2">
      <c r="A30" s="309" t="s">
        <v>679</v>
      </c>
      <c r="C30" s="269">
        <f>SONPws!B20</f>
        <v>9954</v>
      </c>
      <c r="D30" s="269"/>
      <c r="E30" s="269">
        <f>+SONPws!CD20</f>
        <v>264</v>
      </c>
      <c r="F30" s="269"/>
      <c r="G30" s="269">
        <f t="shared" si="0"/>
        <v>10218</v>
      </c>
      <c r="H30" s="269"/>
      <c r="I30" s="269"/>
      <c r="J30" s="265"/>
      <c r="K30" s="266"/>
      <c r="L30" s="267"/>
      <c r="M30" s="267"/>
      <c r="N30" s="267"/>
    </row>
    <row r="31" spans="1:16" ht="9.9499999999999993" customHeight="1" x14ac:dyDescent="0.2">
      <c r="A31" s="309" t="s">
        <v>1773</v>
      </c>
      <c r="C31" s="269">
        <f>SONPws!B21</f>
        <v>2367</v>
      </c>
      <c r="D31" s="269"/>
      <c r="E31" s="269"/>
      <c r="F31" s="269"/>
      <c r="G31" s="269">
        <f t="shared" si="0"/>
        <v>2367</v>
      </c>
      <c r="H31" s="269"/>
      <c r="I31" s="269">
        <f>SONPCU!I46</f>
        <v>3902</v>
      </c>
      <c r="J31" s="265"/>
      <c r="K31" s="266"/>
      <c r="L31" s="267"/>
      <c r="M31" s="267"/>
      <c r="N31" s="267"/>
    </row>
    <row r="32" spans="1:16" ht="9.9499999999999993" customHeight="1" x14ac:dyDescent="0.2">
      <c r="A32" s="309" t="s">
        <v>1216</v>
      </c>
      <c r="B32" s="270"/>
      <c r="C32" s="269">
        <f>SONPws!B24</f>
        <v>92556</v>
      </c>
      <c r="D32" s="269"/>
      <c r="E32" s="269">
        <f>+SONPws!CD24</f>
        <v>150</v>
      </c>
      <c r="F32" s="269"/>
      <c r="G32" s="269">
        <f t="shared" si="0"/>
        <v>92706</v>
      </c>
      <c r="H32" s="269"/>
      <c r="I32" s="269"/>
      <c r="J32" s="265"/>
      <c r="K32" s="266"/>
      <c r="L32" s="267">
        <f>+C32-'BSGF-major'!Y30</f>
        <v>0</v>
      </c>
      <c r="M32" s="267"/>
      <c r="N32" s="267">
        <f>+E32-SONPPF!I35-SONPPF!I42-SONPPF!I49-SONPPF!I56</f>
        <v>0</v>
      </c>
    </row>
    <row r="33" spans="1:16" ht="9.9499999999999993" customHeight="1" x14ac:dyDescent="0.2">
      <c r="A33" s="307" t="s">
        <v>64</v>
      </c>
      <c r="B33" s="270"/>
      <c r="C33" s="271">
        <f>SUM(C10:C32)</f>
        <v>2830225</v>
      </c>
      <c r="D33" s="269"/>
      <c r="E33" s="271">
        <f>SUM(E10:E32)</f>
        <v>596625</v>
      </c>
      <c r="F33" s="269"/>
      <c r="G33" s="271">
        <f>SUM(G10:G32)</f>
        <v>3426850</v>
      </c>
      <c r="H33" s="269"/>
      <c r="I33" s="271">
        <f>SUM(I10:I32)</f>
        <v>4234801</v>
      </c>
      <c r="J33" s="265"/>
      <c r="K33" s="266"/>
      <c r="L33" s="267"/>
      <c r="M33" s="267"/>
      <c r="N33" s="267"/>
    </row>
    <row r="34" spans="1:16" ht="9.9499999999999993" customHeight="1" x14ac:dyDescent="0.2">
      <c r="A34" s="307" t="s">
        <v>70</v>
      </c>
      <c r="B34" s="270"/>
      <c r="C34" s="269"/>
      <c r="D34" s="269"/>
      <c r="E34" s="269"/>
      <c r="F34" s="269"/>
      <c r="G34" s="269"/>
      <c r="H34" s="269"/>
      <c r="I34" s="269"/>
      <c r="J34" s="265"/>
      <c r="K34" s="266"/>
      <c r="L34" s="267"/>
      <c r="M34" s="267"/>
      <c r="N34" s="267"/>
    </row>
    <row r="35" spans="1:16" ht="9.9499999999999993" customHeight="1" x14ac:dyDescent="0.2">
      <c r="A35" s="308" t="s">
        <v>686</v>
      </c>
      <c r="C35" s="269"/>
      <c r="D35" s="269"/>
      <c r="E35" s="269"/>
      <c r="F35" s="269"/>
      <c r="G35" s="269">
        <f t="shared" si="0"/>
        <v>0</v>
      </c>
      <c r="H35" s="269"/>
      <c r="I35" s="269"/>
      <c r="J35" s="265"/>
      <c r="K35" s="266"/>
      <c r="L35" s="267"/>
      <c r="M35" s="267"/>
      <c r="N35" s="267"/>
    </row>
    <row r="36" spans="1:16" ht="9.9499999999999993" customHeight="1" x14ac:dyDescent="0.2">
      <c r="A36" s="309" t="s">
        <v>1710</v>
      </c>
      <c r="C36" s="269">
        <f>SONPws!B29</f>
        <v>2306612</v>
      </c>
      <c r="D36" s="269"/>
      <c r="E36" s="269">
        <f>+SONPws!CD29</f>
        <v>121132</v>
      </c>
      <c r="F36" s="269"/>
      <c r="G36" s="269">
        <f t="shared" si="0"/>
        <v>2427744</v>
      </c>
      <c r="H36" s="269"/>
      <c r="I36" s="269">
        <f>+SONPCU!I58+SONPCU!I59+SONPCU!I65</f>
        <v>2788863</v>
      </c>
      <c r="J36" s="265"/>
      <c r="K36" s="266"/>
      <c r="L36" s="267"/>
      <c r="M36" s="267"/>
      <c r="N36" s="267"/>
    </row>
    <row r="37" spans="1:16" ht="9.9499999999999993" customHeight="1" x14ac:dyDescent="0.2">
      <c r="A37" s="309" t="s">
        <v>1036</v>
      </c>
      <c r="C37" s="269">
        <f>SONPws!B30</f>
        <v>3578014</v>
      </c>
      <c r="D37" s="269"/>
      <c r="E37" s="269">
        <f>+SONPws!CD30</f>
        <v>677729</v>
      </c>
      <c r="F37" s="269"/>
      <c r="G37" s="269">
        <f t="shared" si="0"/>
        <v>4255743</v>
      </c>
      <c r="H37" s="269"/>
      <c r="I37" s="269">
        <f>+SONPCU!I60+SONPCU!I61+SONPCU!I62+SONPCU!I63+SONPCU!I64+SONPCU!I66-SONPCU!I67</f>
        <v>15432267</v>
      </c>
      <c r="J37" s="265"/>
      <c r="K37" s="266"/>
      <c r="L37" s="267"/>
      <c r="M37" s="267"/>
      <c r="N37" s="267"/>
    </row>
    <row r="38" spans="1:16" ht="9.9499999999999993" customHeight="1" x14ac:dyDescent="0.2">
      <c r="A38" s="309" t="s">
        <v>1612</v>
      </c>
      <c r="C38" s="269">
        <f>SONPws!B31</f>
        <v>94890</v>
      </c>
      <c r="D38" s="269"/>
      <c r="E38" s="269">
        <f>+SONPws!CD31</f>
        <v>11137</v>
      </c>
      <c r="F38" s="269"/>
      <c r="G38" s="269">
        <f t="shared" si="0"/>
        <v>106027</v>
      </c>
      <c r="H38" s="269"/>
      <c r="I38" s="269">
        <f>SONPCU!I74</f>
        <v>5809</v>
      </c>
      <c r="J38" s="265"/>
      <c r="K38" s="266"/>
      <c r="L38" s="267"/>
      <c r="M38" s="267"/>
      <c r="N38" s="267"/>
      <c r="O38" s="247">
        <v>67807</v>
      </c>
      <c r="P38" s="247">
        <v>31801</v>
      </c>
    </row>
    <row r="39" spans="1:16" ht="9.9499999999999993" customHeight="1" x14ac:dyDescent="0.2">
      <c r="A39" s="309" t="s">
        <v>1644</v>
      </c>
      <c r="C39" s="269">
        <f>SONPws!B32</f>
        <v>90901</v>
      </c>
      <c r="D39" s="269"/>
      <c r="E39" s="269">
        <f>+SONPws!CD32</f>
        <v>7285</v>
      </c>
      <c r="F39" s="269"/>
      <c r="G39" s="269">
        <f t="shared" si="0"/>
        <v>98186</v>
      </c>
      <c r="H39" s="269"/>
      <c r="I39" s="269">
        <f>SONPCU!I79</f>
        <v>34669</v>
      </c>
      <c r="J39" s="265"/>
      <c r="K39" s="266"/>
      <c r="L39" s="267"/>
      <c r="M39" s="267"/>
      <c r="N39" s="267"/>
      <c r="O39" s="247">
        <v>-8621</v>
      </c>
      <c r="P39" s="247">
        <v>-1492</v>
      </c>
    </row>
    <row r="40" spans="1:16" ht="9.9499999999999993" hidden="1" customHeight="1" x14ac:dyDescent="0.2">
      <c r="A40" s="308" t="s">
        <v>764</v>
      </c>
      <c r="C40" s="269"/>
      <c r="D40" s="269"/>
      <c r="E40" s="269">
        <f>+SONPws!CD34</f>
        <v>0</v>
      </c>
      <c r="F40" s="269"/>
      <c r="G40" s="269">
        <f t="shared" si="0"/>
        <v>0</v>
      </c>
      <c r="H40" s="269"/>
      <c r="I40" s="269">
        <f>SUM(SONPCU!I81)</f>
        <v>0</v>
      </c>
      <c r="J40" s="265"/>
      <c r="K40" s="266"/>
      <c r="L40" s="267"/>
      <c r="M40" s="267"/>
      <c r="N40" s="267"/>
    </row>
    <row r="41" spans="1:16" ht="9.9499999999999993" customHeight="1" x14ac:dyDescent="0.2">
      <c r="A41" s="308" t="s">
        <v>673</v>
      </c>
      <c r="C41" s="269"/>
      <c r="D41" s="269"/>
      <c r="E41" s="269"/>
      <c r="F41" s="269"/>
      <c r="G41" s="269">
        <f t="shared" si="0"/>
        <v>0</v>
      </c>
      <c r="H41" s="269"/>
      <c r="I41" s="269">
        <f>+SONPCU!I85</f>
        <v>236379</v>
      </c>
      <c r="J41" s="265"/>
      <c r="K41" s="266"/>
      <c r="L41" s="267"/>
      <c r="M41" s="267"/>
      <c r="N41" s="267"/>
    </row>
    <row r="42" spans="1:16" ht="9.9499999999999993" customHeight="1" x14ac:dyDescent="0.2">
      <c r="A42" s="308" t="s">
        <v>674</v>
      </c>
      <c r="C42" s="269">
        <f>SONPws!B35</f>
        <v>700</v>
      </c>
      <c r="D42" s="269"/>
      <c r="E42" s="269"/>
      <c r="F42" s="269"/>
      <c r="G42" s="269">
        <f t="shared" si="0"/>
        <v>700</v>
      </c>
      <c r="H42" s="269"/>
      <c r="I42" s="269">
        <f>+SONPCU!I86</f>
        <v>346861</v>
      </c>
      <c r="J42" s="265"/>
      <c r="K42" s="266"/>
      <c r="L42" s="267"/>
      <c r="M42" s="267"/>
      <c r="N42" s="267"/>
    </row>
    <row r="43" spans="1:16" ht="9.9499999999999993" customHeight="1" x14ac:dyDescent="0.2">
      <c r="A43" s="308" t="s">
        <v>252</v>
      </c>
      <c r="C43" s="269">
        <f>SONPws!B36</f>
        <v>63869</v>
      </c>
      <c r="D43" s="269"/>
      <c r="E43" s="269">
        <f>+SONPws!CD36</f>
        <v>0</v>
      </c>
      <c r="F43" s="269"/>
      <c r="G43" s="269">
        <f t="shared" si="0"/>
        <v>63869</v>
      </c>
      <c r="H43" s="269"/>
      <c r="I43" s="269">
        <f>+SONPCU!I87</f>
        <v>4356</v>
      </c>
      <c r="J43" s="265"/>
      <c r="K43" s="266"/>
      <c r="L43" s="267"/>
      <c r="M43" s="267"/>
      <c r="N43" s="267"/>
    </row>
    <row r="44" spans="1:16" ht="9.9499999999999993" customHeight="1" x14ac:dyDescent="0.2">
      <c r="A44" s="308" t="s">
        <v>679</v>
      </c>
      <c r="C44" s="269">
        <f>+SONPws!B38</f>
        <v>0</v>
      </c>
      <c r="D44" s="269"/>
      <c r="E44" s="269">
        <f>+SONPws!CD38</f>
        <v>0</v>
      </c>
      <c r="F44" s="269"/>
      <c r="G44" s="269">
        <f t="shared" si="0"/>
        <v>0</v>
      </c>
      <c r="H44" s="269"/>
      <c r="I44" s="269">
        <f>SUM(SONPCU!I88)</f>
        <v>52365</v>
      </c>
      <c r="J44" s="265"/>
      <c r="K44" s="266"/>
      <c r="L44" s="267"/>
      <c r="M44" s="267"/>
      <c r="N44" s="267"/>
    </row>
    <row r="45" spans="1:16" ht="9.9499999999999993" customHeight="1" x14ac:dyDescent="0.2">
      <c r="A45" s="308" t="s">
        <v>1426</v>
      </c>
      <c r="C45" s="269"/>
      <c r="D45" s="269"/>
      <c r="E45" s="269">
        <f>+SONPws!CD39</f>
        <v>0</v>
      </c>
      <c r="F45" s="269"/>
      <c r="G45" s="269">
        <f t="shared" si="0"/>
        <v>0</v>
      </c>
      <c r="H45" s="269"/>
      <c r="I45" s="269">
        <f>SUM(SONPCU!I89)</f>
        <v>244586</v>
      </c>
      <c r="J45" s="265"/>
      <c r="K45" s="266"/>
      <c r="L45" s="267"/>
      <c r="M45" s="267"/>
      <c r="N45" s="267"/>
    </row>
    <row r="46" spans="1:16" ht="9.9499999999999993" customHeight="1" x14ac:dyDescent="0.2">
      <c r="A46" s="308" t="s">
        <v>1773</v>
      </c>
      <c r="C46" s="269">
        <f>SONPws!B37</f>
        <v>52019</v>
      </c>
      <c r="D46" s="269"/>
      <c r="E46" s="269">
        <f>SONPws!CD37</f>
        <v>71446</v>
      </c>
      <c r="F46" s="269"/>
      <c r="G46" s="269">
        <f t="shared" si="0"/>
        <v>123465</v>
      </c>
      <c r="H46" s="269"/>
      <c r="I46" s="269">
        <f>SUM(SONPCU!I90)</f>
        <v>213487</v>
      </c>
      <c r="J46" s="265"/>
      <c r="K46" s="266"/>
      <c r="L46" s="267"/>
      <c r="M46" s="267"/>
      <c r="N46" s="267"/>
    </row>
    <row r="47" spans="1:16" ht="9.9499999999999993" customHeight="1" x14ac:dyDescent="0.2">
      <c r="A47" s="308" t="s">
        <v>853</v>
      </c>
      <c r="C47" s="269">
        <f>SONPws!B40</f>
        <v>0</v>
      </c>
      <c r="D47" s="269"/>
      <c r="E47" s="269">
        <f>+SONPws!CD40</f>
        <v>0</v>
      </c>
      <c r="F47" s="269"/>
      <c r="G47" s="269">
        <f t="shared" si="0"/>
        <v>0</v>
      </c>
      <c r="H47" s="269"/>
      <c r="I47" s="269">
        <f>SUM(SONPCU!I91)</f>
        <v>1069928</v>
      </c>
      <c r="J47" s="265"/>
      <c r="K47" s="266"/>
      <c r="L47" s="267"/>
      <c r="M47" s="267"/>
      <c r="N47" s="267"/>
    </row>
    <row r="48" spans="1:16" ht="9.9499999999999993" hidden="1" customHeight="1" x14ac:dyDescent="0.2">
      <c r="A48" s="308" t="s">
        <v>609</v>
      </c>
      <c r="C48" s="269">
        <f>SONPws!B41</f>
        <v>0</v>
      </c>
      <c r="D48" s="269"/>
      <c r="E48" s="269"/>
      <c r="F48" s="269"/>
      <c r="G48" s="269">
        <f t="shared" si="0"/>
        <v>0</v>
      </c>
      <c r="H48" s="269"/>
      <c r="I48" s="269">
        <f>SUM(SONPCU!I92)</f>
        <v>0</v>
      </c>
      <c r="J48" s="265"/>
      <c r="K48" s="266"/>
      <c r="L48" s="267"/>
      <c r="M48" s="267"/>
      <c r="N48" s="267"/>
    </row>
    <row r="49" spans="1:15" ht="9.9499999999999993" customHeight="1" x14ac:dyDescent="0.2">
      <c r="A49" s="307" t="s">
        <v>976</v>
      </c>
      <c r="C49" s="272">
        <f>SUM(C36:C48)</f>
        <v>6187005</v>
      </c>
      <c r="D49" s="269"/>
      <c r="E49" s="272">
        <f>SUM(E36:E48)</f>
        <v>888729</v>
      </c>
      <c r="F49" s="269"/>
      <c r="G49" s="272">
        <f>SUM(G36:G48)</f>
        <v>7075734</v>
      </c>
      <c r="H49" s="269"/>
      <c r="I49" s="272">
        <f>SUM(I36:I48)</f>
        <v>20429570</v>
      </c>
      <c r="J49" s="265"/>
      <c r="K49" s="266"/>
      <c r="L49" s="267"/>
      <c r="M49" s="267"/>
      <c r="N49" s="267"/>
      <c r="O49" s="247">
        <f>5227752-137275</f>
        <v>5090477</v>
      </c>
    </row>
    <row r="50" spans="1:15" ht="9.9499999999999993" customHeight="1" x14ac:dyDescent="0.2">
      <c r="A50" s="305" t="s">
        <v>687</v>
      </c>
      <c r="C50" s="271">
        <f>+C33+C49</f>
        <v>9017230</v>
      </c>
      <c r="D50" s="269"/>
      <c r="E50" s="271">
        <f>+E33+E49</f>
        <v>1485354</v>
      </c>
      <c r="F50" s="269"/>
      <c r="G50" s="271">
        <f>+G33+G49</f>
        <v>10502584</v>
      </c>
      <c r="H50" s="269"/>
      <c r="I50" s="271">
        <f>+I33+I49</f>
        <v>24664371</v>
      </c>
      <c r="J50" s="265"/>
      <c r="K50" s="266"/>
      <c r="L50" s="267"/>
      <c r="M50" s="267"/>
      <c r="N50" s="267"/>
    </row>
    <row r="51" spans="1:15" ht="5.0999999999999996" customHeight="1" x14ac:dyDescent="0.2">
      <c r="A51" s="305"/>
      <c r="C51" s="269"/>
      <c r="D51" s="269"/>
      <c r="E51" s="269"/>
      <c r="F51" s="269"/>
      <c r="G51" s="269"/>
      <c r="H51" s="269"/>
      <c r="I51" s="269"/>
      <c r="J51" s="265"/>
      <c r="K51" s="266"/>
      <c r="L51" s="267"/>
      <c r="M51" s="267"/>
      <c r="N51" s="267"/>
    </row>
    <row r="52" spans="1:15" ht="9.9499999999999993" customHeight="1" x14ac:dyDescent="0.2">
      <c r="A52" s="305" t="s">
        <v>1133</v>
      </c>
      <c r="C52" s="269">
        <f>SONPws!B46</f>
        <v>854347</v>
      </c>
      <c r="D52" s="269"/>
      <c r="E52" s="269">
        <f>SONPws!CD46</f>
        <v>49256</v>
      </c>
      <c r="F52" s="269"/>
      <c r="G52" s="269">
        <f>SUM(C52:E52)</f>
        <v>903603</v>
      </c>
      <c r="H52" s="269"/>
      <c r="I52" s="269">
        <f>SONPCU!I98</f>
        <v>892928</v>
      </c>
      <c r="J52" s="265"/>
      <c r="K52" s="266"/>
      <c r="L52" s="267"/>
      <c r="M52" s="267"/>
      <c r="N52" s="267"/>
    </row>
    <row r="53" spans="1:15" ht="9.9499999999999993" customHeight="1" x14ac:dyDescent="0.2">
      <c r="A53" s="305"/>
      <c r="C53" s="272"/>
      <c r="D53" s="269"/>
      <c r="E53" s="272"/>
      <c r="F53" s="269"/>
      <c r="G53" s="272"/>
      <c r="H53" s="269"/>
      <c r="I53" s="272"/>
      <c r="J53" s="265"/>
      <c r="K53" s="266"/>
      <c r="L53" s="267"/>
      <c r="M53" s="267"/>
      <c r="N53" s="267"/>
    </row>
    <row r="54" spans="1:15" s="253" customFormat="1" ht="9.9499999999999993" customHeight="1" x14ac:dyDescent="0.2">
      <c r="A54" s="305" t="s">
        <v>751</v>
      </c>
      <c r="B54" s="263"/>
      <c r="C54" s="273"/>
      <c r="D54" s="273"/>
      <c r="E54" s="273"/>
      <c r="F54" s="273"/>
      <c r="G54" s="273"/>
      <c r="H54" s="273"/>
      <c r="I54" s="273"/>
      <c r="J54" s="254"/>
      <c r="K54" s="274"/>
      <c r="L54" s="267"/>
      <c r="M54" s="267"/>
      <c r="N54" s="267"/>
    </row>
    <row r="55" spans="1:15" s="253" customFormat="1" ht="9.9499999999999993" customHeight="1" x14ac:dyDescent="0.2">
      <c r="A55" s="307" t="s">
        <v>80</v>
      </c>
      <c r="B55" s="263"/>
      <c r="C55" s="273"/>
      <c r="D55" s="273"/>
      <c r="E55" s="273"/>
      <c r="F55" s="273"/>
      <c r="G55" s="273"/>
      <c r="H55" s="273"/>
      <c r="I55" s="273"/>
      <c r="J55" s="254"/>
      <c r="K55" s="274"/>
      <c r="L55" s="267"/>
      <c r="M55" s="267"/>
      <c r="N55" s="267"/>
    </row>
    <row r="56" spans="1:15" ht="9.9499999999999993" customHeight="1" x14ac:dyDescent="0.2">
      <c r="A56" s="308" t="s">
        <v>689</v>
      </c>
      <c r="C56" s="269">
        <f>+SONPws!B50</f>
        <v>107988</v>
      </c>
      <c r="D56" s="269"/>
      <c r="E56" s="269">
        <f>+SONPws!CD50</f>
        <v>28929</v>
      </c>
      <c r="F56" s="269"/>
      <c r="G56" s="269">
        <f t="shared" ref="G56:G65" si="2">SUM(C56:E56)</f>
        <v>136917</v>
      </c>
      <c r="H56" s="269"/>
      <c r="I56" s="269">
        <f>SUM(SONPCU!I113+SONPCU!I114+SONPCU!I118)+SONPCU!I120+SONPCU!I123+SONPCU!I124</f>
        <v>858154</v>
      </c>
      <c r="J56" s="265"/>
      <c r="K56" s="266"/>
      <c r="L56" s="267">
        <f>+C56-(+'BSGF-major'!Y37+'BSGF-major'!Y38+'BSGF-major'!Y39+SONPPF!K112+SONPPF!K113+SONPPF!K114*0+SONPPF!K115+SONPPF!K152*0)</f>
        <v>0</v>
      </c>
      <c r="M56" s="267"/>
      <c r="N56" s="267">
        <f>+E56-SONPPF!I112-SONPPF!I113-SONPPF!I114-SONPPF!I115</f>
        <v>0</v>
      </c>
    </row>
    <row r="57" spans="1:15" ht="9.9499999999999993" customHeight="1" x14ac:dyDescent="0.2">
      <c r="A57" s="308" t="s">
        <v>676</v>
      </c>
      <c r="C57" s="269">
        <f>+SONPws!B52</f>
        <v>34</v>
      </c>
      <c r="D57" s="269"/>
      <c r="E57" s="269">
        <f>+SONPws!CD52</f>
        <v>54</v>
      </c>
      <c r="F57" s="269"/>
      <c r="G57" s="269">
        <f t="shared" si="2"/>
        <v>88</v>
      </c>
      <c r="H57" s="269"/>
      <c r="I57" s="269"/>
      <c r="J57" s="265"/>
      <c r="K57" s="266"/>
      <c r="L57" s="267">
        <f>+C57-SONPPF!K116</f>
        <v>0</v>
      </c>
      <c r="M57" s="267"/>
      <c r="N57" s="267">
        <f>+E57-SONPPF!I116</f>
        <v>0</v>
      </c>
    </row>
    <row r="58" spans="1:15" ht="9.9499999999999993" customHeight="1" x14ac:dyDescent="0.2">
      <c r="A58" s="308" t="s">
        <v>692</v>
      </c>
      <c r="C58" s="269">
        <f>+SONPws!B51</f>
        <v>4550</v>
      </c>
      <c r="D58" s="269"/>
      <c r="E58" s="269">
        <f>+SONPws!CD51</f>
        <v>1220</v>
      </c>
      <c r="F58" s="269"/>
      <c r="G58" s="269">
        <f t="shared" si="2"/>
        <v>5770</v>
      </c>
      <c r="H58" s="269"/>
      <c r="I58" s="269">
        <f>SUM(SONPCU!I116)</f>
        <v>2190</v>
      </c>
      <c r="J58" s="265"/>
      <c r="K58" s="266"/>
      <c r="L58" s="267">
        <f>+C58-(+'BSGF-major'!Y41+SONPPF!K118)</f>
        <v>0</v>
      </c>
      <c r="M58" s="267"/>
      <c r="N58" s="267">
        <f>+E58-SONPPF!I118</f>
        <v>0</v>
      </c>
    </row>
    <row r="59" spans="1:15" ht="9.9499999999999993" customHeight="1" x14ac:dyDescent="0.2">
      <c r="A59" s="308" t="s">
        <v>1450</v>
      </c>
      <c r="C59" s="269">
        <f>SUM(SONPws!B72:B80)+SONPws!B67</f>
        <v>163349</v>
      </c>
      <c r="D59" s="269"/>
      <c r="E59" s="269">
        <f>SONPws!CD75+SONPws!CD77+SONPws!CD80+SONPws!CD72+SONPws!CD73-SONPPF!C134+SONPws!CD79+SONPws!CD78</f>
        <v>9444</v>
      </c>
      <c r="F59" s="269"/>
      <c r="G59" s="269">
        <f t="shared" si="2"/>
        <v>172793</v>
      </c>
      <c r="H59" s="269"/>
      <c r="I59" s="269">
        <f>SONPCU!I121+SONPCU!I125</f>
        <v>78008</v>
      </c>
      <c r="J59" s="265"/>
      <c r="K59" s="266"/>
      <c r="L59" s="267"/>
      <c r="M59" s="267"/>
      <c r="N59" s="761">
        <f>E59-SONPPF!I117-SONPPF!I119-SONPPF!I122-SONPPF!I123-SONPPF!I124-SONPPF!I120-SONPPF!I121</f>
        <v>0</v>
      </c>
    </row>
    <row r="60" spans="1:15" ht="9.9499999999999993" hidden="1" customHeight="1" x14ac:dyDescent="0.2">
      <c r="A60" s="308" t="s">
        <v>593</v>
      </c>
      <c r="C60" s="269">
        <f>+SONPws!B54</f>
        <v>0</v>
      </c>
      <c r="D60" s="269"/>
      <c r="E60" s="269">
        <f>+SONPws!CD54</f>
        <v>0</v>
      </c>
      <c r="F60" s="269"/>
      <c r="G60" s="269">
        <f t="shared" si="2"/>
        <v>0</v>
      </c>
      <c r="H60" s="269"/>
      <c r="I60" s="269">
        <f>+SONPCU!I119</f>
        <v>0</v>
      </c>
      <c r="J60" s="265"/>
      <c r="K60" s="266"/>
      <c r="L60" s="267">
        <f>+C60-'BSGF-major'!Y44-SONPPF!K126</f>
        <v>0</v>
      </c>
      <c r="M60" s="267"/>
      <c r="N60" s="267">
        <f>+E60-SONPPF!I126</f>
        <v>0</v>
      </c>
    </row>
    <row r="61" spans="1:15" ht="9.9499999999999993" customHeight="1" x14ac:dyDescent="0.2">
      <c r="A61" s="308" t="s">
        <v>1304</v>
      </c>
      <c r="C61" s="269"/>
      <c r="D61" s="269"/>
      <c r="E61" s="269"/>
      <c r="F61" s="269"/>
      <c r="G61" s="269">
        <f t="shared" si="2"/>
        <v>0</v>
      </c>
      <c r="H61" s="269"/>
      <c r="I61" s="269"/>
      <c r="J61" s="265"/>
      <c r="K61" s="266"/>
      <c r="L61" s="267"/>
      <c r="M61" s="267"/>
      <c r="N61" s="267"/>
    </row>
    <row r="62" spans="1:15" ht="9.9499999999999993" customHeight="1" x14ac:dyDescent="0.2">
      <c r="A62" s="309" t="s">
        <v>795</v>
      </c>
      <c r="C62" s="269">
        <f>+SONPws!B56</f>
        <v>148561</v>
      </c>
      <c r="D62" s="269"/>
      <c r="E62" s="269">
        <f>+SONPws!CD56</f>
        <v>27221</v>
      </c>
      <c r="F62" s="269"/>
      <c r="G62" s="269">
        <f t="shared" si="2"/>
        <v>175782</v>
      </c>
      <c r="H62" s="269"/>
      <c r="I62" s="269">
        <f>SONPCU!I130</f>
        <v>75558</v>
      </c>
      <c r="J62" s="265"/>
      <c r="K62" s="266"/>
      <c r="L62" s="761">
        <f>+C62-BSGFws!B37-BSGFws!B38-BSGFws!B39+SONPws!B59</f>
        <v>0</v>
      </c>
      <c r="M62" s="267"/>
      <c r="N62" s="267">
        <f>+E62-SONPPF!I131-SONPPF!I141-SONPPF!I132</f>
        <v>0</v>
      </c>
    </row>
    <row r="63" spans="1:15" ht="9.9499999999999993" customHeight="1" x14ac:dyDescent="0.2">
      <c r="A63" s="309" t="s">
        <v>1277</v>
      </c>
      <c r="C63" s="269">
        <f>+SONPws!B58</f>
        <v>17528</v>
      </c>
      <c r="D63" s="269"/>
      <c r="E63" s="269">
        <f>+SONPws!CD58</f>
        <v>6322</v>
      </c>
      <c r="F63" s="269"/>
      <c r="G63" s="269">
        <f>SUM(C63:E63)</f>
        <v>23850</v>
      </c>
      <c r="H63" s="269"/>
      <c r="I63" s="269">
        <f>SUM(SONPCU!I131)</f>
        <v>20769</v>
      </c>
      <c r="J63" s="265"/>
      <c r="K63" s="266"/>
      <c r="L63" s="267"/>
      <c r="M63" s="267"/>
      <c r="N63" s="267">
        <f>+E63-SONPPF!I133</f>
        <v>0</v>
      </c>
    </row>
    <row r="64" spans="1:15" ht="9.9499999999999993" customHeight="1" x14ac:dyDescent="0.2">
      <c r="A64" s="309" t="s">
        <v>692</v>
      </c>
      <c r="C64" s="269">
        <f>+SONPws!B57</f>
        <v>15198</v>
      </c>
      <c r="D64" s="269"/>
      <c r="E64" s="269">
        <f>+SONPws!CD57</f>
        <v>576</v>
      </c>
      <c r="F64" s="269"/>
      <c r="G64" s="269">
        <f t="shared" si="2"/>
        <v>15774</v>
      </c>
      <c r="H64" s="269"/>
      <c r="I64" s="269"/>
      <c r="J64" s="265"/>
      <c r="K64" s="266"/>
      <c r="L64" s="761">
        <f>+C64-'BSGF-major'!Y50</f>
        <v>0</v>
      </c>
      <c r="M64" s="267"/>
      <c r="N64" s="267"/>
    </row>
    <row r="65" spans="1:16" ht="9.9499999999999993" customHeight="1" x14ac:dyDescent="0.2">
      <c r="A65" s="309" t="s">
        <v>593</v>
      </c>
      <c r="B65" s="270"/>
      <c r="C65" s="269">
        <f>+SONPws!B61</f>
        <v>11</v>
      </c>
      <c r="D65" s="269"/>
      <c r="E65" s="269">
        <f>+SONPws!CD61</f>
        <v>0</v>
      </c>
      <c r="F65" s="269"/>
      <c r="G65" s="269">
        <f t="shared" si="2"/>
        <v>11</v>
      </c>
      <c r="H65" s="269"/>
      <c r="I65" s="269"/>
      <c r="J65" s="265"/>
      <c r="K65" s="266"/>
      <c r="L65" s="267">
        <f>SUM(C65-'BSGF-major'!Y53)</f>
        <v>0</v>
      </c>
      <c r="M65" s="267"/>
      <c r="N65" s="267"/>
      <c r="P65" s="269"/>
    </row>
    <row r="66" spans="1:16" ht="9.9499999999999993" customHeight="1" x14ac:dyDescent="0.2">
      <c r="A66" s="309" t="s">
        <v>1450</v>
      </c>
      <c r="C66" s="269">
        <f>SUM(SONPws!B66:B71)-SONPws!B67+SONPws!B59</f>
        <v>284429</v>
      </c>
      <c r="D66" s="269"/>
      <c r="E66" s="269">
        <f>+SONPws!CD66+SONPws!CD71+SONPws!CD69+SONPws!CD79*0+SONPPF!C134</f>
        <v>24796</v>
      </c>
      <c r="F66" s="269"/>
      <c r="G66" s="269">
        <f>SUM(C66:E66)</f>
        <v>309225</v>
      </c>
      <c r="H66" s="269"/>
      <c r="I66" s="269">
        <f>+SONPCU!I134+SONPCU!I135++SONPCU!I122+SONPCU!I136+SONPCU!I132</f>
        <v>302335</v>
      </c>
      <c r="J66" s="265"/>
      <c r="K66" s="266"/>
      <c r="L66" s="267"/>
      <c r="M66" s="267"/>
      <c r="N66" s="761">
        <f>E66-SONPPF!I137-SONPPF!I140-SONPPF!I121</f>
        <v>-1476</v>
      </c>
    </row>
    <row r="67" spans="1:16" ht="9.9499999999999993" customHeight="1" x14ac:dyDescent="0.2">
      <c r="A67" s="307" t="s">
        <v>81</v>
      </c>
      <c r="C67" s="271">
        <f>SUM(C56:C66)</f>
        <v>741648</v>
      </c>
      <c r="D67" s="269"/>
      <c r="E67" s="271">
        <f>SUM(E56:E66)</f>
        <v>98562</v>
      </c>
      <c r="F67" s="269"/>
      <c r="G67" s="271">
        <f>SUM(G56:G66)</f>
        <v>840210</v>
      </c>
      <c r="H67" s="269"/>
      <c r="I67" s="271">
        <f>SUM(I56:I66)</f>
        <v>1337014</v>
      </c>
      <c r="J67" s="265"/>
      <c r="K67" s="266"/>
      <c r="L67" s="267"/>
      <c r="M67" s="267"/>
      <c r="N67" s="267"/>
    </row>
    <row r="68" spans="1:16" ht="9.9499999999999993" customHeight="1" x14ac:dyDescent="0.2">
      <c r="A68" s="307" t="s">
        <v>1038</v>
      </c>
      <c r="C68" s="269"/>
      <c r="D68" s="269"/>
      <c r="E68" s="269"/>
      <c r="F68" s="269"/>
      <c r="G68" s="269">
        <f>SUM(C68:E68)</f>
        <v>0</v>
      </c>
      <c r="H68" s="269"/>
      <c r="I68" s="269"/>
      <c r="J68" s="265"/>
      <c r="K68" s="266"/>
      <c r="L68" s="267"/>
      <c r="M68" s="267"/>
      <c r="N68" s="761"/>
    </row>
    <row r="69" spans="1:16" ht="9.9499999999999993" customHeight="1" x14ac:dyDescent="0.2">
      <c r="A69" s="308" t="s">
        <v>1451</v>
      </c>
      <c r="C69" s="269">
        <f>SUM(SONPws!B82:B97)</f>
        <v>5688015</v>
      </c>
      <c r="D69" s="269"/>
      <c r="E69" s="269">
        <f>SUM(SONPws!CD82:CD98)</f>
        <v>765272</v>
      </c>
      <c r="F69" s="269"/>
      <c r="G69" s="269">
        <f>SUM(C69:E69)</f>
        <v>6453287</v>
      </c>
      <c r="H69" s="269"/>
      <c r="I69" s="269">
        <f>+SONPCU!I156</f>
        <v>14220939</v>
      </c>
      <c r="J69" s="265"/>
      <c r="K69" s="266"/>
      <c r="L69" s="267"/>
      <c r="M69" s="267"/>
      <c r="N69" s="267">
        <f>+E69-SONPPF!I149-SONPPF!I150-SONPPF!I151-SONPPF!I153-SONPPF!I154-SONPPF!I157-SONPPF!I160-SONPPF!I158-SONPPF!I159-SONPPF!I156-SONPPF!I155</f>
        <v>0</v>
      </c>
    </row>
    <row r="70" spans="1:16" ht="9.9499999999999993" customHeight="1" x14ac:dyDescent="0.2">
      <c r="A70" s="307" t="s">
        <v>82</v>
      </c>
      <c r="C70" s="272">
        <f>SUM(C69)</f>
        <v>5688015</v>
      </c>
      <c r="D70" s="269"/>
      <c r="E70" s="272">
        <f>SUM(E69)</f>
        <v>765272</v>
      </c>
      <c r="F70" s="269"/>
      <c r="G70" s="272">
        <f>SUM(G69)</f>
        <v>6453287</v>
      </c>
      <c r="H70" s="269"/>
      <c r="I70" s="272">
        <f>SUM(I69)</f>
        <v>14220939</v>
      </c>
      <c r="J70" s="265"/>
      <c r="K70" s="266"/>
      <c r="L70" s="267"/>
      <c r="M70" s="267"/>
      <c r="N70" s="267"/>
    </row>
    <row r="71" spans="1:16" ht="9.9499999999999993" customHeight="1" x14ac:dyDescent="0.2">
      <c r="A71" s="305" t="s">
        <v>702</v>
      </c>
      <c r="C71" s="271">
        <f>+C67+C70</f>
        <v>6429663</v>
      </c>
      <c r="D71" s="269"/>
      <c r="E71" s="271">
        <f>+E67+E70</f>
        <v>863834</v>
      </c>
      <c r="F71" s="269"/>
      <c r="G71" s="271">
        <f>+G67+G70</f>
        <v>7293497</v>
      </c>
      <c r="H71" s="269"/>
      <c r="I71" s="271">
        <f>+I67+I70</f>
        <v>15557953</v>
      </c>
      <c r="J71" s="265"/>
      <c r="K71" s="266"/>
      <c r="L71" s="267"/>
      <c r="M71" s="267"/>
      <c r="N71" s="267"/>
    </row>
    <row r="72" spans="1:16" ht="5.0999999999999996" customHeight="1" x14ac:dyDescent="0.2">
      <c r="A72" s="305"/>
      <c r="C72" s="269"/>
      <c r="D72" s="269"/>
      <c r="E72" s="269"/>
      <c r="F72" s="269"/>
      <c r="G72" s="269"/>
      <c r="H72" s="269"/>
      <c r="I72" s="269"/>
      <c r="J72" s="265"/>
      <c r="K72" s="266"/>
      <c r="L72" s="267"/>
      <c r="M72" s="267"/>
      <c r="N72" s="267"/>
    </row>
    <row r="73" spans="1:16" ht="9.9499999999999993" customHeight="1" x14ac:dyDescent="0.2">
      <c r="A73" s="305" t="s">
        <v>1209</v>
      </c>
      <c r="C73" s="931">
        <f>SONPws!B102</f>
        <v>527827</v>
      </c>
      <c r="D73" s="269"/>
      <c r="E73" s="931">
        <f>SONPws!CD102</f>
        <v>134897</v>
      </c>
      <c r="F73" s="269"/>
      <c r="G73" s="931">
        <f>SUM(C73:E73)</f>
        <v>662724</v>
      </c>
      <c r="H73" s="269"/>
      <c r="I73" s="931">
        <f>SONPCU!I161</f>
        <v>515035</v>
      </c>
      <c r="J73" s="265"/>
      <c r="K73" s="266"/>
      <c r="L73" s="267"/>
      <c r="M73" s="267"/>
      <c r="N73" s="267"/>
    </row>
    <row r="74" spans="1:16" ht="9.9499999999999993" customHeight="1" x14ac:dyDescent="0.2">
      <c r="A74" s="305"/>
      <c r="C74" s="269"/>
      <c r="D74" s="269"/>
      <c r="E74" s="269"/>
      <c r="F74" s="269"/>
      <c r="G74" s="269"/>
      <c r="H74" s="269"/>
      <c r="I74" s="269"/>
      <c r="J74" s="265"/>
      <c r="K74" s="266"/>
      <c r="L74" s="267"/>
      <c r="M74" s="267"/>
      <c r="N74" s="267"/>
    </row>
    <row r="75" spans="1:16" s="253" customFormat="1" ht="9.9499999999999993" customHeight="1" x14ac:dyDescent="0.2">
      <c r="A75" s="305" t="s">
        <v>1113</v>
      </c>
      <c r="B75" s="263"/>
      <c r="C75" s="273"/>
      <c r="D75" s="273"/>
      <c r="E75" s="273"/>
      <c r="F75" s="273"/>
      <c r="G75" s="273"/>
      <c r="H75" s="273"/>
      <c r="I75" s="273"/>
      <c r="J75" s="254"/>
      <c r="K75" s="274"/>
      <c r="L75" s="267"/>
      <c r="M75" s="267"/>
      <c r="N75" s="267"/>
    </row>
    <row r="76" spans="1:16" ht="9.9499999999999993" customHeight="1" x14ac:dyDescent="0.2">
      <c r="A76" s="306" t="s">
        <v>1110</v>
      </c>
      <c r="C76" s="269">
        <f>SONPws!B105</f>
        <v>3241934</v>
      </c>
      <c r="D76" s="269"/>
      <c r="E76" s="269">
        <f>+SONPws!CD105</f>
        <v>322560</v>
      </c>
      <c r="F76" s="269"/>
      <c r="G76" s="269">
        <f t="shared" ref="G76:G85" si="3">SUM(C76:E76)</f>
        <v>3564494</v>
      </c>
      <c r="H76" s="269"/>
      <c r="I76" s="269">
        <f>SUM(SONPCU!I165)</f>
        <v>6788312</v>
      </c>
      <c r="J76" s="265"/>
      <c r="K76" s="266"/>
      <c r="L76" s="267"/>
      <c r="M76" s="267"/>
      <c r="N76" s="267">
        <f>SUM(E76-SONPPF!I169)</f>
        <v>0</v>
      </c>
    </row>
    <row r="77" spans="1:16" ht="9.9499999999999993" customHeight="1" x14ac:dyDescent="0.2">
      <c r="A77" s="306" t="s">
        <v>755</v>
      </c>
      <c r="C77" s="269"/>
      <c r="D77" s="269"/>
      <c r="E77" s="269"/>
      <c r="F77" s="269"/>
      <c r="G77" s="269">
        <f t="shared" si="3"/>
        <v>0</v>
      </c>
      <c r="H77" s="269"/>
      <c r="I77" s="269"/>
      <c r="J77" s="265"/>
      <c r="K77" s="266"/>
      <c r="L77" s="267"/>
      <c r="M77" s="267"/>
      <c r="N77" s="267"/>
    </row>
    <row r="78" spans="1:16" ht="9.9499999999999993" customHeight="1" x14ac:dyDescent="0.2">
      <c r="A78" s="308" t="s">
        <v>756</v>
      </c>
      <c r="C78" s="269">
        <f>+SONPws!B107</f>
        <v>43302</v>
      </c>
      <c r="D78" s="269"/>
      <c r="E78" s="269">
        <f>+SONPws!CD107</f>
        <v>38691</v>
      </c>
      <c r="F78" s="269"/>
      <c r="G78" s="269">
        <f t="shared" si="3"/>
        <v>81993</v>
      </c>
      <c r="H78" s="269"/>
      <c r="I78" s="269">
        <f>SUM(SONPCU!I168)</f>
        <v>243523</v>
      </c>
      <c r="J78" s="265"/>
      <c r="K78" s="266"/>
      <c r="L78" s="267"/>
      <c r="M78" s="267"/>
      <c r="N78" s="267">
        <f>SUM(E78-SONPPF!I171)</f>
        <v>0</v>
      </c>
    </row>
    <row r="79" spans="1:16" ht="9.9499999999999993" customHeight="1" x14ac:dyDescent="0.2">
      <c r="A79" s="308" t="s">
        <v>706</v>
      </c>
      <c r="C79" s="269">
        <f>+SONPws!B108</f>
        <v>-4663</v>
      </c>
      <c r="D79" s="269"/>
      <c r="E79" s="269">
        <f>+SONPws!CD108</f>
        <v>267828</v>
      </c>
      <c r="F79" s="269"/>
      <c r="G79" s="269">
        <f t="shared" si="3"/>
        <v>263165</v>
      </c>
      <c r="H79" s="269"/>
      <c r="I79" s="269">
        <f>SUM(SONPCU!I170)</f>
        <v>942831</v>
      </c>
      <c r="J79" s="265"/>
      <c r="K79" s="266"/>
      <c r="L79" s="267"/>
      <c r="M79" s="267"/>
      <c r="N79" s="267">
        <f>SUM(E79-SONPPF!I172)</f>
        <v>0</v>
      </c>
    </row>
    <row r="80" spans="1:16" ht="9.9499999999999993" customHeight="1" x14ac:dyDescent="0.2">
      <c r="A80" s="308" t="s">
        <v>727</v>
      </c>
      <c r="C80" s="269">
        <f>+SONPws!B109</f>
        <v>149559</v>
      </c>
      <c r="D80" s="269"/>
      <c r="E80" s="269"/>
      <c r="F80" s="269"/>
      <c r="G80" s="269">
        <f t="shared" si="3"/>
        <v>149559</v>
      </c>
      <c r="H80" s="269"/>
      <c r="I80" s="269">
        <f>SUM(SONPCU!I171)+SONPCU!I174+SONPCU!I174</f>
        <v>128479</v>
      </c>
      <c r="J80" s="265"/>
      <c r="K80" s="266"/>
      <c r="L80" s="267"/>
      <c r="M80" s="267"/>
      <c r="N80" s="267"/>
    </row>
    <row r="81" spans="1:18" ht="9.9499999999999993" customHeight="1" x14ac:dyDescent="0.2">
      <c r="A81" s="308" t="s">
        <v>707</v>
      </c>
      <c r="B81" s="270"/>
      <c r="C81" s="269">
        <f>+SONPws!B110</f>
        <v>0</v>
      </c>
      <c r="D81" s="269"/>
      <c r="E81" s="269"/>
      <c r="F81" s="269"/>
      <c r="G81" s="269"/>
      <c r="H81" s="269"/>
      <c r="I81" s="269"/>
      <c r="J81" s="265"/>
      <c r="K81" s="266"/>
      <c r="L81" s="267"/>
      <c r="M81" s="267"/>
      <c r="N81" s="267"/>
    </row>
    <row r="82" spans="1:18" ht="9.9499999999999993" customHeight="1" x14ac:dyDescent="0.2">
      <c r="A82" s="309" t="s">
        <v>708</v>
      </c>
      <c r="B82" s="270"/>
      <c r="C82" s="269">
        <f>+SONPws!B111</f>
        <v>13387</v>
      </c>
      <c r="D82" s="269"/>
      <c r="E82" s="269">
        <f>+SONPws!CD111</f>
        <v>0</v>
      </c>
      <c r="F82" s="269"/>
      <c r="G82" s="269">
        <f t="shared" si="3"/>
        <v>13387</v>
      </c>
      <c r="H82" s="269"/>
      <c r="I82" s="269">
        <f>SONPCU!I173</f>
        <v>0</v>
      </c>
      <c r="J82" s="265"/>
      <c r="K82" s="266"/>
      <c r="L82" s="267"/>
      <c r="M82" s="267"/>
      <c r="N82" s="267"/>
      <c r="R82" s="247" t="s">
        <v>39</v>
      </c>
    </row>
    <row r="83" spans="1:18" ht="9.9499999999999993" customHeight="1" x14ac:dyDescent="0.2">
      <c r="A83" s="309" t="s">
        <v>709</v>
      </c>
      <c r="B83" s="270"/>
      <c r="C83" s="269">
        <f>+SONPws!B112</f>
        <v>6952</v>
      </c>
      <c r="D83" s="269"/>
      <c r="E83" s="269">
        <f>+SONPws!CD112</f>
        <v>0</v>
      </c>
      <c r="F83" s="269"/>
      <c r="G83" s="269">
        <f t="shared" si="3"/>
        <v>6952</v>
      </c>
      <c r="H83" s="269"/>
      <c r="I83" s="269"/>
      <c r="J83" s="265"/>
      <c r="K83" s="266"/>
      <c r="L83" s="267"/>
      <c r="M83" s="267"/>
      <c r="N83" s="267"/>
    </row>
    <row r="84" spans="1:18" ht="9.9499999999999993" hidden="1" customHeight="1" x14ac:dyDescent="0.2">
      <c r="A84" s="308" t="s">
        <v>539</v>
      </c>
      <c r="B84" s="270"/>
      <c r="C84" s="269"/>
      <c r="D84" s="269"/>
      <c r="E84" s="269"/>
      <c r="F84" s="269"/>
      <c r="G84" s="269"/>
      <c r="H84" s="269"/>
      <c r="I84" s="269"/>
      <c r="J84" s="265"/>
      <c r="K84" s="266"/>
      <c r="L84" s="267"/>
      <c r="M84" s="267"/>
      <c r="N84" s="267"/>
    </row>
    <row r="85" spans="1:18" ht="9.9499999999999993" customHeight="1" x14ac:dyDescent="0.2">
      <c r="A85" s="306" t="s">
        <v>1273</v>
      </c>
      <c r="C85" s="269">
        <f>+SONPws!B113</f>
        <v>-536384</v>
      </c>
      <c r="D85" s="269"/>
      <c r="E85" s="269">
        <f>+SONPws!CD113+SONPws!CD116</f>
        <v>-93200</v>
      </c>
      <c r="F85" s="269"/>
      <c r="G85" s="269">
        <f t="shared" si="3"/>
        <v>-629584</v>
      </c>
      <c r="H85" s="269"/>
      <c r="I85" s="269">
        <f>SUM(SONPCU!I175)</f>
        <v>1381166</v>
      </c>
      <c r="J85" s="265"/>
      <c r="K85" s="266"/>
      <c r="L85" s="267"/>
      <c r="M85" s="267"/>
      <c r="N85" s="267"/>
    </row>
    <row r="86" spans="1:18" ht="9.9499999999999993" customHeight="1" thickBot="1" x14ac:dyDescent="0.25">
      <c r="A86" s="305" t="s">
        <v>1116</v>
      </c>
      <c r="C86" s="304">
        <f>SUM(C76:C85)</f>
        <v>2914087</v>
      </c>
      <c r="D86" s="265"/>
      <c r="E86" s="304">
        <f>SUM(E76:E85)</f>
        <v>535879</v>
      </c>
      <c r="F86" s="265"/>
      <c r="G86" s="304">
        <f>SUM(G76:G85)</f>
        <v>3449966</v>
      </c>
      <c r="H86" s="265"/>
      <c r="I86" s="304">
        <f>SUM(I76:I85)</f>
        <v>9484311</v>
      </c>
      <c r="J86" s="265"/>
      <c r="K86" s="266"/>
      <c r="L86" s="267"/>
      <c r="M86" s="267"/>
      <c r="N86" s="267"/>
    </row>
    <row r="87" spans="1:18" ht="9.9499999999999993" customHeight="1" thickTop="1" x14ac:dyDescent="0.2">
      <c r="B87" s="275"/>
      <c r="C87" s="276"/>
      <c r="D87" s="276"/>
      <c r="E87" s="277"/>
      <c r="F87" s="277"/>
      <c r="G87" s="265"/>
      <c r="H87" s="265"/>
      <c r="I87" s="265"/>
      <c r="K87" s="266"/>
    </row>
    <row r="88" spans="1:18" ht="9.9499999999999993" customHeight="1" x14ac:dyDescent="0.2">
      <c r="B88" s="278"/>
      <c r="C88" s="279">
        <f>C50-C71+C52-C73</f>
        <v>2914087</v>
      </c>
      <c r="D88" s="279"/>
      <c r="E88" s="279">
        <f>E50-E71+E52-E73</f>
        <v>535879</v>
      </c>
      <c r="F88" s="279"/>
      <c r="G88" s="279">
        <f>G50-G71+G52-G73</f>
        <v>3449966</v>
      </c>
      <c r="H88" s="279"/>
      <c r="I88" s="279">
        <f>I50-I71+I52-I73</f>
        <v>9484311</v>
      </c>
      <c r="J88" s="265"/>
      <c r="K88" s="266"/>
    </row>
    <row r="89" spans="1:18" ht="9.9499999999999993" customHeight="1" x14ac:dyDescent="0.2">
      <c r="B89" s="278"/>
      <c r="C89" s="267">
        <f>C86-C88</f>
        <v>0</v>
      </c>
      <c r="D89" s="267"/>
      <c r="E89" s="267">
        <f>E86-E88</f>
        <v>0</v>
      </c>
      <c r="F89" s="267"/>
      <c r="G89" s="267">
        <f>G86-G88</f>
        <v>0</v>
      </c>
      <c r="H89" s="267"/>
      <c r="I89" s="267">
        <f>I86-I88</f>
        <v>0</v>
      </c>
      <c r="J89" s="265"/>
      <c r="K89" s="266"/>
    </row>
    <row r="90" spans="1:18" ht="9.9499999999999993" customHeight="1" x14ac:dyDescent="0.2">
      <c r="A90" s="269"/>
      <c r="B90" s="280"/>
      <c r="C90" s="265">
        <f>SUM(SOActivities!K85)</f>
        <v>2914087</v>
      </c>
      <c r="D90" s="265"/>
      <c r="E90" s="265">
        <f>SUM(SOActivities!M85)</f>
        <v>535879</v>
      </c>
      <c r="F90" s="265"/>
      <c r="G90" s="265">
        <f>SUM(SOActivities!O85)</f>
        <v>3449966</v>
      </c>
      <c r="H90" s="265"/>
      <c r="I90" s="265">
        <f>SUM(SOActivities!Q85)</f>
        <v>9484311</v>
      </c>
    </row>
    <row r="91" spans="1:18" s="283" customFormat="1" ht="9.9499999999999993" customHeight="1" x14ac:dyDescent="0.2">
      <c r="B91" s="281"/>
      <c r="C91" s="765">
        <f>C88-C90</f>
        <v>0</v>
      </c>
      <c r="D91" s="765"/>
      <c r="E91" s="765">
        <f>E88-E90</f>
        <v>0</v>
      </c>
      <c r="F91" s="765"/>
      <c r="G91" s="765">
        <f>G88-G90</f>
        <v>0</v>
      </c>
      <c r="H91" s="765"/>
      <c r="I91" s="765">
        <f>I88-I90</f>
        <v>0</v>
      </c>
      <c r="N91" s="1044"/>
    </row>
    <row r="92" spans="1:18" ht="9.9499999999999993" customHeight="1" x14ac:dyDescent="0.2">
      <c r="B92" s="265"/>
      <c r="C92" s="265"/>
      <c r="D92" s="265"/>
      <c r="E92" s="265"/>
      <c r="F92" s="265"/>
      <c r="G92" s="265"/>
      <c r="H92" s="265"/>
      <c r="I92" s="265"/>
    </row>
    <row r="93" spans="1:18" ht="9.9499999999999993" customHeight="1" x14ac:dyDescent="0.2">
      <c r="B93" s="265"/>
      <c r="C93" s="265"/>
      <c r="D93" s="265"/>
      <c r="E93" s="265"/>
      <c r="F93" s="265"/>
      <c r="G93" s="265"/>
      <c r="H93" s="265"/>
      <c r="I93" s="265"/>
    </row>
    <row r="94" spans="1:18" ht="9.9499999999999993" customHeight="1" x14ac:dyDescent="0.2">
      <c r="B94" s="265"/>
      <c r="C94" s="265"/>
      <c r="D94" s="265"/>
      <c r="E94" s="265"/>
      <c r="F94" s="265"/>
      <c r="G94" s="265"/>
      <c r="H94" s="265"/>
      <c r="I94" s="265"/>
    </row>
    <row r="95" spans="1:18" ht="9.9499999999999993" customHeight="1" x14ac:dyDescent="0.2">
      <c r="B95" s="265"/>
      <c r="C95" s="265"/>
      <c r="D95" s="265"/>
      <c r="E95" s="265"/>
      <c r="F95" s="265"/>
      <c r="G95" s="265"/>
      <c r="H95" s="265"/>
      <c r="I95" s="265"/>
    </row>
    <row r="96" spans="1:18" ht="9.9499999999999993" customHeight="1" x14ac:dyDescent="0.2">
      <c r="B96" s="265"/>
      <c r="C96" s="265"/>
      <c r="D96" s="265"/>
      <c r="E96" s="265"/>
      <c r="F96" s="265"/>
      <c r="G96" s="265"/>
      <c r="H96" s="265"/>
      <c r="I96" s="265"/>
    </row>
    <row r="97" spans="12:12" ht="9.9499999999999993" customHeight="1" x14ac:dyDescent="0.2">
      <c r="L97" s="247">
        <f>1226444-1205967</f>
        <v>20477</v>
      </c>
    </row>
    <row r="133" spans="7:7" ht="9.9499999999999993" customHeight="1" x14ac:dyDescent="0.2">
      <c r="G133" s="247">
        <v>21</v>
      </c>
    </row>
  </sheetData>
  <mergeCells count="5">
    <mergeCell ref="A1:I1"/>
    <mergeCell ref="A3:I3"/>
    <mergeCell ref="A4:I4"/>
    <mergeCell ref="C5:G5"/>
    <mergeCell ref="A2:I2"/>
  </mergeCells>
  <phoneticPr fontId="9" type="noConversion"/>
  <printOptions horizontalCentered="1"/>
  <pageMargins left="0.5" right="0.5" top="0.5" bottom="0.625" header="0.5" footer="0.5"/>
  <pageSetup scale="90" orientation="portrait" r:id="rId1"/>
  <headerFooter alignWithMargins="0">
    <oddFooter>&amp;C&amp;"Calibri,Regular"&amp;9The accompanying notes are an integral part of these basic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6" tint="0.39997558519241921"/>
  </sheetPr>
  <dimension ref="A1:AA262"/>
  <sheetViews>
    <sheetView view="pageBreakPreview" zoomScale="110" zoomScaleNormal="100" zoomScaleSheetLayoutView="110" workbookViewId="0">
      <pane xSplit="2" ySplit="9" topLeftCell="C34" activePane="bottomRight" state="frozen"/>
      <selection activeCell="Z13" activeCellId="3" sqref="Z18 Z17 Z15 Z13"/>
      <selection pane="topRight" activeCell="Z13" activeCellId="3" sqref="Z18 Z17 Z15 Z13"/>
      <selection pane="bottomLeft" activeCell="Z13" activeCellId="3" sqref="Z18 Z17 Z15 Z13"/>
      <selection pane="bottomRight" activeCell="Z13" activeCellId="3" sqref="Z18 Z17 Z15 Z13"/>
    </sheetView>
  </sheetViews>
  <sheetFormatPr defaultColWidth="9.140625" defaultRowHeight="9.9499999999999993" customHeight="1" x14ac:dyDescent="0.2"/>
  <cols>
    <col min="1" max="1" width="34.5703125" style="247" customWidth="1"/>
    <col min="2" max="2" width="1.5703125" style="247" customWidth="1"/>
    <col min="3" max="3" width="13.5703125" style="247" customWidth="1"/>
    <col min="4" max="4" width="1.5703125" style="247" customWidth="1"/>
    <col min="5" max="5" width="13.5703125" style="247" customWidth="1"/>
    <col min="6" max="6" width="1.5703125" style="247" customWidth="1"/>
    <col min="7" max="7" width="13.5703125" style="247" customWidth="1"/>
    <col min="8" max="8" width="1.5703125" style="247" customWidth="1"/>
    <col min="9" max="9" width="13.5703125" style="247" customWidth="1"/>
    <col min="10" max="10" width="1.5703125" style="265" customWidth="1"/>
    <col min="11" max="11" width="13.5703125" style="265" customWidth="1"/>
    <col min="12" max="12" width="1.5703125" style="265" customWidth="1"/>
    <col min="13" max="13" width="13.5703125" style="265" customWidth="1"/>
    <col min="14" max="14" width="1.5703125" style="265" customWidth="1"/>
    <col min="15" max="15" width="13.5703125" style="265" customWidth="1"/>
    <col min="16" max="16" width="1.5703125" style="247" customWidth="1"/>
    <col min="17" max="17" width="13.5703125" style="247" customWidth="1"/>
    <col min="18" max="18" width="3.42578125" style="247" customWidth="1"/>
    <col min="19" max="16384" width="9.140625" style="247"/>
  </cols>
  <sheetData>
    <row r="1" spans="1:27" s="1031" customFormat="1" ht="18.600000000000001" customHeight="1" thickBot="1" x14ac:dyDescent="0.25">
      <c r="A1" s="1578"/>
      <c r="B1" s="1578"/>
      <c r="C1" s="1578"/>
      <c r="D1" s="1578"/>
      <c r="E1" s="1578"/>
      <c r="F1" s="1578"/>
      <c r="G1" s="1578"/>
      <c r="H1" s="1578"/>
      <c r="I1" s="1578"/>
      <c r="J1" s="1571" t="s">
        <v>1033</v>
      </c>
      <c r="K1" s="1571"/>
      <c r="L1" s="1571"/>
      <c r="M1" s="1571"/>
      <c r="N1" s="1571"/>
      <c r="O1" s="1571"/>
      <c r="P1" s="1571"/>
      <c r="Q1" s="1571"/>
      <c r="R1" s="913"/>
      <c r="S1" s="913"/>
      <c r="T1" s="913"/>
      <c r="U1" s="913"/>
      <c r="V1" s="913"/>
      <c r="W1" s="913"/>
      <c r="X1" s="913"/>
      <c r="Y1" s="913"/>
      <c r="Z1" s="913"/>
      <c r="AA1" s="913"/>
    </row>
    <row r="2" spans="1:27" s="532" customFormat="1" ht="14.85" customHeight="1" x14ac:dyDescent="0.2">
      <c r="A2" s="248" t="s">
        <v>1043</v>
      </c>
      <c r="B2" s="506"/>
      <c r="C2" s="506"/>
      <c r="D2" s="506"/>
      <c r="E2" s="734"/>
      <c r="F2" s="734"/>
      <c r="G2" s="734"/>
      <c r="H2" s="734"/>
      <c r="I2" s="734"/>
      <c r="J2" s="1579"/>
      <c r="K2" s="1579"/>
      <c r="L2" s="1579"/>
      <c r="M2" s="1579"/>
      <c r="N2" s="506"/>
      <c r="O2" s="506"/>
      <c r="P2" s="506"/>
      <c r="Q2" s="506"/>
      <c r="R2" s="506"/>
      <c r="S2" s="506"/>
      <c r="T2" s="506"/>
      <c r="U2" s="506"/>
      <c r="V2" s="734"/>
      <c r="W2" s="734"/>
      <c r="X2" s="734"/>
      <c r="Y2" s="734"/>
      <c r="Z2" s="734"/>
      <c r="AA2" s="734"/>
    </row>
    <row r="3" spans="1:27" s="253" customFormat="1" ht="13.5" customHeight="1" x14ac:dyDescent="0.2">
      <c r="A3" s="432" t="s">
        <v>1725</v>
      </c>
      <c r="D3" s="284"/>
      <c r="J3" s="1580"/>
      <c r="K3" s="1580"/>
      <c r="L3" s="1580"/>
      <c r="M3" s="1580"/>
      <c r="N3" s="1580"/>
      <c r="O3" s="1580"/>
      <c r="P3" s="1580"/>
      <c r="Q3" s="1580"/>
      <c r="R3" s="1580"/>
      <c r="S3" s="1580"/>
      <c r="T3" s="284"/>
      <c r="U3" s="284"/>
    </row>
    <row r="4" spans="1:27" s="212" customFormat="1" ht="12.6" customHeight="1" x14ac:dyDescent="0.2">
      <c r="A4" s="253" t="s">
        <v>972</v>
      </c>
      <c r="K4" s="1581" t="s">
        <v>1044</v>
      </c>
      <c r="L4" s="1581"/>
      <c r="M4" s="1581"/>
      <c r="N4" s="1581"/>
      <c r="O4" s="1581"/>
      <c r="P4" s="1032"/>
    </row>
    <row r="5" spans="1:27" s="336" customFormat="1" ht="12.6" customHeight="1" x14ac:dyDescent="0.2">
      <c r="E5" s="1576" t="s">
        <v>1045</v>
      </c>
      <c r="F5" s="1576"/>
      <c r="G5" s="1576"/>
      <c r="H5" s="1576"/>
      <c r="I5" s="1576"/>
      <c r="K5" s="1576" t="s">
        <v>1198</v>
      </c>
      <c r="L5" s="1576"/>
      <c r="M5" s="1576"/>
      <c r="N5" s="1576"/>
      <c r="O5" s="1576"/>
      <c r="P5" s="358"/>
    </row>
    <row r="6" spans="1:27" s="336" customFormat="1" ht="12.6" customHeight="1" x14ac:dyDescent="0.2">
      <c r="D6" s="396"/>
      <c r="E6" s="652"/>
      <c r="F6" s="652"/>
      <c r="G6" s="337" t="s">
        <v>104</v>
      </c>
      <c r="H6" s="337"/>
      <c r="I6" s="337" t="s">
        <v>861</v>
      </c>
      <c r="J6" s="396"/>
      <c r="K6" s="1577" t="s">
        <v>1034</v>
      </c>
      <c r="L6" s="1577"/>
      <c r="M6" s="1577"/>
      <c r="N6" s="1577"/>
      <c r="O6" s="1577"/>
      <c r="P6" s="358"/>
    </row>
    <row r="7" spans="1:27" s="336" customFormat="1" ht="12.6" customHeight="1" x14ac:dyDescent="0.2">
      <c r="C7" s="310"/>
      <c r="E7" s="310" t="s">
        <v>103</v>
      </c>
      <c r="F7" s="310"/>
      <c r="G7" s="310" t="s">
        <v>105</v>
      </c>
      <c r="H7" s="310"/>
      <c r="I7" s="310" t="s">
        <v>107</v>
      </c>
      <c r="J7" s="947"/>
      <c r="K7" s="337" t="s">
        <v>669</v>
      </c>
      <c r="L7" s="947"/>
      <c r="M7" s="338" t="s">
        <v>750</v>
      </c>
      <c r="N7" s="947"/>
      <c r="O7" s="632"/>
      <c r="Q7" s="310" t="s">
        <v>761</v>
      </c>
      <c r="R7" s="310"/>
    </row>
    <row r="8" spans="1:27" s="336" customFormat="1" ht="12.6" customHeight="1" x14ac:dyDescent="0.2">
      <c r="A8" s="574" t="s">
        <v>100</v>
      </c>
      <c r="C8" s="574" t="s">
        <v>1047</v>
      </c>
      <c r="E8" s="574" t="s">
        <v>838</v>
      </c>
      <c r="F8" s="310"/>
      <c r="G8" s="574" t="s">
        <v>106</v>
      </c>
      <c r="H8" s="310"/>
      <c r="I8" s="574" t="s">
        <v>106</v>
      </c>
      <c r="J8" s="947"/>
      <c r="K8" s="574" t="s">
        <v>670</v>
      </c>
      <c r="L8" s="947"/>
      <c r="M8" s="1033" t="s">
        <v>670</v>
      </c>
      <c r="N8" s="947"/>
      <c r="O8" s="1033" t="s">
        <v>671</v>
      </c>
      <c r="P8" s="310"/>
      <c r="Q8" s="574" t="s">
        <v>762</v>
      </c>
      <c r="R8" s="310"/>
    </row>
    <row r="9" spans="1:27" ht="5.0999999999999996" customHeight="1" x14ac:dyDescent="0.2">
      <c r="D9" s="264"/>
    </row>
    <row r="10" spans="1:27" s="253" customFormat="1" ht="9.9499999999999993" customHeight="1" x14ac:dyDescent="0.2">
      <c r="A10" s="284" t="s">
        <v>1049</v>
      </c>
      <c r="C10" s="339"/>
      <c r="D10" s="339"/>
      <c r="E10" s="339"/>
      <c r="F10" s="339"/>
      <c r="G10" s="339"/>
      <c r="H10" s="339"/>
      <c r="I10" s="339"/>
      <c r="J10" s="254"/>
      <c r="K10" s="254" t="s">
        <v>1050</v>
      </c>
      <c r="L10" s="254"/>
      <c r="M10" s="254" t="s">
        <v>1050</v>
      </c>
      <c r="N10" s="254"/>
      <c r="O10" s="254" t="s">
        <v>1050</v>
      </c>
      <c r="P10" s="339"/>
      <c r="Q10" s="339" t="s">
        <v>1050</v>
      </c>
      <c r="R10" s="339"/>
    </row>
    <row r="11" spans="1:27" s="253" customFormat="1" ht="9.9499999999999993" customHeight="1" x14ac:dyDescent="0.2">
      <c r="A11" s="707" t="s">
        <v>1051</v>
      </c>
      <c r="C11" s="253" t="s">
        <v>1050</v>
      </c>
      <c r="D11" s="339"/>
      <c r="J11" s="254"/>
      <c r="K11" s="254" t="s">
        <v>1050</v>
      </c>
      <c r="L11" s="254"/>
      <c r="M11" s="254" t="s">
        <v>1050</v>
      </c>
      <c r="N11" s="254"/>
      <c r="O11" s="254" t="s">
        <v>1050</v>
      </c>
    </row>
    <row r="12" spans="1:27" s="253" customFormat="1" ht="9.9499999999999993" customHeight="1" x14ac:dyDescent="0.2">
      <c r="A12" s="351" t="s">
        <v>953</v>
      </c>
      <c r="C12" s="339">
        <f>+SOAws!B3</f>
        <v>195810</v>
      </c>
      <c r="D12" s="339"/>
      <c r="E12" s="339">
        <f>+SOAws!B22</f>
        <v>19773</v>
      </c>
      <c r="F12" s="254"/>
      <c r="G12" s="339">
        <f>+SOAws!B37</f>
        <v>15320</v>
      </c>
      <c r="H12" s="254"/>
      <c r="I12" s="339">
        <f>+SOAws!B52</f>
        <v>1</v>
      </c>
      <c r="J12" s="254"/>
      <c r="K12" s="339">
        <f t="shared" ref="K12:K25" si="0">-C12+E12+G12+I12</f>
        <v>-160716</v>
      </c>
      <c r="L12" s="254"/>
      <c r="M12" s="339">
        <v>0</v>
      </c>
      <c r="N12" s="254"/>
      <c r="O12" s="339">
        <f t="shared" ref="O12:O25" si="1">SUM(K12:M12)</f>
        <v>-160716</v>
      </c>
      <c r="P12" s="254"/>
      <c r="Q12" s="339"/>
      <c r="R12" s="1034"/>
    </row>
    <row r="13" spans="1:27" s="253" customFormat="1" ht="9.9499999999999993" customHeight="1" x14ac:dyDescent="0.2">
      <c r="A13" s="351" t="s">
        <v>954</v>
      </c>
      <c r="C13" s="273">
        <f>+SOAws!B4</f>
        <v>1027190</v>
      </c>
      <c r="E13" s="273">
        <f>+SOAws!B23</f>
        <v>41629</v>
      </c>
      <c r="F13" s="273"/>
      <c r="G13" s="273">
        <f>+SOAws!B38</f>
        <v>112268</v>
      </c>
      <c r="H13" s="273"/>
      <c r="I13" s="273">
        <f>+SOAws!B53</f>
        <v>0</v>
      </c>
      <c r="J13" s="273"/>
      <c r="K13" s="273">
        <f t="shared" si="0"/>
        <v>-873293</v>
      </c>
      <c r="L13" s="273"/>
      <c r="M13" s="273"/>
      <c r="N13" s="273"/>
      <c r="O13" s="273">
        <f t="shared" si="1"/>
        <v>-873293</v>
      </c>
      <c r="P13" s="273">
        <v>0</v>
      </c>
      <c r="Q13" s="273"/>
      <c r="R13" s="254"/>
    </row>
    <row r="14" spans="1:27" s="253" customFormat="1" ht="9.9499999999999993" customHeight="1" x14ac:dyDescent="0.2">
      <c r="A14" s="351" t="s">
        <v>955</v>
      </c>
      <c r="C14" s="273">
        <f>+SOAws!B5</f>
        <v>438995</v>
      </c>
      <c r="E14" s="273">
        <f>+SOAws!B24</f>
        <v>69763</v>
      </c>
      <c r="F14" s="273"/>
      <c r="G14" s="273">
        <f>+SOAws!B39</f>
        <v>13956</v>
      </c>
      <c r="H14" s="273"/>
      <c r="I14" s="273">
        <f>+SOAws!B54</f>
        <v>50779</v>
      </c>
      <c r="J14" s="273"/>
      <c r="K14" s="273">
        <f t="shared" si="0"/>
        <v>-304497</v>
      </c>
      <c r="L14" s="273"/>
      <c r="M14" s="273"/>
      <c r="N14" s="273"/>
      <c r="O14" s="273">
        <f t="shared" si="1"/>
        <v>-304497</v>
      </c>
      <c r="P14" s="273"/>
      <c r="Q14" s="273"/>
      <c r="R14" s="254"/>
    </row>
    <row r="15" spans="1:27" s="253" customFormat="1" ht="9.9499999999999993" customHeight="1" x14ac:dyDescent="0.2">
      <c r="A15" s="351" t="s">
        <v>958</v>
      </c>
      <c r="C15" s="273">
        <f>+SOAws!B6</f>
        <v>13297</v>
      </c>
      <c r="E15" s="273">
        <f>+SOAws!B25</f>
        <v>11356</v>
      </c>
      <c r="F15" s="273"/>
      <c r="G15" s="273">
        <f>+SOAws!B40</f>
        <v>23</v>
      </c>
      <c r="H15" s="273"/>
      <c r="I15" s="273">
        <f>+SOAws!B55</f>
        <v>0</v>
      </c>
      <c r="J15" s="273"/>
      <c r="K15" s="273">
        <f t="shared" si="0"/>
        <v>-1918</v>
      </c>
      <c r="L15" s="273"/>
      <c r="M15" s="273"/>
      <c r="N15" s="273"/>
      <c r="O15" s="273">
        <f t="shared" si="1"/>
        <v>-1918</v>
      </c>
      <c r="P15" s="273"/>
      <c r="Q15" s="273"/>
      <c r="R15" s="254"/>
    </row>
    <row r="16" spans="1:27" s="253" customFormat="1" ht="9.9499999999999993" customHeight="1" x14ac:dyDescent="0.2">
      <c r="A16" s="351" t="s">
        <v>956</v>
      </c>
      <c r="C16" s="273">
        <f>+SOAws!B7</f>
        <v>124759</v>
      </c>
      <c r="E16" s="273">
        <f>+SOAws!B26</f>
        <v>11350</v>
      </c>
      <c r="F16" s="273"/>
      <c r="G16" s="273">
        <f>+SOAws!B41</f>
        <v>54680</v>
      </c>
      <c r="H16" s="273"/>
      <c r="I16" s="273">
        <f>+SOAws!B56</f>
        <v>0</v>
      </c>
      <c r="J16" s="273"/>
      <c r="K16" s="273">
        <f t="shared" si="0"/>
        <v>-58729</v>
      </c>
      <c r="L16" s="273"/>
      <c r="M16" s="273"/>
      <c r="N16" s="273"/>
      <c r="O16" s="273">
        <f t="shared" si="1"/>
        <v>-58729</v>
      </c>
      <c r="P16" s="273"/>
      <c r="Q16" s="273"/>
      <c r="R16" s="254"/>
    </row>
    <row r="17" spans="1:18" s="253" customFormat="1" ht="9.9499999999999993" customHeight="1" x14ac:dyDescent="0.2">
      <c r="A17" s="351" t="s">
        <v>961</v>
      </c>
      <c r="C17" s="273">
        <f>+SOAws!B8</f>
        <v>258340</v>
      </c>
      <c r="E17" s="273">
        <f>+SOAws!B27</f>
        <v>90744</v>
      </c>
      <c r="F17" s="273"/>
      <c r="G17" s="273">
        <f>+SOAws!B42</f>
        <v>2262</v>
      </c>
      <c r="H17" s="273"/>
      <c r="I17" s="273">
        <f>+SOAws!B57</f>
        <v>0</v>
      </c>
      <c r="J17" s="273"/>
      <c r="K17" s="273">
        <f t="shared" si="0"/>
        <v>-165334</v>
      </c>
      <c r="L17" s="273"/>
      <c r="M17" s="273"/>
      <c r="N17" s="273"/>
      <c r="O17" s="273">
        <f t="shared" si="1"/>
        <v>-165334</v>
      </c>
      <c r="P17" s="273"/>
      <c r="Q17" s="273"/>
      <c r="R17" s="254"/>
    </row>
    <row r="18" spans="1:18" s="253" customFormat="1" ht="9.9499999999999993" customHeight="1" x14ac:dyDescent="0.2">
      <c r="A18" s="351" t="s">
        <v>960</v>
      </c>
      <c r="C18" s="273">
        <f>+SOAws!B9</f>
        <v>92716</v>
      </c>
      <c r="E18" s="273">
        <f>+SOAws!B28</f>
        <v>0</v>
      </c>
      <c r="F18" s="273"/>
      <c r="G18" s="273">
        <f>+SOAws!B43</f>
        <v>7950</v>
      </c>
      <c r="H18" s="273"/>
      <c r="I18" s="273">
        <f>+SOAws!B58</f>
        <v>0</v>
      </c>
      <c r="J18" s="273"/>
      <c r="K18" s="273">
        <f t="shared" si="0"/>
        <v>-84766</v>
      </c>
      <c r="L18" s="273"/>
      <c r="M18" s="273"/>
      <c r="N18" s="273"/>
      <c r="O18" s="273">
        <f t="shared" si="1"/>
        <v>-84766</v>
      </c>
      <c r="P18" s="273"/>
      <c r="Q18" s="273"/>
      <c r="R18" s="254"/>
    </row>
    <row r="19" spans="1:18" s="253" customFormat="1" ht="9.9499999999999993" customHeight="1" x14ac:dyDescent="0.2">
      <c r="A19" s="351" t="s">
        <v>963</v>
      </c>
      <c r="C19" s="273">
        <f>+SOAws!B10</f>
        <v>100428</v>
      </c>
      <c r="E19" s="273">
        <f>+SOAws!B29</f>
        <v>1160</v>
      </c>
      <c r="F19" s="273"/>
      <c r="G19" s="273">
        <f>+SOAws!B44</f>
        <v>41105</v>
      </c>
      <c r="H19" s="273"/>
      <c r="I19" s="273">
        <f>+SOAws!B59</f>
        <v>3025</v>
      </c>
      <c r="J19" s="273"/>
      <c r="K19" s="273">
        <f t="shared" si="0"/>
        <v>-55138</v>
      </c>
      <c r="L19" s="273"/>
      <c r="M19" s="273"/>
      <c r="N19" s="273"/>
      <c r="O19" s="273">
        <f t="shared" si="1"/>
        <v>-55138</v>
      </c>
      <c r="P19" s="273"/>
      <c r="Q19" s="273"/>
      <c r="R19" s="254"/>
    </row>
    <row r="20" spans="1:18" s="253" customFormat="1" ht="9.9499999999999993" customHeight="1" x14ac:dyDescent="0.2">
      <c r="A20" s="351" t="s">
        <v>959</v>
      </c>
      <c r="C20" s="273">
        <f>+SOAws!B11</f>
        <v>270173</v>
      </c>
      <c r="E20" s="273">
        <f>+SOAws!B30</f>
        <v>0</v>
      </c>
      <c r="F20" s="273"/>
      <c r="G20" s="273">
        <f>+SOAws!B45</f>
        <v>214547</v>
      </c>
      <c r="H20" s="273"/>
      <c r="I20" s="273">
        <f>+SOAws!B60</f>
        <v>0</v>
      </c>
      <c r="J20" s="273"/>
      <c r="K20" s="273">
        <f t="shared" si="0"/>
        <v>-55626</v>
      </c>
      <c r="L20" s="273"/>
      <c r="M20" s="273"/>
      <c r="N20" s="273"/>
      <c r="O20" s="273">
        <f t="shared" si="1"/>
        <v>-55626</v>
      </c>
      <c r="P20" s="273"/>
      <c r="Q20" s="273"/>
      <c r="R20" s="254"/>
    </row>
    <row r="21" spans="1:18" s="253" customFormat="1" ht="9.9499999999999993" customHeight="1" x14ac:dyDescent="0.2">
      <c r="A21" s="351" t="s">
        <v>1191</v>
      </c>
      <c r="C21" s="273">
        <f>+SOAws!B12</f>
        <v>129276</v>
      </c>
      <c r="E21" s="273">
        <f>+SOAws!B31</f>
        <v>2156</v>
      </c>
      <c r="F21" s="273"/>
      <c r="G21" s="273">
        <f>+SOAws!B46</f>
        <v>1621</v>
      </c>
      <c r="H21" s="273"/>
      <c r="I21" s="273">
        <f>+SOAws!B61</f>
        <v>780</v>
      </c>
      <c r="J21" s="273"/>
      <c r="K21" s="273">
        <f t="shared" si="0"/>
        <v>-124719</v>
      </c>
      <c r="L21" s="273"/>
      <c r="M21" s="273"/>
      <c r="N21" s="273"/>
      <c r="O21" s="273">
        <f t="shared" si="1"/>
        <v>-124719</v>
      </c>
      <c r="P21" s="273"/>
      <c r="Q21" s="273"/>
      <c r="R21" s="254"/>
    </row>
    <row r="22" spans="1:18" s="253" customFormat="1" ht="9.9499999999999993" customHeight="1" x14ac:dyDescent="0.2">
      <c r="A22" s="351" t="s">
        <v>964</v>
      </c>
      <c r="C22" s="273">
        <f>+SOAws!B13</f>
        <v>55479</v>
      </c>
      <c r="E22" s="273">
        <f>+SOAws!B32</f>
        <v>2677</v>
      </c>
      <c r="F22" s="273"/>
      <c r="G22" s="273">
        <f>+SOAws!B47</f>
        <v>8232</v>
      </c>
      <c r="H22" s="273"/>
      <c r="I22" s="273">
        <f>+SOAws!B62</f>
        <v>0</v>
      </c>
      <c r="J22" s="273"/>
      <c r="K22" s="273">
        <f>-C22+E22+G22+I22</f>
        <v>-44570</v>
      </c>
      <c r="L22" s="273"/>
      <c r="M22" s="273"/>
      <c r="N22" s="273"/>
      <c r="O22" s="273">
        <f t="shared" si="1"/>
        <v>-44570</v>
      </c>
      <c r="P22" s="273"/>
      <c r="Q22" s="273"/>
      <c r="R22" s="254"/>
    </row>
    <row r="23" spans="1:18" s="253" customFormat="1" ht="9.9499999999999993" customHeight="1" x14ac:dyDescent="0.2">
      <c r="A23" s="351" t="s">
        <v>1414</v>
      </c>
      <c r="C23" s="273">
        <f>+SOAws!B14</f>
        <v>3619</v>
      </c>
      <c r="E23" s="273">
        <f>+SOAws!B33</f>
        <v>704</v>
      </c>
      <c r="F23" s="273"/>
      <c r="G23" s="273">
        <f>+SOAws!B48</f>
        <v>273</v>
      </c>
      <c r="H23" s="273"/>
      <c r="I23" s="273">
        <f>+SOAws!B63</f>
        <v>0</v>
      </c>
      <c r="J23" s="273"/>
      <c r="K23" s="273">
        <f>-C23+E23+G23+I23</f>
        <v>-2642</v>
      </c>
      <c r="L23" s="273"/>
      <c r="M23" s="273"/>
      <c r="N23" s="273"/>
      <c r="O23" s="273">
        <f t="shared" si="1"/>
        <v>-2642</v>
      </c>
      <c r="P23" s="273"/>
      <c r="Q23" s="273"/>
      <c r="R23" s="254"/>
    </row>
    <row r="24" spans="1:18" s="253" customFormat="1" ht="9.9499999999999993" customHeight="1" x14ac:dyDescent="0.2">
      <c r="A24" s="351" t="s">
        <v>195</v>
      </c>
      <c r="C24" s="273">
        <f>+SOAws!B16</f>
        <v>2731</v>
      </c>
      <c r="E24" s="273"/>
      <c r="F24" s="273"/>
      <c r="G24" s="273"/>
      <c r="H24" s="273"/>
      <c r="I24" s="273"/>
      <c r="J24" s="273"/>
      <c r="K24" s="273">
        <f t="shared" si="0"/>
        <v>-2731</v>
      </c>
      <c r="L24" s="273"/>
      <c r="M24" s="273"/>
      <c r="N24" s="273"/>
      <c r="O24" s="273">
        <f t="shared" si="1"/>
        <v>-2731</v>
      </c>
      <c r="P24" s="273"/>
      <c r="Q24" s="273"/>
      <c r="R24" s="254"/>
    </row>
    <row r="25" spans="1:18" s="253" customFormat="1" ht="9.9499999999999993" customHeight="1" x14ac:dyDescent="0.2">
      <c r="A25" s="351" t="s">
        <v>1054</v>
      </c>
      <c r="C25" s="273">
        <f>+SOAws!B15+SOAws!B17+SOAws!B18</f>
        <v>94944</v>
      </c>
      <c r="E25" s="341"/>
      <c r="F25" s="273"/>
      <c r="G25" s="273"/>
      <c r="H25" s="273"/>
      <c r="I25" s="273"/>
      <c r="J25" s="273"/>
      <c r="K25" s="273">
        <f t="shared" si="0"/>
        <v>-94944</v>
      </c>
      <c r="L25" s="273"/>
      <c r="M25" s="273"/>
      <c r="N25" s="273"/>
      <c r="O25" s="273">
        <f t="shared" si="1"/>
        <v>-94944</v>
      </c>
      <c r="P25" s="273"/>
      <c r="Q25" s="273"/>
      <c r="R25" s="254"/>
    </row>
    <row r="26" spans="1:18" s="253" customFormat="1" ht="5.0999999999999996" customHeight="1" x14ac:dyDescent="0.2">
      <c r="C26" s="340"/>
      <c r="D26" s="342"/>
      <c r="E26" s="343"/>
      <c r="F26" s="273"/>
      <c r="G26" s="340"/>
      <c r="H26" s="273"/>
      <c r="I26" s="340"/>
      <c r="J26" s="273"/>
      <c r="K26" s="340"/>
      <c r="L26" s="273"/>
      <c r="M26" s="340"/>
      <c r="N26" s="273"/>
      <c r="O26" s="340"/>
      <c r="P26" s="273"/>
      <c r="Q26" s="273"/>
      <c r="R26" s="254"/>
    </row>
    <row r="27" spans="1:18" s="253" customFormat="1" ht="11.1" customHeight="1" x14ac:dyDescent="0.2">
      <c r="A27" s="707" t="s">
        <v>1055</v>
      </c>
      <c r="C27" s="341">
        <f>SUM(C12:C25)</f>
        <v>2807757</v>
      </c>
      <c r="D27" s="273"/>
      <c r="E27" s="341">
        <f>SUM(E12:E25)</f>
        <v>251312</v>
      </c>
      <c r="F27" s="273"/>
      <c r="G27" s="341">
        <f>SUM(G12:G25)</f>
        <v>472237</v>
      </c>
      <c r="H27" s="273"/>
      <c r="I27" s="341">
        <f>SUM(I12:I25)</f>
        <v>54585</v>
      </c>
      <c r="J27" s="273"/>
      <c r="K27" s="341">
        <f>SUM(K12:K25)</f>
        <v>-2029623</v>
      </c>
      <c r="L27" s="273"/>
      <c r="M27" s="341">
        <f>SUM(M12:M25)</f>
        <v>0</v>
      </c>
      <c r="N27" s="273"/>
      <c r="O27" s="341">
        <f>SUM(O12:O25)</f>
        <v>-2029623</v>
      </c>
      <c r="P27" s="273"/>
      <c r="Q27" s="273"/>
      <c r="R27" s="254"/>
    </row>
    <row r="28" spans="1:18" s="253" customFormat="1" ht="5.0999999999999996" customHeight="1" x14ac:dyDescent="0.2">
      <c r="A28" s="353"/>
      <c r="C28" s="273"/>
      <c r="D28" s="342"/>
      <c r="E28" s="342"/>
      <c r="F28" s="273"/>
      <c r="G28" s="273"/>
      <c r="H28" s="273"/>
      <c r="I28" s="273"/>
      <c r="J28" s="273"/>
      <c r="K28" s="273"/>
      <c r="L28" s="273"/>
      <c r="M28" s="273"/>
      <c r="N28" s="273"/>
      <c r="O28" s="273"/>
      <c r="P28" s="273"/>
      <c r="Q28" s="273"/>
      <c r="R28" s="254"/>
    </row>
    <row r="29" spans="1:18" s="253" customFormat="1" ht="9.9499999999999993" customHeight="1" x14ac:dyDescent="0.2">
      <c r="A29" s="707" t="s">
        <v>1056</v>
      </c>
      <c r="C29" s="273"/>
      <c r="D29" s="273"/>
      <c r="E29" s="273"/>
      <c r="F29" s="273"/>
      <c r="G29" s="273"/>
      <c r="H29" s="273"/>
      <c r="I29" s="273"/>
      <c r="J29" s="273"/>
      <c r="K29" s="273"/>
      <c r="L29" s="273"/>
      <c r="M29" s="273"/>
      <c r="N29" s="273"/>
      <c r="O29" s="273"/>
      <c r="P29" s="273"/>
      <c r="Q29" s="273"/>
      <c r="R29" s="254"/>
    </row>
    <row r="30" spans="1:18" s="253" customFormat="1" ht="9.9499999999999993" customHeight="1" x14ac:dyDescent="0.2">
      <c r="A30" s="351" t="s">
        <v>1057</v>
      </c>
      <c r="C30" s="273">
        <f>+SOAws!B109</f>
        <v>171412</v>
      </c>
      <c r="E30" s="273">
        <f>+SOAws!C117</f>
        <v>150292</v>
      </c>
      <c r="F30" s="273"/>
      <c r="G30" s="273">
        <f>+SOAws!C125</f>
        <v>36</v>
      </c>
      <c r="H30" s="273"/>
      <c r="I30" s="273">
        <f>SOAws!C138</f>
        <v>53849</v>
      </c>
      <c r="J30" s="273"/>
      <c r="K30" s="273"/>
      <c r="L30" s="273"/>
      <c r="M30" s="273">
        <f>-C30+E30+G30+I30</f>
        <v>32765</v>
      </c>
      <c r="N30" s="273"/>
      <c r="O30" s="273">
        <f>SUM(K30:M30)</f>
        <v>32765</v>
      </c>
      <c r="P30" s="273"/>
      <c r="Q30" s="273"/>
      <c r="R30" s="254"/>
    </row>
    <row r="31" spans="1:18" s="352" customFormat="1" ht="9.9499999999999993" customHeight="1" x14ac:dyDescent="0.2">
      <c r="A31" s="426" t="s">
        <v>969</v>
      </c>
      <c r="C31" s="273">
        <f>SOAws!B113</f>
        <v>50322</v>
      </c>
      <c r="E31" s="273">
        <f>+SOAws!G122</f>
        <v>45911</v>
      </c>
      <c r="F31" s="273"/>
      <c r="G31" s="273"/>
      <c r="H31" s="273"/>
      <c r="I31" s="273">
        <f>SOAws!G138</f>
        <v>0</v>
      </c>
      <c r="J31" s="273"/>
      <c r="K31" s="273"/>
      <c r="L31" s="273"/>
      <c r="M31" s="273">
        <f>-C31+E31+G31+I31</f>
        <v>-4411</v>
      </c>
      <c r="N31" s="273"/>
      <c r="O31" s="273">
        <f>SUM(K31:M31)</f>
        <v>-4411</v>
      </c>
      <c r="P31" s="273"/>
      <c r="Q31" s="273"/>
      <c r="R31" s="254"/>
    </row>
    <row r="32" spans="1:18" s="352" customFormat="1" ht="9.9499999999999993" customHeight="1" x14ac:dyDescent="0.2">
      <c r="A32" s="426" t="s">
        <v>210</v>
      </c>
      <c r="C32" s="273">
        <f>SOAws!B112</f>
        <v>2901</v>
      </c>
      <c r="E32" s="273">
        <f>+SOAws!F122</f>
        <v>2310</v>
      </c>
      <c r="F32" s="273"/>
      <c r="G32" s="273"/>
      <c r="H32" s="273"/>
      <c r="I32" s="273">
        <f>SOAws!F138</f>
        <v>0</v>
      </c>
      <c r="J32" s="273"/>
      <c r="K32" s="273"/>
      <c r="L32" s="273"/>
      <c r="M32" s="273">
        <f>-C32+E32+G32+I32</f>
        <v>-591</v>
      </c>
      <c r="N32" s="273"/>
      <c r="O32" s="273">
        <f>SUM(K32:M32)</f>
        <v>-591</v>
      </c>
      <c r="P32" s="273"/>
      <c r="Q32" s="273"/>
      <c r="R32" s="254"/>
    </row>
    <row r="33" spans="1:18" s="352" customFormat="1" ht="9.9499999999999993" customHeight="1" x14ac:dyDescent="0.2">
      <c r="A33" s="351" t="s">
        <v>214</v>
      </c>
      <c r="C33" s="273">
        <f>SOAws!B110</f>
        <v>9889</v>
      </c>
      <c r="E33" s="273">
        <f>SOAws!H118</f>
        <v>7534</v>
      </c>
      <c r="F33" s="273"/>
      <c r="G33" s="273">
        <f>+SOAws!H126</f>
        <v>0</v>
      </c>
      <c r="H33" s="273"/>
      <c r="I33" s="273">
        <f>SOAws!H139</f>
        <v>0</v>
      </c>
      <c r="J33" s="273"/>
      <c r="K33" s="273"/>
      <c r="L33" s="273"/>
      <c r="M33" s="273">
        <f>-C33+E33+G33+I33</f>
        <v>-2355</v>
      </c>
      <c r="N33" s="273"/>
      <c r="O33" s="273">
        <f>SUM(K33:M33)</f>
        <v>-2355</v>
      </c>
      <c r="P33" s="273"/>
      <c r="Q33" s="273"/>
      <c r="R33" s="254"/>
    </row>
    <row r="34" spans="1:18" s="352" customFormat="1" ht="9.9499999999999993" customHeight="1" x14ac:dyDescent="0.2">
      <c r="A34" s="426" t="s">
        <v>841</v>
      </c>
      <c r="C34" s="273">
        <f>SOAws!B111</f>
        <v>144185</v>
      </c>
      <c r="E34" s="273">
        <f>+SOAws!D119</f>
        <v>152527</v>
      </c>
      <c r="F34" s="273"/>
      <c r="G34" s="273">
        <f>+SOAws!D127</f>
        <v>0</v>
      </c>
      <c r="H34" s="273"/>
      <c r="I34" s="273">
        <f>SORECPF!E43</f>
        <v>0</v>
      </c>
      <c r="J34" s="273"/>
      <c r="K34" s="273"/>
      <c r="L34" s="273"/>
      <c r="M34" s="273">
        <f>-C34+E34+G34+I34</f>
        <v>8342</v>
      </c>
      <c r="N34" s="273"/>
      <c r="O34" s="273">
        <f>SUM(K34:M34)</f>
        <v>8342</v>
      </c>
      <c r="P34" s="273"/>
      <c r="Q34" s="273"/>
      <c r="R34" s="254"/>
    </row>
    <row r="35" spans="1:18" s="352" customFormat="1" ht="5.0999999999999996" customHeight="1" x14ac:dyDescent="0.2">
      <c r="A35" s="349"/>
      <c r="C35" s="340"/>
      <c r="D35" s="631"/>
      <c r="E35" s="1035"/>
      <c r="F35" s="273"/>
      <c r="G35" s="340"/>
      <c r="H35" s="273"/>
      <c r="I35" s="340"/>
      <c r="J35" s="273"/>
      <c r="K35" s="340"/>
      <c r="L35" s="273"/>
      <c r="M35" s="340"/>
      <c r="N35" s="273"/>
      <c r="O35" s="340"/>
      <c r="P35" s="273"/>
      <c r="Q35" s="273"/>
      <c r="R35" s="254"/>
    </row>
    <row r="36" spans="1:18" s="253" customFormat="1" ht="11.1" customHeight="1" x14ac:dyDescent="0.2">
      <c r="A36" s="707" t="s">
        <v>1058</v>
      </c>
      <c r="C36" s="341">
        <f>SUM(C30:C34)</f>
        <v>378709</v>
      </c>
      <c r="D36" s="273"/>
      <c r="E36" s="341">
        <f>SUM(E30:E34)</f>
        <v>358574</v>
      </c>
      <c r="F36" s="273"/>
      <c r="G36" s="341">
        <f>SUM(G30:G34)</f>
        <v>36</v>
      </c>
      <c r="H36" s="273"/>
      <c r="I36" s="341">
        <f>SUM(I30:I34)</f>
        <v>53849</v>
      </c>
      <c r="J36" s="273"/>
      <c r="K36" s="341">
        <f>SUM(K30:K34)</f>
        <v>0</v>
      </c>
      <c r="L36" s="273"/>
      <c r="M36" s="341">
        <f>SUM(M30:M34)</f>
        <v>33750</v>
      </c>
      <c r="N36" s="273"/>
      <c r="O36" s="341">
        <f>SUM(O30:O34)</f>
        <v>33750</v>
      </c>
      <c r="P36" s="273"/>
      <c r="Q36" s="273"/>
      <c r="R36" s="254"/>
    </row>
    <row r="37" spans="1:18" s="253" customFormat="1" ht="5.0999999999999996" customHeight="1" x14ac:dyDescent="0.2">
      <c r="C37" s="273"/>
      <c r="D37" s="342"/>
      <c r="E37" s="343"/>
      <c r="F37" s="273"/>
      <c r="G37" s="273"/>
      <c r="H37" s="273"/>
      <c r="I37" s="273"/>
      <c r="J37" s="273"/>
      <c r="K37" s="340"/>
      <c r="L37" s="273"/>
      <c r="M37" s="340"/>
      <c r="N37" s="273"/>
      <c r="O37" s="340"/>
      <c r="P37" s="273"/>
      <c r="Q37" s="273"/>
      <c r="R37" s="254"/>
    </row>
    <row r="38" spans="1:18" s="253" customFormat="1" ht="11.1" customHeight="1" thickBot="1" x14ac:dyDescent="0.25">
      <c r="A38" s="284" t="s">
        <v>772</v>
      </c>
      <c r="C38" s="344">
        <f>C27+C36</f>
        <v>3186466</v>
      </c>
      <c r="D38" s="339"/>
      <c r="E38" s="344">
        <f>SUM(E36+E27)</f>
        <v>609886</v>
      </c>
      <c r="F38" s="254"/>
      <c r="G38" s="344">
        <f>G27+G36</f>
        <v>472273</v>
      </c>
      <c r="H38" s="254"/>
      <c r="I38" s="344">
        <f>I27+I36</f>
        <v>108434</v>
      </c>
      <c r="J38" s="254"/>
      <c r="K38" s="345">
        <f>K27+K36</f>
        <v>-2029623</v>
      </c>
      <c r="L38" s="254"/>
      <c r="M38" s="345">
        <f>M27+M36</f>
        <v>33750</v>
      </c>
      <c r="N38" s="254"/>
      <c r="O38" s="345">
        <f>O27+O36</f>
        <v>-1995873</v>
      </c>
      <c r="P38" s="254"/>
      <c r="Q38" s="254"/>
      <c r="R38" s="254"/>
    </row>
    <row r="39" spans="1:18" s="253" customFormat="1" ht="5.0999999999999996" customHeight="1" thickTop="1" x14ac:dyDescent="0.2">
      <c r="C39" s="254"/>
      <c r="D39" s="254"/>
      <c r="E39" s="254"/>
      <c r="F39" s="254"/>
      <c r="G39" s="254"/>
      <c r="H39" s="254"/>
      <c r="I39" s="254"/>
      <c r="J39" s="254"/>
      <c r="K39" s="254"/>
      <c r="L39" s="254"/>
      <c r="M39" s="254"/>
      <c r="N39" s="254"/>
      <c r="O39" s="254"/>
      <c r="P39" s="254"/>
      <c r="Q39" s="254"/>
      <c r="R39" s="254"/>
    </row>
    <row r="40" spans="1:18" s="253" customFormat="1" ht="9.75" customHeight="1" x14ac:dyDescent="0.2">
      <c r="A40" s="284" t="s">
        <v>537</v>
      </c>
      <c r="C40" s="273"/>
      <c r="D40" s="273"/>
      <c r="E40" s="273"/>
      <c r="F40" s="273"/>
      <c r="G40" s="273"/>
      <c r="H40" s="273"/>
      <c r="I40" s="273"/>
      <c r="J40" s="273"/>
      <c r="K40" s="273"/>
      <c r="L40" s="273"/>
      <c r="M40" s="273"/>
      <c r="N40" s="273"/>
      <c r="O40" s="273"/>
      <c r="P40" s="273"/>
      <c r="Q40" s="273"/>
      <c r="R40" s="254"/>
    </row>
    <row r="41" spans="1:18" s="253" customFormat="1" ht="9.9499999999999993" customHeight="1" x14ac:dyDescent="0.2">
      <c r="A41" s="349" t="s">
        <v>368</v>
      </c>
      <c r="C41" s="346">
        <f>SOACU!C13</f>
        <v>3268807</v>
      </c>
      <c r="E41" s="346">
        <f>SOACU!H13</f>
        <v>3359249</v>
      </c>
      <c r="F41" s="273"/>
      <c r="G41" s="339">
        <f>SOACU!J13</f>
        <v>0</v>
      </c>
      <c r="H41" s="273"/>
      <c r="I41" s="346">
        <f>SOACU!L13</f>
        <v>103062</v>
      </c>
      <c r="J41" s="273"/>
      <c r="K41" s="273"/>
      <c r="L41" s="273"/>
      <c r="M41" s="273"/>
      <c r="N41" s="273"/>
      <c r="O41" s="273"/>
      <c r="P41" s="273"/>
      <c r="Q41" s="346">
        <f>+I41+G41+E41-C41</f>
        <v>193504</v>
      </c>
      <c r="R41" s="254"/>
    </row>
    <row r="42" spans="1:18" s="253" customFormat="1" ht="9.9499999999999993" customHeight="1" x14ac:dyDescent="0.2">
      <c r="A42" s="349" t="s">
        <v>1160</v>
      </c>
      <c r="C42" s="273">
        <f>SOACU!C15</f>
        <v>835327</v>
      </c>
      <c r="E42" s="273">
        <f>SOACU!H15</f>
        <v>862770</v>
      </c>
      <c r="F42" s="273"/>
      <c r="G42" s="273">
        <f>SOACU!J15</f>
        <v>0</v>
      </c>
      <c r="H42" s="273"/>
      <c r="I42" s="273">
        <f>SOACU!L15</f>
        <v>344933</v>
      </c>
      <c r="J42" s="273"/>
      <c r="K42" s="273"/>
      <c r="L42" s="273"/>
      <c r="M42" s="273"/>
      <c r="N42" s="273"/>
      <c r="O42" s="273"/>
      <c r="P42" s="273"/>
      <c r="Q42" s="273">
        <f>+I42+G42+E42-C42</f>
        <v>372376</v>
      </c>
      <c r="R42" s="254"/>
    </row>
    <row r="43" spans="1:18" s="253" customFormat="1" ht="9.9499999999999993" customHeight="1" x14ac:dyDescent="0.2">
      <c r="A43" s="349" t="s">
        <v>1321</v>
      </c>
      <c r="C43" s="273">
        <f>'Combining SOACU'!F15</f>
        <v>34419</v>
      </c>
      <c r="E43" s="273">
        <f>'Combining SOACU'!H15</f>
        <v>17934</v>
      </c>
      <c r="F43" s="273"/>
      <c r="G43" s="273">
        <f>'Combining SOACU'!J15</f>
        <v>0</v>
      </c>
      <c r="H43" s="273"/>
      <c r="I43" s="273">
        <f>'Combining SOACU'!L15</f>
        <v>240</v>
      </c>
      <c r="J43" s="273"/>
      <c r="K43" s="273"/>
      <c r="L43" s="273"/>
      <c r="M43" s="273"/>
      <c r="N43" s="273"/>
      <c r="O43" s="273"/>
      <c r="P43" s="273"/>
      <c r="Q43" s="273">
        <f t="shared" ref="Q43:Q51" si="2">+I43+G43+E43-C43</f>
        <v>-16245</v>
      </c>
      <c r="R43" s="254"/>
    </row>
    <row r="44" spans="1:18" s="253" customFormat="1" ht="9.9499999999999993" customHeight="1" x14ac:dyDescent="0.2">
      <c r="A44" s="349" t="s">
        <v>9</v>
      </c>
      <c r="C44" s="273">
        <f>'Combining SOACU'!F19</f>
        <v>74737</v>
      </c>
      <c r="E44" s="273">
        <f>'Combining SOACU'!H19</f>
        <v>66081</v>
      </c>
      <c r="F44" s="273"/>
      <c r="G44" s="273">
        <f>'Combining SOACU'!J19</f>
        <v>0</v>
      </c>
      <c r="H44" s="273"/>
      <c r="I44" s="273">
        <f>'Combining SOACU'!L19</f>
        <v>2064</v>
      </c>
      <c r="J44" s="273"/>
      <c r="K44" s="273"/>
      <c r="L44" s="273"/>
      <c r="M44" s="273"/>
      <c r="N44" s="273"/>
      <c r="O44" s="273"/>
      <c r="P44" s="273"/>
      <c r="Q44" s="273">
        <f>+I44+G44+E44-C44</f>
        <v>-6592</v>
      </c>
      <c r="R44" s="254"/>
    </row>
    <row r="45" spans="1:18" s="253" customFormat="1" ht="9.9499999999999993" customHeight="1" x14ac:dyDescent="0.2">
      <c r="A45" s="349" t="s">
        <v>1327</v>
      </c>
      <c r="C45" s="273">
        <f>'Combining SOACU'!F17</f>
        <v>1222</v>
      </c>
      <c r="E45" s="273">
        <f>'Combining SOACU'!H17</f>
        <v>794</v>
      </c>
      <c r="F45" s="273"/>
      <c r="G45" s="273">
        <f>'Combining SOACU'!J17</f>
        <v>0</v>
      </c>
      <c r="H45" s="273"/>
      <c r="I45" s="273">
        <f>'Combining SOACU'!L17</f>
        <v>0</v>
      </c>
      <c r="J45" s="273"/>
      <c r="K45" s="273"/>
      <c r="L45" s="273"/>
      <c r="M45" s="273"/>
      <c r="N45" s="273"/>
      <c r="O45" s="273"/>
      <c r="P45" s="273"/>
      <c r="Q45" s="273">
        <f t="shared" si="2"/>
        <v>-428</v>
      </c>
      <c r="R45" s="254"/>
    </row>
    <row r="46" spans="1:18" s="253" customFormat="1" ht="9.9499999999999993" customHeight="1" x14ac:dyDescent="0.2">
      <c r="A46" s="349" t="s">
        <v>1252</v>
      </c>
      <c r="C46" s="273">
        <f>+'Combining SOACU'!F23</f>
        <v>35164</v>
      </c>
      <c r="E46" s="273">
        <f>+'Combining SOACU'!H23</f>
        <v>26564</v>
      </c>
      <c r="F46" s="273"/>
      <c r="G46" s="273">
        <f>'Combining SOACU'!J21</f>
        <v>0</v>
      </c>
      <c r="H46" s="273"/>
      <c r="I46" s="273">
        <f>'Combining SOACU'!L21</f>
        <v>0</v>
      </c>
      <c r="J46" s="273"/>
      <c r="K46" s="273"/>
      <c r="L46" s="273"/>
      <c r="M46" s="273"/>
      <c r="N46" s="273"/>
      <c r="O46" s="273"/>
      <c r="P46" s="273"/>
      <c r="Q46" s="273">
        <f t="shared" si="2"/>
        <v>-8600</v>
      </c>
      <c r="R46" s="254"/>
    </row>
    <row r="47" spans="1:18" s="253" customFormat="1" ht="9.9499999999999993" hidden="1" customHeight="1" x14ac:dyDescent="0.2">
      <c r="A47" s="349" t="s">
        <v>1021</v>
      </c>
      <c r="C47" s="273">
        <f>'Combining SOACU'!F25</f>
        <v>0</v>
      </c>
      <c r="E47" s="273">
        <f>'Combining SOACU'!H25</f>
        <v>0</v>
      </c>
      <c r="F47" s="273"/>
      <c r="G47" s="273">
        <f>'Combining SOACU'!J25</f>
        <v>0</v>
      </c>
      <c r="H47" s="273"/>
      <c r="I47" s="273">
        <f>'Combining SOACU'!L25</f>
        <v>0</v>
      </c>
      <c r="J47" s="273"/>
      <c r="K47" s="273"/>
      <c r="L47" s="273"/>
      <c r="M47" s="273"/>
      <c r="N47" s="273"/>
      <c r="O47" s="273"/>
      <c r="P47" s="273"/>
      <c r="Q47" s="273">
        <f t="shared" si="2"/>
        <v>0</v>
      </c>
      <c r="R47" s="254"/>
    </row>
    <row r="48" spans="1:18" s="253" customFormat="1" ht="9.9499999999999993" hidden="1" customHeight="1" x14ac:dyDescent="0.2">
      <c r="A48" s="349" t="s">
        <v>1238</v>
      </c>
      <c r="C48" s="273">
        <f>'Combining SOACU'!F27</f>
        <v>0</v>
      </c>
      <c r="D48" s="273"/>
      <c r="E48" s="273">
        <f>'Combining SOACU'!H27</f>
        <v>0</v>
      </c>
      <c r="F48" s="273"/>
      <c r="G48" s="273"/>
      <c r="H48" s="273"/>
      <c r="I48" s="273"/>
      <c r="J48" s="273"/>
      <c r="K48" s="273"/>
      <c r="L48" s="273"/>
      <c r="M48" s="273"/>
      <c r="N48" s="273"/>
      <c r="O48" s="273"/>
      <c r="Q48" s="273">
        <f t="shared" si="2"/>
        <v>0</v>
      </c>
      <c r="R48" s="254"/>
    </row>
    <row r="49" spans="1:18" s="253" customFormat="1" ht="9.9499999999999993" hidden="1" customHeight="1" x14ac:dyDescent="0.2">
      <c r="A49" s="349" t="s">
        <v>369</v>
      </c>
      <c r="C49" s="273">
        <f>'Combining SOACU'!F29</f>
        <v>0</v>
      </c>
      <c r="E49" s="273">
        <f>'Combining SOACU'!H29</f>
        <v>0</v>
      </c>
      <c r="F49" s="273"/>
      <c r="G49" s="273">
        <f>'Combining SOACU'!J29</f>
        <v>0</v>
      </c>
      <c r="H49" s="273"/>
      <c r="I49" s="273">
        <f>'Combining SOACU'!L29</f>
        <v>0</v>
      </c>
      <c r="J49" s="273"/>
      <c r="K49" s="273"/>
      <c r="L49" s="273"/>
      <c r="M49" s="273"/>
      <c r="N49" s="273"/>
      <c r="O49" s="273"/>
      <c r="P49" s="273"/>
      <c r="Q49" s="273">
        <f t="shared" si="2"/>
        <v>0</v>
      </c>
      <c r="R49" s="254"/>
    </row>
    <row r="50" spans="1:18" s="253" customFormat="1" ht="9.9499999999999993" hidden="1" customHeight="1" x14ac:dyDescent="0.2">
      <c r="A50" s="349" t="s">
        <v>1239</v>
      </c>
      <c r="C50" s="273">
        <f>'Combining SOACU'!F31</f>
        <v>0</v>
      </c>
      <c r="E50" s="273">
        <f>'Combining SOACU'!H31</f>
        <v>0</v>
      </c>
      <c r="F50" s="273"/>
      <c r="G50" s="273">
        <f>'Combining SOACU'!J31</f>
        <v>0</v>
      </c>
      <c r="H50" s="273"/>
      <c r="I50" s="273">
        <f>'Combining SOACU'!L31</f>
        <v>0</v>
      </c>
      <c r="J50" s="273"/>
      <c r="K50" s="273"/>
      <c r="L50" s="273"/>
      <c r="M50" s="273"/>
      <c r="N50" s="273"/>
      <c r="O50" s="273"/>
      <c r="P50" s="273"/>
      <c r="Q50" s="273">
        <f t="shared" si="2"/>
        <v>0</v>
      </c>
      <c r="R50" s="254"/>
    </row>
    <row r="51" spans="1:18" s="253" customFormat="1" ht="9.9499999999999993" hidden="1" customHeight="1" x14ac:dyDescent="0.2">
      <c r="A51" s="349" t="s">
        <v>1310</v>
      </c>
      <c r="C51" s="273">
        <f>'Combining SOACU'!F33</f>
        <v>0</v>
      </c>
      <c r="D51" s="342"/>
      <c r="E51" s="273">
        <f>'Combining SOACU'!H33</f>
        <v>0</v>
      </c>
      <c r="F51" s="273"/>
      <c r="G51" s="273">
        <f>'Combining SOACU'!J33</f>
        <v>0</v>
      </c>
      <c r="H51" s="273"/>
      <c r="I51" s="273"/>
      <c r="J51" s="273"/>
      <c r="K51" s="273"/>
      <c r="L51" s="273"/>
      <c r="M51" s="273"/>
      <c r="N51" s="273"/>
      <c r="O51" s="273"/>
      <c r="P51" s="273"/>
      <c r="Q51" s="273">
        <f t="shared" si="2"/>
        <v>0</v>
      </c>
      <c r="R51" s="254"/>
    </row>
    <row r="52" spans="1:18" s="253" customFormat="1" ht="5.0999999999999996" customHeight="1" x14ac:dyDescent="0.2">
      <c r="C52" s="340"/>
      <c r="D52" s="273"/>
      <c r="E52" s="340"/>
      <c r="F52" s="273"/>
      <c r="G52" s="340"/>
      <c r="H52" s="273"/>
      <c r="I52" s="340"/>
      <c r="J52" s="273"/>
      <c r="K52" s="340"/>
      <c r="L52" s="273"/>
      <c r="M52" s="340"/>
      <c r="N52" s="273"/>
      <c r="O52" s="340"/>
      <c r="P52" s="273"/>
      <c r="Q52" s="340"/>
      <c r="R52" s="254"/>
    </row>
    <row r="53" spans="1:18" s="253" customFormat="1" ht="11.1" customHeight="1" thickBot="1" x14ac:dyDescent="0.25">
      <c r="A53" s="284" t="s">
        <v>1470</v>
      </c>
      <c r="C53" s="344">
        <f>SUM(C41:C51)</f>
        <v>4249676</v>
      </c>
      <c r="D53" s="339"/>
      <c r="E53" s="344">
        <f>SUM(E41:E51)</f>
        <v>4333392</v>
      </c>
      <c r="F53" s="347"/>
      <c r="G53" s="344">
        <f>SUM(G41:G51)</f>
        <v>0</v>
      </c>
      <c r="H53" s="347"/>
      <c r="I53" s="344">
        <f>SUM(I41:I51)</f>
        <v>450299</v>
      </c>
      <c r="J53" s="273"/>
      <c r="K53" s="341">
        <v>0</v>
      </c>
      <c r="L53" s="273"/>
      <c r="M53" s="341">
        <v>0</v>
      </c>
      <c r="N53" s="273"/>
      <c r="O53" s="341">
        <v>0</v>
      </c>
      <c r="P53" s="347"/>
      <c r="Q53" s="596">
        <f>SUM(Q41:Q51)</f>
        <v>534015</v>
      </c>
      <c r="R53" s="254"/>
    </row>
    <row r="54" spans="1:18" s="253" customFormat="1" ht="13.5" customHeight="1" thickTop="1" x14ac:dyDescent="0.2">
      <c r="C54" s="254"/>
      <c r="D54" s="254"/>
      <c r="E54" s="254"/>
      <c r="F54" s="254"/>
      <c r="G54" s="254"/>
      <c r="H54" s="254"/>
      <c r="I54" s="254"/>
      <c r="J54" s="254"/>
      <c r="K54" s="254"/>
      <c r="L54" s="254"/>
      <c r="M54" s="254"/>
      <c r="N54" s="254"/>
      <c r="O54" s="254"/>
      <c r="P54" s="254"/>
      <c r="Q54" s="254"/>
      <c r="R54" s="254"/>
    </row>
    <row r="55" spans="1:18" s="253" customFormat="1" ht="9.75" customHeight="1" x14ac:dyDescent="0.2">
      <c r="C55" s="254"/>
      <c r="D55" s="284" t="s">
        <v>773</v>
      </c>
      <c r="F55" s="254"/>
      <c r="G55" s="254"/>
      <c r="H55" s="254"/>
      <c r="I55" s="254"/>
      <c r="J55" s="348"/>
      <c r="K55" s="348"/>
      <c r="L55" s="348"/>
      <c r="M55" s="348"/>
      <c r="N55" s="348"/>
      <c r="O55" s="348"/>
      <c r="P55" s="348"/>
      <c r="Q55" s="348"/>
      <c r="R55" s="348"/>
    </row>
    <row r="56" spans="1:18" s="253" customFormat="1" ht="9.9499999999999993" customHeight="1" x14ac:dyDescent="0.2">
      <c r="C56" s="254"/>
      <c r="D56" s="349" t="s">
        <v>869</v>
      </c>
      <c r="F56" s="254"/>
      <c r="G56" s="254"/>
      <c r="H56" s="254"/>
      <c r="I56" s="254"/>
      <c r="J56" s="350"/>
      <c r="K56" s="350"/>
      <c r="L56" s="350"/>
      <c r="M56" s="350"/>
      <c r="N56" s="350"/>
      <c r="O56" s="350"/>
      <c r="P56" s="350"/>
      <c r="Q56" s="350"/>
      <c r="R56" s="350"/>
    </row>
    <row r="57" spans="1:18" s="253" customFormat="1" ht="9.9499999999999993" customHeight="1" x14ac:dyDescent="0.2">
      <c r="C57" s="254"/>
      <c r="D57" s="351" t="s">
        <v>714</v>
      </c>
      <c r="F57" s="254"/>
      <c r="G57" s="254"/>
      <c r="H57" s="254"/>
      <c r="I57" s="254"/>
      <c r="J57" s="273"/>
      <c r="K57" s="273">
        <f>+SOAws!B68</f>
        <v>809895</v>
      </c>
      <c r="L57" s="254"/>
      <c r="M57" s="273"/>
      <c r="N57" s="273"/>
      <c r="O57" s="273">
        <f t="shared" ref="O57:O68" si="3">SUM(K57:M57)</f>
        <v>809895</v>
      </c>
      <c r="P57" s="273"/>
      <c r="Q57" s="273"/>
      <c r="R57" s="254"/>
    </row>
    <row r="58" spans="1:18" s="253" customFormat="1" ht="9.9499999999999993" customHeight="1" x14ac:dyDescent="0.2">
      <c r="C58" s="254"/>
      <c r="D58" s="351" t="s">
        <v>779</v>
      </c>
      <c r="F58" s="254"/>
      <c r="G58" s="254"/>
      <c r="H58" s="254"/>
      <c r="I58" s="254"/>
      <c r="J58" s="273"/>
      <c r="K58" s="273">
        <f>+SOAws!B69</f>
        <v>527129</v>
      </c>
      <c r="L58" s="273"/>
      <c r="M58" s="273"/>
      <c r="N58" s="273"/>
      <c r="O58" s="273">
        <f t="shared" si="3"/>
        <v>527129</v>
      </c>
      <c r="P58" s="273"/>
      <c r="Q58" s="273"/>
      <c r="R58" s="254"/>
    </row>
    <row r="59" spans="1:18" s="253" customFormat="1" ht="9.9499999999999993" customHeight="1" x14ac:dyDescent="0.2">
      <c r="C59" s="254"/>
      <c r="D59" s="351" t="s">
        <v>780</v>
      </c>
      <c r="F59" s="254"/>
      <c r="G59" s="254"/>
      <c r="H59" s="254"/>
      <c r="I59" s="254"/>
      <c r="J59" s="273"/>
      <c r="K59" s="273">
        <f>+SOAws!B70</f>
        <v>12425</v>
      </c>
      <c r="L59" s="273"/>
      <c r="M59" s="273"/>
      <c r="N59" s="273"/>
      <c r="O59" s="273">
        <f t="shared" si="3"/>
        <v>12425</v>
      </c>
      <c r="P59" s="273"/>
      <c r="Q59" s="273"/>
      <c r="R59" s="254"/>
    </row>
    <row r="60" spans="1:18" s="253" customFormat="1" ht="9.9499999999999993" customHeight="1" x14ac:dyDescent="0.2">
      <c r="C60" s="254"/>
      <c r="D60" s="351" t="s">
        <v>827</v>
      </c>
      <c r="F60" s="254"/>
      <c r="G60" s="254"/>
      <c r="H60" s="254"/>
      <c r="I60" s="254"/>
      <c r="J60" s="273"/>
      <c r="K60" s="273">
        <f>+SOAws!B71</f>
        <v>17486</v>
      </c>
      <c r="L60" s="273"/>
      <c r="M60" s="273"/>
      <c r="N60" s="273"/>
      <c r="O60" s="273">
        <f t="shared" si="3"/>
        <v>17486</v>
      </c>
      <c r="P60" s="273"/>
      <c r="Q60" s="273"/>
      <c r="R60" s="254"/>
    </row>
    <row r="61" spans="1:18" s="253" customFormat="1" ht="9.9499999999999993" customHeight="1" x14ac:dyDescent="0.2">
      <c r="C61" s="254"/>
      <c r="D61" s="351" t="s">
        <v>828</v>
      </c>
      <c r="F61" s="254"/>
      <c r="G61" s="254"/>
      <c r="H61" s="254"/>
      <c r="I61" s="254"/>
      <c r="J61" s="273"/>
      <c r="K61" s="273">
        <f>+SOAws!B72</f>
        <v>113944</v>
      </c>
      <c r="L61" s="273"/>
      <c r="M61" s="273"/>
      <c r="N61" s="273"/>
      <c r="O61" s="273">
        <f t="shared" si="3"/>
        <v>113944</v>
      </c>
      <c r="P61" s="273"/>
      <c r="Q61" s="273"/>
      <c r="R61" s="254"/>
    </row>
    <row r="62" spans="1:18" s="253" customFormat="1" ht="9.9499999999999993" customHeight="1" x14ac:dyDescent="0.2">
      <c r="C62" s="254"/>
      <c r="D62" s="351" t="s">
        <v>944</v>
      </c>
      <c r="F62" s="254"/>
      <c r="G62" s="254"/>
      <c r="H62" s="254"/>
      <c r="I62" s="254"/>
      <c r="J62" s="273"/>
      <c r="K62" s="273">
        <f>+SOAws!B73</f>
        <v>7326</v>
      </c>
      <c r="L62" s="273" t="s">
        <v>1050</v>
      </c>
      <c r="M62" s="273"/>
      <c r="N62" s="273"/>
      <c r="O62" s="273">
        <f t="shared" si="3"/>
        <v>7326</v>
      </c>
      <c r="P62" s="273"/>
      <c r="Q62" s="273"/>
      <c r="R62" s="254"/>
    </row>
    <row r="63" spans="1:18" s="253" customFormat="1" ht="9.9499999999999993" customHeight="1" x14ac:dyDescent="0.2">
      <c r="C63" s="254"/>
      <c r="D63" s="349" t="s">
        <v>947</v>
      </c>
      <c r="F63" s="254"/>
      <c r="G63" s="254"/>
      <c r="H63" s="254"/>
      <c r="I63" s="254"/>
      <c r="J63" s="273"/>
      <c r="K63" s="273">
        <f>+SOAws!B74</f>
        <v>500488</v>
      </c>
      <c r="L63" s="273"/>
      <c r="M63" s="273"/>
      <c r="N63" s="273"/>
      <c r="O63" s="273">
        <f t="shared" si="3"/>
        <v>500488</v>
      </c>
      <c r="P63" s="273"/>
      <c r="Q63" s="273"/>
      <c r="R63" s="254"/>
    </row>
    <row r="64" spans="1:18" s="253" customFormat="1" ht="9.9499999999999993" customHeight="1" x14ac:dyDescent="0.2">
      <c r="C64" s="254"/>
      <c r="D64" s="349" t="s">
        <v>1664</v>
      </c>
      <c r="F64" s="254"/>
      <c r="G64" s="254"/>
      <c r="H64" s="254"/>
      <c r="I64" s="254"/>
      <c r="J64" s="273"/>
      <c r="K64" s="273">
        <f>+SOAws!B75</f>
        <v>137959</v>
      </c>
      <c r="L64" s="273"/>
      <c r="M64" s="273">
        <f>+SOAws!B149</f>
        <v>35322</v>
      </c>
      <c r="N64" s="273"/>
      <c r="O64" s="273">
        <f t="shared" si="3"/>
        <v>173281</v>
      </c>
      <c r="P64" s="273"/>
      <c r="Q64" s="273">
        <f>SOACU!T23</f>
        <v>225739</v>
      </c>
      <c r="R64" s="254"/>
    </row>
    <row r="65" spans="3:18" s="253" customFormat="1" ht="9.9499999999999993" customHeight="1" x14ac:dyDescent="0.2">
      <c r="C65" s="254"/>
      <c r="D65" s="349" t="s">
        <v>775</v>
      </c>
      <c r="F65" s="254"/>
      <c r="G65" s="254"/>
      <c r="H65" s="254"/>
      <c r="I65" s="254"/>
      <c r="J65" s="273"/>
      <c r="K65" s="273">
        <f>+SOAws!B76</f>
        <v>101639</v>
      </c>
      <c r="L65" s="273"/>
      <c r="M65" s="273">
        <f>+SOAws!B150</f>
        <v>1639</v>
      </c>
      <c r="N65" s="273"/>
      <c r="O65" s="273">
        <f t="shared" si="3"/>
        <v>103278</v>
      </c>
      <c r="P65" s="273"/>
      <c r="Q65" s="273">
        <f>SOACU!T24+SOACU!T25</f>
        <v>22079</v>
      </c>
      <c r="R65" s="254"/>
    </row>
    <row r="66" spans="3:18" s="253" customFormat="1" ht="9.9499999999999993" customHeight="1" x14ac:dyDescent="0.2">
      <c r="C66" s="254"/>
      <c r="D66" s="352" t="s">
        <v>1751</v>
      </c>
      <c r="F66" s="254"/>
      <c r="G66" s="254"/>
      <c r="H66" s="254"/>
      <c r="I66" s="254"/>
      <c r="J66" s="273"/>
      <c r="K66" s="273">
        <f>SOAws!B77</f>
        <v>-31135</v>
      </c>
      <c r="L66" s="273"/>
      <c r="M66" s="273">
        <f>SOAws!B151</f>
        <v>31135</v>
      </c>
      <c r="N66" s="273"/>
      <c r="O66" s="273">
        <f t="shared" si="3"/>
        <v>0</v>
      </c>
      <c r="P66" s="273"/>
      <c r="Q66" s="273"/>
      <c r="R66" s="254"/>
    </row>
    <row r="67" spans="3:18" s="253" customFormat="1" ht="9.9499999999999993" hidden="1" customHeight="1" x14ac:dyDescent="0.2">
      <c r="C67" s="254"/>
      <c r="D67" s="352" t="s">
        <v>1706</v>
      </c>
      <c r="F67" s="254"/>
      <c r="G67" s="254"/>
      <c r="H67" s="254"/>
      <c r="I67" s="254"/>
      <c r="J67" s="273"/>
      <c r="K67" s="273"/>
      <c r="L67" s="273"/>
      <c r="M67" s="273"/>
      <c r="N67" s="273"/>
      <c r="O67" s="273">
        <f t="shared" si="3"/>
        <v>0</v>
      </c>
      <c r="P67" s="273"/>
      <c r="Q67" s="273">
        <f>SOACU!T30</f>
        <v>0</v>
      </c>
      <c r="R67" s="254"/>
    </row>
    <row r="68" spans="3:18" s="253" customFormat="1" ht="9.75" hidden="1" customHeight="1" x14ac:dyDescent="0.2">
      <c r="C68" s="254"/>
      <c r="D68" s="352" t="s">
        <v>1613</v>
      </c>
      <c r="F68" s="254"/>
      <c r="G68" s="254"/>
      <c r="H68" s="254"/>
      <c r="I68" s="254"/>
      <c r="J68" s="273"/>
      <c r="K68" s="273"/>
      <c r="L68" s="273"/>
      <c r="M68" s="273"/>
      <c r="N68" s="273"/>
      <c r="O68" s="273">
        <f t="shared" si="3"/>
        <v>0</v>
      </c>
      <c r="P68" s="273"/>
      <c r="Q68" s="273">
        <f>SOACU!T29</f>
        <v>0</v>
      </c>
      <c r="R68" s="254"/>
    </row>
    <row r="69" spans="3:18" s="253" customFormat="1" ht="9.9499999999999993" customHeight="1" x14ac:dyDescent="0.2">
      <c r="C69" s="254"/>
      <c r="D69" s="352" t="s">
        <v>778</v>
      </c>
      <c r="F69" s="254"/>
      <c r="G69" s="254"/>
      <c r="H69" s="254"/>
      <c r="I69" s="254"/>
      <c r="J69" s="273"/>
      <c r="K69" s="273">
        <f>+SOAws!B78</f>
        <v>4293</v>
      </c>
      <c r="L69" s="273"/>
      <c r="M69" s="273">
        <f>+SOAws!B152</f>
        <v>-5400</v>
      </c>
      <c r="N69" s="273"/>
      <c r="O69" s="273">
        <f>SUM(K69:M69)</f>
        <v>-1107</v>
      </c>
      <c r="P69" s="273"/>
      <c r="Q69" s="273"/>
      <c r="R69" s="254"/>
    </row>
    <row r="70" spans="3:18" s="253" customFormat="1" ht="5.0999999999999996" customHeight="1" x14ac:dyDescent="0.2">
      <c r="C70" s="254"/>
      <c r="D70" s="352"/>
      <c r="F70" s="254"/>
      <c r="G70" s="254"/>
      <c r="H70" s="254"/>
      <c r="I70" s="254"/>
      <c r="J70" s="273"/>
      <c r="K70" s="340"/>
      <c r="L70" s="273"/>
      <c r="M70" s="340"/>
      <c r="N70" s="273"/>
      <c r="O70" s="340"/>
      <c r="P70" s="273"/>
      <c r="Q70" s="340"/>
      <c r="R70" s="254"/>
    </row>
    <row r="71" spans="3:18" s="253" customFormat="1" ht="11.1" customHeight="1" x14ac:dyDescent="0.2">
      <c r="C71" s="254"/>
      <c r="D71" s="353" t="s">
        <v>1471</v>
      </c>
      <c r="F71" s="254"/>
      <c r="G71" s="254"/>
      <c r="H71" s="254"/>
      <c r="I71" s="254"/>
      <c r="J71" s="273"/>
      <c r="K71" s="341">
        <f>SUM(K57:K69)</f>
        <v>2201449</v>
      </c>
      <c r="L71" s="273"/>
      <c r="M71" s="341">
        <f>SUM(M57:M69)</f>
        <v>62696</v>
      </c>
      <c r="N71" s="273"/>
      <c r="O71" s="341">
        <f>SUM(O57:O69)</f>
        <v>2264145</v>
      </c>
      <c r="P71" s="273"/>
      <c r="Q71" s="341">
        <f>SUM(Q57:Q69)</f>
        <v>247818</v>
      </c>
      <c r="R71" s="254"/>
    </row>
    <row r="72" spans="3:18" s="253" customFormat="1" ht="5.0999999999999996" customHeight="1" x14ac:dyDescent="0.2">
      <c r="C72" s="254"/>
      <c r="D72" s="352"/>
      <c r="E72" s="352"/>
      <c r="F72" s="254"/>
      <c r="G72" s="254"/>
      <c r="H72" s="254"/>
      <c r="I72" s="254"/>
      <c r="J72" s="273"/>
      <c r="K72" s="273"/>
      <c r="L72" s="273"/>
      <c r="M72" s="273"/>
      <c r="N72" s="273"/>
      <c r="O72" s="273"/>
      <c r="P72" s="273"/>
      <c r="Q72" s="273"/>
      <c r="R72" s="254"/>
    </row>
    <row r="73" spans="3:18" s="253" customFormat="1" ht="9.9499999999999993" customHeight="1" x14ac:dyDescent="0.2">
      <c r="C73" s="254"/>
      <c r="D73" s="353" t="s">
        <v>1111</v>
      </c>
      <c r="F73" s="254"/>
      <c r="G73" s="254"/>
      <c r="H73" s="254"/>
      <c r="I73" s="254"/>
      <c r="J73" s="273"/>
      <c r="K73" s="273">
        <f>K38+K71+K72</f>
        <v>171826</v>
      </c>
      <c r="L73" s="273"/>
      <c r="M73" s="273">
        <f>M38+M71+M72</f>
        <v>96446</v>
      </c>
      <c r="N73" s="273"/>
      <c r="O73" s="273">
        <f>O38+O71+O72</f>
        <v>268272</v>
      </c>
      <c r="P73" s="273"/>
      <c r="Q73" s="273">
        <f>SOACU!T34</f>
        <v>781833</v>
      </c>
      <c r="R73" s="254"/>
    </row>
    <row r="74" spans="3:18" s="253" customFormat="1" ht="5.0999999999999996" customHeight="1" x14ac:dyDescent="0.2">
      <c r="C74" s="254"/>
      <c r="F74" s="254"/>
      <c r="G74" s="254"/>
      <c r="H74" s="254"/>
      <c r="I74" s="254"/>
      <c r="J74" s="273"/>
      <c r="K74" s="340"/>
      <c r="L74" s="273"/>
      <c r="M74" s="340"/>
      <c r="N74" s="273"/>
      <c r="O74" s="340"/>
      <c r="P74" s="273"/>
      <c r="Q74" s="340"/>
      <c r="R74" s="254"/>
    </row>
    <row r="75" spans="3:18" s="253" customFormat="1" ht="9.9499999999999993" customHeight="1" x14ac:dyDescent="0.2">
      <c r="C75" s="254"/>
      <c r="D75" s="253" t="s">
        <v>1439</v>
      </c>
      <c r="F75" s="254"/>
      <c r="G75" s="254"/>
      <c r="H75" s="254"/>
      <c r="I75" s="254"/>
      <c r="J75" s="273"/>
      <c r="K75" s="273">
        <v>2743037</v>
      </c>
      <c r="L75" s="273"/>
      <c r="M75" s="273">
        <v>439433</v>
      </c>
      <c r="N75" s="273"/>
      <c r="O75" s="273">
        <f>+K75+M75</f>
        <v>3182470</v>
      </c>
      <c r="P75" s="273"/>
      <c r="Q75" s="273">
        <f>8709417-6841*0</f>
        <v>8709417</v>
      </c>
      <c r="R75" s="254"/>
    </row>
    <row r="76" spans="3:18" s="253" customFormat="1" ht="5.0999999999999996" customHeight="1" x14ac:dyDescent="0.2">
      <c r="C76" s="254"/>
      <c r="F76" s="254"/>
      <c r="G76" s="254"/>
      <c r="H76" s="254"/>
      <c r="I76" s="254"/>
      <c r="J76" s="273"/>
      <c r="K76" s="340"/>
      <c r="L76" s="273"/>
      <c r="M76" s="340"/>
      <c r="N76" s="273"/>
      <c r="O76" s="340"/>
      <c r="P76" s="273"/>
      <c r="Q76" s="340"/>
      <c r="R76" s="254"/>
    </row>
    <row r="77" spans="3:18" s="253" customFormat="1" ht="9.9499999999999993" customHeight="1" x14ac:dyDescent="0.2">
      <c r="C77" s="254"/>
      <c r="D77" s="253" t="s">
        <v>1715</v>
      </c>
      <c r="F77" s="254"/>
      <c r="G77" s="254"/>
      <c r="H77" s="254"/>
      <c r="I77" s="254"/>
      <c r="J77" s="273"/>
      <c r="K77" s="273"/>
      <c r="L77" s="273"/>
      <c r="M77" s="273"/>
      <c r="N77" s="273"/>
      <c r="O77" s="273"/>
      <c r="P77" s="273"/>
      <c r="Q77" s="273">
        <f>SOACU!T40</f>
        <v>-98</v>
      </c>
      <c r="R77" s="254"/>
    </row>
    <row r="78" spans="3:18" s="253" customFormat="1" ht="5.0999999999999996" customHeight="1" x14ac:dyDescent="0.2">
      <c r="C78" s="254"/>
      <c r="F78" s="254"/>
      <c r="G78" s="254"/>
      <c r="H78" s="254"/>
      <c r="I78" s="254"/>
      <c r="J78" s="273"/>
      <c r="K78" s="273"/>
      <c r="L78" s="273"/>
      <c r="M78" s="273"/>
      <c r="N78" s="273"/>
      <c r="O78" s="273"/>
      <c r="P78" s="273"/>
      <c r="Q78" s="273"/>
      <c r="R78" s="254"/>
    </row>
    <row r="79" spans="3:18" s="253" customFormat="1" ht="9.9499999999999993" customHeight="1" x14ac:dyDescent="0.2">
      <c r="C79" s="254"/>
      <c r="D79" s="253" t="s">
        <v>1716</v>
      </c>
      <c r="F79" s="254"/>
      <c r="G79" s="254"/>
      <c r="H79" s="254"/>
      <c r="I79" s="254"/>
      <c r="J79" s="273"/>
      <c r="K79" s="273">
        <f>SOAws!B89</f>
        <v>-776</v>
      </c>
      <c r="L79" s="273"/>
      <c r="M79" s="273"/>
      <c r="N79" s="273"/>
      <c r="O79" s="273">
        <f t="shared" ref="O79" si="4">SUM(K79:M79)</f>
        <v>-776</v>
      </c>
      <c r="P79" s="273"/>
      <c r="Q79" s="273">
        <f>SOACU!T42</f>
        <v>-6841</v>
      </c>
      <c r="R79" s="254"/>
    </row>
    <row r="80" spans="3:18" s="253" customFormat="1" ht="5.0999999999999996" customHeight="1" x14ac:dyDescent="0.2">
      <c r="C80" s="254"/>
      <c r="F80" s="254"/>
      <c r="G80" s="254"/>
      <c r="H80" s="254"/>
      <c r="I80" s="254"/>
      <c r="J80" s="273"/>
      <c r="K80" s="273"/>
      <c r="L80" s="273"/>
      <c r="M80" s="273"/>
      <c r="N80" s="273"/>
      <c r="O80" s="273"/>
      <c r="P80" s="273"/>
      <c r="Q80" s="273"/>
      <c r="R80" s="254"/>
    </row>
    <row r="81" spans="3:18" s="253" customFormat="1" ht="9.9499999999999993" hidden="1" customHeight="1" x14ac:dyDescent="0.2">
      <c r="C81" s="254"/>
      <c r="D81" s="253" t="s">
        <v>1717</v>
      </c>
      <c r="F81" s="254"/>
      <c r="G81" s="254"/>
      <c r="H81" s="254"/>
      <c r="I81" s="254"/>
      <c r="J81" s="273"/>
      <c r="K81" s="273"/>
      <c r="L81" s="273"/>
      <c r="M81" s="273"/>
      <c r="N81" s="273"/>
      <c r="O81" s="273"/>
      <c r="P81" s="273"/>
      <c r="Q81" s="273"/>
      <c r="R81" s="254"/>
    </row>
    <row r="82" spans="3:18" s="253" customFormat="1" ht="5.0999999999999996" hidden="1" customHeight="1" x14ac:dyDescent="0.2">
      <c r="C82" s="254"/>
      <c r="F82" s="254"/>
      <c r="G82" s="254"/>
      <c r="H82" s="254"/>
      <c r="I82" s="254"/>
      <c r="J82" s="273"/>
      <c r="K82" s="273"/>
      <c r="L82" s="273"/>
      <c r="M82" s="273"/>
      <c r="N82" s="273"/>
      <c r="O82" s="273"/>
      <c r="P82" s="273"/>
      <c r="Q82" s="273"/>
      <c r="R82" s="254"/>
    </row>
    <row r="83" spans="3:18" s="253" customFormat="1" ht="9.9499999999999993" customHeight="1" x14ac:dyDescent="0.2">
      <c r="C83" s="254"/>
      <c r="E83" s="253" t="s">
        <v>1718</v>
      </c>
      <c r="F83" s="254"/>
      <c r="G83" s="254"/>
      <c r="H83" s="254"/>
      <c r="I83" s="254"/>
      <c r="J83" s="273"/>
      <c r="K83" s="273">
        <f>SUM(K75:K81)</f>
        <v>2742261</v>
      </c>
      <c r="L83" s="273"/>
      <c r="M83" s="273">
        <f>SUM(M75:M81)</f>
        <v>439433</v>
      </c>
      <c r="N83" s="273"/>
      <c r="O83" s="273">
        <f>SUM(O75:O81)</f>
        <v>3181694</v>
      </c>
      <c r="P83" s="273"/>
      <c r="Q83" s="273">
        <f>SUM(Q75:Q81)</f>
        <v>8702478</v>
      </c>
      <c r="R83" s="254"/>
    </row>
    <row r="84" spans="3:18" s="253" customFormat="1" ht="5.0999999999999996" customHeight="1" x14ac:dyDescent="0.2">
      <c r="C84" s="254"/>
      <c r="F84" s="254"/>
      <c r="G84" s="254"/>
      <c r="H84" s="254"/>
      <c r="I84" s="254"/>
      <c r="J84" s="273"/>
      <c r="K84" s="340"/>
      <c r="L84" s="273"/>
      <c r="M84" s="340"/>
      <c r="N84" s="273"/>
      <c r="O84" s="340"/>
      <c r="P84" s="273"/>
      <c r="Q84" s="340"/>
      <c r="R84" s="254"/>
    </row>
    <row r="85" spans="3:18" s="253" customFormat="1" ht="9.9499999999999993" customHeight="1" thickBot="1" x14ac:dyDescent="0.25">
      <c r="C85" s="254"/>
      <c r="D85" s="253" t="s">
        <v>1115</v>
      </c>
      <c r="F85" s="254"/>
      <c r="G85" s="254"/>
      <c r="H85" s="254"/>
      <c r="I85" s="254"/>
      <c r="J85" s="254"/>
      <c r="K85" s="344">
        <f>+K83+K73</f>
        <v>2914087</v>
      </c>
      <c r="L85" s="254"/>
      <c r="M85" s="344">
        <f>+M83+M73</f>
        <v>535879</v>
      </c>
      <c r="N85" s="254"/>
      <c r="O85" s="344">
        <f>+O83+O73</f>
        <v>3449966</v>
      </c>
      <c r="P85" s="254"/>
      <c r="Q85" s="344">
        <f>+Q83+Q73</f>
        <v>9484311</v>
      </c>
      <c r="R85" s="254"/>
    </row>
    <row r="86" spans="3:18" s="253" customFormat="1" ht="5.0999999999999996" customHeight="1" thickTop="1" x14ac:dyDescent="0.2">
      <c r="C86" s="254"/>
      <c r="D86" s="254"/>
      <c r="E86" s="254"/>
      <c r="F86" s="254"/>
      <c r="G86" s="254"/>
      <c r="H86" s="254"/>
      <c r="I86" s="254"/>
      <c r="J86" s="254"/>
      <c r="K86" s="254"/>
      <c r="L86" s="254"/>
      <c r="M86" s="254"/>
      <c r="N86" s="254"/>
      <c r="O86" s="254"/>
      <c r="P86" s="254"/>
      <c r="Q86" s="254"/>
      <c r="R86" s="254"/>
    </row>
    <row r="87" spans="3:18" s="253" customFormat="1" ht="9.9499999999999993" customHeight="1" x14ac:dyDescent="0.2">
      <c r="C87" s="254"/>
      <c r="D87" s="254"/>
      <c r="E87" s="254"/>
      <c r="F87" s="254"/>
      <c r="G87" s="254"/>
      <c r="H87" s="254"/>
      <c r="I87" s="254"/>
      <c r="J87" s="254"/>
      <c r="K87" s="254"/>
      <c r="L87" s="254"/>
      <c r="M87" s="254"/>
      <c r="N87" s="254"/>
      <c r="O87" s="254"/>
      <c r="P87" s="254"/>
      <c r="Q87" s="254"/>
      <c r="R87" s="254"/>
    </row>
    <row r="88" spans="3:18" s="253" customFormat="1" ht="9.9499999999999993" customHeight="1" x14ac:dyDescent="0.2">
      <c r="C88" s="254"/>
      <c r="D88" s="254"/>
      <c r="E88" s="254"/>
      <c r="F88" s="254"/>
      <c r="G88" s="254"/>
      <c r="H88" s="254"/>
      <c r="I88" s="1036" t="s">
        <v>371</v>
      </c>
      <c r="J88" s="348"/>
      <c r="K88" s="348">
        <f>SUM(SONP!C86)</f>
        <v>2914087</v>
      </c>
      <c r="L88" s="348"/>
      <c r="M88" s="348">
        <f>SUM(SONP!E86)</f>
        <v>535879</v>
      </c>
      <c r="N88" s="348"/>
      <c r="O88" s="348">
        <f>SUM(SONP!G86)</f>
        <v>3449966</v>
      </c>
      <c r="P88" s="254"/>
      <c r="Q88" s="348">
        <f>SUM(SONP!I88)</f>
        <v>9484311</v>
      </c>
      <c r="R88" s="254"/>
    </row>
    <row r="89" spans="3:18" s="253" customFormat="1" ht="9.9499999999999993" customHeight="1" x14ac:dyDescent="0.2">
      <c r="C89" s="254"/>
      <c r="D89" s="254"/>
      <c r="E89" s="254"/>
      <c r="F89" s="254"/>
      <c r="G89" s="254"/>
      <c r="H89" s="254"/>
      <c r="I89" s="254"/>
      <c r="J89" s="354"/>
      <c r="K89" s="381">
        <f>K85-K88</f>
        <v>0</v>
      </c>
      <c r="L89" s="381"/>
      <c r="M89" s="381">
        <f>M85-M88</f>
        <v>0</v>
      </c>
      <c r="N89" s="381"/>
      <c r="O89" s="381">
        <f>O85-O88</f>
        <v>0</v>
      </c>
      <c r="P89" s="678"/>
      <c r="Q89" s="381">
        <f>Q85-Q88</f>
        <v>0</v>
      </c>
      <c r="R89" s="254"/>
    </row>
    <row r="90" spans="3:18" s="253" customFormat="1" ht="9.9499999999999993" customHeight="1" x14ac:dyDescent="0.2">
      <c r="C90" s="355"/>
      <c r="D90" s="355"/>
      <c r="E90" s="355"/>
      <c r="F90" s="355"/>
      <c r="G90" s="355"/>
      <c r="H90" s="355"/>
      <c r="I90" s="355"/>
      <c r="J90" s="254"/>
      <c r="K90" s="254"/>
      <c r="L90" s="254"/>
      <c r="M90" s="254"/>
      <c r="N90" s="254"/>
      <c r="O90" s="254"/>
      <c r="P90" s="355"/>
      <c r="Q90" s="355"/>
      <c r="R90" s="355"/>
    </row>
    <row r="91" spans="3:18" s="253" customFormat="1" ht="9.9499999999999993" customHeight="1" x14ac:dyDescent="0.2">
      <c r="C91" s="355"/>
      <c r="D91" s="355"/>
      <c r="E91" s="355"/>
      <c r="F91" s="355"/>
      <c r="G91" s="355"/>
      <c r="H91" s="355"/>
      <c r="I91" s="1037" t="s">
        <v>14</v>
      </c>
      <c r="J91" s="356"/>
      <c r="K91" s="381">
        <f>SUM(reconSOA!F66-K73)</f>
        <v>0</v>
      </c>
      <c r="L91" s="420"/>
      <c r="M91" s="381">
        <f>SORECPF!I70-M73</f>
        <v>0</v>
      </c>
      <c r="N91" s="356"/>
      <c r="O91" s="356"/>
      <c r="P91" s="355"/>
      <c r="Q91" s="355"/>
      <c r="R91" s="355"/>
    </row>
    <row r="92" spans="3:18" s="253" customFormat="1" ht="9.9499999999999993" customHeight="1" x14ac:dyDescent="0.2">
      <c r="C92" s="355"/>
      <c r="D92" s="355"/>
      <c r="E92" s="355"/>
      <c r="F92" s="355"/>
      <c r="G92" s="355"/>
      <c r="H92" s="355"/>
      <c r="I92" s="355"/>
      <c r="J92" s="254"/>
      <c r="K92" s="254"/>
      <c r="L92" s="254"/>
      <c r="M92" s="254"/>
      <c r="N92" s="254"/>
      <c r="O92" s="254"/>
      <c r="P92" s="355"/>
      <c r="Q92" s="355"/>
      <c r="R92" s="355"/>
    </row>
    <row r="93" spans="3:18" s="253" customFormat="1" ht="9.9499999999999993" customHeight="1" x14ac:dyDescent="0.2">
      <c r="C93" s="254"/>
      <c r="D93" s="254"/>
      <c r="E93" s="254"/>
      <c r="F93" s="254"/>
      <c r="G93" s="254"/>
      <c r="H93" s="254"/>
      <c r="I93" s="254"/>
      <c r="J93" s="254"/>
      <c r="K93" s="254"/>
      <c r="L93" s="254"/>
      <c r="M93" s="254"/>
      <c r="N93" s="254"/>
      <c r="O93" s="348">
        <f>K73+M73</f>
        <v>268272</v>
      </c>
      <c r="P93" s="254"/>
      <c r="Q93" s="254"/>
      <c r="R93" s="254"/>
    </row>
    <row r="94" spans="3:18" s="253" customFormat="1" ht="9.9499999999999993" customHeight="1" x14ac:dyDescent="0.2">
      <c r="C94" s="254"/>
      <c r="D94" s="254"/>
      <c r="E94" s="254"/>
      <c r="F94" s="254"/>
      <c r="G94" s="254"/>
      <c r="H94" s="254"/>
      <c r="I94" s="254"/>
      <c r="J94" s="254"/>
      <c r="K94" s="254"/>
      <c r="L94" s="254"/>
      <c r="M94" s="254"/>
      <c r="N94" s="254"/>
      <c r="O94" s="348">
        <f>K75+M75</f>
        <v>3182470</v>
      </c>
      <c r="P94" s="254"/>
      <c r="Q94" s="254"/>
      <c r="R94" s="254"/>
    </row>
    <row r="95" spans="3:18" s="253" customFormat="1" ht="9.9499999999999993" customHeight="1" x14ac:dyDescent="0.2">
      <c r="C95" s="254"/>
      <c r="D95" s="254"/>
      <c r="E95" s="254"/>
      <c r="F95" s="254"/>
      <c r="G95" s="254"/>
      <c r="H95" s="254"/>
      <c r="I95" s="254"/>
      <c r="J95" s="254"/>
      <c r="K95" s="254"/>
      <c r="L95" s="254"/>
      <c r="M95" s="254"/>
      <c r="N95" s="254"/>
      <c r="O95" s="354"/>
      <c r="P95" s="254"/>
      <c r="Q95" s="254"/>
      <c r="R95" s="254"/>
    </row>
    <row r="96" spans="3:18" s="253" customFormat="1" ht="9.9499999999999993" customHeight="1" x14ac:dyDescent="0.2">
      <c r="C96" s="254"/>
      <c r="D96" s="254"/>
      <c r="E96" s="254"/>
      <c r="F96" s="254"/>
      <c r="G96" s="254"/>
      <c r="H96" s="254"/>
      <c r="I96" s="254"/>
      <c r="J96" s="254"/>
      <c r="K96" s="254"/>
      <c r="L96" s="254"/>
      <c r="M96" s="254"/>
      <c r="N96" s="254"/>
      <c r="O96" s="348">
        <f>K85+M85</f>
        <v>3449966</v>
      </c>
      <c r="P96" s="254"/>
      <c r="Q96" s="254"/>
      <c r="R96" s="254"/>
    </row>
    <row r="97" spans="3:18" s="253" customFormat="1" ht="9.9499999999999993" customHeight="1" x14ac:dyDescent="0.2">
      <c r="C97" s="254"/>
      <c r="D97" s="254"/>
      <c r="E97" s="254"/>
      <c r="F97" s="254"/>
      <c r="G97" s="254"/>
      <c r="H97" s="254"/>
      <c r="I97" s="1036" t="s">
        <v>413</v>
      </c>
      <c r="J97" s="254"/>
      <c r="K97" s="356">
        <f>SUM(K69+M69)</f>
        <v>-1107</v>
      </c>
      <c r="L97" s="254"/>
      <c r="M97" s="254"/>
      <c r="N97" s="254"/>
      <c r="O97" s="254"/>
      <c r="P97" s="254"/>
      <c r="Q97" s="254"/>
      <c r="R97" s="254"/>
    </row>
    <row r="98" spans="3:18" s="253" customFormat="1" ht="9.9499999999999993" customHeight="1" x14ac:dyDescent="0.2">
      <c r="C98" s="254"/>
      <c r="D98" s="254"/>
      <c r="E98" s="254"/>
      <c r="F98" s="254"/>
      <c r="G98" s="254"/>
      <c r="H98" s="254"/>
      <c r="I98" s="254"/>
      <c r="J98" s="254"/>
      <c r="K98" s="254"/>
      <c r="L98" s="254"/>
      <c r="M98" s="254"/>
      <c r="N98" s="254"/>
      <c r="O98" s="254"/>
      <c r="P98" s="254"/>
      <c r="Q98" s="254"/>
      <c r="R98" s="254"/>
    </row>
    <row r="99" spans="3:18" s="253" customFormat="1" ht="9.9499999999999993" customHeight="1" x14ac:dyDescent="0.2">
      <c r="C99" s="254"/>
      <c r="D99" s="254"/>
      <c r="E99" s="254"/>
      <c r="F99" s="254"/>
      <c r="G99" s="254"/>
      <c r="H99" s="254"/>
      <c r="I99" s="254"/>
      <c r="J99" s="254"/>
      <c r="K99" s="254"/>
      <c r="L99" s="254"/>
      <c r="M99" s="254"/>
      <c r="N99" s="254"/>
      <c r="O99" s="254"/>
      <c r="P99" s="254"/>
      <c r="Q99" s="254"/>
      <c r="R99" s="254"/>
    </row>
    <row r="100" spans="3:18" s="253" customFormat="1" ht="9.9499999999999993" customHeight="1" x14ac:dyDescent="0.2">
      <c r="J100" s="254"/>
      <c r="K100" s="254"/>
      <c r="L100" s="254"/>
      <c r="M100" s="254"/>
      <c r="N100" s="254"/>
      <c r="O100" s="254"/>
    </row>
    <row r="101" spans="3:18" s="253" customFormat="1" ht="9.9499999999999993" customHeight="1" x14ac:dyDescent="0.2">
      <c r="J101" s="254"/>
      <c r="K101" s="254"/>
      <c r="L101" s="254"/>
      <c r="M101" s="254"/>
      <c r="N101" s="254"/>
      <c r="O101" s="254"/>
    </row>
    <row r="102" spans="3:18" s="253" customFormat="1" ht="9.9499999999999993" customHeight="1" x14ac:dyDescent="0.2">
      <c r="J102" s="254"/>
      <c r="K102" s="254"/>
      <c r="L102" s="254"/>
      <c r="M102" s="254"/>
      <c r="N102" s="254"/>
      <c r="O102" s="254"/>
    </row>
    <row r="103" spans="3:18" s="253" customFormat="1" ht="9.9499999999999993" customHeight="1" x14ac:dyDescent="0.2">
      <c r="J103" s="254"/>
      <c r="K103" s="254"/>
      <c r="L103" s="254"/>
      <c r="M103" s="254"/>
      <c r="N103" s="254"/>
      <c r="O103" s="254"/>
    </row>
    <row r="104" spans="3:18" s="253" customFormat="1" ht="9.9499999999999993" customHeight="1" x14ac:dyDescent="0.2">
      <c r="J104" s="254"/>
      <c r="K104" s="254"/>
      <c r="L104" s="254"/>
      <c r="M104" s="254"/>
      <c r="N104" s="254"/>
      <c r="O104" s="254"/>
    </row>
    <row r="105" spans="3:18" s="253" customFormat="1" ht="9.9499999999999993" customHeight="1" x14ac:dyDescent="0.2">
      <c r="J105" s="254"/>
      <c r="K105" s="254"/>
      <c r="L105" s="254"/>
      <c r="M105" s="254"/>
      <c r="N105" s="254"/>
      <c r="O105" s="254"/>
    </row>
    <row r="106" spans="3:18" s="253" customFormat="1" ht="9.9499999999999993" customHeight="1" x14ac:dyDescent="0.2">
      <c r="J106" s="254"/>
      <c r="K106" s="254"/>
      <c r="L106" s="254"/>
      <c r="M106" s="254"/>
      <c r="N106" s="254"/>
      <c r="O106" s="254"/>
    </row>
    <row r="107" spans="3:18" s="253" customFormat="1" ht="9.9499999999999993" customHeight="1" x14ac:dyDescent="0.2">
      <c r="J107" s="254"/>
      <c r="K107" s="254"/>
      <c r="L107" s="254"/>
      <c r="M107" s="254"/>
      <c r="N107" s="254"/>
      <c r="O107" s="254"/>
    </row>
    <row r="108" spans="3:18" s="253" customFormat="1" ht="9.9499999999999993" customHeight="1" x14ac:dyDescent="0.2">
      <c r="J108" s="254"/>
      <c r="K108" s="254"/>
      <c r="L108" s="254"/>
      <c r="M108" s="254"/>
      <c r="N108" s="254"/>
      <c r="O108" s="254"/>
    </row>
    <row r="109" spans="3:18" s="253" customFormat="1" ht="9.9499999999999993" customHeight="1" x14ac:dyDescent="0.2">
      <c r="J109" s="254"/>
      <c r="K109" s="254"/>
      <c r="L109" s="254"/>
      <c r="M109" s="254"/>
      <c r="N109" s="254"/>
      <c r="O109" s="254"/>
    </row>
    <row r="110" spans="3:18" s="253" customFormat="1" ht="9.9499999999999993" customHeight="1" x14ac:dyDescent="0.2">
      <c r="J110" s="254"/>
      <c r="K110" s="254"/>
      <c r="L110" s="254"/>
      <c r="M110" s="254"/>
      <c r="N110" s="254"/>
      <c r="O110" s="254"/>
    </row>
    <row r="111" spans="3:18" s="253" customFormat="1" ht="9.9499999999999993" customHeight="1" x14ac:dyDescent="0.2">
      <c r="J111" s="254"/>
      <c r="K111" s="254"/>
      <c r="L111" s="254"/>
      <c r="M111" s="254"/>
      <c r="N111" s="254"/>
      <c r="O111" s="254"/>
    </row>
    <row r="112" spans="3:18" s="253" customFormat="1" ht="9.9499999999999993" customHeight="1" x14ac:dyDescent="0.2">
      <c r="J112" s="254"/>
      <c r="K112" s="254"/>
      <c r="L112" s="254"/>
      <c r="M112" s="254"/>
      <c r="N112" s="254"/>
      <c r="O112" s="254"/>
    </row>
    <row r="113" spans="10:15" s="253" customFormat="1" ht="9.9499999999999993" customHeight="1" x14ac:dyDescent="0.2">
      <c r="J113" s="254"/>
      <c r="K113" s="254"/>
      <c r="L113" s="254"/>
      <c r="M113" s="254"/>
      <c r="N113" s="254"/>
      <c r="O113" s="254"/>
    </row>
    <row r="114" spans="10:15" s="253" customFormat="1" ht="9.9499999999999993" customHeight="1" x14ac:dyDescent="0.2">
      <c r="J114" s="254"/>
      <c r="K114" s="254"/>
      <c r="L114" s="254"/>
      <c r="M114" s="254"/>
      <c r="N114" s="254"/>
      <c r="O114" s="254"/>
    </row>
    <row r="115" spans="10:15" s="253" customFormat="1" ht="9.9499999999999993" customHeight="1" x14ac:dyDescent="0.2">
      <c r="J115" s="254"/>
      <c r="K115" s="254"/>
      <c r="L115" s="254"/>
      <c r="M115" s="254"/>
      <c r="N115" s="254"/>
      <c r="O115" s="254"/>
    </row>
    <row r="116" spans="10:15" s="253" customFormat="1" ht="9.9499999999999993" customHeight="1" x14ac:dyDescent="0.2">
      <c r="J116" s="254"/>
      <c r="K116" s="254"/>
      <c r="L116" s="254"/>
      <c r="M116" s="254"/>
      <c r="N116" s="254"/>
      <c r="O116" s="254"/>
    </row>
    <row r="117" spans="10:15" s="253" customFormat="1" ht="9.9499999999999993" customHeight="1" x14ac:dyDescent="0.2">
      <c r="J117" s="254"/>
      <c r="K117" s="254"/>
      <c r="L117" s="254"/>
      <c r="M117" s="254"/>
      <c r="N117" s="254"/>
      <c r="O117" s="254"/>
    </row>
    <row r="118" spans="10:15" s="253" customFormat="1" ht="9.9499999999999993" customHeight="1" x14ac:dyDescent="0.2">
      <c r="J118" s="254"/>
      <c r="K118" s="254"/>
      <c r="L118" s="254"/>
      <c r="M118" s="254"/>
      <c r="N118" s="254"/>
      <c r="O118" s="254"/>
    </row>
    <row r="119" spans="10:15" s="253" customFormat="1" ht="9.9499999999999993" customHeight="1" x14ac:dyDescent="0.2">
      <c r="J119" s="254"/>
      <c r="K119" s="254"/>
      <c r="L119" s="254"/>
      <c r="M119" s="254"/>
      <c r="N119" s="254"/>
      <c r="O119" s="254"/>
    </row>
    <row r="120" spans="10:15" s="253" customFormat="1" ht="9.9499999999999993" customHeight="1" x14ac:dyDescent="0.2">
      <c r="J120" s="254"/>
      <c r="K120" s="254"/>
      <c r="L120" s="254"/>
      <c r="M120" s="254"/>
      <c r="N120" s="254"/>
      <c r="O120" s="254"/>
    </row>
    <row r="121" spans="10:15" s="253" customFormat="1" ht="9.9499999999999993" customHeight="1" x14ac:dyDescent="0.2">
      <c r="J121" s="254"/>
      <c r="K121" s="254"/>
      <c r="L121" s="254"/>
      <c r="M121" s="254"/>
      <c r="N121" s="254"/>
      <c r="O121" s="254"/>
    </row>
    <row r="122" spans="10:15" s="253" customFormat="1" ht="9.9499999999999993" customHeight="1" x14ac:dyDescent="0.2">
      <c r="J122" s="254"/>
      <c r="K122" s="254"/>
      <c r="L122" s="254"/>
      <c r="M122" s="254"/>
      <c r="N122" s="254"/>
      <c r="O122" s="254"/>
    </row>
    <row r="123" spans="10:15" s="253" customFormat="1" ht="9.9499999999999993" customHeight="1" x14ac:dyDescent="0.2">
      <c r="J123" s="254"/>
      <c r="K123" s="254"/>
      <c r="L123" s="254"/>
      <c r="M123" s="254"/>
      <c r="N123" s="254"/>
      <c r="O123" s="254"/>
    </row>
    <row r="124" spans="10:15" s="253" customFormat="1" ht="9.9499999999999993" customHeight="1" x14ac:dyDescent="0.2">
      <c r="J124" s="254"/>
      <c r="K124" s="254"/>
      <c r="L124" s="254"/>
      <c r="M124" s="254"/>
      <c r="N124" s="254"/>
      <c r="O124" s="254"/>
    </row>
    <row r="125" spans="10:15" s="253" customFormat="1" ht="9.9499999999999993" customHeight="1" x14ac:dyDescent="0.2">
      <c r="J125" s="254"/>
      <c r="K125" s="254"/>
      <c r="L125" s="254"/>
      <c r="M125" s="254"/>
      <c r="N125" s="254"/>
      <c r="O125" s="254"/>
    </row>
    <row r="126" spans="10:15" s="253" customFormat="1" ht="9.9499999999999993" customHeight="1" x14ac:dyDescent="0.2">
      <c r="J126" s="254"/>
      <c r="K126" s="254"/>
      <c r="L126" s="254"/>
      <c r="M126" s="254"/>
      <c r="N126" s="254"/>
      <c r="O126" s="254"/>
    </row>
    <row r="127" spans="10:15" s="253" customFormat="1" ht="9.9499999999999993" customHeight="1" x14ac:dyDescent="0.2">
      <c r="J127" s="254"/>
      <c r="K127" s="254"/>
      <c r="L127" s="254"/>
      <c r="M127" s="254"/>
      <c r="N127" s="254"/>
      <c r="O127" s="254"/>
    </row>
    <row r="128" spans="10:15" s="253" customFormat="1" ht="9.9499999999999993" customHeight="1" x14ac:dyDescent="0.2">
      <c r="J128" s="254"/>
      <c r="K128" s="254"/>
      <c r="L128" s="254"/>
      <c r="M128" s="254"/>
      <c r="N128" s="254"/>
      <c r="O128" s="254"/>
    </row>
    <row r="129" spans="7:15" s="253" customFormat="1" ht="9.9499999999999993" customHeight="1" x14ac:dyDescent="0.2">
      <c r="J129" s="254"/>
      <c r="K129" s="254"/>
      <c r="L129" s="254"/>
      <c r="M129" s="254"/>
      <c r="N129" s="254"/>
      <c r="O129" s="254"/>
    </row>
    <row r="130" spans="7:15" s="253" customFormat="1" ht="9.9499999999999993" customHeight="1" x14ac:dyDescent="0.2">
      <c r="J130" s="254"/>
      <c r="K130" s="254"/>
      <c r="L130" s="254"/>
      <c r="M130" s="254"/>
      <c r="N130" s="254"/>
      <c r="O130" s="254"/>
    </row>
    <row r="131" spans="7:15" s="253" customFormat="1" ht="9.9499999999999993" customHeight="1" x14ac:dyDescent="0.2">
      <c r="J131" s="254"/>
      <c r="K131" s="254"/>
      <c r="L131" s="254"/>
      <c r="M131" s="254"/>
      <c r="N131" s="254"/>
      <c r="O131" s="254"/>
    </row>
    <row r="132" spans="7:15" s="253" customFormat="1" ht="9.9499999999999993" customHeight="1" x14ac:dyDescent="0.2">
      <c r="J132" s="254"/>
      <c r="K132" s="254"/>
      <c r="L132" s="254"/>
      <c r="M132" s="254"/>
      <c r="N132" s="254"/>
      <c r="O132" s="254"/>
    </row>
    <row r="133" spans="7:15" s="253" customFormat="1" ht="9.9499999999999993" customHeight="1" x14ac:dyDescent="0.2">
      <c r="G133" s="253">
        <v>21</v>
      </c>
      <c r="J133" s="254"/>
      <c r="K133" s="254"/>
      <c r="L133" s="254"/>
      <c r="M133" s="254"/>
      <c r="N133" s="254"/>
      <c r="O133" s="254"/>
    </row>
    <row r="134" spans="7:15" s="253" customFormat="1" ht="9.9499999999999993" customHeight="1" x14ac:dyDescent="0.2">
      <c r="J134" s="254"/>
      <c r="K134" s="254"/>
      <c r="L134" s="254"/>
      <c r="M134" s="254"/>
      <c r="N134" s="254"/>
      <c r="O134" s="254"/>
    </row>
    <row r="135" spans="7:15" s="253" customFormat="1" ht="9.9499999999999993" customHeight="1" x14ac:dyDescent="0.2">
      <c r="J135" s="254"/>
      <c r="K135" s="254"/>
      <c r="L135" s="254"/>
      <c r="M135" s="254"/>
      <c r="N135" s="254"/>
      <c r="O135" s="254"/>
    </row>
    <row r="136" spans="7:15" s="253" customFormat="1" ht="9.9499999999999993" customHeight="1" x14ac:dyDescent="0.2">
      <c r="J136" s="254"/>
      <c r="K136" s="254"/>
      <c r="L136" s="254"/>
      <c r="M136" s="254"/>
      <c r="N136" s="254"/>
      <c r="O136" s="254"/>
    </row>
    <row r="137" spans="7:15" s="253" customFormat="1" ht="9.9499999999999993" customHeight="1" x14ac:dyDescent="0.2">
      <c r="J137" s="254"/>
      <c r="K137" s="254"/>
      <c r="L137" s="254"/>
      <c r="M137" s="254"/>
      <c r="N137" s="254"/>
      <c r="O137" s="254"/>
    </row>
    <row r="138" spans="7:15" s="253" customFormat="1" ht="9.9499999999999993" customHeight="1" x14ac:dyDescent="0.2">
      <c r="J138" s="254"/>
      <c r="K138" s="254"/>
      <c r="L138" s="254"/>
      <c r="M138" s="254"/>
      <c r="N138" s="254"/>
      <c r="O138" s="254"/>
    </row>
    <row r="139" spans="7:15" s="253" customFormat="1" ht="9.9499999999999993" customHeight="1" x14ac:dyDescent="0.2">
      <c r="J139" s="254"/>
      <c r="K139" s="254"/>
      <c r="L139" s="254"/>
      <c r="M139" s="254"/>
      <c r="N139" s="254"/>
      <c r="O139" s="254"/>
    </row>
    <row r="140" spans="7:15" s="253" customFormat="1" ht="9.9499999999999993" customHeight="1" x14ac:dyDescent="0.2">
      <c r="J140" s="254"/>
      <c r="K140" s="254"/>
      <c r="L140" s="254"/>
      <c r="M140" s="254"/>
      <c r="N140" s="254"/>
      <c r="O140" s="254"/>
    </row>
    <row r="141" spans="7:15" s="253" customFormat="1" ht="9.9499999999999993" customHeight="1" x14ac:dyDescent="0.2">
      <c r="J141" s="254"/>
      <c r="K141" s="254"/>
      <c r="L141" s="254"/>
      <c r="M141" s="254"/>
      <c r="N141" s="254"/>
      <c r="O141" s="254"/>
    </row>
    <row r="142" spans="7:15" s="253" customFormat="1" ht="9.9499999999999993" customHeight="1" x14ac:dyDescent="0.2">
      <c r="J142" s="254"/>
      <c r="K142" s="254"/>
      <c r="L142" s="254"/>
      <c r="M142" s="254"/>
      <c r="N142" s="254"/>
      <c r="O142" s="254"/>
    </row>
    <row r="143" spans="7:15" s="253" customFormat="1" ht="9.9499999999999993" customHeight="1" x14ac:dyDescent="0.2">
      <c r="J143" s="254"/>
      <c r="K143" s="254"/>
      <c r="L143" s="254"/>
      <c r="M143" s="254"/>
      <c r="N143" s="254"/>
      <c r="O143" s="254"/>
    </row>
    <row r="144" spans="7:15" s="253" customFormat="1" ht="9.9499999999999993" customHeight="1" x14ac:dyDescent="0.2">
      <c r="J144" s="254"/>
      <c r="K144" s="254"/>
      <c r="L144" s="254"/>
      <c r="M144" s="254"/>
      <c r="N144" s="254"/>
      <c r="O144" s="254"/>
    </row>
    <row r="145" spans="10:15" s="253" customFormat="1" ht="9.9499999999999993" customHeight="1" x14ac:dyDescent="0.2">
      <c r="J145" s="254"/>
      <c r="K145" s="254"/>
      <c r="L145" s="254"/>
      <c r="M145" s="254"/>
      <c r="N145" s="254"/>
      <c r="O145" s="254"/>
    </row>
    <row r="146" spans="10:15" s="253" customFormat="1" ht="9.9499999999999993" customHeight="1" x14ac:dyDescent="0.2">
      <c r="J146" s="254"/>
      <c r="K146" s="254"/>
      <c r="L146" s="254"/>
      <c r="M146" s="254"/>
      <c r="N146" s="254"/>
      <c r="O146" s="254"/>
    </row>
    <row r="147" spans="10:15" s="253" customFormat="1" ht="9.9499999999999993" customHeight="1" x14ac:dyDescent="0.2">
      <c r="J147" s="254"/>
      <c r="K147" s="254"/>
      <c r="L147" s="254"/>
      <c r="M147" s="254"/>
      <c r="N147" s="254"/>
      <c r="O147" s="254"/>
    </row>
    <row r="148" spans="10:15" s="253" customFormat="1" ht="9.9499999999999993" customHeight="1" x14ac:dyDescent="0.2">
      <c r="J148" s="254"/>
      <c r="K148" s="254"/>
      <c r="L148" s="254"/>
      <c r="M148" s="254"/>
      <c r="N148" s="254"/>
      <c r="O148" s="254"/>
    </row>
    <row r="149" spans="10:15" s="253" customFormat="1" ht="9.9499999999999993" customHeight="1" x14ac:dyDescent="0.2">
      <c r="J149" s="254"/>
      <c r="K149" s="254"/>
      <c r="L149" s="254"/>
      <c r="M149" s="254"/>
      <c r="N149" s="254"/>
      <c r="O149" s="254"/>
    </row>
    <row r="150" spans="10:15" s="253" customFormat="1" ht="9.9499999999999993" customHeight="1" x14ac:dyDescent="0.2">
      <c r="J150" s="254"/>
      <c r="K150" s="254"/>
      <c r="L150" s="254"/>
      <c r="M150" s="254"/>
      <c r="N150" s="254"/>
      <c r="O150" s="254"/>
    </row>
    <row r="151" spans="10:15" s="253" customFormat="1" ht="9.9499999999999993" customHeight="1" x14ac:dyDescent="0.2">
      <c r="J151" s="254"/>
      <c r="K151" s="254"/>
      <c r="L151" s="254"/>
      <c r="M151" s="254"/>
      <c r="N151" s="254"/>
      <c r="O151" s="254"/>
    </row>
    <row r="152" spans="10:15" s="253" customFormat="1" ht="9.9499999999999993" customHeight="1" x14ac:dyDescent="0.2">
      <c r="J152" s="254"/>
      <c r="K152" s="254"/>
      <c r="L152" s="254"/>
      <c r="M152" s="254"/>
      <c r="N152" s="254"/>
      <c r="O152" s="254"/>
    </row>
    <row r="153" spans="10:15" s="253" customFormat="1" ht="9.9499999999999993" customHeight="1" x14ac:dyDescent="0.2">
      <c r="J153" s="254"/>
      <c r="K153" s="254"/>
      <c r="L153" s="254"/>
      <c r="M153" s="254"/>
      <c r="N153" s="254"/>
      <c r="O153" s="254"/>
    </row>
    <row r="154" spans="10:15" s="253" customFormat="1" ht="9.9499999999999993" customHeight="1" x14ac:dyDescent="0.2">
      <c r="J154" s="254"/>
      <c r="K154" s="254"/>
      <c r="L154" s="254"/>
      <c r="M154" s="254"/>
      <c r="N154" s="254"/>
      <c r="O154" s="254"/>
    </row>
    <row r="155" spans="10:15" s="253" customFormat="1" ht="9.9499999999999993" customHeight="1" x14ac:dyDescent="0.2">
      <c r="J155" s="254"/>
      <c r="K155" s="254"/>
      <c r="L155" s="254"/>
      <c r="M155" s="254"/>
      <c r="N155" s="254"/>
      <c r="O155" s="254"/>
    </row>
    <row r="156" spans="10:15" s="253" customFormat="1" ht="9.9499999999999993" customHeight="1" x14ac:dyDescent="0.2">
      <c r="J156" s="254"/>
      <c r="K156" s="254"/>
      <c r="L156" s="254"/>
      <c r="M156" s="254"/>
      <c r="N156" s="254"/>
      <c r="O156" s="254"/>
    </row>
    <row r="157" spans="10:15" s="253" customFormat="1" ht="9.9499999999999993" customHeight="1" x14ac:dyDescent="0.2">
      <c r="J157" s="254"/>
      <c r="K157" s="254"/>
      <c r="L157" s="254"/>
      <c r="M157" s="254"/>
      <c r="N157" s="254"/>
      <c r="O157" s="254"/>
    </row>
    <row r="158" spans="10:15" s="253" customFormat="1" ht="9.9499999999999993" customHeight="1" x14ac:dyDescent="0.2">
      <c r="J158" s="254"/>
      <c r="K158" s="254"/>
      <c r="L158" s="254"/>
      <c r="M158" s="254"/>
      <c r="N158" s="254"/>
      <c r="O158" s="254"/>
    </row>
    <row r="159" spans="10:15" s="253" customFormat="1" ht="9.9499999999999993" customHeight="1" x14ac:dyDescent="0.2">
      <c r="J159" s="254"/>
      <c r="K159" s="254"/>
      <c r="L159" s="254"/>
      <c r="M159" s="254"/>
      <c r="N159" s="254"/>
      <c r="O159" s="254"/>
    </row>
    <row r="160" spans="10:15" s="253" customFormat="1" ht="9.9499999999999993" customHeight="1" x14ac:dyDescent="0.2">
      <c r="J160" s="254"/>
      <c r="K160" s="254"/>
      <c r="L160" s="254"/>
      <c r="M160" s="254"/>
      <c r="N160" s="254"/>
      <c r="O160" s="254"/>
    </row>
    <row r="161" spans="10:15" s="253" customFormat="1" ht="9.9499999999999993" customHeight="1" x14ac:dyDescent="0.2">
      <c r="J161" s="254"/>
      <c r="K161" s="254"/>
      <c r="L161" s="254"/>
      <c r="M161" s="254"/>
      <c r="N161" s="254"/>
      <c r="O161" s="254"/>
    </row>
    <row r="162" spans="10:15" s="253" customFormat="1" ht="9.9499999999999993" customHeight="1" x14ac:dyDescent="0.2">
      <c r="J162" s="254"/>
      <c r="K162" s="254"/>
      <c r="L162" s="254"/>
      <c r="M162" s="254"/>
      <c r="N162" s="254"/>
      <c r="O162" s="254"/>
    </row>
    <row r="163" spans="10:15" s="253" customFormat="1" ht="9.9499999999999993" customHeight="1" x14ac:dyDescent="0.2">
      <c r="J163" s="254"/>
      <c r="K163" s="254"/>
      <c r="L163" s="254"/>
      <c r="M163" s="254"/>
      <c r="N163" s="254"/>
      <c r="O163" s="254"/>
    </row>
    <row r="164" spans="10:15" s="253" customFormat="1" ht="9.9499999999999993" customHeight="1" x14ac:dyDescent="0.2">
      <c r="J164" s="254"/>
      <c r="K164" s="254"/>
      <c r="L164" s="254"/>
      <c r="M164" s="254"/>
      <c r="N164" s="254"/>
      <c r="O164" s="254"/>
    </row>
    <row r="165" spans="10:15" s="253" customFormat="1" ht="9.9499999999999993" customHeight="1" x14ac:dyDescent="0.2">
      <c r="J165" s="254"/>
      <c r="K165" s="254"/>
      <c r="L165" s="254"/>
      <c r="M165" s="254"/>
      <c r="N165" s="254"/>
      <c r="O165" s="254"/>
    </row>
    <row r="166" spans="10:15" s="253" customFormat="1" ht="9.9499999999999993" customHeight="1" x14ac:dyDescent="0.2">
      <c r="J166" s="254"/>
      <c r="K166" s="254"/>
      <c r="L166" s="254"/>
      <c r="M166" s="254"/>
      <c r="N166" s="254"/>
      <c r="O166" s="254"/>
    </row>
    <row r="167" spans="10:15" s="253" customFormat="1" ht="9.9499999999999993" customHeight="1" x14ac:dyDescent="0.2">
      <c r="J167" s="254"/>
      <c r="K167" s="254"/>
      <c r="L167" s="254"/>
      <c r="M167" s="254"/>
      <c r="N167" s="254"/>
      <c r="O167" s="254"/>
    </row>
    <row r="168" spans="10:15" s="253" customFormat="1" ht="9.9499999999999993" customHeight="1" x14ac:dyDescent="0.2">
      <c r="J168" s="254"/>
      <c r="K168" s="254"/>
      <c r="L168" s="254"/>
      <c r="M168" s="254"/>
      <c r="N168" s="254"/>
      <c r="O168" s="254"/>
    </row>
    <row r="169" spans="10:15" s="253" customFormat="1" ht="9.9499999999999993" customHeight="1" x14ac:dyDescent="0.2">
      <c r="J169" s="254"/>
      <c r="K169" s="254"/>
      <c r="L169" s="254"/>
      <c r="M169" s="254"/>
      <c r="N169" s="254"/>
      <c r="O169" s="254"/>
    </row>
    <row r="170" spans="10:15" s="253" customFormat="1" ht="9.9499999999999993" customHeight="1" x14ac:dyDescent="0.2">
      <c r="J170" s="254"/>
      <c r="K170" s="254"/>
      <c r="L170" s="254"/>
      <c r="M170" s="254"/>
      <c r="N170" s="254"/>
      <c r="O170" s="254"/>
    </row>
    <row r="171" spans="10:15" s="253" customFormat="1" ht="9.9499999999999993" customHeight="1" x14ac:dyDescent="0.2">
      <c r="J171" s="254"/>
      <c r="K171" s="254"/>
      <c r="L171" s="254"/>
      <c r="M171" s="254"/>
      <c r="N171" s="254"/>
      <c r="O171" s="254"/>
    </row>
    <row r="172" spans="10:15" s="253" customFormat="1" ht="9.9499999999999993" customHeight="1" x14ac:dyDescent="0.2">
      <c r="J172" s="254"/>
      <c r="K172" s="254"/>
      <c r="L172" s="254"/>
      <c r="M172" s="254"/>
      <c r="N172" s="254"/>
      <c r="O172" s="254"/>
    </row>
    <row r="173" spans="10:15" s="253" customFormat="1" ht="9.9499999999999993" customHeight="1" x14ac:dyDescent="0.2">
      <c r="J173" s="254"/>
      <c r="K173" s="254"/>
      <c r="L173" s="254"/>
      <c r="M173" s="254"/>
      <c r="N173" s="254"/>
      <c r="O173" s="254"/>
    </row>
    <row r="174" spans="10:15" s="253" customFormat="1" ht="9.9499999999999993" customHeight="1" x14ac:dyDescent="0.2">
      <c r="J174" s="254"/>
      <c r="K174" s="254"/>
      <c r="L174" s="254"/>
      <c r="M174" s="254"/>
      <c r="N174" s="254"/>
      <c r="O174" s="254"/>
    </row>
    <row r="175" spans="10:15" s="253" customFormat="1" ht="9.9499999999999993" customHeight="1" x14ac:dyDescent="0.2">
      <c r="J175" s="254"/>
      <c r="K175" s="254"/>
      <c r="L175" s="254"/>
      <c r="M175" s="254"/>
      <c r="N175" s="254"/>
      <c r="O175" s="254"/>
    </row>
    <row r="176" spans="10:15" s="253" customFormat="1" ht="9.9499999999999993" customHeight="1" x14ac:dyDescent="0.2">
      <c r="J176" s="254"/>
      <c r="K176" s="254"/>
      <c r="L176" s="254"/>
      <c r="M176" s="254"/>
      <c r="N176" s="254"/>
      <c r="O176" s="254"/>
    </row>
    <row r="177" spans="10:15" s="253" customFormat="1" ht="9.9499999999999993" customHeight="1" x14ac:dyDescent="0.2">
      <c r="J177" s="254"/>
      <c r="K177" s="254"/>
      <c r="L177" s="254"/>
      <c r="M177" s="254"/>
      <c r="N177" s="254"/>
      <c r="O177" s="254"/>
    </row>
    <row r="178" spans="10:15" s="253" customFormat="1" ht="9.9499999999999993" customHeight="1" x14ac:dyDescent="0.2">
      <c r="J178" s="254"/>
      <c r="K178" s="254"/>
      <c r="L178" s="254"/>
      <c r="M178" s="254"/>
      <c r="N178" s="254"/>
      <c r="O178" s="254"/>
    </row>
    <row r="179" spans="10:15" s="253" customFormat="1" ht="9.9499999999999993" customHeight="1" x14ac:dyDescent="0.2">
      <c r="J179" s="254"/>
      <c r="K179" s="254"/>
      <c r="L179" s="254"/>
      <c r="M179" s="254"/>
      <c r="N179" s="254"/>
      <c r="O179" s="254"/>
    </row>
    <row r="180" spans="10:15" s="253" customFormat="1" ht="9.9499999999999993" customHeight="1" x14ac:dyDescent="0.2">
      <c r="J180" s="254"/>
      <c r="K180" s="254"/>
      <c r="L180" s="254"/>
      <c r="M180" s="254"/>
      <c r="N180" s="254"/>
      <c r="O180" s="254"/>
    </row>
    <row r="181" spans="10:15" s="253" customFormat="1" ht="9.9499999999999993" customHeight="1" x14ac:dyDescent="0.2">
      <c r="J181" s="254"/>
      <c r="K181" s="254"/>
      <c r="L181" s="254"/>
      <c r="M181" s="254"/>
      <c r="N181" s="254"/>
      <c r="O181" s="254"/>
    </row>
    <row r="182" spans="10:15" s="253" customFormat="1" ht="9.9499999999999993" customHeight="1" x14ac:dyDescent="0.2">
      <c r="J182" s="254"/>
      <c r="K182" s="254"/>
      <c r="L182" s="254"/>
      <c r="M182" s="254"/>
      <c r="N182" s="254"/>
      <c r="O182" s="254"/>
    </row>
    <row r="183" spans="10:15" s="253" customFormat="1" ht="9.9499999999999993" customHeight="1" x14ac:dyDescent="0.2">
      <c r="J183" s="254"/>
      <c r="K183" s="254"/>
      <c r="L183" s="254"/>
      <c r="M183" s="254"/>
      <c r="N183" s="254"/>
      <c r="O183" s="254"/>
    </row>
    <row r="184" spans="10:15" s="253" customFormat="1" ht="9.9499999999999993" customHeight="1" x14ac:dyDescent="0.2">
      <c r="J184" s="254"/>
      <c r="K184" s="254"/>
      <c r="L184" s="254"/>
      <c r="M184" s="254"/>
      <c r="N184" s="254"/>
      <c r="O184" s="254"/>
    </row>
    <row r="185" spans="10:15" s="253" customFormat="1" ht="9.9499999999999993" customHeight="1" x14ac:dyDescent="0.2">
      <c r="J185" s="254"/>
      <c r="K185" s="254"/>
      <c r="L185" s="254"/>
      <c r="M185" s="254"/>
      <c r="N185" s="254"/>
      <c r="O185" s="254"/>
    </row>
    <row r="186" spans="10:15" s="253" customFormat="1" ht="9.9499999999999993" customHeight="1" x14ac:dyDescent="0.2">
      <c r="J186" s="254"/>
      <c r="K186" s="254"/>
      <c r="L186" s="254"/>
      <c r="M186" s="254"/>
      <c r="N186" s="254"/>
      <c r="O186" s="254"/>
    </row>
    <row r="187" spans="10:15" s="253" customFormat="1" ht="9.9499999999999993" customHeight="1" x14ac:dyDescent="0.2">
      <c r="J187" s="254"/>
      <c r="K187" s="254"/>
      <c r="L187" s="254"/>
      <c r="M187" s="254"/>
      <c r="N187" s="254"/>
      <c r="O187" s="254"/>
    </row>
    <row r="188" spans="10:15" s="253" customFormat="1" ht="9.9499999999999993" customHeight="1" x14ac:dyDescent="0.2">
      <c r="J188" s="254"/>
      <c r="K188" s="254"/>
      <c r="L188" s="254"/>
      <c r="M188" s="254"/>
      <c r="N188" s="254"/>
      <c r="O188" s="254"/>
    </row>
    <row r="189" spans="10:15" s="253" customFormat="1" ht="9.9499999999999993" customHeight="1" x14ac:dyDescent="0.2">
      <c r="J189" s="254"/>
      <c r="K189" s="254"/>
      <c r="L189" s="254"/>
      <c r="M189" s="254"/>
      <c r="N189" s="254"/>
      <c r="O189" s="254"/>
    </row>
    <row r="190" spans="10:15" s="253" customFormat="1" ht="9.9499999999999993" customHeight="1" x14ac:dyDescent="0.2">
      <c r="J190" s="254"/>
      <c r="K190" s="254"/>
      <c r="L190" s="254"/>
      <c r="M190" s="254"/>
      <c r="N190" s="254"/>
      <c r="O190" s="254"/>
    </row>
    <row r="191" spans="10:15" s="253" customFormat="1" ht="9.9499999999999993" customHeight="1" x14ac:dyDescent="0.2">
      <c r="J191" s="254"/>
      <c r="K191" s="254"/>
      <c r="L191" s="254"/>
      <c r="M191" s="254"/>
      <c r="N191" s="254"/>
      <c r="O191" s="254"/>
    </row>
    <row r="192" spans="10:15" s="253" customFormat="1" ht="9.9499999999999993" customHeight="1" x14ac:dyDescent="0.2">
      <c r="J192" s="254"/>
      <c r="K192" s="254"/>
      <c r="L192" s="254"/>
      <c r="M192" s="254"/>
      <c r="N192" s="254"/>
      <c r="O192" s="254"/>
    </row>
    <row r="193" spans="10:15" s="253" customFormat="1" ht="9.9499999999999993" customHeight="1" x14ac:dyDescent="0.2">
      <c r="J193" s="254"/>
      <c r="K193" s="254"/>
      <c r="L193" s="254"/>
      <c r="M193" s="254"/>
      <c r="N193" s="254"/>
      <c r="O193" s="254"/>
    </row>
    <row r="194" spans="10:15" s="253" customFormat="1" ht="9.9499999999999993" customHeight="1" x14ac:dyDescent="0.2">
      <c r="J194" s="254"/>
      <c r="K194" s="254"/>
      <c r="L194" s="254"/>
      <c r="M194" s="254"/>
      <c r="N194" s="254"/>
      <c r="O194" s="254"/>
    </row>
    <row r="195" spans="10:15" s="253" customFormat="1" ht="9.9499999999999993" customHeight="1" x14ac:dyDescent="0.2">
      <c r="J195" s="254"/>
      <c r="K195" s="254"/>
      <c r="L195" s="254"/>
      <c r="M195" s="254"/>
      <c r="N195" s="254"/>
      <c r="O195" s="254"/>
    </row>
    <row r="196" spans="10:15" s="253" customFormat="1" ht="9.9499999999999993" customHeight="1" x14ac:dyDescent="0.2">
      <c r="J196" s="254"/>
      <c r="K196" s="254"/>
      <c r="L196" s="254"/>
      <c r="M196" s="254"/>
      <c r="N196" s="254"/>
      <c r="O196" s="254"/>
    </row>
    <row r="197" spans="10:15" s="253" customFormat="1" ht="9.9499999999999993" customHeight="1" x14ac:dyDescent="0.2">
      <c r="J197" s="254"/>
      <c r="K197" s="254"/>
      <c r="L197" s="254"/>
      <c r="M197" s="254"/>
      <c r="N197" s="254"/>
      <c r="O197" s="254"/>
    </row>
    <row r="198" spans="10:15" s="253" customFormat="1" ht="9.9499999999999993" customHeight="1" x14ac:dyDescent="0.2">
      <c r="J198" s="254"/>
      <c r="K198" s="254"/>
      <c r="L198" s="254"/>
      <c r="M198" s="254"/>
      <c r="N198" s="254"/>
      <c r="O198" s="254"/>
    </row>
    <row r="199" spans="10:15" s="253" customFormat="1" ht="9.9499999999999993" customHeight="1" x14ac:dyDescent="0.2">
      <c r="J199" s="254"/>
      <c r="K199" s="254"/>
      <c r="L199" s="254"/>
      <c r="M199" s="254"/>
      <c r="N199" s="254"/>
      <c r="O199" s="254"/>
    </row>
    <row r="200" spans="10:15" s="253" customFormat="1" ht="9.9499999999999993" customHeight="1" x14ac:dyDescent="0.2">
      <c r="J200" s="254"/>
      <c r="K200" s="254"/>
      <c r="L200" s="254"/>
      <c r="M200" s="254"/>
      <c r="N200" s="254"/>
      <c r="O200" s="254"/>
    </row>
    <row r="201" spans="10:15" s="253" customFormat="1" ht="9.9499999999999993" customHeight="1" x14ac:dyDescent="0.2">
      <c r="J201" s="254"/>
      <c r="K201" s="254"/>
      <c r="L201" s="254"/>
      <c r="M201" s="254"/>
      <c r="N201" s="254"/>
      <c r="O201" s="254"/>
    </row>
    <row r="202" spans="10:15" s="253" customFormat="1" ht="9.9499999999999993" customHeight="1" x14ac:dyDescent="0.2">
      <c r="J202" s="254"/>
      <c r="K202" s="254"/>
      <c r="L202" s="254"/>
      <c r="M202" s="254"/>
      <c r="N202" s="254"/>
      <c r="O202" s="254"/>
    </row>
    <row r="203" spans="10:15" s="253" customFormat="1" ht="9.9499999999999993" customHeight="1" x14ac:dyDescent="0.2">
      <c r="J203" s="254"/>
      <c r="K203" s="254"/>
      <c r="L203" s="254"/>
      <c r="M203" s="254"/>
      <c r="N203" s="254"/>
      <c r="O203" s="254"/>
    </row>
    <row r="204" spans="10:15" s="253" customFormat="1" ht="9.9499999999999993" customHeight="1" x14ac:dyDescent="0.2">
      <c r="J204" s="254"/>
      <c r="K204" s="254"/>
      <c r="L204" s="254"/>
      <c r="M204" s="254"/>
      <c r="N204" s="254"/>
      <c r="O204" s="254"/>
    </row>
    <row r="205" spans="10:15" s="253" customFormat="1" ht="9.9499999999999993" customHeight="1" x14ac:dyDescent="0.2">
      <c r="J205" s="254"/>
      <c r="K205" s="254"/>
      <c r="L205" s="254"/>
      <c r="M205" s="254"/>
      <c r="N205" s="254"/>
      <c r="O205" s="254"/>
    </row>
    <row r="206" spans="10:15" s="253" customFormat="1" ht="9.9499999999999993" customHeight="1" x14ac:dyDescent="0.2">
      <c r="J206" s="254"/>
      <c r="K206" s="254"/>
      <c r="L206" s="254"/>
      <c r="M206" s="254"/>
      <c r="N206" s="254"/>
      <c r="O206" s="254"/>
    </row>
    <row r="207" spans="10:15" s="253" customFormat="1" ht="9.9499999999999993" customHeight="1" x14ac:dyDescent="0.2">
      <c r="J207" s="254"/>
      <c r="K207" s="254"/>
      <c r="L207" s="254"/>
      <c r="M207" s="254"/>
      <c r="N207" s="254"/>
      <c r="O207" s="254"/>
    </row>
    <row r="208" spans="10:15" s="253" customFormat="1" ht="9.9499999999999993" customHeight="1" x14ac:dyDescent="0.2">
      <c r="J208" s="254"/>
      <c r="K208" s="254"/>
      <c r="L208" s="254"/>
      <c r="M208" s="254"/>
      <c r="N208" s="254"/>
      <c r="O208" s="254"/>
    </row>
    <row r="209" spans="10:15" s="253" customFormat="1" ht="9.9499999999999993" customHeight="1" x14ac:dyDescent="0.2">
      <c r="J209" s="254"/>
      <c r="K209" s="254"/>
      <c r="L209" s="254"/>
      <c r="M209" s="254"/>
      <c r="N209" s="254"/>
      <c r="O209" s="254"/>
    </row>
    <row r="210" spans="10:15" s="253" customFormat="1" ht="9.9499999999999993" customHeight="1" x14ac:dyDescent="0.2">
      <c r="J210" s="254"/>
      <c r="K210" s="254"/>
      <c r="L210" s="254"/>
      <c r="M210" s="254"/>
      <c r="N210" s="254"/>
      <c r="O210" s="254"/>
    </row>
    <row r="211" spans="10:15" s="253" customFormat="1" ht="9.9499999999999993" customHeight="1" x14ac:dyDescent="0.2">
      <c r="J211" s="254"/>
      <c r="K211" s="254"/>
      <c r="L211" s="254"/>
      <c r="M211" s="254"/>
      <c r="N211" s="254"/>
      <c r="O211" s="254"/>
    </row>
    <row r="212" spans="10:15" s="253" customFormat="1" ht="9.9499999999999993" customHeight="1" x14ac:dyDescent="0.2">
      <c r="J212" s="254"/>
      <c r="K212" s="254"/>
      <c r="L212" s="254"/>
      <c r="M212" s="254"/>
      <c r="N212" s="254"/>
      <c r="O212" s="254"/>
    </row>
    <row r="213" spans="10:15" s="253" customFormat="1" ht="9.9499999999999993" customHeight="1" x14ac:dyDescent="0.2">
      <c r="J213" s="254"/>
      <c r="K213" s="254"/>
      <c r="L213" s="254"/>
      <c r="M213" s="254"/>
      <c r="N213" s="254"/>
      <c r="O213" s="254"/>
    </row>
    <row r="214" spans="10:15" s="253" customFormat="1" ht="9.9499999999999993" customHeight="1" x14ac:dyDescent="0.2">
      <c r="J214" s="254"/>
      <c r="K214" s="254"/>
      <c r="L214" s="254"/>
      <c r="M214" s="254"/>
      <c r="N214" s="254"/>
      <c r="O214" s="254"/>
    </row>
    <row r="215" spans="10:15" s="253" customFormat="1" ht="9.9499999999999993" customHeight="1" x14ac:dyDescent="0.2">
      <c r="J215" s="254"/>
      <c r="K215" s="254"/>
      <c r="L215" s="254"/>
      <c r="M215" s="254"/>
      <c r="N215" s="254"/>
      <c r="O215" s="254"/>
    </row>
    <row r="216" spans="10:15" s="253" customFormat="1" ht="9.9499999999999993" customHeight="1" x14ac:dyDescent="0.2">
      <c r="J216" s="254"/>
      <c r="K216" s="254"/>
      <c r="L216" s="254"/>
      <c r="M216" s="254"/>
      <c r="N216" s="254"/>
      <c r="O216" s="254"/>
    </row>
    <row r="217" spans="10:15" s="253" customFormat="1" ht="9.9499999999999993" customHeight="1" x14ac:dyDescent="0.2">
      <c r="J217" s="254"/>
      <c r="K217" s="254"/>
      <c r="L217" s="254"/>
      <c r="M217" s="254"/>
      <c r="N217" s="254"/>
      <c r="O217" s="254"/>
    </row>
    <row r="218" spans="10:15" s="253" customFormat="1" ht="9.9499999999999993" customHeight="1" x14ac:dyDescent="0.2">
      <c r="J218" s="254"/>
      <c r="K218" s="254"/>
      <c r="L218" s="254"/>
      <c r="M218" s="254"/>
      <c r="N218" s="254"/>
      <c r="O218" s="254"/>
    </row>
    <row r="219" spans="10:15" s="253" customFormat="1" ht="9.9499999999999993" customHeight="1" x14ac:dyDescent="0.2">
      <c r="J219" s="254"/>
      <c r="K219" s="254"/>
      <c r="L219" s="254"/>
      <c r="M219" s="254"/>
      <c r="N219" s="254"/>
      <c r="O219" s="254"/>
    </row>
    <row r="220" spans="10:15" s="253" customFormat="1" ht="9.9499999999999993" customHeight="1" x14ac:dyDescent="0.2">
      <c r="J220" s="254"/>
      <c r="K220" s="254"/>
      <c r="L220" s="254"/>
      <c r="M220" s="254"/>
      <c r="N220" s="254"/>
      <c r="O220" s="254"/>
    </row>
    <row r="221" spans="10:15" s="253" customFormat="1" ht="9.9499999999999993" customHeight="1" x14ac:dyDescent="0.2">
      <c r="J221" s="254"/>
      <c r="K221" s="254"/>
      <c r="L221" s="254"/>
      <c r="M221" s="254"/>
      <c r="N221" s="254"/>
      <c r="O221" s="254"/>
    </row>
    <row r="222" spans="10:15" s="253" customFormat="1" ht="9.9499999999999993" customHeight="1" x14ac:dyDescent="0.2">
      <c r="J222" s="254"/>
      <c r="K222" s="254"/>
      <c r="L222" s="254"/>
      <c r="M222" s="254"/>
      <c r="N222" s="254"/>
      <c r="O222" s="254"/>
    </row>
    <row r="223" spans="10:15" s="253" customFormat="1" ht="9.9499999999999993" customHeight="1" x14ac:dyDescent="0.2">
      <c r="J223" s="254"/>
      <c r="K223" s="254"/>
      <c r="L223" s="254"/>
      <c r="M223" s="254"/>
      <c r="N223" s="254"/>
      <c r="O223" s="254"/>
    </row>
    <row r="224" spans="10:15" s="253" customFormat="1" ht="9.9499999999999993" customHeight="1" x14ac:dyDescent="0.2">
      <c r="J224" s="254"/>
      <c r="K224" s="254"/>
      <c r="L224" s="254"/>
      <c r="M224" s="254"/>
      <c r="N224" s="254"/>
      <c r="O224" s="254"/>
    </row>
    <row r="225" spans="10:15" s="253" customFormat="1" ht="9.9499999999999993" customHeight="1" x14ac:dyDescent="0.2">
      <c r="J225" s="254"/>
      <c r="K225" s="254"/>
      <c r="L225" s="254"/>
      <c r="M225" s="254"/>
      <c r="N225" s="254"/>
      <c r="O225" s="254"/>
    </row>
    <row r="226" spans="10:15" s="253" customFormat="1" ht="9.9499999999999993" customHeight="1" x14ac:dyDescent="0.2">
      <c r="J226" s="254"/>
      <c r="K226" s="254"/>
      <c r="L226" s="254"/>
      <c r="M226" s="254"/>
      <c r="N226" s="254"/>
      <c r="O226" s="254"/>
    </row>
    <row r="227" spans="10:15" s="253" customFormat="1" ht="9.9499999999999993" customHeight="1" x14ac:dyDescent="0.2">
      <c r="J227" s="254"/>
      <c r="K227" s="254"/>
      <c r="L227" s="254"/>
      <c r="M227" s="254"/>
      <c r="N227" s="254"/>
      <c r="O227" s="254"/>
    </row>
    <row r="228" spans="10:15" s="253" customFormat="1" ht="9.9499999999999993" customHeight="1" x14ac:dyDescent="0.2">
      <c r="J228" s="254"/>
      <c r="K228" s="254"/>
      <c r="L228" s="254"/>
      <c r="M228" s="254"/>
      <c r="N228" s="254"/>
      <c r="O228" s="254"/>
    </row>
    <row r="229" spans="10:15" s="253" customFormat="1" ht="9.9499999999999993" customHeight="1" x14ac:dyDescent="0.2">
      <c r="J229" s="254"/>
      <c r="K229" s="254"/>
      <c r="L229" s="254"/>
      <c r="M229" s="254"/>
      <c r="N229" s="254"/>
      <c r="O229" s="254"/>
    </row>
    <row r="230" spans="10:15" s="253" customFormat="1" ht="9.9499999999999993" customHeight="1" x14ac:dyDescent="0.2">
      <c r="J230" s="254"/>
      <c r="K230" s="254"/>
      <c r="L230" s="254"/>
      <c r="M230" s="254"/>
      <c r="N230" s="254"/>
      <c r="O230" s="254"/>
    </row>
    <row r="231" spans="10:15" s="253" customFormat="1" ht="9.9499999999999993" customHeight="1" x14ac:dyDescent="0.2">
      <c r="J231" s="254"/>
      <c r="K231" s="254"/>
      <c r="L231" s="254"/>
      <c r="M231" s="254"/>
      <c r="N231" s="254"/>
      <c r="O231" s="254"/>
    </row>
    <row r="232" spans="10:15" s="253" customFormat="1" ht="9.9499999999999993" customHeight="1" x14ac:dyDescent="0.2">
      <c r="J232" s="254"/>
      <c r="K232" s="254"/>
      <c r="L232" s="254"/>
      <c r="M232" s="254"/>
      <c r="N232" s="254"/>
      <c r="O232" s="254"/>
    </row>
    <row r="233" spans="10:15" s="253" customFormat="1" ht="9.9499999999999993" customHeight="1" x14ac:dyDescent="0.2">
      <c r="J233" s="254"/>
      <c r="K233" s="254"/>
      <c r="L233" s="254"/>
      <c r="M233" s="254"/>
      <c r="N233" s="254"/>
      <c r="O233" s="254"/>
    </row>
    <row r="234" spans="10:15" s="253" customFormat="1" ht="9.9499999999999993" customHeight="1" x14ac:dyDescent="0.2">
      <c r="J234" s="254"/>
      <c r="K234" s="254"/>
      <c r="L234" s="254"/>
      <c r="M234" s="254"/>
      <c r="N234" s="254"/>
      <c r="O234" s="254"/>
    </row>
    <row r="235" spans="10:15" s="253" customFormat="1" ht="9.9499999999999993" customHeight="1" x14ac:dyDescent="0.2">
      <c r="J235" s="254"/>
      <c r="K235" s="254"/>
      <c r="L235" s="254"/>
      <c r="M235" s="254"/>
      <c r="N235" s="254"/>
      <c r="O235" s="254"/>
    </row>
    <row r="236" spans="10:15" s="253" customFormat="1" ht="9.9499999999999993" customHeight="1" x14ac:dyDescent="0.2">
      <c r="J236" s="254"/>
      <c r="K236" s="254"/>
      <c r="L236" s="254"/>
      <c r="M236" s="254"/>
      <c r="N236" s="254"/>
      <c r="O236" s="254"/>
    </row>
    <row r="237" spans="10:15" s="253" customFormat="1" ht="9.9499999999999993" customHeight="1" x14ac:dyDescent="0.2">
      <c r="J237" s="254"/>
      <c r="K237" s="254"/>
      <c r="L237" s="254"/>
      <c r="M237" s="254"/>
      <c r="N237" s="254"/>
      <c r="O237" s="254"/>
    </row>
    <row r="238" spans="10:15" s="253" customFormat="1" ht="9.9499999999999993" customHeight="1" x14ac:dyDescent="0.2">
      <c r="J238" s="254"/>
      <c r="K238" s="254"/>
      <c r="L238" s="254"/>
      <c r="M238" s="254"/>
      <c r="N238" s="254"/>
      <c r="O238" s="254"/>
    </row>
    <row r="239" spans="10:15" s="253" customFormat="1" ht="9.9499999999999993" customHeight="1" x14ac:dyDescent="0.2">
      <c r="J239" s="254"/>
      <c r="K239" s="254"/>
      <c r="L239" s="254"/>
      <c r="M239" s="254"/>
      <c r="N239" s="254"/>
      <c r="O239" s="254"/>
    </row>
    <row r="240" spans="10:15" s="253" customFormat="1" ht="9.9499999999999993" customHeight="1" x14ac:dyDescent="0.2">
      <c r="J240" s="254"/>
      <c r="K240" s="254"/>
      <c r="L240" s="254"/>
      <c r="M240" s="254"/>
      <c r="N240" s="254"/>
      <c r="O240" s="254"/>
    </row>
    <row r="241" spans="10:15" s="253" customFormat="1" ht="9.9499999999999993" customHeight="1" x14ac:dyDescent="0.2">
      <c r="J241" s="254"/>
      <c r="K241" s="254"/>
      <c r="L241" s="254"/>
      <c r="M241" s="254"/>
      <c r="N241" s="254"/>
      <c r="O241" s="254"/>
    </row>
    <row r="242" spans="10:15" s="253" customFormat="1" ht="9.9499999999999993" customHeight="1" x14ac:dyDescent="0.2">
      <c r="J242" s="254"/>
      <c r="K242" s="254"/>
      <c r="L242" s="254"/>
      <c r="M242" s="254"/>
      <c r="N242" s="254"/>
      <c r="O242" s="254"/>
    </row>
    <row r="243" spans="10:15" s="253" customFormat="1" ht="9.9499999999999993" customHeight="1" x14ac:dyDescent="0.2">
      <c r="J243" s="254"/>
      <c r="K243" s="254"/>
      <c r="L243" s="254"/>
      <c r="M243" s="254"/>
      <c r="N243" s="254"/>
      <c r="O243" s="254"/>
    </row>
    <row r="244" spans="10:15" s="253" customFormat="1" ht="9.9499999999999993" customHeight="1" x14ac:dyDescent="0.2">
      <c r="J244" s="254"/>
      <c r="K244" s="254"/>
      <c r="L244" s="254"/>
      <c r="M244" s="254"/>
      <c r="N244" s="254"/>
      <c r="O244" s="254"/>
    </row>
    <row r="245" spans="10:15" s="253" customFormat="1" ht="9.9499999999999993" customHeight="1" x14ac:dyDescent="0.2">
      <c r="J245" s="254"/>
      <c r="K245" s="254"/>
      <c r="L245" s="254"/>
      <c r="M245" s="254"/>
      <c r="N245" s="254"/>
      <c r="O245" s="254"/>
    </row>
    <row r="246" spans="10:15" s="253" customFormat="1" ht="9.9499999999999993" customHeight="1" x14ac:dyDescent="0.2">
      <c r="J246" s="254"/>
      <c r="K246" s="254"/>
      <c r="L246" s="254"/>
      <c r="M246" s="254"/>
      <c r="N246" s="254"/>
      <c r="O246" s="254"/>
    </row>
    <row r="247" spans="10:15" s="253" customFormat="1" ht="9.9499999999999993" customHeight="1" x14ac:dyDescent="0.2">
      <c r="J247" s="254"/>
      <c r="K247" s="254"/>
      <c r="L247" s="254"/>
      <c r="M247" s="254"/>
      <c r="N247" s="254"/>
      <c r="O247" s="254"/>
    </row>
    <row r="248" spans="10:15" s="253" customFormat="1" ht="9.9499999999999993" customHeight="1" x14ac:dyDescent="0.2">
      <c r="J248" s="254"/>
      <c r="K248" s="254"/>
      <c r="L248" s="254"/>
      <c r="M248" s="254"/>
      <c r="N248" s="254"/>
      <c r="O248" s="254"/>
    </row>
    <row r="249" spans="10:15" s="253" customFormat="1" ht="9.9499999999999993" customHeight="1" x14ac:dyDescent="0.2">
      <c r="J249" s="254"/>
      <c r="K249" s="254"/>
      <c r="L249" s="254"/>
      <c r="M249" s="254"/>
      <c r="N249" s="254"/>
      <c r="O249" s="254"/>
    </row>
    <row r="250" spans="10:15" s="253" customFormat="1" ht="9.9499999999999993" customHeight="1" x14ac:dyDescent="0.2">
      <c r="J250" s="254"/>
      <c r="K250" s="254"/>
      <c r="L250" s="254"/>
      <c r="M250" s="254"/>
      <c r="N250" s="254"/>
      <c r="O250" s="254"/>
    </row>
    <row r="251" spans="10:15" s="253" customFormat="1" ht="9.9499999999999993" customHeight="1" x14ac:dyDescent="0.2">
      <c r="J251" s="254"/>
      <c r="K251" s="254"/>
      <c r="L251" s="254"/>
      <c r="M251" s="254"/>
      <c r="N251" s="254"/>
      <c r="O251" s="254"/>
    </row>
    <row r="252" spans="10:15" s="253" customFormat="1" ht="9.9499999999999993" customHeight="1" x14ac:dyDescent="0.2">
      <c r="J252" s="254"/>
      <c r="K252" s="254"/>
      <c r="L252" s="254"/>
      <c r="M252" s="254"/>
      <c r="N252" s="254"/>
      <c r="O252" s="254"/>
    </row>
    <row r="253" spans="10:15" s="253" customFormat="1" ht="9.9499999999999993" customHeight="1" x14ac:dyDescent="0.2">
      <c r="J253" s="254"/>
      <c r="K253" s="254"/>
      <c r="L253" s="254"/>
      <c r="M253" s="254"/>
      <c r="N253" s="254"/>
      <c r="O253" s="254"/>
    </row>
    <row r="254" spans="10:15" s="253" customFormat="1" ht="9.9499999999999993" customHeight="1" x14ac:dyDescent="0.2">
      <c r="J254" s="254"/>
      <c r="K254" s="254"/>
      <c r="L254" s="254"/>
      <c r="M254" s="254"/>
      <c r="N254" s="254"/>
      <c r="O254" s="254"/>
    </row>
    <row r="255" spans="10:15" s="253" customFormat="1" ht="9.9499999999999993" customHeight="1" x14ac:dyDescent="0.2">
      <c r="J255" s="254"/>
      <c r="K255" s="254"/>
      <c r="L255" s="254"/>
      <c r="M255" s="254"/>
      <c r="N255" s="254"/>
      <c r="O255" s="254"/>
    </row>
    <row r="256" spans="10:15" s="253" customFormat="1" ht="9.9499999999999993" customHeight="1" x14ac:dyDescent="0.2">
      <c r="J256" s="254"/>
      <c r="K256" s="254"/>
      <c r="L256" s="254"/>
      <c r="M256" s="254"/>
      <c r="N256" s="254"/>
      <c r="O256" s="254"/>
    </row>
    <row r="257" spans="10:15" s="253" customFormat="1" ht="9.9499999999999993" customHeight="1" x14ac:dyDescent="0.2">
      <c r="J257" s="254"/>
      <c r="K257" s="254"/>
      <c r="L257" s="254"/>
      <c r="M257" s="254"/>
      <c r="N257" s="254"/>
      <c r="O257" s="254"/>
    </row>
    <row r="258" spans="10:15" s="253" customFormat="1" ht="9.9499999999999993" customHeight="1" x14ac:dyDescent="0.2">
      <c r="J258" s="254"/>
      <c r="K258" s="254"/>
      <c r="L258" s="254"/>
      <c r="M258" s="254"/>
      <c r="N258" s="254"/>
      <c r="O258" s="254"/>
    </row>
    <row r="259" spans="10:15" s="253" customFormat="1" ht="9.9499999999999993" customHeight="1" x14ac:dyDescent="0.2">
      <c r="J259" s="254"/>
      <c r="K259" s="254"/>
      <c r="L259" s="254"/>
      <c r="M259" s="254"/>
      <c r="N259" s="254"/>
      <c r="O259" s="254"/>
    </row>
    <row r="260" spans="10:15" s="253" customFormat="1" ht="9.9499999999999993" customHeight="1" x14ac:dyDescent="0.2">
      <c r="J260" s="254"/>
      <c r="K260" s="254"/>
      <c r="L260" s="254"/>
      <c r="M260" s="254"/>
      <c r="N260" s="254"/>
      <c r="O260" s="254"/>
    </row>
    <row r="261" spans="10:15" s="253" customFormat="1" ht="9.9499999999999993" customHeight="1" x14ac:dyDescent="0.2">
      <c r="J261" s="254"/>
      <c r="K261" s="254"/>
      <c r="L261" s="254"/>
      <c r="M261" s="254"/>
      <c r="N261" s="254"/>
      <c r="O261" s="254"/>
    </row>
    <row r="262" spans="10:15" s="253" customFormat="1" ht="9.9499999999999993" customHeight="1" x14ac:dyDescent="0.2">
      <c r="J262" s="254"/>
      <c r="K262" s="254"/>
      <c r="L262" s="254"/>
      <c r="M262" s="254"/>
      <c r="N262" s="254"/>
      <c r="O262" s="254"/>
    </row>
  </sheetData>
  <mergeCells count="8">
    <mergeCell ref="K5:O5"/>
    <mergeCell ref="K6:O6"/>
    <mergeCell ref="E5:I5"/>
    <mergeCell ref="A1:I1"/>
    <mergeCell ref="J2:M2"/>
    <mergeCell ref="J3:S3"/>
    <mergeCell ref="J1:Q1"/>
    <mergeCell ref="K4:O4"/>
  </mergeCells>
  <phoneticPr fontId="9" type="noConversion"/>
  <printOptions horizontalCentered="1"/>
  <pageMargins left="0.5" right="0.5" top="0.5" bottom="0.625" header="0.5" footer="0.5"/>
  <pageSetup scale="72" orientation="landscape" r:id="rId1"/>
  <headerFooter alignWithMargins="0">
    <oddFooter>&amp;C&amp;"Calibri,Regular"&amp;9The accompanying notes are an integral part of these basic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6" tint="0.39997558519241921"/>
  </sheetPr>
  <dimension ref="A1:AB123"/>
  <sheetViews>
    <sheetView view="pageBreakPreview" zoomScale="110" zoomScaleNormal="100" zoomScaleSheetLayoutView="110" workbookViewId="0">
      <pane ySplit="10" topLeftCell="A27" activePane="bottomLeft" state="frozen"/>
      <selection activeCell="Z13" activeCellId="3" sqref="Z18 Z17 Z15 Z13"/>
      <selection pane="bottomLeft" activeCell="Z73" sqref="Z73"/>
    </sheetView>
  </sheetViews>
  <sheetFormatPr defaultColWidth="9.140625" defaultRowHeight="9.9499999999999993" customHeight="1" x14ac:dyDescent="0.2"/>
  <cols>
    <col min="1" max="1" width="35.5703125" style="247" customWidth="1"/>
    <col min="2" max="2" width="1.5703125" style="247" customWidth="1"/>
    <col min="3" max="3" width="13.42578125" style="247" customWidth="1"/>
    <col min="4" max="4" width="1.5703125" style="298" customWidth="1"/>
    <col min="5" max="5" width="13.42578125" style="247" customWidth="1"/>
    <col min="6" max="6" width="1.5703125" style="298" customWidth="1"/>
    <col min="7" max="7" width="12" style="247" customWidth="1"/>
    <col min="8" max="8" width="1.5703125" style="298" customWidth="1"/>
    <col min="9" max="9" width="12" style="247" customWidth="1"/>
    <col min="10" max="10" width="1.5703125" style="298" customWidth="1"/>
    <col min="11" max="11" width="12" style="247" hidden="1" customWidth="1"/>
    <col min="12" max="12" width="1.5703125" style="247" hidden="1" customWidth="1"/>
    <col min="13" max="13" width="13.42578125" style="247" hidden="1" customWidth="1"/>
    <col min="14" max="14" width="1.5703125" style="298" hidden="1" customWidth="1"/>
    <col min="15" max="15" width="12" style="247" hidden="1" customWidth="1"/>
    <col min="16" max="16" width="1.5703125" style="247" hidden="1" customWidth="1"/>
    <col min="17" max="17" width="13.42578125" style="247" hidden="1" customWidth="1"/>
    <col min="18" max="18" width="1.5703125" style="247" customWidth="1"/>
    <col min="19" max="19" width="13.42578125" style="247" customWidth="1"/>
    <col min="20" max="20" width="1.5703125" style="247" hidden="1" customWidth="1"/>
    <col min="21" max="21" width="12" style="247" hidden="1" customWidth="1"/>
    <col min="22" max="22" width="1.5703125" style="298" customWidth="1"/>
    <col min="23" max="23" width="13.42578125" style="247" customWidth="1"/>
    <col min="24" max="24" width="1.5703125" style="298" customWidth="1"/>
    <col min="25" max="25" width="13.42578125" style="247" customWidth="1"/>
    <col min="26" max="26" width="13.42578125" style="285" customWidth="1"/>
    <col min="27" max="27" width="9.140625" style="247"/>
    <col min="28" max="28" width="12.140625" style="247" bestFit="1" customWidth="1"/>
    <col min="29" max="16384" width="9.140625" style="247"/>
  </cols>
  <sheetData>
    <row r="1" spans="1:28" s="462" customFormat="1" ht="17.45" customHeight="1"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915"/>
    </row>
    <row r="2" spans="1:28" s="290" customFormat="1" ht="15.95" customHeight="1" x14ac:dyDescent="0.2">
      <c r="A2" s="286" t="s">
        <v>1061</v>
      </c>
      <c r="B2" s="287"/>
      <c r="C2" s="287"/>
      <c r="D2" s="287"/>
      <c r="E2" s="287"/>
      <c r="F2" s="287"/>
      <c r="G2" s="287"/>
      <c r="H2" s="287"/>
      <c r="I2" s="287"/>
      <c r="J2" s="287"/>
      <c r="K2" s="287"/>
      <c r="L2" s="287"/>
      <c r="M2" s="287"/>
      <c r="N2" s="288"/>
      <c r="O2" s="287"/>
      <c r="P2" s="287"/>
      <c r="Q2" s="287"/>
      <c r="R2" s="287"/>
      <c r="S2" s="287"/>
      <c r="T2" s="287"/>
      <c r="U2" s="287"/>
      <c r="V2" s="288"/>
      <c r="W2" s="288"/>
      <c r="X2" s="288"/>
      <c r="Y2" s="288"/>
      <c r="Z2" s="289"/>
    </row>
    <row r="3" spans="1:28" s="290" customFormat="1" ht="15.95" customHeight="1" x14ac:dyDescent="0.2">
      <c r="A3" s="286" t="s">
        <v>1062</v>
      </c>
      <c r="B3" s="287"/>
      <c r="C3" s="287"/>
      <c r="D3" s="287"/>
      <c r="E3" s="287"/>
      <c r="F3" s="287"/>
      <c r="G3" s="287"/>
      <c r="H3" s="287"/>
      <c r="I3" s="287"/>
      <c r="J3" s="287"/>
      <c r="K3" s="287"/>
      <c r="L3" s="287"/>
      <c r="M3" s="287"/>
      <c r="N3" s="288"/>
      <c r="O3" s="287"/>
      <c r="P3" s="287"/>
      <c r="Q3" s="287"/>
      <c r="R3" s="287"/>
      <c r="S3" s="287"/>
      <c r="T3" s="287"/>
      <c r="U3" s="287"/>
      <c r="V3" s="288"/>
      <c r="W3" s="291"/>
      <c r="X3" s="288"/>
      <c r="Y3" s="288"/>
      <c r="Z3" s="289"/>
    </row>
    <row r="4" spans="1:28" s="294" customFormat="1" ht="14.1" customHeight="1" x14ac:dyDescent="0.2">
      <c r="A4" s="918" t="s">
        <v>1724</v>
      </c>
      <c r="B4" s="918"/>
      <c r="C4" s="918"/>
      <c r="D4" s="918"/>
      <c r="E4" s="918"/>
      <c r="F4" s="918"/>
      <c r="G4" s="917"/>
      <c r="H4" s="918"/>
      <c r="I4" s="917"/>
      <c r="J4" s="918"/>
      <c r="K4" s="918"/>
      <c r="L4" s="917"/>
      <c r="M4" s="917"/>
      <c r="N4" s="292"/>
      <c r="O4" s="917"/>
      <c r="P4" s="917"/>
      <c r="Q4" s="917"/>
      <c r="R4" s="917"/>
      <c r="S4" s="917"/>
      <c r="T4" s="917"/>
      <c r="U4" s="917"/>
      <c r="V4" s="292"/>
      <c r="W4" s="292"/>
      <c r="X4" s="292"/>
      <c r="Y4" s="292"/>
      <c r="Z4" s="293"/>
    </row>
    <row r="5" spans="1:28" s="296" customFormat="1" ht="12.75" customHeight="1" x14ac:dyDescent="0.2">
      <c r="A5" s="296" t="s">
        <v>972</v>
      </c>
      <c r="G5" s="295"/>
      <c r="I5" s="295"/>
      <c r="L5" s="295"/>
      <c r="M5" s="295"/>
      <c r="O5" s="295"/>
      <c r="P5" s="295"/>
      <c r="Q5" s="295"/>
      <c r="R5" s="295"/>
      <c r="S5" s="295"/>
      <c r="T5" s="295"/>
      <c r="U5" s="295"/>
      <c r="Z5" s="297"/>
    </row>
    <row r="6" spans="1:28" s="336" customFormat="1" ht="12.6" customHeight="1" x14ac:dyDescent="0.2">
      <c r="B6" s="919"/>
      <c r="C6" s="1576" t="s">
        <v>1063</v>
      </c>
      <c r="D6" s="1576"/>
      <c r="E6" s="1576"/>
      <c r="F6" s="1576"/>
      <c r="G6" s="1576"/>
      <c r="H6" s="1576"/>
      <c r="I6" s="1576"/>
      <c r="J6" s="1576"/>
      <c r="K6" s="1576"/>
      <c r="L6" s="1576"/>
      <c r="M6" s="1576"/>
      <c r="N6" s="1576"/>
      <c r="O6" s="1576"/>
      <c r="P6" s="1576"/>
      <c r="Q6" s="1576"/>
      <c r="R6" s="1576"/>
      <c r="S6" s="1576"/>
      <c r="T6" s="1576"/>
      <c r="U6" s="1576"/>
      <c r="V6" s="310"/>
      <c r="X6" s="310"/>
      <c r="Y6" s="310"/>
      <c r="Z6" s="357"/>
    </row>
    <row r="7" spans="1:28" s="336" customFormat="1" ht="12.6" hidden="1" customHeight="1" x14ac:dyDescent="0.2">
      <c r="B7" s="919"/>
      <c r="C7" s="310"/>
      <c r="D7" s="310"/>
      <c r="E7" s="310"/>
      <c r="F7" s="310"/>
      <c r="G7" s="310"/>
      <c r="H7" s="310"/>
      <c r="J7" s="310"/>
      <c r="K7" s="310"/>
      <c r="L7" s="310"/>
      <c r="M7" s="310"/>
      <c r="N7" s="310"/>
      <c r="O7" s="445" t="s">
        <v>974</v>
      </c>
      <c r="Q7" s="310" t="s">
        <v>110</v>
      </c>
      <c r="U7" s="445" t="s">
        <v>108</v>
      </c>
      <c r="V7" s="310"/>
      <c r="X7" s="310"/>
      <c r="Y7" s="310"/>
      <c r="Z7" s="357"/>
    </row>
    <row r="8" spans="1:28" s="336" customFormat="1" ht="12.6" customHeight="1" x14ac:dyDescent="0.2">
      <c r="C8" s="310"/>
      <c r="D8" s="310"/>
      <c r="E8" s="310"/>
      <c r="F8" s="310"/>
      <c r="G8" s="445"/>
      <c r="H8" s="310"/>
      <c r="I8" s="445" t="s">
        <v>235</v>
      </c>
      <c r="J8" s="310"/>
      <c r="K8" s="445"/>
      <c r="L8" s="445"/>
      <c r="M8" s="310"/>
      <c r="N8" s="310"/>
      <c r="O8" s="443" t="s">
        <v>303</v>
      </c>
      <c r="P8" s="416"/>
      <c r="Q8" s="445" t="s">
        <v>172</v>
      </c>
      <c r="R8" s="416"/>
      <c r="S8" s="445" t="s">
        <v>1662</v>
      </c>
      <c r="T8" s="416"/>
      <c r="U8" s="445" t="s">
        <v>243</v>
      </c>
      <c r="V8" s="310"/>
      <c r="W8" s="310" t="s">
        <v>1064</v>
      </c>
      <c r="X8" s="310"/>
      <c r="Y8" s="310" t="s">
        <v>671</v>
      </c>
      <c r="Z8" s="359"/>
    </row>
    <row r="9" spans="1:28" s="336" customFormat="1" ht="12.6" customHeight="1" x14ac:dyDescent="0.2">
      <c r="B9" s="358"/>
      <c r="C9" s="310" t="s">
        <v>1050</v>
      </c>
      <c r="D9" s="310"/>
      <c r="E9" s="310" t="s">
        <v>109</v>
      </c>
      <c r="F9" s="310"/>
      <c r="G9" s="310" t="s">
        <v>1475</v>
      </c>
      <c r="H9" s="310"/>
      <c r="I9" s="445" t="s">
        <v>1207</v>
      </c>
      <c r="J9" s="310"/>
      <c r="K9" s="445" t="s">
        <v>859</v>
      </c>
      <c r="L9" s="445"/>
      <c r="M9" s="310"/>
      <c r="N9" s="310"/>
      <c r="O9" s="443" t="s">
        <v>60</v>
      </c>
      <c r="P9" s="416"/>
      <c r="Q9" s="445" t="s">
        <v>1240</v>
      </c>
      <c r="R9" s="416"/>
      <c r="S9" s="445" t="s">
        <v>243</v>
      </c>
      <c r="T9" s="416"/>
      <c r="U9" s="445" t="s">
        <v>862</v>
      </c>
      <c r="V9" s="310"/>
      <c r="W9" s="310" t="s">
        <v>669</v>
      </c>
      <c r="X9" s="310"/>
      <c r="Y9" s="310" t="s">
        <v>669</v>
      </c>
      <c r="Z9" s="359"/>
    </row>
    <row r="10" spans="1:28" s="336" customFormat="1" ht="12.6" customHeight="1" x14ac:dyDescent="0.2">
      <c r="C10" s="574" t="s">
        <v>108</v>
      </c>
      <c r="D10" s="360"/>
      <c r="E10" s="574" t="s">
        <v>1066</v>
      </c>
      <c r="F10" s="360"/>
      <c r="G10" s="945" t="s">
        <v>864</v>
      </c>
      <c r="H10" s="360"/>
      <c r="I10" s="945" t="s">
        <v>1208</v>
      </c>
      <c r="J10" s="360"/>
      <c r="K10" s="945" t="s">
        <v>236</v>
      </c>
      <c r="L10" s="445"/>
      <c r="M10" s="921" t="s">
        <v>1163</v>
      </c>
      <c r="N10" s="360"/>
      <c r="O10" s="446" t="s">
        <v>436</v>
      </c>
      <c r="P10" s="416"/>
      <c r="Q10" s="945" t="s">
        <v>436</v>
      </c>
      <c r="R10" s="416"/>
      <c r="S10" s="945" t="s">
        <v>244</v>
      </c>
      <c r="T10" s="416"/>
      <c r="U10" s="945" t="s">
        <v>227</v>
      </c>
      <c r="V10" s="360"/>
      <c r="W10" s="574" t="s">
        <v>864</v>
      </c>
      <c r="X10" s="360"/>
      <c r="Y10" s="574" t="s">
        <v>864</v>
      </c>
      <c r="Z10" s="357"/>
    </row>
    <row r="11" spans="1:28" s="253" customFormat="1" ht="9.9499999999999993" customHeight="1" x14ac:dyDescent="0.2">
      <c r="A11" s="353" t="s">
        <v>672</v>
      </c>
      <c r="B11" s="353"/>
      <c r="D11" s="361"/>
      <c r="F11" s="361"/>
      <c r="H11" s="361"/>
      <c r="J11" s="361"/>
      <c r="N11" s="361"/>
      <c r="V11" s="361"/>
      <c r="X11" s="361"/>
      <c r="Z11" s="299"/>
      <c r="AB11" s="438"/>
    </row>
    <row r="12" spans="1:28" s="253" customFormat="1" ht="9.9499999999999993" customHeight="1" x14ac:dyDescent="0.2">
      <c r="A12" s="349" t="s">
        <v>673</v>
      </c>
      <c r="C12" s="339">
        <f>+BSGFws!C3</f>
        <v>104792</v>
      </c>
      <c r="D12" s="301"/>
      <c r="E12" s="339">
        <f>+BSGFws!D3</f>
        <v>0</v>
      </c>
      <c r="F12" s="301"/>
      <c r="G12" s="339">
        <f>BSGFws!E3</f>
        <v>0</v>
      </c>
      <c r="H12" s="301"/>
      <c r="I12" s="339"/>
      <c r="J12" s="301"/>
      <c r="K12" s="339"/>
      <c r="L12" s="254"/>
      <c r="M12" s="339">
        <f>BSGFws!BQ3</f>
        <v>0</v>
      </c>
      <c r="N12" s="301"/>
      <c r="O12" s="339"/>
      <c r="P12" s="362"/>
      <c r="Q12" s="339">
        <v>0</v>
      </c>
      <c r="R12" s="362"/>
      <c r="S12" s="339">
        <f>BSGFws!AE3</f>
        <v>0</v>
      </c>
      <c r="T12" s="362"/>
      <c r="U12" s="339"/>
      <c r="V12" s="301"/>
      <c r="W12" s="339">
        <f>+'Nonmajor BS'!H12</f>
        <v>53507</v>
      </c>
      <c r="X12" s="301"/>
      <c r="Y12" s="339">
        <f>SUM(C12:W12)</f>
        <v>158299</v>
      </c>
      <c r="Z12" s="348"/>
      <c r="AB12" s="438"/>
    </row>
    <row r="13" spans="1:28" s="253" customFormat="1" ht="9.9499999999999993" customHeight="1" x14ac:dyDescent="0.2">
      <c r="A13" s="349" t="s">
        <v>674</v>
      </c>
      <c r="C13" s="273">
        <f>+BSGFws!C4</f>
        <v>351836</v>
      </c>
      <c r="D13" s="342"/>
      <c r="E13" s="273">
        <f>+BSGFws!D4</f>
        <v>0</v>
      </c>
      <c r="F13" s="342"/>
      <c r="G13" s="273">
        <f>BSGFws!E4</f>
        <v>0</v>
      </c>
      <c r="H13" s="342"/>
      <c r="I13" s="273"/>
      <c r="J13" s="342"/>
      <c r="K13" s="273"/>
      <c r="L13" s="273"/>
      <c r="M13" s="273">
        <f>BSGFws!BQ4</f>
        <v>0</v>
      </c>
      <c r="N13" s="342"/>
      <c r="O13" s="273"/>
      <c r="P13" s="273"/>
      <c r="Q13" s="273"/>
      <c r="R13" s="273"/>
      <c r="S13" s="273"/>
      <c r="T13" s="273"/>
      <c r="U13" s="273"/>
      <c r="V13" s="342"/>
      <c r="W13" s="273">
        <f>+'Nonmajor BS'!H13</f>
        <v>118503</v>
      </c>
      <c r="X13" s="342"/>
      <c r="Y13" s="273">
        <f t="shared" ref="Y13:Y30" si="0">SUM(C13:W13)</f>
        <v>470339</v>
      </c>
      <c r="Z13" s="397"/>
      <c r="AB13" s="438"/>
    </row>
    <row r="14" spans="1:28" s="253" customFormat="1" ht="9.9499999999999993" customHeight="1" x14ac:dyDescent="0.2">
      <c r="A14" s="349" t="s">
        <v>252</v>
      </c>
      <c r="C14" s="273">
        <f>+BSGFws!C5</f>
        <v>193842</v>
      </c>
      <c r="D14" s="342"/>
      <c r="E14" s="273">
        <f>+BSGFws!D5</f>
        <v>0</v>
      </c>
      <c r="F14" s="342"/>
      <c r="G14" s="273">
        <f>BSGFws!E5</f>
        <v>0</v>
      </c>
      <c r="H14" s="342"/>
      <c r="I14" s="273"/>
      <c r="J14" s="342"/>
      <c r="K14" s="273"/>
      <c r="L14" s="273"/>
      <c r="M14" s="273">
        <f>BSGFws!BQ5</f>
        <v>0</v>
      </c>
      <c r="N14" s="342"/>
      <c r="O14" s="273"/>
      <c r="P14" s="273"/>
      <c r="Q14" s="273"/>
      <c r="R14" s="273"/>
      <c r="S14" s="273"/>
      <c r="T14" s="273"/>
      <c r="U14" s="273"/>
      <c r="V14" s="342"/>
      <c r="W14" s="273">
        <f>+'Nonmajor BS'!H14</f>
        <v>1325</v>
      </c>
      <c r="X14" s="342"/>
      <c r="Y14" s="273">
        <f t="shared" si="0"/>
        <v>195167</v>
      </c>
      <c r="Z14" s="299"/>
      <c r="AB14" s="438"/>
    </row>
    <row r="15" spans="1:28" s="253" customFormat="1" ht="9.9499999999999993" customHeight="1" x14ac:dyDescent="0.2">
      <c r="A15" s="349" t="s">
        <v>763</v>
      </c>
      <c r="C15" s="273">
        <f>+BSGFws!C6</f>
        <v>10190</v>
      </c>
      <c r="D15" s="342"/>
      <c r="E15" s="273">
        <f>+BSGFws!D6</f>
        <v>0</v>
      </c>
      <c r="F15" s="342"/>
      <c r="G15" s="273">
        <f>BSGFws!E6</f>
        <v>0</v>
      </c>
      <c r="H15" s="342"/>
      <c r="I15" s="273"/>
      <c r="J15" s="342"/>
      <c r="K15" s="273"/>
      <c r="L15" s="273"/>
      <c r="M15" s="273">
        <f>BSGFws!BQ6</f>
        <v>0</v>
      </c>
      <c r="N15" s="342"/>
      <c r="O15" s="273"/>
      <c r="P15" s="273"/>
      <c r="Q15" s="273"/>
      <c r="R15" s="273"/>
      <c r="S15" s="273"/>
      <c r="T15" s="273"/>
      <c r="U15" s="273"/>
      <c r="V15" s="342"/>
      <c r="W15" s="273">
        <f>+'Nonmajor BS'!H15</f>
        <v>394</v>
      </c>
      <c r="X15" s="342"/>
      <c r="Y15" s="273">
        <f t="shared" si="0"/>
        <v>10584</v>
      </c>
      <c r="Z15" s="299"/>
      <c r="AB15" s="438"/>
    </row>
    <row r="16" spans="1:28" s="253" customFormat="1" ht="9.9499999999999993" hidden="1" customHeight="1" x14ac:dyDescent="0.2">
      <c r="A16" s="349" t="s">
        <v>683</v>
      </c>
      <c r="C16" s="273">
        <f>+BSGFws!C7</f>
        <v>0</v>
      </c>
      <c r="D16" s="342"/>
      <c r="E16" s="273">
        <f>+BSGFws!D7</f>
        <v>0</v>
      </c>
      <c r="F16" s="342"/>
      <c r="G16" s="273">
        <f>BSGFws!E7</f>
        <v>0</v>
      </c>
      <c r="H16" s="342"/>
      <c r="I16" s="273"/>
      <c r="J16" s="342"/>
      <c r="K16" s="273"/>
      <c r="L16" s="273"/>
      <c r="M16" s="273">
        <f>BSGFws!BQ7</f>
        <v>0</v>
      </c>
      <c r="N16" s="342"/>
      <c r="O16" s="273"/>
      <c r="P16" s="273"/>
      <c r="Q16" s="273"/>
      <c r="R16" s="273"/>
      <c r="S16" s="273"/>
      <c r="T16" s="273"/>
      <c r="U16" s="273"/>
      <c r="V16" s="342"/>
      <c r="W16" s="273">
        <f>+'Nonmajor BS'!H16</f>
        <v>0</v>
      </c>
      <c r="X16" s="342"/>
      <c r="Y16" s="273">
        <f t="shared" si="0"/>
        <v>0</v>
      </c>
      <c r="Z16" s="299"/>
      <c r="AB16" s="438"/>
    </row>
    <row r="17" spans="1:28" s="253" customFormat="1" ht="9.9499999999999993" customHeight="1" x14ac:dyDescent="0.2">
      <c r="A17" s="349" t="s">
        <v>840</v>
      </c>
      <c r="C17" s="273">
        <f>+BSGFws!C8</f>
        <v>1581</v>
      </c>
      <c r="D17" s="342"/>
      <c r="E17" s="273">
        <f>+BSGFws!D8</f>
        <v>0</v>
      </c>
      <c r="F17" s="342"/>
      <c r="G17" s="273">
        <f>BSGFws!E8</f>
        <v>0</v>
      </c>
      <c r="H17" s="342"/>
      <c r="I17" s="273"/>
      <c r="J17" s="342"/>
      <c r="K17" s="273"/>
      <c r="L17" s="273"/>
      <c r="M17" s="273">
        <f>BSGFws!BQ8</f>
        <v>0</v>
      </c>
      <c r="N17" s="342"/>
      <c r="O17" s="273"/>
      <c r="P17" s="273"/>
      <c r="Q17" s="273"/>
      <c r="R17" s="273"/>
      <c r="S17" s="273"/>
      <c r="T17" s="273"/>
      <c r="U17" s="273"/>
      <c r="V17" s="342"/>
      <c r="W17" s="273">
        <f>+'Nonmajor BS'!H17</f>
        <v>668</v>
      </c>
      <c r="X17" s="342"/>
      <c r="Y17" s="273">
        <f t="shared" si="0"/>
        <v>2249</v>
      </c>
      <c r="Z17" s="299"/>
      <c r="AB17" s="438"/>
    </row>
    <row r="18" spans="1:28" s="253" customFormat="1" ht="9.9499999999999993" customHeight="1" x14ac:dyDescent="0.2">
      <c r="A18" s="349" t="s">
        <v>1773</v>
      </c>
      <c r="C18" s="273">
        <f>+BSGFws!C9</f>
        <v>9954</v>
      </c>
      <c r="D18" s="342"/>
      <c r="E18" s="273">
        <f>+BSGFws!D9</f>
        <v>0</v>
      </c>
      <c r="F18" s="342"/>
      <c r="G18" s="273">
        <f>BSGFws!E9</f>
        <v>0</v>
      </c>
      <c r="H18" s="342"/>
      <c r="I18" s="273"/>
      <c r="J18" s="342"/>
      <c r="K18" s="273"/>
      <c r="L18" s="273"/>
      <c r="M18" s="273">
        <f>BSGFws!BQ9</f>
        <v>0</v>
      </c>
      <c r="N18" s="342"/>
      <c r="O18" s="273"/>
      <c r="P18" s="273"/>
      <c r="Q18" s="273"/>
      <c r="R18" s="273"/>
      <c r="S18" s="273"/>
      <c r="T18" s="273"/>
      <c r="U18" s="273"/>
      <c r="V18" s="342"/>
      <c r="W18" s="273">
        <f>+'Nonmajor BS'!H18</f>
        <v>7406</v>
      </c>
      <c r="X18" s="342"/>
      <c r="Y18" s="273">
        <f t="shared" si="0"/>
        <v>17360</v>
      </c>
      <c r="Z18" s="299"/>
      <c r="AB18" s="438"/>
    </row>
    <row r="19" spans="1:28" s="253" customFormat="1" ht="9.9499999999999993" customHeight="1" x14ac:dyDescent="0.2">
      <c r="A19" s="349" t="s">
        <v>63</v>
      </c>
      <c r="C19" s="273">
        <f>+BSGFws!C10</f>
        <v>65761</v>
      </c>
      <c r="D19" s="342"/>
      <c r="E19" s="273">
        <f>+BSGFws!D10</f>
        <v>0</v>
      </c>
      <c r="F19" s="342"/>
      <c r="G19" s="273">
        <f>BSGFws!E10</f>
        <v>0</v>
      </c>
      <c r="H19" s="342"/>
      <c r="I19" s="273"/>
      <c r="J19" s="342"/>
      <c r="K19" s="273"/>
      <c r="L19" s="273"/>
      <c r="M19" s="273">
        <f>BSGFws!BQ10</f>
        <v>0</v>
      </c>
      <c r="N19" s="342"/>
      <c r="O19" s="273"/>
      <c r="P19" s="273"/>
      <c r="Q19" s="273"/>
      <c r="R19" s="273"/>
      <c r="S19" s="273"/>
      <c r="T19" s="273"/>
      <c r="U19" s="273"/>
      <c r="V19" s="342"/>
      <c r="W19" s="273">
        <f>+'Nonmajor BS'!H19</f>
        <v>1800</v>
      </c>
      <c r="X19" s="342"/>
      <c r="Y19" s="273">
        <f t="shared" si="0"/>
        <v>67561</v>
      </c>
      <c r="Z19" s="299"/>
      <c r="AB19" s="438"/>
    </row>
    <row r="20" spans="1:28" s="253" customFormat="1" ht="9.9499999999999993" customHeight="1" x14ac:dyDescent="0.2">
      <c r="A20" s="349" t="s">
        <v>1216</v>
      </c>
      <c r="C20" s="273">
        <f>+BSGFws!C11</f>
        <v>2484</v>
      </c>
      <c r="D20" s="342"/>
      <c r="E20" s="273">
        <f>+BSGFws!D11</f>
        <v>0</v>
      </c>
      <c r="F20" s="342"/>
      <c r="G20" s="273">
        <f>BSGFws!E11</f>
        <v>0</v>
      </c>
      <c r="H20" s="342"/>
      <c r="I20" s="273"/>
      <c r="J20" s="342"/>
      <c r="K20" s="273"/>
      <c r="L20" s="273"/>
      <c r="M20" s="273">
        <f>BSGFws!BQ11</f>
        <v>0</v>
      </c>
      <c r="N20" s="342"/>
      <c r="O20" s="273"/>
      <c r="P20" s="273"/>
      <c r="Q20" s="273"/>
      <c r="R20" s="273"/>
      <c r="S20" s="273"/>
      <c r="T20" s="273"/>
      <c r="U20" s="273"/>
      <c r="V20" s="342"/>
      <c r="W20" s="273">
        <f>+'Nonmajor BS'!H20</f>
        <v>1455</v>
      </c>
      <c r="X20" s="342"/>
      <c r="Y20" s="273">
        <f t="shared" si="0"/>
        <v>3939</v>
      </c>
      <c r="Z20" s="299"/>
      <c r="AB20" s="438"/>
    </row>
    <row r="21" spans="1:28" s="253" customFormat="1" ht="9.9499999999999993" customHeight="1" x14ac:dyDescent="0.2">
      <c r="A21" s="349" t="s">
        <v>685</v>
      </c>
      <c r="C21" s="273"/>
      <c r="D21" s="342"/>
      <c r="E21" s="273">
        <f>+BSGFws!D12</f>
        <v>0</v>
      </c>
      <c r="F21" s="342"/>
      <c r="G21" s="273">
        <f>BSGFws!E12</f>
        <v>0</v>
      </c>
      <c r="H21" s="342"/>
      <c r="I21" s="273"/>
      <c r="J21" s="342"/>
      <c r="K21" s="273"/>
      <c r="L21" s="273"/>
      <c r="M21" s="273">
        <f>BSGFws!BQ12</f>
        <v>0</v>
      </c>
      <c r="N21" s="342"/>
      <c r="O21" s="273"/>
      <c r="P21" s="273"/>
      <c r="Q21" s="273"/>
      <c r="R21" s="273"/>
      <c r="S21" s="273"/>
      <c r="T21" s="273"/>
      <c r="U21" s="273"/>
      <c r="V21" s="342"/>
      <c r="W21" s="273"/>
      <c r="X21" s="342"/>
      <c r="Y21" s="273">
        <f t="shared" si="0"/>
        <v>0</v>
      </c>
      <c r="Z21" s="299"/>
      <c r="AB21" s="438"/>
    </row>
    <row r="22" spans="1:28" s="253" customFormat="1" ht="9.9499999999999993" customHeight="1" x14ac:dyDescent="0.2">
      <c r="A22" s="351" t="s">
        <v>673</v>
      </c>
      <c r="C22" s="273">
        <f>+BSGFws!C13</f>
        <v>0</v>
      </c>
      <c r="D22" s="342"/>
      <c r="E22" s="273">
        <f>+BSGFws!D13</f>
        <v>41281</v>
      </c>
      <c r="F22" s="342"/>
      <c r="G22" s="273">
        <f>BSGFws!E13</f>
        <v>27846</v>
      </c>
      <c r="H22" s="342"/>
      <c r="I22" s="273">
        <f>BSGFws!F13</f>
        <v>2136</v>
      </c>
      <c r="J22" s="342"/>
      <c r="K22" s="273"/>
      <c r="L22" s="273"/>
      <c r="M22" s="273"/>
      <c r="N22" s="342"/>
      <c r="O22" s="273"/>
      <c r="P22" s="273"/>
      <c r="Q22" s="273"/>
      <c r="R22" s="273"/>
      <c r="S22" s="273">
        <f>BSGFws!AE13</f>
        <v>80121</v>
      </c>
      <c r="T22" s="273"/>
      <c r="U22" s="273"/>
      <c r="V22" s="342"/>
      <c r="W22" s="273">
        <f>+'Nonmajor BS'!H22</f>
        <v>405889</v>
      </c>
      <c r="X22" s="342"/>
      <c r="Y22" s="273">
        <f t="shared" si="0"/>
        <v>557273</v>
      </c>
      <c r="Z22" s="299"/>
      <c r="AB22" s="438"/>
    </row>
    <row r="23" spans="1:28" s="253" customFormat="1" ht="9.9499999999999993" customHeight="1" x14ac:dyDescent="0.2">
      <c r="A23" s="351" t="s">
        <v>674</v>
      </c>
      <c r="C23" s="273">
        <f>+BSGFws!C14</f>
        <v>0</v>
      </c>
      <c r="D23" s="342"/>
      <c r="E23" s="273">
        <f>+BSGFws!D14</f>
        <v>2050</v>
      </c>
      <c r="F23" s="342"/>
      <c r="G23" s="273">
        <f>BSGFws!E14</f>
        <v>80038</v>
      </c>
      <c r="H23" s="342"/>
      <c r="I23" s="273">
        <f>BSGFws!F14</f>
        <v>421</v>
      </c>
      <c r="J23" s="342"/>
      <c r="K23" s="273"/>
      <c r="L23" s="273"/>
      <c r="M23" s="273">
        <f>BSGFws!BQ14</f>
        <v>0</v>
      </c>
      <c r="N23" s="342"/>
      <c r="O23" s="273"/>
      <c r="P23" s="273"/>
      <c r="Q23" s="273"/>
      <c r="R23" s="273"/>
      <c r="S23" s="273">
        <f>BSGFws!AE14</f>
        <v>293952</v>
      </c>
      <c r="T23" s="273"/>
      <c r="U23" s="273"/>
      <c r="V23" s="342"/>
      <c r="W23" s="273">
        <f>+'Nonmajor BS'!H23</f>
        <v>541974</v>
      </c>
      <c r="X23" s="342"/>
      <c r="Y23" s="273">
        <f t="shared" si="0"/>
        <v>918435</v>
      </c>
      <c r="Z23" s="299"/>
      <c r="AB23" s="438"/>
    </row>
    <row r="24" spans="1:28" s="253" customFormat="1" ht="9.9499999999999993" customHeight="1" x14ac:dyDescent="0.2">
      <c r="A24" s="351" t="s">
        <v>252</v>
      </c>
      <c r="C24" s="273">
        <f>+BSGFws!C15</f>
        <v>33753</v>
      </c>
      <c r="D24" s="342"/>
      <c r="E24" s="273">
        <f>+BSGFws!D15</f>
        <v>15949</v>
      </c>
      <c r="F24" s="342"/>
      <c r="G24" s="273">
        <f>BSGFws!E15</f>
        <v>495</v>
      </c>
      <c r="H24" s="342"/>
      <c r="I24" s="273">
        <f>BSGFws!F15</f>
        <v>1015</v>
      </c>
      <c r="J24" s="342"/>
      <c r="K24" s="273"/>
      <c r="L24" s="273"/>
      <c r="M24" s="273"/>
      <c r="N24" s="342"/>
      <c r="O24" s="273"/>
      <c r="P24" s="273"/>
      <c r="Q24" s="273"/>
      <c r="R24" s="273"/>
      <c r="S24" s="273">
        <f>BSGFws!AE15</f>
        <v>4843</v>
      </c>
      <c r="T24" s="273"/>
      <c r="U24" s="273"/>
      <c r="V24" s="342"/>
      <c r="W24" s="273">
        <f>+'Nonmajor BS'!H24</f>
        <v>129100</v>
      </c>
      <c r="X24" s="342"/>
      <c r="Y24" s="273">
        <f t="shared" si="0"/>
        <v>185155</v>
      </c>
      <c r="Z24" s="299"/>
      <c r="AB24" s="438"/>
    </row>
    <row r="25" spans="1:28" s="253" customFormat="1" ht="9.9499999999999993" customHeight="1" x14ac:dyDescent="0.2">
      <c r="A25" s="351" t="s">
        <v>763</v>
      </c>
      <c r="C25" s="273">
        <f>+BSGFws!C16</f>
        <v>0</v>
      </c>
      <c r="D25" s="342"/>
      <c r="E25" s="273">
        <f>+BSGFws!D16</f>
        <v>0</v>
      </c>
      <c r="F25" s="342"/>
      <c r="G25" s="273">
        <f>BSGFws!E16</f>
        <v>28</v>
      </c>
      <c r="H25" s="342"/>
      <c r="I25" s="273">
        <f>BSGFws!F16</f>
        <v>842</v>
      </c>
      <c r="J25" s="342"/>
      <c r="K25" s="273"/>
      <c r="L25" s="273"/>
      <c r="M25" s="273">
        <f>BSGFws!BQ16</f>
        <v>0</v>
      </c>
      <c r="N25" s="342"/>
      <c r="O25" s="273"/>
      <c r="P25" s="273"/>
      <c r="Q25" s="273"/>
      <c r="R25" s="273"/>
      <c r="S25" s="273">
        <f>BSGFws!AE16</f>
        <v>0</v>
      </c>
      <c r="T25" s="273"/>
      <c r="U25" s="273"/>
      <c r="V25" s="342"/>
      <c r="W25" s="273">
        <f>+'Nonmajor BS'!H25</f>
        <v>777</v>
      </c>
      <c r="X25" s="342"/>
      <c r="Y25" s="273">
        <f t="shared" si="0"/>
        <v>1647</v>
      </c>
      <c r="Z25" s="299"/>
      <c r="AB25" s="438"/>
    </row>
    <row r="26" spans="1:28" s="253" customFormat="1" ht="9.9499999999999993" customHeight="1" x14ac:dyDescent="0.2">
      <c r="A26" s="351" t="s">
        <v>683</v>
      </c>
      <c r="C26" s="273">
        <f>+BSGFws!C17</f>
        <v>0</v>
      </c>
      <c r="D26" s="342"/>
      <c r="E26" s="273">
        <f>+BSGFws!D17</f>
        <v>0</v>
      </c>
      <c r="F26" s="342"/>
      <c r="G26" s="273">
        <f>BSGFws!E17</f>
        <v>0</v>
      </c>
      <c r="H26" s="342"/>
      <c r="I26" s="273"/>
      <c r="J26" s="342"/>
      <c r="K26" s="273"/>
      <c r="L26" s="273"/>
      <c r="M26" s="273">
        <f>BSGFws!BQ17</f>
        <v>0</v>
      </c>
      <c r="N26" s="342"/>
      <c r="O26" s="273"/>
      <c r="P26" s="273"/>
      <c r="Q26" s="273"/>
      <c r="R26" s="273"/>
      <c r="S26" s="273">
        <f>BSGFws!AE17</f>
        <v>0</v>
      </c>
      <c r="T26" s="273"/>
      <c r="U26" s="273"/>
      <c r="V26" s="342"/>
      <c r="W26" s="273">
        <f>+'Nonmajor BS'!H26</f>
        <v>15</v>
      </c>
      <c r="X26" s="342"/>
      <c r="Y26" s="273">
        <f t="shared" si="0"/>
        <v>15</v>
      </c>
      <c r="Z26" s="299"/>
      <c r="AB26" s="438"/>
    </row>
    <row r="27" spans="1:28" s="253" customFormat="1" ht="9.9499999999999993" customHeight="1" x14ac:dyDescent="0.2">
      <c r="A27" s="351" t="s">
        <v>840</v>
      </c>
      <c r="C27" s="273">
        <f>+BSGFws!C18</f>
        <v>0</v>
      </c>
      <c r="D27" s="342"/>
      <c r="E27" s="273">
        <f>+BSGFws!D18</f>
        <v>0</v>
      </c>
      <c r="F27" s="342"/>
      <c r="G27" s="273">
        <f>BSGFws!E18</f>
        <v>5506</v>
      </c>
      <c r="H27" s="342"/>
      <c r="I27" s="273">
        <f>BSGFws!F18</f>
        <v>22</v>
      </c>
      <c r="J27" s="342"/>
      <c r="K27" s="273"/>
      <c r="L27" s="273"/>
      <c r="M27" s="273"/>
      <c r="N27" s="342"/>
      <c r="O27" s="273"/>
      <c r="P27" s="273"/>
      <c r="Q27" s="273"/>
      <c r="R27" s="273"/>
      <c r="S27" s="273">
        <f>BSGFws!AE18</f>
        <v>0</v>
      </c>
      <c r="T27" s="273"/>
      <c r="U27" s="273"/>
      <c r="V27" s="342"/>
      <c r="W27" s="273">
        <f>+'Nonmajor BS'!H27</f>
        <v>4426</v>
      </c>
      <c r="X27" s="342"/>
      <c r="Y27" s="273">
        <f t="shared" si="0"/>
        <v>9954</v>
      </c>
      <c r="Z27" s="299"/>
      <c r="AB27" s="438"/>
    </row>
    <row r="28" spans="1:28" s="253" customFormat="1" ht="9.9499999999999993" customHeight="1" x14ac:dyDescent="0.2">
      <c r="A28" s="351" t="s">
        <v>1773</v>
      </c>
      <c r="C28" s="273">
        <f>+BSGFws!C19</f>
        <v>0</v>
      </c>
      <c r="D28" s="342"/>
      <c r="E28" s="273">
        <f>+BSGFws!D19</f>
        <v>0</v>
      </c>
      <c r="F28" s="342"/>
      <c r="G28" s="273">
        <f>BSGFws!E19</f>
        <v>0</v>
      </c>
      <c r="H28" s="342"/>
      <c r="I28" s="273"/>
      <c r="J28" s="342"/>
      <c r="K28" s="273"/>
      <c r="L28" s="273"/>
      <c r="M28" s="273">
        <f>BSGFws!BQ19</f>
        <v>0</v>
      </c>
      <c r="N28" s="342"/>
      <c r="O28" s="273"/>
      <c r="P28" s="273"/>
      <c r="Q28" s="273"/>
      <c r="R28" s="273"/>
      <c r="S28" s="273">
        <f>BSGFws!AD19</f>
        <v>0</v>
      </c>
      <c r="T28" s="273"/>
      <c r="U28" s="273"/>
      <c r="V28" s="342"/>
      <c r="W28" s="273">
        <f>+'Nonmajor BS'!H28</f>
        <v>38416</v>
      </c>
      <c r="X28" s="342"/>
      <c r="Y28" s="273">
        <f t="shared" si="0"/>
        <v>38416</v>
      </c>
      <c r="Z28" s="299"/>
      <c r="AB28" s="438"/>
    </row>
    <row r="29" spans="1:28" s="253" customFormat="1" ht="9.9499999999999993" customHeight="1" x14ac:dyDescent="0.2">
      <c r="A29" s="351" t="s">
        <v>63</v>
      </c>
      <c r="C29" s="273">
        <f>+BSGFws!C20</f>
        <v>0</v>
      </c>
      <c r="D29" s="342"/>
      <c r="E29" s="273">
        <f>+BSGFws!D20</f>
        <v>435</v>
      </c>
      <c r="F29" s="342"/>
      <c r="G29" s="273">
        <f>BSGFws!E20</f>
        <v>5416</v>
      </c>
      <c r="H29" s="342"/>
      <c r="I29" s="273">
        <f>BSGFws!G20</f>
        <v>0</v>
      </c>
      <c r="J29" s="342"/>
      <c r="K29" s="273"/>
      <c r="L29" s="273"/>
      <c r="M29" s="273"/>
      <c r="N29" s="342"/>
      <c r="O29" s="273"/>
      <c r="P29" s="273"/>
      <c r="Q29" s="273"/>
      <c r="R29" s="273"/>
      <c r="S29" s="273"/>
      <c r="T29" s="273"/>
      <c r="U29" s="273"/>
      <c r="V29" s="342"/>
      <c r="W29" s="273">
        <f>+'Nonmajor BS'!H29</f>
        <v>8990</v>
      </c>
      <c r="X29" s="342"/>
      <c r="Y29" s="273">
        <f t="shared" si="0"/>
        <v>14841</v>
      </c>
      <c r="Z29" s="299"/>
      <c r="AB29" s="438"/>
    </row>
    <row r="30" spans="1:28" s="253" customFormat="1" ht="9.9499999999999993" customHeight="1" x14ac:dyDescent="0.2">
      <c r="A30" s="351" t="s">
        <v>1216</v>
      </c>
      <c r="C30" s="273">
        <f>+BSGFws!C21</f>
        <v>1130</v>
      </c>
      <c r="D30" s="342"/>
      <c r="E30" s="273">
        <f>+BSGFws!D21</f>
        <v>0</v>
      </c>
      <c r="F30" s="342"/>
      <c r="G30" s="273">
        <f>BSGFws!E21</f>
        <v>21831</v>
      </c>
      <c r="H30" s="342"/>
      <c r="I30" s="273">
        <f>BSGFws!F21</f>
        <v>59771</v>
      </c>
      <c r="J30" s="342"/>
      <c r="K30" s="273"/>
      <c r="L30" s="273"/>
      <c r="M30" s="273"/>
      <c r="N30" s="342"/>
      <c r="O30" s="273"/>
      <c r="P30" s="273"/>
      <c r="Q30" s="273"/>
      <c r="R30" s="273"/>
      <c r="S30" s="273"/>
      <c r="T30" s="273"/>
      <c r="U30" s="273"/>
      <c r="V30" s="342"/>
      <c r="W30" s="273">
        <f>+'Nonmajor BS'!H30</f>
        <v>9824</v>
      </c>
      <c r="X30" s="342"/>
      <c r="Y30" s="273">
        <f t="shared" si="0"/>
        <v>92556</v>
      </c>
      <c r="Z30" s="299"/>
      <c r="AB30" s="438"/>
    </row>
    <row r="31" spans="1:28" s="253" customFormat="1" ht="3" customHeight="1" x14ac:dyDescent="0.2">
      <c r="C31" s="340"/>
      <c r="D31" s="342"/>
      <c r="E31" s="340"/>
      <c r="F31" s="342"/>
      <c r="G31" s="340"/>
      <c r="H31" s="342"/>
      <c r="I31" s="340"/>
      <c r="J31" s="342"/>
      <c r="K31" s="340"/>
      <c r="L31" s="342"/>
      <c r="M31" s="340"/>
      <c r="N31" s="342"/>
      <c r="O31" s="340"/>
      <c r="P31" s="273"/>
      <c r="Q31" s="340"/>
      <c r="R31" s="273"/>
      <c r="S31" s="340"/>
      <c r="T31" s="273"/>
      <c r="U31" s="340"/>
      <c r="V31" s="342"/>
      <c r="W31" s="340"/>
      <c r="X31" s="342"/>
      <c r="Y31" s="340"/>
      <c r="Z31" s="342"/>
      <c r="AB31" s="438"/>
    </row>
    <row r="32" spans="1:28" s="253" customFormat="1" ht="11.1" customHeight="1" thickBot="1" x14ac:dyDescent="0.25">
      <c r="A32" s="353" t="s">
        <v>687</v>
      </c>
      <c r="C32" s="344">
        <f>SUM(C12:C30)</f>
        <v>775323</v>
      </c>
      <c r="D32" s="301"/>
      <c r="E32" s="344">
        <f>SUM(E12:E30)</f>
        <v>59715</v>
      </c>
      <c r="F32" s="301"/>
      <c r="G32" s="344">
        <f>SUM(G12:G30)</f>
        <v>141160</v>
      </c>
      <c r="H32" s="301"/>
      <c r="I32" s="344">
        <f>SUM(I12:I30)</f>
        <v>64207</v>
      </c>
      <c r="J32" s="301"/>
      <c r="K32" s="344">
        <f>SUM(K12:K30)</f>
        <v>0</v>
      </c>
      <c r="L32" s="301"/>
      <c r="M32" s="344">
        <f>SUM(M12:M30)</f>
        <v>0</v>
      </c>
      <c r="N32" s="301"/>
      <c r="O32" s="344">
        <f>SUM(O12:O30)</f>
        <v>0</v>
      </c>
      <c r="P32" s="301"/>
      <c r="Q32" s="344">
        <f>SUM(Q12:Q30)</f>
        <v>0</v>
      </c>
      <c r="R32" s="301"/>
      <c r="S32" s="344">
        <f>SUM(S12:S30)</f>
        <v>378916</v>
      </c>
      <c r="T32" s="301"/>
      <c r="U32" s="344">
        <f>SUM(U12:U30)</f>
        <v>0</v>
      </c>
      <c r="V32" s="301"/>
      <c r="W32" s="344">
        <f>SUM(W12:W30)</f>
        <v>1324469</v>
      </c>
      <c r="X32" s="301"/>
      <c r="Y32" s="344">
        <f>SUM(Y12:Y30)</f>
        <v>2743790</v>
      </c>
      <c r="Z32" s="299"/>
      <c r="AB32" s="438"/>
    </row>
    <row r="33" spans="1:28" s="253" customFormat="1" ht="3" customHeight="1" thickTop="1" x14ac:dyDescent="0.2">
      <c r="B33" s="363"/>
      <c r="C33" s="254"/>
      <c r="D33" s="301"/>
      <c r="E33" s="254"/>
      <c r="F33" s="301"/>
      <c r="G33" s="273"/>
      <c r="H33" s="301"/>
      <c r="I33" s="273"/>
      <c r="J33" s="301"/>
      <c r="K33" s="273"/>
      <c r="L33" s="273"/>
      <c r="M33" s="273"/>
      <c r="N33" s="301"/>
      <c r="O33" s="273"/>
      <c r="P33" s="273"/>
      <c r="Q33" s="273"/>
      <c r="R33" s="273"/>
      <c r="S33" s="273"/>
      <c r="T33" s="273"/>
      <c r="U33" s="273"/>
      <c r="V33" s="301"/>
      <c r="W33" s="254"/>
      <c r="X33" s="301"/>
      <c r="Y33" s="254"/>
      <c r="Z33" s="299"/>
      <c r="AB33" s="438"/>
    </row>
    <row r="34" spans="1:28" s="253" customFormat="1" ht="9.9499999999999993" customHeight="1" x14ac:dyDescent="0.2">
      <c r="B34" s="363"/>
      <c r="C34" s="254"/>
      <c r="D34" s="301"/>
      <c r="E34" s="254"/>
      <c r="F34" s="301"/>
      <c r="G34" s="273"/>
      <c r="H34" s="301"/>
      <c r="I34" s="273"/>
      <c r="J34" s="301"/>
      <c r="K34" s="273"/>
      <c r="L34" s="273"/>
      <c r="M34" s="273"/>
      <c r="N34" s="301"/>
      <c r="O34" s="273"/>
      <c r="P34" s="273"/>
      <c r="Q34" s="273"/>
      <c r="R34" s="273"/>
      <c r="S34" s="273"/>
      <c r="T34" s="273"/>
      <c r="U34" s="273"/>
      <c r="V34" s="301"/>
      <c r="W34" s="254"/>
      <c r="X34" s="301"/>
      <c r="Y34" s="254"/>
      <c r="Z34" s="299"/>
      <c r="AB34" s="438"/>
    </row>
    <row r="35" spans="1:28" s="253" customFormat="1" ht="9.9499999999999993" customHeight="1" x14ac:dyDescent="0.2">
      <c r="A35" s="353" t="s">
        <v>1749</v>
      </c>
      <c r="B35" s="353"/>
      <c r="C35" s="254"/>
      <c r="D35" s="301"/>
      <c r="E35" s="254"/>
      <c r="F35" s="301"/>
      <c r="G35" s="273"/>
      <c r="H35" s="301"/>
      <c r="I35" s="273"/>
      <c r="J35" s="301"/>
      <c r="K35" s="273"/>
      <c r="L35" s="273"/>
      <c r="M35" s="273"/>
      <c r="N35" s="301"/>
      <c r="O35" s="273"/>
      <c r="P35" s="273"/>
      <c r="Q35" s="273"/>
      <c r="R35" s="273"/>
      <c r="S35" s="273"/>
      <c r="T35" s="273"/>
      <c r="U35" s="273"/>
      <c r="V35" s="301"/>
      <c r="W35" s="254"/>
      <c r="X35" s="301"/>
      <c r="Y35" s="254"/>
      <c r="Z35" s="299"/>
      <c r="AB35" s="438"/>
    </row>
    <row r="36" spans="1:28" s="253" customFormat="1" ht="9.9499999999999993" customHeight="1" x14ac:dyDescent="0.2">
      <c r="A36" s="707" t="s">
        <v>751</v>
      </c>
      <c r="C36" s="254"/>
      <c r="D36" s="301"/>
      <c r="E36" s="254"/>
      <c r="F36" s="301"/>
      <c r="G36" s="273"/>
      <c r="H36" s="301"/>
      <c r="I36" s="273"/>
      <c r="J36" s="301"/>
      <c r="K36" s="273"/>
      <c r="L36" s="273"/>
      <c r="M36" s="273"/>
      <c r="N36" s="301"/>
      <c r="O36" s="273"/>
      <c r="P36" s="273"/>
      <c r="Q36" s="273"/>
      <c r="R36" s="273"/>
      <c r="S36" s="273"/>
      <c r="T36" s="273"/>
      <c r="U36" s="273"/>
      <c r="V36" s="301"/>
      <c r="W36" s="254"/>
      <c r="X36" s="301"/>
      <c r="Y36" s="254"/>
      <c r="Z36" s="299"/>
      <c r="AB36" s="438"/>
    </row>
    <row r="37" spans="1:28" s="253" customFormat="1" ht="10.35" customHeight="1" x14ac:dyDescent="0.2">
      <c r="A37" s="351" t="s">
        <v>688</v>
      </c>
      <c r="C37" s="339">
        <f>+BSGFws!C28</f>
        <v>18737</v>
      </c>
      <c r="D37" s="342"/>
      <c r="E37" s="339">
        <f>+BSGFws!D28</f>
        <v>0</v>
      </c>
      <c r="F37" s="364"/>
      <c r="G37" s="339">
        <f>+BSGFws!E28</f>
        <v>0</v>
      </c>
      <c r="H37" s="364"/>
      <c r="I37" s="339"/>
      <c r="J37" s="364"/>
      <c r="K37" s="339"/>
      <c r="L37" s="347"/>
      <c r="M37" s="339">
        <f>BSGFws!BQ28</f>
        <v>0</v>
      </c>
      <c r="N37" s="347"/>
      <c r="O37" s="339"/>
      <c r="P37" s="364"/>
      <c r="Q37" s="339">
        <v>0</v>
      </c>
      <c r="R37" s="364"/>
      <c r="S37" s="339">
        <f>BSGFws!AE37</f>
        <v>0</v>
      </c>
      <c r="T37" s="364"/>
      <c r="U37" s="339"/>
      <c r="V37" s="347"/>
      <c r="W37" s="339">
        <f>'Nonmajor BS'!H36</f>
        <v>2357</v>
      </c>
      <c r="X37" s="364"/>
      <c r="Y37" s="339">
        <f t="shared" ref="Y37:Y53" si="1">SUM(C37:W37)</f>
        <v>21094</v>
      </c>
      <c r="Z37" s="299"/>
    </row>
    <row r="38" spans="1:28" s="253" customFormat="1" ht="10.35" customHeight="1" x14ac:dyDescent="0.2">
      <c r="A38" s="351" t="s">
        <v>847</v>
      </c>
      <c r="C38" s="273">
        <f>+BSGFws!C29</f>
        <v>41187</v>
      </c>
      <c r="D38" s="342"/>
      <c r="E38" s="273">
        <f>+BSGFws!D29</f>
        <v>0</v>
      </c>
      <c r="F38" s="342"/>
      <c r="G38" s="273">
        <f>+BSGFws!E29</f>
        <v>0</v>
      </c>
      <c r="H38" s="342"/>
      <c r="I38" s="273"/>
      <c r="J38" s="342"/>
      <c r="K38" s="273"/>
      <c r="L38" s="273"/>
      <c r="M38" s="273">
        <f>BSGFws!BQ29</f>
        <v>0</v>
      </c>
      <c r="N38" s="342"/>
      <c r="O38" s="273"/>
      <c r="P38" s="273"/>
      <c r="Q38" s="273"/>
      <c r="R38" s="273"/>
      <c r="S38" s="273"/>
      <c r="T38" s="273"/>
      <c r="U38" s="273"/>
      <c r="V38" s="342"/>
      <c r="W38" s="273">
        <f>+'Nonmajor BS'!H37</f>
        <v>9398</v>
      </c>
      <c r="X38" s="342"/>
      <c r="Y38" s="273">
        <f t="shared" si="1"/>
        <v>50585</v>
      </c>
      <c r="Z38" s="299"/>
    </row>
    <row r="39" spans="1:28" s="253" customFormat="1" ht="10.35" customHeight="1" x14ac:dyDescent="0.2">
      <c r="A39" s="351" t="s">
        <v>690</v>
      </c>
      <c r="C39" s="273">
        <f>+BSGFws!C30</f>
        <v>13001</v>
      </c>
      <c r="D39" s="342"/>
      <c r="E39" s="273">
        <f>+BSGFws!D30</f>
        <v>0</v>
      </c>
      <c r="F39" s="342"/>
      <c r="G39" s="273">
        <f>+BSGFws!E30</f>
        <v>0</v>
      </c>
      <c r="H39" s="342"/>
      <c r="I39" s="273"/>
      <c r="J39" s="342"/>
      <c r="K39" s="273"/>
      <c r="L39" s="273"/>
      <c r="M39" s="273">
        <f>BSGFws!BQ30</f>
        <v>0</v>
      </c>
      <c r="N39" s="342"/>
      <c r="O39" s="273"/>
      <c r="P39" s="273"/>
      <c r="Q39" s="273"/>
      <c r="R39" s="273"/>
      <c r="S39" s="273"/>
      <c r="T39" s="273"/>
      <c r="U39" s="273"/>
      <c r="V39" s="342"/>
      <c r="W39" s="273">
        <f>+'Nonmajor BS'!H38</f>
        <v>133</v>
      </c>
      <c r="X39" s="342"/>
      <c r="Y39" s="273">
        <f t="shared" si="1"/>
        <v>13134</v>
      </c>
      <c r="Z39" s="261"/>
    </row>
    <row r="40" spans="1:28" s="253" customFormat="1" ht="10.35" customHeight="1" x14ac:dyDescent="0.2">
      <c r="A40" s="351" t="s">
        <v>691</v>
      </c>
      <c r="C40" s="273">
        <f>+BSGFws!C31</f>
        <v>8130</v>
      </c>
      <c r="D40" s="342"/>
      <c r="E40" s="273">
        <f>+BSGFws!D31</f>
        <v>0</v>
      </c>
      <c r="F40" s="342"/>
      <c r="G40" s="273">
        <f>+BSGFws!E31</f>
        <v>0</v>
      </c>
      <c r="H40" s="342"/>
      <c r="I40" s="273"/>
      <c r="J40" s="342"/>
      <c r="K40" s="273"/>
      <c r="L40" s="273"/>
      <c r="M40" s="273">
        <f>BSGFws!BQ31</f>
        <v>0</v>
      </c>
      <c r="N40" s="342"/>
      <c r="O40" s="273"/>
      <c r="P40" s="273"/>
      <c r="Q40" s="273"/>
      <c r="R40" s="273"/>
      <c r="S40" s="273"/>
      <c r="T40" s="273"/>
      <c r="U40" s="273"/>
      <c r="V40" s="342"/>
      <c r="W40" s="273">
        <f>+'Nonmajor BS'!H39</f>
        <v>0</v>
      </c>
      <c r="X40" s="342"/>
      <c r="Y40" s="273">
        <f t="shared" si="1"/>
        <v>8130</v>
      </c>
      <c r="Z40" s="299"/>
    </row>
    <row r="41" spans="1:28" s="253" customFormat="1" ht="10.35" customHeight="1" x14ac:dyDescent="0.2">
      <c r="A41" s="351" t="s">
        <v>692</v>
      </c>
      <c r="C41" s="273">
        <f>+BSGFws!C32</f>
        <v>4247</v>
      </c>
      <c r="D41" s="342"/>
      <c r="E41" s="273">
        <f>+BSGFws!D32</f>
        <v>0</v>
      </c>
      <c r="F41" s="342"/>
      <c r="G41" s="273">
        <f>+BSGFws!E32</f>
        <v>0</v>
      </c>
      <c r="H41" s="342"/>
      <c r="I41" s="273"/>
      <c r="J41" s="342"/>
      <c r="K41" s="273"/>
      <c r="L41" s="273"/>
      <c r="M41" s="273">
        <f>BSGFws!BQ32</f>
        <v>0</v>
      </c>
      <c r="N41" s="342"/>
      <c r="O41" s="273"/>
      <c r="P41" s="273"/>
      <c r="Q41" s="273"/>
      <c r="R41" s="273"/>
      <c r="S41" s="273"/>
      <c r="T41" s="273"/>
      <c r="U41" s="273"/>
      <c r="V41" s="342"/>
      <c r="W41" s="273">
        <f>+'Nonmajor BS'!H40</f>
        <v>267</v>
      </c>
      <c r="X41" s="342"/>
      <c r="Y41" s="273">
        <f t="shared" si="1"/>
        <v>4514</v>
      </c>
      <c r="Z41" s="299"/>
    </row>
    <row r="42" spans="1:28" s="253" customFormat="1" ht="10.35" hidden="1" customHeight="1" x14ac:dyDescent="0.2">
      <c r="A42" s="351" t="s">
        <v>848</v>
      </c>
      <c r="C42" s="273"/>
      <c r="D42" s="342"/>
      <c r="E42" s="273">
        <f>+BSGFws!D33</f>
        <v>0</v>
      </c>
      <c r="F42" s="342"/>
      <c r="G42" s="273">
        <f>+BSGFws!E33</f>
        <v>0</v>
      </c>
      <c r="H42" s="342"/>
      <c r="I42" s="273"/>
      <c r="J42" s="342"/>
      <c r="K42" s="273"/>
      <c r="L42" s="273"/>
      <c r="M42" s="273">
        <f>BSGFws!BQ33</f>
        <v>0</v>
      </c>
      <c r="N42" s="342"/>
      <c r="O42" s="273"/>
      <c r="P42" s="273"/>
      <c r="Q42" s="273"/>
      <c r="R42" s="273"/>
      <c r="S42" s="273"/>
      <c r="T42" s="273"/>
      <c r="U42" s="273"/>
      <c r="V42" s="342"/>
      <c r="W42" s="273">
        <f>+'Nonmajor BS'!H41</f>
        <v>0</v>
      </c>
      <c r="X42" s="342"/>
      <c r="Y42" s="273">
        <f t="shared" si="1"/>
        <v>0</v>
      </c>
      <c r="Z42" s="299"/>
    </row>
    <row r="43" spans="1:28" s="253" customFormat="1" ht="10.35" customHeight="1" x14ac:dyDescent="0.2">
      <c r="A43" s="351" t="s">
        <v>604</v>
      </c>
      <c r="C43" s="273">
        <f>+BSGFws!C34</f>
        <v>5851</v>
      </c>
      <c r="D43" s="342"/>
      <c r="E43" s="273">
        <f>+BSGFws!D34</f>
        <v>0</v>
      </c>
      <c r="F43" s="342"/>
      <c r="G43" s="273">
        <f>+BSGFws!E34</f>
        <v>0</v>
      </c>
      <c r="H43" s="342"/>
      <c r="I43" s="273"/>
      <c r="J43" s="342"/>
      <c r="K43" s="273"/>
      <c r="L43" s="273"/>
      <c r="M43" s="273">
        <f>BSGFws!BQ34</f>
        <v>0</v>
      </c>
      <c r="N43" s="342"/>
      <c r="O43" s="273"/>
      <c r="P43" s="273"/>
      <c r="Q43" s="273"/>
      <c r="R43" s="273"/>
      <c r="S43" s="273"/>
      <c r="T43" s="273"/>
      <c r="U43" s="273"/>
      <c r="V43" s="342"/>
      <c r="W43" s="273">
        <f>+'Nonmajor BS'!H42</f>
        <v>0</v>
      </c>
      <c r="X43" s="342"/>
      <c r="Y43" s="273">
        <f t="shared" si="1"/>
        <v>5851</v>
      </c>
      <c r="Z43" s="299"/>
    </row>
    <row r="44" spans="1:28" s="253" customFormat="1" ht="10.35" hidden="1" customHeight="1" x14ac:dyDescent="0.2">
      <c r="A44" s="351" t="s">
        <v>593</v>
      </c>
      <c r="C44" s="273">
        <f>+BSGFws!C35</f>
        <v>0</v>
      </c>
      <c r="D44" s="342"/>
      <c r="E44" s="273">
        <f>+BSGFws!D35</f>
        <v>0</v>
      </c>
      <c r="F44" s="342"/>
      <c r="G44" s="273">
        <f>+BSGFws!E35</f>
        <v>0</v>
      </c>
      <c r="H44" s="342"/>
      <c r="I44" s="273"/>
      <c r="J44" s="342"/>
      <c r="K44" s="273"/>
      <c r="L44" s="273"/>
      <c r="M44" s="273">
        <f>BSGFws!BQ35</f>
        <v>0</v>
      </c>
      <c r="N44" s="342"/>
      <c r="O44" s="273"/>
      <c r="P44" s="273"/>
      <c r="Q44" s="273"/>
      <c r="R44" s="273"/>
      <c r="S44" s="273"/>
      <c r="T44" s="273"/>
      <c r="U44" s="273"/>
      <c r="V44" s="342"/>
      <c r="W44" s="273">
        <f>+'Nonmajor BS'!H43</f>
        <v>0</v>
      </c>
      <c r="X44" s="342"/>
      <c r="Y44" s="273">
        <f t="shared" si="1"/>
        <v>0</v>
      </c>
      <c r="Z44" s="299"/>
    </row>
    <row r="45" spans="1:28" s="253" customFormat="1" ht="10.35" customHeight="1" x14ac:dyDescent="0.2">
      <c r="A45" s="351" t="s">
        <v>1304</v>
      </c>
      <c r="C45" s="273"/>
      <c r="D45" s="342"/>
      <c r="E45" s="273">
        <f>+BSGFws!D36</f>
        <v>0</v>
      </c>
      <c r="F45" s="342"/>
      <c r="G45" s="273">
        <f>+BSGFws!E36</f>
        <v>0</v>
      </c>
      <c r="H45" s="342"/>
      <c r="I45" s="273"/>
      <c r="J45" s="342"/>
      <c r="K45" s="273"/>
      <c r="L45" s="273"/>
      <c r="M45" s="273">
        <f>BSGFws!BQ36</f>
        <v>0</v>
      </c>
      <c r="N45" s="342"/>
      <c r="O45" s="273"/>
      <c r="P45" s="273"/>
      <c r="Q45" s="273"/>
      <c r="R45" s="273"/>
      <c r="S45" s="273"/>
      <c r="T45" s="273"/>
      <c r="U45" s="273"/>
      <c r="V45" s="342"/>
      <c r="W45" s="273">
        <f>+BSGFws!BU36</f>
        <v>0</v>
      </c>
      <c r="X45" s="342"/>
      <c r="Y45" s="273">
        <f t="shared" si="1"/>
        <v>0</v>
      </c>
      <c r="Z45" s="299"/>
    </row>
    <row r="46" spans="1:28" s="253" customFormat="1" ht="10.35" customHeight="1" x14ac:dyDescent="0.2">
      <c r="A46" s="705" t="s">
        <v>688</v>
      </c>
      <c r="C46" s="273">
        <f>+BSGFws!C37</f>
        <v>7</v>
      </c>
      <c r="D46" s="342"/>
      <c r="E46" s="273">
        <f>+BSGFws!D37</f>
        <v>0</v>
      </c>
      <c r="F46" s="342"/>
      <c r="G46" s="273">
        <f>+BSGFws!E37</f>
        <v>2758</v>
      </c>
      <c r="H46" s="342"/>
      <c r="I46" s="273">
        <f>BSGFws!F37</f>
        <v>7922</v>
      </c>
      <c r="J46" s="342"/>
      <c r="K46" s="273"/>
      <c r="L46" s="273"/>
      <c r="M46" s="273"/>
      <c r="N46" s="342"/>
      <c r="O46" s="273"/>
      <c r="P46" s="273"/>
      <c r="Q46" s="273"/>
      <c r="R46" s="273"/>
      <c r="S46" s="273"/>
      <c r="T46" s="273"/>
      <c r="U46" s="273"/>
      <c r="V46" s="342"/>
      <c r="W46" s="273">
        <f>+'Nonmajor BS'!H45</f>
        <v>66807</v>
      </c>
      <c r="X46" s="342"/>
      <c r="Y46" s="273">
        <f t="shared" si="1"/>
        <v>77494</v>
      </c>
      <c r="Z46" s="299"/>
    </row>
    <row r="47" spans="1:28" s="253" customFormat="1" ht="10.35" customHeight="1" x14ac:dyDescent="0.2">
      <c r="A47" s="705" t="s">
        <v>847</v>
      </c>
      <c r="C47" s="273">
        <f>+BSGFws!C38</f>
        <v>22</v>
      </c>
      <c r="D47" s="342"/>
      <c r="E47" s="273">
        <f>+BSGFws!D38</f>
        <v>575</v>
      </c>
      <c r="F47" s="342"/>
      <c r="G47" s="273">
        <f>+BSGFws!E38</f>
        <v>4307</v>
      </c>
      <c r="H47" s="342"/>
      <c r="I47" s="273">
        <f>BSGFws!F38</f>
        <v>8015</v>
      </c>
      <c r="J47" s="342"/>
      <c r="K47" s="273"/>
      <c r="L47" s="273"/>
      <c r="M47" s="273"/>
      <c r="N47" s="342"/>
      <c r="O47" s="273"/>
      <c r="P47" s="273"/>
      <c r="Q47" s="273"/>
      <c r="R47" s="273"/>
      <c r="S47" s="273"/>
      <c r="T47" s="273"/>
      <c r="U47" s="273"/>
      <c r="V47" s="342"/>
      <c r="W47" s="273">
        <f>+'Nonmajor BS'!H46</f>
        <v>57809</v>
      </c>
      <c r="X47" s="342"/>
      <c r="Y47" s="273">
        <f t="shared" si="1"/>
        <v>70728</v>
      </c>
      <c r="Z47" s="299"/>
    </row>
    <row r="48" spans="1:28" s="253" customFormat="1" ht="10.35" customHeight="1" x14ac:dyDescent="0.2">
      <c r="A48" s="705" t="s">
        <v>690</v>
      </c>
      <c r="C48" s="273">
        <f>+BSGFws!C39</f>
        <v>25</v>
      </c>
      <c r="D48" s="342"/>
      <c r="E48" s="273">
        <f>+BSGFws!D39</f>
        <v>0</v>
      </c>
      <c r="F48" s="342"/>
      <c r="G48" s="273">
        <f>+BSGFws!E39</f>
        <v>196</v>
      </c>
      <c r="H48" s="342"/>
      <c r="I48" s="273">
        <f>BSGFws!F39</f>
        <v>805</v>
      </c>
      <c r="J48" s="342"/>
      <c r="K48" s="273"/>
      <c r="L48" s="273"/>
      <c r="M48" s="273">
        <f>BSGFws!BQ39</f>
        <v>0</v>
      </c>
      <c r="N48" s="342"/>
      <c r="O48" s="273"/>
      <c r="P48" s="273"/>
      <c r="Q48" s="273"/>
      <c r="R48" s="273"/>
      <c r="S48" s="273"/>
      <c r="T48" s="273"/>
      <c r="U48" s="273"/>
      <c r="V48" s="342"/>
      <c r="W48" s="273">
        <f>+'Nonmajor BS'!H47</f>
        <v>2619</v>
      </c>
      <c r="X48" s="342"/>
      <c r="Y48" s="273">
        <f t="shared" si="1"/>
        <v>3645</v>
      </c>
      <c r="Z48" s="299"/>
    </row>
    <row r="49" spans="1:28" s="253" customFormat="1" ht="10.35" customHeight="1" x14ac:dyDescent="0.2">
      <c r="A49" s="705" t="s">
        <v>691</v>
      </c>
      <c r="C49" s="273">
        <f>+BSGFws!C40</f>
        <v>0</v>
      </c>
      <c r="D49" s="342"/>
      <c r="E49" s="273">
        <f>+BSGFws!D40</f>
        <v>0</v>
      </c>
      <c r="F49" s="342"/>
      <c r="G49" s="273">
        <f>+BSGFws!E40</f>
        <v>0</v>
      </c>
      <c r="H49" s="342"/>
      <c r="I49" s="273">
        <f>BSGFws!F40</f>
        <v>0</v>
      </c>
      <c r="J49" s="342"/>
      <c r="K49" s="273"/>
      <c r="L49" s="273"/>
      <c r="M49" s="273">
        <f>BSGFws!BQ40</f>
        <v>0</v>
      </c>
      <c r="N49" s="342"/>
      <c r="O49" s="273"/>
      <c r="P49" s="273"/>
      <c r="Q49" s="273"/>
      <c r="R49" s="273"/>
      <c r="S49" s="273"/>
      <c r="T49" s="273"/>
      <c r="U49" s="273"/>
      <c r="V49" s="342"/>
      <c r="W49" s="273">
        <f>+'Nonmajor BS'!H48</f>
        <v>253</v>
      </c>
      <c r="X49" s="342"/>
      <c r="Y49" s="273">
        <f t="shared" si="1"/>
        <v>253</v>
      </c>
      <c r="Z49" s="299"/>
    </row>
    <row r="50" spans="1:28" s="253" customFormat="1" ht="10.35" customHeight="1" x14ac:dyDescent="0.2">
      <c r="A50" s="705" t="s">
        <v>692</v>
      </c>
      <c r="C50" s="273">
        <f>+BSGFws!C41</f>
        <v>0</v>
      </c>
      <c r="D50" s="342"/>
      <c r="E50" s="273">
        <f>+BSGFws!D41</f>
        <v>0</v>
      </c>
      <c r="F50" s="342"/>
      <c r="G50" s="273">
        <f>+BSGFws!E41</f>
        <v>1025</v>
      </c>
      <c r="H50" s="342"/>
      <c r="I50" s="273">
        <f>BSGFws!F41</f>
        <v>3286</v>
      </c>
      <c r="J50" s="342"/>
      <c r="K50" s="273"/>
      <c r="L50" s="273"/>
      <c r="M50" s="273">
        <f>BSGFws!BQ41</f>
        <v>0</v>
      </c>
      <c r="N50" s="342"/>
      <c r="O50" s="273"/>
      <c r="P50" s="273"/>
      <c r="Q50" s="273"/>
      <c r="R50" s="273"/>
      <c r="S50" s="273"/>
      <c r="T50" s="273"/>
      <c r="U50" s="273"/>
      <c r="V50" s="342"/>
      <c r="W50" s="273">
        <f>+'Nonmajor BS'!H49</f>
        <v>10887</v>
      </c>
      <c r="X50" s="342"/>
      <c r="Y50" s="273">
        <f t="shared" si="1"/>
        <v>15198</v>
      </c>
      <c r="Z50" s="299"/>
    </row>
    <row r="51" spans="1:28" s="253" customFormat="1" ht="10.35" hidden="1" customHeight="1" x14ac:dyDescent="0.2">
      <c r="A51" s="705" t="s">
        <v>848</v>
      </c>
      <c r="C51" s="273">
        <f>+BSGFws!C42</f>
        <v>0</v>
      </c>
      <c r="D51" s="342"/>
      <c r="E51" s="273">
        <f>+BSGFws!D42</f>
        <v>0</v>
      </c>
      <c r="F51" s="342"/>
      <c r="G51" s="273">
        <f>+BSGFws!E42</f>
        <v>0</v>
      </c>
      <c r="H51" s="342"/>
      <c r="I51" s="273"/>
      <c r="J51" s="342"/>
      <c r="K51" s="273"/>
      <c r="L51" s="273"/>
      <c r="M51" s="273">
        <f>BSGFws!BQ42</f>
        <v>0</v>
      </c>
      <c r="N51" s="342"/>
      <c r="O51" s="273"/>
      <c r="P51" s="273"/>
      <c r="Q51" s="273"/>
      <c r="R51" s="273"/>
      <c r="S51" s="273"/>
      <c r="T51" s="273"/>
      <c r="U51" s="273"/>
      <c r="V51" s="342"/>
      <c r="W51" s="273">
        <f>+'Nonmajor BS'!H50</f>
        <v>0</v>
      </c>
      <c r="X51" s="342"/>
      <c r="Y51" s="273">
        <f t="shared" si="1"/>
        <v>0</v>
      </c>
      <c r="Z51" s="299"/>
    </row>
    <row r="52" spans="1:28" s="253" customFormat="1" ht="10.35" customHeight="1" x14ac:dyDescent="0.2">
      <c r="A52" s="705" t="s">
        <v>604</v>
      </c>
      <c r="C52" s="273">
        <f>+BSGFws!C43</f>
        <v>0</v>
      </c>
      <c r="D52" s="342"/>
      <c r="E52" s="273">
        <f>+BSGFws!D43</f>
        <v>100</v>
      </c>
      <c r="F52" s="342"/>
      <c r="G52" s="273">
        <f>+BSGFws!E43</f>
        <v>20802</v>
      </c>
      <c r="H52" s="342"/>
      <c r="I52" s="273">
        <f>BSGFws!F43</f>
        <v>44168</v>
      </c>
      <c r="J52" s="342"/>
      <c r="K52" s="273"/>
      <c r="L52" s="273"/>
      <c r="M52" s="273">
        <f>BSGFws!BQ43</f>
        <v>0</v>
      </c>
      <c r="N52" s="342"/>
      <c r="O52" s="273"/>
      <c r="P52" s="273"/>
      <c r="Q52" s="273"/>
      <c r="R52" s="273"/>
      <c r="S52" s="273">
        <f>BSGFws!AE43</f>
        <v>0</v>
      </c>
      <c r="T52" s="273"/>
      <c r="U52" s="273"/>
      <c r="V52" s="342"/>
      <c r="W52" s="273">
        <f>+'Nonmajor BS'!H51</f>
        <v>18070</v>
      </c>
      <c r="X52" s="342"/>
      <c r="Y52" s="273">
        <f t="shared" si="1"/>
        <v>83140</v>
      </c>
      <c r="Z52" s="299"/>
    </row>
    <row r="53" spans="1:28" s="253" customFormat="1" ht="10.35" customHeight="1" x14ac:dyDescent="0.2">
      <c r="A53" s="705" t="s">
        <v>593</v>
      </c>
      <c r="C53" s="273">
        <f>+BSGFws!C44</f>
        <v>0</v>
      </c>
      <c r="D53" s="342"/>
      <c r="E53" s="273">
        <f>+BSGFws!D44</f>
        <v>0</v>
      </c>
      <c r="F53" s="342"/>
      <c r="G53" s="273">
        <f>+BSGFws!E44</f>
        <v>0</v>
      </c>
      <c r="H53" s="342"/>
      <c r="I53" s="273">
        <f>BSGFws!F44</f>
        <v>11</v>
      </c>
      <c r="J53" s="342"/>
      <c r="K53" s="273"/>
      <c r="L53" s="273"/>
      <c r="M53" s="273">
        <f>BSGFws!BQ44</f>
        <v>0</v>
      </c>
      <c r="N53" s="342"/>
      <c r="O53" s="273"/>
      <c r="P53" s="273"/>
      <c r="Q53" s="273"/>
      <c r="R53" s="273"/>
      <c r="S53" s="273"/>
      <c r="T53" s="273"/>
      <c r="U53" s="273"/>
      <c r="V53" s="342"/>
      <c r="W53" s="273">
        <f>+'Nonmajor BS'!H52</f>
        <v>0</v>
      </c>
      <c r="X53" s="342"/>
      <c r="Y53" s="273">
        <f t="shared" si="1"/>
        <v>11</v>
      </c>
      <c r="Z53" s="299"/>
    </row>
    <row r="54" spans="1:28" s="253" customFormat="1" ht="3" customHeight="1" x14ac:dyDescent="0.2">
      <c r="A54" s="349"/>
      <c r="B54" s="352"/>
      <c r="C54" s="366"/>
      <c r="D54" s="301"/>
      <c r="E54" s="366"/>
      <c r="F54" s="301"/>
      <c r="G54" s="340"/>
      <c r="H54" s="301"/>
      <c r="I54" s="340"/>
      <c r="J54" s="301"/>
      <c r="K54" s="340"/>
      <c r="L54" s="273"/>
      <c r="M54" s="340"/>
      <c r="N54" s="301"/>
      <c r="O54" s="340"/>
      <c r="P54" s="273"/>
      <c r="Q54" s="340"/>
      <c r="R54" s="273"/>
      <c r="S54" s="340"/>
      <c r="T54" s="273"/>
      <c r="U54" s="340"/>
      <c r="V54" s="301"/>
      <c r="W54" s="366"/>
      <c r="X54" s="301"/>
      <c r="Y54" s="366"/>
      <c r="Z54" s="299"/>
    </row>
    <row r="55" spans="1:28" s="253" customFormat="1" ht="11.1" customHeight="1" x14ac:dyDescent="0.2">
      <c r="A55" s="707" t="s">
        <v>702</v>
      </c>
      <c r="C55" s="345">
        <f>SUM(C37:C54)</f>
        <v>91207</v>
      </c>
      <c r="D55" s="301"/>
      <c r="E55" s="341">
        <f>SUM(E37:E54)</f>
        <v>675</v>
      </c>
      <c r="F55" s="301"/>
      <c r="G55" s="341">
        <f>SUM(G37:G54)</f>
        <v>29088</v>
      </c>
      <c r="H55" s="301"/>
      <c r="I55" s="345">
        <f>SUM(I37:I54)</f>
        <v>64207</v>
      </c>
      <c r="J55" s="301"/>
      <c r="K55" s="345">
        <f>SUM(K37:K54)</f>
        <v>0</v>
      </c>
      <c r="L55" s="254"/>
      <c r="M55" s="345">
        <f>SUM(M37:M54)</f>
        <v>0</v>
      </c>
      <c r="N55" s="301"/>
      <c r="O55" s="345">
        <f>SUM(O37:O54)</f>
        <v>0</v>
      </c>
      <c r="P55" s="345"/>
      <c r="Q55" s="345">
        <f>SUM(Q37:Q54)</f>
        <v>0</v>
      </c>
      <c r="R55" s="254"/>
      <c r="S55" s="341">
        <f>SUM(S37:S54)</f>
        <v>0</v>
      </c>
      <c r="T55" s="254"/>
      <c r="U55" s="345">
        <f>SUM(U37:U54)</f>
        <v>0</v>
      </c>
      <c r="V55" s="301"/>
      <c r="W55" s="345">
        <f>SUM(W37:W54)</f>
        <v>168600</v>
      </c>
      <c r="X55" s="301"/>
      <c r="Y55" s="345">
        <f>SUM(Y37:Y54)</f>
        <v>353777</v>
      </c>
      <c r="Z55" s="348"/>
    </row>
    <row r="56" spans="1:28" s="253" customFormat="1" ht="3" customHeight="1" x14ac:dyDescent="0.2">
      <c r="A56" s="349"/>
      <c r="B56" s="365"/>
      <c r="C56" s="254"/>
      <c r="D56" s="301"/>
      <c r="E56" s="254"/>
      <c r="F56" s="301"/>
      <c r="G56" s="273"/>
      <c r="H56" s="301"/>
      <c r="I56" s="273"/>
      <c r="J56" s="301"/>
      <c r="K56" s="273"/>
      <c r="L56" s="273"/>
      <c r="M56" s="273"/>
      <c r="N56" s="301"/>
      <c r="O56" s="273"/>
      <c r="P56" s="273"/>
      <c r="Q56" s="273"/>
      <c r="R56" s="273"/>
      <c r="S56" s="273"/>
      <c r="T56" s="273"/>
      <c r="U56" s="273"/>
      <c r="V56" s="301"/>
      <c r="W56" s="254"/>
      <c r="X56" s="301"/>
      <c r="Y56" s="254"/>
      <c r="Z56" s="299"/>
    </row>
    <row r="57" spans="1:28" s="253" customFormat="1" ht="9.75" hidden="1" customHeight="1" x14ac:dyDescent="0.2">
      <c r="B57" s="363"/>
      <c r="C57" s="254"/>
      <c r="D57" s="301"/>
      <c r="E57" s="254"/>
      <c r="F57" s="301"/>
      <c r="G57" s="273"/>
      <c r="H57" s="301"/>
      <c r="I57" s="273"/>
      <c r="J57" s="301"/>
      <c r="K57" s="273"/>
      <c r="L57" s="273"/>
      <c r="M57" s="273"/>
      <c r="N57" s="301"/>
      <c r="O57" s="273"/>
      <c r="P57" s="273"/>
      <c r="Q57" s="273"/>
      <c r="R57" s="273"/>
      <c r="S57" s="273"/>
      <c r="T57" s="273"/>
      <c r="U57" s="273"/>
      <c r="V57" s="301"/>
      <c r="W57" s="254"/>
      <c r="X57" s="301"/>
      <c r="Y57" s="254"/>
      <c r="Z57" s="299"/>
      <c r="AB57" s="438"/>
    </row>
    <row r="58" spans="1:28" s="253" customFormat="1" ht="9.75" customHeight="1" x14ac:dyDescent="0.2">
      <c r="A58" s="707" t="s">
        <v>1206</v>
      </c>
      <c r="B58" s="363"/>
      <c r="C58" s="254">
        <f>BSGFws!C47</f>
        <v>100716</v>
      </c>
      <c r="D58" s="301"/>
      <c r="E58" s="254">
        <f>BSGFws!D47</f>
        <v>15108</v>
      </c>
      <c r="F58" s="301"/>
      <c r="G58" s="273">
        <f>BSGFws!E47</f>
        <v>18699</v>
      </c>
      <c r="H58" s="301"/>
      <c r="I58" s="273">
        <f>BSGFws!F47</f>
        <v>33501</v>
      </c>
      <c r="J58" s="301"/>
      <c r="K58" s="273"/>
      <c r="L58" s="273"/>
      <c r="M58" s="273">
        <f>BSGFws!R47</f>
        <v>0</v>
      </c>
      <c r="N58" s="273"/>
      <c r="O58" s="273">
        <f>BSGFws!BR47</f>
        <v>0</v>
      </c>
      <c r="P58" s="273"/>
      <c r="Q58" s="273">
        <f>BSGFws!BD47</f>
        <v>0</v>
      </c>
      <c r="R58" s="273"/>
      <c r="S58" s="273">
        <f>BSGFws!AE47</f>
        <v>3025</v>
      </c>
      <c r="T58" s="273"/>
      <c r="U58" s="273"/>
      <c r="V58" s="273"/>
      <c r="W58" s="273">
        <f>'Nonmajor BS'!H56</f>
        <v>129778</v>
      </c>
      <c r="X58" s="301"/>
      <c r="Y58" s="273">
        <f>SUM(C58:W58)</f>
        <v>300827</v>
      </c>
      <c r="Z58" s="299"/>
      <c r="AB58" s="438"/>
    </row>
    <row r="59" spans="1:28" s="253" customFormat="1" ht="3" customHeight="1" x14ac:dyDescent="0.2">
      <c r="A59" s="349"/>
      <c r="B59" s="365"/>
      <c r="C59" s="366"/>
      <c r="D59" s="301"/>
      <c r="E59" s="366"/>
      <c r="F59" s="301"/>
      <c r="G59" s="366"/>
      <c r="H59" s="301"/>
      <c r="I59" s="366"/>
      <c r="J59" s="301"/>
      <c r="K59" s="366"/>
      <c r="L59" s="301"/>
      <c r="M59" s="366"/>
      <c r="N59" s="301"/>
      <c r="O59" s="366"/>
      <c r="P59" s="301"/>
      <c r="Q59" s="366"/>
      <c r="R59" s="301"/>
      <c r="S59" s="366"/>
      <c r="T59" s="301"/>
      <c r="U59" s="366"/>
      <c r="V59" s="301"/>
      <c r="W59" s="366"/>
      <c r="X59" s="301"/>
      <c r="Y59" s="366"/>
      <c r="Z59" s="299"/>
    </row>
    <row r="60" spans="1:28" s="253" customFormat="1" ht="9" hidden="1" customHeight="1" x14ac:dyDescent="0.2">
      <c r="B60" s="363"/>
      <c r="C60" s="254"/>
      <c r="D60" s="301"/>
      <c r="E60" s="254"/>
      <c r="F60" s="301"/>
      <c r="G60" s="273"/>
      <c r="H60" s="301"/>
      <c r="I60" s="273"/>
      <c r="J60" s="301"/>
      <c r="K60" s="273"/>
      <c r="L60" s="273"/>
      <c r="M60" s="273"/>
      <c r="N60" s="301"/>
      <c r="O60" s="273"/>
      <c r="P60" s="273"/>
      <c r="Q60" s="273"/>
      <c r="R60" s="273"/>
      <c r="S60" s="273"/>
      <c r="T60" s="273"/>
      <c r="U60" s="273"/>
      <c r="V60" s="301"/>
      <c r="W60" s="254"/>
      <c r="X60" s="301"/>
      <c r="Y60" s="254"/>
      <c r="Z60" s="299"/>
      <c r="AB60" s="438"/>
    </row>
    <row r="61" spans="1:28" s="253" customFormat="1" ht="9.9499999999999993" customHeight="1" x14ac:dyDescent="0.2">
      <c r="A61" s="707" t="s">
        <v>849</v>
      </c>
      <c r="C61" s="254"/>
      <c r="D61" s="301"/>
      <c r="E61" s="254"/>
      <c r="F61" s="301"/>
      <c r="G61" s="273"/>
      <c r="H61" s="301"/>
      <c r="I61" s="273"/>
      <c r="J61" s="301"/>
      <c r="K61" s="273"/>
      <c r="L61" s="273"/>
      <c r="M61" s="273"/>
      <c r="N61" s="301"/>
      <c r="O61" s="273"/>
      <c r="P61" s="273"/>
      <c r="Q61" s="273"/>
      <c r="R61" s="273"/>
      <c r="S61" s="273"/>
      <c r="T61" s="273"/>
      <c r="U61" s="273"/>
      <c r="V61" s="301"/>
      <c r="W61" s="254"/>
      <c r="X61" s="301"/>
      <c r="Y61" s="254"/>
      <c r="Z61" s="299"/>
    </row>
    <row r="62" spans="1:28" s="253" customFormat="1" ht="9.9499999999999993" customHeight="1" x14ac:dyDescent="0.2">
      <c r="A62" s="776" t="s">
        <v>392</v>
      </c>
      <c r="B62" s="352"/>
      <c r="C62" s="273">
        <f>BSGFws!C50</f>
        <v>11771</v>
      </c>
      <c r="D62" s="342"/>
      <c r="E62" s="273">
        <f>+BSGFws!D50</f>
        <v>0</v>
      </c>
      <c r="F62" s="342"/>
      <c r="G62" s="273">
        <f>+BSGFws!E50</f>
        <v>5534</v>
      </c>
      <c r="H62" s="342"/>
      <c r="I62" s="273">
        <f>BSGFws!F50</f>
        <v>864</v>
      </c>
      <c r="J62" s="342"/>
      <c r="K62" s="273"/>
      <c r="L62" s="273"/>
      <c r="M62" s="273"/>
      <c r="N62" s="342"/>
      <c r="O62" s="273"/>
      <c r="P62" s="273"/>
      <c r="Q62" s="273"/>
      <c r="R62" s="273"/>
      <c r="S62" s="273"/>
      <c r="T62" s="273"/>
      <c r="U62" s="273"/>
      <c r="V62" s="342"/>
      <c r="W62" s="273">
        <f>+'Nonmajor BS'!H59</f>
        <v>13191</v>
      </c>
      <c r="X62" s="301"/>
      <c r="Y62" s="273">
        <f>SUM(C62:W62)</f>
        <v>31360</v>
      </c>
      <c r="Z62" s="397"/>
      <c r="AA62" s="273"/>
    </row>
    <row r="63" spans="1:28" s="253" customFormat="1" ht="9.9499999999999993" customHeight="1" x14ac:dyDescent="0.2">
      <c r="A63" s="776" t="s">
        <v>789</v>
      </c>
      <c r="B63" s="352"/>
      <c r="C63" s="273">
        <f>BSGFws!C51</f>
        <v>0</v>
      </c>
      <c r="D63" s="342"/>
      <c r="E63" s="273">
        <f>+BSGFws!D51</f>
        <v>43932</v>
      </c>
      <c r="F63" s="342"/>
      <c r="G63" s="273">
        <f>+BSGFws!E51</f>
        <v>0</v>
      </c>
      <c r="H63" s="342"/>
      <c r="I63" s="273"/>
      <c r="J63" s="342"/>
      <c r="K63" s="273"/>
      <c r="L63" s="273"/>
      <c r="M63" s="273"/>
      <c r="N63" s="342"/>
      <c r="O63" s="273"/>
      <c r="P63" s="273"/>
      <c r="Q63" s="273"/>
      <c r="R63" s="273"/>
      <c r="S63" s="273">
        <f>BSGFws!AE51</f>
        <v>375891</v>
      </c>
      <c r="T63" s="273"/>
      <c r="U63" s="273"/>
      <c r="V63" s="342"/>
      <c r="W63" s="273">
        <f>+'Nonmajor BS'!H60</f>
        <v>807587</v>
      </c>
      <c r="X63" s="342"/>
      <c r="Y63" s="273">
        <f>SUM(C63:W63)</f>
        <v>1227410</v>
      </c>
      <c r="Z63" s="397"/>
      <c r="AA63" s="273"/>
    </row>
    <row r="64" spans="1:28" s="253" customFormat="1" ht="9.9499999999999993" customHeight="1" x14ac:dyDescent="0.2">
      <c r="A64" s="776" t="s">
        <v>393</v>
      </c>
      <c r="B64" s="352"/>
      <c r="C64" s="273">
        <f>BSGFws!C52</f>
        <v>202506</v>
      </c>
      <c r="D64" s="342"/>
      <c r="E64" s="273">
        <f>+BSGFws!D52</f>
        <v>0</v>
      </c>
      <c r="F64" s="342"/>
      <c r="G64" s="273">
        <f>+BSGFws!E52</f>
        <v>111181</v>
      </c>
      <c r="H64" s="342"/>
      <c r="I64" s="273"/>
      <c r="J64" s="342"/>
      <c r="K64" s="273">
        <f>BSGFws!I52</f>
        <v>0</v>
      </c>
      <c r="L64" s="273"/>
      <c r="M64" s="273"/>
      <c r="N64" s="342"/>
      <c r="O64" s="273"/>
      <c r="P64" s="273"/>
      <c r="Q64" s="273"/>
      <c r="R64" s="273"/>
      <c r="S64" s="273"/>
      <c r="T64" s="273"/>
      <c r="U64" s="273"/>
      <c r="V64" s="342"/>
      <c r="W64" s="273">
        <f>+'Nonmajor BS'!H61</f>
        <v>212323</v>
      </c>
      <c r="X64" s="342"/>
      <c r="Y64" s="273">
        <f>SUM(C64:W64)</f>
        <v>526010</v>
      </c>
      <c r="Z64" s="397"/>
      <c r="AA64" s="273"/>
    </row>
    <row r="65" spans="1:27" s="253" customFormat="1" ht="11.25" customHeight="1" x14ac:dyDescent="0.2">
      <c r="A65" s="776" t="s">
        <v>394</v>
      </c>
      <c r="B65" s="352"/>
      <c r="C65" s="273">
        <f>BSGFws!C53</f>
        <v>4</v>
      </c>
      <c r="D65" s="342"/>
      <c r="E65" s="273">
        <f>+BSGFws!D53</f>
        <v>0</v>
      </c>
      <c r="F65" s="342"/>
      <c r="G65" s="273">
        <f>+BSGFws!E53</f>
        <v>0</v>
      </c>
      <c r="H65" s="342"/>
      <c r="I65" s="273"/>
      <c r="J65" s="342"/>
      <c r="K65" s="273">
        <f>BSGFws!I53</f>
        <v>0</v>
      </c>
      <c r="L65" s="273"/>
      <c r="M65" s="273">
        <f>BSGFws!BQ52</f>
        <v>0</v>
      </c>
      <c r="N65" s="342"/>
      <c r="O65" s="273"/>
      <c r="P65" s="273"/>
      <c r="Q65" s="273"/>
      <c r="R65" s="273"/>
      <c r="S65" s="273"/>
      <c r="T65" s="273"/>
      <c r="U65" s="273"/>
      <c r="V65" s="342"/>
      <c r="W65" s="273">
        <f>+'Nonmajor BS'!H62</f>
        <v>14891</v>
      </c>
      <c r="X65" s="342"/>
      <c r="Y65" s="273">
        <f>SUM(C65:W65)</f>
        <v>14895</v>
      </c>
      <c r="Z65" s="397"/>
      <c r="AA65" s="273"/>
    </row>
    <row r="66" spans="1:27" s="253" customFormat="1" ht="11.25" customHeight="1" x14ac:dyDescent="0.2">
      <c r="A66" s="776" t="s">
        <v>395</v>
      </c>
      <c r="B66" s="352"/>
      <c r="C66" s="273">
        <f>BSGFws!C54</f>
        <v>369119</v>
      </c>
      <c r="D66" s="342"/>
      <c r="E66" s="273">
        <f>+BSGFws!D54</f>
        <v>0</v>
      </c>
      <c r="F66" s="342"/>
      <c r="G66" s="273">
        <f>+BSGFws!E54</f>
        <v>-23342</v>
      </c>
      <c r="H66" s="342"/>
      <c r="I66" s="273">
        <f>BSGFws!F54</f>
        <v>-34365</v>
      </c>
      <c r="J66" s="342"/>
      <c r="K66" s="273"/>
      <c r="L66" s="273"/>
      <c r="M66" s="273">
        <f>BSGFws!BQ53</f>
        <v>0</v>
      </c>
      <c r="N66" s="342"/>
      <c r="O66" s="273"/>
      <c r="P66" s="273"/>
      <c r="Q66" s="273"/>
      <c r="R66" s="273"/>
      <c r="S66" s="273"/>
      <c r="T66" s="273"/>
      <c r="U66" s="273"/>
      <c r="V66" s="342"/>
      <c r="W66" s="273">
        <f>+'Nonmajor BS'!H63</f>
        <v>-21901</v>
      </c>
      <c r="X66" s="342"/>
      <c r="Y66" s="273">
        <f>SUM(C66:W66)</f>
        <v>289511</v>
      </c>
      <c r="Z66" s="397"/>
      <c r="AA66" s="273"/>
    </row>
    <row r="67" spans="1:27" s="253" customFormat="1" ht="3" customHeight="1" x14ac:dyDescent="0.2">
      <c r="A67" s="349"/>
      <c r="B67" s="352"/>
      <c r="C67" s="340"/>
      <c r="D67" s="342"/>
      <c r="E67" s="340"/>
      <c r="F67" s="342"/>
      <c r="G67" s="340"/>
      <c r="H67" s="342"/>
      <c r="I67" s="340"/>
      <c r="J67" s="342"/>
      <c r="K67" s="340"/>
      <c r="L67" s="273"/>
      <c r="M67" s="340"/>
      <c r="N67" s="342"/>
      <c r="O67" s="340"/>
      <c r="P67" s="273"/>
      <c r="Q67" s="340"/>
      <c r="R67" s="273"/>
      <c r="S67" s="340"/>
      <c r="T67" s="273"/>
      <c r="U67" s="340"/>
      <c r="V67" s="342"/>
      <c r="W67" s="340"/>
      <c r="X67" s="342"/>
      <c r="Y67" s="340"/>
      <c r="Z67" s="299"/>
    </row>
    <row r="68" spans="1:27" s="253" customFormat="1" ht="11.1" customHeight="1" x14ac:dyDescent="0.2">
      <c r="A68" s="707" t="s">
        <v>855</v>
      </c>
      <c r="C68" s="341">
        <f>SUM(C62:C66)</f>
        <v>583400</v>
      </c>
      <c r="D68" s="342"/>
      <c r="E68" s="341">
        <f>SUM(E62:E66)</f>
        <v>43932</v>
      </c>
      <c r="F68" s="342"/>
      <c r="G68" s="341">
        <f>SUM(G62:G66)</f>
        <v>93373</v>
      </c>
      <c r="H68" s="342"/>
      <c r="I68" s="341">
        <f>SUM(I62:I66)</f>
        <v>-33501</v>
      </c>
      <c r="J68" s="342"/>
      <c r="K68" s="341">
        <f>SUM(K62:K66)</f>
        <v>0</v>
      </c>
      <c r="L68" s="342"/>
      <c r="M68" s="341">
        <f>SUM(M62:M66)</f>
        <v>0</v>
      </c>
      <c r="N68" s="342"/>
      <c r="O68" s="341">
        <f>SUM(O62:O66)</f>
        <v>0</v>
      </c>
      <c r="P68" s="273"/>
      <c r="Q68" s="341">
        <f>SUM(Q62:Q66)</f>
        <v>0</v>
      </c>
      <c r="R68" s="273"/>
      <c r="S68" s="341">
        <f>SUM(S62:S66)</f>
        <v>375891</v>
      </c>
      <c r="T68" s="273"/>
      <c r="U68" s="341">
        <f>SUM(U62:U66)</f>
        <v>0</v>
      </c>
      <c r="V68" s="342"/>
      <c r="W68" s="341">
        <f>SUM(W62:W66)</f>
        <v>1026091</v>
      </c>
      <c r="X68" s="342"/>
      <c r="Y68" s="341">
        <f>SUM(Y62:Y66)</f>
        <v>2089186</v>
      </c>
      <c r="Z68" s="342"/>
    </row>
    <row r="69" spans="1:27" s="253" customFormat="1" ht="2.25" customHeight="1" x14ac:dyDescent="0.2">
      <c r="B69" s="352"/>
      <c r="C69" s="366"/>
      <c r="D69" s="342"/>
      <c r="E69" s="366"/>
      <c r="F69" s="301"/>
      <c r="G69" s="366"/>
      <c r="H69" s="301"/>
      <c r="I69" s="366"/>
      <c r="J69" s="301"/>
      <c r="K69" s="340"/>
      <c r="L69" s="273"/>
      <c r="M69" s="366"/>
      <c r="N69" s="301"/>
      <c r="O69" s="366"/>
      <c r="P69" s="273"/>
      <c r="Q69" s="366"/>
      <c r="R69" s="273"/>
      <c r="S69" s="366"/>
      <c r="T69" s="273"/>
      <c r="U69" s="366"/>
      <c r="V69" s="301"/>
      <c r="W69" s="366"/>
      <c r="X69" s="301"/>
      <c r="Y69" s="366"/>
      <c r="Z69" s="299"/>
    </row>
    <row r="70" spans="1:27" s="253" customFormat="1" ht="24.75" thickBot="1" x14ac:dyDescent="0.25">
      <c r="A70" s="1241" t="s">
        <v>1330</v>
      </c>
      <c r="C70" s="1242">
        <f>C55+C68+C58</f>
        <v>775323</v>
      </c>
      <c r="D70" s="342"/>
      <c r="E70" s="1242">
        <f>E55+E68+E58</f>
        <v>59715</v>
      </c>
      <c r="F70" s="342"/>
      <c r="G70" s="1242">
        <f>G55+G68+G58</f>
        <v>141160</v>
      </c>
      <c r="H70" s="342"/>
      <c r="I70" s="1242">
        <f>I55+I68+I58</f>
        <v>64207</v>
      </c>
      <c r="J70" s="342"/>
      <c r="K70" s="344">
        <f>K55+K68+K58</f>
        <v>0</v>
      </c>
      <c r="L70" s="342"/>
      <c r="M70" s="1242">
        <f>M55+M68+M58</f>
        <v>0</v>
      </c>
      <c r="N70" s="342"/>
      <c r="O70" s="344">
        <f>O55+O68+O58</f>
        <v>0</v>
      </c>
      <c r="P70" s="342"/>
      <c r="Q70" s="1242">
        <f>Q55+Q68+Q58</f>
        <v>0</v>
      </c>
      <c r="R70" s="342"/>
      <c r="S70" s="1242">
        <f>S55+S68+S58</f>
        <v>378916</v>
      </c>
      <c r="T70" s="342"/>
      <c r="U70" s="344">
        <f>U55+U68+U58</f>
        <v>0</v>
      </c>
      <c r="V70" s="342"/>
      <c r="W70" s="1242">
        <f>W55+W68+W58</f>
        <v>1324469</v>
      </c>
      <c r="X70" s="301"/>
      <c r="Y70" s="1242">
        <f>Y55+Y68+Y58</f>
        <v>2743790</v>
      </c>
      <c r="Z70" s="299"/>
    </row>
    <row r="71" spans="1:27" s="253" customFormat="1" ht="2.1" customHeight="1" thickTop="1" x14ac:dyDescent="0.2">
      <c r="B71" s="367"/>
      <c r="C71" s="254"/>
      <c r="D71" s="342"/>
      <c r="E71" s="339"/>
      <c r="F71" s="362"/>
      <c r="G71" s="339"/>
      <c r="H71" s="362"/>
      <c r="I71" s="339"/>
      <c r="J71" s="362"/>
      <c r="K71" s="339"/>
      <c r="L71" s="339"/>
      <c r="M71" s="339"/>
      <c r="N71" s="362"/>
      <c r="O71" s="339"/>
      <c r="P71" s="339"/>
      <c r="Q71" s="339"/>
      <c r="R71" s="339"/>
      <c r="S71" s="339"/>
      <c r="T71" s="339"/>
      <c r="U71" s="339"/>
      <c r="V71" s="362"/>
      <c r="W71" s="339"/>
      <c r="X71" s="362"/>
      <c r="Y71" s="339"/>
      <c r="Z71" s="299"/>
    </row>
    <row r="72" spans="1:27" s="253" customFormat="1" ht="9.9499999999999993" customHeight="1" x14ac:dyDescent="0.2">
      <c r="D72" s="362"/>
      <c r="F72" s="362"/>
      <c r="H72" s="362"/>
      <c r="J72" s="362"/>
      <c r="N72" s="362"/>
      <c r="V72" s="362"/>
      <c r="X72" s="362"/>
      <c r="Z72" s="299"/>
    </row>
    <row r="73" spans="1:27" s="381" customFormat="1" ht="9.9499999999999993" customHeight="1" x14ac:dyDescent="0.2">
      <c r="B73" s="382"/>
      <c r="C73" s="381">
        <f>C32-C70</f>
        <v>0</v>
      </c>
      <c r="D73" s="517"/>
      <c r="E73" s="381">
        <f>E32-E70</f>
        <v>0</v>
      </c>
      <c r="F73" s="517"/>
      <c r="G73" s="381">
        <f>G32-G70</f>
        <v>0</v>
      </c>
      <c r="H73" s="517"/>
      <c r="I73" s="381">
        <f>I32-I70</f>
        <v>0</v>
      </c>
      <c r="J73" s="517"/>
      <c r="K73" s="381">
        <f>K32-K70</f>
        <v>0</v>
      </c>
      <c r="M73" s="381">
        <f>M32-M70</f>
        <v>0</v>
      </c>
      <c r="N73" s="517"/>
      <c r="O73" s="381">
        <f>O32-O70</f>
        <v>0</v>
      </c>
      <c r="Q73" s="381">
        <f>Q32-Q70</f>
        <v>0</v>
      </c>
      <c r="S73" s="381">
        <f>S32-S70</f>
        <v>0</v>
      </c>
      <c r="U73" s="381">
        <f>U32-U70</f>
        <v>0</v>
      </c>
      <c r="V73" s="517"/>
      <c r="W73" s="381">
        <f>W32-W70</f>
        <v>0</v>
      </c>
      <c r="X73" s="517"/>
      <c r="Y73" s="381">
        <f>Y32-Y70</f>
        <v>0</v>
      </c>
    </row>
    <row r="74" spans="1:27" s="253" customFormat="1" ht="9.9499999999999993" customHeight="1" x14ac:dyDescent="0.2">
      <c r="D74" s="362"/>
      <c r="F74" s="362"/>
      <c r="H74" s="362"/>
      <c r="J74" s="362"/>
      <c r="N74" s="362"/>
      <c r="V74" s="362"/>
      <c r="X74" s="362"/>
      <c r="Z74" s="299"/>
    </row>
    <row r="75" spans="1:27" s="253" customFormat="1" ht="9.9499999999999993" customHeight="1" x14ac:dyDescent="0.2">
      <c r="C75" s="273"/>
      <c r="D75" s="362"/>
      <c r="F75" s="362"/>
      <c r="H75" s="362"/>
      <c r="J75" s="362"/>
      <c r="N75" s="362"/>
      <c r="V75" s="362"/>
      <c r="X75" s="362"/>
      <c r="Z75" s="299"/>
    </row>
    <row r="76" spans="1:27" s="381" customFormat="1" ht="9.9499999999999993" customHeight="1" x14ac:dyDescent="0.2">
      <c r="C76" s="381">
        <f>+C15+C17+C25+C26+C27-C62</f>
        <v>0</v>
      </c>
      <c r="E76" s="381">
        <f>+E15+E17+E25+E26+E27-E62</f>
        <v>0</v>
      </c>
      <c r="G76" s="381">
        <f>+G15+G17+G25+G26+G27-G62</f>
        <v>0</v>
      </c>
      <c r="M76" s="381">
        <f>+M15+M17+M25+M26+M27-M62</f>
        <v>0</v>
      </c>
      <c r="O76" s="381">
        <f>+O15+O17+O25+O26+O27-O62</f>
        <v>0</v>
      </c>
      <c r="Q76" s="381">
        <f>+Q15+Q17+Q25+Q26+Q27-Q62</f>
        <v>0</v>
      </c>
      <c r="S76" s="381">
        <f>+S15+S17+S25+S26+S27-S62</f>
        <v>0</v>
      </c>
      <c r="W76" s="381">
        <f>+W15+W17+W25+W26+W27-W62+'Nonmajor BS'!F59</f>
        <v>0</v>
      </c>
      <c r="Y76" s="1260"/>
    </row>
    <row r="77" spans="1:27" s="253" customFormat="1" ht="9.9499999999999993" customHeight="1" x14ac:dyDescent="0.2">
      <c r="D77" s="362"/>
      <c r="F77" s="362"/>
      <c r="H77" s="362"/>
      <c r="J77" s="362"/>
      <c r="N77" s="362"/>
      <c r="V77" s="362"/>
      <c r="X77" s="362"/>
      <c r="Z77" s="299"/>
    </row>
    <row r="78" spans="1:27" s="253" customFormat="1" ht="9.9499999999999993" customHeight="1" x14ac:dyDescent="0.2">
      <c r="D78" s="362"/>
      <c r="F78" s="362"/>
      <c r="H78" s="362"/>
      <c r="J78" s="362"/>
      <c r="N78" s="362"/>
      <c r="V78" s="362"/>
      <c r="X78" s="362"/>
      <c r="Z78" s="299"/>
    </row>
    <row r="79" spans="1:27" s="253" customFormat="1" ht="9.9499999999999993" customHeight="1" x14ac:dyDescent="0.2">
      <c r="D79" s="362"/>
      <c r="F79" s="362"/>
      <c r="H79" s="362"/>
      <c r="J79" s="362"/>
      <c r="N79" s="362"/>
      <c r="V79" s="362"/>
      <c r="X79" s="362"/>
      <c r="Z79" s="299"/>
    </row>
    <row r="80" spans="1:27" s="253" customFormat="1" ht="9.9499999999999993" customHeight="1" x14ac:dyDescent="0.2">
      <c r="D80" s="362"/>
      <c r="F80" s="362"/>
      <c r="H80" s="362"/>
      <c r="J80" s="362"/>
      <c r="N80" s="362"/>
      <c r="V80" s="362"/>
      <c r="X80" s="362"/>
      <c r="Z80" s="299"/>
    </row>
    <row r="81" spans="4:26" s="253" customFormat="1" ht="9.9499999999999993" customHeight="1" x14ac:dyDescent="0.2">
      <c r="D81" s="362"/>
      <c r="F81" s="362"/>
      <c r="H81" s="362"/>
      <c r="J81" s="362"/>
      <c r="N81" s="362"/>
      <c r="V81" s="362"/>
      <c r="X81" s="362"/>
      <c r="Z81" s="299"/>
    </row>
    <row r="82" spans="4:26" s="253" customFormat="1" ht="9.9499999999999993" customHeight="1" x14ac:dyDescent="0.2">
      <c r="D82" s="362"/>
      <c r="F82" s="362"/>
      <c r="H82" s="362"/>
      <c r="J82" s="362"/>
      <c r="N82" s="362"/>
      <c r="S82" s="533">
        <v>903019</v>
      </c>
      <c r="T82" s="533"/>
      <c r="U82" s="533"/>
      <c r="V82" s="534"/>
      <c r="W82" s="533">
        <v>1076522</v>
      </c>
      <c r="X82" s="362"/>
      <c r="Z82" s="299"/>
    </row>
    <row r="83" spans="4:26" s="253" customFormat="1" ht="9.9499999999999993" customHeight="1" x14ac:dyDescent="0.2">
      <c r="D83" s="362"/>
      <c r="F83" s="362"/>
      <c r="H83" s="362"/>
      <c r="J83" s="362"/>
      <c r="N83" s="362"/>
      <c r="S83" s="533">
        <v>90027</v>
      </c>
      <c r="T83" s="533"/>
      <c r="U83" s="533"/>
      <c r="V83" s="534"/>
      <c r="W83" s="533">
        <v>94226</v>
      </c>
      <c r="X83" s="362"/>
      <c r="Z83" s="299"/>
    </row>
    <row r="84" spans="4:26" ht="9.9499999999999993" customHeight="1" x14ac:dyDescent="0.2">
      <c r="S84" s="1374">
        <f>SUM(S82:S83)</f>
        <v>993046</v>
      </c>
      <c r="T84" s="268"/>
      <c r="U84" s="268"/>
      <c r="V84" s="1373"/>
      <c r="W84" s="1374">
        <f>SUM(W82:W83)</f>
        <v>1170748</v>
      </c>
      <c r="Y84" s="1375">
        <f>+W84+S84</f>
        <v>2163794</v>
      </c>
    </row>
    <row r="85" spans="4:26" ht="9.9499999999999993" customHeight="1" x14ac:dyDescent="0.2">
      <c r="S85" s="268"/>
      <c r="T85" s="268"/>
      <c r="U85" s="268"/>
      <c r="V85" s="1373"/>
      <c r="W85" s="268"/>
      <c r="Y85" s="247">
        <v>2102175</v>
      </c>
    </row>
    <row r="86" spans="4:26" ht="9.9499999999999993" customHeight="1" x14ac:dyDescent="0.2">
      <c r="Y86" s="1375">
        <f>+Y84-Y85</f>
        <v>61619</v>
      </c>
    </row>
    <row r="123" spans="11:11" s="247" customFormat="1" ht="9.9499999999999993" customHeight="1" x14ac:dyDescent="0.2">
      <c r="K123" s="247">
        <v>21</v>
      </c>
    </row>
  </sheetData>
  <mergeCells count="2">
    <mergeCell ref="A1:Y1"/>
    <mergeCell ref="C6:U6"/>
  </mergeCells>
  <phoneticPr fontId="9" type="noConversion"/>
  <printOptions horizontalCentered="1"/>
  <pageMargins left="0.5" right="0.5" top="0.5" bottom="0.625" header="0.5" footer="0.5"/>
  <pageSetup scale="69" orientation="portrait" r:id="rId1"/>
  <headerFooter alignWithMargins="0">
    <oddFooter>&amp;C&amp;"Calibri,Regular"&amp;9The accompanying notes are an integral part of these basic financial statements.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6" tint="0.39997558519241921"/>
    <pageSetUpPr fitToPage="1"/>
  </sheetPr>
  <dimension ref="A1:P143"/>
  <sheetViews>
    <sheetView view="pageBreakPreview" topLeftCell="A36" zoomScale="115" zoomScaleNormal="100" zoomScaleSheetLayoutView="115" workbookViewId="0">
      <selection activeCell="Z13" activeCellId="3" sqref="Z18 Z17 Z15 Z13"/>
    </sheetView>
  </sheetViews>
  <sheetFormatPr defaultColWidth="126" defaultRowHeight="9.9499999999999993" customHeight="1" x14ac:dyDescent="0.2"/>
  <cols>
    <col min="1" max="2" width="1.5703125" style="247" customWidth="1"/>
    <col min="3" max="3" width="67.7109375" style="247" customWidth="1"/>
    <col min="4" max="4" width="1.5703125" style="247" customWidth="1"/>
    <col min="5" max="5" width="11.85546875" style="247" customWidth="1"/>
    <col min="6" max="6" width="1.5703125" style="247" customWidth="1"/>
    <col min="7" max="7" width="12.42578125" style="265" customWidth="1"/>
    <col min="8" max="8" width="11.5703125" style="1030" customWidth="1"/>
    <col min="9" max="9" width="13.5703125" style="1023" customWidth="1"/>
    <col min="10" max="115" width="17.85546875" style="247" customWidth="1"/>
    <col min="116" max="16384" width="126" style="247"/>
  </cols>
  <sheetData>
    <row r="1" spans="1:16" s="462" customFormat="1" ht="16.5" customHeight="1" thickBot="1" x14ac:dyDescent="0.25">
      <c r="A1" s="1582" t="s">
        <v>1033</v>
      </c>
      <c r="B1" s="1582"/>
      <c r="C1" s="1582"/>
      <c r="D1" s="1582"/>
      <c r="E1" s="1582"/>
      <c r="F1" s="1582"/>
      <c r="G1" s="1582"/>
      <c r="H1" s="914"/>
      <c r="I1" s="1022"/>
      <c r="J1" s="519"/>
      <c r="K1" s="519"/>
      <c r="L1" s="519"/>
      <c r="M1" s="519"/>
      <c r="N1" s="519"/>
      <c r="O1" s="519"/>
    </row>
    <row r="2" spans="1:16" ht="15" customHeight="1" x14ac:dyDescent="0.2">
      <c r="A2" s="248" t="s">
        <v>1774</v>
      </c>
      <c r="B2" s="248"/>
      <c r="C2" s="310"/>
      <c r="D2" s="310"/>
      <c r="E2" s="310"/>
      <c r="F2" s="310"/>
      <c r="G2" s="310"/>
      <c r="H2" s="767"/>
      <c r="J2" s="310"/>
      <c r="K2" s="310"/>
      <c r="L2" s="310"/>
      <c r="M2" s="310"/>
      <c r="N2" s="310"/>
      <c r="O2" s="310"/>
    </row>
    <row r="3" spans="1:16" ht="12.95" customHeight="1" x14ac:dyDescent="0.2">
      <c r="A3" s="1584" t="s">
        <v>1724</v>
      </c>
      <c r="B3" s="1584"/>
      <c r="C3" s="1584"/>
      <c r="D3" s="432"/>
      <c r="E3" s="432"/>
      <c r="F3" s="432"/>
      <c r="G3" s="432"/>
      <c r="H3" s="768"/>
      <c r="J3" s="432"/>
      <c r="K3" s="432"/>
      <c r="L3" s="432"/>
      <c r="M3" s="432"/>
      <c r="N3" s="432"/>
      <c r="O3" s="432"/>
    </row>
    <row r="4" spans="1:16" ht="12" customHeight="1" x14ac:dyDescent="0.2">
      <c r="A4" s="247" t="s">
        <v>972</v>
      </c>
      <c r="G4" s="247"/>
      <c r="H4" s="769"/>
      <c r="J4" s="394"/>
      <c r="K4" s="394"/>
      <c r="L4" s="394"/>
      <c r="M4" s="394"/>
      <c r="N4" s="394"/>
      <c r="O4" s="394"/>
    </row>
    <row r="5" spans="1:16" ht="12.6" customHeight="1" x14ac:dyDescent="0.2">
      <c r="H5" s="1024" t="s">
        <v>0</v>
      </c>
    </row>
    <row r="6" spans="1:16" s="253" customFormat="1" ht="9.9499999999999993" hidden="1" customHeight="1" x14ac:dyDescent="0.2">
      <c r="B6" s="352"/>
      <c r="G6" s="502"/>
      <c r="H6" s="712"/>
      <c r="I6" s="1025"/>
    </row>
    <row r="7" spans="1:16" s="253" customFormat="1" ht="9.9499999999999993" hidden="1" customHeight="1" x14ac:dyDescent="0.2">
      <c r="A7" s="352"/>
      <c r="B7" s="352"/>
      <c r="G7" s="502"/>
      <c r="H7" s="381"/>
      <c r="I7" s="1025"/>
    </row>
    <row r="8" spans="1:16" s="253" customFormat="1" ht="9.9499999999999993" customHeight="1" x14ac:dyDescent="0.2">
      <c r="A8" s="284" t="s">
        <v>1</v>
      </c>
      <c r="B8" s="284"/>
      <c r="G8" s="339">
        <f>+'recon-SONPws'!B3</f>
        <v>2089186</v>
      </c>
      <c r="H8" s="381">
        <f>SUM('BSGF-major'!Y68)</f>
        <v>2089186</v>
      </c>
      <c r="I8" s="1025"/>
    </row>
    <row r="9" spans="1:16" s="253" customFormat="1" ht="9.9499999999999993" customHeight="1" x14ac:dyDescent="0.2">
      <c r="A9" s="284"/>
      <c r="B9" s="284"/>
      <c r="G9" s="339"/>
      <c r="H9" s="381"/>
      <c r="I9" s="1025"/>
    </row>
    <row r="10" spans="1:16" s="253" customFormat="1" ht="9.9499999999999993" customHeight="1" x14ac:dyDescent="0.2">
      <c r="A10" s="352" t="s">
        <v>1168</v>
      </c>
      <c r="B10" s="284"/>
      <c r="G10" s="339"/>
      <c r="H10" s="381"/>
      <c r="I10" s="1025"/>
    </row>
    <row r="11" spans="1:16" s="253" customFormat="1" ht="9.9499999999999993" customHeight="1" x14ac:dyDescent="0.2">
      <c r="G11" s="502"/>
      <c r="H11" s="381">
        <f>H8-G8</f>
        <v>0</v>
      </c>
      <c r="I11" s="1025"/>
    </row>
    <row r="12" spans="1:16" s="253" customFormat="1" ht="12" customHeight="1" x14ac:dyDescent="0.2">
      <c r="B12" s="1585" t="s">
        <v>6</v>
      </c>
      <c r="C12" s="1585"/>
      <c r="D12" s="503"/>
      <c r="G12" s="502"/>
      <c r="H12" s="381"/>
      <c r="I12" s="1025"/>
    </row>
    <row r="13" spans="1:16" s="253" customFormat="1" ht="12" x14ac:dyDescent="0.2">
      <c r="B13" s="1585"/>
      <c r="C13" s="1585"/>
      <c r="D13" s="503"/>
      <c r="G13" s="273"/>
      <c r="H13" s="381"/>
      <c r="I13" s="1025"/>
    </row>
    <row r="14" spans="1:16" s="253" customFormat="1" ht="9.9499999999999993" customHeight="1" x14ac:dyDescent="0.2">
      <c r="G14" s="502"/>
      <c r="H14" s="381"/>
      <c r="I14" s="1025"/>
      <c r="P14" s="253">
        <v>0</v>
      </c>
    </row>
    <row r="15" spans="1:16" s="253" customFormat="1" ht="9.9499999999999993" customHeight="1" x14ac:dyDescent="0.2">
      <c r="B15" s="353" t="s">
        <v>196</v>
      </c>
      <c r="D15" s="352"/>
      <c r="E15" s="339"/>
      <c r="F15" s="339"/>
      <c r="G15" s="502"/>
      <c r="H15" s="381"/>
      <c r="I15" s="1025"/>
    </row>
    <row r="16" spans="1:16" s="253" customFormat="1" ht="9.9499999999999993" customHeight="1" x14ac:dyDescent="0.2">
      <c r="B16" s="353"/>
      <c r="C16" s="253" t="s">
        <v>1757</v>
      </c>
      <c r="D16" s="352"/>
      <c r="E16" s="339"/>
      <c r="F16" s="339"/>
      <c r="G16" s="502"/>
      <c r="H16" s="381"/>
      <c r="I16" s="1025"/>
    </row>
    <row r="17" spans="2:9" s="253" customFormat="1" ht="10.7" customHeight="1" x14ac:dyDescent="0.2">
      <c r="C17" s="349" t="s">
        <v>197</v>
      </c>
      <c r="D17" s="352"/>
      <c r="E17" s="502">
        <f>+'recon-SONPws'!B6</f>
        <v>1452090</v>
      </c>
      <c r="F17" s="254"/>
      <c r="G17" s="502"/>
      <c r="H17" s="381"/>
      <c r="I17" s="1025"/>
    </row>
    <row r="18" spans="2:9" s="253" customFormat="1" ht="10.7" hidden="1" customHeight="1" x14ac:dyDescent="0.2">
      <c r="C18" s="349" t="s">
        <v>633</v>
      </c>
      <c r="D18" s="352"/>
      <c r="E18" s="502">
        <f>+'recon-SONPws'!B8</f>
        <v>0</v>
      </c>
      <c r="F18" s="254"/>
      <c r="G18" s="502"/>
      <c r="H18" s="381"/>
      <c r="I18" s="1025"/>
    </row>
    <row r="19" spans="2:9" s="253" customFormat="1" ht="10.7" customHeight="1" x14ac:dyDescent="0.2">
      <c r="C19" s="349" t="s">
        <v>7</v>
      </c>
      <c r="D19" s="352"/>
      <c r="E19" s="502">
        <f>+'recon-SONPws'!B9</f>
        <v>583775</v>
      </c>
      <c r="F19" s="254"/>
      <c r="G19" s="502"/>
      <c r="H19" s="381"/>
      <c r="I19" s="1025"/>
    </row>
    <row r="20" spans="2:9" s="253" customFormat="1" ht="10.7" customHeight="1" x14ac:dyDescent="0.2">
      <c r="C20" s="349" t="s">
        <v>576</v>
      </c>
      <c r="D20" s="352"/>
      <c r="E20" s="502">
        <f>+'recon-SONPws'!B10</f>
        <v>270747</v>
      </c>
      <c r="F20" s="254"/>
      <c r="G20" s="502"/>
      <c r="H20" s="381"/>
      <c r="I20" s="1025"/>
    </row>
    <row r="21" spans="2:9" s="253" customFormat="1" ht="10.7" customHeight="1" x14ac:dyDescent="0.2">
      <c r="C21" s="349" t="s">
        <v>577</v>
      </c>
      <c r="D21" s="352"/>
      <c r="E21" s="502">
        <f>+'recon-SONPws'!B11</f>
        <v>4091</v>
      </c>
      <c r="F21" s="254"/>
      <c r="G21" s="502"/>
      <c r="H21" s="381"/>
      <c r="I21" s="1025"/>
    </row>
    <row r="22" spans="2:9" s="253" customFormat="1" ht="10.7" customHeight="1" x14ac:dyDescent="0.2">
      <c r="C22" s="349" t="s">
        <v>994</v>
      </c>
      <c r="D22" s="352"/>
      <c r="E22" s="502">
        <f>+'recon-SONPws'!B12</f>
        <v>1678665</v>
      </c>
      <c r="F22" s="254"/>
      <c r="G22" s="502"/>
      <c r="H22" s="381"/>
      <c r="I22" s="1025"/>
    </row>
    <row r="23" spans="2:9" s="253" customFormat="1" ht="10.7" customHeight="1" x14ac:dyDescent="0.2">
      <c r="C23" s="349" t="s">
        <v>713</v>
      </c>
      <c r="D23" s="352"/>
      <c r="E23" s="502">
        <f>+'recon-SONPws'!B13</f>
        <v>1281005</v>
      </c>
      <c r="F23" s="254"/>
      <c r="G23" s="502"/>
      <c r="H23" s="381"/>
      <c r="I23" s="1025"/>
    </row>
    <row r="24" spans="2:9" s="253" customFormat="1" ht="10.7" customHeight="1" x14ac:dyDescent="0.2">
      <c r="C24" s="349" t="s">
        <v>447</v>
      </c>
      <c r="D24" s="352"/>
      <c r="E24" s="502">
        <f>+'recon-SONPws'!B14</f>
        <v>4392077</v>
      </c>
      <c r="F24" s="254"/>
      <c r="G24" s="502"/>
      <c r="H24" s="381"/>
      <c r="I24" s="1025"/>
    </row>
    <row r="25" spans="2:9" s="253" customFormat="1" ht="10.7" customHeight="1" x14ac:dyDescent="0.2">
      <c r="C25" s="349" t="s">
        <v>995</v>
      </c>
      <c r="D25" s="352"/>
      <c r="E25" s="502">
        <f>+'recon-SONPws'!B15</f>
        <v>511335</v>
      </c>
      <c r="F25" s="254"/>
      <c r="G25" s="502"/>
      <c r="H25" s="381"/>
      <c r="I25" s="1025"/>
    </row>
    <row r="26" spans="2:9" s="253" customFormat="1" ht="10.7" customHeight="1" x14ac:dyDescent="0.2">
      <c r="C26" s="349" t="s">
        <v>996</v>
      </c>
      <c r="D26" s="352"/>
      <c r="E26" s="502">
        <f>+'recon-SONPws'!B16</f>
        <v>-4432716</v>
      </c>
      <c r="F26" s="254"/>
      <c r="G26" s="502"/>
      <c r="H26" s="381"/>
      <c r="I26" s="1025"/>
    </row>
    <row r="27" spans="2:9" s="253" customFormat="1" ht="10.7" customHeight="1" x14ac:dyDescent="0.2">
      <c r="C27" s="352" t="s">
        <v>1758</v>
      </c>
      <c r="D27" s="352"/>
      <c r="E27" s="1020">
        <f>SUM(E17:E26)</f>
        <v>5741069</v>
      </c>
      <c r="F27" s="254"/>
      <c r="H27" s="381">
        <f>+SONP!C36+SONP!C37-reconSONP!E27-SONPPF!K74</f>
        <v>0</v>
      </c>
      <c r="I27" s="1025"/>
    </row>
    <row r="28" spans="2:9" s="253" customFormat="1" ht="10.7" customHeight="1" x14ac:dyDescent="0.2">
      <c r="B28" s="353"/>
      <c r="D28" s="352"/>
      <c r="F28" s="254"/>
      <c r="G28" s="502"/>
      <c r="H28" s="381"/>
      <c r="I28" s="1025"/>
    </row>
    <row r="29" spans="2:9" s="253" customFormat="1" ht="10.7" customHeight="1" x14ac:dyDescent="0.2">
      <c r="C29" s="253" t="s">
        <v>1697</v>
      </c>
      <c r="D29" s="352"/>
      <c r="E29" s="1414">
        <f>'recon-SONPws'!B19</f>
        <v>91565</v>
      </c>
      <c r="F29" s="254"/>
      <c r="G29" s="502"/>
      <c r="H29" s="381"/>
      <c r="I29" s="1025">
        <f>31801+E29</f>
        <v>123366</v>
      </c>
    </row>
    <row r="30" spans="2:9" s="253" customFormat="1" ht="10.7" customHeight="1" x14ac:dyDescent="0.2">
      <c r="C30" s="349" t="s">
        <v>1615</v>
      </c>
      <c r="D30" s="352"/>
      <c r="E30" s="1414">
        <f>'recon-SONPws'!B20</f>
        <v>-24109</v>
      </c>
      <c r="F30" s="254"/>
      <c r="G30" s="502"/>
      <c r="H30" s="381"/>
      <c r="I30" s="1025">
        <f>10111+E30</f>
        <v>-13998</v>
      </c>
    </row>
    <row r="31" spans="2:9" s="253" customFormat="1" ht="10.7" customHeight="1" x14ac:dyDescent="0.2">
      <c r="C31" s="253" t="s">
        <v>1693</v>
      </c>
      <c r="D31" s="352"/>
      <c r="E31" s="1020">
        <f>+E29+E30</f>
        <v>67456</v>
      </c>
      <c r="F31" s="254"/>
      <c r="H31" s="381"/>
      <c r="I31" s="1025"/>
    </row>
    <row r="32" spans="2:9" s="253" customFormat="1" ht="10.7" customHeight="1" x14ac:dyDescent="0.2">
      <c r="D32" s="352"/>
      <c r="F32" s="254"/>
      <c r="G32" s="502"/>
      <c r="H32" s="381"/>
      <c r="I32" s="1025"/>
    </row>
    <row r="33" spans="2:11" s="253" customFormat="1" ht="10.7" customHeight="1" x14ac:dyDescent="0.2">
      <c r="C33" s="253" t="s">
        <v>1694</v>
      </c>
      <c r="D33" s="352"/>
      <c r="E33" s="1414">
        <f>'recon-SONPws'!B23</f>
        <v>79705</v>
      </c>
      <c r="F33" s="254"/>
      <c r="G33" s="502"/>
      <c r="H33" s="381"/>
      <c r="I33" s="1025"/>
    </row>
    <row r="34" spans="2:11" s="253" customFormat="1" ht="10.7" customHeight="1" x14ac:dyDescent="0.2">
      <c r="C34" s="349" t="s">
        <v>1639</v>
      </c>
      <c r="D34" s="352"/>
      <c r="E34" s="1414">
        <f>'recon-SONPws'!B24</f>
        <v>-13221</v>
      </c>
      <c r="F34" s="254"/>
      <c r="G34" s="502"/>
      <c r="H34" s="381"/>
      <c r="I34" s="1025"/>
    </row>
    <row r="35" spans="2:11" s="253" customFormat="1" ht="10.7" customHeight="1" x14ac:dyDescent="0.2">
      <c r="C35" s="352" t="s">
        <v>1695</v>
      </c>
      <c r="D35" s="352"/>
      <c r="E35" s="1554">
        <f>+E33+E34</f>
        <v>66484</v>
      </c>
      <c r="F35" s="254"/>
      <c r="H35" s="381"/>
      <c r="I35" s="1025"/>
    </row>
    <row r="36" spans="2:11" s="253" customFormat="1" ht="10.7" customHeight="1" x14ac:dyDescent="0.2">
      <c r="B36" s="353" t="s">
        <v>196</v>
      </c>
      <c r="C36" s="352"/>
      <c r="D36" s="352"/>
      <c r="E36" s="1555"/>
      <c r="F36" s="254"/>
      <c r="G36" s="1027">
        <f>+E27+E31+E35</f>
        <v>5875009</v>
      </c>
      <c r="H36" s="381"/>
      <c r="I36" s="1025"/>
    </row>
    <row r="37" spans="2:11" s="253" customFormat="1" ht="9.9499999999999993" customHeight="1" x14ac:dyDescent="0.2">
      <c r="B37" s="353"/>
      <c r="D37" s="352"/>
      <c r="F37" s="254"/>
      <c r="G37" s="502"/>
      <c r="H37" s="381"/>
      <c r="I37" s="1025"/>
    </row>
    <row r="38" spans="2:11" s="253" customFormat="1" ht="12" x14ac:dyDescent="0.2">
      <c r="B38" s="1583" t="s">
        <v>1481</v>
      </c>
      <c r="C38" s="1583"/>
      <c r="D38" s="503"/>
      <c r="G38" s="502"/>
      <c r="H38" s="381"/>
      <c r="I38" s="1025"/>
    </row>
    <row r="39" spans="2:11" s="253" customFormat="1" ht="11.1" hidden="1" customHeight="1" x14ac:dyDescent="0.2">
      <c r="B39" s="1248"/>
      <c r="C39" s="1248"/>
      <c r="D39" s="503"/>
      <c r="G39" s="502"/>
      <c r="H39" s="381"/>
      <c r="I39" s="1025"/>
    </row>
    <row r="40" spans="2:11" s="253" customFormat="1" ht="29.25" hidden="1" customHeight="1" x14ac:dyDescent="0.2">
      <c r="B40" s="1248"/>
      <c r="C40" s="1248"/>
      <c r="D40" s="503"/>
      <c r="H40" s="381"/>
      <c r="I40" s="1025"/>
    </row>
    <row r="41" spans="2:11" s="253" customFormat="1" ht="6" hidden="1" customHeight="1" x14ac:dyDescent="0.2">
      <c r="B41" s="944"/>
      <c r="C41" s="944"/>
      <c r="D41" s="503"/>
      <c r="G41" s="502"/>
      <c r="H41" s="381"/>
      <c r="I41" s="1025"/>
    </row>
    <row r="42" spans="2:11" s="253" customFormat="1" ht="12" x14ac:dyDescent="0.2">
      <c r="B42" s="944"/>
      <c r="C42" s="492" t="s">
        <v>1233</v>
      </c>
      <c r="D42" s="503"/>
      <c r="G42" s="1113">
        <f>+'recon-SONPws'!B30</f>
        <v>220303</v>
      </c>
      <c r="H42" s="381"/>
      <c r="I42" s="1025"/>
    </row>
    <row r="43" spans="2:11" s="253" customFormat="1" ht="12" hidden="1" x14ac:dyDescent="0.2">
      <c r="B43" s="944"/>
      <c r="C43" s="492" t="s">
        <v>333</v>
      </c>
      <c r="D43" s="503"/>
      <c r="E43" s="1019">
        <f>+'recon-SONPws'!B29</f>
        <v>0</v>
      </c>
      <c r="H43" s="381"/>
      <c r="I43" s="1025"/>
    </row>
    <row r="44" spans="2:11" s="253" customFormat="1" ht="12" hidden="1" customHeight="1" x14ac:dyDescent="0.2">
      <c r="B44" s="944"/>
      <c r="C44" s="505" t="s">
        <v>334</v>
      </c>
      <c r="D44" s="503"/>
      <c r="G44" s="502"/>
      <c r="H44" s="381">
        <f>G44+SONP!L58+SONP!L64</f>
        <v>0</v>
      </c>
      <c r="I44" s="1025"/>
    </row>
    <row r="45" spans="2:11" s="253" customFormat="1" ht="6" customHeight="1" x14ac:dyDescent="0.2">
      <c r="B45" s="944"/>
      <c r="C45" s="944"/>
      <c r="D45" s="503"/>
      <c r="G45" s="502"/>
      <c r="H45" s="381"/>
      <c r="I45" s="1025"/>
    </row>
    <row r="46" spans="2:11" s="253" customFormat="1" ht="24" hidden="1" x14ac:dyDescent="0.2">
      <c r="C46" s="1225" t="s">
        <v>1429</v>
      </c>
      <c r="D46" s="503"/>
      <c r="G46" s="1481">
        <f>'recon-SONPws'!B32</f>
        <v>0</v>
      </c>
      <c r="H46" s="381"/>
      <c r="I46" s="1025"/>
      <c r="K46" s="533">
        <f>33906+47515</f>
        <v>81421</v>
      </c>
    </row>
    <row r="47" spans="2:11" s="253" customFormat="1" ht="12.75" hidden="1" customHeight="1" x14ac:dyDescent="0.2">
      <c r="B47" s="1225"/>
      <c r="C47" s="1225"/>
      <c r="D47" s="352"/>
      <c r="H47" s="381"/>
      <c r="I47" s="1025"/>
      <c r="K47" s="253">
        <f>81421-160683</f>
        <v>-79262</v>
      </c>
    </row>
    <row r="48" spans="2:11" s="253" customFormat="1" ht="9.9499999999999993" hidden="1" customHeight="1" x14ac:dyDescent="0.2">
      <c r="B48" s="1224"/>
      <c r="C48" s="1224"/>
      <c r="D48" s="352"/>
      <c r="G48" s="502"/>
      <c r="H48" s="381"/>
      <c r="I48" s="1025"/>
    </row>
    <row r="49" spans="2:11" s="253" customFormat="1" ht="11.1" hidden="1" customHeight="1" x14ac:dyDescent="0.2">
      <c r="B49" s="1586" t="s">
        <v>1199</v>
      </c>
      <c r="C49" s="1586"/>
      <c r="D49" s="352"/>
      <c r="G49" s="502"/>
      <c r="H49" s="381"/>
      <c r="I49" s="502"/>
    </row>
    <row r="50" spans="2:11" s="253" customFormat="1" ht="12" hidden="1" x14ac:dyDescent="0.2">
      <c r="B50" s="1586"/>
      <c r="C50" s="1586"/>
      <c r="D50" s="352"/>
      <c r="G50" s="1480">
        <f>+'recon-SONPws'!B34</f>
        <v>0</v>
      </c>
      <c r="H50" s="381">
        <f>G50-SONP!L12-'recon-SONPws'!BM34</f>
        <v>0</v>
      </c>
      <c r="I50" s="1025"/>
    </row>
    <row r="51" spans="2:11" s="253" customFormat="1" ht="9.9499999999999993" hidden="1" customHeight="1" x14ac:dyDescent="0.2">
      <c r="G51" s="502"/>
      <c r="H51" s="381"/>
      <c r="I51" s="1025"/>
    </row>
    <row r="52" spans="2:11" s="253" customFormat="1" ht="12.75" customHeight="1" x14ac:dyDescent="0.2">
      <c r="B52" s="1586" t="s">
        <v>1241</v>
      </c>
      <c r="C52" s="1586"/>
      <c r="D52" s="503"/>
      <c r="G52" s="502"/>
      <c r="H52" s="381"/>
      <c r="I52" s="1025"/>
    </row>
    <row r="53" spans="2:11" s="253" customFormat="1" ht="12.75" customHeight="1" x14ac:dyDescent="0.2">
      <c r="B53" s="1586"/>
      <c r="C53" s="1586"/>
      <c r="D53" s="503"/>
      <c r="G53" s="502"/>
      <c r="H53" s="381"/>
      <c r="I53" s="1025"/>
    </row>
    <row r="54" spans="2:11" s="253" customFormat="1" ht="12.75" customHeight="1" x14ac:dyDescent="0.2">
      <c r="B54" s="1586"/>
      <c r="C54" s="1586"/>
      <c r="D54" s="503"/>
      <c r="G54" s="1019">
        <f>+'recon-SONPws'!B36</f>
        <v>185758</v>
      </c>
      <c r="H54" s="381">
        <f>G54-SONPPF!K175+SONPPF!I177</f>
        <v>0</v>
      </c>
      <c r="I54" s="1025"/>
    </row>
    <row r="55" spans="2:11" s="253" customFormat="1" ht="12.75" customHeight="1" x14ac:dyDescent="0.2">
      <c r="B55" s="1109"/>
      <c r="C55" s="1109"/>
      <c r="D55" s="503"/>
      <c r="G55" s="502"/>
      <c r="H55" s="381"/>
      <c r="I55" s="1025"/>
    </row>
    <row r="56" spans="2:11" s="253" customFormat="1" ht="24" customHeight="1" x14ac:dyDescent="0.2">
      <c r="B56" s="1587" t="s">
        <v>1472</v>
      </c>
      <c r="C56" s="1587"/>
      <c r="D56" s="1306"/>
      <c r="E56" s="492"/>
      <c r="F56" s="492"/>
      <c r="G56" s="958">
        <f>'recon-SONPws'!B38</f>
        <v>823571</v>
      </c>
      <c r="H56" s="381">
        <f>SONP!C52-reconSONP!G56-SONPPF!K94</f>
        <v>0</v>
      </c>
      <c r="I56" s="1025"/>
    </row>
    <row r="57" spans="2:11" s="253" customFormat="1" ht="12.75" customHeight="1" x14ac:dyDescent="0.2">
      <c r="B57" s="1109"/>
      <c r="C57" s="1109"/>
      <c r="D57" s="503"/>
      <c r="G57" s="502"/>
      <c r="H57" s="381"/>
      <c r="I57" s="1025"/>
    </row>
    <row r="58" spans="2:11" s="253" customFormat="1" ht="12.75" customHeight="1" x14ac:dyDescent="0.2">
      <c r="B58" s="1588" t="s">
        <v>1473</v>
      </c>
      <c r="C58" s="1588"/>
      <c r="D58" s="503"/>
      <c r="G58" s="533">
        <f>'recon-SONPws'!B40</f>
        <v>-412402</v>
      </c>
      <c r="H58" s="381">
        <f>+SONP!C73+reconSONP!G58-SONPPF!K166+G42-'BSGF-major'!Y58</f>
        <v>0</v>
      </c>
      <c r="I58" s="1025"/>
    </row>
    <row r="59" spans="2:11" s="253" customFormat="1" ht="9.9499999999999993" customHeight="1" x14ac:dyDescent="0.2">
      <c r="G59" s="502"/>
      <c r="H59" s="381"/>
      <c r="I59" s="1025"/>
    </row>
    <row r="60" spans="2:11" s="253" customFormat="1" ht="12.75" customHeight="1" x14ac:dyDescent="0.2">
      <c r="B60" s="1583" t="s">
        <v>1232</v>
      </c>
      <c r="C60" s="1583"/>
      <c r="D60" s="503"/>
      <c r="G60" s="502"/>
      <c r="H60" s="381"/>
      <c r="I60" s="1025"/>
    </row>
    <row r="61" spans="2:11" s="253" customFormat="1" ht="12.75" customHeight="1" x14ac:dyDescent="0.2">
      <c r="B61" s="1583"/>
      <c r="C61" s="1583"/>
      <c r="D61" s="503"/>
      <c r="G61" s="502"/>
      <c r="H61" s="381"/>
      <c r="I61" s="1025"/>
    </row>
    <row r="62" spans="2:11" s="253" customFormat="1" ht="9.9499999999999993" customHeight="1" x14ac:dyDescent="0.2">
      <c r="G62" s="502"/>
      <c r="H62" s="381"/>
      <c r="I62" s="1025"/>
      <c r="K62" s="1026" t="s">
        <v>637</v>
      </c>
    </row>
    <row r="63" spans="2:11" s="253" customFormat="1" ht="10.7" customHeight="1" x14ac:dyDescent="0.2">
      <c r="C63" s="352" t="s">
        <v>11</v>
      </c>
      <c r="D63" s="352"/>
      <c r="E63" s="502">
        <f>+'recon-SONPws'!B43</f>
        <v>-3227809</v>
      </c>
      <c r="F63" s="254"/>
      <c r="G63" s="502"/>
      <c r="H63" s="381">
        <f>-E63-SONPws!B66-SONPws!B82+SONPws!BX66+SONPws!BX82</f>
        <v>0</v>
      </c>
      <c r="I63" s="1025"/>
      <c r="K63" s="1025">
        <f>+SONP!C66+SONP!C69</f>
        <v>5972444</v>
      </c>
    </row>
    <row r="64" spans="2:11" s="253" customFormat="1" ht="10.7" hidden="1" customHeight="1" x14ac:dyDescent="0.2">
      <c r="C64" s="352" t="s">
        <v>5</v>
      </c>
      <c r="D64" s="352"/>
      <c r="E64" s="502">
        <f>+'recon-SONPws'!B44</f>
        <v>0</v>
      </c>
      <c r="F64" s="254"/>
      <c r="G64" s="502"/>
      <c r="H64" s="381">
        <f>-E64-SONPws!B67-SONPws!B83</f>
        <v>-89782</v>
      </c>
      <c r="I64" s="1025"/>
      <c r="K64" s="1025">
        <f>+E63+E64+E65+E66+E67+E70+E72+E75+E76-'BSGF-major'!Y40-'BSGF-major'!Y49-SONPPF!K117-SONPPF!K153-SONPPF!K154-SONPPF!K157-SONPPF!K119</f>
        <v>-5929088</v>
      </c>
    </row>
    <row r="65" spans="1:11" s="253" customFormat="1" ht="10.7" customHeight="1" x14ac:dyDescent="0.2">
      <c r="C65" s="352" t="s">
        <v>212</v>
      </c>
      <c r="D65" s="352"/>
      <c r="E65" s="502">
        <f>+'recon-SONPws'!B45</f>
        <v>-189856</v>
      </c>
      <c r="F65" s="254"/>
      <c r="G65" s="502"/>
      <c r="H65" s="381">
        <f>-E65-SONPws!B69-SONPws!B70-SONPws!B85-SONPws!B86+SONPws!BX69+SONPws!BX85</f>
        <v>0</v>
      </c>
      <c r="I65" s="1025"/>
      <c r="K65" s="1027">
        <f>SUM(K63:K64)</f>
        <v>43356</v>
      </c>
    </row>
    <row r="66" spans="1:11" s="253" customFormat="1" ht="10.7" hidden="1" customHeight="1" x14ac:dyDescent="0.2">
      <c r="C66" s="352" t="s">
        <v>754</v>
      </c>
      <c r="D66" s="352"/>
      <c r="E66" s="502">
        <f>+'recon-SONPws'!B46</f>
        <v>0</v>
      </c>
      <c r="F66" s="254"/>
      <c r="G66" s="502"/>
      <c r="H66" s="381">
        <f>-E66-SONPws!B71-SONPws!B87</f>
        <v>0</v>
      </c>
      <c r="I66" s="1025"/>
    </row>
    <row r="67" spans="1:11" s="253" customFormat="1" ht="10.7" customHeight="1" x14ac:dyDescent="0.2">
      <c r="C67" s="352" t="s">
        <v>1580</v>
      </c>
      <c r="D67" s="352"/>
      <c r="E67" s="502">
        <f>+'recon-SONPws'!B47</f>
        <v>-54909</v>
      </c>
      <c r="F67" s="254"/>
      <c r="G67" s="502"/>
      <c r="H67" s="381">
        <f>-E67-SONPws!B77-SONPws!B92+SONPPF!K119+SONPPF!K154</f>
        <v>0</v>
      </c>
      <c r="I67" s="1025"/>
    </row>
    <row r="68" spans="1:11" s="253" customFormat="1" ht="10.7" customHeight="1" x14ac:dyDescent="0.2">
      <c r="C68" s="352" t="s">
        <v>1651</v>
      </c>
      <c r="D68" s="352"/>
      <c r="E68" s="1414">
        <f>+'recon-SONPws'!B48</f>
        <v>-67194</v>
      </c>
      <c r="F68" s="254"/>
      <c r="G68" s="502"/>
      <c r="H68" s="381">
        <f>+SONPws!B78+SONPws!B93-SONPPF!K155-SONPPF!K120+E68</f>
        <v>0</v>
      </c>
      <c r="I68" s="1025"/>
    </row>
    <row r="69" spans="1:11" s="253" customFormat="1" ht="10.7" customHeight="1" x14ac:dyDescent="0.2">
      <c r="C69" s="352" t="s">
        <v>1598</v>
      </c>
      <c r="D69" s="352"/>
      <c r="E69" s="502">
        <f>+'recon-SONPws'!B49</f>
        <v>-5169</v>
      </c>
      <c r="F69" s="254"/>
      <c r="G69" s="502"/>
      <c r="H69" s="381">
        <f>+SONPws!B79+SONPws!B94-SONPPF!K121-SONPPF!K156+E69</f>
        <v>0</v>
      </c>
      <c r="I69" s="1025"/>
    </row>
    <row r="70" spans="1:11" s="253" customFormat="1" ht="10.7" customHeight="1" x14ac:dyDescent="0.2">
      <c r="C70" s="352" t="s">
        <v>765</v>
      </c>
      <c r="D70" s="352"/>
      <c r="E70" s="502">
        <f>+'recon-SONPws'!B50</f>
        <v>0</v>
      </c>
      <c r="F70" s="254"/>
      <c r="G70" s="502"/>
      <c r="H70" s="381">
        <f>-E70-SONPws!B74-SONPws!B88</f>
        <v>0</v>
      </c>
      <c r="I70" s="1025"/>
    </row>
    <row r="71" spans="1:11" s="253" customFormat="1" ht="10.7" hidden="1" customHeight="1" x14ac:dyDescent="0.2">
      <c r="C71" s="352" t="s">
        <v>609</v>
      </c>
      <c r="D71" s="352"/>
      <c r="E71" s="502">
        <f>+'recon-SONPws'!B51</f>
        <v>0</v>
      </c>
      <c r="F71" s="254"/>
      <c r="G71" s="502"/>
      <c r="H71" s="381">
        <f>+E71-SONPws!B41</f>
        <v>0</v>
      </c>
      <c r="I71" s="1025"/>
    </row>
    <row r="72" spans="1:11" s="253" customFormat="1" ht="10.7" customHeight="1" x14ac:dyDescent="0.2">
      <c r="C72" s="352" t="s">
        <v>1270</v>
      </c>
      <c r="D72" s="352"/>
      <c r="E72" s="502">
        <f>+'recon-SONPws'!B52</f>
        <v>-2041905</v>
      </c>
      <c r="F72" s="254"/>
      <c r="G72" s="502"/>
      <c r="H72" s="381">
        <f>-E72-SONPws!B90+SONPPF!K157</f>
        <v>0</v>
      </c>
      <c r="I72" s="1025"/>
    </row>
    <row r="73" spans="1:11" s="253" customFormat="1" ht="10.7" customHeight="1" x14ac:dyDescent="0.2">
      <c r="C73" s="352" t="s">
        <v>421</v>
      </c>
      <c r="D73" s="352"/>
      <c r="E73" s="502">
        <f>+'recon-SONPws'!B53</f>
        <v>-17528</v>
      </c>
      <c r="F73" s="254"/>
      <c r="G73" s="502"/>
      <c r="H73" s="381">
        <f>+E73+SONP!C63</f>
        <v>0</v>
      </c>
      <c r="I73" s="1025"/>
    </row>
    <row r="74" spans="1:11" s="253" customFormat="1" ht="10.7" customHeight="1" x14ac:dyDescent="0.2">
      <c r="C74" s="352" t="s">
        <v>420</v>
      </c>
      <c r="D74" s="352"/>
      <c r="E74" s="502">
        <f>+'recon-SONPws'!B54</f>
        <v>-12613</v>
      </c>
      <c r="F74" s="254"/>
      <c r="G74" s="502"/>
      <c r="H74" s="381">
        <f>-E74-SONPws!B95-SONPws!B59</f>
        <v>-3306</v>
      </c>
      <c r="I74" s="1025"/>
    </row>
    <row r="75" spans="1:11" s="253" customFormat="1" ht="10.7" customHeight="1" x14ac:dyDescent="0.2">
      <c r="C75" s="352" t="s">
        <v>180</v>
      </c>
      <c r="D75" s="352"/>
      <c r="E75" s="502">
        <f>+'recon-SONPws'!B55</f>
        <v>-2052</v>
      </c>
      <c r="F75" s="254"/>
      <c r="G75" s="502"/>
      <c r="H75" s="381">
        <f>-E75-SONPws!B96+SONPPF!K158-SONPws!B72+SONPPF!K123</f>
        <v>0</v>
      </c>
      <c r="I75" s="1025"/>
    </row>
    <row r="76" spans="1:11" s="253" customFormat="1" ht="10.7" customHeight="1" x14ac:dyDescent="0.2">
      <c r="C76" s="352" t="s">
        <v>691</v>
      </c>
      <c r="D76" s="352"/>
      <c r="E76" s="502">
        <f>+'recon-SONPws'!B56</f>
        <v>-248273</v>
      </c>
      <c r="F76" s="254"/>
      <c r="G76" s="502"/>
      <c r="H76" s="381">
        <f>+SONPws!B75+SONPws!B89+reconSONP!E76-'BSGF-major'!Y40-'BSGF-major'!Y49-SONPPF!K117-SONPPF!K153</f>
        <v>0</v>
      </c>
      <c r="I76" s="1025"/>
    </row>
    <row r="77" spans="1:11" s="253" customFormat="1" ht="10.7" customHeight="1" x14ac:dyDescent="0.2">
      <c r="C77" s="352" t="s">
        <v>1182</v>
      </c>
      <c r="D77" s="352"/>
      <c r="E77" s="502">
        <f>+'recon-SONPws'!B57</f>
        <v>-30</v>
      </c>
      <c r="F77" s="254"/>
      <c r="G77" s="502"/>
      <c r="H77" s="381"/>
      <c r="I77" s="1025"/>
    </row>
    <row r="78" spans="1:11" s="253" customFormat="1" ht="9.9499999999999993" customHeight="1" x14ac:dyDescent="0.2">
      <c r="E78" s="510"/>
      <c r="G78" s="1028">
        <f>SUM(E63:E77)</f>
        <v>-5867338</v>
      </c>
      <c r="H78" s="381"/>
      <c r="I78" s="1025"/>
    </row>
    <row r="79" spans="1:11" s="253" customFormat="1" ht="9.9499999999999993" customHeight="1" x14ac:dyDescent="0.2">
      <c r="G79" s="502"/>
      <c r="H79" s="712"/>
      <c r="I79" s="1025"/>
    </row>
    <row r="80" spans="1:11" s="253" customFormat="1" ht="11.1" customHeight="1" thickBot="1" x14ac:dyDescent="0.25">
      <c r="A80" s="353" t="s">
        <v>1112</v>
      </c>
      <c r="B80" s="353"/>
      <c r="G80" s="344">
        <f>SUM(G8:G78)</f>
        <v>2914087</v>
      </c>
      <c r="H80" s="712"/>
      <c r="I80" s="1025"/>
    </row>
    <row r="81" spans="5:9" s="253" customFormat="1" ht="5.0999999999999996" customHeight="1" thickTop="1" x14ac:dyDescent="0.2">
      <c r="G81" s="254"/>
      <c r="H81" s="712"/>
      <c r="I81" s="1025"/>
    </row>
    <row r="82" spans="5:9" s="253" customFormat="1" ht="9.9499999999999993" customHeight="1" x14ac:dyDescent="0.2">
      <c r="G82" s="254"/>
      <c r="H82" s="712"/>
      <c r="I82" s="1025"/>
    </row>
    <row r="83" spans="5:9" s="253" customFormat="1" ht="9.9499999999999993" customHeight="1" x14ac:dyDescent="0.2">
      <c r="E83" s="762" t="s">
        <v>12</v>
      </c>
      <c r="G83" s="348">
        <f>SUM(SONP!C86)</f>
        <v>2914087</v>
      </c>
      <c r="H83" s="712"/>
      <c r="I83" s="1025"/>
    </row>
    <row r="84" spans="5:9" s="253" customFormat="1" ht="9.9499999999999993" customHeight="1" x14ac:dyDescent="0.2">
      <c r="G84" s="381">
        <f>G80-G83</f>
        <v>0</v>
      </c>
      <c r="H84" s="1029"/>
      <c r="I84" s="1025"/>
    </row>
    <row r="85" spans="5:9" s="253" customFormat="1" ht="9.9499999999999993" customHeight="1" x14ac:dyDescent="0.2">
      <c r="G85" s="254"/>
      <c r="H85" s="1029"/>
      <c r="I85" s="1025"/>
    </row>
    <row r="86" spans="5:9" s="253" customFormat="1" ht="9.9499999999999993" customHeight="1" x14ac:dyDescent="0.2">
      <c r="G86" s="348"/>
      <c r="H86" s="1029"/>
      <c r="I86" s="1025"/>
    </row>
    <row r="143" spans="7:7" ht="9.9499999999999993" customHeight="1" x14ac:dyDescent="0.2">
      <c r="G143" s="265">
        <v>21</v>
      </c>
    </row>
  </sheetData>
  <mergeCells count="9">
    <mergeCell ref="B60:C61"/>
    <mergeCell ref="A1:G1"/>
    <mergeCell ref="A3:C3"/>
    <mergeCell ref="B12:C13"/>
    <mergeCell ref="B49:C50"/>
    <mergeCell ref="B52:C54"/>
    <mergeCell ref="B56:C56"/>
    <mergeCell ref="B58:C58"/>
    <mergeCell ref="B38:C38"/>
  </mergeCells>
  <phoneticPr fontId="9" type="noConversion"/>
  <printOptions horizontalCentered="1"/>
  <pageMargins left="0.5" right="0.5" top="0.5" bottom="0.625" header="0.5" footer="0.5"/>
  <pageSetup scale="97" orientation="portrait" r:id="rId1"/>
  <headerFooter alignWithMargins="0">
    <oddFooter>&amp;C&amp;"Calibri,Regular"&amp;9The accompanying notes are an integral part of these basic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theme="6" tint="0.39997558519241921"/>
    <pageSetUpPr fitToPage="1"/>
  </sheetPr>
  <dimension ref="A1:AA143"/>
  <sheetViews>
    <sheetView view="pageBreakPreview" zoomScale="110" zoomScaleNormal="100" workbookViewId="0">
      <pane xSplit="2" ySplit="12" topLeftCell="C25" activePane="bottomRight" state="frozen"/>
      <selection activeCell="Z13" activeCellId="3" sqref="Z18 Z17 Z15 Z13"/>
      <selection pane="topRight" activeCell="Z13" activeCellId="3" sqref="Z18 Z17 Z15 Z13"/>
      <selection pane="bottomLeft" activeCell="Z13" activeCellId="3" sqref="Z18 Z17 Z15 Z13"/>
      <selection pane="bottomRight" activeCell="W82" sqref="W82"/>
    </sheetView>
  </sheetViews>
  <sheetFormatPr defaultColWidth="9.140625" defaultRowHeight="9.9499999999999993" customHeight="1" x14ac:dyDescent="0.2"/>
  <cols>
    <col min="1" max="1" width="33.5703125" style="247" customWidth="1"/>
    <col min="2" max="2" width="1" style="247" customWidth="1"/>
    <col min="3" max="3" width="13.42578125" style="247" customWidth="1"/>
    <col min="4" max="4" width="1" style="247" customWidth="1"/>
    <col min="5" max="5" width="13.42578125" style="247" customWidth="1"/>
    <col min="6" max="6" width="1" style="247" customWidth="1"/>
    <col min="7" max="7" width="11" style="247" customWidth="1"/>
    <col min="8" max="8" width="1" style="247" customWidth="1"/>
    <col min="9" max="9" width="11" style="247" customWidth="1"/>
    <col min="10" max="10" width="1" style="247" customWidth="1"/>
    <col min="11" max="11" width="11.42578125" style="247" hidden="1" customWidth="1"/>
    <col min="12" max="12" width="1" style="247" hidden="1" customWidth="1"/>
    <col min="13" max="13" width="13.42578125" style="247" hidden="1" customWidth="1"/>
    <col min="14" max="14" width="1" style="247" hidden="1" customWidth="1"/>
    <col min="15" max="15" width="11" style="247" hidden="1" customWidth="1"/>
    <col min="16" max="16" width="1" style="247" hidden="1" customWidth="1"/>
    <col min="17" max="17" width="13.42578125" style="247" hidden="1" customWidth="1"/>
    <col min="18" max="18" width="1" style="247" hidden="1" customWidth="1"/>
    <col min="19" max="19" width="13.42578125" style="247" customWidth="1"/>
    <col min="20" max="20" width="1" style="247" hidden="1" customWidth="1"/>
    <col min="21" max="21" width="11" style="247" hidden="1" customWidth="1"/>
    <col min="22" max="22" width="1" style="247" customWidth="1"/>
    <col min="23" max="23" width="13.42578125" style="247" customWidth="1"/>
    <col min="24" max="24" width="1" style="247" customWidth="1"/>
    <col min="25" max="25" width="13.42578125" style="247" customWidth="1"/>
    <col min="26" max="26" width="13.5703125" style="394" customWidth="1"/>
    <col min="27" max="16384" width="9.140625" style="247"/>
  </cols>
  <sheetData>
    <row r="1" spans="1:26" s="212" customFormat="1" ht="16.5" customHeight="1"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336"/>
    </row>
    <row r="2" spans="1:26" ht="15" customHeight="1" x14ac:dyDescent="0.2">
      <c r="A2" s="248" t="s">
        <v>13</v>
      </c>
      <c r="B2" s="302"/>
      <c r="C2" s="310"/>
      <c r="D2" s="302"/>
      <c r="E2" s="302"/>
      <c r="F2" s="302"/>
      <c r="G2" s="302"/>
      <c r="H2" s="302"/>
      <c r="I2" s="302"/>
      <c r="J2" s="302"/>
      <c r="K2" s="302"/>
      <c r="L2" s="302"/>
      <c r="M2" s="302"/>
      <c r="N2" s="302"/>
      <c r="O2" s="302"/>
      <c r="P2" s="302"/>
      <c r="Q2" s="302"/>
      <c r="R2" s="302"/>
      <c r="S2" s="302"/>
      <c r="T2" s="302"/>
      <c r="U2" s="302"/>
      <c r="V2" s="302"/>
      <c r="W2" s="302"/>
      <c r="X2" s="302"/>
      <c r="Y2" s="302"/>
      <c r="Z2" s="302"/>
    </row>
    <row r="3" spans="1:26" ht="15" customHeight="1" x14ac:dyDescent="0.2">
      <c r="A3" s="248" t="s">
        <v>1062</v>
      </c>
      <c r="B3" s="302"/>
      <c r="C3" s="310"/>
      <c r="D3" s="302"/>
      <c r="E3" s="302"/>
      <c r="F3" s="302"/>
      <c r="G3" s="302"/>
      <c r="H3" s="302"/>
      <c r="I3" s="302"/>
      <c r="J3" s="302"/>
      <c r="K3" s="302"/>
      <c r="L3" s="302"/>
      <c r="M3" s="302"/>
      <c r="N3" s="302"/>
      <c r="O3" s="302"/>
      <c r="P3" s="302"/>
      <c r="Q3" s="302"/>
      <c r="R3" s="302"/>
      <c r="S3" s="302"/>
      <c r="T3" s="302"/>
      <c r="U3" s="302"/>
      <c r="V3" s="302"/>
      <c r="W3" s="302"/>
      <c r="X3" s="302"/>
      <c r="Y3" s="302"/>
      <c r="Z3" s="302"/>
    </row>
    <row r="4" spans="1:26" ht="12.95" customHeight="1" x14ac:dyDescent="0.2">
      <c r="A4" s="432" t="s">
        <v>1725</v>
      </c>
      <c r="B4" s="432"/>
      <c r="C4" s="432"/>
      <c r="W4" s="395"/>
      <c r="Z4" s="302"/>
    </row>
    <row r="5" spans="1:26" ht="12" customHeight="1" x14ac:dyDescent="0.2">
      <c r="A5" s="247" t="s">
        <v>972</v>
      </c>
    </row>
    <row r="6" spans="1:26" ht="2.1" hidden="1" customHeight="1" x14ac:dyDescent="0.2">
      <c r="A6" s="270"/>
      <c r="C6" s="270"/>
    </row>
    <row r="7" spans="1:26" s="336" customFormat="1" ht="12.6" customHeight="1" x14ac:dyDescent="0.2">
      <c r="B7" s="310"/>
      <c r="C7" s="1589" t="s">
        <v>1063</v>
      </c>
      <c r="D7" s="1589"/>
      <c r="E7" s="1589"/>
      <c r="F7" s="1589"/>
      <c r="G7" s="1589"/>
      <c r="H7" s="1589"/>
      <c r="I7" s="1589"/>
      <c r="J7" s="1589"/>
      <c r="K7" s="1589"/>
      <c r="L7" s="1589"/>
      <c r="M7" s="1589"/>
      <c r="N7" s="1589"/>
      <c r="O7" s="1589"/>
      <c r="P7" s="1589"/>
      <c r="Q7" s="1589"/>
      <c r="R7" s="1589"/>
      <c r="S7" s="1589"/>
      <c r="T7" s="1589"/>
      <c r="U7" s="1589"/>
      <c r="V7" s="310"/>
      <c r="X7" s="310"/>
      <c r="Y7" s="310"/>
    </row>
    <row r="8" spans="1:26" s="336" customFormat="1" ht="12.6" hidden="1" customHeight="1" x14ac:dyDescent="0.2">
      <c r="B8" s="310"/>
      <c r="D8" s="310"/>
      <c r="E8" s="310"/>
      <c r="F8" s="310"/>
      <c r="G8" s="310"/>
      <c r="H8" s="310"/>
      <c r="J8" s="310"/>
      <c r="K8" s="445"/>
      <c r="L8" s="310"/>
      <c r="M8" s="445"/>
      <c r="N8" s="310"/>
      <c r="O8" s="445" t="s">
        <v>974</v>
      </c>
      <c r="P8" s="310"/>
      <c r="Q8" s="310" t="s">
        <v>110</v>
      </c>
      <c r="U8" s="445" t="s">
        <v>108</v>
      </c>
      <c r="V8" s="310"/>
      <c r="X8" s="310"/>
      <c r="Y8" s="310"/>
    </row>
    <row r="9" spans="1:26" s="336" customFormat="1" ht="12.6" customHeight="1" x14ac:dyDescent="0.2">
      <c r="B9" s="310"/>
      <c r="D9" s="310"/>
      <c r="E9" s="310"/>
      <c r="F9" s="310"/>
      <c r="G9" s="445"/>
      <c r="H9" s="310"/>
      <c r="I9" s="445" t="s">
        <v>235</v>
      </c>
      <c r="J9" s="310"/>
      <c r="K9" s="445"/>
      <c r="L9" s="310"/>
      <c r="M9" s="310"/>
      <c r="N9" s="310"/>
      <c r="O9" s="443" t="s">
        <v>303</v>
      </c>
      <c r="P9" s="310"/>
      <c r="Q9" s="445" t="s">
        <v>172</v>
      </c>
      <c r="R9" s="416"/>
      <c r="S9" s="445" t="s">
        <v>1662</v>
      </c>
      <c r="T9" s="416"/>
      <c r="U9" s="445" t="s">
        <v>243</v>
      </c>
      <c r="V9" s="310"/>
      <c r="W9" s="445" t="s">
        <v>1064</v>
      </c>
      <c r="X9" s="310"/>
      <c r="Y9" s="445" t="s">
        <v>671</v>
      </c>
    </row>
    <row r="10" spans="1:26" s="336" customFormat="1" ht="12.6" customHeight="1" x14ac:dyDescent="0.2">
      <c r="B10" s="310"/>
      <c r="D10" s="310"/>
      <c r="E10" s="445" t="s">
        <v>109</v>
      </c>
      <c r="F10" s="310"/>
      <c r="G10" s="445" t="s">
        <v>1475</v>
      </c>
      <c r="H10" s="310"/>
      <c r="I10" s="445" t="s">
        <v>1207</v>
      </c>
      <c r="J10" s="310"/>
      <c r="K10" s="445" t="s">
        <v>859</v>
      </c>
      <c r="L10" s="310"/>
      <c r="M10" s="310"/>
      <c r="N10" s="310"/>
      <c r="O10" s="443" t="s">
        <v>60</v>
      </c>
      <c r="P10" s="310"/>
      <c r="Q10" s="445" t="s">
        <v>1240</v>
      </c>
      <c r="R10" s="416"/>
      <c r="S10" s="445" t="s">
        <v>243</v>
      </c>
      <c r="T10" s="416"/>
      <c r="U10" s="445" t="s">
        <v>862</v>
      </c>
      <c r="V10" s="310"/>
      <c r="W10" s="445" t="s">
        <v>669</v>
      </c>
      <c r="X10" s="310"/>
      <c r="Y10" s="445" t="s">
        <v>669</v>
      </c>
      <c r="Z10" s="310"/>
    </row>
    <row r="11" spans="1:26" s="336" customFormat="1" ht="12.6" customHeight="1" x14ac:dyDescent="0.2">
      <c r="B11" s="396"/>
      <c r="C11" s="945" t="s">
        <v>108</v>
      </c>
      <c r="D11" s="396"/>
      <c r="E11" s="945" t="s">
        <v>1066</v>
      </c>
      <c r="F11" s="396"/>
      <c r="G11" s="945" t="s">
        <v>864</v>
      </c>
      <c r="H11" s="396"/>
      <c r="I11" s="945" t="s">
        <v>1208</v>
      </c>
      <c r="J11" s="396"/>
      <c r="K11" s="945" t="s">
        <v>236</v>
      </c>
      <c r="L11" s="396"/>
      <c r="M11" s="921" t="s">
        <v>1163</v>
      </c>
      <c r="N11" s="396"/>
      <c r="O11" s="446" t="s">
        <v>436</v>
      </c>
      <c r="P11" s="396"/>
      <c r="Q11" s="945" t="s">
        <v>436</v>
      </c>
      <c r="R11" s="416"/>
      <c r="S11" s="945" t="s">
        <v>244</v>
      </c>
      <c r="T11" s="416"/>
      <c r="U11" s="945" t="s">
        <v>227</v>
      </c>
      <c r="V11" s="396"/>
      <c r="W11" s="945" t="s">
        <v>864</v>
      </c>
      <c r="X11" s="396"/>
      <c r="Y11" s="945" t="s">
        <v>864</v>
      </c>
      <c r="Z11" s="310"/>
    </row>
    <row r="12" spans="1:26" s="253" customFormat="1" ht="9.9499999999999993" customHeight="1" x14ac:dyDescent="0.2">
      <c r="A12" s="353" t="s">
        <v>868</v>
      </c>
      <c r="B12" s="339"/>
      <c r="D12" s="339"/>
      <c r="F12" s="339"/>
      <c r="H12" s="339"/>
      <c r="J12" s="339"/>
      <c r="L12" s="339"/>
      <c r="N12" s="339"/>
      <c r="P12" s="339"/>
      <c r="R12" s="339"/>
      <c r="T12" s="339"/>
      <c r="V12" s="339"/>
      <c r="X12" s="339"/>
      <c r="Z12" s="284"/>
    </row>
    <row r="13" spans="1:26" s="253" customFormat="1" ht="9.9499999999999993" customHeight="1" x14ac:dyDescent="0.2">
      <c r="A13" s="349" t="s">
        <v>869</v>
      </c>
      <c r="C13" s="339"/>
      <c r="E13" s="339"/>
      <c r="G13" s="339"/>
      <c r="I13" s="339"/>
      <c r="K13" s="339"/>
      <c r="M13" s="339"/>
      <c r="O13" s="339"/>
      <c r="Q13" s="339"/>
      <c r="S13" s="339"/>
      <c r="U13" s="339"/>
      <c r="W13" s="339"/>
      <c r="Y13" s="339"/>
      <c r="Z13" s="284"/>
    </row>
    <row r="14" spans="1:26" s="253" customFormat="1" ht="9.9499999999999993" customHeight="1" x14ac:dyDescent="0.2">
      <c r="A14" s="351" t="s">
        <v>829</v>
      </c>
      <c r="B14" s="254"/>
      <c r="C14" s="339">
        <f>+SORECGFws!C5</f>
        <v>459838</v>
      </c>
      <c r="D14" s="254"/>
      <c r="E14" s="339">
        <f>+SORECGFws!D5</f>
        <v>295141</v>
      </c>
      <c r="F14" s="254"/>
      <c r="G14" s="339">
        <f>+SORECGFws!E5</f>
        <v>0</v>
      </c>
      <c r="H14" s="254"/>
      <c r="I14" s="339"/>
      <c r="J14" s="254"/>
      <c r="K14" s="339"/>
      <c r="L14" s="254"/>
      <c r="M14" s="339">
        <f>+SORECGFws!BQ5</f>
        <v>0</v>
      </c>
      <c r="N14" s="254"/>
      <c r="O14" s="339"/>
      <c r="P14" s="254"/>
      <c r="Q14" s="339">
        <v>0</v>
      </c>
      <c r="R14" s="254"/>
      <c r="S14" s="339">
        <f>SORECGFws!AE5</f>
        <v>0</v>
      </c>
      <c r="T14" s="254"/>
      <c r="U14" s="339"/>
      <c r="V14" s="254"/>
      <c r="W14" s="339">
        <f>+'Nonmajor SOREC'!I13</f>
        <v>50747</v>
      </c>
      <c r="X14" s="254"/>
      <c r="Y14" s="339">
        <f>SUM(C14:W14)</f>
        <v>805726</v>
      </c>
      <c r="Z14" s="299"/>
    </row>
    <row r="15" spans="1:26" s="253" customFormat="1" ht="9.9499999999999993" customHeight="1" x14ac:dyDescent="0.2">
      <c r="A15" s="351" t="s">
        <v>830</v>
      </c>
      <c r="B15" s="273"/>
      <c r="C15" s="273">
        <f>+SORECGFws!C6</f>
        <v>401918</v>
      </c>
      <c r="D15" s="273"/>
      <c r="E15" s="273">
        <f>+SORECGFws!D6</f>
        <v>0</v>
      </c>
      <c r="F15" s="273"/>
      <c r="G15" s="273">
        <f>+SORECGFws!E6</f>
        <v>0</v>
      </c>
      <c r="H15" s="273"/>
      <c r="I15" s="273"/>
      <c r="J15" s="273"/>
      <c r="K15" s="273"/>
      <c r="L15" s="273"/>
      <c r="M15" s="273"/>
      <c r="N15" s="273"/>
      <c r="O15" s="273"/>
      <c r="P15" s="273"/>
      <c r="Q15" s="273"/>
      <c r="R15" s="273"/>
      <c r="S15" s="273"/>
      <c r="T15" s="273"/>
      <c r="U15" s="273"/>
      <c r="V15" s="273"/>
      <c r="W15" s="273">
        <f>+'Nonmajor SOREC'!I14</f>
        <v>125211</v>
      </c>
      <c r="X15" s="273"/>
      <c r="Y15" s="273">
        <f t="shared" ref="Y15:Y27" si="0">SUM(C15:W15)</f>
        <v>527129</v>
      </c>
      <c r="Z15" s="299"/>
    </row>
    <row r="16" spans="1:26" s="253" customFormat="1" ht="9.9499999999999993" customHeight="1" x14ac:dyDescent="0.2">
      <c r="A16" s="351" t="s">
        <v>831</v>
      </c>
      <c r="B16" s="273"/>
      <c r="C16" s="273">
        <f>+SORECGFws!C7</f>
        <v>12425</v>
      </c>
      <c r="D16" s="273"/>
      <c r="E16" s="273">
        <f>+SORECGFws!D7</f>
        <v>0</v>
      </c>
      <c r="F16" s="273"/>
      <c r="G16" s="273">
        <f>+SORECGFws!E7</f>
        <v>0</v>
      </c>
      <c r="H16" s="273"/>
      <c r="I16" s="273"/>
      <c r="J16" s="273"/>
      <c r="K16" s="273"/>
      <c r="L16" s="273"/>
      <c r="M16" s="273"/>
      <c r="N16" s="273"/>
      <c r="O16" s="273"/>
      <c r="P16" s="273"/>
      <c r="Q16" s="273"/>
      <c r="R16" s="273"/>
      <c r="S16" s="273"/>
      <c r="T16" s="273"/>
      <c r="U16" s="273"/>
      <c r="V16" s="273"/>
      <c r="W16" s="273">
        <f>+'Nonmajor SOREC'!I15</f>
        <v>0</v>
      </c>
      <c r="X16" s="273"/>
      <c r="Y16" s="273">
        <f t="shared" si="0"/>
        <v>12425</v>
      </c>
      <c r="Z16" s="299"/>
    </row>
    <row r="17" spans="1:26" s="253" customFormat="1" ht="9.9499999999999993" customHeight="1" x14ac:dyDescent="0.2">
      <c r="A17" s="351" t="s">
        <v>827</v>
      </c>
      <c r="B17" s="273"/>
      <c r="C17" s="273">
        <f>+SORECGFws!C8</f>
        <v>15768</v>
      </c>
      <c r="D17" s="273"/>
      <c r="E17" s="273">
        <f>+SORECGFws!D8</f>
        <v>0</v>
      </c>
      <c r="F17" s="273"/>
      <c r="G17" s="273">
        <f>+SORECGFws!E8</f>
        <v>0</v>
      </c>
      <c r="H17" s="273"/>
      <c r="I17" s="273"/>
      <c r="J17" s="273"/>
      <c r="K17" s="273"/>
      <c r="L17" s="273"/>
      <c r="M17" s="273"/>
      <c r="N17" s="273"/>
      <c r="O17" s="273"/>
      <c r="P17" s="273"/>
      <c r="Q17" s="273"/>
      <c r="R17" s="273"/>
      <c r="S17" s="273"/>
      <c r="T17" s="273"/>
      <c r="U17" s="273"/>
      <c r="V17" s="273"/>
      <c r="W17" s="273">
        <f>+'Nonmajor SOREC'!I16</f>
        <v>1718</v>
      </c>
      <c r="X17" s="273"/>
      <c r="Y17" s="273">
        <f t="shared" si="0"/>
        <v>17486</v>
      </c>
      <c r="Z17" s="299"/>
    </row>
    <row r="18" spans="1:26" s="253" customFormat="1" ht="9.9499999999999993" customHeight="1" x14ac:dyDescent="0.2">
      <c r="A18" s="351" t="s">
        <v>832</v>
      </c>
      <c r="B18" s="273"/>
      <c r="C18" s="273">
        <f>+SORECGFws!C9</f>
        <v>0</v>
      </c>
      <c r="D18" s="273"/>
      <c r="E18" s="273">
        <f>+SORECGFws!D9</f>
        <v>0</v>
      </c>
      <c r="F18" s="273"/>
      <c r="G18" s="273">
        <f>+SORECGFws!E9</f>
        <v>0</v>
      </c>
      <c r="H18" s="273"/>
      <c r="I18" s="273"/>
      <c r="J18" s="273"/>
      <c r="K18" s="273"/>
      <c r="L18" s="273"/>
      <c r="M18" s="273"/>
      <c r="N18" s="273"/>
      <c r="O18" s="397"/>
      <c r="P18" s="273"/>
      <c r="Q18" s="273"/>
      <c r="R18" s="273"/>
      <c r="S18" s="273"/>
      <c r="T18" s="273"/>
      <c r="U18" s="273"/>
      <c r="V18" s="273"/>
      <c r="W18" s="273">
        <f>+'Nonmajor SOREC'!I17</f>
        <v>110048</v>
      </c>
      <c r="X18" s="273"/>
      <c r="Y18" s="273">
        <f t="shared" si="0"/>
        <v>110048</v>
      </c>
      <c r="Z18" s="299"/>
    </row>
    <row r="19" spans="1:26" s="253" customFormat="1" ht="9.9499999999999993" customHeight="1" x14ac:dyDescent="0.2">
      <c r="A19" s="351" t="s">
        <v>944</v>
      </c>
      <c r="B19" s="273"/>
      <c r="C19" s="273">
        <f>+SORECGFws!C10</f>
        <v>3487</v>
      </c>
      <c r="D19" s="273"/>
      <c r="E19" s="273">
        <f>+SORECGFws!D10</f>
        <v>2234</v>
      </c>
      <c r="F19" s="273"/>
      <c r="G19" s="273">
        <f>+SORECGFws!E10</f>
        <v>0</v>
      </c>
      <c r="H19" s="273"/>
      <c r="I19" s="273"/>
      <c r="J19" s="273"/>
      <c r="K19" s="273"/>
      <c r="L19" s="273"/>
      <c r="M19" s="273"/>
      <c r="N19" s="273"/>
      <c r="O19" s="273"/>
      <c r="P19" s="273"/>
      <c r="Q19" s="273"/>
      <c r="R19" s="273"/>
      <c r="S19" s="273"/>
      <c r="T19" s="273"/>
      <c r="U19" s="273"/>
      <c r="V19" s="273"/>
      <c r="W19" s="273">
        <f>+'Nonmajor SOREC'!I18</f>
        <v>961</v>
      </c>
      <c r="X19" s="273"/>
      <c r="Y19" s="273">
        <f t="shared" si="0"/>
        <v>6682</v>
      </c>
      <c r="Z19" s="299"/>
    </row>
    <row r="20" spans="1:26" s="253" customFormat="1" ht="9.9499999999999993" customHeight="1" x14ac:dyDescent="0.2">
      <c r="A20" s="349" t="s">
        <v>945</v>
      </c>
      <c r="B20" s="273"/>
      <c r="C20" s="273">
        <f>+SORECGFws!C11</f>
        <v>10047</v>
      </c>
      <c r="D20" s="273"/>
      <c r="E20" s="273">
        <f>+SORECGFws!D11</f>
        <v>0</v>
      </c>
      <c r="F20" s="273"/>
      <c r="G20" s="273">
        <f>+SORECGFws!E11</f>
        <v>0</v>
      </c>
      <c r="H20" s="273"/>
      <c r="I20" s="273"/>
      <c r="J20" s="273"/>
      <c r="K20" s="273"/>
      <c r="L20" s="273"/>
      <c r="M20" s="273"/>
      <c r="N20" s="273"/>
      <c r="O20" s="273"/>
      <c r="P20" s="273"/>
      <c r="Q20" s="273"/>
      <c r="R20" s="273"/>
      <c r="S20" s="273"/>
      <c r="T20" s="273"/>
      <c r="U20" s="273"/>
      <c r="V20" s="273"/>
      <c r="W20" s="273">
        <f>+'Nonmajor SOREC'!I19</f>
        <v>0</v>
      </c>
      <c r="X20" s="273"/>
      <c r="Y20" s="273">
        <f t="shared" si="0"/>
        <v>10047</v>
      </c>
      <c r="Z20" s="299"/>
    </row>
    <row r="21" spans="1:26" s="253" customFormat="1" ht="9.9499999999999993" customHeight="1" x14ac:dyDescent="0.2">
      <c r="A21" s="349" t="s">
        <v>946</v>
      </c>
      <c r="B21" s="273"/>
      <c r="C21" s="273">
        <f>+SORECGFws!C12</f>
        <v>108753</v>
      </c>
      <c r="D21" s="273"/>
      <c r="E21" s="273">
        <f>+SORECGFws!D12</f>
        <v>0</v>
      </c>
      <c r="F21" s="273"/>
      <c r="G21" s="273">
        <f>+SORECGFws!E12</f>
        <v>92726</v>
      </c>
      <c r="H21" s="273"/>
      <c r="I21" s="273">
        <f>SORECGFws!F12</f>
        <v>225467</v>
      </c>
      <c r="J21" s="273"/>
      <c r="K21" s="273"/>
      <c r="L21" s="273"/>
      <c r="M21" s="273"/>
      <c r="N21" s="273"/>
      <c r="O21" s="273"/>
      <c r="P21" s="273"/>
      <c r="Q21" s="273"/>
      <c r="R21" s="273"/>
      <c r="S21" s="273"/>
      <c r="T21" s="273"/>
      <c r="U21" s="273"/>
      <c r="V21" s="273"/>
      <c r="W21" s="273">
        <f>+'Nonmajor SOREC'!I20</f>
        <v>67300</v>
      </c>
      <c r="X21" s="273"/>
      <c r="Y21" s="273">
        <f t="shared" si="0"/>
        <v>494246</v>
      </c>
      <c r="Z21" s="299"/>
    </row>
    <row r="22" spans="1:26" s="253" customFormat="1" ht="9.9499999999999993" customHeight="1" x14ac:dyDescent="0.2">
      <c r="A22" s="349" t="s">
        <v>947</v>
      </c>
      <c r="B22" s="273"/>
      <c r="C22" s="273">
        <f>+SORECGFws!C13</f>
        <v>500488</v>
      </c>
      <c r="D22" s="273"/>
      <c r="E22" s="273">
        <f>+SORECGFws!D13</f>
        <v>0</v>
      </c>
      <c r="F22" s="273"/>
      <c r="G22" s="273">
        <f>+SORECGFws!E13</f>
        <v>0</v>
      </c>
      <c r="H22" s="273"/>
      <c r="I22" s="273"/>
      <c r="J22" s="273"/>
      <c r="K22" s="273"/>
      <c r="L22" s="273"/>
      <c r="M22" s="273"/>
      <c r="N22" s="273"/>
      <c r="O22" s="273"/>
      <c r="P22" s="273"/>
      <c r="Q22" s="273"/>
      <c r="R22" s="273"/>
      <c r="S22" s="273"/>
      <c r="T22" s="273"/>
      <c r="U22" s="273"/>
      <c r="V22" s="273"/>
      <c r="W22" s="273">
        <f>+'Nonmajor SOREC'!I21</f>
        <v>0</v>
      </c>
      <c r="X22" s="273"/>
      <c r="Y22" s="273">
        <f t="shared" si="0"/>
        <v>500488</v>
      </c>
      <c r="Z22" s="299"/>
    </row>
    <row r="23" spans="1:26" s="253" customFormat="1" ht="9.9499999999999993" customHeight="1" x14ac:dyDescent="0.2">
      <c r="A23" s="349" t="s">
        <v>948</v>
      </c>
      <c r="B23" s="273"/>
      <c r="C23" s="273">
        <f>+SORECGFws!C14</f>
        <v>69075</v>
      </c>
      <c r="D23" s="273"/>
      <c r="E23" s="273">
        <f>+SORECGFws!D14</f>
        <v>0</v>
      </c>
      <c r="F23" s="273"/>
      <c r="G23" s="273">
        <f>+SORECGFws!E14</f>
        <v>0</v>
      </c>
      <c r="H23" s="273"/>
      <c r="I23" s="273"/>
      <c r="J23" s="273"/>
      <c r="K23" s="273"/>
      <c r="L23" s="273"/>
      <c r="M23" s="273"/>
      <c r="N23" s="273"/>
      <c r="O23" s="273"/>
      <c r="P23" s="273"/>
      <c r="Q23" s="273"/>
      <c r="R23" s="273"/>
      <c r="S23" s="273"/>
      <c r="T23" s="273"/>
      <c r="U23" s="273"/>
      <c r="V23" s="273"/>
      <c r="W23" s="273">
        <f>+'Nonmajor SOREC'!I22</f>
        <v>158805</v>
      </c>
      <c r="X23" s="273"/>
      <c r="Y23" s="273">
        <f t="shared" si="0"/>
        <v>227880</v>
      </c>
      <c r="Z23" s="299"/>
    </row>
    <row r="24" spans="1:26" s="253" customFormat="1" ht="9.9499999999999993" customHeight="1" x14ac:dyDescent="0.2">
      <c r="A24" s="349" t="s">
        <v>16</v>
      </c>
      <c r="B24" s="273"/>
      <c r="C24" s="273">
        <f>+SORECGFws!C15</f>
        <v>9655</v>
      </c>
      <c r="D24" s="273"/>
      <c r="E24" s="273">
        <f>+SORECGFws!D15</f>
        <v>0</v>
      </c>
      <c r="F24" s="273"/>
      <c r="G24" s="273">
        <f>+SORECGFws!E15</f>
        <v>0</v>
      </c>
      <c r="H24" s="273"/>
      <c r="I24" s="273"/>
      <c r="J24" s="273"/>
      <c r="K24" s="273"/>
      <c r="L24" s="273"/>
      <c r="M24" s="273"/>
      <c r="N24" s="273"/>
      <c r="O24" s="273"/>
      <c r="P24" s="273"/>
      <c r="Q24" s="273"/>
      <c r="R24" s="273"/>
      <c r="S24" s="273"/>
      <c r="T24" s="273"/>
      <c r="U24" s="273"/>
      <c r="V24" s="273"/>
      <c r="W24" s="273">
        <f>+'Nonmajor SOREC'!I23</f>
        <v>304</v>
      </c>
      <c r="X24" s="273"/>
      <c r="Y24" s="273">
        <f t="shared" si="0"/>
        <v>9959</v>
      </c>
      <c r="Z24" s="299"/>
    </row>
    <row r="25" spans="1:26" s="253" customFormat="1" ht="9.9499999999999993" customHeight="1" x14ac:dyDescent="0.2">
      <c r="A25" s="349" t="s">
        <v>775</v>
      </c>
      <c r="B25" s="273"/>
      <c r="C25" s="273">
        <f>+SORECGFws!C16</f>
        <v>21439</v>
      </c>
      <c r="D25" s="273"/>
      <c r="E25" s="273">
        <f>+SORECGFws!D16</f>
        <v>430</v>
      </c>
      <c r="F25" s="273"/>
      <c r="G25" s="273">
        <f>+SORECGFws!E16</f>
        <v>1</v>
      </c>
      <c r="H25" s="273"/>
      <c r="I25" s="273">
        <f>SORECGFws!F16</f>
        <v>359</v>
      </c>
      <c r="J25" s="273"/>
      <c r="K25" s="273"/>
      <c r="L25" s="273"/>
      <c r="M25" s="273"/>
      <c r="N25" s="273"/>
      <c r="O25" s="273"/>
      <c r="P25" s="273"/>
      <c r="Q25" s="273"/>
      <c r="R25" s="273"/>
      <c r="S25" s="273"/>
      <c r="T25" s="273"/>
      <c r="U25" s="273"/>
      <c r="V25" s="273"/>
      <c r="W25" s="273">
        <f>+'Nonmajor SOREC'!I24</f>
        <v>55635</v>
      </c>
      <c r="X25" s="273"/>
      <c r="Y25" s="273">
        <f t="shared" si="0"/>
        <v>77864</v>
      </c>
      <c r="Z25" s="299"/>
    </row>
    <row r="26" spans="1:26" s="253" customFormat="1" ht="9.9499999999999993" customHeight="1" x14ac:dyDescent="0.2">
      <c r="A26" s="349" t="s">
        <v>1664</v>
      </c>
      <c r="B26" s="273"/>
      <c r="C26" s="273">
        <f>+SORECGFws!C17</f>
        <v>35484</v>
      </c>
      <c r="D26" s="273"/>
      <c r="E26" s="273">
        <f>+SORECGFws!D17</f>
        <v>5311</v>
      </c>
      <c r="F26" s="273"/>
      <c r="G26" s="273">
        <f>+SORECGFws!E17</f>
        <v>7958</v>
      </c>
      <c r="H26" s="273"/>
      <c r="I26" s="273">
        <f>SORECGFws!F17</f>
        <v>98</v>
      </c>
      <c r="J26" s="273"/>
      <c r="K26" s="273"/>
      <c r="L26" s="273"/>
      <c r="M26" s="273"/>
      <c r="N26" s="273"/>
      <c r="O26" s="273"/>
      <c r="P26" s="273"/>
      <c r="Q26" s="273"/>
      <c r="R26" s="273"/>
      <c r="S26" s="273">
        <f>SORECGFws!AE17</f>
        <v>14525</v>
      </c>
      <c r="T26" s="273"/>
      <c r="U26" s="273"/>
      <c r="V26" s="273"/>
      <c r="W26" s="273">
        <f>+'Nonmajor SOREC'!I25</f>
        <v>59986</v>
      </c>
      <c r="X26" s="273"/>
      <c r="Y26" s="273">
        <f t="shared" si="0"/>
        <v>123362</v>
      </c>
      <c r="Z26" s="299"/>
    </row>
    <row r="27" spans="1:26" s="253" customFormat="1" ht="9.9499999999999993" customHeight="1" x14ac:dyDescent="0.2">
      <c r="A27" s="349" t="s">
        <v>766</v>
      </c>
      <c r="B27" s="273"/>
      <c r="C27" s="273">
        <f>+SORECGFws!C18</f>
        <v>0</v>
      </c>
      <c r="D27" s="273"/>
      <c r="E27" s="273">
        <f>+SORECGFws!D18</f>
        <v>0</v>
      </c>
      <c r="F27" s="273"/>
      <c r="G27" s="273">
        <f>+SORECGFws!E18</f>
        <v>0</v>
      </c>
      <c r="H27" s="273"/>
      <c r="I27" s="273">
        <f>SORECGFws!F18</f>
        <v>17536</v>
      </c>
      <c r="J27" s="273"/>
      <c r="K27" s="273"/>
      <c r="L27" s="273"/>
      <c r="M27" s="273"/>
      <c r="N27" s="273"/>
      <c r="O27" s="273"/>
      <c r="P27" s="273"/>
      <c r="Q27" s="273"/>
      <c r="R27" s="273"/>
      <c r="S27" s="273"/>
      <c r="T27" s="273"/>
      <c r="U27" s="273"/>
      <c r="V27" s="273"/>
      <c r="W27" s="273">
        <f>+'Nonmajor SOREC'!I26</f>
        <v>6876</v>
      </c>
      <c r="X27" s="273"/>
      <c r="Y27" s="273">
        <f t="shared" si="0"/>
        <v>24412</v>
      </c>
      <c r="Z27" s="299"/>
    </row>
    <row r="28" spans="1:26" s="253" customFormat="1" ht="5.0999999999999996" customHeight="1" x14ac:dyDescent="0.2">
      <c r="B28" s="273"/>
      <c r="C28" s="340"/>
      <c r="D28" s="273"/>
      <c r="E28" s="340"/>
      <c r="F28" s="273"/>
      <c r="G28" s="340"/>
      <c r="H28" s="273"/>
      <c r="I28" s="340"/>
      <c r="J28" s="273"/>
      <c r="K28" s="340"/>
      <c r="L28" s="273"/>
      <c r="M28" s="340"/>
      <c r="N28" s="273"/>
      <c r="O28" s="340"/>
      <c r="P28" s="273"/>
      <c r="Q28" s="340"/>
      <c r="R28" s="273"/>
      <c r="S28" s="340"/>
      <c r="T28" s="273"/>
      <c r="U28" s="340"/>
      <c r="V28" s="273"/>
      <c r="W28" s="340"/>
      <c r="X28" s="273"/>
      <c r="Y28" s="340"/>
      <c r="Z28" s="299"/>
    </row>
    <row r="29" spans="1:26" s="253" customFormat="1" ht="9.9499999999999993" customHeight="1" x14ac:dyDescent="0.2">
      <c r="A29" s="353" t="s">
        <v>950</v>
      </c>
      <c r="B29" s="273"/>
      <c r="C29" s="341">
        <f>SUM(C14:C28)</f>
        <v>1648377</v>
      </c>
      <c r="D29" s="273"/>
      <c r="E29" s="341">
        <f>SUM(E14:E28)</f>
        <v>303116</v>
      </c>
      <c r="F29" s="273"/>
      <c r="G29" s="341">
        <f>SUM(G14:G28)</f>
        <v>100685</v>
      </c>
      <c r="H29" s="273"/>
      <c r="I29" s="341">
        <f>SUM(I14:I28)</f>
        <v>243460</v>
      </c>
      <c r="J29" s="273"/>
      <c r="K29" s="341">
        <f>SUM(K14:K28)</f>
        <v>0</v>
      </c>
      <c r="L29" s="273"/>
      <c r="M29" s="341">
        <f>SUM(M14:M28)</f>
        <v>0</v>
      </c>
      <c r="N29" s="273"/>
      <c r="O29" s="341">
        <f>SUM(O14:O28)</f>
        <v>0</v>
      </c>
      <c r="P29" s="273"/>
      <c r="Q29" s="341">
        <f>SUM(Q14:Q28)</f>
        <v>0</v>
      </c>
      <c r="R29" s="273"/>
      <c r="S29" s="341">
        <f>SUM(S14:S28)</f>
        <v>14525</v>
      </c>
      <c r="T29" s="273"/>
      <c r="U29" s="341">
        <f>SUM(U14:U28)</f>
        <v>0</v>
      </c>
      <c r="V29" s="273"/>
      <c r="W29" s="341">
        <f>SUM(W14:W28)</f>
        <v>637591</v>
      </c>
      <c r="X29" s="273"/>
      <c r="Y29" s="341">
        <f>SUM(Y14:Y28)</f>
        <v>2947754</v>
      </c>
      <c r="Z29" s="299"/>
    </row>
    <row r="30" spans="1:26" s="253" customFormat="1" ht="9.9499999999999993" customHeight="1" x14ac:dyDescent="0.2">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348"/>
    </row>
    <row r="31" spans="1:26" s="253" customFormat="1" ht="9.9499999999999993" customHeight="1" x14ac:dyDescent="0.2">
      <c r="A31" s="353" t="s">
        <v>590</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348"/>
    </row>
    <row r="32" spans="1:26" s="253" customFormat="1" ht="9.9499999999999993" customHeight="1" x14ac:dyDescent="0.2">
      <c r="A32" s="349" t="s">
        <v>952</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348"/>
    </row>
    <row r="33" spans="1:27" s="253" customFormat="1" ht="9.9499999999999993" customHeight="1" x14ac:dyDescent="0.2">
      <c r="A33" s="351" t="s">
        <v>953</v>
      </c>
      <c r="B33" s="273"/>
      <c r="C33" s="273">
        <f>+SORECGFws!C23</f>
        <v>131306</v>
      </c>
      <c r="D33" s="273"/>
      <c r="E33" s="273">
        <f>+SORECGFws!D23</f>
        <v>1412</v>
      </c>
      <c r="F33" s="273"/>
      <c r="G33" s="273">
        <f>+SORECGFws!E23</f>
        <v>7086</v>
      </c>
      <c r="H33" s="273"/>
      <c r="I33" s="273">
        <f>SORECGFws!F23</f>
        <v>3621</v>
      </c>
      <c r="J33" s="273"/>
      <c r="K33" s="273"/>
      <c r="L33" s="273"/>
      <c r="M33" s="273"/>
      <c r="N33" s="273"/>
      <c r="O33" s="273">
        <f>+SORECGFws!BR23</f>
        <v>0</v>
      </c>
      <c r="P33" s="273"/>
      <c r="Q33" s="273"/>
      <c r="R33" s="273"/>
      <c r="S33" s="273"/>
      <c r="T33" s="273"/>
      <c r="U33" s="273"/>
      <c r="V33" s="273"/>
      <c r="W33" s="273">
        <f>+'Nonmajor SOREC'!I32</f>
        <v>14936</v>
      </c>
      <c r="X33" s="273"/>
      <c r="Y33" s="273">
        <f t="shared" ref="Y33:Y56" si="1">SUM(C33:W33)</f>
        <v>158361</v>
      </c>
      <c r="Z33" s="356"/>
    </row>
    <row r="34" spans="1:27" s="253" customFormat="1" ht="9.9499999999999993" customHeight="1" x14ac:dyDescent="0.2">
      <c r="A34" s="351" t="s">
        <v>954</v>
      </c>
      <c r="B34" s="273"/>
      <c r="C34" s="273">
        <f>+SORECGFws!C24</f>
        <v>996403</v>
      </c>
      <c r="D34" s="273"/>
      <c r="E34" s="273">
        <f>+SORECGFws!D24</f>
        <v>0</v>
      </c>
      <c r="F34" s="273"/>
      <c r="G34" s="273">
        <f>+SORECGFws!E24</f>
        <v>213</v>
      </c>
      <c r="H34" s="273"/>
      <c r="I34" s="273">
        <f>SORECGFws!F24</f>
        <v>22835</v>
      </c>
      <c r="J34" s="273"/>
      <c r="K34" s="273"/>
      <c r="L34" s="273"/>
      <c r="M34" s="273"/>
      <c r="N34" s="273"/>
      <c r="O34" s="273">
        <f>+SORECGFws!BR24</f>
        <v>0</v>
      </c>
      <c r="P34" s="273"/>
      <c r="Q34" s="273"/>
      <c r="R34" s="273"/>
      <c r="S34" s="273"/>
      <c r="T34" s="273"/>
      <c r="U34" s="273"/>
      <c r="V34" s="273"/>
      <c r="W34" s="273">
        <f>+'Nonmajor SOREC'!I33</f>
        <v>10648</v>
      </c>
      <c r="X34" s="273"/>
      <c r="Y34" s="273">
        <f t="shared" si="1"/>
        <v>1030099</v>
      </c>
      <c r="Z34" s="356"/>
    </row>
    <row r="35" spans="1:27" s="253" customFormat="1" ht="9.9499999999999993" customHeight="1" x14ac:dyDescent="0.2">
      <c r="A35" s="351" t="s">
        <v>955</v>
      </c>
      <c r="B35" s="273"/>
      <c r="C35" s="273">
        <f>+SORECGFws!C25</f>
        <v>69285</v>
      </c>
      <c r="D35" s="273"/>
      <c r="E35" s="273">
        <f>+SORECGFws!D25</f>
        <v>0</v>
      </c>
      <c r="F35" s="273"/>
      <c r="G35" s="273">
        <f>+SORECGFws!E25</f>
        <v>12093</v>
      </c>
      <c r="H35" s="273"/>
      <c r="I35" s="273">
        <f>SORECGFws!F25</f>
        <v>15043</v>
      </c>
      <c r="J35" s="273"/>
      <c r="K35" s="273"/>
      <c r="L35" s="273"/>
      <c r="M35" s="273"/>
      <c r="N35" s="273"/>
      <c r="O35" s="273"/>
      <c r="P35" s="273"/>
      <c r="Q35" s="273"/>
      <c r="R35" s="273"/>
      <c r="S35" s="273"/>
      <c r="T35" s="273"/>
      <c r="U35" s="273"/>
      <c r="V35" s="273"/>
      <c r="W35" s="273">
        <f>+'Nonmajor SOREC'!I34</f>
        <v>63403</v>
      </c>
      <c r="X35" s="273"/>
      <c r="Y35" s="273">
        <f t="shared" si="1"/>
        <v>159824</v>
      </c>
      <c r="Z35" s="356"/>
    </row>
    <row r="36" spans="1:27" s="253" customFormat="1" ht="9.9499999999999993" customHeight="1" x14ac:dyDescent="0.2">
      <c r="A36" s="351" t="s">
        <v>956</v>
      </c>
      <c r="B36" s="273"/>
      <c r="C36" s="273">
        <f>+SORECGFws!C26</f>
        <v>67382</v>
      </c>
      <c r="D36" s="273"/>
      <c r="E36" s="273">
        <f>+SORECGFws!D26</f>
        <v>0</v>
      </c>
      <c r="F36" s="273"/>
      <c r="G36" s="273">
        <f>+SORECGFws!E26</f>
        <v>25551</v>
      </c>
      <c r="H36" s="273"/>
      <c r="I36" s="273">
        <f>SORECGFws!F26</f>
        <v>18351</v>
      </c>
      <c r="J36" s="273"/>
      <c r="K36" s="273"/>
      <c r="L36" s="273"/>
      <c r="M36" s="273"/>
      <c r="N36" s="273"/>
      <c r="O36" s="273"/>
      <c r="P36" s="273"/>
      <c r="Q36" s="273"/>
      <c r="R36" s="273"/>
      <c r="S36" s="273"/>
      <c r="T36" s="273"/>
      <c r="U36" s="273"/>
      <c r="V36" s="273"/>
      <c r="W36" s="273">
        <f>+'Nonmajor SOREC'!I35</f>
        <v>9082</v>
      </c>
      <c r="X36" s="273"/>
      <c r="Y36" s="273">
        <f t="shared" si="1"/>
        <v>120366</v>
      </c>
      <c r="Z36" s="356"/>
    </row>
    <row r="37" spans="1:27" s="253" customFormat="1" ht="9.9499999999999993" customHeight="1" x14ac:dyDescent="0.2">
      <c r="A37" s="351" t="s">
        <v>958</v>
      </c>
      <c r="B37" s="273"/>
      <c r="C37" s="273">
        <f>+SORECGFws!C27</f>
        <v>0</v>
      </c>
      <c r="D37" s="273"/>
      <c r="E37" s="273">
        <f>+SORECGFws!D27</f>
        <v>0</v>
      </c>
      <c r="F37" s="273"/>
      <c r="G37" s="273">
        <f>+SORECGFws!E27</f>
        <v>0</v>
      </c>
      <c r="H37" s="273"/>
      <c r="I37" s="273">
        <f>SORECGFws!F27</f>
        <v>23</v>
      </c>
      <c r="J37" s="273"/>
      <c r="K37" s="273"/>
      <c r="L37" s="273"/>
      <c r="M37" s="273"/>
      <c r="N37" s="273"/>
      <c r="O37" s="273"/>
      <c r="P37" s="273"/>
      <c r="Q37" s="273"/>
      <c r="R37" s="273"/>
      <c r="S37" s="273"/>
      <c r="T37" s="273"/>
      <c r="U37" s="273"/>
      <c r="V37" s="273"/>
      <c r="W37" s="273">
        <f>+'Nonmajor SOREC'!I36</f>
        <v>12586</v>
      </c>
      <c r="X37" s="273"/>
      <c r="Y37" s="273">
        <f t="shared" si="1"/>
        <v>12609</v>
      </c>
      <c r="Z37" s="356"/>
    </row>
    <row r="38" spans="1:27" s="253" customFormat="1" ht="9.9499999999999993" customHeight="1" x14ac:dyDescent="0.2">
      <c r="A38" s="351" t="s">
        <v>959</v>
      </c>
      <c r="B38" s="273"/>
      <c r="C38" s="273">
        <f>+SORECGFws!C28</f>
        <v>54428</v>
      </c>
      <c r="D38" s="273"/>
      <c r="E38" s="273">
        <f>+SORECGFws!D28</f>
        <v>0</v>
      </c>
      <c r="F38" s="273"/>
      <c r="G38" s="273">
        <f>+SORECGFws!E28</f>
        <v>16934</v>
      </c>
      <c r="H38" s="273"/>
      <c r="I38" s="273">
        <f>SORECGFws!F28</f>
        <v>192941</v>
      </c>
      <c r="J38" s="273"/>
      <c r="K38" s="273"/>
      <c r="L38" s="273"/>
      <c r="M38" s="273"/>
      <c r="N38" s="273"/>
      <c r="O38" s="273"/>
      <c r="P38" s="273"/>
      <c r="Q38" s="273"/>
      <c r="R38" s="273"/>
      <c r="S38" s="273"/>
      <c r="T38" s="273"/>
      <c r="U38" s="273"/>
      <c r="V38" s="273"/>
      <c r="W38" s="273">
        <f>+'Nonmajor SOREC'!I37</f>
        <v>1204</v>
      </c>
      <c r="X38" s="273"/>
      <c r="Y38" s="273">
        <f t="shared" si="1"/>
        <v>265507</v>
      </c>
      <c r="Z38" s="356"/>
    </row>
    <row r="39" spans="1:27" s="253" customFormat="1" ht="9.9499999999999993" customHeight="1" x14ac:dyDescent="0.2">
      <c r="A39" s="351" t="s">
        <v>961</v>
      </c>
      <c r="B39" s="273"/>
      <c r="C39" s="273">
        <f>+SORECGFws!C29</f>
        <v>150007</v>
      </c>
      <c r="D39" s="273"/>
      <c r="E39" s="273">
        <f>+SORECGFws!D29</f>
        <v>0</v>
      </c>
      <c r="F39" s="273"/>
      <c r="G39" s="273">
        <f>+SORECGFws!E29</f>
        <v>0</v>
      </c>
      <c r="H39" s="273"/>
      <c r="I39" s="273">
        <f>SORECGFws!F29</f>
        <v>197</v>
      </c>
      <c r="J39" s="273"/>
      <c r="K39" s="273"/>
      <c r="L39" s="273"/>
      <c r="M39" s="273"/>
      <c r="N39" s="273"/>
      <c r="O39" s="273"/>
      <c r="P39" s="273"/>
      <c r="Q39" s="273"/>
      <c r="R39" s="273"/>
      <c r="S39" s="273"/>
      <c r="T39" s="273"/>
      <c r="U39" s="273"/>
      <c r="V39" s="273"/>
      <c r="W39" s="273">
        <f>+'Nonmajor SOREC'!I38</f>
        <v>74034</v>
      </c>
      <c r="X39" s="273"/>
      <c r="Y39" s="273">
        <f t="shared" si="1"/>
        <v>224238</v>
      </c>
      <c r="Z39" s="356"/>
    </row>
    <row r="40" spans="1:27" s="253" customFormat="1" ht="9.9499999999999993" customHeight="1" x14ac:dyDescent="0.2">
      <c r="A40" s="351" t="s">
        <v>960</v>
      </c>
      <c r="B40" s="273"/>
      <c r="C40" s="273">
        <f>+SORECGFws!C30</f>
        <v>0</v>
      </c>
      <c r="D40" s="273"/>
      <c r="E40" s="273">
        <f>+SORECGFws!D30</f>
        <v>0</v>
      </c>
      <c r="F40" s="273"/>
      <c r="G40" s="273">
        <f>+SORECGFws!E30</f>
        <v>0</v>
      </c>
      <c r="H40" s="273"/>
      <c r="I40" s="273">
        <f>SORECGFws!F30</f>
        <v>0</v>
      </c>
      <c r="J40" s="273"/>
      <c r="K40" s="273"/>
      <c r="L40" s="273"/>
      <c r="M40" s="273"/>
      <c r="N40" s="273"/>
      <c r="O40" s="273"/>
      <c r="P40" s="273"/>
      <c r="Q40" s="273"/>
      <c r="R40" s="273"/>
      <c r="S40" s="273"/>
      <c r="T40" s="273"/>
      <c r="U40" s="273"/>
      <c r="V40" s="273"/>
      <c r="W40" s="273">
        <f>+'Nonmajor SOREC'!I39</f>
        <v>77945</v>
      </c>
      <c r="X40" s="273"/>
      <c r="Y40" s="273">
        <f t="shared" si="1"/>
        <v>77945</v>
      </c>
      <c r="Z40" s="356"/>
    </row>
    <row r="41" spans="1:27" s="253" customFormat="1" ht="9.9499999999999993" customHeight="1" x14ac:dyDescent="0.2">
      <c r="A41" s="351" t="s">
        <v>963</v>
      </c>
      <c r="B41" s="273"/>
      <c r="C41" s="273">
        <f>+SORECGFws!C31</f>
        <v>37439</v>
      </c>
      <c r="D41" s="273"/>
      <c r="E41" s="273">
        <f>+SORECGFws!D31</f>
        <v>0</v>
      </c>
      <c r="F41" s="273"/>
      <c r="G41" s="273">
        <f>+SORECGFws!E31</f>
        <v>11680</v>
      </c>
      <c r="H41" s="273"/>
      <c r="I41" s="273">
        <f>SORECGFws!F31</f>
        <v>3419</v>
      </c>
      <c r="J41" s="273"/>
      <c r="K41" s="273"/>
      <c r="L41" s="273"/>
      <c r="M41" s="273"/>
      <c r="N41" s="273"/>
      <c r="O41" s="273"/>
      <c r="P41" s="273"/>
      <c r="Q41" s="273"/>
      <c r="R41" s="273"/>
      <c r="S41" s="273"/>
      <c r="T41" s="273"/>
      <c r="U41" s="273"/>
      <c r="V41" s="273"/>
      <c r="W41" s="273">
        <f>+'Nonmajor SOREC'!I40</f>
        <v>32520</v>
      </c>
      <c r="X41" s="273"/>
      <c r="Y41" s="273">
        <f t="shared" si="1"/>
        <v>85058</v>
      </c>
      <c r="Z41" s="356"/>
      <c r="AA41" s="273"/>
    </row>
    <row r="42" spans="1:27" s="253" customFormat="1" ht="9.9499999999999993" customHeight="1" x14ac:dyDescent="0.2">
      <c r="A42" s="351" t="s">
        <v>1191</v>
      </c>
      <c r="B42" s="273"/>
      <c r="C42" s="273">
        <f>+SORECGFws!C32</f>
        <v>0</v>
      </c>
      <c r="D42" s="273"/>
      <c r="E42" s="273">
        <f>+SORECGFws!D32</f>
        <v>0</v>
      </c>
      <c r="F42" s="273"/>
      <c r="G42" s="273">
        <f>+SORECGFws!E32</f>
        <v>297</v>
      </c>
      <c r="H42" s="273"/>
      <c r="I42" s="273">
        <f>SORECGFws!F32</f>
        <v>554</v>
      </c>
      <c r="J42" s="273"/>
      <c r="K42" s="273"/>
      <c r="L42" s="273"/>
      <c r="M42" s="273"/>
      <c r="N42" s="273"/>
      <c r="O42" s="273"/>
      <c r="P42" s="273"/>
      <c r="Q42" s="273"/>
      <c r="R42" s="273"/>
      <c r="S42" s="273"/>
      <c r="T42" s="273"/>
      <c r="U42" s="273"/>
      <c r="V42" s="273"/>
      <c r="W42" s="273">
        <f>+'Nonmajor SOREC'!I41</f>
        <v>140161</v>
      </c>
      <c r="X42" s="273"/>
      <c r="Y42" s="273">
        <f t="shared" si="1"/>
        <v>141012</v>
      </c>
      <c r="Z42" s="356"/>
    </row>
    <row r="43" spans="1:27" s="253" customFormat="1" ht="9.9499999999999993" customHeight="1" x14ac:dyDescent="0.2">
      <c r="A43" s="351" t="s">
        <v>964</v>
      </c>
      <c r="B43" s="273"/>
      <c r="C43" s="273">
        <f>+SORECGFws!C33</f>
        <v>9929</v>
      </c>
      <c r="D43" s="273"/>
      <c r="E43" s="273">
        <f>+SORECGFws!D33</f>
        <v>0</v>
      </c>
      <c r="F43" s="273"/>
      <c r="G43" s="273">
        <f>+SORECGFws!E33</f>
        <v>5562</v>
      </c>
      <c r="H43" s="273"/>
      <c r="I43" s="273">
        <f>SORECGFws!F33</f>
        <v>0</v>
      </c>
      <c r="J43" s="273"/>
      <c r="K43" s="273"/>
      <c r="L43" s="273"/>
      <c r="M43" s="273"/>
      <c r="N43" s="273"/>
      <c r="O43" s="273"/>
      <c r="P43" s="273"/>
      <c r="Q43" s="273"/>
      <c r="R43" s="273"/>
      <c r="S43" s="273"/>
      <c r="T43" s="273"/>
      <c r="U43" s="273"/>
      <c r="V43" s="273"/>
      <c r="W43" s="273">
        <f>+'Nonmajor SOREC'!I42</f>
        <v>41226</v>
      </c>
      <c r="X43" s="273"/>
      <c r="Y43" s="273">
        <f t="shared" si="1"/>
        <v>56717</v>
      </c>
      <c r="Z43" s="356"/>
    </row>
    <row r="44" spans="1:27" s="253" customFormat="1" ht="9.9499999999999993" customHeight="1" x14ac:dyDescent="0.2">
      <c r="A44" s="351" t="s">
        <v>1414</v>
      </c>
      <c r="B44" s="273"/>
      <c r="C44" s="273">
        <f>+SORECGFws!C34</f>
        <v>3225</v>
      </c>
      <c r="D44" s="273"/>
      <c r="E44" s="273">
        <f>+SORECGFws!D34</f>
        <v>0</v>
      </c>
      <c r="F44" s="273"/>
      <c r="G44" s="273">
        <f>+SORECGFws!E34</f>
        <v>0</v>
      </c>
      <c r="H44" s="273"/>
      <c r="I44" s="273">
        <f>SORECGFws!F34</f>
        <v>280</v>
      </c>
      <c r="J44" s="273"/>
      <c r="K44" s="273"/>
      <c r="L44" s="273"/>
      <c r="M44" s="273"/>
      <c r="N44" s="273"/>
      <c r="O44" s="273"/>
      <c r="P44" s="273"/>
      <c r="Q44" s="273"/>
      <c r="R44" s="273"/>
      <c r="S44" s="273"/>
      <c r="T44" s="273"/>
      <c r="U44" s="273"/>
      <c r="V44" s="273"/>
      <c r="W44" s="273">
        <f>+'Nonmajor SOREC'!I43</f>
        <v>114</v>
      </c>
      <c r="X44" s="273"/>
      <c r="Y44" s="273">
        <f t="shared" si="1"/>
        <v>3619</v>
      </c>
      <c r="Z44" s="356"/>
    </row>
    <row r="45" spans="1:27" s="253" customFormat="1" ht="9.9499999999999993" customHeight="1" x14ac:dyDescent="0.2">
      <c r="A45" s="349" t="s">
        <v>888</v>
      </c>
      <c r="B45" s="273"/>
      <c r="C45" s="273">
        <f>+SORECGFws!C35</f>
        <v>0</v>
      </c>
      <c r="D45" s="273"/>
      <c r="E45" s="273">
        <f>+SORECGFws!D35</f>
        <v>0</v>
      </c>
      <c r="F45" s="273"/>
      <c r="G45" s="273">
        <f>+SORECGFws!E35</f>
        <v>0</v>
      </c>
      <c r="H45" s="273"/>
      <c r="I45" s="273">
        <f>SORECGFws!F35</f>
        <v>0</v>
      </c>
      <c r="J45" s="273"/>
      <c r="K45" s="273"/>
      <c r="L45" s="273"/>
      <c r="M45" s="273"/>
      <c r="N45" s="273"/>
      <c r="O45" s="273"/>
      <c r="P45" s="273"/>
      <c r="Q45" s="273"/>
      <c r="R45" s="273"/>
      <c r="S45" s="273"/>
      <c r="T45" s="273"/>
      <c r="U45" s="273"/>
      <c r="V45" s="273"/>
      <c r="W45" s="273">
        <f>+'Nonmajor SOREC'!I44</f>
        <v>553157</v>
      </c>
      <c r="X45" s="273"/>
      <c r="Y45" s="273">
        <f t="shared" si="1"/>
        <v>553157</v>
      </c>
      <c r="Z45" s="356"/>
    </row>
    <row r="46" spans="1:27" s="253" customFormat="1" ht="9.9499999999999993" customHeight="1" x14ac:dyDescent="0.2">
      <c r="A46" s="349" t="s">
        <v>965</v>
      </c>
      <c r="B46" s="273"/>
      <c r="C46" s="273">
        <f>+SORECGFws!C36</f>
        <v>0</v>
      </c>
      <c r="D46" s="273"/>
      <c r="E46" s="273">
        <f>+SORECGFws!D36</f>
        <v>0</v>
      </c>
      <c r="F46" s="273"/>
      <c r="G46" s="273">
        <f>+SORECGFws!E36</f>
        <v>0</v>
      </c>
      <c r="H46" s="273"/>
      <c r="I46" s="273">
        <f>SORECGFws!F36</f>
        <v>0</v>
      </c>
      <c r="J46" s="273"/>
      <c r="K46" s="273"/>
      <c r="L46" s="273"/>
      <c r="M46" s="273"/>
      <c r="N46" s="273"/>
      <c r="O46" s="273"/>
      <c r="P46" s="273"/>
      <c r="Q46" s="273"/>
      <c r="R46" s="273"/>
      <c r="S46" s="273"/>
      <c r="T46" s="273"/>
      <c r="U46" s="273"/>
      <c r="V46" s="273"/>
      <c r="W46" s="273">
        <f>+'Nonmajor SOREC'!I45</f>
        <v>0</v>
      </c>
      <c r="X46" s="273"/>
      <c r="Y46" s="273">
        <f t="shared" si="1"/>
        <v>0</v>
      </c>
      <c r="Z46" s="397"/>
    </row>
    <row r="47" spans="1:27" s="253" customFormat="1" ht="9.9499999999999993" customHeight="1" x14ac:dyDescent="0.2">
      <c r="A47" s="351" t="s">
        <v>966</v>
      </c>
      <c r="B47" s="273"/>
      <c r="C47" s="273">
        <f>+SORECGFws!C37</f>
        <v>0</v>
      </c>
      <c r="D47" s="273"/>
      <c r="E47" s="273">
        <f>+SORECGFws!D37</f>
        <v>234610</v>
      </c>
      <c r="F47" s="273"/>
      <c r="G47" s="273">
        <f>+SORECGFws!E37</f>
        <v>0</v>
      </c>
      <c r="H47" s="273"/>
      <c r="I47" s="273">
        <f>SORECGFws!F37</f>
        <v>0</v>
      </c>
      <c r="J47" s="273"/>
      <c r="K47" s="273"/>
      <c r="L47" s="273"/>
      <c r="M47" s="273"/>
      <c r="N47" s="273"/>
      <c r="O47" s="273"/>
      <c r="P47" s="273"/>
      <c r="Q47" s="273"/>
      <c r="R47" s="273"/>
      <c r="S47" s="273"/>
      <c r="T47" s="273"/>
      <c r="U47" s="273"/>
      <c r="V47" s="273"/>
      <c r="W47" s="273">
        <f>+'Nonmajor SOREC'!I46</f>
        <v>38349</v>
      </c>
      <c r="X47" s="273"/>
      <c r="Y47" s="273">
        <f t="shared" si="1"/>
        <v>272959</v>
      </c>
      <c r="Z47" s="356"/>
    </row>
    <row r="48" spans="1:27" s="253" customFormat="1" ht="9.9499999999999993" customHeight="1" x14ac:dyDescent="0.2">
      <c r="A48" s="351" t="s">
        <v>949</v>
      </c>
      <c r="B48" s="273"/>
      <c r="C48" s="273">
        <f>+SORECGFws!C38</f>
        <v>0</v>
      </c>
      <c r="D48" s="273"/>
      <c r="E48" s="273">
        <f>+SORECGFws!D38</f>
        <v>87936</v>
      </c>
      <c r="F48" s="273"/>
      <c r="G48" s="273">
        <f>+SORECGFws!E38</f>
        <v>0</v>
      </c>
      <c r="H48" s="273"/>
      <c r="I48" s="273">
        <f>SORECGFws!F38</f>
        <v>0</v>
      </c>
      <c r="J48" s="273"/>
      <c r="K48" s="273">
        <f>SORECGFws!I38</f>
        <v>0</v>
      </c>
      <c r="L48" s="273"/>
      <c r="M48" s="273">
        <f>+SORECGFws!BQ38</f>
        <v>0</v>
      </c>
      <c r="N48" s="273"/>
      <c r="O48" s="273"/>
      <c r="P48" s="273"/>
      <c r="Q48" s="273"/>
      <c r="R48" s="273"/>
      <c r="S48" s="273"/>
      <c r="T48" s="273"/>
      <c r="U48" s="273"/>
      <c r="V48" s="273"/>
      <c r="W48" s="273">
        <f>+'Nonmajor SOREC'!I47</f>
        <v>30340</v>
      </c>
      <c r="X48" s="273"/>
      <c r="Y48" s="273">
        <f t="shared" si="1"/>
        <v>118276</v>
      </c>
      <c r="Z48" s="356"/>
    </row>
    <row r="49" spans="1:26" s="253" customFormat="1" ht="9.9499999999999993" customHeight="1" x14ac:dyDescent="0.2">
      <c r="A49" s="351" t="s">
        <v>91</v>
      </c>
      <c r="B49" s="273"/>
      <c r="C49" s="273">
        <f>+SORECGFws!C39</f>
        <v>0</v>
      </c>
      <c r="D49" s="273"/>
      <c r="E49" s="273">
        <f>+SORECGFws!D39</f>
        <v>0</v>
      </c>
      <c r="F49" s="273"/>
      <c r="G49" s="273">
        <f>+SORECGFws!E39</f>
        <v>0</v>
      </c>
      <c r="H49" s="273"/>
      <c r="I49" s="273">
        <f>SORECGFws!F39</f>
        <v>0</v>
      </c>
      <c r="J49" s="273"/>
      <c r="K49" s="273">
        <f>SORECGFws!I39</f>
        <v>0</v>
      </c>
      <c r="L49" s="273"/>
      <c r="M49" s="273">
        <f>+SORECGFws!BQ39</f>
        <v>0</v>
      </c>
      <c r="N49" s="273"/>
      <c r="O49" s="273">
        <f>+SORECGFws!BR39</f>
        <v>0</v>
      </c>
      <c r="P49" s="273"/>
      <c r="Q49" s="273"/>
      <c r="R49" s="273"/>
      <c r="S49" s="273"/>
      <c r="T49" s="273"/>
      <c r="U49" s="273"/>
      <c r="V49" s="273"/>
      <c r="W49" s="273">
        <f>+'Nonmajor SOREC'!I48</f>
        <v>2731</v>
      </c>
      <c r="X49" s="273"/>
      <c r="Y49" s="273">
        <f t="shared" si="1"/>
        <v>2731</v>
      </c>
      <c r="Z49" s="356"/>
    </row>
    <row r="50" spans="1:26" s="253" customFormat="1" ht="9.9499999999999993" customHeight="1" x14ac:dyDescent="0.2">
      <c r="A50" s="351" t="s">
        <v>968</v>
      </c>
      <c r="B50" s="273"/>
      <c r="C50" s="273">
        <f>+SORECGFws!C40</f>
        <v>0</v>
      </c>
      <c r="D50" s="273"/>
      <c r="E50" s="273">
        <f>+SORECGFws!D40</f>
        <v>0</v>
      </c>
      <c r="F50" s="273"/>
      <c r="G50" s="273">
        <f>+SORECGFws!E40</f>
        <v>0</v>
      </c>
      <c r="H50" s="273"/>
      <c r="I50" s="273">
        <f>SORECGFws!F40</f>
        <v>0</v>
      </c>
      <c r="J50" s="273"/>
      <c r="K50" s="273">
        <f>SORECGFws!I40</f>
        <v>0</v>
      </c>
      <c r="L50" s="273"/>
      <c r="M50" s="273">
        <f>+SORECGFws!BQ40</f>
        <v>0</v>
      </c>
      <c r="N50" s="273"/>
      <c r="O50" s="273"/>
      <c r="P50" s="273"/>
      <c r="Q50" s="273"/>
      <c r="R50" s="273"/>
      <c r="S50" s="273">
        <f>SORECGFws!AE40</f>
        <v>1180</v>
      </c>
      <c r="T50" s="273"/>
      <c r="U50" s="273"/>
      <c r="V50" s="273"/>
      <c r="W50" s="273">
        <f>+'Nonmajor SOREC'!I49</f>
        <v>1551</v>
      </c>
      <c r="X50" s="273"/>
      <c r="Y50" s="273">
        <f t="shared" si="1"/>
        <v>2731</v>
      </c>
      <c r="Z50" s="356"/>
    </row>
    <row r="51" spans="1:26" s="253" customFormat="1" ht="9.9499999999999993" customHeight="1" x14ac:dyDescent="0.2">
      <c r="A51" s="349" t="s">
        <v>1595</v>
      </c>
      <c r="B51" s="273"/>
      <c r="C51" s="273">
        <f>+SORECGFws!C41</f>
        <v>0</v>
      </c>
      <c r="D51" s="273"/>
      <c r="E51" s="273">
        <f>+SORECGFws!D41</f>
        <v>0</v>
      </c>
      <c r="F51" s="273"/>
      <c r="G51" s="273">
        <f>+SORECGFws!E41</f>
        <v>0</v>
      </c>
      <c r="H51" s="273"/>
      <c r="I51" s="273"/>
      <c r="J51" s="273"/>
      <c r="K51" s="273"/>
      <c r="L51" s="273"/>
      <c r="M51" s="273"/>
      <c r="N51" s="273"/>
      <c r="O51" s="273"/>
      <c r="P51" s="273"/>
      <c r="Q51" s="273"/>
      <c r="R51" s="273"/>
      <c r="S51" s="273">
        <f>SORECGFws!AE41</f>
        <v>0</v>
      </c>
      <c r="T51" s="273"/>
      <c r="U51" s="273"/>
      <c r="V51" s="273"/>
      <c r="W51" s="273">
        <f>+'Nonmajor SOREC'!I50</f>
        <v>0</v>
      </c>
      <c r="X51" s="273"/>
      <c r="Y51" s="273">
        <f t="shared" si="1"/>
        <v>0</v>
      </c>
      <c r="Z51" s="356"/>
    </row>
    <row r="52" spans="1:26" s="253" customFormat="1" ht="9.9499999999999993" customHeight="1" x14ac:dyDescent="0.2">
      <c r="A52" s="351" t="s">
        <v>966</v>
      </c>
      <c r="B52" s="273"/>
      <c r="C52" s="273">
        <f>+SORECGFws!C42</f>
        <v>2902</v>
      </c>
      <c r="D52" s="273"/>
      <c r="E52" s="273">
        <f>+SORECGFws!D42</f>
        <v>0</v>
      </c>
      <c r="F52" s="273"/>
      <c r="G52" s="273">
        <f>+SORECGFws!E42</f>
        <v>1319</v>
      </c>
      <c r="H52" s="273"/>
      <c r="I52" s="273">
        <f>SORECGFws!F42</f>
        <v>2966</v>
      </c>
      <c r="J52" s="273"/>
      <c r="K52" s="273"/>
      <c r="L52" s="273"/>
      <c r="M52" s="273"/>
      <c r="N52" s="273"/>
      <c r="O52" s="273"/>
      <c r="P52" s="273"/>
      <c r="Q52" s="273"/>
      <c r="R52" s="273"/>
      <c r="S52" s="273">
        <f>SORECGFws!AE42</f>
        <v>0</v>
      </c>
      <c r="T52" s="273"/>
      <c r="U52" s="273"/>
      <c r="V52" s="273"/>
      <c r="W52" s="273">
        <f>+'Nonmajor SOREC'!I51</f>
        <v>3033</v>
      </c>
      <c r="X52" s="273"/>
      <c r="Y52" s="273">
        <f t="shared" si="1"/>
        <v>10220</v>
      </c>
      <c r="Z52" s="356"/>
    </row>
    <row r="53" spans="1:26" s="253" customFormat="1" ht="9.9499999999999993" customHeight="1" x14ac:dyDescent="0.2">
      <c r="A53" s="351" t="s">
        <v>949</v>
      </c>
      <c r="B53" s="273"/>
      <c r="C53" s="273">
        <f>+SORECGFws!C43</f>
        <v>497</v>
      </c>
      <c r="D53" s="273"/>
      <c r="E53" s="273">
        <f>+SORECGFws!D43</f>
        <v>0</v>
      </c>
      <c r="F53" s="273"/>
      <c r="G53" s="273">
        <f>+SORECGFws!E43</f>
        <v>25</v>
      </c>
      <c r="H53" s="273"/>
      <c r="I53" s="273">
        <f>SORECGFws!F43</f>
        <v>409</v>
      </c>
      <c r="J53" s="273"/>
      <c r="K53" s="273"/>
      <c r="L53" s="273"/>
      <c r="M53" s="273"/>
      <c r="N53" s="273"/>
      <c r="O53" s="273"/>
      <c r="P53" s="273"/>
      <c r="Q53" s="273"/>
      <c r="R53" s="273"/>
      <c r="S53" s="273">
        <f>SORECGFws!AE43</f>
        <v>0</v>
      </c>
      <c r="T53" s="273"/>
      <c r="U53" s="273"/>
      <c r="V53" s="273"/>
      <c r="W53" s="273">
        <f>+'Nonmajor SOREC'!I52</f>
        <v>497</v>
      </c>
      <c r="X53" s="273"/>
      <c r="Y53" s="273">
        <f t="shared" si="1"/>
        <v>1428</v>
      </c>
      <c r="Z53" s="356"/>
    </row>
    <row r="54" spans="1:26" s="253" customFormat="1" ht="9.9499999999999993" customHeight="1" x14ac:dyDescent="0.2">
      <c r="A54" s="349" t="s">
        <v>1641</v>
      </c>
      <c r="B54" s="273"/>
      <c r="C54" s="273"/>
      <c r="D54" s="273"/>
      <c r="E54" s="273">
        <f>+SORECGFws!D44</f>
        <v>0</v>
      </c>
      <c r="F54" s="273"/>
      <c r="G54" s="273">
        <f>+SORECGFws!E44</f>
        <v>0</v>
      </c>
      <c r="H54" s="273"/>
      <c r="I54" s="273">
        <f>SORECGFws!F44</f>
        <v>0</v>
      </c>
      <c r="J54" s="273"/>
      <c r="K54" s="273"/>
      <c r="L54" s="273"/>
      <c r="M54" s="273"/>
      <c r="N54" s="273"/>
      <c r="O54" s="273"/>
      <c r="P54" s="273"/>
      <c r="Q54" s="273"/>
      <c r="R54" s="273"/>
      <c r="S54" s="273">
        <f>SORECGFws!AE44</f>
        <v>0</v>
      </c>
      <c r="T54" s="273"/>
      <c r="U54" s="273"/>
      <c r="V54" s="273"/>
      <c r="W54" s="273">
        <f>+'Nonmajor SOREC'!I53</f>
        <v>0</v>
      </c>
      <c r="X54" s="273"/>
      <c r="Y54" s="273">
        <f t="shared" si="1"/>
        <v>0</v>
      </c>
      <c r="Z54" s="356"/>
    </row>
    <row r="55" spans="1:26" s="253" customFormat="1" ht="9.9499999999999993" customHeight="1" x14ac:dyDescent="0.2">
      <c r="A55" s="351" t="s">
        <v>966</v>
      </c>
      <c r="B55" s="273"/>
      <c r="C55" s="273">
        <f>SORECGFws!C45</f>
        <v>6755</v>
      </c>
      <c r="D55" s="273"/>
      <c r="E55" s="273">
        <f>SORECGFws!D45</f>
        <v>0</v>
      </c>
      <c r="F55" s="273"/>
      <c r="G55" s="273">
        <f>SORECGFws!E45</f>
        <v>0</v>
      </c>
      <c r="H55" s="273"/>
      <c r="I55" s="273">
        <f>SORECGFws!F45</f>
        <v>57</v>
      </c>
      <c r="J55" s="273"/>
      <c r="K55" s="273"/>
      <c r="L55" s="273"/>
      <c r="M55" s="273"/>
      <c r="N55" s="273"/>
      <c r="O55" s="273"/>
      <c r="P55" s="273"/>
      <c r="Q55" s="273"/>
      <c r="R55" s="273"/>
      <c r="S55" s="273">
        <f>SORECGFws!AE45</f>
        <v>0</v>
      </c>
      <c r="T55" s="273"/>
      <c r="U55" s="273"/>
      <c r="V55" s="273"/>
      <c r="W55" s="273">
        <f>+'Nonmajor SOREC'!I54</f>
        <v>702</v>
      </c>
      <c r="X55" s="273"/>
      <c r="Y55" s="273">
        <f t="shared" si="1"/>
        <v>7514</v>
      </c>
      <c r="Z55" s="356"/>
    </row>
    <row r="56" spans="1:26" s="253" customFormat="1" ht="9.9499999999999993" customHeight="1" x14ac:dyDescent="0.2">
      <c r="A56" s="351" t="s">
        <v>949</v>
      </c>
      <c r="B56" s="273"/>
      <c r="C56" s="273">
        <f>SORECGFws!C46</f>
        <v>2236</v>
      </c>
      <c r="D56" s="273"/>
      <c r="E56" s="273">
        <f>SORECGFws!D46</f>
        <v>0</v>
      </c>
      <c r="F56" s="273"/>
      <c r="G56" s="273">
        <f>SORECGFws!E46</f>
        <v>0</v>
      </c>
      <c r="H56" s="273"/>
      <c r="I56" s="273">
        <f>SORECGFws!F46</f>
        <v>0</v>
      </c>
      <c r="J56" s="273"/>
      <c r="K56" s="273"/>
      <c r="L56" s="273"/>
      <c r="M56" s="273"/>
      <c r="N56" s="273"/>
      <c r="O56" s="273"/>
      <c r="P56" s="273"/>
      <c r="Q56" s="273"/>
      <c r="R56" s="273"/>
      <c r="S56" s="273">
        <f>SORECGFws!AE46</f>
        <v>0</v>
      </c>
      <c r="T56" s="273"/>
      <c r="U56" s="273"/>
      <c r="V56" s="273"/>
      <c r="W56" s="273">
        <f>+'Nonmajor SOREC'!I55</f>
        <v>53</v>
      </c>
      <c r="X56" s="273"/>
      <c r="Y56" s="273">
        <f t="shared" si="1"/>
        <v>2289</v>
      </c>
      <c r="Z56" s="356"/>
    </row>
    <row r="57" spans="1:26" s="253" customFormat="1" ht="5.0999999999999996" customHeight="1" x14ac:dyDescent="0.2">
      <c r="B57" s="273"/>
      <c r="C57" s="340"/>
      <c r="D57" s="273"/>
      <c r="E57" s="340"/>
      <c r="F57" s="273"/>
      <c r="G57" s="340"/>
      <c r="H57" s="273"/>
      <c r="I57" s="340"/>
      <c r="J57" s="273"/>
      <c r="K57" s="340"/>
      <c r="L57" s="273"/>
      <c r="M57" s="340"/>
      <c r="N57" s="273"/>
      <c r="O57" s="340"/>
      <c r="P57" s="273"/>
      <c r="Q57" s="340"/>
      <c r="R57" s="273"/>
      <c r="S57" s="340"/>
      <c r="T57" s="273"/>
      <c r="U57" s="340"/>
      <c r="V57" s="273"/>
      <c r="W57" s="340"/>
      <c r="X57" s="273"/>
      <c r="Y57" s="340"/>
      <c r="Z57" s="299"/>
    </row>
    <row r="58" spans="1:26" s="253" customFormat="1" ht="9.9499999999999993" customHeight="1" x14ac:dyDescent="0.2">
      <c r="A58" s="353" t="s">
        <v>970</v>
      </c>
      <c r="B58" s="273"/>
      <c r="C58" s="341">
        <f>SUM(C33:C56)</f>
        <v>1531794</v>
      </c>
      <c r="D58" s="273"/>
      <c r="E58" s="341">
        <f t="shared" ref="E58" si="2">SUM(E33:E56)</f>
        <v>323958</v>
      </c>
      <c r="F58" s="273"/>
      <c r="G58" s="341">
        <f t="shared" ref="G58" si="3">SUM(G33:G56)</f>
        <v>80760</v>
      </c>
      <c r="H58" s="273"/>
      <c r="I58" s="341">
        <f t="shared" ref="I58" si="4">SUM(I33:I56)</f>
        <v>260696</v>
      </c>
      <c r="J58" s="273"/>
      <c r="K58" s="341">
        <f t="shared" ref="K58" si="5">SUM(K33:K56)</f>
        <v>0</v>
      </c>
      <c r="L58" s="273"/>
      <c r="M58" s="341">
        <f t="shared" ref="M58" si="6">SUM(M33:M56)</f>
        <v>0</v>
      </c>
      <c r="N58" s="273"/>
      <c r="O58" s="341">
        <f t="shared" ref="O58" si="7">SUM(O33:O56)</f>
        <v>0</v>
      </c>
      <c r="P58" s="273"/>
      <c r="Q58" s="341">
        <f t="shared" ref="Q58" si="8">SUM(Q33:Q56)</f>
        <v>0</v>
      </c>
      <c r="R58" s="273"/>
      <c r="S58" s="341">
        <f t="shared" ref="S58" si="9">SUM(S33:S56)</f>
        <v>1180</v>
      </c>
      <c r="T58" s="273"/>
      <c r="U58" s="341">
        <f t="shared" ref="U58" si="10">SUM(U33:U56)</f>
        <v>0</v>
      </c>
      <c r="V58" s="273"/>
      <c r="W58" s="341">
        <f t="shared" ref="W58" si="11">SUM(W33:W56)</f>
        <v>1108272</v>
      </c>
      <c r="X58" s="273"/>
      <c r="Y58" s="341">
        <f t="shared" ref="Y58" si="12">SUM(Y33:Y56)</f>
        <v>3306660</v>
      </c>
      <c r="Z58" s="356"/>
    </row>
    <row r="59" spans="1:26" s="284" customFormat="1" ht="5.0999999999999996" customHeight="1" x14ac:dyDescent="0.2">
      <c r="B59" s="261"/>
      <c r="C59" s="300"/>
      <c r="D59" s="261"/>
      <c r="E59" s="300"/>
      <c r="F59" s="261"/>
      <c r="G59" s="300"/>
      <c r="H59" s="261"/>
      <c r="I59" s="300"/>
      <c r="J59" s="261"/>
      <c r="K59" s="300"/>
      <c r="L59" s="261"/>
      <c r="M59" s="300"/>
      <c r="N59" s="261"/>
      <c r="O59" s="300"/>
      <c r="P59" s="261"/>
      <c r="Q59" s="300"/>
      <c r="R59" s="261"/>
      <c r="S59" s="300"/>
      <c r="T59" s="261"/>
      <c r="U59" s="300"/>
      <c r="V59" s="261"/>
      <c r="W59" s="300"/>
      <c r="X59" s="261"/>
      <c r="Y59" s="300"/>
      <c r="Z59" s="259"/>
    </row>
    <row r="60" spans="1:26" s="253" customFormat="1" ht="9.9499999999999993" customHeight="1" x14ac:dyDescent="0.2">
      <c r="A60" s="284" t="s">
        <v>19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348"/>
    </row>
    <row r="61" spans="1:26" s="253" customFormat="1" ht="9.9499999999999993" customHeight="1" x14ac:dyDescent="0.2">
      <c r="A61" s="707" t="s">
        <v>20</v>
      </c>
      <c r="B61" s="273"/>
      <c r="C61" s="341">
        <f>C29-C58</f>
        <v>116583</v>
      </c>
      <c r="D61" s="273"/>
      <c r="E61" s="341">
        <f>E29-E58</f>
        <v>-20842</v>
      </c>
      <c r="F61" s="273"/>
      <c r="G61" s="341">
        <f>G29-G58</f>
        <v>19925</v>
      </c>
      <c r="H61" s="273"/>
      <c r="I61" s="341">
        <f>I29-I58</f>
        <v>-17236</v>
      </c>
      <c r="J61" s="273"/>
      <c r="K61" s="341">
        <f>K29-K58</f>
        <v>0</v>
      </c>
      <c r="L61" s="273"/>
      <c r="M61" s="341">
        <f>M29-M58</f>
        <v>0</v>
      </c>
      <c r="N61" s="273"/>
      <c r="O61" s="341">
        <f>O29-O58</f>
        <v>0</v>
      </c>
      <c r="P61" s="273"/>
      <c r="Q61" s="341">
        <f>Q29-Q58</f>
        <v>0</v>
      </c>
      <c r="R61" s="273"/>
      <c r="S61" s="341">
        <f>S29-S58</f>
        <v>13345</v>
      </c>
      <c r="T61" s="273"/>
      <c r="U61" s="341">
        <f>U29-U58</f>
        <v>0</v>
      </c>
      <c r="V61" s="273"/>
      <c r="W61" s="341">
        <f>W29-W58</f>
        <v>-470681</v>
      </c>
      <c r="X61" s="273"/>
      <c r="Y61" s="341">
        <f>Y29-Y58</f>
        <v>-358906</v>
      </c>
      <c r="Z61" s="356"/>
    </row>
    <row r="62" spans="1:26" s="253" customFormat="1" ht="5.0999999999999996" customHeight="1" x14ac:dyDescent="0.2">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348"/>
    </row>
    <row r="63" spans="1:26" s="253" customFormat="1" ht="9.9499999999999993" customHeight="1" x14ac:dyDescent="0.2">
      <c r="A63" s="284" t="s">
        <v>34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348"/>
    </row>
    <row r="64" spans="1:26" s="253" customFormat="1" ht="9.9499999999999993" customHeight="1" x14ac:dyDescent="0.2">
      <c r="A64" s="349" t="s">
        <v>667</v>
      </c>
      <c r="B64" s="273"/>
      <c r="C64" s="273">
        <f>+SORECGFws!C53</f>
        <v>0</v>
      </c>
      <c r="D64" s="273"/>
      <c r="E64" s="273">
        <f>+SORECGFws!D53</f>
        <v>0</v>
      </c>
      <c r="F64" s="273"/>
      <c r="G64" s="273"/>
      <c r="H64" s="273"/>
      <c r="I64" s="273">
        <f>SORECGFws!F53</f>
        <v>0</v>
      </c>
      <c r="J64" s="273"/>
      <c r="K64" s="273">
        <f>SORECGFws!I53</f>
        <v>0</v>
      </c>
      <c r="L64" s="273"/>
      <c r="M64" s="273">
        <f>+SORECGFws!BQ53</f>
        <v>0</v>
      </c>
      <c r="N64" s="273"/>
      <c r="O64" s="273"/>
      <c r="P64" s="273"/>
      <c r="Q64" s="273">
        <f>SORECGFws!BD53</f>
        <v>0</v>
      </c>
      <c r="R64" s="273"/>
      <c r="S64" s="273">
        <f>SORECGFws!AE53</f>
        <v>175975</v>
      </c>
      <c r="T64" s="273"/>
      <c r="U64" s="273"/>
      <c r="V64" s="273"/>
      <c r="W64" s="273">
        <f>+'Nonmajor SOREC'!I63</f>
        <v>242042</v>
      </c>
      <c r="X64" s="273"/>
      <c r="Y64" s="273">
        <f t="shared" ref="Y64:Y73" si="13">SUM(C64:W64)</f>
        <v>418017</v>
      </c>
      <c r="Z64" s="299"/>
    </row>
    <row r="65" spans="1:26" s="253" customFormat="1" ht="9.9499999999999993" hidden="1" customHeight="1" x14ac:dyDescent="0.2">
      <c r="A65" s="349" t="s">
        <v>1235</v>
      </c>
      <c r="B65" s="273"/>
      <c r="C65" s="273">
        <f>SORECGFws!C54</f>
        <v>0</v>
      </c>
      <c r="D65" s="273"/>
      <c r="E65" s="273">
        <f>+SORECGFws!D54</f>
        <v>0</v>
      </c>
      <c r="F65" s="273"/>
      <c r="G65" s="273"/>
      <c r="H65" s="273"/>
      <c r="I65" s="273">
        <f>SORECGFws!F54</f>
        <v>0</v>
      </c>
      <c r="J65" s="273"/>
      <c r="K65" s="273"/>
      <c r="L65" s="273"/>
      <c r="M65" s="273">
        <f>+SORECGFws!BQ54</f>
        <v>0</v>
      </c>
      <c r="N65" s="273"/>
      <c r="O65" s="273"/>
      <c r="P65" s="273"/>
      <c r="Q65" s="273">
        <f>SORECGFws!BD54</f>
        <v>0</v>
      </c>
      <c r="R65" s="273"/>
      <c r="S65" s="273">
        <f>SORECGFws!AE54</f>
        <v>0</v>
      </c>
      <c r="T65" s="273"/>
      <c r="U65" s="273"/>
      <c r="V65" s="273"/>
      <c r="W65" s="273">
        <f>+'Nonmajor SOREC'!I64</f>
        <v>0</v>
      </c>
      <c r="X65" s="273"/>
      <c r="Y65" s="273">
        <f t="shared" si="13"/>
        <v>0</v>
      </c>
      <c r="Z65" s="299"/>
    </row>
    <row r="66" spans="1:26" s="253" customFormat="1" ht="9.75" hidden="1" customHeight="1" x14ac:dyDescent="0.2">
      <c r="A66" s="349" t="s">
        <v>973</v>
      </c>
      <c r="B66" s="273"/>
      <c r="C66" s="273">
        <f>+SORECGFws!C55</f>
        <v>0</v>
      </c>
      <c r="D66" s="273"/>
      <c r="E66" s="273">
        <f>+SORECGFws!D55</f>
        <v>0</v>
      </c>
      <c r="F66" s="273"/>
      <c r="G66" s="273"/>
      <c r="H66" s="273"/>
      <c r="I66" s="273">
        <f>SORECGFws!F55</f>
        <v>0</v>
      </c>
      <c r="J66" s="273"/>
      <c r="K66" s="273">
        <f>SORECGFws!I55</f>
        <v>0</v>
      </c>
      <c r="L66" s="273"/>
      <c r="M66" s="273">
        <f>+SORECGFws!BQ55</f>
        <v>0</v>
      </c>
      <c r="N66" s="273"/>
      <c r="O66" s="273"/>
      <c r="P66" s="273"/>
      <c r="Q66" s="273">
        <f>SORECGFws!BD55</f>
        <v>0</v>
      </c>
      <c r="R66" s="273"/>
      <c r="S66" s="273">
        <f>SORECGFws!AE55</f>
        <v>0</v>
      </c>
      <c r="T66" s="273"/>
      <c r="U66" s="273"/>
      <c r="V66" s="273"/>
      <c r="W66" s="273">
        <f>+'Nonmajor SOREC'!I65</f>
        <v>0</v>
      </c>
      <c r="X66" s="273"/>
      <c r="Y66" s="273">
        <f t="shared" si="13"/>
        <v>0</v>
      </c>
      <c r="Z66" s="299"/>
    </row>
    <row r="67" spans="1:26" s="253" customFormat="1" ht="9.9499999999999993" hidden="1" customHeight="1" x14ac:dyDescent="0.2">
      <c r="A67" s="349" t="s">
        <v>666</v>
      </c>
      <c r="B67" s="273"/>
      <c r="C67" s="273">
        <f>+SORECGFws!C56</f>
        <v>0</v>
      </c>
      <c r="D67" s="273"/>
      <c r="E67" s="273">
        <f>+SORECGFws!D56</f>
        <v>0</v>
      </c>
      <c r="F67" s="273"/>
      <c r="G67" s="273">
        <f>SORECGFws!E56</f>
        <v>0</v>
      </c>
      <c r="H67" s="273"/>
      <c r="I67" s="273">
        <f>SORECGFws!F56</f>
        <v>0</v>
      </c>
      <c r="J67" s="273"/>
      <c r="K67" s="273">
        <f>SORECGFws!I56</f>
        <v>0</v>
      </c>
      <c r="L67" s="273"/>
      <c r="M67" s="273">
        <f>+SORECGFws!BQ56</f>
        <v>0</v>
      </c>
      <c r="N67" s="273"/>
      <c r="O67" s="273"/>
      <c r="P67" s="273"/>
      <c r="Q67" s="273"/>
      <c r="R67" s="273"/>
      <c r="S67" s="273">
        <f>SORECGFws!AE56</f>
        <v>0</v>
      </c>
      <c r="T67" s="273"/>
      <c r="U67" s="273"/>
      <c r="V67" s="273"/>
      <c r="W67" s="273">
        <f>+'Nonmajor SOREC'!I66</f>
        <v>0</v>
      </c>
      <c r="X67" s="273"/>
      <c r="Y67" s="273">
        <f t="shared" si="13"/>
        <v>0</v>
      </c>
      <c r="Z67" s="299"/>
    </row>
    <row r="68" spans="1:26" s="253" customFormat="1" ht="9.9499999999999993" customHeight="1" x14ac:dyDescent="0.2">
      <c r="A68" s="349" t="s">
        <v>1581</v>
      </c>
      <c r="B68" s="273"/>
      <c r="C68" s="273">
        <f>+SORECGFws!C57</f>
        <v>1343</v>
      </c>
      <c r="D68" s="273"/>
      <c r="E68" s="273">
        <f>+SORECGFws!D57</f>
        <v>0</v>
      </c>
      <c r="F68" s="273"/>
      <c r="G68" s="273">
        <f>SORECGFws!E57</f>
        <v>0</v>
      </c>
      <c r="H68" s="273"/>
      <c r="I68" s="273"/>
      <c r="J68" s="273"/>
      <c r="K68" s="273">
        <f>SORECGFws!I57</f>
        <v>0</v>
      </c>
      <c r="L68" s="273"/>
      <c r="M68" s="273"/>
      <c r="N68" s="273"/>
      <c r="O68" s="273"/>
      <c r="P68" s="273"/>
      <c r="Q68" s="273">
        <f>SORECGFws!BD57</f>
        <v>0</v>
      </c>
      <c r="R68" s="273"/>
      <c r="S68" s="273">
        <f>SORECGFws!AE57</f>
        <v>0</v>
      </c>
      <c r="T68" s="273"/>
      <c r="U68" s="273"/>
      <c r="V68" s="273"/>
      <c r="W68" s="273">
        <f>+'Nonmajor SOREC'!I67</f>
        <v>2630</v>
      </c>
      <c r="X68" s="273"/>
      <c r="Y68" s="273">
        <f t="shared" si="13"/>
        <v>3973</v>
      </c>
      <c r="Z68" s="299"/>
    </row>
    <row r="69" spans="1:26" s="253" customFormat="1" ht="9.9499999999999993" customHeight="1" x14ac:dyDescent="0.2">
      <c r="A69" s="425" t="s">
        <v>1642</v>
      </c>
      <c r="B69" s="273"/>
      <c r="C69" s="273">
        <f>+SORECGFws!C58</f>
        <v>63529</v>
      </c>
      <c r="D69" s="273"/>
      <c r="E69" s="273">
        <f>+SORECGFws!D58</f>
        <v>0</v>
      </c>
      <c r="F69" s="273"/>
      <c r="G69" s="273">
        <f>SORECGFws!E58</f>
        <v>0</v>
      </c>
      <c r="H69" s="273"/>
      <c r="I69" s="273"/>
      <c r="J69" s="273"/>
      <c r="K69" s="273">
        <f>SORECGFws!I58</f>
        <v>0</v>
      </c>
      <c r="L69" s="273"/>
      <c r="M69" s="273"/>
      <c r="N69" s="273"/>
      <c r="O69" s="273"/>
      <c r="P69" s="273"/>
      <c r="Q69" s="273">
        <f>SORECGFws!BD58</f>
        <v>0</v>
      </c>
      <c r="R69" s="273"/>
      <c r="S69" s="273">
        <f>SORECGFws!AE58</f>
        <v>0</v>
      </c>
      <c r="T69" s="273"/>
      <c r="U69" s="273"/>
      <c r="V69" s="273"/>
      <c r="W69" s="273">
        <f>+'Nonmajor SOREC'!I68</f>
        <v>758</v>
      </c>
      <c r="X69" s="273"/>
      <c r="Y69" s="273">
        <f t="shared" si="13"/>
        <v>64287</v>
      </c>
      <c r="Z69" s="299"/>
    </row>
    <row r="70" spans="1:26" s="253" customFormat="1" ht="9.9499999999999993" hidden="1" customHeight="1" x14ac:dyDescent="0.2">
      <c r="A70" s="425" t="s">
        <v>668</v>
      </c>
      <c r="B70" s="273"/>
      <c r="C70" s="273">
        <f>+SORECGFws!C59</f>
        <v>0</v>
      </c>
      <c r="D70" s="273"/>
      <c r="E70" s="273">
        <f>+SORECGFws!D59</f>
        <v>0</v>
      </c>
      <c r="F70" s="273"/>
      <c r="G70" s="273"/>
      <c r="H70" s="273"/>
      <c r="I70" s="273">
        <f>SORECGFws!F59</f>
        <v>0</v>
      </c>
      <c r="J70" s="273"/>
      <c r="K70" s="273">
        <f>SORECGFws!I59</f>
        <v>0</v>
      </c>
      <c r="L70" s="273"/>
      <c r="M70" s="273">
        <f>+SORECGFws!BQ59</f>
        <v>0</v>
      </c>
      <c r="N70" s="273"/>
      <c r="O70" s="273"/>
      <c r="P70" s="273"/>
      <c r="Q70" s="273">
        <f>SORECGFws!BD59</f>
        <v>0</v>
      </c>
      <c r="R70" s="273"/>
      <c r="S70" s="273">
        <f>SORECGFws!AE59</f>
        <v>0</v>
      </c>
      <c r="T70" s="273"/>
      <c r="U70" s="273"/>
      <c r="V70" s="273"/>
      <c r="W70" s="273">
        <f>+'Nonmajor SOREC'!I69</f>
        <v>0</v>
      </c>
      <c r="X70" s="273"/>
      <c r="Y70" s="273">
        <f t="shared" si="13"/>
        <v>0</v>
      </c>
      <c r="Z70" s="299"/>
    </row>
    <row r="71" spans="1:26" s="253" customFormat="1" ht="9.9499999999999993" customHeight="1" x14ac:dyDescent="0.2">
      <c r="A71" s="425" t="s">
        <v>1134</v>
      </c>
      <c r="B71" s="273"/>
      <c r="C71" s="273">
        <f>+SORECGFws!C60</f>
        <v>0</v>
      </c>
      <c r="D71" s="273"/>
      <c r="E71" s="273">
        <f>+SORECGFws!D60</f>
        <v>0</v>
      </c>
      <c r="F71" s="273"/>
      <c r="G71" s="273"/>
      <c r="H71" s="273"/>
      <c r="I71" s="273">
        <f>SORECGFws!F60</f>
        <v>0</v>
      </c>
      <c r="J71" s="273"/>
      <c r="K71" s="273">
        <f>SORECGFws!I60</f>
        <v>0</v>
      </c>
      <c r="L71" s="273"/>
      <c r="M71" s="273">
        <f>+SORECGFws!BQ60</f>
        <v>0</v>
      </c>
      <c r="N71" s="273"/>
      <c r="O71" s="273"/>
      <c r="P71" s="273"/>
      <c r="Q71" s="273">
        <f>SORECGFws!BD60</f>
        <v>0</v>
      </c>
      <c r="R71" s="273"/>
      <c r="S71" s="273">
        <f>SORECGFws!AE60</f>
        <v>20313</v>
      </c>
      <c r="T71" s="273"/>
      <c r="U71" s="273"/>
      <c r="V71" s="273"/>
      <c r="W71" s="273">
        <f>+'Nonmajor SOREC'!I70</f>
        <v>15074</v>
      </c>
      <c r="X71" s="273"/>
      <c r="Y71" s="273">
        <f t="shared" si="13"/>
        <v>35387</v>
      </c>
      <c r="Z71" s="299"/>
    </row>
    <row r="72" spans="1:26" s="253" customFormat="1" ht="9.9499999999999993" customHeight="1" x14ac:dyDescent="0.2">
      <c r="A72" s="349" t="s">
        <v>21</v>
      </c>
      <c r="B72" s="273"/>
      <c r="C72" s="273">
        <f>+SORECGFws!C61</f>
        <v>20845</v>
      </c>
      <c r="D72" s="273"/>
      <c r="E72" s="273">
        <f>+SORECGFws!D61</f>
        <v>18160</v>
      </c>
      <c r="F72" s="273"/>
      <c r="G72" s="273">
        <f>SORECGFws!E61</f>
        <v>91935</v>
      </c>
      <c r="H72" s="273"/>
      <c r="I72" s="273">
        <f>SORECGFws!F61</f>
        <v>7094</v>
      </c>
      <c r="J72" s="273"/>
      <c r="K72" s="273"/>
      <c r="L72" s="273"/>
      <c r="M72" s="273"/>
      <c r="N72" s="273"/>
      <c r="O72" s="273"/>
      <c r="P72" s="273"/>
      <c r="Q72" s="273"/>
      <c r="R72" s="273"/>
      <c r="S72" s="273">
        <f>SORECGFws!AE61</f>
        <v>0</v>
      </c>
      <c r="T72" s="273"/>
      <c r="U72" s="273"/>
      <c r="V72" s="273"/>
      <c r="W72" s="273">
        <f>+'Nonmajor SOREC'!I71</f>
        <v>727430</v>
      </c>
      <c r="X72" s="273"/>
      <c r="Y72" s="273">
        <f t="shared" si="13"/>
        <v>865464</v>
      </c>
      <c r="Z72" s="299"/>
    </row>
    <row r="73" spans="1:26" s="253" customFormat="1" ht="9.9499999999999993" customHeight="1" x14ac:dyDescent="0.2">
      <c r="A73" s="349" t="s">
        <v>22</v>
      </c>
      <c r="B73" s="273"/>
      <c r="C73" s="273">
        <f>+SORECGFws!C62</f>
        <v>-184152</v>
      </c>
      <c r="D73" s="273"/>
      <c r="E73" s="273">
        <f>+SORECGFws!D62</f>
        <v>0</v>
      </c>
      <c r="F73" s="273"/>
      <c r="G73" s="273">
        <f>SORECGFws!E62</f>
        <v>0</v>
      </c>
      <c r="H73" s="273"/>
      <c r="I73" s="273">
        <f>SORECGFws!F62</f>
        <v>-8675</v>
      </c>
      <c r="J73" s="273"/>
      <c r="K73" s="273"/>
      <c r="L73" s="273"/>
      <c r="M73" s="273">
        <f>+SORECGFws!BQ62</f>
        <v>0</v>
      </c>
      <c r="N73" s="273"/>
      <c r="O73" s="273"/>
      <c r="P73" s="273"/>
      <c r="Q73" s="273">
        <f>SORECGFws!BD62</f>
        <v>0</v>
      </c>
      <c r="R73" s="273"/>
      <c r="S73" s="273">
        <f>SORECGFws!AE62</f>
        <v>-142793</v>
      </c>
      <c r="T73" s="273"/>
      <c r="U73" s="273"/>
      <c r="V73" s="273"/>
      <c r="W73" s="273">
        <f>+'Nonmajor SOREC'!I72</f>
        <v>-544651</v>
      </c>
      <c r="X73" s="273"/>
      <c r="Y73" s="273">
        <f t="shared" si="13"/>
        <v>-880271</v>
      </c>
      <c r="Z73" s="299"/>
    </row>
    <row r="74" spans="1:26" s="253" customFormat="1" ht="5.0999999999999996" customHeight="1" x14ac:dyDescent="0.2">
      <c r="B74" s="273"/>
      <c r="C74" s="340"/>
      <c r="D74" s="273"/>
      <c r="E74" s="340"/>
      <c r="F74" s="273"/>
      <c r="G74" s="340"/>
      <c r="H74" s="273"/>
      <c r="I74" s="340"/>
      <c r="J74" s="273"/>
      <c r="K74" s="340"/>
      <c r="L74" s="273"/>
      <c r="M74" s="340"/>
      <c r="N74" s="273"/>
      <c r="O74" s="340"/>
      <c r="P74" s="273"/>
      <c r="Q74" s="340"/>
      <c r="R74" s="273"/>
      <c r="S74" s="340"/>
      <c r="T74" s="273"/>
      <c r="U74" s="340"/>
      <c r="V74" s="273"/>
      <c r="W74" s="340"/>
      <c r="X74" s="273"/>
      <c r="Y74" s="340"/>
      <c r="Z74" s="299"/>
    </row>
    <row r="75" spans="1:26" s="253" customFormat="1" ht="9.9499999999999993" customHeight="1" x14ac:dyDescent="0.2">
      <c r="A75" s="353" t="s">
        <v>1334</v>
      </c>
      <c r="B75" s="273"/>
      <c r="C75" s="341">
        <f>SUM(C64:C73)</f>
        <v>-98435</v>
      </c>
      <c r="D75" s="273"/>
      <c r="E75" s="341">
        <f>SUM(E64:E73)</f>
        <v>18160</v>
      </c>
      <c r="F75" s="273"/>
      <c r="G75" s="341">
        <f>SUM(G64:G73)</f>
        <v>91935</v>
      </c>
      <c r="H75" s="273"/>
      <c r="I75" s="341">
        <f>SUM(I64:I73)</f>
        <v>-1581</v>
      </c>
      <c r="J75" s="273"/>
      <c r="K75" s="341">
        <f>SUM(K64:K73)</f>
        <v>0</v>
      </c>
      <c r="L75" s="273"/>
      <c r="M75" s="341">
        <f>SUM(M64:M73)</f>
        <v>0</v>
      </c>
      <c r="N75" s="273"/>
      <c r="O75" s="341">
        <f>SUM(O64:O73)</f>
        <v>0</v>
      </c>
      <c r="P75" s="273"/>
      <c r="Q75" s="341">
        <f>SUM(Q64:Q73)</f>
        <v>0</v>
      </c>
      <c r="R75" s="273"/>
      <c r="S75" s="341">
        <f>SUM(S64:S73)</f>
        <v>53495</v>
      </c>
      <c r="T75" s="273"/>
      <c r="U75" s="341">
        <f>SUM(U64:U73)</f>
        <v>0</v>
      </c>
      <c r="V75" s="273"/>
      <c r="W75" s="341">
        <f>SUM(W64:W73)</f>
        <v>443283</v>
      </c>
      <c r="X75" s="273"/>
      <c r="Y75" s="341">
        <f>SUM(Y64:Y73)</f>
        <v>506857</v>
      </c>
      <c r="Z75" s="299"/>
    </row>
    <row r="76" spans="1:26" s="253" customFormat="1" ht="5.0999999999999996" customHeight="1" x14ac:dyDescent="0.2">
      <c r="B76" s="273"/>
      <c r="C76" s="340"/>
      <c r="D76" s="273"/>
      <c r="E76" s="340"/>
      <c r="F76" s="273"/>
      <c r="G76" s="340"/>
      <c r="H76" s="273"/>
      <c r="I76" s="340"/>
      <c r="J76" s="273"/>
      <c r="K76" s="340"/>
      <c r="L76" s="273"/>
      <c r="M76" s="340"/>
      <c r="N76" s="273"/>
      <c r="O76" s="340"/>
      <c r="P76" s="273"/>
      <c r="Q76" s="340"/>
      <c r="R76" s="273"/>
      <c r="S76" s="340"/>
      <c r="T76" s="273"/>
      <c r="U76" s="340"/>
      <c r="V76" s="273"/>
      <c r="W76" s="340"/>
      <c r="X76" s="273"/>
      <c r="Y76" s="340"/>
      <c r="Z76" s="299"/>
    </row>
    <row r="77" spans="1:26" s="253" customFormat="1" ht="9.9499999999999993" customHeight="1" x14ac:dyDescent="0.2">
      <c r="A77" s="353" t="s">
        <v>1553</v>
      </c>
      <c r="B77" s="273"/>
      <c r="C77" s="273">
        <f>+C61+C75</f>
        <v>18148</v>
      </c>
      <c r="D77" s="273"/>
      <c r="E77" s="273">
        <f>+E61+E75</f>
        <v>-2682</v>
      </c>
      <c r="F77" s="273"/>
      <c r="G77" s="273">
        <f>+G61+G75</f>
        <v>111860</v>
      </c>
      <c r="H77" s="273"/>
      <c r="I77" s="273">
        <f>+I61+I75</f>
        <v>-18817</v>
      </c>
      <c r="J77" s="273"/>
      <c r="K77" s="273">
        <f>+K61+K75</f>
        <v>0</v>
      </c>
      <c r="L77" s="273"/>
      <c r="M77" s="273">
        <f>+M61+M75</f>
        <v>0</v>
      </c>
      <c r="N77" s="273"/>
      <c r="O77" s="273">
        <f>+O61+O75</f>
        <v>0</v>
      </c>
      <c r="P77" s="273"/>
      <c r="Q77" s="273">
        <f>+Q61+Q75</f>
        <v>0</v>
      </c>
      <c r="R77" s="273"/>
      <c r="S77" s="273">
        <f>+S61+S75</f>
        <v>66840</v>
      </c>
      <c r="T77" s="273"/>
      <c r="U77" s="273">
        <f>+U61+U75</f>
        <v>0</v>
      </c>
      <c r="V77" s="273"/>
      <c r="W77" s="273">
        <f>+W61+W75</f>
        <v>-27398</v>
      </c>
      <c r="X77" s="273"/>
      <c r="Y77" s="273">
        <f>+Y61+Y75</f>
        <v>147951</v>
      </c>
      <c r="Z77" s="299"/>
    </row>
    <row r="78" spans="1:26" s="253" customFormat="1" ht="5.0999999999999996" customHeight="1" x14ac:dyDescent="0.2">
      <c r="B78" s="273"/>
      <c r="C78" s="399"/>
      <c r="D78" s="273"/>
      <c r="E78" s="273"/>
      <c r="F78" s="273"/>
      <c r="G78" s="273"/>
      <c r="H78" s="273"/>
      <c r="I78" s="273"/>
      <c r="J78" s="273"/>
      <c r="K78" s="273"/>
      <c r="L78" s="273"/>
      <c r="M78" s="273"/>
      <c r="N78" s="273"/>
      <c r="O78" s="273"/>
      <c r="P78" s="273"/>
      <c r="Q78" s="273"/>
      <c r="R78" s="273"/>
      <c r="S78" s="273"/>
      <c r="T78" s="273"/>
      <c r="U78" s="273"/>
      <c r="V78" s="273"/>
      <c r="W78" s="273"/>
      <c r="X78" s="273"/>
      <c r="Y78" s="273"/>
      <c r="Z78" s="348"/>
    </row>
    <row r="79" spans="1:26" s="253" customFormat="1" ht="9.9499999999999993" customHeight="1" x14ac:dyDescent="0.2">
      <c r="A79" s="253" t="s">
        <v>1719</v>
      </c>
      <c r="B79" s="273"/>
      <c r="C79" s="341">
        <v>565252</v>
      </c>
      <c r="D79" s="273"/>
      <c r="E79" s="341">
        <v>46614</v>
      </c>
      <c r="F79" s="273"/>
      <c r="G79" s="341">
        <v>-18487</v>
      </c>
      <c r="H79" s="273"/>
      <c r="I79" s="273">
        <v>-14684</v>
      </c>
      <c r="J79" s="273"/>
      <c r="K79" s="273">
        <v>0</v>
      </c>
      <c r="L79" s="273"/>
      <c r="M79" s="273">
        <v>0</v>
      </c>
      <c r="N79" s="273"/>
      <c r="O79" s="273">
        <v>0</v>
      </c>
      <c r="P79" s="273"/>
      <c r="Q79" s="273">
        <v>0</v>
      </c>
      <c r="R79" s="273"/>
      <c r="S79" s="341">
        <v>309051</v>
      </c>
      <c r="T79" s="273"/>
      <c r="U79" s="273">
        <v>0</v>
      </c>
      <c r="V79" s="273"/>
      <c r="W79" s="341">
        <f>1039229+14684</f>
        <v>1053913</v>
      </c>
      <c r="X79" s="273"/>
      <c r="Y79" s="341">
        <f>SUM(C79:W79)</f>
        <v>1941659</v>
      </c>
      <c r="Z79" s="299"/>
    </row>
    <row r="80" spans="1:26" s="253" customFormat="1" ht="5.0999999999999996" hidden="1" customHeight="1" x14ac:dyDescent="0.2">
      <c r="B80" s="273"/>
      <c r="C80" s="399"/>
      <c r="D80" s="273"/>
      <c r="E80" s="273"/>
      <c r="F80" s="273"/>
      <c r="G80" s="273"/>
      <c r="H80" s="273"/>
      <c r="I80" s="273"/>
      <c r="J80" s="273"/>
      <c r="K80" s="273"/>
      <c r="L80" s="273"/>
      <c r="M80" s="273"/>
      <c r="N80" s="273"/>
      <c r="O80" s="273"/>
      <c r="P80" s="273"/>
      <c r="Q80" s="273"/>
      <c r="R80" s="273"/>
      <c r="S80" s="273"/>
      <c r="T80" s="273"/>
      <c r="U80" s="273"/>
      <c r="V80" s="273"/>
      <c r="W80" s="273"/>
      <c r="X80" s="273"/>
      <c r="Y80" s="273"/>
      <c r="Z80" s="348"/>
    </row>
    <row r="81" spans="1:26" s="253" customFormat="1" ht="9.9499999999999993" hidden="1" customHeight="1" x14ac:dyDescent="0.2">
      <c r="A81" s="253" t="s">
        <v>1715</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99"/>
    </row>
    <row r="82" spans="1:26" s="253" customFormat="1" ht="5.0999999999999996" customHeight="1" x14ac:dyDescent="0.2">
      <c r="B82" s="273"/>
      <c r="C82" s="399"/>
      <c r="D82" s="273"/>
      <c r="E82" s="273"/>
      <c r="F82" s="273"/>
      <c r="G82" s="273"/>
      <c r="H82" s="273"/>
      <c r="I82" s="340"/>
      <c r="J82" s="273"/>
      <c r="K82" s="273"/>
      <c r="L82" s="273"/>
      <c r="M82" s="273"/>
      <c r="N82" s="273"/>
      <c r="O82" s="273"/>
      <c r="P82" s="273"/>
      <c r="Q82" s="273"/>
      <c r="R82" s="273"/>
      <c r="S82" s="273"/>
      <c r="T82" s="273"/>
      <c r="U82" s="273"/>
      <c r="V82" s="273"/>
      <c r="W82" s="273"/>
      <c r="X82" s="273"/>
      <c r="Y82" s="273"/>
      <c r="Z82" s="348"/>
    </row>
    <row r="83" spans="1:26" s="253" customFormat="1" ht="9.9499999999999993" customHeight="1" x14ac:dyDescent="0.2">
      <c r="A83" s="253" t="s">
        <v>1716</v>
      </c>
      <c r="B83" s="273"/>
      <c r="C83" s="273"/>
      <c r="D83" s="273"/>
      <c r="E83" s="273"/>
      <c r="F83" s="273"/>
      <c r="G83" s="273"/>
      <c r="H83" s="273"/>
      <c r="I83" s="273"/>
      <c r="J83" s="273"/>
      <c r="K83" s="273"/>
      <c r="L83" s="273"/>
      <c r="M83" s="273"/>
      <c r="N83" s="273"/>
      <c r="O83" s="273"/>
      <c r="P83" s="273"/>
      <c r="Q83" s="273"/>
      <c r="R83" s="273"/>
      <c r="S83" s="273"/>
      <c r="T83" s="273"/>
      <c r="U83" s="273"/>
      <c r="V83" s="273"/>
      <c r="W83" s="273">
        <f>'Nonmajor SOREC'!I82</f>
        <v>-424</v>
      </c>
      <c r="X83" s="273"/>
      <c r="Y83" s="273">
        <f t="shared" ref="Y83" si="14">SUM(C83:W83)</f>
        <v>-424</v>
      </c>
      <c r="Z83" s="299"/>
    </row>
    <row r="84" spans="1:26" s="253" customFormat="1" ht="5.0999999999999996" customHeight="1" x14ac:dyDescent="0.2">
      <c r="B84" s="273"/>
      <c r="C84" s="399"/>
      <c r="D84" s="273"/>
      <c r="E84" s="273"/>
      <c r="F84" s="273"/>
      <c r="G84" s="273"/>
      <c r="H84" s="273"/>
      <c r="I84" s="273"/>
      <c r="J84" s="273"/>
      <c r="K84" s="273"/>
      <c r="L84" s="273"/>
      <c r="M84" s="273"/>
      <c r="N84" s="273"/>
      <c r="O84" s="273"/>
      <c r="P84" s="273"/>
      <c r="Q84" s="273"/>
      <c r="R84" s="273"/>
      <c r="S84" s="273"/>
      <c r="T84" s="273"/>
      <c r="U84" s="273"/>
      <c r="V84" s="273"/>
      <c r="W84" s="273"/>
      <c r="X84" s="273"/>
      <c r="Y84" s="273"/>
      <c r="Z84" s="348"/>
    </row>
    <row r="85" spans="1:26" s="253" customFormat="1" ht="9.9499999999999993" hidden="1" customHeight="1" x14ac:dyDescent="0.2">
      <c r="A85" s="253" t="s">
        <v>1717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99"/>
    </row>
    <row r="86" spans="1:26" s="253" customFormat="1" ht="5.0999999999999996" hidden="1" customHeight="1" x14ac:dyDescent="0.2">
      <c r="B86" s="273"/>
      <c r="C86" s="399"/>
      <c r="D86" s="273"/>
      <c r="E86" s="273"/>
      <c r="F86" s="273"/>
      <c r="G86" s="273"/>
      <c r="H86" s="273"/>
      <c r="I86" s="273"/>
      <c r="J86" s="273"/>
      <c r="K86" s="273"/>
      <c r="L86" s="273"/>
      <c r="M86" s="273"/>
      <c r="N86" s="273"/>
      <c r="O86" s="273"/>
      <c r="P86" s="273"/>
      <c r="Q86" s="273"/>
      <c r="R86" s="273"/>
      <c r="S86" s="273"/>
      <c r="T86" s="273"/>
      <c r="U86" s="273"/>
      <c r="V86" s="273"/>
      <c r="W86" s="273"/>
      <c r="X86" s="273"/>
      <c r="Y86" s="273"/>
      <c r="Z86" s="348"/>
    </row>
    <row r="87" spans="1:26" s="253" customFormat="1" ht="9.9499999999999993" customHeight="1" x14ac:dyDescent="0.2">
      <c r="A87" s="349" t="s">
        <v>1720</v>
      </c>
      <c r="B87" s="273"/>
      <c r="C87" s="273">
        <f>SUM(C79:C85)</f>
        <v>565252</v>
      </c>
      <c r="D87" s="273"/>
      <c r="E87" s="273">
        <f>SUM(E79:E85)</f>
        <v>46614</v>
      </c>
      <c r="F87" s="273"/>
      <c r="G87" s="273">
        <f>SUM(G79:G85)</f>
        <v>-18487</v>
      </c>
      <c r="H87" s="273"/>
      <c r="I87" s="273"/>
      <c r="J87" s="273"/>
      <c r="K87" s="273"/>
      <c r="L87" s="273"/>
      <c r="M87" s="273"/>
      <c r="N87" s="273"/>
      <c r="O87" s="273"/>
      <c r="P87" s="273"/>
      <c r="Q87" s="273"/>
      <c r="R87" s="273"/>
      <c r="S87" s="273">
        <f>SUM(S79:S85)</f>
        <v>309051</v>
      </c>
      <c r="T87" s="273"/>
      <c r="U87" s="273"/>
      <c r="V87" s="273"/>
      <c r="W87" s="273">
        <f>SUM(W79:W85)</f>
        <v>1053489</v>
      </c>
      <c r="X87" s="273"/>
      <c r="Y87" s="273">
        <f>SUM(Y79:Y85)</f>
        <v>1941235</v>
      </c>
      <c r="Z87" s="299"/>
    </row>
    <row r="88" spans="1:26" s="253" customFormat="1" ht="5.0999999999999996" customHeight="1" x14ac:dyDescent="0.2">
      <c r="B88" s="273"/>
      <c r="C88" s="340"/>
      <c r="D88" s="273"/>
      <c r="E88" s="340"/>
      <c r="F88" s="273"/>
      <c r="G88" s="340"/>
      <c r="H88" s="273"/>
      <c r="I88" s="340"/>
      <c r="J88" s="273"/>
      <c r="K88" s="340"/>
      <c r="L88" s="273"/>
      <c r="M88" s="340"/>
      <c r="N88" s="273"/>
      <c r="O88" s="340"/>
      <c r="P88" s="273"/>
      <c r="Q88" s="340"/>
      <c r="R88" s="273"/>
      <c r="S88" s="340"/>
      <c r="T88" s="273"/>
      <c r="U88" s="340"/>
      <c r="V88" s="273"/>
      <c r="W88" s="340"/>
      <c r="X88" s="273"/>
      <c r="Y88" s="340"/>
      <c r="Z88" s="299"/>
    </row>
    <row r="89" spans="1:26" s="253" customFormat="1" ht="9.9499999999999993" customHeight="1" thickBot="1" x14ac:dyDescent="0.25">
      <c r="A89" s="284" t="s">
        <v>1769</v>
      </c>
      <c r="B89" s="254"/>
      <c r="C89" s="344">
        <f>+C87+C77</f>
        <v>583400</v>
      </c>
      <c r="D89" s="254"/>
      <c r="E89" s="344">
        <f>+E87+E77</f>
        <v>43932</v>
      </c>
      <c r="F89" s="254"/>
      <c r="G89" s="344">
        <f>+G87+G77</f>
        <v>93373</v>
      </c>
      <c r="H89" s="254"/>
      <c r="I89" s="344">
        <f>+I77+I79</f>
        <v>-33501</v>
      </c>
      <c r="J89" s="254"/>
      <c r="K89" s="344">
        <f>+K77+K79</f>
        <v>0</v>
      </c>
      <c r="L89" s="254"/>
      <c r="M89" s="344">
        <f>+M77+M79</f>
        <v>0</v>
      </c>
      <c r="N89" s="254"/>
      <c r="O89" s="344">
        <f>+O77+O79</f>
        <v>0</v>
      </c>
      <c r="P89" s="254"/>
      <c r="Q89" s="344">
        <f>+Q77+Q79</f>
        <v>0</v>
      </c>
      <c r="R89" s="254"/>
      <c r="S89" s="344">
        <f>+S87+S77</f>
        <v>375891</v>
      </c>
      <c r="T89" s="254"/>
      <c r="U89" s="344">
        <f>+U77+U79</f>
        <v>0</v>
      </c>
      <c r="V89" s="254"/>
      <c r="W89" s="344">
        <f>+W87+W77</f>
        <v>1026091</v>
      </c>
      <c r="X89" s="254"/>
      <c r="Y89" s="344">
        <f>+Y87+Y77</f>
        <v>2089186</v>
      </c>
      <c r="Z89" s="299"/>
    </row>
    <row r="90" spans="1:26" s="253" customFormat="1" ht="9.9499999999999993" customHeight="1" thickTop="1" x14ac:dyDescent="0.2">
      <c r="Z90" s="284"/>
    </row>
    <row r="91" spans="1:26" s="253" customFormat="1" ht="9.9499999999999993" customHeight="1" x14ac:dyDescent="0.2">
      <c r="Z91" s="284"/>
    </row>
    <row r="92" spans="1:26" s="400" customFormat="1" ht="9.9499999999999993" customHeight="1" x14ac:dyDescent="0.2">
      <c r="B92" s="402"/>
      <c r="C92" s="381">
        <f>SUM('BSGF-major'!C68)</f>
        <v>583400</v>
      </c>
      <c r="D92" s="381"/>
      <c r="E92" s="381">
        <f>SUM('BSGF-major'!E68)</f>
        <v>43932</v>
      </c>
      <c r="F92" s="381"/>
      <c r="G92" s="420">
        <f>SUM('BSGF-major'!G68)</f>
        <v>93373</v>
      </c>
      <c r="H92" s="381"/>
      <c r="I92" s="420">
        <f>SUM('BSGF-major'!I68)</f>
        <v>-33501</v>
      </c>
      <c r="J92" s="381"/>
      <c r="K92" s="420">
        <f>SUM('BSGF-major'!K68)</f>
        <v>0</v>
      </c>
      <c r="L92" s="381"/>
      <c r="M92" s="381">
        <f>'BSGF-major'!M68</f>
        <v>0</v>
      </c>
      <c r="N92" s="381"/>
      <c r="O92" s="381">
        <f>SUM('BSGF-major'!O68)</f>
        <v>0</v>
      </c>
      <c r="P92" s="381"/>
      <c r="Q92" s="381">
        <f>SUM('BSGF-major'!Q68)</f>
        <v>0</v>
      </c>
      <c r="R92" s="381"/>
      <c r="S92" s="381">
        <f>SUM('BSGF-major'!S68)</f>
        <v>375891</v>
      </c>
      <c r="T92" s="381"/>
      <c r="U92" s="420">
        <f>SUM('BSGF-major'!U68)</f>
        <v>0</v>
      </c>
      <c r="V92" s="381"/>
      <c r="W92" s="381">
        <f>SUM('BSGF-major'!W68)</f>
        <v>1026091</v>
      </c>
      <c r="X92" s="381"/>
      <c r="Y92" s="381">
        <f>SUM('BSGF-major'!Y68)</f>
        <v>2089186</v>
      </c>
      <c r="Z92" s="381"/>
    </row>
    <row r="93" spans="1:26" s="284" customFormat="1" ht="9.9499999999999993" customHeight="1" x14ac:dyDescent="0.2">
      <c r="B93" s="403"/>
      <c r="C93" s="381">
        <f>C89-C92</f>
        <v>0</v>
      </c>
      <c r="D93" s="381"/>
      <c r="E93" s="381">
        <f>E89-E92</f>
        <v>0</v>
      </c>
      <c r="F93" s="381"/>
      <c r="G93" s="381">
        <f>G89-G92</f>
        <v>0</v>
      </c>
      <c r="H93" s="381"/>
      <c r="I93" s="381">
        <f>I89-I92</f>
        <v>0</v>
      </c>
      <c r="J93" s="381"/>
      <c r="K93" s="381">
        <f>K89-K92</f>
        <v>0</v>
      </c>
      <c r="L93" s="381"/>
      <c r="M93" s="381">
        <f>M89-M92</f>
        <v>0</v>
      </c>
      <c r="N93" s="381"/>
      <c r="O93" s="381">
        <f>O89-O92</f>
        <v>0</v>
      </c>
      <c r="P93" s="381"/>
      <c r="Q93" s="381">
        <f>Q89-Q92</f>
        <v>0</v>
      </c>
      <c r="R93" s="381"/>
      <c r="S93" s="381">
        <f>S89-S92</f>
        <v>0</v>
      </c>
      <c r="T93" s="381"/>
      <c r="U93" s="381">
        <f>U89-U92</f>
        <v>0</v>
      </c>
      <c r="V93" s="381"/>
      <c r="W93" s="381">
        <f>W89-W92</f>
        <v>0</v>
      </c>
      <c r="X93" s="381"/>
      <c r="Y93" s="381">
        <f>Y89-Y92</f>
        <v>0</v>
      </c>
      <c r="Z93" s="348"/>
    </row>
    <row r="94" spans="1:26" s="253" customFormat="1" ht="9.9499999999999993" customHeight="1" x14ac:dyDescent="0.2">
      <c r="B94" s="404"/>
      <c r="C94" s="404"/>
      <c r="D94" s="404"/>
      <c r="E94" s="404"/>
      <c r="F94" s="404"/>
      <c r="G94" s="404"/>
      <c r="H94" s="404"/>
      <c r="I94" s="404"/>
      <c r="J94" s="404"/>
      <c r="K94" s="404"/>
      <c r="L94" s="404"/>
      <c r="M94" s="404"/>
      <c r="N94" s="404"/>
      <c r="O94" s="404"/>
      <c r="P94" s="404"/>
      <c r="Q94" s="404"/>
      <c r="R94" s="404"/>
      <c r="S94" s="404"/>
      <c r="T94" s="404"/>
      <c r="U94" s="404"/>
      <c r="V94" s="404"/>
      <c r="W94" s="404"/>
      <c r="X94" s="404"/>
      <c r="Y94" s="404"/>
      <c r="Z94" s="284"/>
    </row>
    <row r="95" spans="1:26" s="253" customFormat="1" ht="9.9499999999999993" customHeight="1" x14ac:dyDescent="0.2">
      <c r="Z95" s="284"/>
    </row>
    <row r="96" spans="1:26" s="253" customFormat="1" ht="9.9499999999999993" customHeight="1" x14ac:dyDescent="0.2">
      <c r="Z96" s="284"/>
    </row>
    <row r="97" spans="3:26" s="253" customFormat="1" ht="9.9499999999999993" customHeight="1" x14ac:dyDescent="0.2">
      <c r="C97" s="273">
        <f>+C58-C73</f>
        <v>1715946</v>
      </c>
      <c r="Z97" s="284"/>
    </row>
    <row r="98" spans="3:26" s="253" customFormat="1" ht="9.9499999999999993" customHeight="1" x14ac:dyDescent="0.2">
      <c r="Z98" s="284"/>
    </row>
    <row r="99" spans="3:26" s="253" customFormat="1" ht="9.9499999999999993" customHeight="1" x14ac:dyDescent="0.2">
      <c r="Z99" s="284"/>
    </row>
    <row r="100" spans="3:26" s="253" customFormat="1" ht="9.9499999999999993" customHeight="1" x14ac:dyDescent="0.2">
      <c r="Z100" s="284"/>
    </row>
    <row r="101" spans="3:26" s="253" customFormat="1" ht="9.9499999999999993" customHeight="1" x14ac:dyDescent="0.2">
      <c r="Z101" s="284"/>
    </row>
    <row r="102" spans="3:26" s="253" customFormat="1" ht="9.9499999999999993" customHeight="1" x14ac:dyDescent="0.2">
      <c r="Z102" s="284"/>
    </row>
    <row r="103" spans="3:26" s="253" customFormat="1" ht="9.9499999999999993" customHeight="1" x14ac:dyDescent="0.2">
      <c r="Z103" s="284"/>
    </row>
    <row r="104" spans="3:26" s="253" customFormat="1" ht="9.9499999999999993" customHeight="1" x14ac:dyDescent="0.2">
      <c r="Z104" s="284"/>
    </row>
    <row r="105" spans="3:26" s="253" customFormat="1" ht="9.9499999999999993" customHeight="1" x14ac:dyDescent="0.2">
      <c r="Z105" s="284"/>
    </row>
    <row r="106" spans="3:26" s="253" customFormat="1" ht="9.9499999999999993" customHeight="1" x14ac:dyDescent="0.2">
      <c r="Z106" s="284"/>
    </row>
    <row r="107" spans="3:26" s="253" customFormat="1" ht="9.9499999999999993" customHeight="1" x14ac:dyDescent="0.2">
      <c r="Z107" s="284"/>
    </row>
    <row r="108" spans="3:26" s="253" customFormat="1" ht="9.9499999999999993" customHeight="1" x14ac:dyDescent="0.2">
      <c r="Z108" s="284"/>
    </row>
    <row r="109" spans="3:26" s="253" customFormat="1" ht="9.9499999999999993" customHeight="1" x14ac:dyDescent="0.2">
      <c r="Z109" s="284"/>
    </row>
    <row r="110" spans="3:26" s="253" customFormat="1" ht="9.9499999999999993" customHeight="1" x14ac:dyDescent="0.2">
      <c r="Z110" s="284"/>
    </row>
    <row r="111" spans="3:26" s="253" customFormat="1" ht="9.9499999999999993" customHeight="1" x14ac:dyDescent="0.2">
      <c r="Z111" s="284"/>
    </row>
    <row r="112" spans="3:26" s="253" customFormat="1" ht="9.9499999999999993" customHeight="1" x14ac:dyDescent="0.2">
      <c r="Z112" s="284"/>
    </row>
    <row r="113" spans="26:26" s="253" customFormat="1" ht="9.9499999999999993" customHeight="1" x14ac:dyDescent="0.2">
      <c r="Z113" s="284"/>
    </row>
    <row r="114" spans="26:26" s="253" customFormat="1" ht="9.9499999999999993" customHeight="1" x14ac:dyDescent="0.2">
      <c r="Z114" s="284"/>
    </row>
    <row r="115" spans="26:26" s="253" customFormat="1" ht="9.9499999999999993" customHeight="1" x14ac:dyDescent="0.2">
      <c r="Z115" s="284"/>
    </row>
    <row r="116" spans="26:26" s="253" customFormat="1" ht="9.9499999999999993" customHeight="1" x14ac:dyDescent="0.2">
      <c r="Z116" s="284"/>
    </row>
    <row r="117" spans="26:26" s="253" customFormat="1" ht="9.9499999999999993" customHeight="1" x14ac:dyDescent="0.2">
      <c r="Z117" s="284"/>
    </row>
    <row r="118" spans="26:26" s="253" customFormat="1" ht="9.9499999999999993" customHeight="1" x14ac:dyDescent="0.2">
      <c r="Z118" s="284"/>
    </row>
    <row r="119" spans="26:26" s="253" customFormat="1" ht="9.9499999999999993" customHeight="1" x14ac:dyDescent="0.2">
      <c r="Z119" s="284"/>
    </row>
    <row r="120" spans="26:26" s="253" customFormat="1" ht="9.9499999999999993" customHeight="1" x14ac:dyDescent="0.2">
      <c r="Z120" s="284"/>
    </row>
    <row r="121" spans="26:26" s="253" customFormat="1" ht="9.9499999999999993" customHeight="1" x14ac:dyDescent="0.2">
      <c r="Z121" s="284"/>
    </row>
    <row r="122" spans="26:26" s="253" customFormat="1" ht="9.9499999999999993" customHeight="1" x14ac:dyDescent="0.2">
      <c r="Z122" s="284"/>
    </row>
    <row r="123" spans="26:26" s="253" customFormat="1" ht="9.9499999999999993" customHeight="1" x14ac:dyDescent="0.2">
      <c r="Z123" s="284"/>
    </row>
    <row r="124" spans="26:26" s="253" customFormat="1" ht="9.9499999999999993" customHeight="1" x14ac:dyDescent="0.2">
      <c r="Z124" s="284"/>
    </row>
    <row r="125" spans="26:26" s="253" customFormat="1" ht="9.9499999999999993" customHeight="1" x14ac:dyDescent="0.2">
      <c r="Z125" s="284"/>
    </row>
    <row r="126" spans="26:26" s="253" customFormat="1" ht="9.9499999999999993" customHeight="1" x14ac:dyDescent="0.2">
      <c r="Z126" s="284"/>
    </row>
    <row r="127" spans="26:26" s="253" customFormat="1" ht="9.9499999999999993" customHeight="1" x14ac:dyDescent="0.2">
      <c r="Z127" s="284"/>
    </row>
    <row r="128" spans="26:26" s="253" customFormat="1" ht="9.9499999999999993" customHeight="1" x14ac:dyDescent="0.2">
      <c r="Z128" s="284"/>
    </row>
    <row r="129" spans="11:26" s="253" customFormat="1" ht="9.9499999999999993" customHeight="1" x14ac:dyDescent="0.2">
      <c r="Z129" s="284"/>
    </row>
    <row r="130" spans="11:26" s="253" customFormat="1" ht="9.9499999999999993" customHeight="1" x14ac:dyDescent="0.2">
      <c r="Z130" s="284"/>
    </row>
    <row r="131" spans="11:26" s="253" customFormat="1" ht="9.9499999999999993" customHeight="1" x14ac:dyDescent="0.2">
      <c r="Z131" s="284"/>
    </row>
    <row r="132" spans="11:26" s="253" customFormat="1" ht="9.9499999999999993" customHeight="1" x14ac:dyDescent="0.2">
      <c r="Z132" s="284"/>
    </row>
    <row r="133" spans="11:26" s="253" customFormat="1" ht="9.9499999999999993" customHeight="1" x14ac:dyDescent="0.2">
      <c r="Z133" s="284"/>
    </row>
    <row r="134" spans="11:26" s="253" customFormat="1" ht="9.9499999999999993" customHeight="1" x14ac:dyDescent="0.2">
      <c r="Z134" s="284"/>
    </row>
    <row r="135" spans="11:26" s="253" customFormat="1" ht="9.9499999999999993" customHeight="1" x14ac:dyDescent="0.2">
      <c r="Z135" s="284"/>
    </row>
    <row r="136" spans="11:26" s="253" customFormat="1" ht="9.9499999999999993" customHeight="1" x14ac:dyDescent="0.2">
      <c r="Z136" s="284"/>
    </row>
    <row r="137" spans="11:26" s="253" customFormat="1" ht="9.9499999999999993" customHeight="1" x14ac:dyDescent="0.2">
      <c r="Z137" s="284"/>
    </row>
    <row r="138" spans="11:26" s="253" customFormat="1" ht="9.9499999999999993" customHeight="1" x14ac:dyDescent="0.2">
      <c r="Z138" s="284"/>
    </row>
    <row r="139" spans="11:26" s="253" customFormat="1" ht="9.9499999999999993" customHeight="1" x14ac:dyDescent="0.2">
      <c r="Z139" s="284"/>
    </row>
    <row r="140" spans="11:26" s="253" customFormat="1" ht="9.9499999999999993" customHeight="1" x14ac:dyDescent="0.2">
      <c r="Z140" s="284"/>
    </row>
    <row r="141" spans="11:26" s="253" customFormat="1" ht="9.9499999999999993" customHeight="1" x14ac:dyDescent="0.2">
      <c r="Z141" s="284"/>
    </row>
    <row r="143" spans="11:26" ht="9.9499999999999993" customHeight="1" x14ac:dyDescent="0.2">
      <c r="K143" s="247">
        <v>21</v>
      </c>
    </row>
  </sheetData>
  <mergeCells count="2">
    <mergeCell ref="A1:Y1"/>
    <mergeCell ref="C7:U7"/>
  </mergeCells>
  <phoneticPr fontId="9" type="noConversion"/>
  <printOptions horizontalCentered="1"/>
  <pageMargins left="0.5" right="0.5" top="0.5" bottom="0.625" header="0.5" footer="0.5"/>
  <pageSetup scale="74" fitToHeight="0" orientation="portrait" r:id="rId1"/>
  <headerFooter alignWithMargins="0">
    <oddFooter>&amp;C&amp;"Calibri,Regular"&amp;9The accompanying notes are an integral part of these basic financial statements.</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6" tint="0.39997558519241921"/>
    <pageSetUpPr fitToPage="1"/>
  </sheetPr>
  <dimension ref="A1:P137"/>
  <sheetViews>
    <sheetView view="pageBreakPreview" topLeftCell="A31" zoomScale="110" zoomScaleNormal="100" zoomScaleSheetLayoutView="110" workbookViewId="0">
      <selection activeCell="Z13" activeCellId="3" sqref="Z18 Z17 Z15 Z13"/>
    </sheetView>
  </sheetViews>
  <sheetFormatPr defaultColWidth="17.85546875" defaultRowHeight="11.25" x14ac:dyDescent="0.2"/>
  <cols>
    <col min="1" max="1" width="1.5703125" style="247" customWidth="1"/>
    <col min="2" max="2" width="65.42578125" style="247" customWidth="1"/>
    <col min="3" max="3" width="1.5703125" style="247" customWidth="1"/>
    <col min="4" max="4" width="11.42578125" style="269" customWidth="1"/>
    <col min="5" max="5" width="1.5703125" style="247" customWidth="1"/>
    <col min="6" max="6" width="13" style="265" customWidth="1"/>
    <col min="7" max="7" width="12.5703125" style="686" customWidth="1"/>
    <col min="8" max="8" width="23.5703125" style="247" customWidth="1"/>
    <col min="9" max="16384" width="17.85546875" style="247"/>
  </cols>
  <sheetData>
    <row r="1" spans="1:16" s="212" customFormat="1" ht="16.5" customHeight="1" thickBot="1" x14ac:dyDescent="0.25">
      <c r="A1" s="1582" t="s">
        <v>1033</v>
      </c>
      <c r="B1" s="1582"/>
      <c r="C1" s="1582"/>
      <c r="D1" s="1582"/>
      <c r="E1" s="1582"/>
      <c r="F1" s="1582"/>
      <c r="G1" s="756"/>
      <c r="H1" s="336"/>
      <c r="I1" s="336"/>
      <c r="J1" s="336"/>
      <c r="K1" s="336"/>
      <c r="L1" s="336"/>
      <c r="M1" s="336"/>
      <c r="N1" s="336"/>
    </row>
    <row r="2" spans="1:16" ht="15" customHeight="1" x14ac:dyDescent="0.2">
      <c r="A2" s="700" t="s">
        <v>23</v>
      </c>
      <c r="B2" s="310"/>
      <c r="C2" s="310"/>
      <c r="D2" s="565"/>
      <c r="E2" s="310"/>
      <c r="F2" s="310"/>
      <c r="G2" s="566"/>
      <c r="H2" s="310"/>
      <c r="I2" s="310"/>
      <c r="J2" s="310"/>
      <c r="K2" s="310"/>
      <c r="L2" s="310"/>
      <c r="M2" s="310"/>
      <c r="N2" s="310"/>
    </row>
    <row r="3" spans="1:16" ht="15" customHeight="1" x14ac:dyDescent="0.2">
      <c r="A3" s="700" t="s">
        <v>24</v>
      </c>
      <c r="B3" s="310"/>
      <c r="C3" s="310"/>
      <c r="D3" s="565"/>
      <c r="E3" s="310"/>
      <c r="F3" s="310"/>
      <c r="G3" s="566"/>
      <c r="H3" s="310"/>
      <c r="I3" s="310"/>
      <c r="J3" s="310"/>
      <c r="K3" s="310"/>
      <c r="L3" s="310"/>
      <c r="M3" s="310"/>
      <c r="N3" s="310"/>
    </row>
    <row r="4" spans="1:16" ht="12.95" customHeight="1" x14ac:dyDescent="0.2">
      <c r="A4" s="1579" t="s">
        <v>1725</v>
      </c>
      <c r="B4" s="1579"/>
      <c r="C4" s="1579"/>
      <c r="D4" s="1579"/>
      <c r="E4" s="1579"/>
      <c r="F4" s="432"/>
      <c r="G4" s="567"/>
      <c r="H4" s="432"/>
      <c r="I4" s="432"/>
      <c r="J4" s="432"/>
      <c r="K4" s="432"/>
      <c r="L4" s="432"/>
      <c r="M4" s="432"/>
      <c r="N4" s="432"/>
    </row>
    <row r="5" spans="1:16" s="253" customFormat="1" ht="12" customHeight="1" x14ac:dyDescent="0.2">
      <c r="A5" s="1580" t="s">
        <v>972</v>
      </c>
      <c r="B5" s="1580"/>
      <c r="C5" s="1580"/>
      <c r="D5" s="1580"/>
      <c r="E5" s="1580"/>
      <c r="F5" s="1580"/>
      <c r="G5" s="400"/>
    </row>
    <row r="6" spans="1:16" s="253" customFormat="1" ht="12.6" customHeight="1" x14ac:dyDescent="0.2">
      <c r="D6" s="273"/>
      <c r="F6" s="254"/>
      <c r="G6" s="256" t="s">
        <v>25</v>
      </c>
      <c r="H6" s="254"/>
    </row>
    <row r="7" spans="1:16" s="492" customFormat="1" ht="9.9499999999999993" hidden="1" customHeight="1" x14ac:dyDescent="0.2">
      <c r="B7" s="253"/>
      <c r="C7" s="253"/>
      <c r="D7" s="253"/>
      <c r="E7" s="253"/>
      <c r="F7" s="362"/>
      <c r="G7" s="402"/>
      <c r="H7" s="253"/>
      <c r="I7" s="254"/>
    </row>
    <row r="8" spans="1:16" s="492" customFormat="1" ht="9.9499999999999993" hidden="1" customHeight="1" x14ac:dyDescent="0.2">
      <c r="A8" s="352"/>
      <c r="B8" s="253"/>
      <c r="C8" s="253"/>
      <c r="D8" s="253"/>
      <c r="E8" s="253"/>
      <c r="F8" s="362"/>
      <c r="G8" s="402"/>
      <c r="H8" s="253"/>
      <c r="I8" s="254"/>
    </row>
    <row r="9" spans="1:16" s="253" customFormat="1" ht="9.9499999999999993" customHeight="1" x14ac:dyDescent="0.2">
      <c r="A9" s="284" t="s">
        <v>26</v>
      </c>
      <c r="D9" s="273"/>
      <c r="F9" s="339">
        <f>+'recon-SOAws'!B3</f>
        <v>147951</v>
      </c>
      <c r="G9" s="712">
        <f>SUM('SORECGF-major'!Y77)</f>
        <v>147951</v>
      </c>
      <c r="H9" s="254"/>
    </row>
    <row r="10" spans="1:16" s="253" customFormat="1" ht="9.9499999999999993" customHeight="1" x14ac:dyDescent="0.2">
      <c r="A10" s="284"/>
      <c r="D10" s="273"/>
      <c r="F10" s="339"/>
      <c r="G10" s="712"/>
      <c r="H10" s="254"/>
    </row>
    <row r="11" spans="1:16" s="253" customFormat="1" ht="9.9499999999999993" customHeight="1" x14ac:dyDescent="0.2">
      <c r="A11" s="352" t="s">
        <v>418</v>
      </c>
      <c r="D11" s="273"/>
      <c r="F11" s="339"/>
      <c r="G11" s="712"/>
      <c r="H11" s="254"/>
    </row>
    <row r="12" spans="1:16" s="253" customFormat="1" ht="9.9499999999999993" customHeight="1" x14ac:dyDescent="0.2">
      <c r="D12" s="273"/>
      <c r="F12" s="502"/>
      <c r="G12" s="381">
        <f>F9-G9</f>
        <v>0</v>
      </c>
      <c r="H12" s="254"/>
    </row>
    <row r="13" spans="1:16" s="253" customFormat="1" ht="11.45" customHeight="1" x14ac:dyDescent="0.2">
      <c r="B13" s="1585" t="s">
        <v>1686</v>
      </c>
      <c r="C13" s="503"/>
      <c r="D13" s="273"/>
      <c r="F13" s="502"/>
      <c r="G13" s="400"/>
    </row>
    <row r="14" spans="1:16" s="253" customFormat="1" ht="11.45" customHeight="1" x14ac:dyDescent="0.2">
      <c r="B14" s="1585"/>
      <c r="C14" s="503"/>
      <c r="D14" s="273"/>
      <c r="F14" s="502"/>
      <c r="G14" s="400"/>
    </row>
    <row r="15" spans="1:16" s="253" customFormat="1" ht="11.1" customHeight="1" x14ac:dyDescent="0.2">
      <c r="B15" s="1585"/>
      <c r="C15" s="503"/>
      <c r="D15" s="273"/>
      <c r="F15" s="502"/>
      <c r="G15" s="400"/>
      <c r="P15" s="253">
        <v>0</v>
      </c>
    </row>
    <row r="16" spans="1:16" s="253" customFormat="1" ht="15" customHeight="1" x14ac:dyDescent="0.2">
      <c r="B16" s="1585"/>
      <c r="C16" s="503"/>
      <c r="D16" s="273"/>
      <c r="F16" s="502"/>
      <c r="G16" s="400"/>
    </row>
    <row r="17" spans="2:9" s="253" customFormat="1" ht="9.9499999999999993" customHeight="1" x14ac:dyDescent="0.2">
      <c r="B17" s="503"/>
      <c r="C17" s="503"/>
      <c r="D17" s="273"/>
      <c r="F17" s="502"/>
      <c r="G17" s="400"/>
    </row>
    <row r="18" spans="2:9" s="253" customFormat="1" ht="9.75" customHeight="1" x14ac:dyDescent="0.2">
      <c r="B18" s="349" t="s">
        <v>44</v>
      </c>
      <c r="C18" s="352"/>
      <c r="D18" s="273">
        <f>+'recon-SOAws'!B6</f>
        <v>465478</v>
      </c>
      <c r="E18" s="254"/>
      <c r="F18" s="502"/>
      <c r="G18" s="400"/>
      <c r="H18" s="367"/>
    </row>
    <row r="19" spans="2:9" s="253" customFormat="1" ht="9.9499999999999993" customHeight="1" x14ac:dyDescent="0.2">
      <c r="B19" s="349" t="s">
        <v>181</v>
      </c>
      <c r="C19" s="352"/>
      <c r="D19" s="273">
        <f>+'recon-SOAws'!B7</f>
        <v>350</v>
      </c>
      <c r="E19" s="254"/>
      <c r="F19" s="502"/>
      <c r="G19" s="400"/>
      <c r="H19" s="367"/>
    </row>
    <row r="20" spans="2:9" s="253" customFormat="1" ht="9.9499999999999993" customHeight="1" x14ac:dyDescent="0.2">
      <c r="B20" s="349" t="s">
        <v>1173</v>
      </c>
      <c r="C20" s="352"/>
      <c r="D20" s="273">
        <f>+'recon-SOAws'!B8</f>
        <v>791</v>
      </c>
      <c r="F20" s="502"/>
      <c r="G20" s="400"/>
      <c r="H20" s="367"/>
    </row>
    <row r="21" spans="2:9" s="253" customFormat="1" ht="9.9499999999999993" customHeight="1" x14ac:dyDescent="0.2">
      <c r="B21" s="349" t="s">
        <v>173</v>
      </c>
      <c r="C21" s="352"/>
      <c r="D21" s="273">
        <f>+'recon-SOAws'!B9</f>
        <v>-252769</v>
      </c>
      <c r="E21" s="254"/>
      <c r="F21" s="502"/>
      <c r="G21" s="400"/>
      <c r="H21" s="367"/>
    </row>
    <row r="22" spans="2:9" s="253" customFormat="1" ht="9.9499999999999993" customHeight="1" x14ac:dyDescent="0.2">
      <c r="B22" s="349" t="s">
        <v>174</v>
      </c>
      <c r="C22" s="352"/>
      <c r="D22" s="273">
        <f>+'recon-SOAws'!B10</f>
        <v>-16693</v>
      </c>
      <c r="E22" s="254"/>
      <c r="G22" s="400"/>
    </row>
    <row r="23" spans="2:9" s="253" customFormat="1" ht="9.9499999999999993" customHeight="1" x14ac:dyDescent="0.2">
      <c r="B23" s="352"/>
      <c r="C23" s="352"/>
      <c r="D23" s="340"/>
      <c r="E23" s="254"/>
      <c r="F23" s="502">
        <f>SUM(D18:D22)</f>
        <v>197157</v>
      </c>
      <c r="G23" s="400"/>
    </row>
    <row r="24" spans="2:9" s="253" customFormat="1" ht="9.9499999999999993" customHeight="1" x14ac:dyDescent="0.2">
      <c r="B24" s="352"/>
      <c r="C24" s="352"/>
      <c r="D24" s="273"/>
      <c r="E24" s="254"/>
      <c r="F24" s="502"/>
      <c r="G24" s="400"/>
    </row>
    <row r="25" spans="2:9" s="253" customFormat="1" ht="9.9499999999999993" hidden="1" customHeight="1" x14ac:dyDescent="0.2">
      <c r="B25" s="352" t="s">
        <v>1583</v>
      </c>
      <c r="C25" s="352"/>
      <c r="D25" s="273">
        <f>'recon-SOAws'!B13</f>
        <v>0</v>
      </c>
      <c r="E25" s="254"/>
      <c r="F25" s="502"/>
      <c r="G25" s="400"/>
    </row>
    <row r="26" spans="2:9" s="253" customFormat="1" ht="9.9499999999999993" hidden="1" customHeight="1" x14ac:dyDescent="0.2">
      <c r="B26" s="352" t="s">
        <v>1584</v>
      </c>
      <c r="C26" s="352"/>
      <c r="D26" s="273">
        <f>'recon-SOAws'!B14</f>
        <v>0</v>
      </c>
      <c r="E26" s="254"/>
      <c r="F26" s="502"/>
      <c r="G26" s="400"/>
    </row>
    <row r="27" spans="2:9" s="253" customFormat="1" ht="9.9499999999999993" hidden="1" customHeight="1" x14ac:dyDescent="0.2">
      <c r="B27" s="352"/>
      <c r="C27" s="352"/>
      <c r="D27" s="340"/>
      <c r="E27" s="254"/>
      <c r="F27" s="502">
        <f>+D25+D26</f>
        <v>0</v>
      </c>
      <c r="G27" s="400"/>
    </row>
    <row r="28" spans="2:9" s="253" customFormat="1" ht="9.9499999999999993" hidden="1" customHeight="1" x14ac:dyDescent="0.2">
      <c r="B28" s="352"/>
      <c r="C28" s="352"/>
      <c r="D28" s="273"/>
      <c r="E28" s="254"/>
      <c r="F28" s="502"/>
      <c r="G28" s="400"/>
    </row>
    <row r="29" spans="2:9" s="253" customFormat="1" ht="11.1" customHeight="1" x14ac:dyDescent="0.2">
      <c r="B29" s="1585" t="s">
        <v>1234</v>
      </c>
      <c r="C29" s="503"/>
      <c r="D29" s="273"/>
      <c r="F29" s="502"/>
      <c r="G29" s="400"/>
    </row>
    <row r="30" spans="2:9" s="253" customFormat="1" ht="14.25" customHeight="1" x14ac:dyDescent="0.2">
      <c r="B30" s="1585"/>
      <c r="C30" s="503"/>
      <c r="D30" s="273"/>
      <c r="F30" s="1019">
        <f>+'recon-SOAws'!B17</f>
        <v>18565</v>
      </c>
      <c r="G30" s="381">
        <f>+'SORECGF-major'!Y29-SOActivities!E27-SOActivities!G27-SOActivities!I27-SOActivities!K71+SOActivities!K69+SUM(SOAws!BT75:BY76)+F30+'recon-SOAws'!B36</f>
        <v>-30</v>
      </c>
      <c r="I30" s="253">
        <f>208898+21446</f>
        <v>230344</v>
      </c>
    </row>
    <row r="31" spans="2:9" s="253" customFormat="1" ht="9.9499999999999993" customHeight="1" x14ac:dyDescent="0.2">
      <c r="D31" s="273"/>
      <c r="F31" s="502"/>
      <c r="G31" s="400"/>
    </row>
    <row r="32" spans="2:9" s="253" customFormat="1" ht="24" hidden="1" x14ac:dyDescent="0.2">
      <c r="B32" s="1225" t="s">
        <v>1428</v>
      </c>
      <c r="C32" s="503"/>
      <c r="D32" s="273"/>
      <c r="F32" s="1019">
        <f>'recon-SOAws'!B19</f>
        <v>0</v>
      </c>
      <c r="G32" s="381"/>
    </row>
    <row r="33" spans="2:9" s="253" customFormat="1" ht="9.9499999999999993" hidden="1" customHeight="1" x14ac:dyDescent="0.2">
      <c r="D33" s="273"/>
      <c r="F33" s="502"/>
      <c r="G33" s="400"/>
    </row>
    <row r="34" spans="2:9" s="253" customFormat="1" ht="11.25" customHeight="1" x14ac:dyDescent="0.2">
      <c r="B34" s="1585" t="s">
        <v>1231</v>
      </c>
      <c r="C34" s="503"/>
      <c r="D34" s="273"/>
      <c r="F34" s="502"/>
      <c r="G34" s="400"/>
    </row>
    <row r="35" spans="2:9" s="253" customFormat="1" ht="11.25" customHeight="1" x14ac:dyDescent="0.2">
      <c r="B35" s="1585"/>
      <c r="C35" s="503"/>
      <c r="D35" s="273"/>
      <c r="F35" s="502"/>
      <c r="G35" s="400"/>
    </row>
    <row r="36" spans="2:9" s="253" customFormat="1" ht="11.25" customHeight="1" x14ac:dyDescent="0.2">
      <c r="B36" s="1585"/>
      <c r="C36" s="503"/>
      <c r="D36" s="273"/>
      <c r="F36" s="502"/>
      <c r="G36" s="400"/>
    </row>
    <row r="37" spans="2:9" s="253" customFormat="1" ht="11.25" customHeight="1" x14ac:dyDescent="0.2">
      <c r="B37" s="1585"/>
      <c r="C37" s="503"/>
      <c r="D37" s="273"/>
      <c r="F37" s="502"/>
      <c r="G37" s="400"/>
    </row>
    <row r="38" spans="2:9" s="253" customFormat="1" ht="11.25" customHeight="1" x14ac:dyDescent="0.2">
      <c r="B38" s="1585"/>
      <c r="C38" s="503"/>
      <c r="D38" s="273"/>
      <c r="F38" s="502"/>
      <c r="G38" s="400"/>
    </row>
    <row r="39" spans="2:9" s="253" customFormat="1" ht="18" customHeight="1" x14ac:dyDescent="0.2">
      <c r="B39" s="1585"/>
      <c r="C39" s="503"/>
      <c r="D39" s="273"/>
      <c r="F39" s="502"/>
      <c r="G39" s="400"/>
    </row>
    <row r="40" spans="2:9" s="253" customFormat="1" ht="9.9499999999999993" customHeight="1" x14ac:dyDescent="0.2">
      <c r="B40" s="352"/>
      <c r="C40" s="352"/>
      <c r="D40" s="273"/>
      <c r="F40" s="502"/>
      <c r="G40" s="400"/>
    </row>
    <row r="41" spans="2:9" s="253" customFormat="1" ht="9.9499999999999993" customHeight="1" x14ac:dyDescent="0.2">
      <c r="B41" s="349" t="s">
        <v>1607</v>
      </c>
      <c r="C41" s="352"/>
      <c r="D41" s="273">
        <f>+'recon-SOAws'!B22</f>
        <v>-418017</v>
      </c>
      <c r="E41" s="254"/>
      <c r="F41" s="502"/>
      <c r="G41" s="381">
        <f>D41+'SORECGF-major'!Y64+'SORECGF-major'!Y67+'SORECGF-major'!Y70+'SORECGF-major'!Y65</f>
        <v>0</v>
      </c>
    </row>
    <row r="42" spans="2:9" s="253" customFormat="1" ht="9.9499999999999993" customHeight="1" x14ac:dyDescent="0.2">
      <c r="B42" s="349" t="s">
        <v>441</v>
      </c>
      <c r="C42" s="352"/>
      <c r="D42" s="273">
        <f>+'recon-SOAws'!B23</f>
        <v>-35387</v>
      </c>
      <c r="E42" s="254"/>
      <c r="F42" s="502"/>
      <c r="G42" s="381">
        <f>D42+'SORECGF-major'!Y71</f>
        <v>0</v>
      </c>
    </row>
    <row r="43" spans="2:9" s="253" customFormat="1" ht="9.9499999999999993" hidden="1" customHeight="1" x14ac:dyDescent="0.2">
      <c r="B43" s="349" t="s">
        <v>195</v>
      </c>
      <c r="C43" s="352"/>
      <c r="D43" s="273">
        <f>+'recon-SOAws'!B24</f>
        <v>0</v>
      </c>
      <c r="E43" s="254"/>
      <c r="F43" s="502"/>
      <c r="G43" s="381">
        <f>+D43-'SORECGF-major'!Y50</f>
        <v>-2731</v>
      </c>
    </row>
    <row r="44" spans="2:9" s="253" customFormat="1" ht="9.9499999999999993" hidden="1" customHeight="1" x14ac:dyDescent="0.2">
      <c r="B44" s="349" t="s">
        <v>1012</v>
      </c>
      <c r="C44" s="352"/>
      <c r="D44" s="273">
        <f>+'recon-SOAws'!B25</f>
        <v>0</v>
      </c>
      <c r="E44" s="254"/>
      <c r="F44" s="502"/>
      <c r="G44" s="381">
        <f>D44+'SORECGF-major'!Y66</f>
        <v>0</v>
      </c>
      <c r="I44" s="381"/>
    </row>
    <row r="45" spans="2:9" s="253" customFormat="1" ht="11.1" customHeight="1" x14ac:dyDescent="0.2">
      <c r="B45" s="349" t="s">
        <v>1747</v>
      </c>
      <c r="C45" s="503"/>
      <c r="D45" s="273">
        <f>'recon-SOAws'!B36</f>
        <v>-31135</v>
      </c>
      <c r="G45" s="400"/>
    </row>
    <row r="46" spans="2:9" s="253" customFormat="1" ht="9.9499999999999993" customHeight="1" x14ac:dyDescent="0.2">
      <c r="B46" s="349" t="s">
        <v>1211</v>
      </c>
      <c r="C46" s="352"/>
      <c r="D46" s="273">
        <f>+'recon-SOAws'!B26</f>
        <v>28460</v>
      </c>
      <c r="E46" s="254"/>
      <c r="F46" s="273"/>
      <c r="G46" s="381">
        <f>+SOActivities!C24-SOAws!B16</f>
        <v>0</v>
      </c>
    </row>
    <row r="47" spans="2:9" s="253" customFormat="1" ht="9.9499999999999993" customHeight="1" x14ac:dyDescent="0.2">
      <c r="B47" s="349" t="s">
        <v>45</v>
      </c>
      <c r="C47" s="352"/>
      <c r="D47" s="273">
        <f>+'recon-SOAws'!B27</f>
        <v>272959</v>
      </c>
      <c r="E47" s="254"/>
      <c r="G47" s="381">
        <f>+D47-'SORECGF-major'!Y47</f>
        <v>0</v>
      </c>
    </row>
    <row r="48" spans="2:9" s="253" customFormat="1" ht="9.9499999999999993" customHeight="1" x14ac:dyDescent="0.2">
      <c r="B48" s="352"/>
      <c r="C48" s="352"/>
      <c r="D48" s="340"/>
      <c r="E48" s="254"/>
      <c r="F48" s="502">
        <f>SUM(D41:D47)</f>
        <v>-183120</v>
      </c>
      <c r="G48" s="402"/>
    </row>
    <row r="49" spans="2:7" s="253" customFormat="1" ht="11.1" customHeight="1" x14ac:dyDescent="0.2">
      <c r="B49" s="1590" t="s">
        <v>330</v>
      </c>
      <c r="C49" s="503"/>
      <c r="D49" s="273"/>
      <c r="F49" s="502"/>
      <c r="G49" s="400"/>
    </row>
    <row r="50" spans="2:7" s="253" customFormat="1" ht="26.25" customHeight="1" x14ac:dyDescent="0.2">
      <c r="B50" s="1590"/>
      <c r="C50" s="503"/>
      <c r="D50" s="273"/>
      <c r="F50" s="502"/>
      <c r="G50" s="400"/>
    </row>
    <row r="51" spans="2:7" s="253" customFormat="1" ht="10.5" customHeight="1" x14ac:dyDescent="0.2">
      <c r="B51" s="944"/>
      <c r="C51" s="503"/>
      <c r="D51" s="273"/>
      <c r="F51" s="273"/>
      <c r="G51" s="400"/>
    </row>
    <row r="52" spans="2:7" s="253" customFormat="1" ht="9.9499999999999993" customHeight="1" x14ac:dyDescent="0.2">
      <c r="B52" s="349" t="s">
        <v>332</v>
      </c>
      <c r="C52" s="503"/>
      <c r="D52" s="273">
        <f>+'recon-SOAws'!B31</f>
        <v>-2561</v>
      </c>
      <c r="F52" s="273"/>
      <c r="G52" s="1260">
        <f>+'SORECGF-major'!Y48-reconSOA!D52-SOActivities!C25-D46-SORECPF!K35+'SORECGF-major'!Y53</f>
        <v>-927</v>
      </c>
    </row>
    <row r="53" spans="2:7" s="253" customFormat="1" ht="9.9499999999999993" customHeight="1" x14ac:dyDescent="0.2">
      <c r="B53" s="349" t="s">
        <v>691</v>
      </c>
      <c r="C53" s="503"/>
      <c r="D53" s="273">
        <f>+'recon-SOAws'!B32</f>
        <v>-8412</v>
      </c>
      <c r="F53" s="273"/>
      <c r="G53" s="400"/>
    </row>
    <row r="54" spans="2:7" s="253" customFormat="1" ht="9.9499999999999993" customHeight="1" x14ac:dyDescent="0.2">
      <c r="B54" s="349" t="s">
        <v>1449</v>
      </c>
      <c r="C54" s="503"/>
      <c r="D54" s="273">
        <f>+'recon-SOAws'!B33</f>
        <v>-38929</v>
      </c>
      <c r="F54" s="273"/>
      <c r="G54" s="381"/>
    </row>
    <row r="55" spans="2:7" s="253" customFormat="1" ht="9.9499999999999993" customHeight="1" x14ac:dyDescent="0.2">
      <c r="B55" s="349" t="s">
        <v>331</v>
      </c>
      <c r="C55" s="503"/>
      <c r="D55" s="273">
        <f>+'recon-SOAws'!B34</f>
        <v>4506</v>
      </c>
      <c r="F55" s="273"/>
      <c r="G55" s="400"/>
    </row>
    <row r="56" spans="2:7" s="253" customFormat="1" ht="9.9499999999999993" customHeight="1" x14ac:dyDescent="0.2">
      <c r="B56" s="349" t="s">
        <v>1608</v>
      </c>
      <c r="C56" s="503"/>
      <c r="D56" s="273">
        <f>+'recon-SOAws'!B35</f>
        <v>575</v>
      </c>
      <c r="G56" s="400"/>
    </row>
    <row r="57" spans="2:7" s="253" customFormat="1" ht="9.9499999999999993" customHeight="1" x14ac:dyDescent="0.2">
      <c r="B57" s="349" t="s">
        <v>92</v>
      </c>
      <c r="C57" s="503"/>
      <c r="D57" s="273">
        <f>+'recon-SOAws'!B37</f>
        <v>-10462</v>
      </c>
      <c r="G57" s="400"/>
    </row>
    <row r="58" spans="2:7" s="253" customFormat="1" ht="9.9499999999999993" customHeight="1" x14ac:dyDescent="0.2">
      <c r="B58" s="349" t="s">
        <v>1596</v>
      </c>
      <c r="C58" s="503"/>
      <c r="D58" s="273">
        <f>+'recon-SOAws'!B38</f>
        <v>15225</v>
      </c>
      <c r="G58" s="400"/>
    </row>
    <row r="59" spans="2:7" s="253" customFormat="1" ht="9.9499999999999993" customHeight="1" x14ac:dyDescent="0.2">
      <c r="B59" s="349" t="s">
        <v>1646</v>
      </c>
      <c r="C59" s="503"/>
      <c r="D59" s="273">
        <f>+'recon-SOAws'!B39</f>
        <v>-1692</v>
      </c>
      <c r="G59" s="400"/>
    </row>
    <row r="60" spans="2:7" s="253" customFormat="1" ht="9.9499999999999993" hidden="1" customHeight="1" x14ac:dyDescent="0.2">
      <c r="B60" s="349" t="s">
        <v>1165</v>
      </c>
      <c r="C60" s="503"/>
      <c r="D60" s="273">
        <f>+'recon-SOAws'!B40</f>
        <v>0</v>
      </c>
      <c r="G60" s="400"/>
    </row>
    <row r="61" spans="2:7" hidden="1" x14ac:dyDescent="0.2"/>
    <row r="62" spans="2:7" s="253" customFormat="1" ht="11.1" customHeight="1" x14ac:dyDescent="0.2">
      <c r="B62" s="1018"/>
      <c r="C62" s="503"/>
      <c r="D62" s="340"/>
      <c r="F62" s="273">
        <f>SUM(D52:D61)</f>
        <v>-41750</v>
      </c>
      <c r="G62" s="400"/>
    </row>
    <row r="63" spans="2:7" s="253" customFormat="1" ht="11.1" customHeight="1" x14ac:dyDescent="0.2">
      <c r="B63" s="944"/>
      <c r="C63" s="503"/>
      <c r="D63" s="273"/>
      <c r="F63" s="273"/>
      <c r="G63" s="400"/>
    </row>
    <row r="64" spans="2:7" s="253" customFormat="1" ht="39.75" customHeight="1" x14ac:dyDescent="0.2">
      <c r="B64" s="944" t="s">
        <v>1183</v>
      </c>
      <c r="C64" s="503"/>
      <c r="D64" s="273"/>
      <c r="F64" s="1019">
        <f>+'recon-SOAws'!B43</f>
        <v>33023</v>
      </c>
      <c r="G64" s="1065">
        <f>+F64+SORECPF!I68-SORECPF!K54</f>
        <v>0</v>
      </c>
    </row>
    <row r="65" spans="1:7" s="253" customFormat="1" ht="9.9499999999999993" customHeight="1" x14ac:dyDescent="0.2">
      <c r="B65" s="352"/>
      <c r="C65" s="352"/>
      <c r="D65" s="273"/>
      <c r="F65" s="1020"/>
      <c r="G65" s="400"/>
    </row>
    <row r="66" spans="1:7" s="253" customFormat="1" ht="11.1" customHeight="1" thickBot="1" x14ac:dyDescent="0.25">
      <c r="A66" s="353" t="s">
        <v>1114</v>
      </c>
      <c r="D66" s="273"/>
      <c r="F66" s="344">
        <f>SUM(F4:F65)</f>
        <v>171826</v>
      </c>
      <c r="G66" s="402"/>
    </row>
    <row r="67" spans="1:7" s="253" customFormat="1" ht="5.0999999999999996" customHeight="1" thickTop="1" x14ac:dyDescent="0.2">
      <c r="D67" s="273"/>
      <c r="F67" s="254"/>
      <c r="G67" s="400"/>
    </row>
    <row r="68" spans="1:7" s="679" customFormat="1" ht="13.5" customHeight="1" x14ac:dyDescent="0.2">
      <c r="D68" s="1021" t="s">
        <v>47</v>
      </c>
      <c r="F68" s="681">
        <f>SUM(SOActivities!K73)</f>
        <v>171826</v>
      </c>
      <c r="G68" s="400"/>
    </row>
    <row r="69" spans="1:7" s="679" customFormat="1" ht="12" x14ac:dyDescent="0.2">
      <c r="D69" s="696"/>
      <c r="F69" s="1065">
        <f>F66-F68</f>
        <v>0</v>
      </c>
      <c r="G69" s="400"/>
    </row>
    <row r="70" spans="1:7" s="253" customFormat="1" ht="12" x14ac:dyDescent="0.2">
      <c r="D70" s="273"/>
      <c r="F70" s="254"/>
      <c r="G70" s="400"/>
    </row>
    <row r="71" spans="1:7" s="253" customFormat="1" ht="12" x14ac:dyDescent="0.2">
      <c r="D71" s="631"/>
      <c r="F71" s="348"/>
      <c r="G71" s="402"/>
    </row>
    <row r="72" spans="1:7" s="253" customFormat="1" ht="12" x14ac:dyDescent="0.2">
      <c r="D72" s="273"/>
      <c r="F72" s="254"/>
      <c r="G72" s="400"/>
    </row>
    <row r="73" spans="1:7" s="253" customFormat="1" ht="12" x14ac:dyDescent="0.2">
      <c r="D73" s="273"/>
      <c r="F73" s="254"/>
      <c r="G73" s="400"/>
    </row>
    <row r="74" spans="1:7" s="253" customFormat="1" ht="12" x14ac:dyDescent="0.2">
      <c r="D74" s="273"/>
      <c r="F74" s="254"/>
      <c r="G74" s="400"/>
    </row>
    <row r="75" spans="1:7" s="253" customFormat="1" ht="12" x14ac:dyDescent="0.2">
      <c r="D75" s="273"/>
      <c r="F75" s="254"/>
      <c r="G75" s="400"/>
    </row>
    <row r="76" spans="1:7" s="253" customFormat="1" ht="12" x14ac:dyDescent="0.2">
      <c r="D76" s="273"/>
      <c r="F76" s="254"/>
      <c r="G76" s="400"/>
    </row>
    <row r="77" spans="1:7" s="253" customFormat="1" ht="12" x14ac:dyDescent="0.2">
      <c r="D77" s="273"/>
      <c r="F77" s="254"/>
      <c r="G77" s="400"/>
    </row>
    <row r="78" spans="1:7" s="253" customFormat="1" ht="12" x14ac:dyDescent="0.2">
      <c r="D78" s="273"/>
      <c r="F78" s="254"/>
      <c r="G78" s="400"/>
    </row>
    <row r="79" spans="1:7" s="253" customFormat="1" ht="12" x14ac:dyDescent="0.2">
      <c r="D79" s="273"/>
      <c r="F79" s="254"/>
      <c r="G79" s="400"/>
    </row>
    <row r="80" spans="1:7" s="253" customFormat="1" ht="12" x14ac:dyDescent="0.2">
      <c r="D80" s="273"/>
      <c r="F80" s="254"/>
      <c r="G80" s="400"/>
    </row>
    <row r="81" spans="4:7" s="253" customFormat="1" ht="12" x14ac:dyDescent="0.2">
      <c r="D81" s="273"/>
      <c r="F81" s="254"/>
      <c r="G81" s="400"/>
    </row>
    <row r="82" spans="4:7" s="253" customFormat="1" ht="12" x14ac:dyDescent="0.2">
      <c r="D82" s="273"/>
      <c r="F82" s="254"/>
      <c r="G82" s="400"/>
    </row>
    <row r="83" spans="4:7" s="253" customFormat="1" ht="12" x14ac:dyDescent="0.2">
      <c r="D83" s="273"/>
      <c r="F83" s="254"/>
      <c r="G83" s="400"/>
    </row>
    <row r="84" spans="4:7" s="253" customFormat="1" ht="12" x14ac:dyDescent="0.2">
      <c r="D84" s="273"/>
      <c r="F84" s="254"/>
      <c r="G84" s="400"/>
    </row>
    <row r="85" spans="4:7" s="253" customFormat="1" ht="12" x14ac:dyDescent="0.2">
      <c r="D85" s="273"/>
      <c r="F85" s="254"/>
      <c r="G85" s="400"/>
    </row>
    <row r="86" spans="4:7" s="253" customFormat="1" ht="12" x14ac:dyDescent="0.2">
      <c r="D86" s="273"/>
      <c r="F86" s="254"/>
      <c r="G86" s="400"/>
    </row>
    <row r="87" spans="4:7" s="253" customFormat="1" ht="12" x14ac:dyDescent="0.2">
      <c r="D87" s="273"/>
      <c r="F87" s="254"/>
      <c r="G87" s="400"/>
    </row>
    <row r="88" spans="4:7" s="253" customFormat="1" ht="12" x14ac:dyDescent="0.2">
      <c r="D88" s="273"/>
      <c r="F88" s="254"/>
      <c r="G88" s="400"/>
    </row>
    <row r="89" spans="4:7" s="253" customFormat="1" ht="12" x14ac:dyDescent="0.2">
      <c r="D89" s="273"/>
      <c r="F89" s="254"/>
      <c r="G89" s="400"/>
    </row>
    <row r="90" spans="4:7" s="253" customFormat="1" ht="12" x14ac:dyDescent="0.2">
      <c r="D90" s="273"/>
      <c r="F90" s="254"/>
      <c r="G90" s="400"/>
    </row>
    <row r="91" spans="4:7" s="253" customFormat="1" ht="12" x14ac:dyDescent="0.2">
      <c r="D91" s="273"/>
      <c r="F91" s="254"/>
      <c r="G91" s="400"/>
    </row>
    <row r="92" spans="4:7" s="253" customFormat="1" ht="12" x14ac:dyDescent="0.2">
      <c r="D92" s="273"/>
      <c r="F92" s="254"/>
      <c r="G92" s="400"/>
    </row>
    <row r="93" spans="4:7" s="253" customFormat="1" ht="12" x14ac:dyDescent="0.2">
      <c r="D93" s="273"/>
      <c r="F93" s="254"/>
      <c r="G93" s="400"/>
    </row>
    <row r="94" spans="4:7" s="253" customFormat="1" ht="12" x14ac:dyDescent="0.2">
      <c r="D94" s="273"/>
      <c r="F94" s="254"/>
      <c r="G94" s="400"/>
    </row>
    <row r="95" spans="4:7" s="253" customFormat="1" ht="12" x14ac:dyDescent="0.2">
      <c r="D95" s="273"/>
      <c r="F95" s="254"/>
      <c r="G95" s="400"/>
    </row>
    <row r="96" spans="4:7" s="253" customFormat="1" ht="12" x14ac:dyDescent="0.2">
      <c r="D96" s="273"/>
      <c r="F96" s="254"/>
      <c r="G96" s="400"/>
    </row>
    <row r="97" spans="4:7" s="253" customFormat="1" ht="12" x14ac:dyDescent="0.2">
      <c r="D97" s="273"/>
      <c r="F97" s="254"/>
      <c r="G97" s="400"/>
    </row>
    <row r="98" spans="4:7" s="253" customFormat="1" ht="12" x14ac:dyDescent="0.2">
      <c r="D98" s="273"/>
      <c r="F98" s="254"/>
      <c r="G98" s="400"/>
    </row>
    <row r="99" spans="4:7" s="253" customFormat="1" ht="12" x14ac:dyDescent="0.2">
      <c r="D99" s="273"/>
      <c r="F99" s="254"/>
      <c r="G99" s="400"/>
    </row>
    <row r="100" spans="4:7" s="253" customFormat="1" ht="12" x14ac:dyDescent="0.2">
      <c r="D100" s="273"/>
      <c r="F100" s="254"/>
      <c r="G100" s="400"/>
    </row>
    <row r="137" spans="7:7" x14ac:dyDescent="0.2">
      <c r="G137" s="686">
        <v>21</v>
      </c>
    </row>
  </sheetData>
  <mergeCells count="7">
    <mergeCell ref="B49:B50"/>
    <mergeCell ref="A1:F1"/>
    <mergeCell ref="B34:B39"/>
    <mergeCell ref="B13:B16"/>
    <mergeCell ref="B29:B30"/>
    <mergeCell ref="A5:F5"/>
    <mergeCell ref="A4:E4"/>
  </mergeCells>
  <phoneticPr fontId="9" type="noConversion"/>
  <printOptions horizontalCentered="1"/>
  <pageMargins left="0.5" right="0.5" top="0.5" bottom="0.625" header="0.5" footer="0.5"/>
  <pageSetup orientation="portrait" r:id="rId1"/>
  <headerFooter alignWithMargins="0">
    <oddFooter>&amp;C&amp;"Calibri,Regular"&amp;9The accompanying notes are an integral part of these basic financial statements.</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theme="6" tint="0.39997558519241921"/>
  </sheetPr>
  <dimension ref="A1:P851"/>
  <sheetViews>
    <sheetView view="pageBreakPreview" zoomScale="110" zoomScaleNormal="100" zoomScaleSheetLayoutView="110" workbookViewId="0">
      <pane ySplit="12" topLeftCell="A109" activePane="bottomLeft" state="frozen"/>
      <selection activeCell="Z13" activeCellId="3" sqref="Z18 Z17 Z15 Z13"/>
      <selection pane="bottomLeft" activeCell="I153" activeCellId="2" sqref="I117 I134 I153"/>
    </sheetView>
  </sheetViews>
  <sheetFormatPr defaultColWidth="9.140625" defaultRowHeight="9.9499999999999993" customHeight="1" x14ac:dyDescent="0.2"/>
  <cols>
    <col min="1" max="1" width="42.7109375" style="572" customWidth="1"/>
    <col min="2" max="2" width="1.5703125" style="572" customWidth="1"/>
    <col min="3" max="3" width="12.5703125" style="572" customWidth="1"/>
    <col min="4" max="4" width="1.5703125" style="572" customWidth="1"/>
    <col min="5" max="5" width="12.5703125" style="572" customWidth="1"/>
    <col min="6" max="6" width="1.5703125" style="572" customWidth="1"/>
    <col min="7" max="7" width="12.5703125" style="314" customWidth="1"/>
    <col min="8" max="8" width="1.5703125" style="314" customWidth="1"/>
    <col min="9" max="9" width="12.5703125" style="314" customWidth="1"/>
    <col min="10" max="10" width="1.5703125" style="314" customWidth="1"/>
    <col min="11" max="11" width="14.5703125" style="314" customWidth="1"/>
    <col min="12" max="12" width="4.140625" style="572" customWidth="1"/>
    <col min="13" max="13" width="52.42578125" style="314" customWidth="1"/>
    <col min="14" max="14" width="10.5703125" style="314" customWidth="1"/>
    <col min="15" max="16384" width="9.140625" style="572"/>
  </cols>
  <sheetData>
    <row r="1" spans="1:14" s="808" customFormat="1" ht="16.5" customHeight="1" thickBot="1" x14ac:dyDescent="0.25">
      <c r="A1" s="1582" t="s">
        <v>1033</v>
      </c>
      <c r="B1" s="1582"/>
      <c r="C1" s="1582"/>
      <c r="D1" s="1582"/>
      <c r="E1" s="1582"/>
      <c r="F1" s="1582"/>
      <c r="G1" s="1582"/>
      <c r="H1" s="1582"/>
      <c r="I1" s="1582"/>
      <c r="J1" s="1582"/>
      <c r="K1" s="1582"/>
    </row>
    <row r="2" spans="1:14" s="723" customFormat="1" ht="15" customHeight="1" x14ac:dyDescent="0.2">
      <c r="A2" s="700" t="s">
        <v>1109</v>
      </c>
      <c r="B2" s="713"/>
      <c r="C2" s="713"/>
      <c r="D2" s="1283"/>
      <c r="E2" s="713"/>
      <c r="F2" s="1283"/>
      <c r="G2" s="1283"/>
      <c r="H2" s="1283"/>
      <c r="I2" s="1283"/>
      <c r="J2" s="1283"/>
      <c r="K2" s="1283"/>
      <c r="M2" s="700"/>
      <c r="N2" s="310"/>
    </row>
    <row r="3" spans="1:14" s="723" customFormat="1" ht="15" customHeight="1" x14ac:dyDescent="0.2">
      <c r="A3" s="700" t="s">
        <v>48</v>
      </c>
      <c r="B3" s="713"/>
      <c r="C3" s="713"/>
      <c r="D3" s="724"/>
      <c r="E3" s="713"/>
      <c r="F3" s="724"/>
      <c r="G3" s="724"/>
      <c r="H3" s="724"/>
      <c r="I3" s="724"/>
      <c r="J3" s="724"/>
      <c r="K3" s="724"/>
      <c r="M3" s="700"/>
      <c r="N3" s="310"/>
    </row>
    <row r="4" spans="1:14" s="569" customFormat="1" ht="12.95" customHeight="1" x14ac:dyDescent="0.2">
      <c r="A4" s="943" t="s">
        <v>1724</v>
      </c>
      <c r="B4" s="943"/>
      <c r="C4" s="943"/>
      <c r="D4" s="321"/>
      <c r="E4" s="321"/>
      <c r="F4" s="321"/>
      <c r="G4" s="321"/>
      <c r="H4" s="321"/>
      <c r="I4" s="321"/>
      <c r="J4" s="321"/>
      <c r="K4" s="321"/>
      <c r="M4" s="506"/>
      <c r="N4" s="311"/>
    </row>
    <row r="5" spans="1:14" s="247" customFormat="1" ht="12" customHeight="1" x14ac:dyDescent="0.2">
      <c r="A5" s="352" t="s">
        <v>972</v>
      </c>
      <c r="B5" s="352"/>
      <c r="C5" s="352"/>
      <c r="D5" s="571"/>
      <c r="E5" s="571"/>
      <c r="F5" s="571"/>
      <c r="G5" s="571"/>
      <c r="H5" s="571"/>
      <c r="I5" s="571"/>
      <c r="J5" s="571"/>
      <c r="K5" s="571"/>
      <c r="L5" s="265"/>
      <c r="M5" s="253"/>
      <c r="N5" s="246"/>
    </row>
    <row r="6" spans="1:14" s="247" customFormat="1" ht="12" customHeight="1" x14ac:dyDescent="0.2">
      <c r="A6" s="352"/>
      <c r="B6" s="352"/>
      <c r="C6" s="352"/>
      <c r="D6" s="571"/>
      <c r="E6" s="571"/>
      <c r="F6" s="571"/>
      <c r="G6" s="571"/>
      <c r="H6" s="571"/>
      <c r="I6" s="571"/>
      <c r="J6" s="571"/>
      <c r="K6" s="571"/>
      <c r="L6" s="265"/>
      <c r="M6" s="253"/>
      <c r="N6" s="246"/>
    </row>
    <row r="7" spans="1:14" s="474" customFormat="1" ht="11.45" customHeight="1" x14ac:dyDescent="0.2">
      <c r="A7" s="472"/>
      <c r="B7" s="472"/>
      <c r="C7" s="1592" t="s">
        <v>54</v>
      </c>
      <c r="D7" s="1592"/>
      <c r="E7" s="1592"/>
      <c r="F7" s="1592"/>
      <c r="G7" s="1592"/>
      <c r="H7" s="1592"/>
      <c r="I7" s="1592"/>
      <c r="J7" s="336"/>
      <c r="K7" s="310" t="s">
        <v>669</v>
      </c>
      <c r="L7" s="472"/>
      <c r="M7" s="313"/>
      <c r="N7" s="313"/>
    </row>
    <row r="8" spans="1:14" s="474" customFormat="1" ht="11.45" customHeight="1" x14ac:dyDescent="0.2">
      <c r="A8" s="472"/>
      <c r="B8" s="1284"/>
      <c r="C8" s="1591" t="s">
        <v>55</v>
      </c>
      <c r="D8" s="1591"/>
      <c r="E8" s="1591"/>
      <c r="F8" s="1591"/>
      <c r="G8" s="1591"/>
      <c r="H8" s="1591"/>
      <c r="I8" s="1591"/>
      <c r="J8" s="336"/>
      <c r="K8" s="574" t="s">
        <v>670</v>
      </c>
      <c r="L8" s="472"/>
      <c r="M8" s="313"/>
      <c r="N8" s="313"/>
    </row>
    <row r="9" spans="1:14" s="474" customFormat="1" ht="11.45" customHeight="1" x14ac:dyDescent="0.2">
      <c r="A9" s="472"/>
      <c r="B9" s="472"/>
      <c r="C9" s="475"/>
      <c r="D9" s="472"/>
      <c r="E9" s="475"/>
      <c r="F9" s="472"/>
      <c r="G9" s="575"/>
      <c r="H9" s="336"/>
      <c r="I9" s="477"/>
      <c r="J9" s="336"/>
      <c r="K9" s="337"/>
      <c r="L9" s="472"/>
      <c r="M9" s="458"/>
      <c r="N9" s="212"/>
    </row>
    <row r="10" spans="1:14" s="474" customFormat="1" ht="11.45" customHeight="1" x14ac:dyDescent="0.2">
      <c r="A10" s="458"/>
      <c r="B10" s="458"/>
      <c r="C10" s="310"/>
      <c r="D10" s="336"/>
      <c r="E10" s="310" t="s">
        <v>1087</v>
      </c>
      <c r="F10" s="336"/>
      <c r="G10" s="310" t="s">
        <v>1064</v>
      </c>
      <c r="H10" s="336"/>
      <c r="I10" s="477"/>
      <c r="J10" s="336"/>
      <c r="K10" s="310" t="s">
        <v>58</v>
      </c>
      <c r="L10" s="472"/>
      <c r="M10" s="458"/>
      <c r="N10" s="310"/>
    </row>
    <row r="11" spans="1:14" s="474" customFormat="1" ht="11.45" customHeight="1" x14ac:dyDescent="0.2">
      <c r="A11" s="336"/>
      <c r="B11" s="310"/>
      <c r="C11" s="310" t="s">
        <v>836</v>
      </c>
      <c r="D11" s="336"/>
      <c r="E11" s="310" t="s">
        <v>1088</v>
      </c>
      <c r="F11" s="336"/>
      <c r="G11" s="310" t="s">
        <v>57</v>
      </c>
      <c r="H11" s="336"/>
      <c r="I11" s="477"/>
      <c r="J11" s="336"/>
      <c r="K11" s="310" t="s">
        <v>1066</v>
      </c>
      <c r="L11" s="472"/>
      <c r="M11" s="336"/>
      <c r="N11" s="1078"/>
    </row>
    <row r="12" spans="1:14" s="474" customFormat="1" ht="11.45" customHeight="1" x14ac:dyDescent="0.2">
      <c r="A12" s="336"/>
      <c r="B12" s="360"/>
      <c r="C12" s="574" t="s">
        <v>59</v>
      </c>
      <c r="D12" s="336"/>
      <c r="E12" s="574" t="s">
        <v>228</v>
      </c>
      <c r="F12" s="336"/>
      <c r="G12" s="574" t="s">
        <v>864</v>
      </c>
      <c r="H12" s="336"/>
      <c r="I12" s="574" t="s">
        <v>671</v>
      </c>
      <c r="J12" s="336"/>
      <c r="K12" s="574" t="s">
        <v>864</v>
      </c>
      <c r="L12" s="472"/>
      <c r="M12" s="336"/>
      <c r="N12" s="1079"/>
    </row>
    <row r="13" spans="1:14" s="318" customFormat="1" ht="9.9499999999999993" customHeight="1" x14ac:dyDescent="0.2">
      <c r="A13" s="480" t="s">
        <v>672</v>
      </c>
      <c r="B13" s="316"/>
      <c r="C13" s="317"/>
      <c r="D13" s="317"/>
      <c r="E13" s="317"/>
      <c r="F13" s="317"/>
      <c r="G13" s="317"/>
      <c r="H13" s="253"/>
      <c r="I13" s="253"/>
      <c r="J13" s="253"/>
      <c r="K13" s="253"/>
      <c r="L13" s="317"/>
      <c r="M13" s="480"/>
      <c r="N13" s="317"/>
    </row>
    <row r="14" spans="1:14" s="318" customFormat="1" ht="9.9499999999999993" customHeight="1" x14ac:dyDescent="0.2">
      <c r="A14" s="701" t="s">
        <v>61</v>
      </c>
      <c r="B14" s="482"/>
      <c r="C14" s="317"/>
      <c r="D14" s="317"/>
      <c r="E14" s="317"/>
      <c r="F14" s="317"/>
      <c r="G14" s="317"/>
      <c r="H14" s="253"/>
      <c r="I14" s="253"/>
      <c r="J14" s="253"/>
      <c r="K14" s="253"/>
      <c r="L14" s="317"/>
      <c r="M14" s="701"/>
      <c r="N14" s="317"/>
    </row>
    <row r="15" spans="1:14" s="318" customFormat="1" ht="9.9499999999999993" customHeight="1" x14ac:dyDescent="0.2">
      <c r="A15" s="702" t="s">
        <v>373</v>
      </c>
      <c r="B15" s="482"/>
      <c r="C15" s="317"/>
      <c r="D15" s="317"/>
      <c r="E15" s="317"/>
      <c r="F15" s="317"/>
      <c r="G15" s="317"/>
      <c r="H15" s="253"/>
      <c r="I15" s="253"/>
      <c r="J15" s="253"/>
      <c r="K15" s="253"/>
      <c r="L15" s="317"/>
      <c r="M15" s="702"/>
      <c r="N15" s="317"/>
    </row>
    <row r="16" spans="1:14" s="318" customFormat="1" ht="9.9499999999999993" customHeight="1" x14ac:dyDescent="0.2">
      <c r="A16" s="704" t="s">
        <v>673</v>
      </c>
      <c r="B16" s="323"/>
      <c r="C16" s="483">
        <v>4358</v>
      </c>
      <c r="D16" s="481"/>
      <c r="E16" s="339">
        <v>1413</v>
      </c>
      <c r="F16" s="481"/>
      <c r="G16" s="483">
        <f>+'Nonmajor Ent BS'!K14</f>
        <v>8109</v>
      </c>
      <c r="H16" s="254"/>
      <c r="I16" s="339">
        <f>SUM(C16:G16)</f>
        <v>13880</v>
      </c>
      <c r="J16" s="254"/>
      <c r="K16" s="339">
        <f>+'ISF-SONP'!O15</f>
        <v>58860</v>
      </c>
      <c r="L16" s="317"/>
      <c r="M16" s="704"/>
      <c r="N16" s="483"/>
    </row>
    <row r="17" spans="1:14" s="318" customFormat="1" ht="9.9499999999999993" customHeight="1" x14ac:dyDescent="0.2">
      <c r="A17" s="704" t="s">
        <v>674</v>
      </c>
      <c r="B17" s="324"/>
      <c r="C17" s="488">
        <v>30860</v>
      </c>
      <c r="D17" s="481"/>
      <c r="E17" s="273">
        <v>4722</v>
      </c>
      <c r="F17" s="481"/>
      <c r="G17" s="450">
        <f>+'Nonmajor Ent BS'!K15</f>
        <v>28531</v>
      </c>
      <c r="H17" s="273"/>
      <c r="I17" s="450">
        <f t="shared" ref="I17:I24" si="0">SUM(C17:G17)</f>
        <v>64113</v>
      </c>
      <c r="J17" s="273"/>
      <c r="K17" s="450">
        <f>+'ISF-SONP'!O16</f>
        <v>199627</v>
      </c>
      <c r="L17" s="323"/>
      <c r="M17" s="704"/>
      <c r="N17" s="488"/>
    </row>
    <row r="18" spans="1:14" s="318" customFormat="1" ht="9.9499999999999993" customHeight="1" x14ac:dyDescent="0.2">
      <c r="A18" s="704" t="s">
        <v>252</v>
      </c>
      <c r="B18" s="324"/>
      <c r="C18" s="488">
        <v>6887</v>
      </c>
      <c r="D18" s="481"/>
      <c r="E18" s="273">
        <v>12582</v>
      </c>
      <c r="F18" s="481"/>
      <c r="G18" s="450">
        <f>+'Nonmajor Ent BS'!K16</f>
        <v>845</v>
      </c>
      <c r="H18" s="273"/>
      <c r="I18" s="450">
        <f t="shared" si="0"/>
        <v>20314</v>
      </c>
      <c r="J18" s="273"/>
      <c r="K18" s="450">
        <f>+'ISF-SONP'!O17</f>
        <v>1665</v>
      </c>
      <c r="L18" s="323"/>
      <c r="M18" s="704"/>
      <c r="N18" s="488"/>
    </row>
    <row r="19" spans="1:14" s="318" customFormat="1" ht="9.9499999999999993" customHeight="1" x14ac:dyDescent="0.2">
      <c r="A19" s="704" t="s">
        <v>763</v>
      </c>
      <c r="B19" s="324"/>
      <c r="C19" s="488">
        <v>1001</v>
      </c>
      <c r="D19" s="481"/>
      <c r="E19" s="273">
        <v>43</v>
      </c>
      <c r="F19" s="481"/>
      <c r="G19" s="450">
        <f>+'Nonmajor Ent BS'!K17</f>
        <v>318</v>
      </c>
      <c r="H19" s="273"/>
      <c r="I19" s="450">
        <f t="shared" si="0"/>
        <v>1362</v>
      </c>
      <c r="J19" s="273"/>
      <c r="K19" s="450">
        <f>+'ISF-SONP'!O18</f>
        <v>3553</v>
      </c>
      <c r="L19" s="323"/>
      <c r="M19" s="704"/>
      <c r="N19" s="488"/>
    </row>
    <row r="20" spans="1:14" s="318" customFormat="1" ht="9.9499999999999993" customHeight="1" x14ac:dyDescent="0.2">
      <c r="A20" s="704" t="s">
        <v>683</v>
      </c>
      <c r="B20" s="324"/>
      <c r="C20" s="324"/>
      <c r="D20" s="481"/>
      <c r="E20" s="273"/>
      <c r="F20" s="481"/>
      <c r="G20" s="450">
        <f>+'Nonmajor Ent BS'!K18</f>
        <v>0</v>
      </c>
      <c r="H20" s="273"/>
      <c r="I20" s="450">
        <f t="shared" si="0"/>
        <v>0</v>
      </c>
      <c r="J20" s="273"/>
      <c r="K20" s="450">
        <f>+'ISF-SONP'!O19</f>
        <v>304</v>
      </c>
      <c r="L20" s="323"/>
      <c r="M20" s="704"/>
      <c r="N20" s="324"/>
    </row>
    <row r="21" spans="1:14" s="318" customFormat="1" ht="9.9499999999999993" customHeight="1" x14ac:dyDescent="0.2">
      <c r="A21" s="704" t="s">
        <v>679</v>
      </c>
      <c r="B21" s="324"/>
      <c r="C21" s="324" t="s">
        <v>1050</v>
      </c>
      <c r="D21" s="481"/>
      <c r="E21" s="273"/>
      <c r="F21" s="481"/>
      <c r="G21" s="450">
        <f>+'Nonmajor Ent BS'!K19</f>
        <v>101</v>
      </c>
      <c r="H21" s="273"/>
      <c r="I21" s="450">
        <f t="shared" si="0"/>
        <v>101</v>
      </c>
      <c r="J21" s="273"/>
      <c r="K21" s="450">
        <f>+'ISF-SONP'!O20</f>
        <v>10452</v>
      </c>
      <c r="L21" s="323"/>
      <c r="M21" s="704"/>
      <c r="N21" s="324"/>
    </row>
    <row r="22" spans="1:14" s="318" customFormat="1" ht="9.9499999999999993" customHeight="1" x14ac:dyDescent="0.2">
      <c r="A22" s="704" t="s">
        <v>1773</v>
      </c>
      <c r="B22" s="324"/>
      <c r="C22" s="324">
        <v>8200</v>
      </c>
      <c r="D22" s="481"/>
      <c r="E22" s="273">
        <v>127</v>
      </c>
      <c r="F22" s="481"/>
      <c r="G22" s="450">
        <f>+'Nonmajor Ent BS'!K20</f>
        <v>1339</v>
      </c>
      <c r="H22" s="273"/>
      <c r="I22" s="450">
        <f t="shared" si="0"/>
        <v>9666</v>
      </c>
      <c r="J22" s="273"/>
      <c r="K22" s="450">
        <f>+'ISF-SONP'!O21</f>
        <v>285</v>
      </c>
      <c r="L22" s="323"/>
      <c r="M22" s="704"/>
      <c r="N22" s="324"/>
    </row>
    <row r="23" spans="1:14" s="318" customFormat="1" ht="9.9499999999999993" customHeight="1" x14ac:dyDescent="0.2">
      <c r="A23" s="705" t="s">
        <v>63</v>
      </c>
      <c r="B23" s="324"/>
      <c r="C23" s="488"/>
      <c r="D23" s="481"/>
      <c r="E23" s="273"/>
      <c r="F23" s="481"/>
      <c r="G23" s="450">
        <f>+'Nonmajor Ent BS'!K21</f>
        <v>41</v>
      </c>
      <c r="H23" s="273"/>
      <c r="I23" s="450">
        <f t="shared" si="0"/>
        <v>41</v>
      </c>
      <c r="J23" s="273"/>
      <c r="K23" s="450">
        <f>+'ISF-SONP'!O22</f>
        <v>0</v>
      </c>
      <c r="L23" s="323"/>
      <c r="M23" s="706"/>
      <c r="N23" s="488"/>
    </row>
    <row r="24" spans="1:14" s="318" customFormat="1" ht="9.9499999999999993" customHeight="1" x14ac:dyDescent="0.2">
      <c r="A24" s="705" t="s">
        <v>1216</v>
      </c>
      <c r="B24" s="324"/>
      <c r="C24" s="488">
        <v>77</v>
      </c>
      <c r="D24" s="481"/>
      <c r="E24" s="273"/>
      <c r="F24" s="481"/>
      <c r="G24" s="450">
        <f>+'Nonmajor Ent BS'!K22</f>
        <v>1</v>
      </c>
      <c r="H24" s="273"/>
      <c r="I24" s="450">
        <f t="shared" si="0"/>
        <v>78</v>
      </c>
      <c r="J24" s="273"/>
      <c r="K24" s="450">
        <f>+'ISF-SONP'!O23</f>
        <v>285</v>
      </c>
      <c r="L24" s="323"/>
      <c r="M24" s="706"/>
      <c r="N24" s="488"/>
    </row>
    <row r="25" spans="1:14" s="318" customFormat="1" ht="5.0999999999999996" customHeight="1" x14ac:dyDescent="0.2">
      <c r="A25" s="317"/>
      <c r="B25" s="324"/>
      <c r="C25" s="340"/>
      <c r="D25" s="481"/>
      <c r="E25" s="340"/>
      <c r="F25" s="481"/>
      <c r="G25" s="340"/>
      <c r="H25" s="481"/>
      <c r="I25" s="340"/>
      <c r="J25" s="481"/>
      <c r="K25" s="340"/>
      <c r="L25" s="323"/>
      <c r="M25" s="317"/>
      <c r="N25" s="340"/>
    </row>
    <row r="26" spans="1:14" s="318" customFormat="1" ht="9.9499999999999993" customHeight="1" x14ac:dyDescent="0.2">
      <c r="A26" s="708" t="s">
        <v>757</v>
      </c>
      <c r="B26" s="273"/>
      <c r="C26" s="341">
        <f>SUM(C16:C24)</f>
        <v>51383</v>
      </c>
      <c r="D26" s="362"/>
      <c r="E26" s="341">
        <f>SUM(E16:E24)</f>
        <v>18887</v>
      </c>
      <c r="F26" s="362"/>
      <c r="G26" s="341">
        <f>SUM(G16:G24)</f>
        <v>39285</v>
      </c>
      <c r="H26" s="362"/>
      <c r="I26" s="341">
        <f>SUM(I16:I24)</f>
        <v>109555</v>
      </c>
      <c r="J26" s="362"/>
      <c r="K26" s="341">
        <f>SUM(K16:K24)</f>
        <v>275031</v>
      </c>
      <c r="L26" s="323"/>
      <c r="M26" s="708"/>
      <c r="N26" s="341"/>
    </row>
    <row r="27" spans="1:14" s="318" customFormat="1" ht="5.0999999999999996" customHeight="1" x14ac:dyDescent="0.2">
      <c r="A27" s="317"/>
      <c r="B27" s="324"/>
      <c r="C27" s="273"/>
      <c r="D27" s="481"/>
      <c r="E27" s="273"/>
      <c r="F27" s="481"/>
      <c r="G27" s="340"/>
      <c r="H27" s="481"/>
      <c r="I27" s="340"/>
      <c r="J27" s="481"/>
      <c r="K27" s="340"/>
      <c r="L27" s="323"/>
      <c r="M27" s="253"/>
      <c r="N27" s="273"/>
    </row>
    <row r="28" spans="1:14" s="318" customFormat="1" ht="9.9499999999999993" customHeight="1" x14ac:dyDescent="0.2">
      <c r="A28" s="702" t="s">
        <v>71</v>
      </c>
      <c r="B28" s="324"/>
      <c r="C28" s="324"/>
      <c r="D28" s="481"/>
      <c r="E28" s="273"/>
      <c r="F28" s="481"/>
      <c r="G28" s="324"/>
      <c r="H28" s="273"/>
      <c r="I28" s="273">
        <f>SUM(C28:G28)</f>
        <v>0</v>
      </c>
      <c r="J28" s="273"/>
      <c r="K28" s="254"/>
      <c r="L28" s="323"/>
      <c r="M28" s="702"/>
      <c r="N28" s="324"/>
    </row>
    <row r="29" spans="1:14" s="318" customFormat="1" ht="9.9499999999999993" customHeight="1" x14ac:dyDescent="0.2">
      <c r="A29" s="704" t="s">
        <v>72</v>
      </c>
      <c r="B29" s="324"/>
      <c r="C29" s="324"/>
      <c r="D29" s="481"/>
      <c r="E29" s="273"/>
      <c r="F29" s="481"/>
      <c r="G29" s="324"/>
      <c r="H29" s="324"/>
      <c r="I29" s="324"/>
      <c r="J29" s="324"/>
      <c r="K29" s="324"/>
      <c r="L29" s="323"/>
      <c r="M29" s="704"/>
      <c r="N29" s="324"/>
    </row>
    <row r="30" spans="1:14" s="492" customFormat="1" ht="9.9499999999999993" customHeight="1" x14ac:dyDescent="0.2">
      <c r="A30" s="706" t="s">
        <v>673</v>
      </c>
      <c r="B30" s="324"/>
      <c r="C30" s="488">
        <v>42982</v>
      </c>
      <c r="D30" s="450"/>
      <c r="E30" s="273"/>
      <c r="F30" s="450"/>
      <c r="G30" s="450">
        <f>+'Nonmajor Ent BS'!K28</f>
        <v>107</v>
      </c>
      <c r="H30" s="450"/>
      <c r="I30" s="450">
        <f t="shared" ref="I30:I56" si="1">SUM(C30:G30)</f>
        <v>43089</v>
      </c>
      <c r="J30" s="273"/>
      <c r="K30" s="273">
        <f>'ISF-SONP'!O29</f>
        <v>74</v>
      </c>
      <c r="L30" s="254"/>
      <c r="M30" s="706"/>
      <c r="N30" s="488"/>
    </row>
    <row r="31" spans="1:14" s="318" customFormat="1" ht="9.9499999999999993" customHeight="1" x14ac:dyDescent="0.2">
      <c r="A31" s="706" t="s">
        <v>674</v>
      </c>
      <c r="B31" s="324"/>
      <c r="C31" s="488">
        <v>1384</v>
      </c>
      <c r="D31" s="450"/>
      <c r="E31" s="273"/>
      <c r="F31" s="450"/>
      <c r="G31" s="450">
        <f>+'Nonmajor Ent BS'!K29</f>
        <v>325</v>
      </c>
      <c r="H31" s="450"/>
      <c r="I31" s="450">
        <f t="shared" si="1"/>
        <v>1709</v>
      </c>
      <c r="J31" s="273"/>
      <c r="K31" s="273">
        <f>'ISF-SONP'!O30</f>
        <v>4</v>
      </c>
      <c r="L31" s="323"/>
      <c r="M31" s="706"/>
      <c r="N31" s="488"/>
    </row>
    <row r="32" spans="1:14" s="318" customFormat="1" ht="9.9499999999999993" hidden="1" customHeight="1" x14ac:dyDescent="0.2">
      <c r="A32" s="706" t="s">
        <v>679</v>
      </c>
      <c r="B32" s="324"/>
      <c r="C32" s="488"/>
      <c r="D32" s="450"/>
      <c r="E32" s="273"/>
      <c r="F32" s="450"/>
      <c r="G32" s="450">
        <f>+'Nonmajor Ent BS'!K30</f>
        <v>0</v>
      </c>
      <c r="H32" s="450"/>
      <c r="I32" s="450">
        <f t="shared" si="1"/>
        <v>0</v>
      </c>
      <c r="J32" s="273"/>
      <c r="K32" s="273"/>
      <c r="L32" s="323"/>
      <c r="M32" s="706"/>
      <c r="N32" s="488"/>
    </row>
    <row r="33" spans="1:14" s="318" customFormat="1" ht="9.9499999999999993" customHeight="1" x14ac:dyDescent="0.2">
      <c r="A33" s="706" t="s">
        <v>252</v>
      </c>
      <c r="B33" s="324"/>
      <c r="C33" s="488"/>
      <c r="D33" s="450"/>
      <c r="E33" s="273"/>
      <c r="F33" s="450"/>
      <c r="G33" s="450">
        <f>+'Nonmajor Ent BS'!K31</f>
        <v>2</v>
      </c>
      <c r="H33" s="450"/>
      <c r="I33" s="450">
        <f t="shared" si="1"/>
        <v>2</v>
      </c>
      <c r="J33" s="273"/>
      <c r="K33" s="273"/>
      <c r="L33" s="323"/>
      <c r="M33" s="706"/>
      <c r="N33" s="488"/>
    </row>
    <row r="34" spans="1:14" s="318" customFormat="1" ht="9.9499999999999993" hidden="1" customHeight="1" x14ac:dyDescent="0.2">
      <c r="A34" s="749" t="s">
        <v>63</v>
      </c>
      <c r="B34" s="324"/>
      <c r="C34" s="488"/>
      <c r="D34" s="450"/>
      <c r="E34" s="273"/>
      <c r="F34" s="450"/>
      <c r="G34" s="450">
        <f>+'Nonmajor Ent BS'!K32</f>
        <v>0</v>
      </c>
      <c r="H34" s="450"/>
      <c r="I34" s="450">
        <f t="shared" si="1"/>
        <v>0</v>
      </c>
      <c r="J34" s="273"/>
      <c r="K34" s="273"/>
      <c r="L34" s="323"/>
      <c r="M34" s="711"/>
      <c r="N34" s="488"/>
    </row>
    <row r="35" spans="1:14" s="318" customFormat="1" ht="9.9499999999999993" hidden="1" customHeight="1" x14ac:dyDescent="0.2">
      <c r="A35" s="749" t="s">
        <v>1216</v>
      </c>
      <c r="B35" s="324"/>
      <c r="C35" s="488"/>
      <c r="D35" s="450"/>
      <c r="E35" s="273"/>
      <c r="F35" s="450"/>
      <c r="G35" s="450">
        <f>+'Nonmajor Ent BS'!K33</f>
        <v>0</v>
      </c>
      <c r="H35" s="450"/>
      <c r="I35" s="450">
        <f t="shared" si="1"/>
        <v>0</v>
      </c>
      <c r="J35" s="273"/>
      <c r="K35" s="273"/>
      <c r="L35" s="323"/>
      <c r="M35" s="711"/>
      <c r="N35" s="488"/>
    </row>
    <row r="36" spans="1:14" s="318" customFormat="1" ht="9.9499999999999993" customHeight="1" x14ac:dyDescent="0.2">
      <c r="A36" s="704" t="s">
        <v>73</v>
      </c>
      <c r="B36" s="324"/>
      <c r="C36" s="488"/>
      <c r="D36" s="450"/>
      <c r="E36" s="273"/>
      <c r="F36" s="450"/>
      <c r="G36" s="450">
        <f>+'Nonmajor Ent BS'!K34</f>
        <v>0</v>
      </c>
      <c r="H36" s="450"/>
      <c r="I36" s="450">
        <f t="shared" si="1"/>
        <v>0</v>
      </c>
      <c r="J36" s="273"/>
      <c r="K36" s="273"/>
      <c r="L36" s="323"/>
      <c r="M36" s="704"/>
      <c r="N36" s="488"/>
    </row>
    <row r="37" spans="1:14" s="318" customFormat="1" ht="9.9499999999999993" customHeight="1" x14ac:dyDescent="0.2">
      <c r="A37" s="706" t="s">
        <v>673</v>
      </c>
      <c r="B37" s="324"/>
      <c r="C37" s="488">
        <v>36239</v>
      </c>
      <c r="D37" s="450"/>
      <c r="E37" s="273">
        <v>34</v>
      </c>
      <c r="F37" s="450"/>
      <c r="G37" s="450">
        <f>+'Nonmajor Ent BS'!K35</f>
        <v>20</v>
      </c>
      <c r="H37" s="450"/>
      <c r="I37" s="450">
        <f t="shared" si="1"/>
        <v>36293</v>
      </c>
      <c r="J37" s="273"/>
      <c r="K37" s="273">
        <f>'ISF-SONP'!O32</f>
        <v>34</v>
      </c>
      <c r="L37" s="323"/>
      <c r="M37" s="706"/>
      <c r="N37" s="488"/>
    </row>
    <row r="38" spans="1:14" s="318" customFormat="1" ht="9.9499999999999993" customHeight="1" x14ac:dyDescent="0.2">
      <c r="A38" s="706" t="s">
        <v>674</v>
      </c>
      <c r="B38" s="324"/>
      <c r="C38" s="488">
        <v>115505</v>
      </c>
      <c r="D38" s="450"/>
      <c r="E38" s="273"/>
      <c r="F38" s="450"/>
      <c r="G38" s="450">
        <f>+'Nonmajor Ent BS'!K36</f>
        <v>67</v>
      </c>
      <c r="H38" s="450"/>
      <c r="I38" s="450">
        <f t="shared" si="1"/>
        <v>115572</v>
      </c>
      <c r="J38" s="273"/>
      <c r="K38" s="273">
        <f>'ISF-SONP'!O33</f>
        <v>116</v>
      </c>
      <c r="L38" s="323"/>
      <c r="M38" s="706"/>
      <c r="N38" s="488"/>
    </row>
    <row r="39" spans="1:14" s="318" customFormat="1" ht="9.9499999999999993" customHeight="1" x14ac:dyDescent="0.2">
      <c r="A39" s="706" t="s">
        <v>252</v>
      </c>
      <c r="B39" s="324"/>
      <c r="C39" s="488">
        <v>702</v>
      </c>
      <c r="D39" s="450"/>
      <c r="E39" s="273"/>
      <c r="F39" s="450"/>
      <c r="G39" s="450">
        <f>+'Nonmajor Ent BS'!K38</f>
        <v>0</v>
      </c>
      <c r="H39" s="450"/>
      <c r="I39" s="450">
        <f>SUM(C39:G39)</f>
        <v>702</v>
      </c>
      <c r="J39" s="273"/>
      <c r="K39" s="273"/>
      <c r="L39" s="323"/>
      <c r="M39" s="706"/>
      <c r="N39" s="488"/>
    </row>
    <row r="40" spans="1:14" s="318" customFormat="1" ht="9.9499999999999993" customHeight="1" x14ac:dyDescent="0.2">
      <c r="A40" s="706" t="s">
        <v>679</v>
      </c>
      <c r="B40" s="324"/>
      <c r="C40" s="488">
        <v>264</v>
      </c>
      <c r="D40" s="450"/>
      <c r="E40" s="273"/>
      <c r="F40" s="450"/>
      <c r="G40" s="450">
        <f>+'Nonmajor Ent BS'!K37</f>
        <v>0</v>
      </c>
      <c r="H40" s="450"/>
      <c r="I40" s="450">
        <f t="shared" si="1"/>
        <v>264</v>
      </c>
      <c r="J40" s="273"/>
      <c r="K40" s="273"/>
      <c r="L40" s="323"/>
      <c r="M40" s="706"/>
      <c r="N40" s="488"/>
    </row>
    <row r="41" spans="1:14" s="318" customFormat="1" ht="9.9499999999999993" hidden="1" customHeight="1" x14ac:dyDescent="0.2">
      <c r="A41" s="749" t="s">
        <v>63</v>
      </c>
      <c r="B41" s="324"/>
      <c r="C41" s="488"/>
      <c r="D41" s="450"/>
      <c r="E41" s="273"/>
      <c r="F41" s="450"/>
      <c r="G41" s="450">
        <f>'Nonmajor Ent BS'!K39</f>
        <v>0</v>
      </c>
      <c r="H41" s="450"/>
      <c r="I41" s="450">
        <f t="shared" si="1"/>
        <v>0</v>
      </c>
      <c r="J41" s="273"/>
      <c r="K41" s="273"/>
      <c r="L41" s="323"/>
      <c r="M41" s="706"/>
      <c r="N41" s="488"/>
    </row>
    <row r="42" spans="1:14" s="318" customFormat="1" ht="9.9499999999999993" hidden="1" customHeight="1" x14ac:dyDescent="0.2">
      <c r="A42" s="749" t="s">
        <v>1216</v>
      </c>
      <c r="B42" s="324"/>
      <c r="C42" s="324">
        <v>0</v>
      </c>
      <c r="D42" s="450"/>
      <c r="E42" s="273"/>
      <c r="F42" s="450"/>
      <c r="G42" s="450">
        <f>+'Nonmajor Ent BS'!K40</f>
        <v>0</v>
      </c>
      <c r="H42" s="450"/>
      <c r="I42" s="450">
        <f t="shared" si="1"/>
        <v>0</v>
      </c>
      <c r="J42" s="273"/>
      <c r="K42" s="273"/>
      <c r="L42" s="323"/>
      <c r="M42" s="711"/>
      <c r="N42" s="488"/>
    </row>
    <row r="43" spans="1:14" s="318" customFormat="1" ht="9.9499999999999993" customHeight="1" x14ac:dyDescent="0.2">
      <c r="A43" s="704" t="s">
        <v>74</v>
      </c>
      <c r="B43" s="324"/>
      <c r="C43" s="324"/>
      <c r="D43" s="450"/>
      <c r="E43" s="273"/>
      <c r="F43" s="450"/>
      <c r="G43" s="450"/>
      <c r="H43" s="450"/>
      <c r="I43" s="450">
        <f t="shared" si="1"/>
        <v>0</v>
      </c>
      <c r="J43" s="273"/>
      <c r="K43" s="273"/>
      <c r="L43" s="323"/>
      <c r="M43" s="704"/>
      <c r="N43" s="324"/>
    </row>
    <row r="44" spans="1:14" s="318" customFormat="1" ht="9.9499999999999993" customHeight="1" x14ac:dyDescent="0.2">
      <c r="A44" s="706" t="s">
        <v>673</v>
      </c>
      <c r="B44" s="324"/>
      <c r="C44" s="488">
        <v>82851</v>
      </c>
      <c r="D44" s="450"/>
      <c r="E44" s="273"/>
      <c r="F44" s="450"/>
      <c r="G44" s="450">
        <f>+'Nonmajor Ent BS'!K42</f>
        <v>226</v>
      </c>
      <c r="H44" s="450"/>
      <c r="I44" s="450">
        <f t="shared" si="1"/>
        <v>83077</v>
      </c>
      <c r="J44" s="273"/>
      <c r="K44" s="273"/>
      <c r="L44" s="323"/>
      <c r="M44" s="706"/>
      <c r="N44" s="324"/>
    </row>
    <row r="45" spans="1:14" s="318" customFormat="1" ht="9.9499999999999993" customHeight="1" x14ac:dyDescent="0.2">
      <c r="A45" s="706" t="s">
        <v>674</v>
      </c>
      <c r="B45" s="324"/>
      <c r="C45" s="450">
        <v>212216</v>
      </c>
      <c r="D45" s="450"/>
      <c r="E45" s="273"/>
      <c r="F45" s="450"/>
      <c r="G45" s="450">
        <f>+'Nonmajor Ent BS'!K43</f>
        <v>767</v>
      </c>
      <c r="H45" s="450"/>
      <c r="I45" s="450">
        <f t="shared" si="1"/>
        <v>212983</v>
      </c>
      <c r="J45" s="273"/>
      <c r="K45" s="273"/>
      <c r="L45" s="323"/>
      <c r="M45" s="706"/>
      <c r="N45" s="488"/>
    </row>
    <row r="46" spans="1:14" s="318" customFormat="1" ht="9.9499999999999993" hidden="1" customHeight="1" x14ac:dyDescent="0.2">
      <c r="A46" s="706" t="s">
        <v>679</v>
      </c>
      <c r="B46" s="324"/>
      <c r="C46" s="450"/>
      <c r="D46" s="450"/>
      <c r="E46" s="273"/>
      <c r="F46" s="450"/>
      <c r="G46" s="450"/>
      <c r="H46" s="450"/>
      <c r="I46" s="450">
        <f t="shared" si="1"/>
        <v>0</v>
      </c>
      <c r="J46" s="273"/>
      <c r="K46" s="273"/>
      <c r="L46" s="323"/>
      <c r="M46" s="706"/>
      <c r="N46" s="488"/>
    </row>
    <row r="47" spans="1:14" s="318" customFormat="1" ht="9.9499999999999993" customHeight="1" x14ac:dyDescent="0.2">
      <c r="A47" s="706" t="s">
        <v>252</v>
      </c>
      <c r="B47" s="324"/>
      <c r="C47" s="450">
        <v>4789</v>
      </c>
      <c r="D47" s="450"/>
      <c r="E47" s="273"/>
      <c r="F47" s="450"/>
      <c r="G47" s="450">
        <f>+'Nonmajor Ent BS'!K45</f>
        <v>5</v>
      </c>
      <c r="H47" s="450"/>
      <c r="I47" s="450">
        <f t="shared" si="1"/>
        <v>4794</v>
      </c>
      <c r="J47" s="273"/>
      <c r="K47" s="273"/>
      <c r="L47" s="323"/>
      <c r="M47" s="706"/>
      <c r="N47" s="273"/>
    </row>
    <row r="48" spans="1:14" s="318" customFormat="1" ht="9.9499999999999993" hidden="1" customHeight="1" x14ac:dyDescent="0.2">
      <c r="A48" s="749" t="s">
        <v>63</v>
      </c>
      <c r="B48" s="324"/>
      <c r="C48" s="450"/>
      <c r="D48" s="450"/>
      <c r="E48" s="273"/>
      <c r="F48" s="450"/>
      <c r="G48" s="450">
        <f>+'Nonmajor Ent BS'!K46</f>
        <v>0</v>
      </c>
      <c r="H48" s="450"/>
      <c r="I48" s="450">
        <f t="shared" si="1"/>
        <v>0</v>
      </c>
      <c r="J48" s="273"/>
      <c r="K48" s="273"/>
      <c r="L48" s="323"/>
      <c r="M48" s="711"/>
      <c r="N48" s="273"/>
    </row>
    <row r="49" spans="1:14" s="318" customFormat="1" ht="9.9499999999999993" hidden="1" customHeight="1" x14ac:dyDescent="0.2">
      <c r="A49" s="749" t="s">
        <v>1216</v>
      </c>
      <c r="B49" s="324"/>
      <c r="C49" s="450"/>
      <c r="D49" s="450"/>
      <c r="E49" s="273"/>
      <c r="F49" s="450"/>
      <c r="G49" s="450">
        <f>+'Nonmajor Ent BS'!K47</f>
        <v>0</v>
      </c>
      <c r="H49" s="450"/>
      <c r="I49" s="450">
        <f t="shared" si="1"/>
        <v>0</v>
      </c>
      <c r="J49" s="273"/>
      <c r="K49" s="273"/>
      <c r="L49" s="323"/>
      <c r="M49" s="704"/>
      <c r="N49" s="273"/>
    </row>
    <row r="50" spans="1:14" s="318" customFormat="1" ht="9.9499999999999993" customHeight="1" x14ac:dyDescent="0.2">
      <c r="A50" s="704" t="s">
        <v>453</v>
      </c>
      <c r="B50" s="324"/>
      <c r="C50" s="450"/>
      <c r="D50" s="450"/>
      <c r="E50" s="273"/>
      <c r="F50" s="450"/>
      <c r="G50" s="450">
        <f>+'Nonmajor Ent BS'!K41</f>
        <v>0</v>
      </c>
      <c r="H50" s="450"/>
      <c r="I50" s="450">
        <f t="shared" si="1"/>
        <v>0</v>
      </c>
      <c r="J50" s="273"/>
      <c r="K50" s="273"/>
      <c r="L50" s="323"/>
      <c r="M50" s="706"/>
      <c r="N50" s="273"/>
    </row>
    <row r="51" spans="1:14" s="318" customFormat="1" ht="9.9499999999999993" customHeight="1" x14ac:dyDescent="0.2">
      <c r="A51" s="706" t="s">
        <v>673</v>
      </c>
      <c r="B51" s="324"/>
      <c r="C51" s="450">
        <v>27</v>
      </c>
      <c r="D51" s="450"/>
      <c r="E51" s="273">
        <v>2420</v>
      </c>
      <c r="F51" s="450"/>
      <c r="G51" s="450">
        <f>'Nonmajor Ent BS'!K49</f>
        <v>0</v>
      </c>
      <c r="H51" s="450"/>
      <c r="I51" s="450">
        <f t="shared" si="1"/>
        <v>2447</v>
      </c>
      <c r="J51" s="273"/>
      <c r="K51" s="273"/>
      <c r="L51" s="323"/>
      <c r="M51" s="706"/>
      <c r="N51" s="273"/>
    </row>
    <row r="52" spans="1:14" s="318" customFormat="1" ht="9.9499999999999993" hidden="1" customHeight="1" x14ac:dyDescent="0.2">
      <c r="A52" s="706" t="s">
        <v>674</v>
      </c>
      <c r="B52" s="324"/>
      <c r="C52" s="450"/>
      <c r="D52" s="450"/>
      <c r="E52" s="273"/>
      <c r="F52" s="450"/>
      <c r="G52" s="450">
        <f>'Nonmajor Ent BS'!K50</f>
        <v>0</v>
      </c>
      <c r="H52" s="450"/>
      <c r="I52" s="450">
        <f t="shared" si="1"/>
        <v>0</v>
      </c>
      <c r="J52" s="273"/>
      <c r="K52" s="273"/>
      <c r="L52" s="323"/>
      <c r="M52" s="706"/>
      <c r="N52" s="273"/>
    </row>
    <row r="53" spans="1:14" s="318" customFormat="1" ht="9.9499999999999993" hidden="1" customHeight="1" x14ac:dyDescent="0.2">
      <c r="A53" s="706" t="s">
        <v>679</v>
      </c>
      <c r="B53" s="324"/>
      <c r="C53" s="450"/>
      <c r="D53" s="450"/>
      <c r="E53" s="273"/>
      <c r="F53" s="450"/>
      <c r="G53" s="450">
        <f>'Nonmajor Ent BS'!K51</f>
        <v>0</v>
      </c>
      <c r="H53" s="450"/>
      <c r="I53" s="450">
        <f t="shared" si="1"/>
        <v>0</v>
      </c>
      <c r="J53" s="273"/>
      <c r="K53" s="273"/>
      <c r="L53" s="323"/>
      <c r="M53" s="706"/>
      <c r="N53" s="273"/>
    </row>
    <row r="54" spans="1:14" s="318" customFormat="1" ht="9.9499999999999993" customHeight="1" x14ac:dyDescent="0.2">
      <c r="A54" s="706" t="s">
        <v>252</v>
      </c>
      <c r="B54" s="324"/>
      <c r="C54" s="450">
        <v>1190</v>
      </c>
      <c r="D54" s="450"/>
      <c r="E54" s="273"/>
      <c r="F54" s="450"/>
      <c r="G54" s="450">
        <f>'Nonmajor Ent BS'!K52</f>
        <v>0</v>
      </c>
      <c r="H54" s="450"/>
      <c r="I54" s="450">
        <f t="shared" si="1"/>
        <v>1190</v>
      </c>
      <c r="J54" s="273"/>
      <c r="K54" s="273"/>
      <c r="L54" s="323"/>
      <c r="M54" s="706"/>
      <c r="N54" s="273"/>
    </row>
    <row r="55" spans="1:14" s="318" customFormat="1" ht="9.9499999999999993" hidden="1" customHeight="1" x14ac:dyDescent="0.2">
      <c r="A55" s="749" t="s">
        <v>63</v>
      </c>
      <c r="B55" s="324"/>
      <c r="C55" s="450"/>
      <c r="D55" s="450"/>
      <c r="E55" s="273"/>
      <c r="F55" s="450"/>
      <c r="G55" s="450">
        <f>'Nonmajor Ent BS'!K53</f>
        <v>0</v>
      </c>
      <c r="H55" s="450"/>
      <c r="I55" s="450">
        <f t="shared" si="1"/>
        <v>0</v>
      </c>
      <c r="J55" s="273"/>
      <c r="K55" s="273"/>
      <c r="L55" s="323"/>
      <c r="M55" s="711"/>
      <c r="N55" s="273"/>
    </row>
    <row r="56" spans="1:14" s="318" customFormat="1" ht="9.9499999999999993" customHeight="1" x14ac:dyDescent="0.2">
      <c r="A56" s="749" t="s">
        <v>1216</v>
      </c>
      <c r="B56" s="324"/>
      <c r="C56" s="450">
        <v>150</v>
      </c>
      <c r="D56" s="450"/>
      <c r="E56" s="273"/>
      <c r="F56" s="450"/>
      <c r="G56" s="450">
        <f>'Nonmajor Ent BS'!K54</f>
        <v>0</v>
      </c>
      <c r="H56" s="450"/>
      <c r="I56" s="450">
        <f t="shared" si="1"/>
        <v>150</v>
      </c>
      <c r="J56" s="273"/>
      <c r="K56" s="273"/>
      <c r="L56" s="323"/>
      <c r="M56" s="482"/>
      <c r="N56" s="340"/>
    </row>
    <row r="57" spans="1:14" s="318" customFormat="1" ht="5.0999999999999996" customHeight="1" x14ac:dyDescent="0.2">
      <c r="A57" s="317"/>
      <c r="B57" s="324"/>
      <c r="C57" s="340"/>
      <c r="D57" s="481"/>
      <c r="E57" s="340"/>
      <c r="F57" s="481"/>
      <c r="G57" s="340"/>
      <c r="H57" s="481"/>
      <c r="I57" s="340"/>
      <c r="J57" s="481"/>
      <c r="K57" s="340"/>
      <c r="L57" s="323"/>
      <c r="M57" s="708"/>
      <c r="N57" s="341"/>
    </row>
    <row r="58" spans="1:14" s="318" customFormat="1" ht="9.9499999999999993" customHeight="1" x14ac:dyDescent="0.2">
      <c r="A58" s="708" t="s">
        <v>76</v>
      </c>
      <c r="B58" s="273"/>
      <c r="C58" s="341">
        <f>SUM(C29:C56)</f>
        <v>498299</v>
      </c>
      <c r="D58" s="362"/>
      <c r="E58" s="341">
        <f>SUM(E29:E56)</f>
        <v>2454</v>
      </c>
      <c r="F58" s="362"/>
      <c r="G58" s="341">
        <f>SUM(G29:G56)</f>
        <v>1519</v>
      </c>
      <c r="H58" s="362"/>
      <c r="I58" s="341">
        <f>SUM(I29:I56)</f>
        <v>502272</v>
      </c>
      <c r="J58" s="362"/>
      <c r="K58" s="341">
        <f>SUM(K29:K56)</f>
        <v>228</v>
      </c>
      <c r="L58" s="323"/>
      <c r="M58" s="253"/>
      <c r="N58" s="340"/>
    </row>
    <row r="59" spans="1:14" s="318" customFormat="1" ht="5.0999999999999996" customHeight="1" x14ac:dyDescent="0.2">
      <c r="A59" s="253"/>
      <c r="B59" s="273"/>
      <c r="C59" s="340"/>
      <c r="D59" s="362"/>
      <c r="E59" s="340"/>
      <c r="F59" s="362"/>
      <c r="G59" s="340"/>
      <c r="H59" s="362"/>
      <c r="I59" s="340"/>
      <c r="J59" s="362"/>
      <c r="K59" s="340"/>
      <c r="L59" s="323"/>
      <c r="M59" s="707"/>
      <c r="N59" s="341"/>
    </row>
    <row r="60" spans="1:14" s="318" customFormat="1" ht="9.9499999999999993" customHeight="1" x14ac:dyDescent="0.2">
      <c r="A60" s="707" t="s">
        <v>64</v>
      </c>
      <c r="B60" s="273"/>
      <c r="C60" s="341">
        <f>SUM(C26+C58)</f>
        <v>549682</v>
      </c>
      <c r="D60" s="362"/>
      <c r="E60" s="341">
        <f>SUM(E26+E58)</f>
        <v>21341</v>
      </c>
      <c r="F60" s="362"/>
      <c r="G60" s="341">
        <f>SUM(G26+G58)</f>
        <v>40804</v>
      </c>
      <c r="H60" s="362"/>
      <c r="I60" s="341">
        <f>SUM(I26+I58)</f>
        <v>611827</v>
      </c>
      <c r="J60" s="362"/>
      <c r="K60" s="341">
        <f>SUM(K26+K58)</f>
        <v>275259</v>
      </c>
      <c r="L60" s="323"/>
      <c r="M60" s="253"/>
      <c r="N60" s="273"/>
    </row>
    <row r="61" spans="1:14" s="318" customFormat="1" ht="5.0999999999999996" customHeight="1" x14ac:dyDescent="0.2">
      <c r="A61" s="317"/>
      <c r="B61" s="324"/>
      <c r="C61" s="340"/>
      <c r="D61" s="481"/>
      <c r="E61" s="273"/>
      <c r="F61" s="481"/>
      <c r="G61" s="340"/>
      <c r="H61" s="481"/>
      <c r="I61" s="340"/>
      <c r="J61" s="481"/>
      <c r="K61" s="340"/>
      <c r="L61" s="323"/>
      <c r="M61" s="707"/>
      <c r="N61" s="273"/>
    </row>
    <row r="62" spans="1:14" s="318" customFormat="1" ht="9.9499999999999993" customHeight="1" x14ac:dyDescent="0.2">
      <c r="A62" s="707" t="s">
        <v>70</v>
      </c>
      <c r="B62" s="273"/>
      <c r="C62" s="273"/>
      <c r="D62" s="362"/>
      <c r="E62" s="273"/>
      <c r="F62" s="362"/>
      <c r="G62" s="273"/>
      <c r="H62" s="273"/>
      <c r="I62" s="273">
        <f t="shared" ref="I62:I71" si="2">SUM(C62:G62)</f>
        <v>0</v>
      </c>
      <c r="J62" s="273"/>
      <c r="K62" s="273"/>
      <c r="L62" s="323"/>
      <c r="M62" s="702"/>
      <c r="N62" s="324"/>
    </row>
    <row r="63" spans="1:14" s="318" customFormat="1" ht="9.9499999999999993" customHeight="1" x14ac:dyDescent="0.2">
      <c r="A63" s="703" t="s">
        <v>686</v>
      </c>
      <c r="B63" s="324"/>
      <c r="C63" s="273"/>
      <c r="D63" s="481"/>
      <c r="E63" s="273"/>
      <c r="F63" s="481"/>
      <c r="G63" s="324"/>
      <c r="H63" s="273"/>
      <c r="I63" s="273">
        <f t="shared" si="2"/>
        <v>0</v>
      </c>
      <c r="J63" s="273"/>
      <c r="K63" s="273"/>
      <c r="L63" s="323"/>
      <c r="M63" s="704"/>
      <c r="N63" s="488"/>
    </row>
    <row r="64" spans="1:14" s="318" customFormat="1" ht="9.9499999999999993" customHeight="1" x14ac:dyDescent="0.2">
      <c r="A64" s="704" t="s">
        <v>1754</v>
      </c>
      <c r="B64" s="324"/>
      <c r="C64" s="273"/>
      <c r="D64" s="481"/>
      <c r="E64" s="273"/>
      <c r="F64" s="481"/>
      <c r="G64" s="324"/>
      <c r="H64" s="273"/>
      <c r="I64" s="273"/>
      <c r="J64" s="273"/>
      <c r="K64" s="273"/>
      <c r="L64" s="323"/>
      <c r="M64" s="704"/>
      <c r="N64" s="488"/>
    </row>
    <row r="65" spans="1:14" s="318" customFormat="1" ht="9.9499999999999993" customHeight="1" x14ac:dyDescent="0.2">
      <c r="A65" s="706" t="s">
        <v>77</v>
      </c>
      <c r="B65" s="324"/>
      <c r="C65" s="488">
        <v>5323</v>
      </c>
      <c r="D65" s="481"/>
      <c r="E65" s="273">
        <v>1107</v>
      </c>
      <c r="F65" s="481"/>
      <c r="G65" s="450">
        <f>+'Nonmajor Ent BS'!K63</f>
        <v>9366</v>
      </c>
      <c r="H65" s="273"/>
      <c r="I65" s="273">
        <f t="shared" si="2"/>
        <v>15796</v>
      </c>
      <c r="J65" s="273"/>
      <c r="K65" s="273">
        <f>+'ISF-SONP'!O42</f>
        <v>0</v>
      </c>
      <c r="L65" s="323"/>
      <c r="M65" s="704"/>
      <c r="N65" s="488"/>
    </row>
    <row r="66" spans="1:14" s="318" customFormat="1" ht="9.9499999999999993" customHeight="1" x14ac:dyDescent="0.2">
      <c r="A66" s="706" t="s">
        <v>994</v>
      </c>
      <c r="B66" s="324"/>
      <c r="C66" s="488">
        <v>542764</v>
      </c>
      <c r="D66" s="481"/>
      <c r="E66" s="273">
        <v>11147</v>
      </c>
      <c r="F66" s="481"/>
      <c r="G66" s="450">
        <f>+'Nonmajor Ent BS'!K64</f>
        <v>27128</v>
      </c>
      <c r="H66" s="273"/>
      <c r="I66" s="273">
        <f t="shared" si="2"/>
        <v>581039</v>
      </c>
      <c r="J66" s="273"/>
      <c r="K66" s="273">
        <f>+'ISF-SONP'!O43</f>
        <v>179</v>
      </c>
      <c r="L66" s="323"/>
      <c r="M66" s="704"/>
      <c r="N66" s="488"/>
    </row>
    <row r="67" spans="1:14" s="318" customFormat="1" ht="9.9499999999999993" customHeight="1" x14ac:dyDescent="0.2">
      <c r="A67" s="706" t="s">
        <v>975</v>
      </c>
      <c r="B67" s="324"/>
      <c r="C67" s="488">
        <v>691368</v>
      </c>
      <c r="D67" s="481"/>
      <c r="E67" s="273">
        <v>15223</v>
      </c>
      <c r="F67" s="481"/>
      <c r="G67" s="450">
        <f>+'Nonmajor Ent BS'!K65</f>
        <v>15580</v>
      </c>
      <c r="H67" s="273"/>
      <c r="I67" s="273">
        <f t="shared" si="2"/>
        <v>722171</v>
      </c>
      <c r="J67" s="273"/>
      <c r="K67" s="273">
        <f>+'ISF-SONP'!O44</f>
        <v>715</v>
      </c>
      <c r="L67" s="323"/>
      <c r="M67" s="704"/>
      <c r="N67" s="488"/>
    </row>
    <row r="68" spans="1:14" s="318" customFormat="1" ht="9.9499999999999993" customHeight="1" x14ac:dyDescent="0.2">
      <c r="A68" s="706" t="s">
        <v>995</v>
      </c>
      <c r="B68" s="324"/>
      <c r="C68" s="488">
        <f>43190+21</f>
        <v>43211</v>
      </c>
      <c r="D68" s="481"/>
      <c r="E68" s="273">
        <v>36167</v>
      </c>
      <c r="F68" s="481"/>
      <c r="G68" s="450">
        <f>+'Nonmajor Ent BS'!K66</f>
        <v>14637</v>
      </c>
      <c r="H68" s="273"/>
      <c r="I68" s="273">
        <f t="shared" si="2"/>
        <v>94015</v>
      </c>
      <c r="J68" s="273"/>
      <c r="K68" s="273">
        <f>+'ISF-SONP'!O45</f>
        <v>402622</v>
      </c>
      <c r="L68" s="323"/>
      <c r="M68" s="704"/>
      <c r="N68" s="488"/>
    </row>
    <row r="69" spans="1:14" s="318" customFormat="1" ht="9.9499999999999993" customHeight="1" x14ac:dyDescent="0.2">
      <c r="A69" s="706" t="s">
        <v>1096</v>
      </c>
      <c r="B69" s="324"/>
      <c r="C69" s="488">
        <v>353</v>
      </c>
      <c r="D69" s="481"/>
      <c r="E69" s="273"/>
      <c r="F69" s="481"/>
      <c r="G69" s="450">
        <f>+'Nonmajor Ent BS'!K67</f>
        <v>14404</v>
      </c>
      <c r="H69" s="273"/>
      <c r="I69" s="273">
        <f t="shared" si="2"/>
        <v>14757</v>
      </c>
      <c r="J69" s="273"/>
      <c r="K69" s="273">
        <f>+'ISF-SONP'!O46</f>
        <v>250</v>
      </c>
      <c r="L69" s="323"/>
      <c r="M69" s="704"/>
      <c r="N69" s="493"/>
    </row>
    <row r="70" spans="1:14" s="318" customFormat="1" ht="9.9499999999999993" hidden="1" customHeight="1" x14ac:dyDescent="0.2">
      <c r="A70" s="706" t="s">
        <v>1322</v>
      </c>
      <c r="B70" s="324"/>
      <c r="C70" s="488"/>
      <c r="D70" s="481"/>
      <c r="E70" s="273"/>
      <c r="F70" s="481"/>
      <c r="G70" s="450">
        <f>+'Nonmajor Ent BS'!K68</f>
        <v>0</v>
      </c>
      <c r="H70" s="273"/>
      <c r="I70" s="273">
        <f t="shared" si="2"/>
        <v>0</v>
      </c>
      <c r="J70" s="273"/>
      <c r="K70" s="273">
        <f>+'ISF-SONP'!O47</f>
        <v>0</v>
      </c>
      <c r="L70" s="323"/>
      <c r="M70" s="704"/>
      <c r="N70" s="488"/>
    </row>
    <row r="71" spans="1:14" s="318" customFormat="1" ht="9.9499999999999993" customHeight="1" x14ac:dyDescent="0.2">
      <c r="A71" s="706" t="s">
        <v>993</v>
      </c>
      <c r="B71" s="324"/>
      <c r="C71" s="488">
        <v>104281</v>
      </c>
      <c r="D71" s="481"/>
      <c r="E71" s="273"/>
      <c r="F71" s="481"/>
      <c r="G71" s="450">
        <f>+'Nonmajor Ent BS'!K69</f>
        <v>1055</v>
      </c>
      <c r="H71" s="273"/>
      <c r="I71" s="273">
        <f t="shared" si="2"/>
        <v>105336</v>
      </c>
      <c r="J71" s="273"/>
      <c r="K71" s="273">
        <f>+'ISF-SONP'!O48</f>
        <v>0</v>
      </c>
      <c r="L71" s="323"/>
      <c r="M71" s="710"/>
      <c r="N71" s="488"/>
    </row>
    <row r="72" spans="1:14" s="318" customFormat="1" ht="9.9499999999999993" customHeight="1" x14ac:dyDescent="0.2">
      <c r="A72" s="706" t="s">
        <v>996</v>
      </c>
      <c r="B72" s="324"/>
      <c r="C72" s="488">
        <v>636035</v>
      </c>
      <c r="D72" s="481"/>
      <c r="E72" s="273">
        <v>43978</v>
      </c>
      <c r="F72" s="481"/>
      <c r="G72" s="450">
        <f>+'Nonmajor Ent BS'!K70</f>
        <v>54240</v>
      </c>
      <c r="H72" s="273"/>
      <c r="I72" s="273">
        <f>SUM(C72:G72)</f>
        <v>734253</v>
      </c>
      <c r="J72" s="273"/>
      <c r="K72" s="273">
        <f>+'ISF-SONP'!O49</f>
        <v>260209</v>
      </c>
      <c r="L72" s="323"/>
      <c r="M72" s="577"/>
      <c r="N72" s="488"/>
    </row>
    <row r="73" spans="1:14" s="318" customFormat="1" ht="5.0999999999999996" customHeight="1" x14ac:dyDescent="0.2">
      <c r="A73" s="577"/>
      <c r="B73" s="324"/>
      <c r="C73" s="340"/>
      <c r="D73" s="481"/>
      <c r="E73" s="340"/>
      <c r="F73" s="481"/>
      <c r="G73" s="340"/>
      <c r="H73" s="481"/>
      <c r="I73" s="340"/>
      <c r="J73" s="481"/>
      <c r="K73" s="340"/>
      <c r="L73" s="323"/>
      <c r="M73" s="703"/>
      <c r="N73" s="488"/>
    </row>
    <row r="74" spans="1:14" s="318" customFormat="1" ht="9.9499999999999993" customHeight="1" x14ac:dyDescent="0.2">
      <c r="A74" s="705" t="s">
        <v>1755</v>
      </c>
      <c r="B74" s="324"/>
      <c r="C74" s="488">
        <f>SUM(C65:C71)-C72</f>
        <v>751265</v>
      </c>
      <c r="D74" s="481"/>
      <c r="E74" s="488">
        <f t="shared" ref="E74" si="3">SUM(E65:E71)-E72</f>
        <v>19666</v>
      </c>
      <c r="F74" s="481"/>
      <c r="G74" s="488">
        <f t="shared" ref="G74" si="4">SUM(G65:G71)-G72</f>
        <v>27930</v>
      </c>
      <c r="H74" s="481"/>
      <c r="I74" s="488">
        <f t="shared" ref="I74:K74" si="5">SUM(I65:I71)-I72</f>
        <v>798861</v>
      </c>
      <c r="J74" s="273"/>
      <c r="K74" s="488">
        <f t="shared" si="5"/>
        <v>143557</v>
      </c>
      <c r="L74" s="323"/>
      <c r="M74" s="710"/>
      <c r="N74" s="488"/>
    </row>
    <row r="75" spans="1:14" s="318" customFormat="1" ht="5.0999999999999996" customHeight="1" x14ac:dyDescent="0.2">
      <c r="A75" s="577"/>
      <c r="B75" s="324"/>
      <c r="C75" s="340"/>
      <c r="D75" s="481"/>
      <c r="E75" s="340"/>
      <c r="F75" s="481"/>
      <c r="G75" s="340"/>
      <c r="H75" s="481"/>
      <c r="I75" s="340"/>
      <c r="J75" s="481"/>
      <c r="K75" s="340"/>
      <c r="L75" s="323"/>
      <c r="M75" s="703"/>
      <c r="N75" s="488"/>
    </row>
    <row r="76" spans="1:14" s="318" customFormat="1" ht="9.9499999999999993" customHeight="1" x14ac:dyDescent="0.2">
      <c r="A76" s="1432" t="s">
        <v>1616</v>
      </c>
      <c r="B76" s="324"/>
      <c r="C76" s="488">
        <v>11904</v>
      </c>
      <c r="D76" s="481"/>
      <c r="E76" s="273">
        <v>140</v>
      </c>
      <c r="F76" s="481"/>
      <c r="G76" s="450">
        <f>+'Nonmajor Ent BS'!K74</f>
        <v>23</v>
      </c>
      <c r="H76" s="273"/>
      <c r="I76" s="273">
        <f t="shared" ref="I76:I77" si="6">SUM(C76:G76)</f>
        <v>12067</v>
      </c>
      <c r="J76" s="273"/>
      <c r="K76" s="273">
        <f>+'ISF-SONP'!O53</f>
        <v>31764</v>
      </c>
      <c r="L76" s="323"/>
      <c r="M76" s="577"/>
      <c r="N76" s="488"/>
    </row>
    <row r="77" spans="1:14" s="318" customFormat="1" ht="9.9499999999999993" customHeight="1" x14ac:dyDescent="0.2">
      <c r="A77" s="706" t="s">
        <v>1585</v>
      </c>
      <c r="B77" s="324"/>
      <c r="C77" s="488">
        <v>862</v>
      </c>
      <c r="D77" s="481"/>
      <c r="E77" s="273">
        <v>57</v>
      </c>
      <c r="F77" s="481"/>
      <c r="G77" s="450">
        <f>+'Nonmajor Ent BS'!K75</f>
        <v>11</v>
      </c>
      <c r="H77" s="273"/>
      <c r="I77" s="273">
        <f t="shared" si="6"/>
        <v>930</v>
      </c>
      <c r="J77" s="273"/>
      <c r="K77" s="273">
        <f>+'ISF-SONP'!O54</f>
        <v>4330</v>
      </c>
      <c r="L77" s="323"/>
      <c r="M77" s="577"/>
      <c r="N77" s="488"/>
    </row>
    <row r="78" spans="1:14" s="318" customFormat="1" ht="5.0999999999999996" customHeight="1" x14ac:dyDescent="0.2">
      <c r="A78" s="482"/>
      <c r="B78" s="324"/>
      <c r="C78" s="1433"/>
      <c r="D78" s="481"/>
      <c r="E78" s="340"/>
      <c r="F78" s="481"/>
      <c r="G78" s="340"/>
      <c r="H78" s="481"/>
      <c r="I78" s="340"/>
      <c r="J78" s="481"/>
      <c r="K78" s="340"/>
      <c r="L78" s="323"/>
      <c r="M78" s="708"/>
      <c r="N78" s="273"/>
    </row>
    <row r="79" spans="1:14" ht="9.9499999999999993" customHeight="1" x14ac:dyDescent="0.2">
      <c r="A79" s="1432" t="s">
        <v>1617</v>
      </c>
      <c r="C79" s="341">
        <f>+C76-C77</f>
        <v>11042</v>
      </c>
      <c r="E79" s="341">
        <f t="shared" ref="E79" si="7">+E76-E77</f>
        <v>83</v>
      </c>
      <c r="G79" s="341">
        <f t="shared" ref="G79" si="8">+G76-G77</f>
        <v>12</v>
      </c>
      <c r="H79" s="572"/>
      <c r="I79" s="341">
        <f t="shared" ref="I79" si="9">+I76-I77</f>
        <v>11137</v>
      </c>
      <c r="J79" s="572"/>
      <c r="K79" s="341">
        <f t="shared" ref="K79" si="10">+K76-K77</f>
        <v>27434</v>
      </c>
    </row>
    <row r="80" spans="1:14" s="318" customFormat="1" ht="5.0999999999999996" customHeight="1" x14ac:dyDescent="0.2">
      <c r="A80" s="577"/>
      <c r="B80" s="324"/>
      <c r="C80" s="340"/>
      <c r="D80" s="481"/>
      <c r="E80" s="340"/>
      <c r="F80" s="481"/>
      <c r="G80" s="340"/>
      <c r="H80" s="481"/>
      <c r="I80" s="340"/>
      <c r="J80" s="481"/>
      <c r="K80" s="340"/>
      <c r="L80" s="323"/>
      <c r="M80" s="703"/>
      <c r="N80" s="488"/>
    </row>
    <row r="81" spans="1:14" s="318" customFormat="1" ht="9.9499999999999993" customHeight="1" x14ac:dyDescent="0.2">
      <c r="A81" s="704" t="s">
        <v>1645</v>
      </c>
      <c r="B81" s="324"/>
      <c r="C81" s="488">
        <v>6449</v>
      </c>
      <c r="D81" s="481"/>
      <c r="E81" s="273">
        <v>748</v>
      </c>
      <c r="F81" s="481"/>
      <c r="G81" s="450">
        <f>'Nonmajor Ent BS'!K79</f>
        <v>3776</v>
      </c>
      <c r="H81" s="273"/>
      <c r="I81" s="273">
        <f t="shared" ref="I81:I82" si="11">SUM(C81:G81)</f>
        <v>10973</v>
      </c>
      <c r="J81" s="273"/>
      <c r="K81" s="273">
        <f>+'ISF-SONP'!O58</f>
        <v>34535</v>
      </c>
      <c r="L81" s="323"/>
      <c r="M81" s="577"/>
      <c r="N81" s="488"/>
    </row>
    <row r="82" spans="1:14" s="318" customFormat="1" ht="9.9499999999999993" customHeight="1" x14ac:dyDescent="0.2">
      <c r="A82" s="706" t="s">
        <v>1585</v>
      </c>
      <c r="B82" s="324"/>
      <c r="C82" s="488">
        <v>1106</v>
      </c>
      <c r="D82" s="481"/>
      <c r="E82" s="273">
        <v>525</v>
      </c>
      <c r="F82" s="481"/>
      <c r="G82" s="450">
        <f>'Nonmajor Ent BS'!K80</f>
        <v>2057</v>
      </c>
      <c r="H82" s="273"/>
      <c r="I82" s="273">
        <f t="shared" si="11"/>
        <v>3688</v>
      </c>
      <c r="J82" s="273"/>
      <c r="K82" s="273">
        <f>+'ISF-SONP'!O59</f>
        <v>10118</v>
      </c>
      <c r="L82" s="323"/>
      <c r="M82" s="577"/>
      <c r="N82" s="488"/>
    </row>
    <row r="83" spans="1:14" s="318" customFormat="1" ht="5.0999999999999996" customHeight="1" x14ac:dyDescent="0.2">
      <c r="A83" s="703"/>
      <c r="B83" s="324"/>
      <c r="C83" s="1433"/>
      <c r="D83" s="481"/>
      <c r="E83" s="340"/>
      <c r="F83" s="481"/>
      <c r="G83" s="340"/>
      <c r="H83" s="481"/>
      <c r="I83" s="340"/>
      <c r="J83" s="481"/>
      <c r="K83" s="340"/>
      <c r="L83" s="323"/>
      <c r="M83" s="708"/>
      <c r="N83" s="273"/>
    </row>
    <row r="84" spans="1:14" ht="9.9499999999999993" customHeight="1" x14ac:dyDescent="0.2">
      <c r="A84" s="704" t="s">
        <v>1644</v>
      </c>
      <c r="C84" s="341">
        <f>+C81-C82</f>
        <v>5343</v>
      </c>
      <c r="E84" s="341">
        <f t="shared" ref="E84" si="12">+E81-E82</f>
        <v>223</v>
      </c>
      <c r="G84" s="341">
        <f t="shared" ref="G84" si="13">+G81-G82</f>
        <v>1719</v>
      </c>
      <c r="H84" s="572"/>
      <c r="I84" s="341">
        <f t="shared" ref="I84" si="14">+I81-I82</f>
        <v>7285</v>
      </c>
      <c r="J84" s="572"/>
      <c r="K84" s="341">
        <f t="shared" ref="K84" si="15">+K81-K82</f>
        <v>24417</v>
      </c>
    </row>
    <row r="85" spans="1:14" s="318" customFormat="1" ht="5.0999999999999996" customHeight="1" x14ac:dyDescent="0.2">
      <c r="A85" s="317"/>
      <c r="B85" s="324"/>
      <c r="C85" s="488"/>
      <c r="D85" s="481"/>
      <c r="E85" s="273"/>
      <c r="F85" s="481"/>
      <c r="G85" s="273"/>
      <c r="H85" s="481"/>
      <c r="I85" s="273"/>
      <c r="J85" s="481"/>
      <c r="K85" s="273"/>
      <c r="L85" s="323"/>
      <c r="M85" s="708"/>
      <c r="N85" s="273"/>
    </row>
    <row r="86" spans="1:14" s="318" customFormat="1" ht="9.9499999999999993" customHeight="1" x14ac:dyDescent="0.2">
      <c r="A86" s="703" t="s">
        <v>78</v>
      </c>
      <c r="B86" s="273"/>
      <c r="C86" s="273">
        <f>+C74+C79+C84</f>
        <v>767650</v>
      </c>
      <c r="D86" s="362"/>
      <c r="E86" s="273">
        <f t="shared" ref="E86" si="16">+E74+E79+E84</f>
        <v>19972</v>
      </c>
      <c r="F86" s="362"/>
      <c r="G86" s="273">
        <f t="shared" ref="G86" si="17">+G74+G79+G84</f>
        <v>29661</v>
      </c>
      <c r="H86" s="362"/>
      <c r="I86" s="273">
        <f t="shared" ref="I86" si="18">+I74+I79+I84</f>
        <v>817283</v>
      </c>
      <c r="J86" s="362"/>
      <c r="K86" s="273">
        <f t="shared" ref="K86" si="19">+K74+K79+K84</f>
        <v>195408</v>
      </c>
      <c r="L86" s="323"/>
      <c r="M86" s="704"/>
      <c r="N86" s="493"/>
    </row>
    <row r="87" spans="1:14" s="318" customFormat="1" ht="5.0999999999999996" customHeight="1" x14ac:dyDescent="0.2">
      <c r="A87" s="704"/>
      <c r="B87" s="324"/>
      <c r="C87" s="1433"/>
      <c r="D87" s="481"/>
      <c r="E87" s="340"/>
      <c r="F87" s="481"/>
      <c r="G87" s="452"/>
      <c r="H87" s="273"/>
      <c r="I87" s="340"/>
      <c r="J87" s="273"/>
      <c r="K87" s="340"/>
      <c r="L87" s="323"/>
      <c r="M87" s="577"/>
      <c r="N87" s="488"/>
    </row>
    <row r="88" spans="1:14" s="318" customFormat="1" ht="9.9499999999999993" customHeight="1" x14ac:dyDescent="0.2">
      <c r="A88" s="703" t="s">
        <v>1773</v>
      </c>
      <c r="B88" s="324"/>
      <c r="C88" s="273">
        <v>64532</v>
      </c>
      <c r="D88" s="481"/>
      <c r="E88" s="273"/>
      <c r="F88" s="481"/>
      <c r="G88" s="450">
        <f>+'Nonmajor Ent BS'!K87</f>
        <v>6914</v>
      </c>
      <c r="H88" s="481"/>
      <c r="I88" s="273">
        <f>SUM(C88:G88)</f>
        <v>71446</v>
      </c>
      <c r="J88" s="481"/>
      <c r="K88" s="273">
        <f>'ISF-SONP'!O65</f>
        <v>1553</v>
      </c>
      <c r="L88" s="323"/>
      <c r="M88" s="703"/>
      <c r="N88" s="488"/>
    </row>
    <row r="89" spans="1:14" s="492" customFormat="1" ht="5.0999999999999996" customHeight="1" x14ac:dyDescent="0.2">
      <c r="A89" s="577"/>
      <c r="B89" s="324"/>
      <c r="C89" s="496"/>
      <c r="D89" s="481"/>
      <c r="E89" s="496"/>
      <c r="F89" s="481"/>
      <c r="G89" s="496"/>
      <c r="H89" s="481"/>
      <c r="I89" s="496"/>
      <c r="J89" s="481"/>
      <c r="K89" s="496"/>
      <c r="L89" s="254"/>
      <c r="M89" s="701"/>
      <c r="N89" s="324"/>
    </row>
    <row r="90" spans="1:14" s="492" customFormat="1" ht="9.9499999999999993" customHeight="1" x14ac:dyDescent="0.2">
      <c r="A90" s="701" t="s">
        <v>976</v>
      </c>
      <c r="B90" s="324"/>
      <c r="C90" s="494">
        <f>+C86+C88</f>
        <v>832182</v>
      </c>
      <c r="D90" s="481"/>
      <c r="E90" s="494">
        <f t="shared" ref="E90" si="20">+E86+E88</f>
        <v>19972</v>
      </c>
      <c r="F90" s="481"/>
      <c r="G90" s="494">
        <f t="shared" ref="G90" si="21">+G86+G88</f>
        <v>36575</v>
      </c>
      <c r="H90" s="481"/>
      <c r="I90" s="494">
        <f t="shared" ref="I90" si="22">+I86+I88</f>
        <v>888729</v>
      </c>
      <c r="J90" s="481"/>
      <c r="K90" s="494">
        <f t="shared" ref="K90" si="23">+K86+K88</f>
        <v>196961</v>
      </c>
      <c r="L90" s="254"/>
      <c r="M90" s="317"/>
      <c r="N90" s="324"/>
    </row>
    <row r="91" spans="1:14" s="492" customFormat="1" ht="5.0999999999999996" customHeight="1" thickBot="1" x14ac:dyDescent="0.25">
      <c r="A91" s="317"/>
      <c r="B91" s="324"/>
      <c r="C91" s="324"/>
      <c r="D91" s="481"/>
      <c r="E91" s="324"/>
      <c r="F91" s="481"/>
      <c r="G91" s="324"/>
      <c r="H91" s="481"/>
      <c r="I91" s="324"/>
      <c r="J91" s="481"/>
      <c r="K91" s="324"/>
      <c r="L91" s="254"/>
      <c r="M91" s="353"/>
      <c r="N91" s="344"/>
    </row>
    <row r="92" spans="1:14" s="492" customFormat="1" ht="9.9499999999999993" customHeight="1" thickTop="1" x14ac:dyDescent="0.2">
      <c r="A92" s="353" t="s">
        <v>687</v>
      </c>
      <c r="B92" s="323"/>
      <c r="C92" s="1520">
        <f>SUM(C90+C60)</f>
        <v>1381864</v>
      </c>
      <c r="D92" s="362"/>
      <c r="E92" s="1520">
        <f>SUM(E90+E60)</f>
        <v>41313</v>
      </c>
      <c r="F92" s="362"/>
      <c r="G92" s="1520">
        <f>SUM(G90+G60)</f>
        <v>77379</v>
      </c>
      <c r="H92" s="362"/>
      <c r="I92" s="1520">
        <f>SUM(I90+I60)</f>
        <v>1500556</v>
      </c>
      <c r="J92" s="362"/>
      <c r="K92" s="1520">
        <f>SUM(K90+K60)</f>
        <v>472220</v>
      </c>
      <c r="L92" s="254"/>
      <c r="M92" s="253"/>
      <c r="N92" s="254"/>
    </row>
    <row r="93" spans="1:14" s="492" customFormat="1" ht="5.0999999999999996" customHeight="1" x14ac:dyDescent="0.2">
      <c r="A93" s="577"/>
      <c r="B93" s="324"/>
      <c r="C93" s="324"/>
      <c r="D93" s="481"/>
      <c r="E93" s="340"/>
      <c r="F93" s="481"/>
      <c r="G93" s="324"/>
      <c r="H93" s="273"/>
      <c r="I93" s="273"/>
      <c r="J93" s="273"/>
      <c r="K93" s="273"/>
      <c r="L93" s="254"/>
      <c r="M93" s="701"/>
      <c r="N93" s="494"/>
    </row>
    <row r="94" spans="1:14" s="492" customFormat="1" ht="9.9499999999999993" customHeight="1" x14ac:dyDescent="0.2">
      <c r="A94" s="353" t="s">
        <v>1133</v>
      </c>
      <c r="B94" s="323"/>
      <c r="C94" s="1521">
        <v>20436</v>
      </c>
      <c r="D94" s="362"/>
      <c r="E94" s="1521">
        <v>17858</v>
      </c>
      <c r="F94" s="362"/>
      <c r="G94" s="1105">
        <f>'Nonmajor Ent BS'!K94</f>
        <v>10962</v>
      </c>
      <c r="H94" s="362"/>
      <c r="I94" s="1105">
        <f>SUM(C94:G94)</f>
        <v>49256</v>
      </c>
      <c r="J94" s="362"/>
      <c r="K94" s="1105">
        <f>'ISF-SONP'!O71</f>
        <v>30776</v>
      </c>
      <c r="L94" s="254"/>
      <c r="M94" s="253"/>
      <c r="N94" s="254"/>
    </row>
    <row r="95" spans="1:14" s="492" customFormat="1" ht="9.9499999999999993" customHeight="1" x14ac:dyDescent="0.2">
      <c r="A95" s="353"/>
      <c r="B95" s="323"/>
      <c r="C95" s="1442"/>
      <c r="D95" s="362"/>
      <c r="E95" s="1442"/>
      <c r="F95" s="362"/>
      <c r="G95" s="487"/>
      <c r="H95" s="362"/>
      <c r="I95" s="487"/>
      <c r="J95" s="362"/>
      <c r="K95" s="487"/>
      <c r="L95" s="254"/>
      <c r="M95" s="253"/>
      <c r="N95" s="254"/>
    </row>
    <row r="96" spans="1:14" s="492" customFormat="1" ht="9.9499999999999993" customHeight="1" x14ac:dyDescent="0.2">
      <c r="B96" s="323"/>
      <c r="C96" s="339"/>
      <c r="D96" s="362"/>
      <c r="E96" s="339"/>
      <c r="F96" s="362"/>
      <c r="G96" s="339"/>
      <c r="H96" s="362"/>
      <c r="I96" s="339"/>
      <c r="J96" s="362"/>
      <c r="K96" s="671" t="s">
        <v>1454</v>
      </c>
      <c r="L96" s="254"/>
      <c r="M96" s="253"/>
      <c r="N96" s="254"/>
    </row>
    <row r="97" spans="1:14" s="247" customFormat="1" ht="16.5" customHeight="1" thickBot="1" x14ac:dyDescent="0.25">
      <c r="A97" s="1582" t="s">
        <v>1033</v>
      </c>
      <c r="B97" s="1582"/>
      <c r="C97" s="1582"/>
      <c r="D97" s="1582"/>
      <c r="E97" s="1582"/>
      <c r="F97" s="1582"/>
      <c r="G97" s="1582"/>
      <c r="H97" s="1582"/>
      <c r="I97" s="1582"/>
      <c r="J97" s="1582"/>
      <c r="K97" s="1582"/>
      <c r="L97" s="265"/>
      <c r="M97" s="700"/>
      <c r="N97" s="310"/>
    </row>
    <row r="98" spans="1:14" s="247" customFormat="1" ht="15" customHeight="1" x14ac:dyDescent="0.2">
      <c r="A98" s="700" t="s">
        <v>1109</v>
      </c>
      <c r="B98" s="713"/>
      <c r="C98" s="713"/>
      <c r="D98" s="586"/>
      <c r="E98" s="310"/>
      <c r="F98" s="586"/>
      <c r="G98" s="586"/>
      <c r="H98" s="586"/>
      <c r="I98" s="586"/>
      <c r="J98" s="586"/>
      <c r="K98" s="586"/>
      <c r="L98" s="265"/>
      <c r="M98" s="700"/>
      <c r="N98" s="310"/>
    </row>
    <row r="99" spans="1:14" s="247" customFormat="1" ht="15" customHeight="1" x14ac:dyDescent="0.2">
      <c r="A99" s="700" t="s">
        <v>1485</v>
      </c>
      <c r="B99" s="713"/>
      <c r="C99" s="713"/>
      <c r="D99" s="321"/>
      <c r="E99" s="310"/>
      <c r="F99" s="321"/>
      <c r="G99" s="321"/>
      <c r="H99" s="321"/>
      <c r="I99" s="321"/>
      <c r="J99" s="321"/>
      <c r="K99" s="321"/>
      <c r="L99" s="265"/>
      <c r="M99" s="506"/>
      <c r="N99" s="311"/>
    </row>
    <row r="100" spans="1:14" s="247" customFormat="1" ht="12.95" customHeight="1" x14ac:dyDescent="0.2">
      <c r="A100" s="943" t="s">
        <v>1724</v>
      </c>
      <c r="B100" s="943"/>
      <c r="C100" s="943"/>
      <c r="D100" s="321"/>
      <c r="E100" s="321"/>
      <c r="F100" s="321"/>
      <c r="G100" s="321"/>
      <c r="H100" s="321"/>
      <c r="I100" s="321"/>
      <c r="J100" s="321"/>
      <c r="K100" s="321"/>
      <c r="L100" s="265"/>
      <c r="M100" s="253"/>
      <c r="N100" s="246"/>
    </row>
    <row r="101" spans="1:14" s="247" customFormat="1" ht="12" customHeight="1" x14ac:dyDescent="0.2">
      <c r="A101" s="352" t="s">
        <v>972</v>
      </c>
      <c r="B101" s="352"/>
      <c r="C101" s="352"/>
      <c r="D101" s="571"/>
      <c r="E101" s="571"/>
      <c r="F101" s="571"/>
      <c r="G101" s="571"/>
      <c r="H101" s="571"/>
      <c r="I101" s="571"/>
      <c r="J101" s="571"/>
      <c r="K101" s="571"/>
      <c r="L101" s="265"/>
      <c r="N101" s="319"/>
    </row>
    <row r="102" spans="1:14" s="314" customFormat="1" ht="12.6" customHeight="1" x14ac:dyDescent="0.2">
      <c r="A102" s="247"/>
      <c r="B102" s="270"/>
      <c r="C102" s="265"/>
      <c r="D102" s="265"/>
      <c r="E102" s="265"/>
      <c r="F102" s="265"/>
      <c r="G102" s="265"/>
      <c r="H102" s="265"/>
      <c r="I102" s="265"/>
      <c r="J102" s="265"/>
      <c r="K102" s="265"/>
      <c r="L102" s="265"/>
      <c r="M102" s="472"/>
      <c r="N102" s="212"/>
    </row>
    <row r="103" spans="1:14" s="474" customFormat="1" ht="11.45" customHeight="1" x14ac:dyDescent="0.2">
      <c r="A103" s="472"/>
      <c r="B103" s="472"/>
      <c r="C103" s="1592" t="s">
        <v>54</v>
      </c>
      <c r="D103" s="1592"/>
      <c r="E103" s="1592"/>
      <c r="F103" s="1592"/>
      <c r="G103" s="1592"/>
      <c r="H103" s="1592"/>
      <c r="I103" s="1592"/>
      <c r="J103" s="336"/>
      <c r="K103" s="310" t="s">
        <v>669</v>
      </c>
      <c r="L103" s="472"/>
      <c r="M103" s="472"/>
      <c r="N103" s="310"/>
    </row>
    <row r="104" spans="1:14" s="474" customFormat="1" ht="11.45" customHeight="1" x14ac:dyDescent="0.2">
      <c r="A104" s="472"/>
      <c r="B104" s="1284"/>
      <c r="C104" s="1591" t="s">
        <v>55</v>
      </c>
      <c r="D104" s="1591"/>
      <c r="E104" s="1591"/>
      <c r="F104" s="1591"/>
      <c r="G104" s="1591"/>
      <c r="H104" s="1591"/>
      <c r="I104" s="1591"/>
      <c r="J104" s="336"/>
      <c r="K104" s="574" t="s">
        <v>670</v>
      </c>
      <c r="L104" s="472"/>
      <c r="M104" s="472"/>
      <c r="N104" s="310"/>
    </row>
    <row r="105" spans="1:14" s="474" customFormat="1" ht="11.45" customHeight="1" x14ac:dyDescent="0.2">
      <c r="A105" s="472"/>
      <c r="B105" s="472"/>
      <c r="C105" s="475"/>
      <c r="D105" s="472"/>
      <c r="E105" s="475"/>
      <c r="F105" s="472"/>
      <c r="G105" s="575"/>
      <c r="H105" s="336"/>
      <c r="I105" s="477"/>
      <c r="J105" s="336"/>
      <c r="K105" s="337"/>
      <c r="L105" s="472"/>
      <c r="M105" s="472"/>
      <c r="N105" s="574"/>
    </row>
    <row r="106" spans="1:14" s="474" customFormat="1" ht="11.45" customHeight="1" x14ac:dyDescent="0.2">
      <c r="A106" s="472"/>
      <c r="B106" s="472"/>
      <c r="C106" s="310"/>
      <c r="D106" s="336"/>
      <c r="E106" s="310" t="s">
        <v>1087</v>
      </c>
      <c r="F106" s="336"/>
      <c r="G106" s="310" t="s">
        <v>1064</v>
      </c>
      <c r="H106" s="336"/>
      <c r="I106" s="477"/>
      <c r="J106" s="336"/>
      <c r="K106" s="310" t="s">
        <v>58</v>
      </c>
      <c r="L106" s="472"/>
      <c r="M106" s="322"/>
      <c r="N106" s="323"/>
    </row>
    <row r="107" spans="1:14" s="474" customFormat="1" ht="11.45" customHeight="1" x14ac:dyDescent="0.2">
      <c r="A107" s="472"/>
      <c r="B107" s="472"/>
      <c r="C107" s="310" t="s">
        <v>836</v>
      </c>
      <c r="D107" s="336"/>
      <c r="E107" s="310" t="s">
        <v>1088</v>
      </c>
      <c r="F107" s="336"/>
      <c r="G107" s="310" t="s">
        <v>57</v>
      </c>
      <c r="H107" s="336"/>
      <c r="I107" s="477"/>
      <c r="J107" s="336"/>
      <c r="K107" s="310" t="s">
        <v>1066</v>
      </c>
      <c r="L107" s="472"/>
      <c r="M107" s="701"/>
      <c r="N107" s="323"/>
    </row>
    <row r="108" spans="1:14" s="474" customFormat="1" ht="11.45" customHeight="1" x14ac:dyDescent="0.2">
      <c r="A108" s="472"/>
      <c r="B108" s="472"/>
      <c r="C108" s="574" t="s">
        <v>59</v>
      </c>
      <c r="D108" s="336"/>
      <c r="E108" s="574" t="s">
        <v>228</v>
      </c>
      <c r="F108" s="336"/>
      <c r="G108" s="574" t="s">
        <v>864</v>
      </c>
      <c r="H108" s="336"/>
      <c r="I108" s="574" t="s">
        <v>671</v>
      </c>
      <c r="J108" s="336"/>
      <c r="K108" s="574" t="s">
        <v>864</v>
      </c>
      <c r="L108" s="472"/>
      <c r="M108" s="702"/>
      <c r="N108" s="323"/>
    </row>
    <row r="109" spans="1:14" s="318" customFormat="1" ht="9.9499999999999993" customHeight="1" x14ac:dyDescent="0.2">
      <c r="A109" s="322" t="s">
        <v>751</v>
      </c>
      <c r="B109" s="480"/>
      <c r="C109" s="323"/>
      <c r="D109" s="323"/>
      <c r="E109" s="323"/>
      <c r="F109" s="323"/>
      <c r="G109" s="254"/>
      <c r="H109" s="254"/>
      <c r="I109" s="254"/>
      <c r="J109" s="254"/>
      <c r="K109" s="254"/>
      <c r="L109" s="323"/>
      <c r="M109" s="704"/>
      <c r="N109" s="495"/>
    </row>
    <row r="110" spans="1:14" s="318" customFormat="1" ht="9.9499999999999993" customHeight="1" x14ac:dyDescent="0.2">
      <c r="A110" s="701" t="s">
        <v>80</v>
      </c>
      <c r="B110" s="317"/>
      <c r="C110" s="323"/>
      <c r="D110" s="323"/>
      <c r="E110" s="323"/>
      <c r="F110" s="323"/>
      <c r="G110" s="254"/>
      <c r="H110" s="254"/>
      <c r="I110" s="254"/>
      <c r="J110" s="254"/>
      <c r="K110" s="254"/>
      <c r="L110" s="323"/>
      <c r="M110" s="704"/>
      <c r="N110" s="323"/>
    </row>
    <row r="111" spans="1:14" s="318" customFormat="1" ht="9.75" customHeight="1" x14ac:dyDescent="0.2">
      <c r="A111" s="702" t="s">
        <v>758</v>
      </c>
      <c r="B111" s="317"/>
      <c r="C111" s="323"/>
      <c r="D111" s="323"/>
      <c r="E111" s="323"/>
      <c r="F111" s="323"/>
      <c r="G111" s="254"/>
      <c r="H111" s="254"/>
      <c r="I111" s="254"/>
      <c r="J111" s="254"/>
      <c r="K111" s="254"/>
      <c r="L111" s="323"/>
      <c r="M111" s="704"/>
      <c r="N111" s="323"/>
    </row>
    <row r="112" spans="1:14" s="318" customFormat="1" ht="9.75" customHeight="1" x14ac:dyDescent="0.2">
      <c r="A112" s="704" t="s">
        <v>688</v>
      </c>
      <c r="B112" s="317"/>
      <c r="C112" s="483">
        <v>9719</v>
      </c>
      <c r="D112" s="481"/>
      <c r="E112" s="339">
        <v>2013</v>
      </c>
      <c r="F112" s="481"/>
      <c r="G112" s="483">
        <f>+'Nonmajor Ent BS'!K111</f>
        <v>661</v>
      </c>
      <c r="H112" s="254"/>
      <c r="I112" s="339">
        <f t="shared" ref="I112:I126" si="24">SUM(C112:G112)</f>
        <v>12393</v>
      </c>
      <c r="J112" s="254"/>
      <c r="K112" s="339">
        <f>+'ISF-SONP'!O88</f>
        <v>17971</v>
      </c>
      <c r="L112" s="323"/>
      <c r="M112" s="704"/>
      <c r="N112" s="324"/>
    </row>
    <row r="113" spans="1:14" s="318" customFormat="1" ht="9.9499999999999993" customHeight="1" x14ac:dyDescent="0.2">
      <c r="A113" s="704" t="s">
        <v>847</v>
      </c>
      <c r="B113" s="317"/>
      <c r="C113" s="323">
        <v>6125</v>
      </c>
      <c r="D113" s="324"/>
      <c r="E113" s="323">
        <v>3359</v>
      </c>
      <c r="F113" s="324"/>
      <c r="G113" s="450">
        <f>+'Nonmajor Ent BS'!K112</f>
        <v>4249</v>
      </c>
      <c r="H113" s="273"/>
      <c r="I113" s="273">
        <f t="shared" si="24"/>
        <v>13733</v>
      </c>
      <c r="J113" s="273"/>
      <c r="K113" s="450">
        <f>+'ISF-SONP'!O89</f>
        <v>3052</v>
      </c>
      <c r="L113" s="323"/>
      <c r="M113" s="704"/>
      <c r="N113" s="324"/>
    </row>
    <row r="114" spans="1:14" s="318" customFormat="1" ht="9.9499999999999993" customHeight="1" x14ac:dyDescent="0.2">
      <c r="A114" s="704" t="s">
        <v>254</v>
      </c>
      <c r="B114" s="317"/>
      <c r="C114" s="323"/>
      <c r="D114" s="324"/>
      <c r="E114" s="323"/>
      <c r="F114" s="324"/>
      <c r="G114" s="450"/>
      <c r="H114" s="273"/>
      <c r="I114" s="273">
        <f t="shared" si="24"/>
        <v>0</v>
      </c>
      <c r="J114" s="273"/>
      <c r="K114" s="450">
        <f>+'ISF-SONP'!O90</f>
        <v>30365</v>
      </c>
      <c r="L114" s="323"/>
      <c r="M114" s="704"/>
      <c r="N114" s="324"/>
    </row>
    <row r="115" spans="1:14" s="318" customFormat="1" ht="9.9499999999999993" customHeight="1" x14ac:dyDescent="0.2">
      <c r="A115" s="704" t="s">
        <v>690</v>
      </c>
      <c r="B115" s="317"/>
      <c r="C115" s="324">
        <f>852+72</f>
        <v>924</v>
      </c>
      <c r="D115" s="324"/>
      <c r="E115" s="324">
        <v>1119</v>
      </c>
      <c r="F115" s="324"/>
      <c r="G115" s="450">
        <f>'Nonmajor Ent BS'!K114</f>
        <v>760</v>
      </c>
      <c r="H115" s="273"/>
      <c r="I115" s="273">
        <f t="shared" si="24"/>
        <v>2803</v>
      </c>
      <c r="J115" s="273"/>
      <c r="K115" s="450">
        <f>+'ISF-SONP'!O91</f>
        <v>2152</v>
      </c>
      <c r="L115" s="323"/>
      <c r="M115" s="704"/>
      <c r="N115" s="324"/>
    </row>
    <row r="116" spans="1:14" s="318" customFormat="1" ht="9.9499999999999993" customHeight="1" x14ac:dyDescent="0.2">
      <c r="A116" s="704" t="s">
        <v>676</v>
      </c>
      <c r="B116" s="317"/>
      <c r="C116" s="324">
        <v>3</v>
      </c>
      <c r="D116" s="324"/>
      <c r="E116" s="324">
        <v>51</v>
      </c>
      <c r="F116" s="324"/>
      <c r="G116" s="450">
        <f>'Nonmajor Ent BS'!K115</f>
        <v>0</v>
      </c>
      <c r="H116" s="273"/>
      <c r="I116" s="273">
        <f t="shared" si="24"/>
        <v>54</v>
      </c>
      <c r="J116" s="273"/>
      <c r="K116" s="450">
        <f>+'ISF-SONP'!O92</f>
        <v>34</v>
      </c>
      <c r="L116" s="323"/>
      <c r="M116" s="704"/>
      <c r="N116" s="324"/>
    </row>
    <row r="117" spans="1:14" s="318" customFormat="1" ht="9.9499999999999993" customHeight="1" x14ac:dyDescent="0.2">
      <c r="A117" s="704" t="s">
        <v>850</v>
      </c>
      <c r="B117" s="317"/>
      <c r="C117" s="324">
        <f>2493+7</f>
        <v>2500</v>
      </c>
      <c r="E117" s="324">
        <v>2147</v>
      </c>
      <c r="G117" s="450">
        <f>'Nonmajor Ent BS'!K116</f>
        <v>1657</v>
      </c>
      <c r="I117" s="273">
        <f t="shared" si="24"/>
        <v>6304</v>
      </c>
      <c r="K117" s="450">
        <f>+'ISF-SONP'!O95</f>
        <v>4865</v>
      </c>
      <c r="L117" s="323"/>
      <c r="M117" s="704"/>
      <c r="N117" s="488"/>
    </row>
    <row r="118" spans="1:14" s="318" customFormat="1" ht="9.9499999999999993" customHeight="1" x14ac:dyDescent="0.2">
      <c r="A118" s="704" t="s">
        <v>692</v>
      </c>
      <c r="B118" s="317"/>
      <c r="C118" s="324">
        <v>1188</v>
      </c>
      <c r="D118" s="324"/>
      <c r="E118" s="324"/>
      <c r="F118" s="324"/>
      <c r="G118" s="450">
        <f>'Nonmajor Ent BS'!K117</f>
        <v>32</v>
      </c>
      <c r="H118" s="273"/>
      <c r="I118" s="273">
        <f t="shared" si="24"/>
        <v>1220</v>
      </c>
      <c r="J118" s="273"/>
      <c r="K118" s="450">
        <f>+'ISF-SONP'!O96</f>
        <v>36</v>
      </c>
      <c r="L118" s="323"/>
      <c r="M118" s="704"/>
      <c r="N118" s="488"/>
    </row>
    <row r="119" spans="1:14" s="318" customFormat="1" ht="9.9499999999999993" customHeight="1" x14ac:dyDescent="0.2">
      <c r="A119" s="704" t="s">
        <v>1586</v>
      </c>
      <c r="B119" s="317"/>
      <c r="C119" s="488">
        <v>529</v>
      </c>
      <c r="D119" s="324"/>
      <c r="E119" s="273">
        <v>18</v>
      </c>
      <c r="F119" s="324"/>
      <c r="G119" s="450">
        <f>'Nonmajor Ent BS'!K118</f>
        <v>2</v>
      </c>
      <c r="H119" s="273"/>
      <c r="I119" s="273">
        <f t="shared" si="24"/>
        <v>549</v>
      </c>
      <c r="J119" s="273"/>
      <c r="K119" s="450">
        <f>+'ISF-SONP'!O97</f>
        <v>927</v>
      </c>
      <c r="L119" s="323"/>
      <c r="M119" s="704"/>
      <c r="N119" s="324"/>
    </row>
    <row r="120" spans="1:14" s="318" customFormat="1" ht="9.9499999999999993" customHeight="1" x14ac:dyDescent="0.2">
      <c r="A120" s="704" t="s">
        <v>1647</v>
      </c>
      <c r="B120" s="317"/>
      <c r="C120" s="488">
        <v>466</v>
      </c>
      <c r="D120" s="324"/>
      <c r="E120" s="273">
        <v>5</v>
      </c>
      <c r="F120" s="324"/>
      <c r="G120" s="450">
        <f>'Nonmajor Ent BS'!K120</f>
        <v>420</v>
      </c>
      <c r="H120" s="273"/>
      <c r="I120" s="273">
        <f t="shared" si="24"/>
        <v>891</v>
      </c>
      <c r="J120" s="273"/>
      <c r="K120" s="450">
        <f>+'ISF-SONP'!O98</f>
        <v>9136</v>
      </c>
      <c r="L120" s="323"/>
      <c r="M120" s="704"/>
      <c r="N120" s="324"/>
    </row>
    <row r="121" spans="1:14" s="318" customFormat="1" ht="9.9499999999999993" customHeight="1" x14ac:dyDescent="0.2">
      <c r="A121" s="704" t="s">
        <v>1602</v>
      </c>
      <c r="B121" s="317"/>
      <c r="C121" s="488">
        <v>225</v>
      </c>
      <c r="D121" s="324"/>
      <c r="E121" s="273">
        <v>1316</v>
      </c>
      <c r="F121" s="324"/>
      <c r="G121" s="450">
        <f>'Nonmajor Ent BS'!K119</f>
        <v>0</v>
      </c>
      <c r="H121" s="273"/>
      <c r="I121" s="273">
        <f t="shared" si="24"/>
        <v>1541</v>
      </c>
      <c r="J121" s="273"/>
      <c r="K121" s="450">
        <f>+'ISF-SONP'!O99</f>
        <v>0</v>
      </c>
      <c r="L121" s="323"/>
      <c r="M121" s="704"/>
      <c r="N121" s="324"/>
    </row>
    <row r="122" spans="1:14" s="318" customFormat="1" ht="9.9499999999999993" customHeight="1" x14ac:dyDescent="0.2">
      <c r="A122" s="704" t="s">
        <v>1215</v>
      </c>
      <c r="B122" s="317"/>
      <c r="C122" s="488"/>
      <c r="D122" s="324"/>
      <c r="E122" s="273">
        <v>159</v>
      </c>
      <c r="F122" s="324"/>
      <c r="G122" s="450">
        <f>'Nonmajor Ent BS'!K121</f>
        <v>0</v>
      </c>
      <c r="H122" s="273"/>
      <c r="I122" s="273">
        <f t="shared" si="24"/>
        <v>159</v>
      </c>
      <c r="J122" s="273"/>
      <c r="K122" s="450"/>
      <c r="L122" s="323"/>
      <c r="M122" s="704"/>
      <c r="N122" s="324"/>
    </row>
    <row r="123" spans="1:14" s="318" customFormat="1" ht="9.9499999999999993" hidden="1" customHeight="1" x14ac:dyDescent="0.2">
      <c r="A123" s="704" t="s">
        <v>1267</v>
      </c>
      <c r="B123" s="317"/>
      <c r="C123" s="488"/>
      <c r="D123" s="324"/>
      <c r="E123" s="273"/>
      <c r="F123" s="324"/>
      <c r="G123" s="450">
        <f>'Nonmajor Ent BS'!K122</f>
        <v>0</v>
      </c>
      <c r="H123" s="273"/>
      <c r="I123" s="273">
        <f t="shared" si="24"/>
        <v>0</v>
      </c>
      <c r="J123" s="273"/>
      <c r="K123" s="450">
        <f>'ISF-SONP'!O101</f>
        <v>0</v>
      </c>
      <c r="L123" s="323"/>
      <c r="M123" s="704"/>
      <c r="N123" s="324"/>
    </row>
    <row r="124" spans="1:14" s="318" customFormat="1" ht="9.9499999999999993" customHeight="1" x14ac:dyDescent="0.2">
      <c r="A124" s="704" t="s">
        <v>1434</v>
      </c>
      <c r="B124" s="317"/>
      <c r="C124" s="488"/>
      <c r="D124" s="324"/>
      <c r="E124" s="273"/>
      <c r="F124" s="324"/>
      <c r="G124" s="450">
        <f>'Nonmajor Ent BS'!K123</f>
        <v>0</v>
      </c>
      <c r="H124" s="273"/>
      <c r="I124" s="273">
        <f t="shared" si="24"/>
        <v>0</v>
      </c>
      <c r="J124" s="273"/>
      <c r="K124" s="450">
        <f>'ISF-SONP'!O102</f>
        <v>263</v>
      </c>
      <c r="L124" s="323"/>
      <c r="M124" s="704"/>
      <c r="N124" s="324"/>
    </row>
    <row r="125" spans="1:14" s="318" customFormat="1" ht="9.9499999999999993" hidden="1" customHeight="1" x14ac:dyDescent="0.2">
      <c r="A125" s="705" t="s">
        <v>604</v>
      </c>
      <c r="B125" s="317"/>
      <c r="C125" s="324"/>
      <c r="D125" s="324"/>
      <c r="E125" s="324"/>
      <c r="F125" s="324"/>
      <c r="G125" s="450">
        <f>'Nonmajor Ent BS'!K124</f>
        <v>0</v>
      </c>
      <c r="H125" s="273"/>
      <c r="I125" s="273">
        <f t="shared" si="24"/>
        <v>0</v>
      </c>
      <c r="J125" s="273"/>
      <c r="K125" s="450">
        <f>+'ISF-SONP'!O103</f>
        <v>0</v>
      </c>
      <c r="L125" s="323"/>
      <c r="M125" s="702"/>
      <c r="N125" s="341"/>
    </row>
    <row r="126" spans="1:14" s="318" customFormat="1" ht="9.9499999999999993" hidden="1" customHeight="1" x14ac:dyDescent="0.2">
      <c r="A126" s="705" t="s">
        <v>593</v>
      </c>
      <c r="B126" s="317"/>
      <c r="C126" s="324"/>
      <c r="D126" s="324"/>
      <c r="E126" s="324"/>
      <c r="F126" s="324"/>
      <c r="G126" s="450">
        <f>'Nonmajor Ent BS'!K125</f>
        <v>0</v>
      </c>
      <c r="H126" s="273"/>
      <c r="I126" s="273">
        <f t="shared" si="24"/>
        <v>0</v>
      </c>
      <c r="J126" s="273"/>
      <c r="K126" s="450">
        <f>+'ISF-SONP'!O104</f>
        <v>0</v>
      </c>
      <c r="L126" s="323"/>
      <c r="M126" s="577"/>
      <c r="N126" s="324"/>
    </row>
    <row r="127" spans="1:14" s="318" customFormat="1" ht="5.0999999999999996" customHeight="1" x14ac:dyDescent="0.2">
      <c r="A127" s="253"/>
      <c r="B127" s="317"/>
      <c r="C127" s="496"/>
      <c r="D127" s="324"/>
      <c r="E127" s="340"/>
      <c r="F127" s="324"/>
      <c r="G127" s="496"/>
      <c r="H127" s="324"/>
      <c r="I127" s="496"/>
      <c r="J127" s="324"/>
      <c r="K127" s="496"/>
      <c r="L127" s="323"/>
      <c r="M127" s="702"/>
      <c r="N127" s="324"/>
    </row>
    <row r="128" spans="1:14" s="492" customFormat="1" ht="11.1" customHeight="1" x14ac:dyDescent="0.2">
      <c r="A128" s="702" t="s">
        <v>759</v>
      </c>
      <c r="C128" s="341">
        <f>SUM(C112:C126)</f>
        <v>21679</v>
      </c>
      <c r="D128" s="273">
        <f>SUM(D112:D125)</f>
        <v>0</v>
      </c>
      <c r="E128" s="341">
        <f>SUM(E112:E127)</f>
        <v>10187</v>
      </c>
      <c r="F128" s="273">
        <f>SUM(F112:F125)</f>
        <v>0</v>
      </c>
      <c r="G128" s="341">
        <f>SUM(G112:G126)</f>
        <v>7781</v>
      </c>
      <c r="H128" s="273">
        <f>SUM(H112:H125)</f>
        <v>0</v>
      </c>
      <c r="I128" s="341">
        <f>SUM(I112:I126)</f>
        <v>39647</v>
      </c>
      <c r="J128" s="273">
        <f>SUM(J112:J125)</f>
        <v>0</v>
      </c>
      <c r="K128" s="341">
        <f>SUM(K112:K126)</f>
        <v>68801</v>
      </c>
      <c r="L128" s="254"/>
      <c r="M128" s="704"/>
      <c r="N128" s="488"/>
    </row>
    <row r="129" spans="1:14" s="318" customFormat="1" ht="5.0999999999999996" customHeight="1" x14ac:dyDescent="0.2">
      <c r="A129" s="577"/>
      <c r="B129" s="482"/>
      <c r="C129" s="324"/>
      <c r="D129" s="324"/>
      <c r="E129" s="273"/>
      <c r="F129" s="324"/>
      <c r="G129" s="273"/>
      <c r="H129" s="273"/>
      <c r="I129" s="273"/>
      <c r="J129" s="273"/>
      <c r="K129" s="273"/>
      <c r="L129" s="323"/>
      <c r="M129" s="704"/>
      <c r="N129" s="488"/>
    </row>
    <row r="130" spans="1:14" s="318" customFormat="1" ht="9.9499999999999993" customHeight="1" x14ac:dyDescent="0.2">
      <c r="A130" s="702" t="s">
        <v>1423</v>
      </c>
      <c r="B130" s="317"/>
      <c r="C130" s="324"/>
      <c r="D130" s="324"/>
      <c r="E130" s="273"/>
      <c r="F130" s="324"/>
      <c r="G130" s="273"/>
      <c r="H130" s="273"/>
      <c r="I130" s="273"/>
      <c r="J130" s="273"/>
      <c r="K130" s="273"/>
      <c r="L130" s="323"/>
      <c r="M130" s="704"/>
      <c r="N130" s="273"/>
    </row>
    <row r="131" spans="1:14" s="318" customFormat="1" ht="9.9499999999999993" customHeight="1" x14ac:dyDescent="0.2">
      <c r="A131" s="704" t="s">
        <v>688</v>
      </c>
      <c r="B131" s="317"/>
      <c r="C131" s="488">
        <v>10477</v>
      </c>
      <c r="D131" s="324"/>
      <c r="E131" s="273"/>
      <c r="F131" s="324"/>
      <c r="G131" s="273">
        <f>SUM('Nonmajor Ent BS'!K130)</f>
        <v>38</v>
      </c>
      <c r="H131" s="273"/>
      <c r="I131" s="273">
        <f t="shared" ref="I131:I141" si="25">SUM(C131:G131)</f>
        <v>10515</v>
      </c>
      <c r="J131" s="273"/>
      <c r="K131" s="273"/>
      <c r="L131" s="323"/>
      <c r="M131" s="704"/>
      <c r="N131" s="488"/>
    </row>
    <row r="132" spans="1:14" s="318" customFormat="1" ht="9.9499999999999993" customHeight="1" x14ac:dyDescent="0.2">
      <c r="A132" s="704" t="s">
        <v>690</v>
      </c>
      <c r="B132" s="317"/>
      <c r="C132" s="488">
        <v>20</v>
      </c>
      <c r="D132" s="324"/>
      <c r="E132" s="273"/>
      <c r="F132" s="324"/>
      <c r="G132" s="273">
        <f>SUM('Nonmajor Ent BS'!K131)</f>
        <v>0</v>
      </c>
      <c r="H132" s="273"/>
      <c r="I132" s="273">
        <f t="shared" si="25"/>
        <v>20</v>
      </c>
      <c r="J132" s="273"/>
      <c r="K132" s="273"/>
      <c r="L132" s="323"/>
      <c r="M132" s="704"/>
      <c r="N132" s="488"/>
    </row>
    <row r="133" spans="1:14" s="318" customFormat="1" ht="9.9499999999999993" customHeight="1" x14ac:dyDescent="0.2">
      <c r="A133" s="704" t="s">
        <v>676</v>
      </c>
      <c r="B133" s="317"/>
      <c r="C133" s="488">
        <v>6322</v>
      </c>
      <c r="D133" s="324"/>
      <c r="E133" s="273"/>
      <c r="F133" s="324"/>
      <c r="G133" s="273">
        <f>SUM('Nonmajor Ent BS'!K132)</f>
        <v>0</v>
      </c>
      <c r="H133" s="273"/>
      <c r="I133" s="273">
        <f t="shared" si="25"/>
        <v>6322</v>
      </c>
      <c r="J133" s="273"/>
      <c r="K133" s="273"/>
      <c r="L133" s="323"/>
      <c r="M133" s="704"/>
      <c r="N133" s="488"/>
    </row>
    <row r="134" spans="1:14" s="318" customFormat="1" ht="9.9499999999999993" customHeight="1" x14ac:dyDescent="0.2">
      <c r="A134" s="704" t="s">
        <v>850</v>
      </c>
      <c r="B134" s="317"/>
      <c r="C134" s="488">
        <v>65</v>
      </c>
      <c r="D134" s="324"/>
      <c r="E134" s="1068"/>
      <c r="F134" s="324"/>
      <c r="G134" s="273">
        <f>SUM('Nonmajor Ent BS'!K133)</f>
        <v>0</v>
      </c>
      <c r="H134" s="273"/>
      <c r="I134" s="273">
        <f t="shared" si="25"/>
        <v>65</v>
      </c>
      <c r="J134" s="273"/>
      <c r="K134" s="273"/>
      <c r="L134" s="323"/>
      <c r="M134" s="704"/>
      <c r="N134" s="488"/>
    </row>
    <row r="135" spans="1:14" s="318" customFormat="1" ht="9.9499999999999993" customHeight="1" x14ac:dyDescent="0.2">
      <c r="A135" s="704" t="s">
        <v>692</v>
      </c>
      <c r="B135" s="317"/>
      <c r="C135" s="488">
        <v>576</v>
      </c>
      <c r="D135" s="324"/>
      <c r="E135" s="273"/>
      <c r="F135" s="324"/>
      <c r="G135" s="273">
        <f>SUM('Nonmajor Ent BS'!K134)</f>
        <v>0</v>
      </c>
      <c r="H135" s="273"/>
      <c r="I135" s="273">
        <f t="shared" si="25"/>
        <v>576</v>
      </c>
      <c r="J135" s="273"/>
      <c r="K135" s="273"/>
      <c r="L135" s="323"/>
      <c r="M135" s="704"/>
      <c r="N135" s="488"/>
    </row>
    <row r="136" spans="1:14" s="318" customFormat="1" ht="9.9499999999999993" customHeight="1" x14ac:dyDescent="0.2">
      <c r="A136" s="1069" t="s">
        <v>1222</v>
      </c>
      <c r="B136" s="317"/>
      <c r="C136" s="273"/>
      <c r="D136" s="324"/>
      <c r="E136" s="273"/>
      <c r="F136" s="324"/>
      <c r="G136" s="273">
        <f>SUM('Nonmajor Ent BS'!K135)</f>
        <v>0</v>
      </c>
      <c r="H136" s="273"/>
      <c r="I136" s="273">
        <f t="shared" si="25"/>
        <v>0</v>
      </c>
      <c r="J136" s="273"/>
      <c r="K136" s="273"/>
      <c r="L136" s="323"/>
      <c r="M136" s="704"/>
      <c r="N136" s="488"/>
    </row>
    <row r="137" spans="1:14" s="318" customFormat="1" ht="9.9499999999999993" customHeight="1" x14ac:dyDescent="0.2">
      <c r="A137" s="1104" t="s">
        <v>1223</v>
      </c>
      <c r="C137" s="638">
        <v>24407</v>
      </c>
      <c r="D137" s="1067"/>
      <c r="E137" s="1068"/>
      <c r="F137" s="1067"/>
      <c r="G137" s="273">
        <f>SUM('Nonmajor Ent BS'!K136)</f>
        <v>324</v>
      </c>
      <c r="H137" s="1068"/>
      <c r="I137" s="273">
        <f t="shared" si="25"/>
        <v>24731</v>
      </c>
      <c r="J137" s="1068"/>
      <c r="K137" s="1068">
        <f>'ISF-SONP'!O110</f>
        <v>222</v>
      </c>
      <c r="L137" s="323"/>
      <c r="M137" s="704"/>
      <c r="N137" s="488"/>
    </row>
    <row r="138" spans="1:14" s="318" customFormat="1" ht="9.9499999999999993" hidden="1" customHeight="1" x14ac:dyDescent="0.2">
      <c r="A138" s="705" t="s">
        <v>604</v>
      </c>
      <c r="B138" s="317"/>
      <c r="C138" s="488"/>
      <c r="D138" s="324"/>
      <c r="E138" s="273"/>
      <c r="F138" s="324"/>
      <c r="G138" s="273">
        <f>SUM('Nonmajor Ent BS'!K137)</f>
        <v>0</v>
      </c>
      <c r="H138" s="273"/>
      <c r="I138" s="273">
        <f t="shared" si="25"/>
        <v>0</v>
      </c>
      <c r="J138" s="273"/>
      <c r="K138" s="273"/>
      <c r="L138" s="323"/>
      <c r="M138" s="704"/>
      <c r="N138" s="488"/>
    </row>
    <row r="139" spans="1:14" s="318" customFormat="1" ht="9.9499999999999993" hidden="1" customHeight="1" x14ac:dyDescent="0.2">
      <c r="A139" s="705" t="s">
        <v>1217</v>
      </c>
      <c r="B139" s="317"/>
      <c r="C139" s="488"/>
      <c r="D139" s="324"/>
      <c r="E139" s="273"/>
      <c r="F139" s="324"/>
      <c r="G139" s="273"/>
      <c r="H139" s="273"/>
      <c r="I139" s="273">
        <f t="shared" si="25"/>
        <v>0</v>
      </c>
      <c r="J139" s="273"/>
      <c r="K139" s="273"/>
      <c r="L139" s="323"/>
      <c r="M139" s="577"/>
      <c r="N139" s="496"/>
    </row>
    <row r="140" spans="1:14" s="318" customFormat="1" ht="9.9499999999999993" hidden="1" customHeight="1" x14ac:dyDescent="0.2">
      <c r="A140" s="704" t="s">
        <v>636</v>
      </c>
      <c r="B140" s="317"/>
      <c r="C140" s="488"/>
      <c r="D140" s="324"/>
      <c r="E140" s="273"/>
      <c r="F140" s="324"/>
      <c r="G140" s="273">
        <f>'Nonmajor Ent BS'!K138</f>
        <v>0</v>
      </c>
      <c r="H140" s="273"/>
      <c r="I140" s="273">
        <f t="shared" si="25"/>
        <v>0</v>
      </c>
      <c r="J140" s="273"/>
      <c r="K140" s="273"/>
      <c r="L140" s="323"/>
      <c r="M140" s="702"/>
      <c r="N140" s="341"/>
    </row>
    <row r="141" spans="1:14" s="318" customFormat="1" ht="9.9499999999999993" customHeight="1" x14ac:dyDescent="0.2">
      <c r="A141" s="704" t="s">
        <v>693</v>
      </c>
      <c r="B141" s="317"/>
      <c r="C141" s="324">
        <v>16686</v>
      </c>
      <c r="D141" s="324"/>
      <c r="E141" s="273">
        <v>0</v>
      </c>
      <c r="F141" s="324"/>
      <c r="G141" s="273">
        <f>SUM('Nonmajor Ent BS'!K140)</f>
        <v>0</v>
      </c>
      <c r="H141" s="273"/>
      <c r="I141" s="273">
        <f t="shared" si="25"/>
        <v>16686</v>
      </c>
      <c r="J141" s="273"/>
      <c r="K141" s="273"/>
      <c r="L141" s="323"/>
      <c r="M141" s="349"/>
      <c r="N141" s="273"/>
    </row>
    <row r="142" spans="1:14" s="318" customFormat="1" ht="5.0999999999999996" customHeight="1" x14ac:dyDescent="0.2">
      <c r="A142" s="577"/>
      <c r="C142" s="496"/>
      <c r="D142" s="324"/>
      <c r="E142" s="340"/>
      <c r="F142" s="324"/>
      <c r="G142" s="340"/>
      <c r="H142" s="273"/>
      <c r="I142" s="340"/>
      <c r="J142" s="273"/>
      <c r="K142" s="340"/>
      <c r="L142" s="323"/>
      <c r="M142" s="707"/>
      <c r="N142" s="341"/>
    </row>
    <row r="143" spans="1:14" s="492" customFormat="1" ht="11.1" customHeight="1" x14ac:dyDescent="0.2">
      <c r="A143" s="702" t="s">
        <v>1105</v>
      </c>
      <c r="C143" s="341">
        <f>SUM(C131:C141)</f>
        <v>58553</v>
      </c>
      <c r="D143" s="273"/>
      <c r="E143" s="341">
        <f>SUM(E131:E141)</f>
        <v>0</v>
      </c>
      <c r="F143" s="273"/>
      <c r="G143" s="341">
        <f>SUM(G131:G141)</f>
        <v>362</v>
      </c>
      <c r="H143" s="273"/>
      <c r="I143" s="341">
        <f>SUM(I131:I141)</f>
        <v>58915</v>
      </c>
      <c r="J143" s="273"/>
      <c r="K143" s="341">
        <f>SUM(K131:K141)</f>
        <v>222</v>
      </c>
      <c r="L143" s="254"/>
      <c r="M143" s="577"/>
      <c r="N143" s="324"/>
    </row>
    <row r="144" spans="1:14" s="492" customFormat="1" ht="5.0999999999999996" customHeight="1" x14ac:dyDescent="0.2">
      <c r="A144" s="349"/>
      <c r="B144" s="352"/>
      <c r="C144" s="273"/>
      <c r="D144" s="273"/>
      <c r="E144" s="340"/>
      <c r="F144" s="273"/>
      <c r="G144" s="273"/>
      <c r="H144" s="273"/>
      <c r="I144" s="273"/>
      <c r="J144" s="273"/>
      <c r="K144" s="273"/>
      <c r="L144" s="254"/>
      <c r="M144" s="701"/>
      <c r="N144" s="324"/>
    </row>
    <row r="145" spans="1:14" s="492" customFormat="1" ht="11.1" customHeight="1" x14ac:dyDescent="0.2">
      <c r="A145" s="707" t="s">
        <v>81</v>
      </c>
      <c r="C145" s="341">
        <f>C128+C143</f>
        <v>80232</v>
      </c>
      <c r="D145" s="273"/>
      <c r="E145" s="341">
        <f>E128+E143</f>
        <v>10187</v>
      </c>
      <c r="F145" s="273"/>
      <c r="G145" s="341">
        <f>G128+G143</f>
        <v>8143</v>
      </c>
      <c r="H145" s="273"/>
      <c r="I145" s="341">
        <f>I128+I143</f>
        <v>98562</v>
      </c>
      <c r="J145" s="273"/>
      <c r="K145" s="341">
        <f>K128+K143</f>
        <v>69023</v>
      </c>
      <c r="L145" s="254"/>
      <c r="M145" s="703"/>
      <c r="N145" s="488"/>
    </row>
    <row r="146" spans="1:14" s="318" customFormat="1" ht="5.0999999999999996" customHeight="1" x14ac:dyDescent="0.2">
      <c r="A146" s="577"/>
      <c r="B146" s="482"/>
      <c r="C146" s="324"/>
      <c r="D146" s="324"/>
      <c r="E146" s="273"/>
      <c r="F146" s="324"/>
      <c r="G146" s="273"/>
      <c r="H146" s="273"/>
      <c r="I146" s="273"/>
      <c r="J146" s="273"/>
      <c r="K146" s="273"/>
      <c r="L146" s="323"/>
      <c r="M146" s="703"/>
      <c r="N146" s="488"/>
    </row>
    <row r="147" spans="1:14" s="318" customFormat="1" ht="9.9499999999999993" customHeight="1" x14ac:dyDescent="0.2">
      <c r="A147" s="701" t="s">
        <v>1038</v>
      </c>
      <c r="B147" s="317"/>
      <c r="C147" s="324"/>
      <c r="D147" s="324"/>
      <c r="E147" s="273"/>
      <c r="F147" s="324"/>
      <c r="G147" s="273"/>
      <c r="H147" s="273"/>
      <c r="I147" s="273"/>
      <c r="J147" s="273"/>
      <c r="K147" s="273"/>
      <c r="L147" s="323"/>
      <c r="M147" s="703"/>
      <c r="N147" s="488"/>
    </row>
    <row r="148" spans="1:14" s="318" customFormat="1" ht="9.9499999999999993" customHeight="1" x14ac:dyDescent="0.2">
      <c r="A148" s="703" t="s">
        <v>1224</v>
      </c>
      <c r="B148" s="317"/>
      <c r="C148" s="324"/>
      <c r="D148" s="324"/>
      <c r="E148" s="273"/>
      <c r="F148" s="324"/>
      <c r="G148" s="273"/>
      <c r="H148" s="273"/>
      <c r="I148" s="273"/>
      <c r="J148" s="273"/>
      <c r="K148" s="273"/>
      <c r="L148" s="323"/>
      <c r="M148" s="703"/>
      <c r="N148" s="488"/>
    </row>
    <row r="149" spans="1:14" s="318" customFormat="1" ht="9.9499999999999993" customHeight="1" x14ac:dyDescent="0.2">
      <c r="A149" s="704" t="s">
        <v>1418</v>
      </c>
      <c r="B149" s="317"/>
      <c r="C149" s="451">
        <v>563486</v>
      </c>
      <c r="D149" s="1067"/>
      <c r="E149" s="1068"/>
      <c r="F149" s="1067"/>
      <c r="G149" s="451">
        <f>'Nonmajor Ent BS'!K148</f>
        <v>5439</v>
      </c>
      <c r="H149" s="1068"/>
      <c r="I149" s="273">
        <f t="shared" ref="I149:I160" si="26">SUM(C149:G149)</f>
        <v>568925</v>
      </c>
      <c r="J149" s="273"/>
      <c r="K149" s="273">
        <f>+'ISF-SONP'!O118</f>
        <v>4008</v>
      </c>
      <c r="L149" s="323"/>
      <c r="M149" s="703"/>
      <c r="N149" s="488"/>
    </row>
    <row r="150" spans="1:14" s="318" customFormat="1" ht="9.9499999999999993" hidden="1" customHeight="1" x14ac:dyDescent="0.2">
      <c r="A150" s="703" t="s">
        <v>1107</v>
      </c>
      <c r="B150" s="317"/>
      <c r="C150" s="488"/>
      <c r="D150" s="324"/>
      <c r="E150" s="273"/>
      <c r="F150" s="324"/>
      <c r="G150" s="451">
        <f>'Nonmajor Ent BS'!K149</f>
        <v>0</v>
      </c>
      <c r="H150" s="273"/>
      <c r="I150" s="273">
        <f t="shared" si="26"/>
        <v>0</v>
      </c>
      <c r="J150" s="273"/>
      <c r="K150" s="273"/>
      <c r="L150" s="323"/>
      <c r="M150" s="703"/>
      <c r="N150" s="488"/>
    </row>
    <row r="151" spans="1:14" s="318" customFormat="1" ht="9.9499999999999993" hidden="1" customHeight="1" x14ac:dyDescent="0.2">
      <c r="A151" s="703" t="s">
        <v>356</v>
      </c>
      <c r="B151" s="317"/>
      <c r="C151" s="488"/>
      <c r="D151" s="324"/>
      <c r="E151" s="273"/>
      <c r="F151" s="324"/>
      <c r="G151" s="451">
        <f>'Nonmajor Ent BS'!K150</f>
        <v>0</v>
      </c>
      <c r="H151" s="273"/>
      <c r="I151" s="273">
        <f t="shared" si="26"/>
        <v>0</v>
      </c>
      <c r="J151" s="273"/>
      <c r="L151" s="323"/>
      <c r="M151" s="703"/>
      <c r="N151" s="488"/>
    </row>
    <row r="152" spans="1:14" s="318" customFormat="1" ht="9.9499999999999993" customHeight="1" x14ac:dyDescent="0.2">
      <c r="A152" s="703" t="s">
        <v>1295</v>
      </c>
      <c r="B152" s="317"/>
      <c r="D152" s="324"/>
      <c r="E152" s="273"/>
      <c r="F152" s="324"/>
      <c r="G152" s="451">
        <f>'Nonmajor Ent BS'!K151</f>
        <v>0</v>
      </c>
      <c r="H152" s="273"/>
      <c r="I152" s="273">
        <f t="shared" si="26"/>
        <v>0</v>
      </c>
      <c r="J152" s="273"/>
      <c r="K152" s="273">
        <f>SUM('ISF-SONP'!O119)</f>
        <v>59417</v>
      </c>
      <c r="L152" s="323"/>
      <c r="M152" s="703"/>
      <c r="N152" s="488"/>
    </row>
    <row r="153" spans="1:14" s="318" customFormat="1" ht="9.9499999999999993" customHeight="1" x14ac:dyDescent="0.2">
      <c r="A153" s="703" t="s">
        <v>357</v>
      </c>
      <c r="B153" s="317"/>
      <c r="C153" s="488">
        <f>1219+6</f>
        <v>1225</v>
      </c>
      <c r="D153" s="324"/>
      <c r="E153" s="273">
        <v>660</v>
      </c>
      <c r="F153" s="324"/>
      <c r="G153" s="451">
        <f>'Nonmajor Ent BS'!K152</f>
        <v>35</v>
      </c>
      <c r="H153" s="273"/>
      <c r="I153" s="273">
        <f t="shared" si="26"/>
        <v>1920</v>
      </c>
      <c r="J153" s="273"/>
      <c r="K153" s="273">
        <f>SUM('ISF-SONP'!O120)</f>
        <v>1835</v>
      </c>
      <c r="L153" s="323"/>
      <c r="M153" s="703"/>
      <c r="N153" s="488"/>
    </row>
    <row r="154" spans="1:14" s="318" customFormat="1" ht="9.9499999999999993" customHeight="1" x14ac:dyDescent="0.2">
      <c r="A154" s="703" t="s">
        <v>1587</v>
      </c>
      <c r="B154" s="317"/>
      <c r="C154" s="488">
        <v>11053</v>
      </c>
      <c r="D154" s="324"/>
      <c r="E154" s="273">
        <v>67</v>
      </c>
      <c r="F154" s="324"/>
      <c r="G154" s="451">
        <f>'Nonmajor Ent BS'!K153</f>
        <v>10</v>
      </c>
      <c r="H154" s="273"/>
      <c r="I154" s="273">
        <f t="shared" si="26"/>
        <v>11130</v>
      </c>
      <c r="J154" s="273"/>
      <c r="K154" s="273">
        <f>SUM('ISF-SONP'!O121)</f>
        <v>28092</v>
      </c>
      <c r="L154" s="323"/>
      <c r="M154" s="709"/>
      <c r="N154" s="496"/>
    </row>
    <row r="155" spans="1:14" s="318" customFormat="1" ht="9.9499999999999993" customHeight="1" x14ac:dyDescent="0.2">
      <c r="A155" s="703" t="s">
        <v>1648</v>
      </c>
      <c r="B155" s="317"/>
      <c r="C155" s="488">
        <v>4877</v>
      </c>
      <c r="D155" s="324"/>
      <c r="E155" s="273"/>
      <c r="F155" s="324"/>
      <c r="G155" s="451">
        <f>'Nonmajor Ent BS'!K154</f>
        <v>926</v>
      </c>
      <c r="H155" s="273"/>
      <c r="I155" s="273">
        <f t="shared" si="26"/>
        <v>5803</v>
      </c>
      <c r="J155" s="273"/>
      <c r="K155" s="273">
        <f>SUM('ISF-SONP'!O122)</f>
        <v>13157</v>
      </c>
      <c r="L155" s="323"/>
      <c r="M155" s="709"/>
      <c r="N155" s="324"/>
    </row>
    <row r="156" spans="1:14" s="318" customFormat="1" ht="9.9499999999999993" customHeight="1" x14ac:dyDescent="0.2">
      <c r="A156" s="703" t="s">
        <v>1601</v>
      </c>
      <c r="B156" s="317"/>
      <c r="C156" s="488">
        <v>290</v>
      </c>
      <c r="D156" s="324"/>
      <c r="E156" s="273">
        <v>6797</v>
      </c>
      <c r="F156" s="324"/>
      <c r="G156" s="451">
        <f>'Nonmajor Ent BS'!K155</f>
        <v>0</v>
      </c>
      <c r="H156" s="273"/>
      <c r="I156" s="273">
        <f t="shared" si="26"/>
        <v>7087</v>
      </c>
      <c r="J156" s="273"/>
      <c r="K156" s="273">
        <f>SUM('ISF-SONP'!O123)</f>
        <v>0</v>
      </c>
      <c r="L156" s="323"/>
      <c r="M156" s="709"/>
      <c r="N156" s="324"/>
    </row>
    <row r="157" spans="1:14" s="318" customFormat="1" ht="9.9499999999999993" customHeight="1" x14ac:dyDescent="0.2">
      <c r="A157" s="703" t="s">
        <v>1343</v>
      </c>
      <c r="B157" s="317"/>
      <c r="C157" s="488">
        <v>58439</v>
      </c>
      <c r="D157" s="324"/>
      <c r="E157" s="273">
        <v>67001</v>
      </c>
      <c r="F157" s="324"/>
      <c r="G157" s="451">
        <f>'Nonmajor Ent BS'!K156</f>
        <v>42907</v>
      </c>
      <c r="H157" s="273"/>
      <c r="I157" s="273">
        <f t="shared" si="26"/>
        <v>168347</v>
      </c>
      <c r="J157" s="273"/>
      <c r="K157" s="273">
        <f>SUM('ISF-SONP'!O124)</f>
        <v>120182</v>
      </c>
      <c r="L157" s="323"/>
      <c r="M157" s="707"/>
      <c r="N157" s="341"/>
    </row>
    <row r="158" spans="1:14" s="318" customFormat="1" ht="9.9499999999999993" customHeight="1" x14ac:dyDescent="0.2">
      <c r="A158" s="703" t="s">
        <v>1272</v>
      </c>
      <c r="B158" s="317"/>
      <c r="C158" s="488">
        <v>1274</v>
      </c>
      <c r="D158" s="324"/>
      <c r="E158" s="273"/>
      <c r="F158" s="324"/>
      <c r="G158" s="451">
        <f>'Nonmajor Ent BS'!K157</f>
        <v>0</v>
      </c>
      <c r="H158" s="273"/>
      <c r="I158" s="273">
        <f t="shared" si="26"/>
        <v>1274</v>
      </c>
      <c r="J158" s="273"/>
      <c r="K158" s="273">
        <f>'ISF-SONP'!K126</f>
        <v>0</v>
      </c>
      <c r="L158" s="323"/>
      <c r="M158" s="253"/>
      <c r="N158" s="273"/>
    </row>
    <row r="159" spans="1:14" s="318" customFormat="1" ht="9.9499999999999993" customHeight="1" x14ac:dyDescent="0.2">
      <c r="A159" s="703" t="s">
        <v>1448</v>
      </c>
      <c r="B159" s="317"/>
      <c r="C159" s="488">
        <v>786</v>
      </c>
      <c r="D159" s="324"/>
      <c r="E159" s="273"/>
      <c r="F159" s="324"/>
      <c r="G159" s="451">
        <f>'Nonmajor Ent BS'!K158</f>
        <v>0</v>
      </c>
      <c r="H159" s="273"/>
      <c r="I159" s="273">
        <f t="shared" si="26"/>
        <v>786</v>
      </c>
      <c r="J159" s="273"/>
      <c r="K159" s="273">
        <f>'ISF-SONP'!O125</f>
        <v>1825</v>
      </c>
      <c r="L159" s="323"/>
      <c r="M159" s="253"/>
      <c r="N159" s="273"/>
    </row>
    <row r="160" spans="1:14" s="318" customFormat="1" ht="9.9499999999999993" hidden="1" customHeight="1" x14ac:dyDescent="0.2">
      <c r="A160" s="703" t="s">
        <v>1214</v>
      </c>
      <c r="B160" s="317"/>
      <c r="C160" s="1067"/>
      <c r="D160" s="324"/>
      <c r="E160" s="1068"/>
      <c r="F160" s="324"/>
      <c r="G160" s="273">
        <f>'Nonmajor Ent BS'!K159</f>
        <v>0</v>
      </c>
      <c r="H160" s="273"/>
      <c r="I160" s="273">
        <f t="shared" si="26"/>
        <v>0</v>
      </c>
      <c r="J160" s="273"/>
      <c r="K160" s="273"/>
      <c r="L160" s="323"/>
      <c r="M160" s="349"/>
      <c r="N160" s="273"/>
    </row>
    <row r="161" spans="1:16" s="318" customFormat="1" ht="5.0999999999999996" customHeight="1" x14ac:dyDescent="0.2">
      <c r="A161" s="253"/>
      <c r="B161" s="317"/>
      <c r="C161" s="496"/>
      <c r="D161" s="324"/>
      <c r="E161" s="340"/>
      <c r="F161" s="324"/>
      <c r="G161" s="496"/>
      <c r="H161" s="324"/>
      <c r="I161" s="496"/>
      <c r="J161" s="324"/>
      <c r="K161" s="496"/>
      <c r="L161" s="323"/>
      <c r="M161" s="317"/>
      <c r="N161" s="324"/>
    </row>
    <row r="162" spans="1:16" s="318" customFormat="1" ht="9.9499999999999993" customHeight="1" x14ac:dyDescent="0.2">
      <c r="A162" s="707" t="s">
        <v>82</v>
      </c>
      <c r="B162" s="317"/>
      <c r="C162" s="324">
        <f>SUM(C148:C160)</f>
        <v>641430</v>
      </c>
      <c r="D162" s="324"/>
      <c r="E162" s="341">
        <f>SUM(E149:E160)</f>
        <v>74525</v>
      </c>
      <c r="F162" s="324"/>
      <c r="G162" s="324">
        <f>SUM(G148:G160)</f>
        <v>49317</v>
      </c>
      <c r="H162" s="324"/>
      <c r="I162" s="324">
        <f>SUM(I148:I160)</f>
        <v>765272</v>
      </c>
      <c r="J162" s="324"/>
      <c r="K162" s="324">
        <f>SUM(K148:K160)</f>
        <v>228516</v>
      </c>
      <c r="L162" s="323"/>
      <c r="M162" s="322"/>
      <c r="N162" s="324"/>
    </row>
    <row r="163" spans="1:16" s="318" customFormat="1" ht="5.0999999999999996" customHeight="1" x14ac:dyDescent="0.2">
      <c r="A163" s="253"/>
      <c r="B163" s="317"/>
      <c r="C163" s="496"/>
      <c r="D163" s="324"/>
      <c r="E163" s="340"/>
      <c r="F163" s="324"/>
      <c r="G163" s="340"/>
      <c r="H163" s="273"/>
      <c r="I163" s="340"/>
      <c r="J163" s="273"/>
      <c r="K163" s="340"/>
      <c r="L163" s="323"/>
      <c r="M163" s="577"/>
      <c r="N163" s="488"/>
      <c r="O163" s="572"/>
      <c r="P163" s="572"/>
    </row>
    <row r="164" spans="1:16" s="492" customFormat="1" ht="11.1" customHeight="1" x14ac:dyDescent="0.2">
      <c r="A164" s="353" t="s">
        <v>702</v>
      </c>
      <c r="C164" s="341">
        <f>+C162+C145</f>
        <v>721662</v>
      </c>
      <c r="D164" s="273"/>
      <c r="E164" s="341">
        <f>E128+E162+E143</f>
        <v>84712</v>
      </c>
      <c r="F164" s="273"/>
      <c r="G164" s="341">
        <f>+G162+G145</f>
        <v>57460</v>
      </c>
      <c r="H164" s="273"/>
      <c r="I164" s="341">
        <f>+I162+I145</f>
        <v>863834</v>
      </c>
      <c r="J164" s="273"/>
      <c r="K164" s="341">
        <f>+K162+K145</f>
        <v>297539</v>
      </c>
      <c r="L164" s="254"/>
      <c r="M164" s="577"/>
      <c r="N164" s="488"/>
      <c r="O164" s="314"/>
      <c r="P164" s="314"/>
    </row>
    <row r="165" spans="1:16" s="492" customFormat="1" ht="5.0999999999999996" customHeight="1" x14ac:dyDescent="0.2">
      <c r="A165" s="577"/>
      <c r="B165" s="324"/>
      <c r="C165" s="324"/>
      <c r="D165" s="481"/>
      <c r="E165" s="340"/>
      <c r="F165" s="481"/>
      <c r="G165" s="324"/>
      <c r="H165" s="273"/>
      <c r="I165" s="273"/>
      <c r="J165" s="273"/>
      <c r="K165" s="273"/>
      <c r="L165" s="254"/>
      <c r="M165" s="701"/>
      <c r="N165" s="494"/>
    </row>
    <row r="166" spans="1:16" s="492" customFormat="1" ht="11.1" customHeight="1" x14ac:dyDescent="0.2">
      <c r="A166" s="353" t="s">
        <v>1209</v>
      </c>
      <c r="C166" s="341">
        <v>91091</v>
      </c>
      <c r="D166" s="273"/>
      <c r="E166" s="341">
        <v>22331</v>
      </c>
      <c r="F166" s="273"/>
      <c r="G166" s="341">
        <f>'Nonmajor Ent BS'!K165</f>
        <v>21475</v>
      </c>
      <c r="H166" s="273"/>
      <c r="I166" s="1105">
        <f>SUM(C166:G166)</f>
        <v>134897</v>
      </c>
      <c r="J166" s="273"/>
      <c r="K166" s="341">
        <f>'ISF-SONP'!O132</f>
        <v>34901</v>
      </c>
      <c r="L166" s="254"/>
      <c r="M166" s="577"/>
      <c r="N166" s="488"/>
      <c r="O166" s="314"/>
      <c r="P166" s="314"/>
    </row>
    <row r="167" spans="1:16" s="492" customFormat="1" ht="5.0999999999999996" customHeight="1" x14ac:dyDescent="0.2">
      <c r="A167" s="317"/>
      <c r="B167" s="353"/>
      <c r="C167" s="273"/>
      <c r="D167" s="273"/>
      <c r="E167" s="273"/>
      <c r="F167" s="273"/>
      <c r="G167" s="273"/>
      <c r="H167" s="273"/>
      <c r="I167" s="273"/>
      <c r="J167" s="273"/>
      <c r="K167" s="273"/>
      <c r="L167" s="254"/>
      <c r="M167" s="703"/>
      <c r="N167" s="488"/>
      <c r="O167" s="816"/>
      <c r="P167" s="314"/>
    </row>
    <row r="168" spans="1:16" s="318" customFormat="1" ht="9.9499999999999993" customHeight="1" x14ac:dyDescent="0.2">
      <c r="A168" s="322" t="s">
        <v>1482</v>
      </c>
      <c r="B168" s="480"/>
      <c r="C168" s="324"/>
      <c r="D168" s="324"/>
      <c r="E168" s="273"/>
      <c r="F168" s="324"/>
      <c r="G168" s="273"/>
      <c r="H168" s="273"/>
      <c r="I168" s="273"/>
      <c r="J168" s="273"/>
      <c r="K168" s="273"/>
      <c r="L168" s="317"/>
      <c r="M168" s="703"/>
      <c r="N168" s="488"/>
      <c r="O168" s="816"/>
      <c r="P168" s="572"/>
    </row>
    <row r="169" spans="1:16" s="318" customFormat="1" ht="9.9499999999999993" customHeight="1" x14ac:dyDescent="0.2">
      <c r="A169" s="577" t="s">
        <v>1110</v>
      </c>
      <c r="B169" s="317"/>
      <c r="C169" s="324">
        <v>288753</v>
      </c>
      <c r="D169" s="324"/>
      <c r="E169" s="273">
        <v>11803</v>
      </c>
      <c r="F169" s="324"/>
      <c r="G169" s="323">
        <f>SUM('Nonmajor Ent BS'!K168)</f>
        <v>22004</v>
      </c>
      <c r="H169" s="273"/>
      <c r="I169" s="273">
        <f>SUM(C169:G169)</f>
        <v>322560</v>
      </c>
      <c r="J169" s="273"/>
      <c r="K169" s="273">
        <f>SUM('ISF-SONP'!O135)</f>
        <v>140016</v>
      </c>
      <c r="L169" s="323"/>
      <c r="M169" s="577"/>
      <c r="N169" s="493"/>
      <c r="O169" s="816"/>
      <c r="P169" s="572"/>
    </row>
    <row r="170" spans="1:16" s="318" customFormat="1" ht="9.9499999999999993" customHeight="1" x14ac:dyDescent="0.2">
      <c r="A170" s="577" t="s">
        <v>83</v>
      </c>
      <c r="B170" s="482"/>
      <c r="C170" s="324"/>
      <c r="D170" s="324"/>
      <c r="E170" s="273"/>
      <c r="F170" s="324"/>
      <c r="G170" s="324">
        <f>SUM('Nonmajor Ent BS'!K169)</f>
        <v>0</v>
      </c>
      <c r="H170" s="273"/>
      <c r="I170" s="273">
        <f>SUM(C170:G170)</f>
        <v>0</v>
      </c>
      <c r="J170" s="273"/>
      <c r="K170" s="273"/>
      <c r="L170" s="323"/>
      <c r="N170" s="488"/>
      <c r="O170" s="816"/>
      <c r="P170" s="572"/>
    </row>
    <row r="171" spans="1:16" s="318" customFormat="1" ht="9.9499999999999993" customHeight="1" thickBot="1" x14ac:dyDescent="0.25">
      <c r="A171" s="703" t="s">
        <v>756</v>
      </c>
      <c r="B171" s="482"/>
      <c r="C171" s="324">
        <v>38270</v>
      </c>
      <c r="D171" s="324"/>
      <c r="E171" s="273"/>
      <c r="F171" s="324"/>
      <c r="G171" s="323">
        <f>SUM('Nonmajor Ent BS'!K170)</f>
        <v>421</v>
      </c>
      <c r="H171" s="273"/>
      <c r="I171" s="273">
        <f>SUM(C171:G171)</f>
        <v>38691</v>
      </c>
      <c r="J171" s="273"/>
      <c r="K171" s="273">
        <f>SUM('ISF-SONP'!O137)</f>
        <v>44</v>
      </c>
      <c r="L171" s="323"/>
      <c r="M171" s="353"/>
      <c r="N171" s="344"/>
      <c r="O171" s="816"/>
      <c r="P171" s="572"/>
    </row>
    <row r="172" spans="1:16" s="318" customFormat="1" ht="9.9499999999999993" customHeight="1" thickTop="1" x14ac:dyDescent="0.2">
      <c r="A172" s="703" t="s">
        <v>706</v>
      </c>
      <c r="C172" s="324">
        <v>266323</v>
      </c>
      <c r="D172" s="324"/>
      <c r="E172" s="273"/>
      <c r="F172" s="324"/>
      <c r="G172" s="324">
        <f>SUM('Nonmajor Ent BS'!K171)</f>
        <v>1505</v>
      </c>
      <c r="H172" s="273"/>
      <c r="I172" s="273">
        <f>SUM(C172:G172)</f>
        <v>267828</v>
      </c>
      <c r="J172" s="273"/>
      <c r="K172" s="273">
        <f>SUM('ISF-SONP'!O138)</f>
        <v>150</v>
      </c>
      <c r="L172" s="323"/>
      <c r="M172" s="253"/>
      <c r="N172" s="323"/>
      <c r="O172" s="572"/>
      <c r="P172" s="572"/>
    </row>
    <row r="173" spans="1:16" s="318" customFormat="1" ht="9.9499999999999993" customHeight="1" x14ac:dyDescent="0.2">
      <c r="A173" s="577" t="s">
        <v>1273</v>
      </c>
      <c r="B173" s="482"/>
      <c r="C173" s="494">
        <v>-3799</v>
      </c>
      <c r="D173" s="324"/>
      <c r="E173" s="341">
        <v>-59675</v>
      </c>
      <c r="F173" s="324"/>
      <c r="G173" s="323">
        <f>SUM('Nonmajor Ent BS'!K172)</f>
        <v>-14524</v>
      </c>
      <c r="H173" s="273"/>
      <c r="I173" s="273">
        <f>SUM(C173:G173)</f>
        <v>-77998</v>
      </c>
      <c r="J173" s="273"/>
      <c r="K173" s="341">
        <f>SUM('ISF-SONP'!O139)</f>
        <v>30346</v>
      </c>
      <c r="L173" s="323"/>
      <c r="M173" s="253"/>
      <c r="N173" s="323"/>
      <c r="O173" s="572"/>
      <c r="P173" s="572"/>
    </row>
    <row r="174" spans="1:16" s="318" customFormat="1" ht="5.0999999999999996" customHeight="1" x14ac:dyDescent="0.2">
      <c r="B174" s="482"/>
      <c r="C174" s="324"/>
      <c r="D174" s="324"/>
      <c r="E174" s="273"/>
      <c r="F174" s="324"/>
      <c r="G174" s="340"/>
      <c r="H174" s="273"/>
      <c r="I174" s="340"/>
      <c r="J174" s="273"/>
      <c r="K174" s="273"/>
      <c r="L174" s="323"/>
      <c r="M174" s="497"/>
      <c r="N174" s="681"/>
      <c r="O174" s="572"/>
      <c r="P174" s="572"/>
    </row>
    <row r="175" spans="1:16" s="492" customFormat="1" ht="11.1" customHeight="1" thickBot="1" x14ac:dyDescent="0.25">
      <c r="A175" s="353" t="s">
        <v>1483</v>
      </c>
      <c r="C175" s="344">
        <f>SUM(C169:C173)</f>
        <v>589547</v>
      </c>
      <c r="D175" s="323"/>
      <c r="E175" s="344">
        <f>SUM(E169:E173)</f>
        <v>-47872</v>
      </c>
      <c r="F175" s="323"/>
      <c r="G175" s="344">
        <f>SUM(G169:G173)</f>
        <v>9406</v>
      </c>
      <c r="H175" s="254"/>
      <c r="I175" s="578">
        <f>SUM(I169:I173)</f>
        <v>551081</v>
      </c>
      <c r="J175" s="254"/>
      <c r="K175" s="344">
        <f>SUM(K169:K173)</f>
        <v>170556</v>
      </c>
      <c r="L175" s="253"/>
      <c r="M175" s="497"/>
      <c r="N175" s="681"/>
      <c r="O175" s="314"/>
      <c r="P175" s="314"/>
    </row>
    <row r="176" spans="1:16" s="492" customFormat="1" ht="5.0999999999999996" customHeight="1" thickTop="1" x14ac:dyDescent="0.2">
      <c r="A176" s="317"/>
      <c r="B176" s="253"/>
      <c r="C176" s="323"/>
      <c r="D176" s="323"/>
      <c r="E176" s="323"/>
      <c r="F176" s="323"/>
      <c r="G176" s="254"/>
      <c r="H176" s="254"/>
      <c r="I176" s="254"/>
      <c r="J176" s="254"/>
      <c r="K176" s="254"/>
      <c r="L176" s="253"/>
      <c r="M176" s="318"/>
      <c r="N176" s="681"/>
      <c r="O176" s="314"/>
      <c r="P176" s="314"/>
    </row>
    <row r="177" spans="1:16" s="492" customFormat="1" ht="11.1" customHeight="1" x14ac:dyDescent="0.2">
      <c r="A177" s="482" t="s">
        <v>85</v>
      </c>
      <c r="B177" s="317"/>
      <c r="C177" s="317"/>
      <c r="D177" s="317"/>
      <c r="E177" s="317"/>
      <c r="F177" s="317"/>
      <c r="G177" s="317"/>
      <c r="H177" s="254"/>
      <c r="I177" s="487">
        <f>+SONPws!CD116+1026*0</f>
        <v>-15202</v>
      </c>
      <c r="J177" s="254"/>
      <c r="K177" s="254"/>
      <c r="L177" s="253"/>
      <c r="M177" s="422"/>
      <c r="N177" s="422"/>
      <c r="O177" s="314"/>
      <c r="P177" s="314"/>
    </row>
    <row r="178" spans="1:16" s="492" customFormat="1" ht="5.0999999999999996" customHeight="1" x14ac:dyDescent="0.2">
      <c r="A178" s="317"/>
      <c r="B178" s="482"/>
      <c r="C178" s="323"/>
      <c r="D178" s="323"/>
      <c r="E178" s="323"/>
      <c r="F178" s="323"/>
      <c r="G178" s="254"/>
      <c r="H178" s="254"/>
      <c r="I178" s="366"/>
      <c r="J178" s="254"/>
      <c r="K178" s="254"/>
      <c r="L178" s="253"/>
      <c r="M178" s="326"/>
      <c r="N178" s="326"/>
      <c r="O178" s="314"/>
      <c r="P178" s="314"/>
    </row>
    <row r="179" spans="1:16" s="318" customFormat="1" ht="9.9499999999999993" customHeight="1" thickBot="1" x14ac:dyDescent="0.25">
      <c r="A179" s="762"/>
      <c r="B179" s="317"/>
      <c r="C179" s="323"/>
      <c r="D179" s="323"/>
      <c r="E179" s="323"/>
      <c r="F179" s="323"/>
      <c r="G179" s="579" t="s">
        <v>1178</v>
      </c>
      <c r="H179" s="254"/>
      <c r="I179" s="344">
        <f>I175+I177</f>
        <v>535879</v>
      </c>
      <c r="J179" s="254"/>
      <c r="K179" s="254"/>
      <c r="L179" s="317"/>
      <c r="M179" s="326"/>
      <c r="N179" s="326"/>
    </row>
    <row r="180" spans="1:16" s="318" customFormat="1" ht="3" customHeight="1" thickTop="1" x14ac:dyDescent="0.2">
      <c r="A180" s="253"/>
      <c r="B180" s="317"/>
      <c r="C180" s="323"/>
      <c r="D180" s="323"/>
      <c r="E180" s="323"/>
      <c r="F180" s="323"/>
      <c r="G180" s="579"/>
      <c r="H180" s="254"/>
      <c r="I180" s="254"/>
      <c r="J180" s="254"/>
      <c r="K180" s="254"/>
      <c r="L180" s="317"/>
      <c r="M180" s="326"/>
      <c r="N180" s="326"/>
    </row>
    <row r="181" spans="1:16" s="497" customFormat="1" ht="9.9499999999999993" customHeight="1" x14ac:dyDescent="0.2">
      <c r="A181" s="317" t="s">
        <v>85</v>
      </c>
      <c r="B181" s="499"/>
      <c r="C181" s="1106">
        <f>+C92+C94-C164-C166</f>
        <v>589547</v>
      </c>
      <c r="D181" s="381"/>
      <c r="E181" s="1106">
        <f>+E92+E94-E164-E166</f>
        <v>-47872</v>
      </c>
      <c r="F181" s="381"/>
      <c r="G181" s="1106">
        <f>+G92+G94-G164-G166</f>
        <v>9406</v>
      </c>
      <c r="H181" s="381"/>
      <c r="I181" s="1106">
        <f>+I92+I94-I164-I166</f>
        <v>551081</v>
      </c>
      <c r="J181" s="381"/>
      <c r="K181" s="1106">
        <f>+K92+K94-K164-K166</f>
        <v>170556</v>
      </c>
      <c r="L181" s="402"/>
      <c r="M181" s="326"/>
      <c r="N181" s="326"/>
    </row>
    <row r="182" spans="1:16" s="497" customFormat="1" ht="9.9499999999999993" customHeight="1" x14ac:dyDescent="0.2">
      <c r="A182" s="498"/>
      <c r="B182" s="499"/>
      <c r="C182" s="381">
        <f>C175-C181</f>
        <v>0</v>
      </c>
      <c r="D182" s="381"/>
      <c r="E182" s="381">
        <f>E175-E181</f>
        <v>0</v>
      </c>
      <c r="F182" s="381"/>
      <c r="G182" s="381">
        <f>G175-G181</f>
        <v>0</v>
      </c>
      <c r="H182" s="381"/>
      <c r="I182" s="381">
        <f>I175-I181</f>
        <v>0</v>
      </c>
      <c r="J182" s="381"/>
      <c r="K182" s="381">
        <f>K175-K181</f>
        <v>0</v>
      </c>
      <c r="L182" s="402"/>
      <c r="M182" s="326"/>
      <c r="N182" s="326"/>
    </row>
    <row r="183" spans="1:16" s="680" customFormat="1" ht="9.9499999999999993" customHeight="1" x14ac:dyDescent="0.2">
      <c r="A183" s="676"/>
      <c r="B183" s="677"/>
      <c r="C183" s="381"/>
      <c r="D183" s="381"/>
      <c r="E183" s="381"/>
      <c r="F183" s="381"/>
      <c r="G183" s="381"/>
      <c r="H183" s="381"/>
      <c r="I183" s="381"/>
      <c r="J183" s="381"/>
      <c r="K183" s="381">
        <f>K175+(I177*-1)</f>
        <v>185758</v>
      </c>
      <c r="L183" s="676"/>
      <c r="M183" s="326"/>
      <c r="N183" s="326"/>
    </row>
    <row r="184" spans="1:16" s="680" customFormat="1" ht="9.9499999999999993" customHeight="1" x14ac:dyDescent="0.2">
      <c r="A184" s="676"/>
      <c r="B184" s="677"/>
      <c r="C184" s="381"/>
      <c r="D184" s="381"/>
      <c r="E184" s="381"/>
      <c r="F184" s="381"/>
      <c r="G184" s="381" t="s">
        <v>99</v>
      </c>
      <c r="H184" s="381"/>
      <c r="J184" s="381"/>
      <c r="K184" s="381">
        <f>SUM(reconSONP!G54-SONPPF!K183)</f>
        <v>0</v>
      </c>
      <c r="L184" s="676"/>
      <c r="M184" s="326"/>
      <c r="N184" s="326"/>
    </row>
    <row r="185" spans="1:16" s="680" customFormat="1" ht="9.9499999999999993" customHeight="1" x14ac:dyDescent="0.2">
      <c r="A185" s="676"/>
      <c r="B185" s="676"/>
      <c r="C185" s="676"/>
      <c r="D185" s="676"/>
      <c r="E185" s="676"/>
      <c r="F185" s="676"/>
      <c r="G185" s="679"/>
      <c r="H185" s="678"/>
      <c r="I185" s="679"/>
      <c r="J185" s="679"/>
      <c r="K185" s="679"/>
      <c r="L185" s="676"/>
      <c r="M185" s="326"/>
      <c r="N185" s="326"/>
    </row>
    <row r="186" spans="1:16" s="318" customFormat="1" ht="9.9499999999999993" customHeight="1" x14ac:dyDescent="0.2">
      <c r="A186" s="317"/>
      <c r="B186" s="501"/>
      <c r="C186" s="317"/>
      <c r="D186" s="253"/>
      <c r="E186" s="317"/>
      <c r="F186" s="253"/>
      <c r="G186" s="253"/>
      <c r="H186" s="254"/>
      <c r="I186" s="254"/>
      <c r="J186" s="253"/>
      <c r="K186" s="254"/>
      <c r="L186" s="317"/>
      <c r="M186" s="326"/>
      <c r="N186" s="326"/>
    </row>
    <row r="187" spans="1:16" s="318" customFormat="1" ht="9.9499999999999993" customHeight="1" x14ac:dyDescent="0.2">
      <c r="A187" s="317"/>
      <c r="B187" s="317"/>
      <c r="C187" s="317"/>
      <c r="D187" s="317"/>
      <c r="E187" s="317"/>
      <c r="F187" s="317"/>
      <c r="G187" s="253"/>
      <c r="H187" s="254"/>
      <c r="I187" s="253"/>
      <c r="J187" s="253"/>
      <c r="K187" s="253"/>
      <c r="L187" s="317"/>
      <c r="M187" s="326"/>
      <c r="N187" s="326"/>
    </row>
    <row r="188" spans="1:16" s="318" customFormat="1" ht="9.9499999999999993" customHeight="1" x14ac:dyDescent="0.2">
      <c r="A188" s="317"/>
      <c r="B188" s="317"/>
      <c r="C188" s="324" t="e">
        <f>+C37+C38+C51+#REF!-C119-C137-C139-C149-C150-C154+C94</f>
        <v>#REF!</v>
      </c>
      <c r="D188" s="253"/>
      <c r="E188" s="324" t="e">
        <f>+E37+E38+E51+#REF!-E119-E137-E139-E149-E150-E154</f>
        <v>#REF!</v>
      </c>
      <c r="F188" s="253"/>
      <c r="G188" s="253"/>
      <c r="H188" s="253"/>
      <c r="I188" s="348"/>
      <c r="J188" s="253"/>
      <c r="K188" s="253"/>
      <c r="L188" s="317"/>
      <c r="M188" s="326"/>
      <c r="N188" s="326"/>
    </row>
    <row r="189" spans="1:16" s="318" customFormat="1" ht="9.9499999999999993" customHeight="1" x14ac:dyDescent="0.2">
      <c r="A189" s="317"/>
      <c r="B189" s="317"/>
      <c r="C189" s="317"/>
      <c r="D189" s="317"/>
      <c r="E189" s="317"/>
      <c r="F189" s="317"/>
      <c r="G189" s="253"/>
      <c r="H189" s="253"/>
      <c r="I189" s="253"/>
      <c r="J189" s="253"/>
      <c r="K189" s="253"/>
      <c r="L189" s="317"/>
      <c r="M189" s="326"/>
      <c r="N189" s="326"/>
    </row>
    <row r="190" spans="1:16" s="318" customFormat="1" ht="9.9499999999999993" customHeight="1" x14ac:dyDescent="0.2">
      <c r="A190" s="317"/>
      <c r="B190" s="317"/>
      <c r="C190" s="323" t="e">
        <f>+C37+C38+#REF!-C137-C149</f>
        <v>#REF!</v>
      </c>
      <c r="D190" s="317"/>
      <c r="E190" s="317"/>
      <c r="F190" s="317"/>
      <c r="G190" s="253"/>
      <c r="H190" s="253"/>
      <c r="I190" s="253"/>
      <c r="J190" s="253"/>
      <c r="K190" s="253"/>
      <c r="L190" s="317"/>
      <c r="M190" s="326"/>
      <c r="N190" s="326"/>
    </row>
    <row r="191" spans="1:16" s="318" customFormat="1" ht="9.9499999999999993" customHeight="1" x14ac:dyDescent="0.2">
      <c r="A191" s="317"/>
      <c r="B191" s="317"/>
      <c r="C191" s="317"/>
      <c r="D191" s="317"/>
      <c r="E191" s="317"/>
      <c r="F191" s="317"/>
      <c r="G191" s="253"/>
      <c r="H191" s="253"/>
      <c r="I191" s="253"/>
      <c r="J191" s="253"/>
      <c r="K191" s="253"/>
      <c r="L191" s="317"/>
      <c r="M191" s="326"/>
      <c r="N191" s="326"/>
    </row>
    <row r="192" spans="1:16" s="318" customFormat="1" ht="9.9499999999999993" customHeight="1" x14ac:dyDescent="0.2">
      <c r="A192" s="317"/>
      <c r="B192" s="317"/>
      <c r="C192" s="323" t="e">
        <f>+C188-C190</f>
        <v>#REF!</v>
      </c>
      <c r="D192" s="317"/>
      <c r="E192" s="317"/>
      <c r="F192" s="317"/>
      <c r="G192" s="253"/>
      <c r="H192" s="253"/>
      <c r="I192" s="253"/>
      <c r="J192" s="253"/>
      <c r="K192" s="253"/>
      <c r="L192" s="317"/>
      <c r="M192" s="326"/>
      <c r="N192" s="326"/>
    </row>
    <row r="193" spans="7:14" s="318" customFormat="1" ht="9.9499999999999993" customHeight="1" x14ac:dyDescent="0.2">
      <c r="G193" s="492"/>
      <c r="H193" s="492"/>
      <c r="I193" s="492"/>
      <c r="J193" s="492"/>
      <c r="K193" s="492"/>
      <c r="M193" s="326"/>
      <c r="N193" s="326"/>
    </row>
    <row r="194" spans="7:14" s="318" customFormat="1" ht="9.9499999999999993" customHeight="1" x14ac:dyDescent="0.2">
      <c r="G194" s="492"/>
      <c r="H194" s="492"/>
      <c r="I194" s="492"/>
      <c r="J194" s="492"/>
      <c r="K194" s="492"/>
      <c r="M194" s="326"/>
      <c r="N194" s="326"/>
    </row>
    <row r="195" spans="7:14" s="318" customFormat="1" ht="9.9499999999999993" customHeight="1" x14ac:dyDescent="0.2">
      <c r="G195" s="492"/>
      <c r="H195" s="492"/>
      <c r="I195" s="492"/>
      <c r="J195" s="492"/>
      <c r="K195" s="492"/>
      <c r="M195" s="326"/>
      <c r="N195" s="326"/>
    </row>
    <row r="196" spans="7:14" s="318" customFormat="1" ht="9.9499999999999993" customHeight="1" x14ac:dyDescent="0.2">
      <c r="G196" s="492"/>
      <c r="H196" s="492"/>
      <c r="I196" s="492"/>
      <c r="J196" s="492"/>
      <c r="K196" s="492"/>
      <c r="M196" s="326"/>
      <c r="N196" s="326"/>
    </row>
    <row r="197" spans="7:14" s="318" customFormat="1" ht="9.9499999999999993" customHeight="1" x14ac:dyDescent="0.2">
      <c r="G197" s="492"/>
      <c r="H197" s="492"/>
      <c r="I197" s="492"/>
      <c r="J197" s="492"/>
      <c r="K197" s="492"/>
      <c r="M197" s="326"/>
      <c r="N197" s="326"/>
    </row>
    <row r="198" spans="7:14" s="318" customFormat="1" ht="9.9499999999999993" customHeight="1" x14ac:dyDescent="0.2">
      <c r="G198" s="492"/>
      <c r="H198" s="492"/>
      <c r="I198" s="492"/>
      <c r="J198" s="492"/>
      <c r="K198" s="492"/>
      <c r="M198" s="326"/>
      <c r="N198" s="326"/>
    </row>
    <row r="199" spans="7:14" s="318" customFormat="1" ht="9.9499999999999993" customHeight="1" x14ac:dyDescent="0.2">
      <c r="G199" s="492"/>
      <c r="H199" s="492"/>
      <c r="I199" s="492"/>
      <c r="J199" s="492"/>
      <c r="K199" s="492"/>
      <c r="M199" s="326"/>
      <c r="N199" s="326"/>
    </row>
    <row r="200" spans="7:14" s="318" customFormat="1" ht="9.9499999999999993" customHeight="1" x14ac:dyDescent="0.2">
      <c r="G200" s="492"/>
      <c r="H200" s="492"/>
      <c r="I200" s="492"/>
      <c r="J200" s="492"/>
      <c r="K200" s="492"/>
      <c r="M200" s="326"/>
      <c r="N200" s="326"/>
    </row>
    <row r="201" spans="7:14" s="318" customFormat="1" ht="9.9499999999999993" customHeight="1" x14ac:dyDescent="0.2">
      <c r="G201" s="492"/>
      <c r="H201" s="492"/>
      <c r="I201" s="492"/>
      <c r="J201" s="492"/>
      <c r="K201" s="492"/>
      <c r="M201" s="326"/>
      <c r="N201" s="326"/>
    </row>
    <row r="202" spans="7:14" s="318" customFormat="1" ht="9.9499999999999993" customHeight="1" x14ac:dyDescent="0.2">
      <c r="G202" s="492"/>
      <c r="H202" s="492"/>
      <c r="I202" s="492"/>
      <c r="J202" s="492"/>
      <c r="K202" s="492"/>
      <c r="M202" s="326"/>
      <c r="N202" s="326"/>
    </row>
    <row r="203" spans="7:14" s="318" customFormat="1" ht="9.9499999999999993" customHeight="1" x14ac:dyDescent="0.2">
      <c r="G203" s="492"/>
      <c r="H203" s="492"/>
      <c r="I203" s="492"/>
      <c r="J203" s="492"/>
      <c r="K203" s="492"/>
      <c r="M203" s="326"/>
      <c r="N203" s="326"/>
    </row>
    <row r="204" spans="7:14" s="318" customFormat="1" ht="9.9499999999999993" customHeight="1" x14ac:dyDescent="0.2">
      <c r="G204" s="492"/>
      <c r="H204" s="492"/>
      <c r="I204" s="492"/>
      <c r="J204" s="492"/>
      <c r="K204" s="492"/>
      <c r="M204" s="326"/>
      <c r="N204" s="326"/>
    </row>
    <row r="205" spans="7:14" s="318" customFormat="1" ht="9.9499999999999993" customHeight="1" x14ac:dyDescent="0.2">
      <c r="G205" s="492"/>
      <c r="H205" s="492"/>
      <c r="I205" s="492"/>
      <c r="J205" s="492"/>
      <c r="K205" s="492"/>
      <c r="M205" s="326"/>
      <c r="N205" s="326"/>
    </row>
    <row r="206" spans="7:14" s="318" customFormat="1" ht="9.9499999999999993" customHeight="1" x14ac:dyDescent="0.2">
      <c r="G206" s="492"/>
      <c r="H206" s="492"/>
      <c r="I206" s="492"/>
      <c r="J206" s="492"/>
      <c r="K206" s="492"/>
      <c r="M206" s="326"/>
      <c r="N206" s="326"/>
    </row>
    <row r="207" spans="7:14" s="318" customFormat="1" ht="9.9499999999999993" customHeight="1" x14ac:dyDescent="0.2">
      <c r="G207" s="492"/>
      <c r="H207" s="492"/>
      <c r="I207" s="492"/>
      <c r="J207" s="492"/>
      <c r="K207" s="492"/>
      <c r="M207" s="326"/>
      <c r="N207" s="326"/>
    </row>
    <row r="208" spans="7:14" s="318" customFormat="1" ht="9.9499999999999993" customHeight="1" x14ac:dyDescent="0.2">
      <c r="G208" s="492"/>
      <c r="H208" s="492"/>
      <c r="I208" s="492"/>
      <c r="J208" s="492"/>
      <c r="K208" s="492"/>
      <c r="M208" s="326"/>
      <c r="N208" s="326"/>
    </row>
    <row r="209" spans="7:14" s="318" customFormat="1" ht="9.9499999999999993" customHeight="1" x14ac:dyDescent="0.2">
      <c r="G209" s="492"/>
      <c r="H209" s="492"/>
      <c r="I209" s="492"/>
      <c r="J209" s="492"/>
      <c r="K209" s="492"/>
      <c r="M209" s="326"/>
      <c r="N209" s="326"/>
    </row>
    <row r="210" spans="7:14" ht="9.9499999999999993" customHeight="1" x14ac:dyDescent="0.2">
      <c r="M210" s="326"/>
      <c r="N210" s="326"/>
    </row>
    <row r="211" spans="7:14" ht="9.9499999999999993" customHeight="1" x14ac:dyDescent="0.2">
      <c r="M211" s="326"/>
      <c r="N211" s="326"/>
    </row>
    <row r="212" spans="7:14" ht="9.9499999999999993" customHeight="1" x14ac:dyDescent="0.2">
      <c r="M212" s="326"/>
      <c r="N212" s="326"/>
    </row>
    <row r="213" spans="7:14" ht="9.9499999999999993" customHeight="1" x14ac:dyDescent="0.2">
      <c r="M213" s="326"/>
      <c r="N213" s="326"/>
    </row>
    <row r="214" spans="7:14" ht="9.9499999999999993" customHeight="1" x14ac:dyDescent="0.2">
      <c r="M214" s="326"/>
      <c r="N214" s="326"/>
    </row>
    <row r="215" spans="7:14" ht="9.9499999999999993" customHeight="1" x14ac:dyDescent="0.2">
      <c r="M215" s="326"/>
      <c r="N215" s="326"/>
    </row>
    <row r="216" spans="7:14" ht="9.9499999999999993" customHeight="1" x14ac:dyDescent="0.2">
      <c r="M216" s="326"/>
      <c r="N216" s="326"/>
    </row>
    <row r="217" spans="7:14" ht="9.9499999999999993" customHeight="1" x14ac:dyDescent="0.2">
      <c r="M217" s="326"/>
      <c r="N217" s="326"/>
    </row>
    <row r="218" spans="7:14" ht="9.9499999999999993" customHeight="1" x14ac:dyDescent="0.2">
      <c r="M218" s="326"/>
      <c r="N218" s="326"/>
    </row>
    <row r="219" spans="7:14" ht="9.9499999999999993" customHeight="1" x14ac:dyDescent="0.2">
      <c r="M219" s="326"/>
      <c r="N219" s="326"/>
    </row>
    <row r="220" spans="7:14" ht="9.9499999999999993" customHeight="1" x14ac:dyDescent="0.2">
      <c r="M220" s="326"/>
      <c r="N220" s="326"/>
    </row>
    <row r="221" spans="7:14" ht="9.9499999999999993" customHeight="1" x14ac:dyDescent="0.2">
      <c r="M221" s="326"/>
      <c r="N221" s="326"/>
    </row>
    <row r="222" spans="7:14" ht="9.9499999999999993" customHeight="1" x14ac:dyDescent="0.2">
      <c r="M222" s="326"/>
      <c r="N222" s="326"/>
    </row>
    <row r="223" spans="7:14" ht="9.9499999999999993" customHeight="1" x14ac:dyDescent="0.2">
      <c r="M223" s="326"/>
      <c r="N223" s="326"/>
    </row>
    <row r="224" spans="7:14" ht="9.9499999999999993" customHeight="1" x14ac:dyDescent="0.2">
      <c r="M224" s="326"/>
      <c r="N224" s="326"/>
    </row>
    <row r="225" spans="13:14" ht="9.9499999999999993" customHeight="1" x14ac:dyDescent="0.2">
      <c r="M225" s="326"/>
      <c r="N225" s="326"/>
    </row>
    <row r="226" spans="13:14" ht="9.9499999999999993" customHeight="1" x14ac:dyDescent="0.2">
      <c r="M226" s="326"/>
      <c r="N226" s="326"/>
    </row>
    <row r="227" spans="13:14" ht="9.9499999999999993" customHeight="1" x14ac:dyDescent="0.2">
      <c r="M227" s="326"/>
      <c r="N227" s="326"/>
    </row>
    <row r="228" spans="13:14" ht="9.9499999999999993" customHeight="1" x14ac:dyDescent="0.2">
      <c r="M228" s="326"/>
      <c r="N228" s="326"/>
    </row>
    <row r="229" spans="13:14" ht="9.9499999999999993" customHeight="1" x14ac:dyDescent="0.2">
      <c r="M229" s="326"/>
      <c r="N229" s="326"/>
    </row>
    <row r="230" spans="13:14" ht="9.9499999999999993" customHeight="1" x14ac:dyDescent="0.2">
      <c r="M230" s="326"/>
      <c r="N230" s="326"/>
    </row>
    <row r="231" spans="13:14" ht="9.9499999999999993" customHeight="1" x14ac:dyDescent="0.2">
      <c r="M231" s="326"/>
      <c r="N231" s="326"/>
    </row>
    <row r="232" spans="13:14" ht="9.9499999999999993" customHeight="1" x14ac:dyDescent="0.2">
      <c r="M232" s="326"/>
      <c r="N232" s="326"/>
    </row>
    <row r="233" spans="13:14" ht="9.9499999999999993" customHeight="1" x14ac:dyDescent="0.2">
      <c r="M233" s="326"/>
      <c r="N233" s="326"/>
    </row>
    <row r="234" spans="13:14" ht="9.9499999999999993" customHeight="1" x14ac:dyDescent="0.2">
      <c r="M234" s="326"/>
      <c r="N234" s="326"/>
    </row>
    <row r="235" spans="13:14" ht="9.9499999999999993" customHeight="1" x14ac:dyDescent="0.2">
      <c r="M235" s="326"/>
      <c r="N235" s="326"/>
    </row>
    <row r="236" spans="13:14" ht="9.9499999999999993" customHeight="1" x14ac:dyDescent="0.2">
      <c r="M236" s="326"/>
      <c r="N236" s="326"/>
    </row>
    <row r="237" spans="13:14" ht="9.9499999999999993" customHeight="1" x14ac:dyDescent="0.2">
      <c r="M237" s="326"/>
      <c r="N237" s="326"/>
    </row>
    <row r="238" spans="13:14" ht="9.9499999999999993" customHeight="1" x14ac:dyDescent="0.2">
      <c r="M238" s="326"/>
      <c r="N238" s="326"/>
    </row>
    <row r="239" spans="13:14" ht="9.9499999999999993" customHeight="1" x14ac:dyDescent="0.2">
      <c r="M239" s="326"/>
      <c r="N239" s="326"/>
    </row>
    <row r="240" spans="13:14" ht="9.9499999999999993" customHeight="1" x14ac:dyDescent="0.2">
      <c r="M240" s="326"/>
      <c r="N240" s="326"/>
    </row>
    <row r="241" spans="13:14" ht="9.9499999999999993" customHeight="1" x14ac:dyDescent="0.2">
      <c r="M241" s="326"/>
      <c r="N241" s="326"/>
    </row>
    <row r="242" spans="13:14" ht="9.9499999999999993" customHeight="1" x14ac:dyDescent="0.2">
      <c r="M242" s="326"/>
      <c r="N242" s="326"/>
    </row>
    <row r="243" spans="13:14" ht="9.9499999999999993" customHeight="1" x14ac:dyDescent="0.2">
      <c r="M243" s="326"/>
      <c r="N243" s="326"/>
    </row>
    <row r="244" spans="13:14" ht="9.9499999999999993" customHeight="1" x14ac:dyDescent="0.2">
      <c r="M244" s="326"/>
      <c r="N244" s="326"/>
    </row>
    <row r="245" spans="13:14" ht="9.9499999999999993" customHeight="1" x14ac:dyDescent="0.2">
      <c r="M245" s="326"/>
      <c r="N245" s="326"/>
    </row>
    <row r="246" spans="13:14" ht="9.9499999999999993" customHeight="1" x14ac:dyDescent="0.2">
      <c r="M246" s="326"/>
      <c r="N246" s="326"/>
    </row>
    <row r="247" spans="13:14" ht="9.9499999999999993" customHeight="1" x14ac:dyDescent="0.2">
      <c r="M247" s="326"/>
      <c r="N247" s="326"/>
    </row>
    <row r="248" spans="13:14" ht="9.9499999999999993" customHeight="1" x14ac:dyDescent="0.2">
      <c r="M248" s="326"/>
      <c r="N248" s="326"/>
    </row>
    <row r="249" spans="13:14" ht="9.9499999999999993" customHeight="1" x14ac:dyDescent="0.2">
      <c r="M249" s="326"/>
      <c r="N249" s="326"/>
    </row>
    <row r="250" spans="13:14" ht="9.9499999999999993" customHeight="1" x14ac:dyDescent="0.2">
      <c r="M250" s="326"/>
      <c r="N250" s="326"/>
    </row>
    <row r="251" spans="13:14" ht="9.9499999999999993" customHeight="1" x14ac:dyDescent="0.2">
      <c r="M251" s="326"/>
      <c r="N251" s="326"/>
    </row>
    <row r="252" spans="13:14" ht="9.9499999999999993" customHeight="1" x14ac:dyDescent="0.2">
      <c r="M252" s="326"/>
      <c r="N252" s="326"/>
    </row>
    <row r="253" spans="13:14" ht="9.9499999999999993" customHeight="1" x14ac:dyDescent="0.2">
      <c r="M253" s="326"/>
      <c r="N253" s="326"/>
    </row>
    <row r="254" spans="13:14" ht="9.9499999999999993" customHeight="1" x14ac:dyDescent="0.2">
      <c r="M254" s="326"/>
      <c r="N254" s="326"/>
    </row>
    <row r="255" spans="13:14" ht="9.9499999999999993" customHeight="1" x14ac:dyDescent="0.2">
      <c r="M255" s="326"/>
      <c r="N255" s="326"/>
    </row>
    <row r="256" spans="13:14" ht="9.9499999999999993" customHeight="1" x14ac:dyDescent="0.2">
      <c r="M256" s="326"/>
      <c r="N256" s="326"/>
    </row>
    <row r="257" spans="13:14" ht="9.9499999999999993" customHeight="1" x14ac:dyDescent="0.2">
      <c r="M257" s="326"/>
      <c r="N257" s="326"/>
    </row>
    <row r="258" spans="13:14" ht="9.9499999999999993" customHeight="1" x14ac:dyDescent="0.2">
      <c r="M258" s="326"/>
      <c r="N258" s="326"/>
    </row>
    <row r="259" spans="13:14" ht="9.9499999999999993" customHeight="1" x14ac:dyDescent="0.2">
      <c r="M259" s="326"/>
      <c r="N259" s="326"/>
    </row>
    <row r="260" spans="13:14" ht="9.9499999999999993" customHeight="1" x14ac:dyDescent="0.2">
      <c r="M260" s="326"/>
      <c r="N260" s="326"/>
    </row>
    <row r="261" spans="13:14" ht="9.9499999999999993" customHeight="1" x14ac:dyDescent="0.2">
      <c r="M261" s="326"/>
      <c r="N261" s="326"/>
    </row>
    <row r="262" spans="13:14" ht="9.9499999999999993" customHeight="1" x14ac:dyDescent="0.2">
      <c r="M262" s="326"/>
      <c r="N262" s="326"/>
    </row>
    <row r="263" spans="13:14" ht="9.9499999999999993" customHeight="1" x14ac:dyDescent="0.2">
      <c r="M263" s="326"/>
      <c r="N263" s="326"/>
    </row>
    <row r="264" spans="13:14" ht="9.9499999999999993" customHeight="1" x14ac:dyDescent="0.2">
      <c r="M264" s="326"/>
      <c r="N264" s="326"/>
    </row>
    <row r="265" spans="13:14" ht="9.9499999999999993" customHeight="1" x14ac:dyDescent="0.2">
      <c r="M265" s="326"/>
      <c r="N265" s="326"/>
    </row>
    <row r="266" spans="13:14" ht="9.9499999999999993" customHeight="1" x14ac:dyDescent="0.2">
      <c r="M266" s="326"/>
      <c r="N266" s="326"/>
    </row>
    <row r="267" spans="13:14" ht="9.9499999999999993" customHeight="1" x14ac:dyDescent="0.2">
      <c r="M267" s="326"/>
      <c r="N267" s="326"/>
    </row>
    <row r="268" spans="13:14" ht="9.9499999999999993" customHeight="1" x14ac:dyDescent="0.2">
      <c r="M268" s="326"/>
      <c r="N268" s="326"/>
    </row>
    <row r="269" spans="13:14" ht="9.9499999999999993" customHeight="1" x14ac:dyDescent="0.2">
      <c r="M269" s="326"/>
      <c r="N269" s="326"/>
    </row>
    <row r="270" spans="13:14" ht="9.9499999999999993" customHeight="1" x14ac:dyDescent="0.2">
      <c r="M270" s="326"/>
      <c r="N270" s="326"/>
    </row>
    <row r="271" spans="13:14" ht="9.9499999999999993" customHeight="1" x14ac:dyDescent="0.2">
      <c r="M271" s="326"/>
      <c r="N271" s="326"/>
    </row>
    <row r="272" spans="13:14" ht="9.9499999999999993" customHeight="1" x14ac:dyDescent="0.2">
      <c r="M272" s="326"/>
      <c r="N272" s="326"/>
    </row>
    <row r="273" spans="13:14" ht="9.9499999999999993" customHeight="1" x14ac:dyDescent="0.2">
      <c r="M273" s="326"/>
      <c r="N273" s="326"/>
    </row>
    <row r="274" spans="13:14" ht="9.9499999999999993" customHeight="1" x14ac:dyDescent="0.2">
      <c r="M274" s="326"/>
      <c r="N274" s="326"/>
    </row>
    <row r="275" spans="13:14" ht="9.9499999999999993" customHeight="1" x14ac:dyDescent="0.2">
      <c r="M275" s="326"/>
      <c r="N275" s="326"/>
    </row>
    <row r="276" spans="13:14" ht="9.9499999999999993" customHeight="1" x14ac:dyDescent="0.2">
      <c r="M276" s="326"/>
      <c r="N276" s="326"/>
    </row>
    <row r="277" spans="13:14" ht="9.9499999999999993" customHeight="1" x14ac:dyDescent="0.2">
      <c r="M277" s="326"/>
      <c r="N277" s="326"/>
    </row>
    <row r="278" spans="13:14" ht="9.9499999999999993" customHeight="1" x14ac:dyDescent="0.2">
      <c r="M278" s="326"/>
      <c r="N278" s="326"/>
    </row>
    <row r="279" spans="13:14" ht="9.9499999999999993" customHeight="1" x14ac:dyDescent="0.2">
      <c r="M279" s="326"/>
      <c r="N279" s="326"/>
    </row>
    <row r="280" spans="13:14" ht="9.9499999999999993" customHeight="1" x14ac:dyDescent="0.2">
      <c r="M280" s="326"/>
      <c r="N280" s="326"/>
    </row>
    <row r="281" spans="13:14" ht="9.9499999999999993" customHeight="1" x14ac:dyDescent="0.2">
      <c r="M281" s="326"/>
      <c r="N281" s="326"/>
    </row>
    <row r="282" spans="13:14" ht="9.9499999999999993" customHeight="1" x14ac:dyDescent="0.2">
      <c r="M282" s="326"/>
      <c r="N282" s="326"/>
    </row>
    <row r="283" spans="13:14" ht="9.9499999999999993" customHeight="1" x14ac:dyDescent="0.2">
      <c r="M283" s="326"/>
      <c r="N283" s="326"/>
    </row>
    <row r="284" spans="13:14" ht="9.9499999999999993" customHeight="1" x14ac:dyDescent="0.2">
      <c r="M284" s="326"/>
      <c r="N284" s="326"/>
    </row>
    <row r="285" spans="13:14" ht="9.9499999999999993" customHeight="1" x14ac:dyDescent="0.2">
      <c r="M285" s="326"/>
      <c r="N285" s="326"/>
    </row>
    <row r="286" spans="13:14" ht="9.9499999999999993" customHeight="1" x14ac:dyDescent="0.2">
      <c r="M286" s="326"/>
      <c r="N286" s="326"/>
    </row>
    <row r="287" spans="13:14" ht="9.9499999999999993" customHeight="1" x14ac:dyDescent="0.2">
      <c r="M287" s="326"/>
      <c r="N287" s="326"/>
    </row>
    <row r="288" spans="13:14" ht="9.9499999999999993" customHeight="1" x14ac:dyDescent="0.2">
      <c r="M288" s="326"/>
      <c r="N288" s="326"/>
    </row>
    <row r="289" spans="13:14" ht="9.9499999999999993" customHeight="1" x14ac:dyDescent="0.2">
      <c r="M289" s="326"/>
      <c r="N289" s="326"/>
    </row>
    <row r="290" spans="13:14" ht="9.9499999999999993" customHeight="1" x14ac:dyDescent="0.2">
      <c r="M290" s="326"/>
      <c r="N290" s="326"/>
    </row>
    <row r="291" spans="13:14" ht="9.9499999999999993" customHeight="1" x14ac:dyDescent="0.2">
      <c r="M291" s="326"/>
      <c r="N291" s="326"/>
    </row>
    <row r="292" spans="13:14" ht="9.9499999999999993" customHeight="1" x14ac:dyDescent="0.2">
      <c r="M292" s="326"/>
      <c r="N292" s="326"/>
    </row>
    <row r="293" spans="13:14" ht="9.9499999999999993" customHeight="1" x14ac:dyDescent="0.2">
      <c r="M293" s="326"/>
      <c r="N293" s="326"/>
    </row>
    <row r="294" spans="13:14" ht="9.9499999999999993" customHeight="1" x14ac:dyDescent="0.2">
      <c r="M294" s="326"/>
      <c r="N294" s="326"/>
    </row>
    <row r="295" spans="13:14" ht="9.9499999999999993" customHeight="1" x14ac:dyDescent="0.2">
      <c r="M295" s="326"/>
      <c r="N295" s="326"/>
    </row>
    <row r="296" spans="13:14" ht="9.9499999999999993" customHeight="1" x14ac:dyDescent="0.2">
      <c r="M296" s="326"/>
      <c r="N296" s="326"/>
    </row>
    <row r="297" spans="13:14" ht="9.9499999999999993" customHeight="1" x14ac:dyDescent="0.2">
      <c r="M297" s="326"/>
      <c r="N297" s="326"/>
    </row>
    <row r="298" spans="13:14" ht="9.9499999999999993" customHeight="1" x14ac:dyDescent="0.2">
      <c r="M298" s="326"/>
      <c r="N298" s="326"/>
    </row>
    <row r="299" spans="13:14" ht="9.9499999999999993" customHeight="1" x14ac:dyDescent="0.2">
      <c r="M299" s="326"/>
      <c r="N299" s="326"/>
    </row>
    <row r="300" spans="13:14" ht="9.9499999999999993" customHeight="1" x14ac:dyDescent="0.2">
      <c r="M300" s="326"/>
      <c r="N300" s="326"/>
    </row>
    <row r="301" spans="13:14" ht="9.9499999999999993" customHeight="1" x14ac:dyDescent="0.2">
      <c r="M301" s="326"/>
      <c r="N301" s="326"/>
    </row>
    <row r="302" spans="13:14" ht="9.9499999999999993" customHeight="1" x14ac:dyDescent="0.2">
      <c r="M302" s="326"/>
      <c r="N302" s="326"/>
    </row>
    <row r="303" spans="13:14" ht="9.9499999999999993" customHeight="1" x14ac:dyDescent="0.2">
      <c r="M303" s="326"/>
      <c r="N303" s="326"/>
    </row>
    <row r="304" spans="13:14" ht="9.9499999999999993" customHeight="1" x14ac:dyDescent="0.2">
      <c r="M304" s="326"/>
      <c r="N304" s="326"/>
    </row>
    <row r="305" spans="13:14" ht="9.9499999999999993" customHeight="1" x14ac:dyDescent="0.2">
      <c r="M305" s="326"/>
      <c r="N305" s="326"/>
    </row>
    <row r="306" spans="13:14" ht="9.9499999999999993" customHeight="1" x14ac:dyDescent="0.2">
      <c r="M306" s="326"/>
      <c r="N306" s="326"/>
    </row>
    <row r="307" spans="13:14" ht="9.9499999999999993" customHeight="1" x14ac:dyDescent="0.2">
      <c r="M307" s="326"/>
      <c r="N307" s="326"/>
    </row>
    <row r="308" spans="13:14" ht="9.9499999999999993" customHeight="1" x14ac:dyDescent="0.2">
      <c r="M308" s="326"/>
      <c r="N308" s="326"/>
    </row>
    <row r="309" spans="13:14" ht="9.9499999999999993" customHeight="1" x14ac:dyDescent="0.2">
      <c r="M309" s="326"/>
      <c r="N309" s="326"/>
    </row>
    <row r="310" spans="13:14" ht="9.9499999999999993" customHeight="1" x14ac:dyDescent="0.2">
      <c r="M310" s="326"/>
      <c r="N310" s="326"/>
    </row>
    <row r="311" spans="13:14" ht="9.9499999999999993" customHeight="1" x14ac:dyDescent="0.2">
      <c r="M311" s="326"/>
      <c r="N311" s="326"/>
    </row>
    <row r="312" spans="13:14" ht="9.9499999999999993" customHeight="1" x14ac:dyDescent="0.2">
      <c r="M312" s="326"/>
      <c r="N312" s="326"/>
    </row>
    <row r="313" spans="13:14" ht="9.9499999999999993" customHeight="1" x14ac:dyDescent="0.2">
      <c r="M313" s="326"/>
      <c r="N313" s="326"/>
    </row>
    <row r="314" spans="13:14" ht="9.9499999999999993" customHeight="1" x14ac:dyDescent="0.2">
      <c r="M314" s="326"/>
      <c r="N314" s="326"/>
    </row>
    <row r="315" spans="13:14" ht="9.9499999999999993" customHeight="1" x14ac:dyDescent="0.2">
      <c r="M315" s="326"/>
      <c r="N315" s="326"/>
    </row>
    <row r="316" spans="13:14" ht="9.9499999999999993" customHeight="1" x14ac:dyDescent="0.2">
      <c r="M316" s="326"/>
      <c r="N316" s="326"/>
    </row>
    <row r="317" spans="13:14" ht="9.9499999999999993" customHeight="1" x14ac:dyDescent="0.2">
      <c r="M317" s="326"/>
      <c r="N317" s="326"/>
    </row>
    <row r="318" spans="13:14" ht="9.9499999999999993" customHeight="1" x14ac:dyDescent="0.2">
      <c r="M318" s="326"/>
      <c r="N318" s="326"/>
    </row>
    <row r="319" spans="13:14" ht="9.9499999999999993" customHeight="1" x14ac:dyDescent="0.2">
      <c r="M319" s="326"/>
      <c r="N319" s="326"/>
    </row>
    <row r="320" spans="13:14" ht="9.9499999999999993" customHeight="1" x14ac:dyDescent="0.2">
      <c r="M320" s="326"/>
      <c r="N320" s="326"/>
    </row>
    <row r="321" spans="13:14" ht="9.9499999999999993" customHeight="1" x14ac:dyDescent="0.2">
      <c r="M321" s="326"/>
      <c r="N321" s="326"/>
    </row>
    <row r="322" spans="13:14" ht="9.9499999999999993" customHeight="1" x14ac:dyDescent="0.2">
      <c r="M322" s="326"/>
      <c r="N322" s="326"/>
    </row>
    <row r="323" spans="13:14" ht="9.9499999999999993" customHeight="1" x14ac:dyDescent="0.2">
      <c r="M323" s="326"/>
      <c r="N323" s="326"/>
    </row>
    <row r="324" spans="13:14" ht="9.9499999999999993" customHeight="1" x14ac:dyDescent="0.2">
      <c r="M324" s="326"/>
      <c r="N324" s="326"/>
    </row>
    <row r="325" spans="13:14" ht="9.9499999999999993" customHeight="1" x14ac:dyDescent="0.2">
      <c r="M325" s="326"/>
      <c r="N325" s="326"/>
    </row>
    <row r="326" spans="13:14" ht="9.9499999999999993" customHeight="1" x14ac:dyDescent="0.2">
      <c r="M326" s="326"/>
      <c r="N326" s="326"/>
    </row>
    <row r="327" spans="13:14" ht="9.9499999999999993" customHeight="1" x14ac:dyDescent="0.2">
      <c r="M327" s="326"/>
      <c r="N327" s="326"/>
    </row>
    <row r="328" spans="13:14" ht="9.9499999999999993" customHeight="1" x14ac:dyDescent="0.2">
      <c r="M328" s="326"/>
      <c r="N328" s="326"/>
    </row>
    <row r="329" spans="13:14" ht="9.9499999999999993" customHeight="1" x14ac:dyDescent="0.2">
      <c r="M329" s="326"/>
      <c r="N329" s="326"/>
    </row>
    <row r="330" spans="13:14" ht="9.9499999999999993" customHeight="1" x14ac:dyDescent="0.2">
      <c r="M330" s="326"/>
      <c r="N330" s="326"/>
    </row>
    <row r="331" spans="13:14" ht="9.9499999999999993" customHeight="1" x14ac:dyDescent="0.2">
      <c r="M331" s="326"/>
      <c r="N331" s="326"/>
    </row>
    <row r="332" spans="13:14" ht="9.9499999999999993" customHeight="1" x14ac:dyDescent="0.2">
      <c r="M332" s="326"/>
      <c r="N332" s="326"/>
    </row>
    <row r="333" spans="13:14" ht="9.9499999999999993" customHeight="1" x14ac:dyDescent="0.2">
      <c r="M333" s="326"/>
      <c r="N333" s="326"/>
    </row>
    <row r="334" spans="13:14" ht="9.9499999999999993" customHeight="1" x14ac:dyDescent="0.2">
      <c r="M334" s="326"/>
      <c r="N334" s="326"/>
    </row>
    <row r="335" spans="13:14" ht="9.9499999999999993" customHeight="1" x14ac:dyDescent="0.2">
      <c r="M335" s="326"/>
      <c r="N335" s="326"/>
    </row>
    <row r="336" spans="13:14" ht="9.9499999999999993" customHeight="1" x14ac:dyDescent="0.2">
      <c r="M336" s="326"/>
      <c r="N336" s="326"/>
    </row>
    <row r="337" spans="13:14" ht="9.9499999999999993" customHeight="1" x14ac:dyDescent="0.2">
      <c r="M337" s="326"/>
      <c r="N337" s="326"/>
    </row>
    <row r="338" spans="13:14" ht="9.9499999999999993" customHeight="1" x14ac:dyDescent="0.2">
      <c r="M338" s="326"/>
      <c r="N338" s="326"/>
    </row>
    <row r="339" spans="13:14" ht="9.9499999999999993" customHeight="1" x14ac:dyDescent="0.2">
      <c r="M339" s="326"/>
      <c r="N339" s="326"/>
    </row>
    <row r="340" spans="13:14" ht="9.9499999999999993" customHeight="1" x14ac:dyDescent="0.2">
      <c r="M340" s="326"/>
      <c r="N340" s="326"/>
    </row>
    <row r="341" spans="13:14" ht="9.9499999999999993" customHeight="1" x14ac:dyDescent="0.2">
      <c r="M341" s="326"/>
      <c r="N341" s="326"/>
    </row>
    <row r="342" spans="13:14" ht="9.9499999999999993" customHeight="1" x14ac:dyDescent="0.2">
      <c r="M342" s="326"/>
      <c r="N342" s="326"/>
    </row>
    <row r="343" spans="13:14" ht="9.9499999999999993" customHeight="1" x14ac:dyDescent="0.2">
      <c r="M343" s="326"/>
      <c r="N343" s="326"/>
    </row>
    <row r="344" spans="13:14" ht="9.9499999999999993" customHeight="1" x14ac:dyDescent="0.2">
      <c r="M344" s="326"/>
      <c r="N344" s="326"/>
    </row>
    <row r="345" spans="13:14" ht="9.9499999999999993" customHeight="1" x14ac:dyDescent="0.2">
      <c r="M345" s="326"/>
      <c r="N345" s="326"/>
    </row>
    <row r="346" spans="13:14" ht="9.9499999999999993" customHeight="1" x14ac:dyDescent="0.2">
      <c r="M346" s="326"/>
      <c r="N346" s="326"/>
    </row>
    <row r="347" spans="13:14" ht="9.9499999999999993" customHeight="1" x14ac:dyDescent="0.2">
      <c r="M347" s="326"/>
      <c r="N347" s="326"/>
    </row>
    <row r="348" spans="13:14" ht="9.9499999999999993" customHeight="1" x14ac:dyDescent="0.2">
      <c r="M348" s="326"/>
      <c r="N348" s="326"/>
    </row>
    <row r="349" spans="13:14" ht="9.9499999999999993" customHeight="1" x14ac:dyDescent="0.2">
      <c r="M349" s="326"/>
      <c r="N349" s="326"/>
    </row>
    <row r="350" spans="13:14" ht="9.9499999999999993" customHeight="1" x14ac:dyDescent="0.2">
      <c r="M350" s="326"/>
      <c r="N350" s="326"/>
    </row>
    <row r="351" spans="13:14" ht="9.9499999999999993" customHeight="1" x14ac:dyDescent="0.2">
      <c r="M351" s="326"/>
      <c r="N351" s="326"/>
    </row>
    <row r="352" spans="13:14" ht="9.9499999999999993" customHeight="1" x14ac:dyDescent="0.2">
      <c r="M352" s="326"/>
      <c r="N352" s="326"/>
    </row>
    <row r="353" spans="13:14" ht="9.9499999999999993" customHeight="1" x14ac:dyDescent="0.2">
      <c r="M353" s="326"/>
      <c r="N353" s="326"/>
    </row>
    <row r="354" spans="13:14" ht="9.9499999999999993" customHeight="1" x14ac:dyDescent="0.2">
      <c r="M354" s="326"/>
      <c r="N354" s="326"/>
    </row>
    <row r="355" spans="13:14" ht="9.9499999999999993" customHeight="1" x14ac:dyDescent="0.2">
      <c r="M355" s="326"/>
      <c r="N355" s="326"/>
    </row>
    <row r="356" spans="13:14" ht="9.9499999999999993" customHeight="1" x14ac:dyDescent="0.2">
      <c r="M356" s="326"/>
      <c r="N356" s="326"/>
    </row>
    <row r="357" spans="13:14" ht="9.9499999999999993" customHeight="1" x14ac:dyDescent="0.2">
      <c r="M357" s="326"/>
      <c r="N357" s="326"/>
    </row>
    <row r="358" spans="13:14" ht="9.9499999999999993" customHeight="1" x14ac:dyDescent="0.2">
      <c r="M358" s="326"/>
      <c r="N358" s="326"/>
    </row>
    <row r="359" spans="13:14" ht="9.9499999999999993" customHeight="1" x14ac:dyDescent="0.2">
      <c r="M359" s="326"/>
      <c r="N359" s="326"/>
    </row>
    <row r="360" spans="13:14" ht="9.9499999999999993" customHeight="1" x14ac:dyDescent="0.2">
      <c r="M360" s="326"/>
      <c r="N360" s="326"/>
    </row>
    <row r="361" spans="13:14" ht="9.9499999999999993" customHeight="1" x14ac:dyDescent="0.2">
      <c r="M361" s="326"/>
      <c r="N361" s="326"/>
    </row>
    <row r="362" spans="13:14" ht="9.9499999999999993" customHeight="1" x14ac:dyDescent="0.2">
      <c r="M362" s="326"/>
      <c r="N362" s="326"/>
    </row>
    <row r="363" spans="13:14" ht="9.9499999999999993" customHeight="1" x14ac:dyDescent="0.2">
      <c r="M363" s="326"/>
      <c r="N363" s="326"/>
    </row>
    <row r="364" spans="13:14" ht="9.9499999999999993" customHeight="1" x14ac:dyDescent="0.2">
      <c r="M364" s="326"/>
      <c r="N364" s="326"/>
    </row>
    <row r="365" spans="13:14" ht="9.9499999999999993" customHeight="1" x14ac:dyDescent="0.2">
      <c r="M365" s="326"/>
      <c r="N365" s="326"/>
    </row>
    <row r="366" spans="13:14" ht="9.9499999999999993" customHeight="1" x14ac:dyDescent="0.2">
      <c r="M366" s="326"/>
      <c r="N366" s="326"/>
    </row>
    <row r="367" spans="13:14" ht="9.9499999999999993" customHeight="1" x14ac:dyDescent="0.2">
      <c r="M367" s="326"/>
      <c r="N367" s="326"/>
    </row>
    <row r="368" spans="13:14" ht="9.9499999999999993" customHeight="1" x14ac:dyDescent="0.2">
      <c r="M368" s="326"/>
      <c r="N368" s="326"/>
    </row>
    <row r="369" spans="13:14" ht="9.9499999999999993" customHeight="1" x14ac:dyDescent="0.2">
      <c r="M369" s="326"/>
      <c r="N369" s="326"/>
    </row>
    <row r="370" spans="13:14" ht="9.9499999999999993" customHeight="1" x14ac:dyDescent="0.2">
      <c r="M370" s="326"/>
      <c r="N370" s="326"/>
    </row>
    <row r="371" spans="13:14" ht="9.9499999999999993" customHeight="1" x14ac:dyDescent="0.2">
      <c r="M371" s="326"/>
      <c r="N371" s="326"/>
    </row>
    <row r="372" spans="13:14" ht="9.9499999999999993" customHeight="1" x14ac:dyDescent="0.2">
      <c r="M372" s="326"/>
      <c r="N372" s="326"/>
    </row>
    <row r="373" spans="13:14" ht="9.9499999999999993" customHeight="1" x14ac:dyDescent="0.2">
      <c r="M373" s="326"/>
      <c r="N373" s="326"/>
    </row>
    <row r="374" spans="13:14" ht="9.9499999999999993" customHeight="1" x14ac:dyDescent="0.2">
      <c r="M374" s="326"/>
      <c r="N374" s="326"/>
    </row>
    <row r="375" spans="13:14" ht="9.9499999999999993" customHeight="1" x14ac:dyDescent="0.2">
      <c r="M375" s="326"/>
      <c r="N375" s="326"/>
    </row>
    <row r="376" spans="13:14" ht="9.9499999999999993" customHeight="1" x14ac:dyDescent="0.2">
      <c r="M376" s="326"/>
      <c r="N376" s="326"/>
    </row>
    <row r="377" spans="13:14" ht="9.9499999999999993" customHeight="1" x14ac:dyDescent="0.2">
      <c r="M377" s="326"/>
      <c r="N377" s="326"/>
    </row>
    <row r="378" spans="13:14" ht="9.9499999999999993" customHeight="1" x14ac:dyDescent="0.2">
      <c r="M378" s="326"/>
      <c r="N378" s="326"/>
    </row>
    <row r="379" spans="13:14" ht="9.9499999999999993" customHeight="1" x14ac:dyDescent="0.2">
      <c r="M379" s="326"/>
      <c r="N379" s="326"/>
    </row>
    <row r="380" spans="13:14" ht="9.9499999999999993" customHeight="1" x14ac:dyDescent="0.2">
      <c r="M380" s="326"/>
      <c r="N380" s="326"/>
    </row>
    <row r="381" spans="13:14" ht="9.9499999999999993" customHeight="1" x14ac:dyDescent="0.2">
      <c r="M381" s="326"/>
      <c r="N381" s="326"/>
    </row>
    <row r="382" spans="13:14" ht="9.9499999999999993" customHeight="1" x14ac:dyDescent="0.2">
      <c r="M382" s="326"/>
      <c r="N382" s="326"/>
    </row>
    <row r="383" spans="13:14" ht="9.9499999999999993" customHeight="1" x14ac:dyDescent="0.2">
      <c r="M383" s="326"/>
      <c r="N383" s="326"/>
    </row>
    <row r="384" spans="13:14" ht="9.9499999999999993" customHeight="1" x14ac:dyDescent="0.2">
      <c r="M384" s="326"/>
      <c r="N384" s="326"/>
    </row>
    <row r="385" spans="13:14" ht="9.9499999999999993" customHeight="1" x14ac:dyDescent="0.2">
      <c r="M385" s="326"/>
      <c r="N385" s="326"/>
    </row>
    <row r="386" spans="13:14" ht="9.9499999999999993" customHeight="1" x14ac:dyDescent="0.2">
      <c r="M386" s="326"/>
      <c r="N386" s="326"/>
    </row>
    <row r="387" spans="13:14" ht="9.9499999999999993" customHeight="1" x14ac:dyDescent="0.2">
      <c r="M387" s="326"/>
      <c r="N387" s="326"/>
    </row>
    <row r="388" spans="13:14" ht="9.9499999999999993" customHeight="1" x14ac:dyDescent="0.2">
      <c r="M388" s="326"/>
      <c r="N388" s="326"/>
    </row>
    <row r="389" spans="13:14" ht="9.9499999999999993" customHeight="1" x14ac:dyDescent="0.2">
      <c r="M389" s="326"/>
      <c r="N389" s="326"/>
    </row>
    <row r="390" spans="13:14" ht="9.9499999999999993" customHeight="1" x14ac:dyDescent="0.2">
      <c r="M390" s="326"/>
      <c r="N390" s="326"/>
    </row>
    <row r="391" spans="13:14" ht="9.9499999999999993" customHeight="1" x14ac:dyDescent="0.2">
      <c r="M391" s="326"/>
      <c r="N391" s="326"/>
    </row>
    <row r="392" spans="13:14" ht="9.9499999999999993" customHeight="1" x14ac:dyDescent="0.2">
      <c r="M392" s="326"/>
      <c r="N392" s="326"/>
    </row>
    <row r="393" spans="13:14" ht="9.9499999999999993" customHeight="1" x14ac:dyDescent="0.2">
      <c r="M393" s="326"/>
      <c r="N393" s="326"/>
    </row>
    <row r="394" spans="13:14" ht="9.9499999999999993" customHeight="1" x14ac:dyDescent="0.2">
      <c r="M394" s="326"/>
      <c r="N394" s="326"/>
    </row>
    <row r="395" spans="13:14" ht="9.9499999999999993" customHeight="1" x14ac:dyDescent="0.2">
      <c r="M395" s="326"/>
      <c r="N395" s="326"/>
    </row>
    <row r="396" spans="13:14" ht="9.9499999999999993" customHeight="1" x14ac:dyDescent="0.2">
      <c r="M396" s="326"/>
      <c r="N396" s="326"/>
    </row>
    <row r="397" spans="13:14" ht="9.9499999999999993" customHeight="1" x14ac:dyDescent="0.2">
      <c r="M397" s="326"/>
      <c r="N397" s="326"/>
    </row>
    <row r="398" spans="13:14" ht="9.9499999999999993" customHeight="1" x14ac:dyDescent="0.2">
      <c r="M398" s="326"/>
      <c r="N398" s="326"/>
    </row>
    <row r="399" spans="13:14" ht="9.9499999999999993" customHeight="1" x14ac:dyDescent="0.2">
      <c r="M399" s="326"/>
      <c r="N399" s="326"/>
    </row>
    <row r="400" spans="13:14" ht="9.9499999999999993" customHeight="1" x14ac:dyDescent="0.2">
      <c r="M400" s="326"/>
      <c r="N400" s="326"/>
    </row>
    <row r="401" spans="13:14" ht="9.9499999999999993" customHeight="1" x14ac:dyDescent="0.2">
      <c r="M401" s="326"/>
      <c r="N401" s="326"/>
    </row>
    <row r="402" spans="13:14" ht="9.9499999999999993" customHeight="1" x14ac:dyDescent="0.2">
      <c r="M402" s="326"/>
      <c r="N402" s="326"/>
    </row>
    <row r="403" spans="13:14" ht="9.9499999999999993" customHeight="1" x14ac:dyDescent="0.2">
      <c r="M403" s="326"/>
      <c r="N403" s="326"/>
    </row>
    <row r="404" spans="13:14" ht="9.9499999999999993" customHeight="1" x14ac:dyDescent="0.2">
      <c r="M404" s="326"/>
      <c r="N404" s="326"/>
    </row>
    <row r="405" spans="13:14" ht="9.9499999999999993" customHeight="1" x14ac:dyDescent="0.2">
      <c r="M405" s="326"/>
      <c r="N405" s="326"/>
    </row>
    <row r="406" spans="13:14" ht="9.9499999999999993" customHeight="1" x14ac:dyDescent="0.2">
      <c r="M406" s="326"/>
      <c r="N406" s="326"/>
    </row>
    <row r="407" spans="13:14" ht="9.9499999999999993" customHeight="1" x14ac:dyDescent="0.2">
      <c r="M407" s="326"/>
      <c r="N407" s="326"/>
    </row>
    <row r="408" spans="13:14" ht="9.9499999999999993" customHeight="1" x14ac:dyDescent="0.2">
      <c r="M408" s="326"/>
      <c r="N408" s="326"/>
    </row>
    <row r="409" spans="13:14" ht="9.9499999999999993" customHeight="1" x14ac:dyDescent="0.2">
      <c r="M409" s="326"/>
      <c r="N409" s="326"/>
    </row>
    <row r="410" spans="13:14" ht="9.9499999999999993" customHeight="1" x14ac:dyDescent="0.2">
      <c r="M410" s="326"/>
      <c r="N410" s="326"/>
    </row>
    <row r="411" spans="13:14" ht="9.9499999999999993" customHeight="1" x14ac:dyDescent="0.2">
      <c r="M411" s="326"/>
      <c r="N411" s="326"/>
    </row>
    <row r="412" spans="13:14" ht="9.9499999999999993" customHeight="1" x14ac:dyDescent="0.2">
      <c r="M412" s="326"/>
      <c r="N412" s="326"/>
    </row>
    <row r="413" spans="13:14" ht="9.9499999999999993" customHeight="1" x14ac:dyDescent="0.2">
      <c r="M413" s="326"/>
      <c r="N413" s="326"/>
    </row>
    <row r="414" spans="13:14" ht="9.9499999999999993" customHeight="1" x14ac:dyDescent="0.2">
      <c r="M414" s="326"/>
      <c r="N414" s="326"/>
    </row>
    <row r="415" spans="13:14" ht="9.9499999999999993" customHeight="1" x14ac:dyDescent="0.2">
      <c r="M415" s="326"/>
      <c r="N415" s="326"/>
    </row>
    <row r="416" spans="13:14" ht="9.9499999999999993" customHeight="1" x14ac:dyDescent="0.2">
      <c r="M416" s="326"/>
      <c r="N416" s="326"/>
    </row>
    <row r="417" spans="13:14" ht="9.9499999999999993" customHeight="1" x14ac:dyDescent="0.2">
      <c r="M417" s="326"/>
      <c r="N417" s="326"/>
    </row>
    <row r="418" spans="13:14" ht="9.9499999999999993" customHeight="1" x14ac:dyDescent="0.2">
      <c r="M418" s="326"/>
      <c r="N418" s="326"/>
    </row>
    <row r="419" spans="13:14" ht="9.9499999999999993" customHeight="1" x14ac:dyDescent="0.2">
      <c r="M419" s="326"/>
      <c r="N419" s="326"/>
    </row>
    <row r="420" spans="13:14" ht="9.9499999999999993" customHeight="1" x14ac:dyDescent="0.2">
      <c r="M420" s="326"/>
      <c r="N420" s="326"/>
    </row>
    <row r="421" spans="13:14" ht="9.9499999999999993" customHeight="1" x14ac:dyDescent="0.2">
      <c r="M421" s="326"/>
      <c r="N421" s="326"/>
    </row>
    <row r="422" spans="13:14" ht="9.9499999999999993" customHeight="1" x14ac:dyDescent="0.2">
      <c r="M422" s="326"/>
      <c r="N422" s="326"/>
    </row>
    <row r="423" spans="13:14" ht="9.9499999999999993" customHeight="1" x14ac:dyDescent="0.2">
      <c r="M423" s="326"/>
      <c r="N423" s="326"/>
    </row>
    <row r="424" spans="13:14" ht="9.9499999999999993" customHeight="1" x14ac:dyDescent="0.2">
      <c r="M424" s="326"/>
      <c r="N424" s="326"/>
    </row>
    <row r="425" spans="13:14" ht="9.9499999999999993" customHeight="1" x14ac:dyDescent="0.2">
      <c r="M425" s="326"/>
      <c r="N425" s="326"/>
    </row>
    <row r="426" spans="13:14" ht="9.9499999999999993" customHeight="1" x14ac:dyDescent="0.2">
      <c r="M426" s="326"/>
      <c r="N426" s="326"/>
    </row>
    <row r="427" spans="13:14" ht="9.9499999999999993" customHeight="1" x14ac:dyDescent="0.2">
      <c r="M427" s="326"/>
      <c r="N427" s="326"/>
    </row>
    <row r="428" spans="13:14" ht="9.9499999999999993" customHeight="1" x14ac:dyDescent="0.2">
      <c r="M428" s="326"/>
      <c r="N428" s="326"/>
    </row>
    <row r="429" spans="13:14" ht="9.9499999999999993" customHeight="1" x14ac:dyDescent="0.2">
      <c r="M429" s="326"/>
      <c r="N429" s="326"/>
    </row>
    <row r="430" spans="13:14" ht="9.9499999999999993" customHeight="1" x14ac:dyDescent="0.2">
      <c r="M430" s="326"/>
      <c r="N430" s="326"/>
    </row>
    <row r="431" spans="13:14" ht="9.9499999999999993" customHeight="1" x14ac:dyDescent="0.2">
      <c r="M431" s="326"/>
      <c r="N431" s="326"/>
    </row>
    <row r="432" spans="13:14" ht="9.9499999999999993" customHeight="1" x14ac:dyDescent="0.2">
      <c r="M432" s="326"/>
      <c r="N432" s="326"/>
    </row>
    <row r="433" spans="13:14" ht="9.9499999999999993" customHeight="1" x14ac:dyDescent="0.2">
      <c r="M433" s="326"/>
      <c r="N433" s="326"/>
    </row>
    <row r="434" spans="13:14" ht="9.9499999999999993" customHeight="1" x14ac:dyDescent="0.2">
      <c r="M434" s="326"/>
      <c r="N434" s="326"/>
    </row>
    <row r="435" spans="13:14" ht="9.9499999999999993" customHeight="1" x14ac:dyDescent="0.2">
      <c r="M435" s="326"/>
      <c r="N435" s="326"/>
    </row>
    <row r="436" spans="13:14" ht="9.9499999999999993" customHeight="1" x14ac:dyDescent="0.2">
      <c r="M436" s="326"/>
      <c r="N436" s="326"/>
    </row>
    <row r="437" spans="13:14" ht="9.9499999999999993" customHeight="1" x14ac:dyDescent="0.2">
      <c r="M437" s="326"/>
      <c r="N437" s="326"/>
    </row>
    <row r="438" spans="13:14" ht="9.9499999999999993" customHeight="1" x14ac:dyDescent="0.2">
      <c r="M438" s="326"/>
      <c r="N438" s="326"/>
    </row>
    <row r="439" spans="13:14" ht="9.9499999999999993" customHeight="1" x14ac:dyDescent="0.2">
      <c r="M439" s="326"/>
      <c r="N439" s="326"/>
    </row>
    <row r="440" spans="13:14" ht="9.9499999999999993" customHeight="1" x14ac:dyDescent="0.2">
      <c r="M440" s="326"/>
      <c r="N440" s="326"/>
    </row>
    <row r="441" spans="13:14" ht="9.9499999999999993" customHeight="1" x14ac:dyDescent="0.2">
      <c r="M441" s="326"/>
      <c r="N441" s="326"/>
    </row>
    <row r="442" spans="13:14" ht="9.9499999999999993" customHeight="1" x14ac:dyDescent="0.2">
      <c r="M442" s="326"/>
      <c r="N442" s="326"/>
    </row>
    <row r="443" spans="13:14" ht="9.9499999999999993" customHeight="1" x14ac:dyDescent="0.2">
      <c r="M443" s="326"/>
      <c r="N443" s="326"/>
    </row>
    <row r="444" spans="13:14" ht="9.9499999999999993" customHeight="1" x14ac:dyDescent="0.2">
      <c r="M444" s="326"/>
      <c r="N444" s="326"/>
    </row>
    <row r="445" spans="13:14" ht="9.9499999999999993" customHeight="1" x14ac:dyDescent="0.2">
      <c r="M445" s="326"/>
      <c r="N445" s="326"/>
    </row>
    <row r="446" spans="13:14" ht="9.9499999999999993" customHeight="1" x14ac:dyDescent="0.2">
      <c r="M446" s="326"/>
      <c r="N446" s="326"/>
    </row>
    <row r="447" spans="13:14" ht="9.9499999999999993" customHeight="1" x14ac:dyDescent="0.2">
      <c r="M447" s="326"/>
      <c r="N447" s="326"/>
    </row>
    <row r="448" spans="13:14" ht="9.9499999999999993" customHeight="1" x14ac:dyDescent="0.2">
      <c r="M448" s="326"/>
      <c r="N448" s="326"/>
    </row>
    <row r="449" spans="13:14" ht="9.9499999999999993" customHeight="1" x14ac:dyDescent="0.2">
      <c r="M449" s="326"/>
      <c r="N449" s="326"/>
    </row>
    <row r="450" spans="13:14" ht="9.9499999999999993" customHeight="1" x14ac:dyDescent="0.2">
      <c r="M450" s="326"/>
      <c r="N450" s="326"/>
    </row>
    <row r="451" spans="13:14" ht="9.9499999999999993" customHeight="1" x14ac:dyDescent="0.2">
      <c r="M451" s="326"/>
      <c r="N451" s="326"/>
    </row>
    <row r="452" spans="13:14" ht="9.9499999999999993" customHeight="1" x14ac:dyDescent="0.2">
      <c r="M452" s="326"/>
      <c r="N452" s="326"/>
    </row>
    <row r="453" spans="13:14" ht="9.9499999999999993" customHeight="1" x14ac:dyDescent="0.2">
      <c r="M453" s="326"/>
      <c r="N453" s="326"/>
    </row>
    <row r="454" spans="13:14" ht="9.9499999999999993" customHeight="1" x14ac:dyDescent="0.2">
      <c r="M454" s="326"/>
      <c r="N454" s="326"/>
    </row>
    <row r="455" spans="13:14" ht="9.9499999999999993" customHeight="1" x14ac:dyDescent="0.2">
      <c r="M455" s="326"/>
      <c r="N455" s="326"/>
    </row>
    <row r="456" spans="13:14" ht="9.9499999999999993" customHeight="1" x14ac:dyDescent="0.2">
      <c r="M456" s="326"/>
      <c r="N456" s="326"/>
    </row>
    <row r="457" spans="13:14" ht="9.9499999999999993" customHeight="1" x14ac:dyDescent="0.2">
      <c r="M457" s="326"/>
      <c r="N457" s="326"/>
    </row>
    <row r="458" spans="13:14" ht="9.9499999999999993" customHeight="1" x14ac:dyDescent="0.2">
      <c r="M458" s="326"/>
      <c r="N458" s="326"/>
    </row>
    <row r="459" spans="13:14" ht="9.9499999999999993" customHeight="1" x14ac:dyDescent="0.2">
      <c r="M459" s="326"/>
      <c r="N459" s="326"/>
    </row>
    <row r="460" spans="13:14" ht="9.9499999999999993" customHeight="1" x14ac:dyDescent="0.2">
      <c r="M460" s="326"/>
      <c r="N460" s="326"/>
    </row>
    <row r="461" spans="13:14" ht="9.9499999999999993" customHeight="1" x14ac:dyDescent="0.2">
      <c r="M461" s="326"/>
      <c r="N461" s="326"/>
    </row>
    <row r="462" spans="13:14" ht="9.9499999999999993" customHeight="1" x14ac:dyDescent="0.2">
      <c r="M462" s="326"/>
      <c r="N462" s="326"/>
    </row>
    <row r="463" spans="13:14" ht="9.9499999999999993" customHeight="1" x14ac:dyDescent="0.2">
      <c r="M463" s="326"/>
      <c r="N463" s="326"/>
    </row>
    <row r="464" spans="13:14" ht="9.9499999999999993" customHeight="1" x14ac:dyDescent="0.2">
      <c r="M464" s="326"/>
      <c r="N464" s="326"/>
    </row>
    <row r="465" spans="13:14" ht="9.9499999999999993" customHeight="1" x14ac:dyDescent="0.2">
      <c r="M465" s="326"/>
      <c r="N465" s="326"/>
    </row>
    <row r="466" spans="13:14" ht="9.9499999999999993" customHeight="1" x14ac:dyDescent="0.2">
      <c r="M466" s="326"/>
      <c r="N466" s="326"/>
    </row>
    <row r="467" spans="13:14" ht="9.9499999999999993" customHeight="1" x14ac:dyDescent="0.2">
      <c r="M467" s="326"/>
      <c r="N467" s="326"/>
    </row>
    <row r="468" spans="13:14" ht="9.9499999999999993" customHeight="1" x14ac:dyDescent="0.2">
      <c r="M468" s="326"/>
      <c r="N468" s="326"/>
    </row>
    <row r="469" spans="13:14" ht="9.9499999999999993" customHeight="1" x14ac:dyDescent="0.2">
      <c r="M469" s="326"/>
      <c r="N469" s="326"/>
    </row>
    <row r="470" spans="13:14" ht="9.9499999999999993" customHeight="1" x14ac:dyDescent="0.2">
      <c r="M470" s="326"/>
      <c r="N470" s="326"/>
    </row>
    <row r="471" spans="13:14" ht="9.9499999999999993" customHeight="1" x14ac:dyDescent="0.2">
      <c r="M471" s="326"/>
      <c r="N471" s="326"/>
    </row>
    <row r="472" spans="13:14" ht="9.9499999999999993" customHeight="1" x14ac:dyDescent="0.2">
      <c r="M472" s="326"/>
      <c r="N472" s="326"/>
    </row>
    <row r="473" spans="13:14" ht="9.9499999999999993" customHeight="1" x14ac:dyDescent="0.2">
      <c r="M473" s="326"/>
      <c r="N473" s="326"/>
    </row>
    <row r="474" spans="13:14" ht="9.9499999999999993" customHeight="1" x14ac:dyDescent="0.2">
      <c r="M474" s="326"/>
      <c r="N474" s="326"/>
    </row>
    <row r="475" spans="13:14" ht="9.9499999999999993" customHeight="1" x14ac:dyDescent="0.2">
      <c r="M475" s="326"/>
      <c r="N475" s="326"/>
    </row>
    <row r="476" spans="13:14" ht="9.9499999999999993" customHeight="1" x14ac:dyDescent="0.2">
      <c r="M476" s="326"/>
      <c r="N476" s="326"/>
    </row>
    <row r="477" spans="13:14" ht="9.9499999999999993" customHeight="1" x14ac:dyDescent="0.2">
      <c r="M477" s="326"/>
      <c r="N477" s="326"/>
    </row>
    <row r="478" spans="13:14" ht="9.9499999999999993" customHeight="1" x14ac:dyDescent="0.2">
      <c r="M478" s="326"/>
      <c r="N478" s="326"/>
    </row>
    <row r="479" spans="13:14" ht="9.9499999999999993" customHeight="1" x14ac:dyDescent="0.2">
      <c r="M479" s="326"/>
      <c r="N479" s="326"/>
    </row>
    <row r="480" spans="13:14" ht="9.9499999999999993" customHeight="1" x14ac:dyDescent="0.2">
      <c r="M480" s="326"/>
      <c r="N480" s="326"/>
    </row>
    <row r="481" spans="13:14" ht="9.9499999999999993" customHeight="1" x14ac:dyDescent="0.2">
      <c r="M481" s="326"/>
      <c r="N481" s="326"/>
    </row>
    <row r="482" spans="13:14" ht="9.9499999999999993" customHeight="1" x14ac:dyDescent="0.2">
      <c r="M482" s="326"/>
      <c r="N482" s="326"/>
    </row>
    <row r="483" spans="13:14" ht="9.9499999999999993" customHeight="1" x14ac:dyDescent="0.2">
      <c r="M483" s="326"/>
      <c r="N483" s="326"/>
    </row>
    <row r="484" spans="13:14" ht="9.9499999999999993" customHeight="1" x14ac:dyDescent="0.2">
      <c r="M484" s="326"/>
      <c r="N484" s="326"/>
    </row>
    <row r="485" spans="13:14" ht="9.9499999999999993" customHeight="1" x14ac:dyDescent="0.2">
      <c r="M485" s="326"/>
      <c r="N485" s="326"/>
    </row>
    <row r="486" spans="13:14" ht="9.9499999999999993" customHeight="1" x14ac:dyDescent="0.2">
      <c r="M486" s="326"/>
      <c r="N486" s="326"/>
    </row>
    <row r="487" spans="13:14" ht="9.9499999999999993" customHeight="1" x14ac:dyDescent="0.2">
      <c r="M487" s="326"/>
      <c r="N487" s="326"/>
    </row>
    <row r="488" spans="13:14" ht="9.9499999999999993" customHeight="1" x14ac:dyDescent="0.2">
      <c r="M488" s="326"/>
      <c r="N488" s="326"/>
    </row>
    <row r="489" spans="13:14" ht="9.9499999999999993" customHeight="1" x14ac:dyDescent="0.2">
      <c r="M489" s="326"/>
      <c r="N489" s="326"/>
    </row>
    <row r="490" spans="13:14" ht="9.9499999999999993" customHeight="1" x14ac:dyDescent="0.2">
      <c r="M490" s="326"/>
      <c r="N490" s="326"/>
    </row>
    <row r="491" spans="13:14" ht="9.9499999999999993" customHeight="1" x14ac:dyDescent="0.2">
      <c r="M491" s="326"/>
      <c r="N491" s="326"/>
    </row>
    <row r="492" spans="13:14" ht="9.9499999999999993" customHeight="1" x14ac:dyDescent="0.2">
      <c r="M492" s="326"/>
      <c r="N492" s="326"/>
    </row>
    <row r="493" spans="13:14" ht="9.9499999999999993" customHeight="1" x14ac:dyDescent="0.2">
      <c r="M493" s="326"/>
      <c r="N493" s="326"/>
    </row>
    <row r="494" spans="13:14" ht="9.9499999999999993" customHeight="1" x14ac:dyDescent="0.2">
      <c r="M494" s="326"/>
      <c r="N494" s="326"/>
    </row>
    <row r="495" spans="13:14" ht="9.9499999999999993" customHeight="1" x14ac:dyDescent="0.2">
      <c r="M495" s="326"/>
      <c r="N495" s="326"/>
    </row>
    <row r="496" spans="13:14" ht="9.9499999999999993" customHeight="1" x14ac:dyDescent="0.2">
      <c r="M496" s="326"/>
      <c r="N496" s="326"/>
    </row>
    <row r="497" spans="13:14" ht="9.9499999999999993" customHeight="1" x14ac:dyDescent="0.2">
      <c r="M497" s="326"/>
      <c r="N497" s="326"/>
    </row>
    <row r="498" spans="13:14" ht="9.9499999999999993" customHeight="1" x14ac:dyDescent="0.2">
      <c r="M498" s="326"/>
      <c r="N498" s="326"/>
    </row>
    <row r="499" spans="13:14" ht="9.9499999999999993" customHeight="1" x14ac:dyDescent="0.2">
      <c r="M499" s="326"/>
      <c r="N499" s="326"/>
    </row>
    <row r="500" spans="13:14" ht="9.9499999999999993" customHeight="1" x14ac:dyDescent="0.2">
      <c r="M500" s="326"/>
      <c r="N500" s="326"/>
    </row>
    <row r="501" spans="13:14" ht="9.9499999999999993" customHeight="1" x14ac:dyDescent="0.2">
      <c r="M501" s="326"/>
      <c r="N501" s="326"/>
    </row>
    <row r="502" spans="13:14" ht="9.9499999999999993" customHeight="1" x14ac:dyDescent="0.2">
      <c r="M502" s="326"/>
      <c r="N502" s="326"/>
    </row>
    <row r="503" spans="13:14" ht="9.9499999999999993" customHeight="1" x14ac:dyDescent="0.2">
      <c r="M503" s="326"/>
      <c r="N503" s="326"/>
    </row>
    <row r="504" spans="13:14" ht="9.9499999999999993" customHeight="1" x14ac:dyDescent="0.2">
      <c r="M504" s="326"/>
      <c r="N504" s="326"/>
    </row>
    <row r="505" spans="13:14" ht="9.9499999999999993" customHeight="1" x14ac:dyDescent="0.2">
      <c r="M505" s="326"/>
      <c r="N505" s="326"/>
    </row>
    <row r="506" spans="13:14" ht="9.9499999999999993" customHeight="1" x14ac:dyDescent="0.2">
      <c r="M506" s="326"/>
      <c r="N506" s="326"/>
    </row>
    <row r="507" spans="13:14" ht="9.9499999999999993" customHeight="1" x14ac:dyDescent="0.2">
      <c r="M507" s="326"/>
      <c r="N507" s="326"/>
    </row>
    <row r="508" spans="13:14" ht="9.9499999999999993" customHeight="1" x14ac:dyDescent="0.2">
      <c r="M508" s="326"/>
      <c r="N508" s="326"/>
    </row>
    <row r="509" spans="13:14" ht="9.9499999999999993" customHeight="1" x14ac:dyDescent="0.2">
      <c r="M509" s="326"/>
      <c r="N509" s="326"/>
    </row>
    <row r="510" spans="13:14" ht="9.9499999999999993" customHeight="1" x14ac:dyDescent="0.2">
      <c r="M510" s="326"/>
      <c r="N510" s="326"/>
    </row>
    <row r="511" spans="13:14" ht="9.9499999999999993" customHeight="1" x14ac:dyDescent="0.2">
      <c r="M511" s="326"/>
      <c r="N511" s="326"/>
    </row>
    <row r="512" spans="13:14" ht="9.9499999999999993" customHeight="1" x14ac:dyDescent="0.2">
      <c r="M512" s="326"/>
      <c r="N512" s="326"/>
    </row>
    <row r="513" spans="13:14" ht="9.9499999999999993" customHeight="1" x14ac:dyDescent="0.2">
      <c r="M513" s="326"/>
      <c r="N513" s="326"/>
    </row>
    <row r="514" spans="13:14" ht="9.9499999999999993" customHeight="1" x14ac:dyDescent="0.2">
      <c r="M514" s="326"/>
      <c r="N514" s="326"/>
    </row>
    <row r="515" spans="13:14" ht="9.9499999999999993" customHeight="1" x14ac:dyDescent="0.2">
      <c r="M515" s="326"/>
      <c r="N515" s="326"/>
    </row>
    <row r="516" spans="13:14" ht="9.9499999999999993" customHeight="1" x14ac:dyDescent="0.2">
      <c r="M516" s="326"/>
      <c r="N516" s="326"/>
    </row>
    <row r="517" spans="13:14" ht="9.9499999999999993" customHeight="1" x14ac:dyDescent="0.2">
      <c r="M517" s="326"/>
      <c r="N517" s="326"/>
    </row>
    <row r="518" spans="13:14" ht="9.9499999999999993" customHeight="1" x14ac:dyDescent="0.2">
      <c r="M518" s="326"/>
      <c r="N518" s="326"/>
    </row>
    <row r="519" spans="13:14" ht="9.9499999999999993" customHeight="1" x14ac:dyDescent="0.2">
      <c r="M519" s="326"/>
      <c r="N519" s="326"/>
    </row>
    <row r="520" spans="13:14" ht="9.9499999999999993" customHeight="1" x14ac:dyDescent="0.2">
      <c r="M520" s="326"/>
      <c r="N520" s="326"/>
    </row>
    <row r="521" spans="13:14" ht="9.9499999999999993" customHeight="1" x14ac:dyDescent="0.2">
      <c r="M521" s="326"/>
      <c r="N521" s="326"/>
    </row>
    <row r="522" spans="13:14" ht="9.9499999999999993" customHeight="1" x14ac:dyDescent="0.2">
      <c r="M522" s="326"/>
      <c r="N522" s="326"/>
    </row>
    <row r="523" spans="13:14" ht="9.9499999999999993" customHeight="1" x14ac:dyDescent="0.2">
      <c r="M523" s="326"/>
      <c r="N523" s="326"/>
    </row>
    <row r="524" spans="13:14" ht="9.9499999999999993" customHeight="1" x14ac:dyDescent="0.2">
      <c r="M524" s="326"/>
      <c r="N524" s="326"/>
    </row>
    <row r="525" spans="13:14" ht="9.9499999999999993" customHeight="1" x14ac:dyDescent="0.2">
      <c r="M525" s="326"/>
      <c r="N525" s="326"/>
    </row>
    <row r="526" spans="13:14" ht="9.9499999999999993" customHeight="1" x14ac:dyDescent="0.2">
      <c r="M526" s="326"/>
      <c r="N526" s="326"/>
    </row>
    <row r="527" spans="13:14" ht="9.9499999999999993" customHeight="1" x14ac:dyDescent="0.2">
      <c r="M527" s="326"/>
      <c r="N527" s="326"/>
    </row>
    <row r="528" spans="13:14" ht="9.9499999999999993" customHeight="1" x14ac:dyDescent="0.2">
      <c r="M528" s="326"/>
      <c r="N528" s="326"/>
    </row>
    <row r="529" spans="13:14" ht="9.9499999999999993" customHeight="1" x14ac:dyDescent="0.2">
      <c r="M529" s="326"/>
      <c r="N529" s="326"/>
    </row>
    <row r="530" spans="13:14" ht="9.9499999999999993" customHeight="1" x14ac:dyDescent="0.2">
      <c r="M530" s="326"/>
      <c r="N530" s="326"/>
    </row>
    <row r="531" spans="13:14" ht="9.9499999999999993" customHeight="1" x14ac:dyDescent="0.2">
      <c r="M531" s="326"/>
      <c r="N531" s="326"/>
    </row>
    <row r="532" spans="13:14" ht="9.9499999999999993" customHeight="1" x14ac:dyDescent="0.2">
      <c r="M532" s="326"/>
      <c r="N532" s="326"/>
    </row>
    <row r="533" spans="13:14" ht="9.9499999999999993" customHeight="1" x14ac:dyDescent="0.2">
      <c r="M533" s="326"/>
      <c r="N533" s="326"/>
    </row>
    <row r="534" spans="13:14" ht="9.9499999999999993" customHeight="1" x14ac:dyDescent="0.2">
      <c r="M534" s="326"/>
      <c r="N534" s="326"/>
    </row>
    <row r="535" spans="13:14" ht="9.9499999999999993" customHeight="1" x14ac:dyDescent="0.2">
      <c r="M535" s="326"/>
      <c r="N535" s="326"/>
    </row>
    <row r="536" spans="13:14" ht="9.9499999999999993" customHeight="1" x14ac:dyDescent="0.2">
      <c r="M536" s="326"/>
      <c r="N536" s="326"/>
    </row>
    <row r="537" spans="13:14" ht="9.9499999999999993" customHeight="1" x14ac:dyDescent="0.2">
      <c r="M537" s="326"/>
      <c r="N537" s="326"/>
    </row>
    <row r="538" spans="13:14" ht="9.9499999999999993" customHeight="1" x14ac:dyDescent="0.2">
      <c r="M538" s="326"/>
      <c r="N538" s="326"/>
    </row>
    <row r="539" spans="13:14" ht="9.9499999999999993" customHeight="1" x14ac:dyDescent="0.2">
      <c r="M539" s="326"/>
      <c r="N539" s="326"/>
    </row>
    <row r="540" spans="13:14" ht="9.9499999999999993" customHeight="1" x14ac:dyDescent="0.2">
      <c r="M540" s="326"/>
      <c r="N540" s="326"/>
    </row>
    <row r="541" spans="13:14" ht="9.9499999999999993" customHeight="1" x14ac:dyDescent="0.2">
      <c r="M541" s="326"/>
      <c r="N541" s="326"/>
    </row>
    <row r="542" spans="13:14" ht="9.9499999999999993" customHeight="1" x14ac:dyDescent="0.2">
      <c r="M542" s="326"/>
      <c r="N542" s="326"/>
    </row>
    <row r="543" spans="13:14" ht="9.9499999999999993" customHeight="1" x14ac:dyDescent="0.2">
      <c r="M543" s="326"/>
      <c r="N543" s="326"/>
    </row>
    <row r="544" spans="13:14" ht="9.9499999999999993" customHeight="1" x14ac:dyDescent="0.2">
      <c r="M544" s="326"/>
      <c r="N544" s="326"/>
    </row>
    <row r="545" spans="13:14" ht="9.9499999999999993" customHeight="1" x14ac:dyDescent="0.2">
      <c r="M545" s="326"/>
      <c r="N545" s="326"/>
    </row>
    <row r="546" spans="13:14" ht="9.9499999999999993" customHeight="1" x14ac:dyDescent="0.2">
      <c r="M546" s="326"/>
      <c r="N546" s="326"/>
    </row>
    <row r="547" spans="13:14" ht="9.9499999999999993" customHeight="1" x14ac:dyDescent="0.2">
      <c r="M547" s="326"/>
      <c r="N547" s="326"/>
    </row>
    <row r="548" spans="13:14" ht="9.9499999999999993" customHeight="1" x14ac:dyDescent="0.2">
      <c r="M548" s="326"/>
      <c r="N548" s="326"/>
    </row>
    <row r="549" spans="13:14" ht="9.9499999999999993" customHeight="1" x14ac:dyDescent="0.2">
      <c r="M549" s="326"/>
      <c r="N549" s="326"/>
    </row>
    <row r="550" spans="13:14" ht="9.9499999999999993" customHeight="1" x14ac:dyDescent="0.2">
      <c r="M550" s="326"/>
      <c r="N550" s="326"/>
    </row>
    <row r="551" spans="13:14" ht="9.9499999999999993" customHeight="1" x14ac:dyDescent="0.2">
      <c r="M551" s="326"/>
      <c r="N551" s="326"/>
    </row>
    <row r="552" spans="13:14" ht="9.9499999999999993" customHeight="1" x14ac:dyDescent="0.2">
      <c r="M552" s="326"/>
      <c r="N552" s="326"/>
    </row>
    <row r="553" spans="13:14" ht="9.9499999999999993" customHeight="1" x14ac:dyDescent="0.2">
      <c r="M553" s="326"/>
      <c r="N553" s="326"/>
    </row>
    <row r="554" spans="13:14" ht="9.9499999999999993" customHeight="1" x14ac:dyDescent="0.2">
      <c r="M554" s="326"/>
      <c r="N554" s="326"/>
    </row>
    <row r="555" spans="13:14" ht="9.9499999999999993" customHeight="1" x14ac:dyDescent="0.2">
      <c r="M555" s="326"/>
      <c r="N555" s="326"/>
    </row>
    <row r="556" spans="13:14" ht="9.9499999999999993" customHeight="1" x14ac:dyDescent="0.2">
      <c r="M556" s="326"/>
      <c r="N556" s="326"/>
    </row>
    <row r="557" spans="13:14" ht="9.9499999999999993" customHeight="1" x14ac:dyDescent="0.2">
      <c r="M557" s="326"/>
      <c r="N557" s="326"/>
    </row>
    <row r="558" spans="13:14" ht="9.9499999999999993" customHeight="1" x14ac:dyDescent="0.2">
      <c r="M558" s="326"/>
      <c r="N558" s="326"/>
    </row>
    <row r="559" spans="13:14" ht="9.9499999999999993" customHeight="1" x14ac:dyDescent="0.2">
      <c r="M559" s="326"/>
      <c r="N559" s="326"/>
    </row>
    <row r="560" spans="13:14" ht="9.9499999999999993" customHeight="1" x14ac:dyDescent="0.2">
      <c r="M560" s="326"/>
      <c r="N560" s="326"/>
    </row>
    <row r="561" spans="13:14" ht="9.9499999999999993" customHeight="1" x14ac:dyDescent="0.2">
      <c r="M561" s="326"/>
      <c r="N561" s="326"/>
    </row>
    <row r="562" spans="13:14" ht="9.9499999999999993" customHeight="1" x14ac:dyDescent="0.2">
      <c r="M562" s="326"/>
      <c r="N562" s="326"/>
    </row>
    <row r="563" spans="13:14" ht="9.9499999999999993" customHeight="1" x14ac:dyDescent="0.2">
      <c r="M563" s="326"/>
      <c r="N563" s="326"/>
    </row>
    <row r="564" spans="13:14" ht="9.9499999999999993" customHeight="1" x14ac:dyDescent="0.2">
      <c r="M564" s="326"/>
      <c r="N564" s="326"/>
    </row>
    <row r="565" spans="13:14" ht="9.9499999999999993" customHeight="1" x14ac:dyDescent="0.2">
      <c r="M565" s="326"/>
      <c r="N565" s="326"/>
    </row>
    <row r="566" spans="13:14" ht="9.9499999999999993" customHeight="1" x14ac:dyDescent="0.2">
      <c r="M566" s="326"/>
      <c r="N566" s="326"/>
    </row>
    <row r="567" spans="13:14" ht="9.9499999999999993" customHeight="1" x14ac:dyDescent="0.2">
      <c r="M567" s="326"/>
      <c r="N567" s="326"/>
    </row>
    <row r="568" spans="13:14" ht="9.9499999999999993" customHeight="1" x14ac:dyDescent="0.2">
      <c r="M568" s="326"/>
      <c r="N568" s="326"/>
    </row>
    <row r="569" spans="13:14" ht="9.9499999999999993" customHeight="1" x14ac:dyDescent="0.2">
      <c r="M569" s="326"/>
      <c r="N569" s="326"/>
    </row>
    <row r="570" spans="13:14" ht="9.9499999999999993" customHeight="1" x14ac:dyDescent="0.2">
      <c r="M570" s="326"/>
      <c r="N570" s="326"/>
    </row>
    <row r="571" spans="13:14" ht="9.9499999999999993" customHeight="1" x14ac:dyDescent="0.2">
      <c r="M571" s="326"/>
      <c r="N571" s="326"/>
    </row>
    <row r="572" spans="13:14" ht="9.9499999999999993" customHeight="1" x14ac:dyDescent="0.2">
      <c r="M572" s="326"/>
      <c r="N572" s="326"/>
    </row>
    <row r="573" spans="13:14" ht="9.9499999999999993" customHeight="1" x14ac:dyDescent="0.2">
      <c r="M573" s="326"/>
      <c r="N573" s="326"/>
    </row>
    <row r="574" spans="13:14" ht="9.9499999999999993" customHeight="1" x14ac:dyDescent="0.2">
      <c r="M574" s="326"/>
      <c r="N574" s="326"/>
    </row>
    <row r="575" spans="13:14" ht="9.9499999999999993" customHeight="1" x14ac:dyDescent="0.2">
      <c r="M575" s="326"/>
      <c r="N575" s="326"/>
    </row>
    <row r="576" spans="13:14" ht="9.9499999999999993" customHeight="1" x14ac:dyDescent="0.2">
      <c r="M576" s="326"/>
      <c r="N576" s="326"/>
    </row>
    <row r="577" spans="13:14" ht="9.9499999999999993" customHeight="1" x14ac:dyDescent="0.2">
      <c r="M577" s="326"/>
      <c r="N577" s="326"/>
    </row>
    <row r="578" spans="13:14" ht="9.9499999999999993" customHeight="1" x14ac:dyDescent="0.2">
      <c r="M578" s="326"/>
      <c r="N578" s="326"/>
    </row>
    <row r="579" spans="13:14" ht="9.9499999999999993" customHeight="1" x14ac:dyDescent="0.2">
      <c r="M579" s="326"/>
      <c r="N579" s="326"/>
    </row>
    <row r="580" spans="13:14" ht="9.9499999999999993" customHeight="1" x14ac:dyDescent="0.2">
      <c r="M580" s="326"/>
      <c r="N580" s="326"/>
    </row>
    <row r="581" spans="13:14" ht="9.9499999999999993" customHeight="1" x14ac:dyDescent="0.2">
      <c r="M581" s="326"/>
      <c r="N581" s="326"/>
    </row>
    <row r="582" spans="13:14" ht="9.9499999999999993" customHeight="1" x14ac:dyDescent="0.2">
      <c r="M582" s="326"/>
      <c r="N582" s="326"/>
    </row>
    <row r="583" spans="13:14" ht="9.9499999999999993" customHeight="1" x14ac:dyDescent="0.2">
      <c r="M583" s="326"/>
      <c r="N583" s="326"/>
    </row>
    <row r="584" spans="13:14" ht="9.9499999999999993" customHeight="1" x14ac:dyDescent="0.2">
      <c r="M584" s="326"/>
      <c r="N584" s="326"/>
    </row>
    <row r="585" spans="13:14" ht="9.9499999999999993" customHeight="1" x14ac:dyDescent="0.2">
      <c r="M585" s="326"/>
      <c r="N585" s="326"/>
    </row>
    <row r="586" spans="13:14" ht="9.9499999999999993" customHeight="1" x14ac:dyDescent="0.2">
      <c r="M586" s="326"/>
      <c r="N586" s="326"/>
    </row>
    <row r="587" spans="13:14" ht="9.9499999999999993" customHeight="1" x14ac:dyDescent="0.2">
      <c r="M587" s="326"/>
      <c r="N587" s="326"/>
    </row>
    <row r="588" spans="13:14" ht="9.9499999999999993" customHeight="1" x14ac:dyDescent="0.2">
      <c r="M588" s="326"/>
      <c r="N588" s="326"/>
    </row>
    <row r="589" spans="13:14" ht="9.9499999999999993" customHeight="1" x14ac:dyDescent="0.2">
      <c r="M589" s="326"/>
      <c r="N589" s="326"/>
    </row>
    <row r="590" spans="13:14" ht="9.9499999999999993" customHeight="1" x14ac:dyDescent="0.2">
      <c r="M590" s="326"/>
      <c r="N590" s="326"/>
    </row>
    <row r="591" spans="13:14" ht="9.9499999999999993" customHeight="1" x14ac:dyDescent="0.2">
      <c r="M591" s="326"/>
      <c r="N591" s="326"/>
    </row>
    <row r="592" spans="13:14" ht="9.9499999999999993" customHeight="1" x14ac:dyDescent="0.2">
      <c r="M592" s="326"/>
      <c r="N592" s="326"/>
    </row>
    <row r="593" spans="13:14" ht="9.9499999999999993" customHeight="1" x14ac:dyDescent="0.2">
      <c r="M593" s="326"/>
      <c r="N593" s="326"/>
    </row>
    <row r="594" spans="13:14" ht="9.9499999999999993" customHeight="1" x14ac:dyDescent="0.2">
      <c r="M594" s="326"/>
      <c r="N594" s="326"/>
    </row>
    <row r="595" spans="13:14" ht="9.9499999999999993" customHeight="1" x14ac:dyDescent="0.2">
      <c r="M595" s="326"/>
      <c r="N595" s="326"/>
    </row>
    <row r="596" spans="13:14" ht="9.9499999999999993" customHeight="1" x14ac:dyDescent="0.2">
      <c r="M596" s="326"/>
      <c r="N596" s="326"/>
    </row>
    <row r="597" spans="13:14" ht="9.9499999999999993" customHeight="1" x14ac:dyDescent="0.2">
      <c r="M597" s="326"/>
      <c r="N597" s="326"/>
    </row>
    <row r="598" spans="13:14" ht="9.9499999999999993" customHeight="1" x14ac:dyDescent="0.2">
      <c r="M598" s="326"/>
      <c r="N598" s="326"/>
    </row>
    <row r="599" spans="13:14" ht="9.9499999999999993" customHeight="1" x14ac:dyDescent="0.2">
      <c r="M599" s="326"/>
      <c r="N599" s="326"/>
    </row>
    <row r="600" spans="13:14" ht="9.9499999999999993" customHeight="1" x14ac:dyDescent="0.2">
      <c r="M600" s="326"/>
      <c r="N600" s="326"/>
    </row>
    <row r="601" spans="13:14" ht="9.9499999999999993" customHeight="1" x14ac:dyDescent="0.2">
      <c r="M601" s="326"/>
      <c r="N601" s="326"/>
    </row>
    <row r="602" spans="13:14" ht="9.9499999999999993" customHeight="1" x14ac:dyDescent="0.2">
      <c r="M602" s="326"/>
      <c r="N602" s="326"/>
    </row>
    <row r="603" spans="13:14" ht="9.9499999999999993" customHeight="1" x14ac:dyDescent="0.2">
      <c r="M603" s="326"/>
      <c r="N603" s="326"/>
    </row>
    <row r="604" spans="13:14" ht="9.9499999999999993" customHeight="1" x14ac:dyDescent="0.2">
      <c r="M604" s="326"/>
      <c r="N604" s="326"/>
    </row>
    <row r="605" spans="13:14" ht="9.9499999999999993" customHeight="1" x14ac:dyDescent="0.2">
      <c r="M605" s="326"/>
      <c r="N605" s="326"/>
    </row>
    <row r="606" spans="13:14" ht="9.9499999999999993" customHeight="1" x14ac:dyDescent="0.2">
      <c r="M606" s="326"/>
      <c r="N606" s="326"/>
    </row>
    <row r="607" spans="13:14" ht="9.9499999999999993" customHeight="1" x14ac:dyDescent="0.2">
      <c r="M607" s="326"/>
      <c r="N607" s="326"/>
    </row>
    <row r="608" spans="13:14" ht="9.9499999999999993" customHeight="1" x14ac:dyDescent="0.2">
      <c r="M608" s="326"/>
      <c r="N608" s="326"/>
    </row>
    <row r="609" spans="13:14" ht="9.9499999999999993" customHeight="1" x14ac:dyDescent="0.2">
      <c r="M609" s="326"/>
      <c r="N609" s="326"/>
    </row>
    <row r="610" spans="13:14" ht="9.9499999999999993" customHeight="1" x14ac:dyDescent="0.2">
      <c r="M610" s="326"/>
      <c r="N610" s="326"/>
    </row>
    <row r="611" spans="13:14" ht="9.9499999999999993" customHeight="1" x14ac:dyDescent="0.2">
      <c r="M611" s="326"/>
      <c r="N611" s="326"/>
    </row>
    <row r="612" spans="13:14" ht="9.9499999999999993" customHeight="1" x14ac:dyDescent="0.2">
      <c r="M612" s="326"/>
      <c r="N612" s="326"/>
    </row>
    <row r="613" spans="13:14" ht="9.9499999999999993" customHeight="1" x14ac:dyDescent="0.2">
      <c r="M613" s="326"/>
      <c r="N613" s="326"/>
    </row>
    <row r="614" spans="13:14" ht="9.9499999999999993" customHeight="1" x14ac:dyDescent="0.2">
      <c r="M614" s="326"/>
      <c r="N614" s="326"/>
    </row>
    <row r="615" spans="13:14" ht="9.9499999999999993" customHeight="1" x14ac:dyDescent="0.2">
      <c r="M615" s="326"/>
      <c r="N615" s="326"/>
    </row>
    <row r="616" spans="13:14" ht="9.9499999999999993" customHeight="1" x14ac:dyDescent="0.2">
      <c r="M616" s="326"/>
      <c r="N616" s="326"/>
    </row>
    <row r="617" spans="13:14" ht="9.9499999999999993" customHeight="1" x14ac:dyDescent="0.2">
      <c r="M617" s="326"/>
      <c r="N617" s="326"/>
    </row>
    <row r="618" spans="13:14" ht="9.9499999999999993" customHeight="1" x14ac:dyDescent="0.2">
      <c r="M618" s="326"/>
      <c r="N618" s="326"/>
    </row>
    <row r="619" spans="13:14" ht="9.9499999999999993" customHeight="1" x14ac:dyDescent="0.2">
      <c r="M619" s="326"/>
      <c r="N619" s="326"/>
    </row>
    <row r="620" spans="13:14" ht="9.9499999999999993" customHeight="1" x14ac:dyDescent="0.2">
      <c r="M620" s="326"/>
      <c r="N620" s="326"/>
    </row>
    <row r="621" spans="13:14" ht="9.9499999999999993" customHeight="1" x14ac:dyDescent="0.2">
      <c r="M621" s="326"/>
      <c r="N621" s="326"/>
    </row>
    <row r="622" spans="13:14" ht="9.9499999999999993" customHeight="1" x14ac:dyDescent="0.2">
      <c r="M622" s="326"/>
      <c r="N622" s="326"/>
    </row>
    <row r="623" spans="13:14" ht="9.9499999999999993" customHeight="1" x14ac:dyDescent="0.2">
      <c r="M623" s="326"/>
      <c r="N623" s="326"/>
    </row>
    <row r="624" spans="13:14" ht="9.9499999999999993" customHeight="1" x14ac:dyDescent="0.2">
      <c r="M624" s="326"/>
      <c r="N624" s="326"/>
    </row>
    <row r="625" spans="13:14" ht="9.9499999999999993" customHeight="1" x14ac:dyDescent="0.2">
      <c r="M625" s="326"/>
      <c r="N625" s="326"/>
    </row>
    <row r="626" spans="13:14" ht="9.9499999999999993" customHeight="1" x14ac:dyDescent="0.2">
      <c r="M626" s="326"/>
      <c r="N626" s="326"/>
    </row>
    <row r="627" spans="13:14" ht="9.9499999999999993" customHeight="1" x14ac:dyDescent="0.2">
      <c r="M627" s="326"/>
      <c r="N627" s="326"/>
    </row>
    <row r="628" spans="13:14" ht="9.9499999999999993" customHeight="1" x14ac:dyDescent="0.2">
      <c r="M628" s="326"/>
      <c r="N628" s="326"/>
    </row>
    <row r="629" spans="13:14" ht="9.9499999999999993" customHeight="1" x14ac:dyDescent="0.2">
      <c r="M629" s="326"/>
      <c r="N629" s="326"/>
    </row>
    <row r="630" spans="13:14" ht="9.9499999999999993" customHeight="1" x14ac:dyDescent="0.2">
      <c r="M630" s="326"/>
      <c r="N630" s="326"/>
    </row>
    <row r="631" spans="13:14" ht="9.9499999999999993" customHeight="1" x14ac:dyDescent="0.2">
      <c r="M631" s="326"/>
      <c r="N631" s="326"/>
    </row>
    <row r="632" spans="13:14" ht="9.9499999999999993" customHeight="1" x14ac:dyDescent="0.2">
      <c r="M632" s="326"/>
      <c r="N632" s="326"/>
    </row>
    <row r="633" spans="13:14" ht="9.9499999999999993" customHeight="1" x14ac:dyDescent="0.2">
      <c r="M633" s="326"/>
      <c r="N633" s="326"/>
    </row>
    <row r="634" spans="13:14" ht="9.9499999999999993" customHeight="1" x14ac:dyDescent="0.2">
      <c r="M634" s="326"/>
      <c r="N634" s="326"/>
    </row>
    <row r="635" spans="13:14" ht="9.9499999999999993" customHeight="1" x14ac:dyDescent="0.2">
      <c r="M635" s="326"/>
      <c r="N635" s="326"/>
    </row>
    <row r="636" spans="13:14" ht="9.9499999999999993" customHeight="1" x14ac:dyDescent="0.2">
      <c r="M636" s="326"/>
      <c r="N636" s="326"/>
    </row>
    <row r="637" spans="13:14" ht="9.9499999999999993" customHeight="1" x14ac:dyDescent="0.2">
      <c r="M637" s="326"/>
      <c r="N637" s="326"/>
    </row>
    <row r="638" spans="13:14" ht="9.9499999999999993" customHeight="1" x14ac:dyDescent="0.2">
      <c r="M638" s="326"/>
      <c r="N638" s="326"/>
    </row>
    <row r="639" spans="13:14" ht="9.9499999999999993" customHeight="1" x14ac:dyDescent="0.2">
      <c r="M639" s="326"/>
      <c r="N639" s="326"/>
    </row>
    <row r="640" spans="13:14" ht="9.9499999999999993" customHeight="1" x14ac:dyDescent="0.2">
      <c r="M640" s="326"/>
      <c r="N640" s="326"/>
    </row>
    <row r="641" spans="13:14" ht="9.9499999999999993" customHeight="1" x14ac:dyDescent="0.2">
      <c r="M641" s="326"/>
      <c r="N641" s="326"/>
    </row>
    <row r="642" spans="13:14" ht="9.9499999999999993" customHeight="1" x14ac:dyDescent="0.2">
      <c r="M642" s="326"/>
      <c r="N642" s="326"/>
    </row>
    <row r="643" spans="13:14" ht="9.9499999999999993" customHeight="1" x14ac:dyDescent="0.2">
      <c r="M643" s="326"/>
      <c r="N643" s="326"/>
    </row>
    <row r="644" spans="13:14" ht="9.9499999999999993" customHeight="1" x14ac:dyDescent="0.2">
      <c r="M644" s="326"/>
      <c r="N644" s="326"/>
    </row>
    <row r="645" spans="13:14" ht="9.9499999999999993" customHeight="1" x14ac:dyDescent="0.2">
      <c r="M645" s="326"/>
      <c r="N645" s="326"/>
    </row>
    <row r="646" spans="13:14" ht="9.9499999999999993" customHeight="1" x14ac:dyDescent="0.2">
      <c r="M646" s="326"/>
      <c r="N646" s="326"/>
    </row>
    <row r="647" spans="13:14" ht="9.9499999999999993" customHeight="1" x14ac:dyDescent="0.2">
      <c r="M647" s="326"/>
      <c r="N647" s="326"/>
    </row>
    <row r="648" spans="13:14" ht="9.9499999999999993" customHeight="1" x14ac:dyDescent="0.2">
      <c r="M648" s="326"/>
      <c r="N648" s="326"/>
    </row>
    <row r="649" spans="13:14" ht="9.9499999999999993" customHeight="1" x14ac:dyDescent="0.2">
      <c r="M649" s="326"/>
      <c r="N649" s="326"/>
    </row>
    <row r="650" spans="13:14" ht="9.9499999999999993" customHeight="1" x14ac:dyDescent="0.2">
      <c r="M650" s="326"/>
      <c r="N650" s="326"/>
    </row>
    <row r="651" spans="13:14" ht="9.9499999999999993" customHeight="1" x14ac:dyDescent="0.2">
      <c r="M651" s="326"/>
      <c r="N651" s="326"/>
    </row>
    <row r="652" spans="13:14" ht="9.9499999999999993" customHeight="1" x14ac:dyDescent="0.2">
      <c r="M652" s="326"/>
      <c r="N652" s="326"/>
    </row>
    <row r="653" spans="13:14" ht="9.9499999999999993" customHeight="1" x14ac:dyDescent="0.2">
      <c r="M653" s="326"/>
      <c r="N653" s="326"/>
    </row>
    <row r="654" spans="13:14" ht="9.9499999999999993" customHeight="1" x14ac:dyDescent="0.2">
      <c r="M654" s="326"/>
      <c r="N654" s="326"/>
    </row>
    <row r="655" spans="13:14" ht="9.9499999999999993" customHeight="1" x14ac:dyDescent="0.2">
      <c r="M655" s="326"/>
      <c r="N655" s="326"/>
    </row>
    <row r="656" spans="13:14" ht="9.9499999999999993" customHeight="1" x14ac:dyDescent="0.2">
      <c r="M656" s="326"/>
      <c r="N656" s="326"/>
    </row>
    <row r="657" spans="13:14" ht="9.9499999999999993" customHeight="1" x14ac:dyDescent="0.2">
      <c r="M657" s="326"/>
      <c r="N657" s="326"/>
    </row>
    <row r="658" spans="13:14" ht="9.9499999999999993" customHeight="1" x14ac:dyDescent="0.2">
      <c r="M658" s="326"/>
      <c r="N658" s="326"/>
    </row>
    <row r="659" spans="13:14" ht="9.9499999999999993" customHeight="1" x14ac:dyDescent="0.2">
      <c r="M659" s="326"/>
      <c r="N659" s="326"/>
    </row>
    <row r="660" spans="13:14" ht="9.9499999999999993" customHeight="1" x14ac:dyDescent="0.2">
      <c r="M660" s="326"/>
      <c r="N660" s="326"/>
    </row>
    <row r="661" spans="13:14" ht="9.9499999999999993" customHeight="1" x14ac:dyDescent="0.2">
      <c r="M661" s="326"/>
      <c r="N661" s="326"/>
    </row>
    <row r="662" spans="13:14" ht="9.9499999999999993" customHeight="1" x14ac:dyDescent="0.2">
      <c r="M662" s="326"/>
      <c r="N662" s="326"/>
    </row>
    <row r="663" spans="13:14" ht="9.9499999999999993" customHeight="1" x14ac:dyDescent="0.2">
      <c r="M663" s="326"/>
      <c r="N663" s="326"/>
    </row>
    <row r="664" spans="13:14" ht="9.9499999999999993" customHeight="1" x14ac:dyDescent="0.2">
      <c r="M664" s="326"/>
      <c r="N664" s="326"/>
    </row>
    <row r="665" spans="13:14" ht="9.9499999999999993" customHeight="1" x14ac:dyDescent="0.2">
      <c r="M665" s="326"/>
      <c r="N665" s="326"/>
    </row>
    <row r="666" spans="13:14" ht="9.9499999999999993" customHeight="1" x14ac:dyDescent="0.2">
      <c r="M666" s="326"/>
      <c r="N666" s="326"/>
    </row>
    <row r="667" spans="13:14" ht="9.9499999999999993" customHeight="1" x14ac:dyDescent="0.2">
      <c r="M667" s="326"/>
      <c r="N667" s="326"/>
    </row>
    <row r="668" spans="13:14" ht="9.9499999999999993" customHeight="1" x14ac:dyDescent="0.2">
      <c r="M668" s="326"/>
      <c r="N668" s="326"/>
    </row>
    <row r="669" spans="13:14" ht="9.9499999999999993" customHeight="1" x14ac:dyDescent="0.2">
      <c r="M669" s="326"/>
      <c r="N669" s="326"/>
    </row>
    <row r="670" spans="13:14" ht="9.9499999999999993" customHeight="1" x14ac:dyDescent="0.2">
      <c r="M670" s="326"/>
      <c r="N670" s="326"/>
    </row>
    <row r="671" spans="13:14" ht="9.9499999999999993" customHeight="1" x14ac:dyDescent="0.2">
      <c r="M671" s="326"/>
      <c r="N671" s="326"/>
    </row>
    <row r="672" spans="13:14" ht="9.9499999999999993" customHeight="1" x14ac:dyDescent="0.2">
      <c r="M672" s="326"/>
      <c r="N672" s="326"/>
    </row>
    <row r="673" spans="13:14" ht="9.9499999999999993" customHeight="1" x14ac:dyDescent="0.2">
      <c r="M673" s="326"/>
      <c r="N673" s="326"/>
    </row>
    <row r="674" spans="13:14" ht="9.9499999999999993" customHeight="1" x14ac:dyDescent="0.2">
      <c r="M674" s="326"/>
      <c r="N674" s="326"/>
    </row>
    <row r="675" spans="13:14" ht="9.9499999999999993" customHeight="1" x14ac:dyDescent="0.2">
      <c r="M675" s="326"/>
      <c r="N675" s="326"/>
    </row>
    <row r="676" spans="13:14" ht="9.9499999999999993" customHeight="1" x14ac:dyDescent="0.2">
      <c r="M676" s="326"/>
      <c r="N676" s="326"/>
    </row>
    <row r="677" spans="13:14" ht="9.9499999999999993" customHeight="1" x14ac:dyDescent="0.2">
      <c r="M677" s="326"/>
      <c r="N677" s="326"/>
    </row>
    <row r="678" spans="13:14" ht="9.9499999999999993" customHeight="1" x14ac:dyDescent="0.2">
      <c r="M678" s="326"/>
      <c r="N678" s="326"/>
    </row>
    <row r="679" spans="13:14" ht="9.9499999999999993" customHeight="1" x14ac:dyDescent="0.2">
      <c r="M679" s="326"/>
      <c r="N679" s="326"/>
    </row>
    <row r="680" spans="13:14" ht="9.9499999999999993" customHeight="1" x14ac:dyDescent="0.2">
      <c r="M680" s="326"/>
      <c r="N680" s="326"/>
    </row>
    <row r="681" spans="13:14" ht="9.9499999999999993" customHeight="1" x14ac:dyDescent="0.2">
      <c r="M681" s="326"/>
      <c r="N681" s="326"/>
    </row>
    <row r="682" spans="13:14" ht="9.9499999999999993" customHeight="1" x14ac:dyDescent="0.2">
      <c r="M682" s="326"/>
      <c r="N682" s="326"/>
    </row>
    <row r="683" spans="13:14" ht="9.9499999999999993" customHeight="1" x14ac:dyDescent="0.2">
      <c r="M683" s="326"/>
      <c r="N683" s="326"/>
    </row>
    <row r="684" spans="13:14" ht="9.9499999999999993" customHeight="1" x14ac:dyDescent="0.2">
      <c r="M684" s="326"/>
      <c r="N684" s="326"/>
    </row>
    <row r="685" spans="13:14" ht="9.9499999999999993" customHeight="1" x14ac:dyDescent="0.2">
      <c r="M685" s="326"/>
      <c r="N685" s="326"/>
    </row>
    <row r="686" spans="13:14" ht="9.9499999999999993" customHeight="1" x14ac:dyDescent="0.2">
      <c r="M686" s="326"/>
      <c r="N686" s="326"/>
    </row>
    <row r="687" spans="13:14" ht="9.9499999999999993" customHeight="1" x14ac:dyDescent="0.2">
      <c r="M687" s="326"/>
      <c r="N687" s="326"/>
    </row>
    <row r="688" spans="13:14" ht="9.9499999999999993" customHeight="1" x14ac:dyDescent="0.2">
      <c r="M688" s="326"/>
      <c r="N688" s="326"/>
    </row>
    <row r="689" spans="13:14" ht="9.9499999999999993" customHeight="1" x14ac:dyDescent="0.2">
      <c r="M689" s="326"/>
      <c r="N689" s="326"/>
    </row>
    <row r="690" spans="13:14" ht="9.9499999999999993" customHeight="1" x14ac:dyDescent="0.2">
      <c r="M690" s="326"/>
      <c r="N690" s="326"/>
    </row>
    <row r="691" spans="13:14" ht="9.9499999999999993" customHeight="1" x14ac:dyDescent="0.2">
      <c r="M691" s="326"/>
      <c r="N691" s="326"/>
    </row>
    <row r="692" spans="13:14" ht="9.9499999999999993" customHeight="1" x14ac:dyDescent="0.2">
      <c r="M692" s="326"/>
      <c r="N692" s="326"/>
    </row>
    <row r="693" spans="13:14" ht="9.9499999999999993" customHeight="1" x14ac:dyDescent="0.2">
      <c r="M693" s="326"/>
      <c r="N693" s="326"/>
    </row>
    <row r="694" spans="13:14" ht="9.9499999999999993" customHeight="1" x14ac:dyDescent="0.2">
      <c r="M694" s="326"/>
      <c r="N694" s="326"/>
    </row>
    <row r="695" spans="13:14" ht="9.9499999999999993" customHeight="1" x14ac:dyDescent="0.2">
      <c r="M695" s="326"/>
      <c r="N695" s="326"/>
    </row>
    <row r="696" spans="13:14" ht="9.9499999999999993" customHeight="1" x14ac:dyDescent="0.2">
      <c r="M696" s="326"/>
      <c r="N696" s="326"/>
    </row>
    <row r="697" spans="13:14" ht="9.9499999999999993" customHeight="1" x14ac:dyDescent="0.2">
      <c r="M697" s="326"/>
      <c r="N697" s="326"/>
    </row>
    <row r="698" spans="13:14" ht="9.9499999999999993" customHeight="1" x14ac:dyDescent="0.2">
      <c r="M698" s="326"/>
      <c r="N698" s="326"/>
    </row>
    <row r="699" spans="13:14" ht="9.9499999999999993" customHeight="1" x14ac:dyDescent="0.2">
      <c r="M699" s="326"/>
      <c r="N699" s="326"/>
    </row>
    <row r="700" spans="13:14" ht="9.9499999999999993" customHeight="1" x14ac:dyDescent="0.2">
      <c r="M700" s="326"/>
      <c r="N700" s="326"/>
    </row>
    <row r="701" spans="13:14" ht="9.9499999999999993" customHeight="1" x14ac:dyDescent="0.2">
      <c r="M701" s="326"/>
      <c r="N701" s="326"/>
    </row>
    <row r="702" spans="13:14" ht="9.9499999999999993" customHeight="1" x14ac:dyDescent="0.2">
      <c r="M702" s="326"/>
      <c r="N702" s="326"/>
    </row>
    <row r="703" spans="13:14" ht="9.9499999999999993" customHeight="1" x14ac:dyDescent="0.2">
      <c r="M703" s="326"/>
      <c r="N703" s="326"/>
    </row>
    <row r="704" spans="13:14" ht="9.9499999999999993" customHeight="1" x14ac:dyDescent="0.2">
      <c r="M704" s="326"/>
      <c r="N704" s="326"/>
    </row>
    <row r="705" spans="13:14" ht="9.9499999999999993" customHeight="1" x14ac:dyDescent="0.2">
      <c r="M705" s="326"/>
      <c r="N705" s="326"/>
    </row>
    <row r="706" spans="13:14" ht="9.9499999999999993" customHeight="1" x14ac:dyDescent="0.2">
      <c r="M706" s="326"/>
      <c r="N706" s="326"/>
    </row>
    <row r="707" spans="13:14" ht="9.9499999999999993" customHeight="1" x14ac:dyDescent="0.2">
      <c r="M707" s="326"/>
      <c r="N707" s="326"/>
    </row>
    <row r="708" spans="13:14" ht="9.9499999999999993" customHeight="1" x14ac:dyDescent="0.2">
      <c r="M708" s="326"/>
      <c r="N708" s="326"/>
    </row>
    <row r="709" spans="13:14" ht="9.9499999999999993" customHeight="1" x14ac:dyDescent="0.2">
      <c r="M709" s="326"/>
      <c r="N709" s="326"/>
    </row>
    <row r="710" spans="13:14" ht="9.9499999999999993" customHeight="1" x14ac:dyDescent="0.2">
      <c r="M710" s="326"/>
      <c r="N710" s="326"/>
    </row>
    <row r="711" spans="13:14" ht="9.9499999999999993" customHeight="1" x14ac:dyDescent="0.2">
      <c r="M711" s="326"/>
      <c r="N711" s="326"/>
    </row>
    <row r="712" spans="13:14" ht="9.9499999999999993" customHeight="1" x14ac:dyDescent="0.2">
      <c r="M712" s="326"/>
      <c r="N712" s="326"/>
    </row>
    <row r="713" spans="13:14" ht="9.9499999999999993" customHeight="1" x14ac:dyDescent="0.2">
      <c r="M713" s="326"/>
      <c r="N713" s="326"/>
    </row>
    <row r="714" spans="13:14" ht="9.9499999999999993" customHeight="1" x14ac:dyDescent="0.2">
      <c r="M714" s="326"/>
      <c r="N714" s="326"/>
    </row>
    <row r="715" spans="13:14" ht="9.9499999999999993" customHeight="1" x14ac:dyDescent="0.2">
      <c r="M715" s="326"/>
      <c r="N715" s="326"/>
    </row>
    <row r="716" spans="13:14" ht="9.9499999999999993" customHeight="1" x14ac:dyDescent="0.2">
      <c r="M716" s="326"/>
      <c r="N716" s="326"/>
    </row>
    <row r="717" spans="13:14" ht="9.9499999999999993" customHeight="1" x14ac:dyDescent="0.2">
      <c r="M717" s="326"/>
      <c r="N717" s="326"/>
    </row>
    <row r="718" spans="13:14" ht="9.9499999999999993" customHeight="1" x14ac:dyDescent="0.2">
      <c r="M718" s="326"/>
      <c r="N718" s="326"/>
    </row>
    <row r="719" spans="13:14" ht="9.9499999999999993" customHeight="1" x14ac:dyDescent="0.2">
      <c r="M719" s="326"/>
      <c r="N719" s="326"/>
    </row>
    <row r="720" spans="13:14" ht="9.9499999999999993" customHeight="1" x14ac:dyDescent="0.2">
      <c r="M720" s="326"/>
      <c r="N720" s="326"/>
    </row>
    <row r="721" spans="13:14" ht="9.9499999999999993" customHeight="1" x14ac:dyDescent="0.2">
      <c r="M721" s="326"/>
      <c r="N721" s="326"/>
    </row>
    <row r="722" spans="13:14" ht="9.9499999999999993" customHeight="1" x14ac:dyDescent="0.2">
      <c r="M722" s="326"/>
      <c r="N722" s="326"/>
    </row>
    <row r="723" spans="13:14" ht="9.9499999999999993" customHeight="1" x14ac:dyDescent="0.2">
      <c r="M723" s="326"/>
      <c r="N723" s="326"/>
    </row>
    <row r="724" spans="13:14" ht="9.9499999999999993" customHeight="1" x14ac:dyDescent="0.2">
      <c r="M724" s="326"/>
      <c r="N724" s="326"/>
    </row>
    <row r="725" spans="13:14" ht="9.9499999999999993" customHeight="1" x14ac:dyDescent="0.2">
      <c r="M725" s="326"/>
      <c r="N725" s="326"/>
    </row>
    <row r="726" spans="13:14" ht="9.9499999999999993" customHeight="1" x14ac:dyDescent="0.2">
      <c r="M726" s="326"/>
      <c r="N726" s="326"/>
    </row>
    <row r="727" spans="13:14" ht="9.9499999999999993" customHeight="1" x14ac:dyDescent="0.2">
      <c r="M727" s="326"/>
      <c r="N727" s="326"/>
    </row>
    <row r="728" spans="13:14" ht="9.9499999999999993" customHeight="1" x14ac:dyDescent="0.2">
      <c r="M728" s="326"/>
      <c r="N728" s="326"/>
    </row>
    <row r="729" spans="13:14" ht="9.9499999999999993" customHeight="1" x14ac:dyDescent="0.2">
      <c r="M729" s="326"/>
      <c r="N729" s="326"/>
    </row>
    <row r="730" spans="13:14" ht="9.9499999999999993" customHeight="1" x14ac:dyDescent="0.2">
      <c r="M730" s="326"/>
      <c r="N730" s="326"/>
    </row>
    <row r="731" spans="13:14" ht="9.9499999999999993" customHeight="1" x14ac:dyDescent="0.2">
      <c r="M731" s="326"/>
      <c r="N731" s="326"/>
    </row>
    <row r="732" spans="13:14" ht="9.9499999999999993" customHeight="1" x14ac:dyDescent="0.2">
      <c r="M732" s="326"/>
      <c r="N732" s="326"/>
    </row>
    <row r="733" spans="13:14" ht="9.9499999999999993" customHeight="1" x14ac:dyDescent="0.2">
      <c r="M733" s="326"/>
      <c r="N733" s="326"/>
    </row>
    <row r="734" spans="13:14" ht="9.9499999999999993" customHeight="1" x14ac:dyDescent="0.2">
      <c r="M734" s="326"/>
      <c r="N734" s="326"/>
    </row>
    <row r="735" spans="13:14" ht="9.9499999999999993" customHeight="1" x14ac:dyDescent="0.2">
      <c r="M735" s="326"/>
      <c r="N735" s="326"/>
    </row>
    <row r="736" spans="13:14" ht="9.9499999999999993" customHeight="1" x14ac:dyDescent="0.2">
      <c r="M736" s="326"/>
      <c r="N736" s="326"/>
    </row>
    <row r="737" spans="13:14" ht="9.9499999999999993" customHeight="1" x14ac:dyDescent="0.2">
      <c r="M737" s="326"/>
      <c r="N737" s="326"/>
    </row>
    <row r="738" spans="13:14" ht="9.9499999999999993" customHeight="1" x14ac:dyDescent="0.2">
      <c r="M738" s="326"/>
      <c r="N738" s="326"/>
    </row>
    <row r="739" spans="13:14" ht="9.9499999999999993" customHeight="1" x14ac:dyDescent="0.2">
      <c r="M739" s="326"/>
      <c r="N739" s="326"/>
    </row>
    <row r="740" spans="13:14" ht="9.9499999999999993" customHeight="1" x14ac:dyDescent="0.2">
      <c r="M740" s="326"/>
      <c r="N740" s="326"/>
    </row>
    <row r="741" spans="13:14" ht="9.9499999999999993" customHeight="1" x14ac:dyDescent="0.2">
      <c r="M741" s="326"/>
      <c r="N741" s="326"/>
    </row>
    <row r="742" spans="13:14" ht="9.9499999999999993" customHeight="1" x14ac:dyDescent="0.2">
      <c r="M742" s="326"/>
      <c r="N742" s="326"/>
    </row>
    <row r="743" spans="13:14" ht="9.9499999999999993" customHeight="1" x14ac:dyDescent="0.2">
      <c r="M743" s="326"/>
      <c r="N743" s="326"/>
    </row>
    <row r="744" spans="13:14" ht="9.9499999999999993" customHeight="1" x14ac:dyDescent="0.2">
      <c r="M744" s="326"/>
      <c r="N744" s="326"/>
    </row>
    <row r="745" spans="13:14" ht="9.9499999999999993" customHeight="1" x14ac:dyDescent="0.2">
      <c r="M745" s="326"/>
      <c r="N745" s="326"/>
    </row>
    <row r="746" spans="13:14" ht="9.9499999999999993" customHeight="1" x14ac:dyDescent="0.2">
      <c r="M746" s="326"/>
      <c r="N746" s="326"/>
    </row>
    <row r="747" spans="13:14" ht="9.9499999999999993" customHeight="1" x14ac:dyDescent="0.2">
      <c r="M747" s="326"/>
      <c r="N747" s="326"/>
    </row>
    <row r="748" spans="13:14" ht="9.9499999999999993" customHeight="1" x14ac:dyDescent="0.2">
      <c r="M748" s="326"/>
      <c r="N748" s="326"/>
    </row>
    <row r="749" spans="13:14" ht="9.9499999999999993" customHeight="1" x14ac:dyDescent="0.2">
      <c r="M749" s="326"/>
      <c r="N749" s="326"/>
    </row>
    <row r="750" spans="13:14" ht="9.9499999999999993" customHeight="1" x14ac:dyDescent="0.2">
      <c r="M750" s="326"/>
      <c r="N750" s="326"/>
    </row>
    <row r="751" spans="13:14" ht="9.9499999999999993" customHeight="1" x14ac:dyDescent="0.2">
      <c r="M751" s="326"/>
      <c r="N751" s="326"/>
    </row>
    <row r="752" spans="13:14" ht="9.9499999999999993" customHeight="1" x14ac:dyDescent="0.2">
      <c r="M752" s="326"/>
      <c r="N752" s="326"/>
    </row>
    <row r="753" spans="13:14" ht="9.9499999999999993" customHeight="1" x14ac:dyDescent="0.2">
      <c r="M753" s="326"/>
      <c r="N753" s="326"/>
    </row>
    <row r="754" spans="13:14" ht="9.9499999999999993" customHeight="1" x14ac:dyDescent="0.2">
      <c r="M754" s="326"/>
      <c r="N754" s="326"/>
    </row>
    <row r="755" spans="13:14" ht="9.9499999999999993" customHeight="1" x14ac:dyDescent="0.2">
      <c r="M755" s="326"/>
      <c r="N755" s="326"/>
    </row>
    <row r="756" spans="13:14" ht="9.9499999999999993" customHeight="1" x14ac:dyDescent="0.2">
      <c r="M756" s="326"/>
      <c r="N756" s="326"/>
    </row>
    <row r="757" spans="13:14" ht="9.9499999999999993" customHeight="1" x14ac:dyDescent="0.2">
      <c r="M757" s="326"/>
      <c r="N757" s="326"/>
    </row>
    <row r="758" spans="13:14" ht="9.9499999999999993" customHeight="1" x14ac:dyDescent="0.2">
      <c r="M758" s="326"/>
      <c r="N758" s="326"/>
    </row>
    <row r="759" spans="13:14" ht="9.9499999999999993" customHeight="1" x14ac:dyDescent="0.2">
      <c r="M759" s="326"/>
      <c r="N759" s="326"/>
    </row>
    <row r="760" spans="13:14" ht="9.9499999999999993" customHeight="1" x14ac:dyDescent="0.2">
      <c r="M760" s="326"/>
      <c r="N760" s="326"/>
    </row>
    <row r="761" spans="13:14" ht="9.9499999999999993" customHeight="1" x14ac:dyDescent="0.2">
      <c r="M761" s="326"/>
      <c r="N761" s="326"/>
    </row>
    <row r="762" spans="13:14" ht="9.9499999999999993" customHeight="1" x14ac:dyDescent="0.2">
      <c r="M762" s="326"/>
      <c r="N762" s="326"/>
    </row>
    <row r="763" spans="13:14" ht="9.9499999999999993" customHeight="1" x14ac:dyDescent="0.2">
      <c r="M763" s="326"/>
      <c r="N763" s="326"/>
    </row>
    <row r="764" spans="13:14" ht="9.9499999999999993" customHeight="1" x14ac:dyDescent="0.2">
      <c r="M764" s="326"/>
      <c r="N764" s="326"/>
    </row>
    <row r="765" spans="13:14" ht="9.9499999999999993" customHeight="1" x14ac:dyDescent="0.2">
      <c r="M765" s="326"/>
      <c r="N765" s="326"/>
    </row>
    <row r="766" spans="13:14" ht="9.9499999999999993" customHeight="1" x14ac:dyDescent="0.2">
      <c r="M766" s="326"/>
      <c r="N766" s="326"/>
    </row>
    <row r="767" spans="13:14" ht="9.9499999999999993" customHeight="1" x14ac:dyDescent="0.2">
      <c r="M767" s="326"/>
      <c r="N767" s="326"/>
    </row>
    <row r="768" spans="13:14" ht="9.9499999999999993" customHeight="1" x14ac:dyDescent="0.2">
      <c r="M768" s="326"/>
      <c r="N768" s="326"/>
    </row>
    <row r="769" spans="13:14" ht="9.9499999999999993" customHeight="1" x14ac:dyDescent="0.2">
      <c r="M769" s="326"/>
      <c r="N769" s="326"/>
    </row>
    <row r="770" spans="13:14" ht="9.9499999999999993" customHeight="1" x14ac:dyDescent="0.2">
      <c r="M770" s="326"/>
      <c r="N770" s="326"/>
    </row>
    <row r="771" spans="13:14" ht="9.9499999999999993" customHeight="1" x14ac:dyDescent="0.2">
      <c r="M771" s="326"/>
      <c r="N771" s="326"/>
    </row>
    <row r="772" spans="13:14" ht="9.9499999999999993" customHeight="1" x14ac:dyDescent="0.2">
      <c r="M772" s="326"/>
      <c r="N772" s="326"/>
    </row>
    <row r="773" spans="13:14" ht="9.9499999999999993" customHeight="1" x14ac:dyDescent="0.2">
      <c r="M773" s="326"/>
      <c r="N773" s="326"/>
    </row>
    <row r="774" spans="13:14" ht="9.9499999999999993" customHeight="1" x14ac:dyDescent="0.2">
      <c r="M774" s="326"/>
      <c r="N774" s="326"/>
    </row>
    <row r="775" spans="13:14" ht="9.9499999999999993" customHeight="1" x14ac:dyDescent="0.2">
      <c r="M775" s="326"/>
      <c r="N775" s="326"/>
    </row>
    <row r="776" spans="13:14" ht="9.9499999999999993" customHeight="1" x14ac:dyDescent="0.2">
      <c r="M776" s="326"/>
      <c r="N776" s="326"/>
    </row>
    <row r="777" spans="13:14" ht="9.9499999999999993" customHeight="1" x14ac:dyDescent="0.2">
      <c r="M777" s="326"/>
      <c r="N777" s="326"/>
    </row>
    <row r="778" spans="13:14" ht="9.9499999999999993" customHeight="1" x14ac:dyDescent="0.2">
      <c r="M778" s="326"/>
      <c r="N778" s="326"/>
    </row>
    <row r="779" spans="13:14" ht="9.9499999999999993" customHeight="1" x14ac:dyDescent="0.2">
      <c r="M779" s="326"/>
      <c r="N779" s="326"/>
    </row>
    <row r="780" spans="13:14" ht="9.9499999999999993" customHeight="1" x14ac:dyDescent="0.2">
      <c r="M780" s="326"/>
      <c r="N780" s="326"/>
    </row>
    <row r="781" spans="13:14" ht="9.9499999999999993" customHeight="1" x14ac:dyDescent="0.2">
      <c r="M781" s="326"/>
      <c r="N781" s="326"/>
    </row>
    <row r="782" spans="13:14" ht="9.9499999999999993" customHeight="1" x14ac:dyDescent="0.2">
      <c r="M782" s="326"/>
      <c r="N782" s="326"/>
    </row>
    <row r="783" spans="13:14" ht="9.9499999999999993" customHeight="1" x14ac:dyDescent="0.2">
      <c r="M783" s="326"/>
      <c r="N783" s="326"/>
    </row>
    <row r="784" spans="13:14" ht="9.9499999999999993" customHeight="1" x14ac:dyDescent="0.2">
      <c r="M784" s="326"/>
      <c r="N784" s="326"/>
    </row>
    <row r="785" spans="13:14" ht="9.9499999999999993" customHeight="1" x14ac:dyDescent="0.2">
      <c r="M785" s="326"/>
      <c r="N785" s="326"/>
    </row>
    <row r="786" spans="13:14" ht="9.9499999999999993" customHeight="1" x14ac:dyDescent="0.2">
      <c r="M786" s="326"/>
      <c r="N786" s="326"/>
    </row>
    <row r="787" spans="13:14" ht="9.9499999999999993" customHeight="1" x14ac:dyDescent="0.2">
      <c r="M787" s="326"/>
      <c r="N787" s="326"/>
    </row>
    <row r="788" spans="13:14" ht="9.9499999999999993" customHeight="1" x14ac:dyDescent="0.2">
      <c r="M788" s="326"/>
      <c r="N788" s="326"/>
    </row>
    <row r="789" spans="13:14" ht="9.9499999999999993" customHeight="1" x14ac:dyDescent="0.2">
      <c r="M789" s="326"/>
      <c r="N789" s="326"/>
    </row>
    <row r="790" spans="13:14" ht="9.9499999999999993" customHeight="1" x14ac:dyDescent="0.2">
      <c r="M790" s="326"/>
      <c r="N790" s="326"/>
    </row>
    <row r="791" spans="13:14" ht="9.9499999999999993" customHeight="1" x14ac:dyDescent="0.2">
      <c r="M791" s="326"/>
      <c r="N791" s="326"/>
    </row>
    <row r="792" spans="13:14" ht="9.9499999999999993" customHeight="1" x14ac:dyDescent="0.2">
      <c r="M792" s="326"/>
      <c r="N792" s="326"/>
    </row>
    <row r="793" spans="13:14" ht="9.9499999999999993" customHeight="1" x14ac:dyDescent="0.2">
      <c r="M793" s="326"/>
      <c r="N793" s="326"/>
    </row>
    <row r="794" spans="13:14" ht="9.9499999999999993" customHeight="1" x14ac:dyDescent="0.2">
      <c r="M794" s="326"/>
      <c r="N794" s="326"/>
    </row>
    <row r="795" spans="13:14" ht="9.9499999999999993" customHeight="1" x14ac:dyDescent="0.2">
      <c r="M795" s="326"/>
      <c r="N795" s="326"/>
    </row>
    <row r="796" spans="13:14" ht="9.9499999999999993" customHeight="1" x14ac:dyDescent="0.2">
      <c r="M796" s="326"/>
      <c r="N796" s="326"/>
    </row>
    <row r="797" spans="13:14" ht="9.9499999999999993" customHeight="1" x14ac:dyDescent="0.2">
      <c r="M797" s="326"/>
      <c r="N797" s="326"/>
    </row>
    <row r="798" spans="13:14" ht="9.9499999999999993" customHeight="1" x14ac:dyDescent="0.2">
      <c r="M798" s="326"/>
      <c r="N798" s="326"/>
    </row>
    <row r="799" spans="13:14" ht="9.9499999999999993" customHeight="1" x14ac:dyDescent="0.2">
      <c r="M799" s="326"/>
      <c r="N799" s="326"/>
    </row>
    <row r="800" spans="13:14" ht="9.9499999999999993" customHeight="1" x14ac:dyDescent="0.2">
      <c r="M800" s="326"/>
      <c r="N800" s="326"/>
    </row>
    <row r="801" spans="13:14" ht="9.9499999999999993" customHeight="1" x14ac:dyDescent="0.2">
      <c r="M801" s="326"/>
      <c r="N801" s="326"/>
    </row>
    <row r="802" spans="13:14" ht="9.9499999999999993" customHeight="1" x14ac:dyDescent="0.2">
      <c r="M802" s="326"/>
      <c r="N802" s="326"/>
    </row>
    <row r="803" spans="13:14" ht="9.9499999999999993" customHeight="1" x14ac:dyDescent="0.2">
      <c r="M803" s="326"/>
      <c r="N803" s="326"/>
    </row>
    <row r="804" spans="13:14" ht="9.9499999999999993" customHeight="1" x14ac:dyDescent="0.2">
      <c r="M804" s="326"/>
      <c r="N804" s="326"/>
    </row>
    <row r="805" spans="13:14" ht="9.9499999999999993" customHeight="1" x14ac:dyDescent="0.2">
      <c r="M805" s="326"/>
      <c r="N805" s="326"/>
    </row>
    <row r="806" spans="13:14" ht="9.9499999999999993" customHeight="1" x14ac:dyDescent="0.2">
      <c r="M806" s="326"/>
      <c r="N806" s="326"/>
    </row>
    <row r="807" spans="13:14" ht="9.9499999999999993" customHeight="1" x14ac:dyDescent="0.2">
      <c r="M807" s="326"/>
      <c r="N807" s="326"/>
    </row>
    <row r="808" spans="13:14" ht="9.9499999999999993" customHeight="1" x14ac:dyDescent="0.2">
      <c r="M808" s="326"/>
      <c r="N808" s="326"/>
    </row>
    <row r="809" spans="13:14" ht="9.9499999999999993" customHeight="1" x14ac:dyDescent="0.2">
      <c r="M809" s="326"/>
      <c r="N809" s="326"/>
    </row>
    <row r="810" spans="13:14" ht="9.9499999999999993" customHeight="1" x14ac:dyDescent="0.2">
      <c r="M810" s="326"/>
      <c r="N810" s="326"/>
    </row>
    <row r="811" spans="13:14" ht="9.9499999999999993" customHeight="1" x14ac:dyDescent="0.2">
      <c r="M811" s="326"/>
      <c r="N811" s="326"/>
    </row>
    <row r="812" spans="13:14" ht="9.9499999999999993" customHeight="1" x14ac:dyDescent="0.2">
      <c r="M812" s="326"/>
      <c r="N812" s="326"/>
    </row>
    <row r="813" spans="13:14" ht="9.9499999999999993" customHeight="1" x14ac:dyDescent="0.2">
      <c r="M813" s="326"/>
      <c r="N813" s="326"/>
    </row>
    <row r="814" spans="13:14" ht="9.9499999999999993" customHeight="1" x14ac:dyDescent="0.2">
      <c r="M814" s="326"/>
      <c r="N814" s="326"/>
    </row>
    <row r="815" spans="13:14" ht="9.9499999999999993" customHeight="1" x14ac:dyDescent="0.2">
      <c r="M815" s="326"/>
      <c r="N815" s="326"/>
    </row>
    <row r="816" spans="13:14" ht="9.9499999999999993" customHeight="1" x14ac:dyDescent="0.2">
      <c r="M816" s="326"/>
      <c r="N816" s="326"/>
    </row>
    <row r="817" spans="13:14" ht="9.9499999999999993" customHeight="1" x14ac:dyDescent="0.2">
      <c r="M817" s="326"/>
      <c r="N817" s="326"/>
    </row>
    <row r="818" spans="13:14" ht="9.9499999999999993" customHeight="1" x14ac:dyDescent="0.2">
      <c r="M818" s="326"/>
      <c r="N818" s="326"/>
    </row>
    <row r="819" spans="13:14" ht="9.9499999999999993" customHeight="1" x14ac:dyDescent="0.2">
      <c r="M819" s="326"/>
      <c r="N819" s="326"/>
    </row>
    <row r="820" spans="13:14" ht="9.9499999999999993" customHeight="1" x14ac:dyDescent="0.2">
      <c r="M820" s="326"/>
      <c r="N820" s="326"/>
    </row>
    <row r="821" spans="13:14" ht="9.9499999999999993" customHeight="1" x14ac:dyDescent="0.2">
      <c r="M821" s="326"/>
      <c r="N821" s="326"/>
    </row>
    <row r="822" spans="13:14" ht="9.9499999999999993" customHeight="1" x14ac:dyDescent="0.2">
      <c r="M822" s="326"/>
      <c r="N822" s="326"/>
    </row>
    <row r="823" spans="13:14" ht="9.9499999999999993" customHeight="1" x14ac:dyDescent="0.2">
      <c r="M823" s="326"/>
      <c r="N823" s="326"/>
    </row>
    <row r="824" spans="13:14" ht="9.9499999999999993" customHeight="1" x14ac:dyDescent="0.2">
      <c r="M824" s="326"/>
      <c r="N824" s="326"/>
    </row>
    <row r="825" spans="13:14" ht="9.9499999999999993" customHeight="1" x14ac:dyDescent="0.2">
      <c r="M825" s="326"/>
      <c r="N825" s="326"/>
    </row>
    <row r="826" spans="13:14" ht="9.9499999999999993" customHeight="1" x14ac:dyDescent="0.2">
      <c r="M826" s="326"/>
      <c r="N826" s="326"/>
    </row>
    <row r="827" spans="13:14" ht="9.9499999999999993" customHeight="1" x14ac:dyDescent="0.2">
      <c r="M827" s="326"/>
      <c r="N827" s="326"/>
    </row>
    <row r="828" spans="13:14" ht="9.9499999999999993" customHeight="1" x14ac:dyDescent="0.2">
      <c r="M828" s="326"/>
      <c r="N828" s="326"/>
    </row>
    <row r="829" spans="13:14" ht="9.9499999999999993" customHeight="1" x14ac:dyDescent="0.2">
      <c r="M829" s="326"/>
      <c r="N829" s="326"/>
    </row>
    <row r="830" spans="13:14" ht="9.9499999999999993" customHeight="1" x14ac:dyDescent="0.2">
      <c r="M830" s="326"/>
      <c r="N830" s="326"/>
    </row>
    <row r="831" spans="13:14" ht="9.9499999999999993" customHeight="1" x14ac:dyDescent="0.2">
      <c r="M831" s="326"/>
      <c r="N831" s="326"/>
    </row>
    <row r="832" spans="13:14" ht="9.9499999999999993" customHeight="1" x14ac:dyDescent="0.2">
      <c r="M832" s="326"/>
      <c r="N832" s="326"/>
    </row>
    <row r="833" spans="13:14" ht="9.9499999999999993" customHeight="1" x14ac:dyDescent="0.2">
      <c r="M833" s="326"/>
      <c r="N833" s="326"/>
    </row>
    <row r="834" spans="13:14" ht="9.9499999999999993" customHeight="1" x14ac:dyDescent="0.2">
      <c r="M834" s="326"/>
      <c r="N834" s="326"/>
    </row>
    <row r="835" spans="13:14" ht="9.9499999999999993" customHeight="1" x14ac:dyDescent="0.2">
      <c r="M835" s="326"/>
      <c r="N835" s="326"/>
    </row>
    <row r="836" spans="13:14" ht="9.9499999999999993" customHeight="1" x14ac:dyDescent="0.2">
      <c r="M836" s="326"/>
      <c r="N836" s="326"/>
    </row>
    <row r="837" spans="13:14" ht="9.9499999999999993" customHeight="1" x14ac:dyDescent="0.2">
      <c r="M837" s="326"/>
      <c r="N837" s="326"/>
    </row>
    <row r="838" spans="13:14" ht="9.9499999999999993" customHeight="1" x14ac:dyDescent="0.2">
      <c r="M838" s="326"/>
      <c r="N838" s="326"/>
    </row>
    <row r="839" spans="13:14" ht="9.9499999999999993" customHeight="1" x14ac:dyDescent="0.2">
      <c r="M839" s="326"/>
      <c r="N839" s="326"/>
    </row>
    <row r="840" spans="13:14" ht="9.9499999999999993" customHeight="1" x14ac:dyDescent="0.2">
      <c r="M840" s="326"/>
      <c r="N840" s="326"/>
    </row>
    <row r="841" spans="13:14" ht="9.9499999999999993" customHeight="1" x14ac:dyDescent="0.2">
      <c r="M841" s="326"/>
      <c r="N841" s="326"/>
    </row>
    <row r="842" spans="13:14" ht="9.9499999999999993" customHeight="1" x14ac:dyDescent="0.2">
      <c r="M842" s="326"/>
      <c r="N842" s="326"/>
    </row>
    <row r="843" spans="13:14" ht="9.9499999999999993" customHeight="1" x14ac:dyDescent="0.2">
      <c r="M843" s="326"/>
      <c r="N843" s="326"/>
    </row>
    <row r="844" spans="13:14" ht="9.9499999999999993" customHeight="1" x14ac:dyDescent="0.2">
      <c r="M844" s="326"/>
      <c r="N844" s="326"/>
    </row>
    <row r="845" spans="13:14" ht="9.9499999999999993" customHeight="1" x14ac:dyDescent="0.2">
      <c r="M845" s="326"/>
      <c r="N845" s="326"/>
    </row>
    <row r="846" spans="13:14" ht="9.9499999999999993" customHeight="1" x14ac:dyDescent="0.2">
      <c r="M846" s="326"/>
      <c r="N846" s="326"/>
    </row>
    <row r="847" spans="13:14" ht="9.9499999999999993" customHeight="1" x14ac:dyDescent="0.2">
      <c r="M847" s="326"/>
      <c r="N847" s="326"/>
    </row>
    <row r="848" spans="13:14" ht="9.9499999999999993" customHeight="1" x14ac:dyDescent="0.2">
      <c r="M848" s="326"/>
      <c r="N848" s="326"/>
    </row>
    <row r="849" spans="13:14" ht="9.9499999999999993" customHeight="1" x14ac:dyDescent="0.2">
      <c r="M849" s="326"/>
      <c r="N849" s="326"/>
    </row>
    <row r="850" spans="13:14" ht="9.9499999999999993" customHeight="1" x14ac:dyDescent="0.2">
      <c r="M850" s="326"/>
      <c r="N850" s="326"/>
    </row>
    <row r="851" spans="13:14" ht="9.9499999999999993" customHeight="1" x14ac:dyDescent="0.2">
      <c r="M851" s="326"/>
      <c r="N851" s="326"/>
    </row>
  </sheetData>
  <mergeCells count="6">
    <mergeCell ref="C104:I104"/>
    <mergeCell ref="A1:K1"/>
    <mergeCell ref="A97:K97"/>
    <mergeCell ref="C7:I7"/>
    <mergeCell ref="C8:I8"/>
    <mergeCell ref="C103:I103"/>
  </mergeCells>
  <phoneticPr fontId="9" type="noConversion"/>
  <printOptions horizontalCentered="1"/>
  <pageMargins left="0.5" right="0.5" top="0.5" bottom="0.625" header="0.5" footer="0.5"/>
  <pageSetup scale="83" fitToHeight="2" orientation="portrait" r:id="rId1"/>
  <headerFooter alignWithMargins="0">
    <oddFooter>&amp;C&amp;"Calibri,Regular"&amp;9The accompanying notes are an integral part of these basic financial statements.</oddFooter>
  </headerFooter>
  <rowBreaks count="1" manualBreakCount="1">
    <brk id="96" max="10" man="1"/>
  </rowBreaks>
  <ignoredErrors>
    <ignoredError sqref="G131 G169:G170"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6" tint="0.39997558519241921"/>
    <pageSetUpPr fitToPage="1"/>
  </sheetPr>
  <dimension ref="A1:Z135"/>
  <sheetViews>
    <sheetView view="pageBreakPreview" zoomScale="110" zoomScaleNormal="100" workbookViewId="0">
      <selection activeCell="Z13" activeCellId="3" sqref="Z18 Z17 Z15 Z13"/>
    </sheetView>
  </sheetViews>
  <sheetFormatPr defaultColWidth="9.140625" defaultRowHeight="9.9499999999999993" customHeight="1" x14ac:dyDescent="0.2"/>
  <cols>
    <col min="1" max="1" width="40.85546875" style="569" customWidth="1"/>
    <col min="2" max="2" width="1.5703125" style="586" customWidth="1"/>
    <col min="3" max="3" width="11.7109375" style="569" customWidth="1"/>
    <col min="4" max="4" width="1.5703125" style="586" customWidth="1"/>
    <col min="5" max="5" width="11.7109375" style="569" customWidth="1"/>
    <col min="6" max="6" width="1.5703125" style="569" customWidth="1"/>
    <col min="7" max="7" width="11.7109375" style="247" customWidth="1"/>
    <col min="8" max="8" width="1.5703125" style="247" customWidth="1"/>
    <col min="9" max="9" width="11.7109375" style="247" customWidth="1"/>
    <col min="10" max="10" width="1.5703125" style="247" customWidth="1"/>
    <col min="11" max="11" width="13.28515625" style="247" customWidth="1"/>
    <col min="12" max="12" width="2.5703125" style="569" customWidth="1"/>
    <col min="13" max="13" width="9.140625" style="569"/>
    <col min="14" max="14" width="11.5703125" style="569" bestFit="1" customWidth="1"/>
    <col min="15" max="16384" width="9.140625" style="569"/>
  </cols>
  <sheetData>
    <row r="1" spans="1:16" s="729" customFormat="1" ht="16.5" customHeight="1" thickBot="1" x14ac:dyDescent="0.25">
      <c r="A1" s="1582" t="s">
        <v>1033</v>
      </c>
      <c r="B1" s="1582"/>
      <c r="C1" s="1582"/>
      <c r="D1" s="1582"/>
      <c r="E1" s="1582"/>
      <c r="F1" s="1582"/>
      <c r="G1" s="1582"/>
      <c r="H1" s="1582"/>
      <c r="I1" s="1582"/>
      <c r="J1" s="1582"/>
      <c r="K1" s="1582"/>
    </row>
    <row r="2" spans="1:16" ht="15" customHeight="1" x14ac:dyDescent="0.2">
      <c r="A2" s="700" t="s">
        <v>1775</v>
      </c>
      <c r="B2" s="310"/>
      <c r="C2" s="310"/>
      <c r="D2" s="310"/>
      <c r="E2" s="310"/>
      <c r="F2" s="310"/>
      <c r="G2" s="570"/>
      <c r="H2" s="570"/>
      <c r="I2" s="570"/>
      <c r="J2" s="570"/>
      <c r="K2" s="570"/>
    </row>
    <row r="3" spans="1:16" ht="15" customHeight="1" x14ac:dyDescent="0.2">
      <c r="A3" s="700" t="s">
        <v>48</v>
      </c>
      <c r="B3" s="310"/>
      <c r="C3" s="310"/>
      <c r="D3" s="310"/>
      <c r="E3" s="310"/>
      <c r="F3" s="310"/>
      <c r="G3" s="321"/>
      <c r="H3" s="321"/>
      <c r="I3" s="321"/>
      <c r="J3" s="321"/>
      <c r="K3" s="321"/>
    </row>
    <row r="4" spans="1:16" ht="12.95" customHeight="1" x14ac:dyDescent="0.2">
      <c r="A4" s="1579" t="s">
        <v>1725</v>
      </c>
      <c r="B4" s="1579"/>
      <c r="C4" s="1579"/>
      <c r="D4" s="1579"/>
      <c r="E4" s="1579"/>
      <c r="F4" s="1579"/>
      <c r="G4" s="321"/>
      <c r="H4" s="321"/>
      <c r="I4" s="584"/>
      <c r="J4" s="321"/>
      <c r="K4" s="321"/>
    </row>
    <row r="5" spans="1:16" ht="12" customHeight="1" x14ac:dyDescent="0.2">
      <c r="A5" s="1580" t="s">
        <v>972</v>
      </c>
      <c r="B5" s="1580"/>
      <c r="C5" s="394"/>
      <c r="D5" s="394"/>
      <c r="E5" s="394"/>
      <c r="F5" s="394"/>
      <c r="G5" s="585"/>
      <c r="H5" s="585"/>
      <c r="I5" s="585"/>
      <c r="J5" s="585"/>
      <c r="K5" s="585"/>
    </row>
    <row r="6" spans="1:16" ht="12.6" customHeight="1" x14ac:dyDescent="0.2"/>
    <row r="7" spans="1:16" s="472" customFormat="1" ht="12.6" customHeight="1" x14ac:dyDescent="0.2">
      <c r="C7" s="1592" t="s">
        <v>54</v>
      </c>
      <c r="D7" s="1592"/>
      <c r="E7" s="1592"/>
      <c r="F7" s="1592"/>
      <c r="G7" s="1592"/>
      <c r="H7" s="1592"/>
      <c r="I7" s="1592"/>
      <c r="J7" s="310"/>
      <c r="K7" s="310" t="s">
        <v>669</v>
      </c>
      <c r="L7" s="475"/>
      <c r="M7" s="588"/>
    </row>
    <row r="8" spans="1:16" s="472" customFormat="1" ht="12.6" customHeight="1" x14ac:dyDescent="0.2">
      <c r="C8" s="1591" t="s">
        <v>55</v>
      </c>
      <c r="D8" s="1591"/>
      <c r="E8" s="1591"/>
      <c r="F8" s="1591"/>
      <c r="G8" s="1591"/>
      <c r="H8" s="1591"/>
      <c r="I8" s="1591"/>
      <c r="J8" s="310"/>
      <c r="K8" s="574" t="s">
        <v>670</v>
      </c>
      <c r="L8" s="475"/>
      <c r="M8" s="588"/>
    </row>
    <row r="9" spans="1:16" s="472" customFormat="1" ht="12.6" customHeight="1" x14ac:dyDescent="0.2">
      <c r="B9" s="475"/>
      <c r="C9" s="475"/>
      <c r="D9" s="475"/>
      <c r="E9" s="475"/>
      <c r="G9" s="575"/>
      <c r="H9" s="336"/>
      <c r="I9" s="589"/>
      <c r="J9" s="310"/>
      <c r="K9" s="337"/>
      <c r="L9" s="475"/>
    </row>
    <row r="10" spans="1:16" s="472" customFormat="1" ht="12.6" customHeight="1" x14ac:dyDescent="0.2">
      <c r="B10" s="475"/>
      <c r="C10" s="475"/>
      <c r="D10" s="475"/>
      <c r="E10" s="310" t="s">
        <v>1087</v>
      </c>
      <c r="G10" s="445" t="s">
        <v>1064</v>
      </c>
      <c r="H10" s="336"/>
      <c r="I10" s="589"/>
      <c r="J10" s="310"/>
      <c r="K10" s="310" t="s">
        <v>58</v>
      </c>
      <c r="L10" s="475"/>
    </row>
    <row r="11" spans="1:16" s="472" customFormat="1" ht="12.6" customHeight="1" x14ac:dyDescent="0.2">
      <c r="C11" s="475" t="s">
        <v>836</v>
      </c>
      <c r="E11" s="310" t="s">
        <v>1088</v>
      </c>
      <c r="G11" s="445" t="s">
        <v>57</v>
      </c>
      <c r="H11" s="336"/>
      <c r="I11" s="589"/>
      <c r="J11" s="310"/>
      <c r="K11" s="310" t="s">
        <v>1066</v>
      </c>
      <c r="L11" s="475"/>
    </row>
    <row r="12" spans="1:16" s="472" customFormat="1" ht="12.6" customHeight="1" x14ac:dyDescent="0.2">
      <c r="C12" s="946" t="s">
        <v>59</v>
      </c>
      <c r="E12" s="574" t="s">
        <v>228</v>
      </c>
      <c r="G12" s="945" t="s">
        <v>864</v>
      </c>
      <c r="H12" s="336"/>
      <c r="I12" s="574" t="s">
        <v>671</v>
      </c>
      <c r="J12" s="310"/>
      <c r="K12" s="574" t="s">
        <v>864</v>
      </c>
      <c r="L12" s="475"/>
    </row>
    <row r="13" spans="1:16" s="317" customFormat="1" ht="9.9499999999999993" customHeight="1" x14ac:dyDescent="0.2">
      <c r="A13" s="480" t="s">
        <v>1018</v>
      </c>
      <c r="B13" s="481"/>
      <c r="D13" s="481"/>
      <c r="G13" s="253"/>
      <c r="H13" s="253"/>
      <c r="I13" s="253"/>
      <c r="J13" s="253"/>
      <c r="K13" s="253"/>
      <c r="P13" s="317">
        <v>0</v>
      </c>
    </row>
    <row r="14" spans="1:16" s="317" customFormat="1" ht="9.9499999999999993" customHeight="1" x14ac:dyDescent="0.2">
      <c r="A14" s="577" t="s">
        <v>948</v>
      </c>
      <c r="B14" s="587"/>
      <c r="C14" s="1506">
        <v>150292</v>
      </c>
      <c r="D14" s="587"/>
      <c r="E14" s="1550">
        <v>152527</v>
      </c>
      <c r="F14" s="323"/>
      <c r="G14" s="339">
        <f>SUM('Nonmajor Ent SOREC'!K12)</f>
        <v>55755</v>
      </c>
      <c r="H14" s="254"/>
      <c r="I14" s="339">
        <f>SUM(C14:G14)</f>
        <v>358574</v>
      </c>
      <c r="J14" s="254"/>
      <c r="K14" s="339">
        <f>SUM('ISF-SOREC'!O13)</f>
        <v>480420</v>
      </c>
      <c r="L14" s="323"/>
    </row>
    <row r="15" spans="1:16" s="317" customFormat="1" ht="5.0999999999999996" customHeight="1" x14ac:dyDescent="0.2">
      <c r="B15" s="587"/>
      <c r="C15" s="590"/>
      <c r="D15" s="587"/>
      <c r="E15" s="366"/>
      <c r="F15" s="323"/>
      <c r="G15" s="366"/>
      <c r="H15" s="254"/>
      <c r="I15" s="366"/>
      <c r="J15" s="254"/>
      <c r="K15" s="366"/>
      <c r="L15" s="323"/>
    </row>
    <row r="16" spans="1:16" s="253" customFormat="1" ht="11.1" customHeight="1" x14ac:dyDescent="0.2">
      <c r="A16" s="353" t="s">
        <v>372</v>
      </c>
      <c r="B16" s="587"/>
      <c r="C16" s="341">
        <f>SUM(C14:C15)</f>
        <v>150292</v>
      </c>
      <c r="D16" s="587"/>
      <c r="E16" s="341">
        <f>SUM(E14)</f>
        <v>152527</v>
      </c>
      <c r="F16" s="324"/>
      <c r="G16" s="341">
        <f>SUM(G14:G14)</f>
        <v>55755</v>
      </c>
      <c r="H16" s="273"/>
      <c r="I16" s="341">
        <f>SUM(I14:I14)</f>
        <v>358574</v>
      </c>
      <c r="J16" s="273"/>
      <c r="K16" s="341">
        <f>SUM(K14:K14)</f>
        <v>480420</v>
      </c>
      <c r="L16" s="254"/>
    </row>
    <row r="17" spans="1:17" s="317" customFormat="1" ht="5.0999999999999996" customHeight="1" x14ac:dyDescent="0.2">
      <c r="B17" s="587"/>
      <c r="C17" s="324"/>
      <c r="D17" s="587"/>
      <c r="E17" s="273"/>
      <c r="F17" s="324"/>
      <c r="G17" s="273"/>
      <c r="H17" s="273"/>
      <c r="I17" s="273"/>
      <c r="J17" s="273"/>
      <c r="K17" s="273"/>
      <c r="L17" s="323"/>
    </row>
    <row r="18" spans="1:17" s="317" customFormat="1" ht="9.9499999999999993" customHeight="1" x14ac:dyDescent="0.2">
      <c r="A18" s="480" t="s">
        <v>601</v>
      </c>
      <c r="B18" s="587"/>
      <c r="C18" s="324"/>
      <c r="D18" s="587"/>
      <c r="E18" s="273"/>
      <c r="F18" s="324"/>
      <c r="G18" s="273"/>
      <c r="H18" s="273"/>
      <c r="I18" s="273"/>
      <c r="J18" s="273"/>
      <c r="K18" s="273"/>
      <c r="L18" s="323"/>
    </row>
    <row r="19" spans="1:17" s="317" customFormat="1" ht="9.9499999999999993" customHeight="1" x14ac:dyDescent="0.2">
      <c r="A19" s="577" t="s">
        <v>375</v>
      </c>
      <c r="B19" s="587"/>
      <c r="C19" s="324">
        <v>44766</v>
      </c>
      <c r="D19" s="587"/>
      <c r="E19" s="273">
        <v>52587</v>
      </c>
      <c r="F19" s="324"/>
      <c r="G19" s="273">
        <f>SUM('Nonmajor Ent SOREC'!K17)</f>
        <v>37250</v>
      </c>
      <c r="H19" s="273"/>
      <c r="I19" s="273">
        <f t="shared" ref="I19:I25" si="0">SUM(C19:G19)</f>
        <v>134603</v>
      </c>
      <c r="J19" s="273"/>
      <c r="K19" s="273">
        <f>SUM('ISF-SOREC'!O18)</f>
        <v>119507</v>
      </c>
      <c r="L19" s="323"/>
    </row>
    <row r="20" spans="1:17" s="317" customFormat="1" ht="9.9499999999999993" customHeight="1" x14ac:dyDescent="0.2">
      <c r="A20" s="577" t="s">
        <v>376</v>
      </c>
      <c r="B20" s="587"/>
      <c r="C20" s="324">
        <v>32546</v>
      </c>
      <c r="D20" s="587"/>
      <c r="E20" s="273">
        <v>42648</v>
      </c>
      <c r="F20" s="324"/>
      <c r="G20" s="273">
        <f>SUM('Nonmajor Ent SOREC'!K18)</f>
        <v>7728</v>
      </c>
      <c r="H20" s="273"/>
      <c r="I20" s="273">
        <f t="shared" si="0"/>
        <v>82922</v>
      </c>
      <c r="J20" s="273"/>
      <c r="K20" s="273">
        <f>SUM('ISF-SOREC'!O19)</f>
        <v>55797</v>
      </c>
      <c r="L20" s="323"/>
    </row>
    <row r="21" spans="1:17" s="317" customFormat="1" ht="9.9499999999999993" customHeight="1" x14ac:dyDescent="0.2">
      <c r="A21" s="577" t="s">
        <v>377</v>
      </c>
      <c r="B21" s="587"/>
      <c r="C21" s="324">
        <v>3516</v>
      </c>
      <c r="D21" s="587"/>
      <c r="E21" s="273">
        <v>9583</v>
      </c>
      <c r="F21" s="324"/>
      <c r="G21" s="273">
        <f>SUM('Nonmajor Ent SOREC'!K19)</f>
        <v>1218</v>
      </c>
      <c r="H21" s="273"/>
      <c r="I21" s="273">
        <f t="shared" si="0"/>
        <v>14317</v>
      </c>
      <c r="J21" s="273"/>
      <c r="K21" s="273">
        <f>SUM('ISF-SOREC'!O20)</f>
        <v>4040</v>
      </c>
      <c r="L21" s="323"/>
    </row>
    <row r="22" spans="1:17" s="317" customFormat="1" ht="9.9499999999999993" customHeight="1" x14ac:dyDescent="0.2">
      <c r="A22" s="577" t="s">
        <v>1131</v>
      </c>
      <c r="B22" s="587"/>
      <c r="C22" s="324"/>
      <c r="D22" s="587"/>
      <c r="E22" s="273"/>
      <c r="F22" s="324"/>
      <c r="G22" s="273"/>
      <c r="H22" s="273"/>
      <c r="I22" s="273"/>
      <c r="J22" s="273"/>
      <c r="K22" s="273">
        <f>SUM('ISF-SOREC'!O21)</f>
        <v>36655</v>
      </c>
      <c r="L22" s="323"/>
    </row>
    <row r="23" spans="1:17" s="317" customFormat="1" ht="9.9499999999999993" customHeight="1" x14ac:dyDescent="0.2">
      <c r="A23" s="577" t="s">
        <v>367</v>
      </c>
      <c r="B23" s="587"/>
      <c r="C23" s="324"/>
      <c r="D23" s="587"/>
      <c r="E23" s="273"/>
      <c r="F23" s="324"/>
      <c r="G23" s="273"/>
      <c r="H23" s="273"/>
      <c r="I23" s="273"/>
      <c r="J23" s="273"/>
      <c r="K23" s="273">
        <f>SUM('ISF-SOREC'!O22)</f>
        <v>193733</v>
      </c>
      <c r="L23" s="323"/>
    </row>
    <row r="24" spans="1:17" s="317" customFormat="1" ht="9.9499999999999993" customHeight="1" x14ac:dyDescent="0.2">
      <c r="A24" s="577" t="s">
        <v>678</v>
      </c>
      <c r="B24" s="587"/>
      <c r="C24" s="324">
        <v>14814</v>
      </c>
      <c r="D24" s="587"/>
      <c r="E24" s="273">
        <v>32610</v>
      </c>
      <c r="F24" s="324"/>
      <c r="G24" s="273">
        <f>SUM('Nonmajor Ent SOREC'!K22)</f>
        <v>11232</v>
      </c>
      <c r="H24" s="273"/>
      <c r="I24" s="273">
        <f t="shared" si="0"/>
        <v>58656</v>
      </c>
      <c r="J24" s="273"/>
      <c r="K24" s="273">
        <f>SUM('ISF-SOREC'!O23)</f>
        <v>63068</v>
      </c>
      <c r="L24" s="323"/>
    </row>
    <row r="25" spans="1:17" s="317" customFormat="1" ht="9.9499999999999993" customHeight="1" x14ac:dyDescent="0.2">
      <c r="A25" s="577" t="s">
        <v>378</v>
      </c>
      <c r="B25" s="587"/>
      <c r="C25" s="324">
        <v>42529</v>
      </c>
      <c r="D25" s="587"/>
      <c r="E25" s="273">
        <v>2572</v>
      </c>
      <c r="F25" s="324"/>
      <c r="G25" s="273">
        <f>SUM('Nonmajor Ent SOREC'!K23)</f>
        <v>4653</v>
      </c>
      <c r="H25" s="273"/>
      <c r="I25" s="273">
        <f t="shared" si="0"/>
        <v>49754</v>
      </c>
      <c r="J25" s="273"/>
      <c r="K25" s="273">
        <f>SUM('ISF-SOREC'!O24)</f>
        <v>37582</v>
      </c>
      <c r="L25" s="323"/>
    </row>
    <row r="26" spans="1:17" s="317" customFormat="1" ht="5.0999999999999996" customHeight="1" x14ac:dyDescent="0.2">
      <c r="B26" s="587"/>
      <c r="C26" s="590"/>
      <c r="D26" s="587"/>
      <c r="E26" s="366"/>
      <c r="F26" s="324"/>
      <c r="G26" s="340"/>
      <c r="H26" s="273"/>
      <c r="I26" s="340"/>
      <c r="J26" s="273"/>
      <c r="K26" s="340"/>
      <c r="L26" s="323"/>
    </row>
    <row r="27" spans="1:17" s="253" customFormat="1" ht="11.1" customHeight="1" x14ac:dyDescent="0.2">
      <c r="A27" s="353" t="s">
        <v>379</v>
      </c>
      <c r="B27" s="301"/>
      <c r="C27" s="341">
        <f>SUM(C19:C25)</f>
        <v>138171</v>
      </c>
      <c r="D27" s="301"/>
      <c r="E27" s="341">
        <f>SUM(E19:E25)</f>
        <v>140000</v>
      </c>
      <c r="F27" s="324"/>
      <c r="G27" s="341">
        <f>SUM(G18:G25)</f>
        <v>62081</v>
      </c>
      <c r="H27" s="273"/>
      <c r="I27" s="341">
        <f>SUM(I18:I25)</f>
        <v>340252</v>
      </c>
      <c r="J27" s="273"/>
      <c r="K27" s="341">
        <f>SUM(K18:K25)</f>
        <v>510382</v>
      </c>
      <c r="L27" s="254"/>
      <c r="M27" s="273"/>
      <c r="N27" s="273"/>
      <c r="O27" s="273">
        <f>+H27-H36-H35-H34</f>
        <v>0</v>
      </c>
      <c r="P27" s="273"/>
      <c r="Q27" s="273">
        <f>+J27-J36-J35-J34</f>
        <v>0</v>
      </c>
    </row>
    <row r="28" spans="1:17" s="317" customFormat="1" ht="5.0999999999999996" customHeight="1" x14ac:dyDescent="0.2">
      <c r="B28" s="587"/>
      <c r="C28" s="590"/>
      <c r="D28" s="587"/>
      <c r="E28" s="366"/>
      <c r="F28" s="324"/>
      <c r="G28" s="273"/>
      <c r="H28" s="273"/>
      <c r="I28" s="340"/>
      <c r="J28" s="273"/>
      <c r="K28" s="340"/>
      <c r="L28" s="323"/>
    </row>
    <row r="29" spans="1:17" s="253" customFormat="1" ht="11.1" customHeight="1" x14ac:dyDescent="0.2">
      <c r="A29" s="353" t="s">
        <v>380</v>
      </c>
      <c r="B29" s="301"/>
      <c r="C29" s="341">
        <f>+C16-C27</f>
        <v>12121</v>
      </c>
      <c r="D29" s="301"/>
      <c r="E29" s="341">
        <f>E16-E27</f>
        <v>12527</v>
      </c>
      <c r="F29" s="324"/>
      <c r="G29" s="341">
        <f>G16-G27</f>
        <v>-6326</v>
      </c>
      <c r="H29" s="273"/>
      <c r="I29" s="341">
        <f>I16-I27</f>
        <v>18322</v>
      </c>
      <c r="J29" s="273"/>
      <c r="K29" s="341">
        <f>K16-K27</f>
        <v>-29962</v>
      </c>
      <c r="L29" s="254"/>
    </row>
    <row r="30" spans="1:17" s="317" customFormat="1" ht="5.0999999999999996" customHeight="1" x14ac:dyDescent="0.2">
      <c r="B30" s="587"/>
      <c r="C30" s="324"/>
      <c r="D30" s="587"/>
      <c r="E30" s="273"/>
      <c r="F30" s="324"/>
      <c r="G30" s="273"/>
      <c r="H30" s="273"/>
      <c r="I30" s="273"/>
      <c r="J30" s="273"/>
      <c r="K30" s="273"/>
      <c r="L30" s="323"/>
    </row>
    <row r="31" spans="1:17" s="317" customFormat="1" ht="9.9499999999999993" customHeight="1" x14ac:dyDescent="0.2">
      <c r="A31" s="322" t="s">
        <v>602</v>
      </c>
      <c r="B31" s="587"/>
      <c r="C31" s="324"/>
      <c r="D31" s="587"/>
      <c r="E31" s="273"/>
      <c r="F31" s="324"/>
      <c r="G31" s="273"/>
      <c r="H31" s="273"/>
      <c r="I31" s="273"/>
      <c r="J31" s="273"/>
      <c r="K31" s="273"/>
      <c r="L31" s="323"/>
    </row>
    <row r="32" spans="1:17" s="317" customFormat="1" ht="9.9499999999999993" customHeight="1" x14ac:dyDescent="0.2">
      <c r="A32" s="577" t="s">
        <v>1664</v>
      </c>
      <c r="B32" s="587"/>
      <c r="C32" s="324">
        <v>32576</v>
      </c>
      <c r="D32" s="587"/>
      <c r="E32" s="273">
        <v>442</v>
      </c>
      <c r="F32" s="324"/>
      <c r="G32" s="273">
        <f>SUM('Nonmajor Ent SOREC'!K30)</f>
        <v>2304</v>
      </c>
      <c r="H32" s="273"/>
      <c r="I32" s="273">
        <f>SUM(C32:G32)</f>
        <v>35322</v>
      </c>
      <c r="J32" s="273"/>
      <c r="K32" s="273">
        <f>SUM('ISF-SOREC'!O31)</f>
        <v>14612</v>
      </c>
      <c r="L32" s="323"/>
    </row>
    <row r="33" spans="1:14" s="317" customFormat="1" ht="9.9499999999999993" customHeight="1" x14ac:dyDescent="0.2">
      <c r="A33" s="577" t="s">
        <v>381</v>
      </c>
      <c r="B33" s="587"/>
      <c r="C33" s="324">
        <v>1186</v>
      </c>
      <c r="D33" s="587"/>
      <c r="E33" s="273">
        <v>435</v>
      </c>
      <c r="F33" s="324"/>
      <c r="G33" s="273">
        <f>SUM('Nonmajor Ent SOREC'!K31)</f>
        <v>13</v>
      </c>
      <c r="H33" s="273"/>
      <c r="I33" s="273">
        <f>SUM(C33:G33)</f>
        <v>1634</v>
      </c>
      <c r="J33" s="273"/>
      <c r="K33" s="273">
        <f>SUM('ISF-SOREC'!O32)</f>
        <v>21632</v>
      </c>
      <c r="L33" s="323"/>
    </row>
    <row r="34" spans="1:14" s="317" customFormat="1" ht="9.9499999999999993" customHeight="1" x14ac:dyDescent="0.2">
      <c r="A34" s="577" t="s">
        <v>1680</v>
      </c>
      <c r="B34" s="587"/>
      <c r="C34" s="324">
        <v>41</v>
      </c>
      <c r="D34" s="587"/>
      <c r="E34" s="273"/>
      <c r="F34" s="324"/>
      <c r="G34" s="273">
        <f>SUM('Nonmajor Ent SOREC'!K32)</f>
        <v>0</v>
      </c>
      <c r="H34" s="273"/>
      <c r="I34" s="273">
        <f>SUM(C34:G34)</f>
        <v>41</v>
      </c>
      <c r="J34" s="273"/>
      <c r="K34" s="273">
        <f>SUM('ISF-SOREC'!O33)</f>
        <v>3855</v>
      </c>
      <c r="L34" s="323"/>
    </row>
    <row r="35" spans="1:14" s="317" customFormat="1" ht="9.9499999999999993" customHeight="1" x14ac:dyDescent="0.2">
      <c r="A35" s="577" t="s">
        <v>382</v>
      </c>
      <c r="B35" s="587"/>
      <c r="C35" s="324">
        <v>-30884</v>
      </c>
      <c r="D35" s="587"/>
      <c r="E35" s="273">
        <v>-55</v>
      </c>
      <c r="F35" s="324"/>
      <c r="G35" s="273">
        <f>SUM('Nonmajor Ent SOREC'!K33)</f>
        <v>-235</v>
      </c>
      <c r="H35" s="273"/>
      <c r="I35" s="273">
        <f>SUM(C35:G35)</f>
        <v>-31174</v>
      </c>
      <c r="J35" s="273"/>
      <c r="K35" s="273">
        <f>SUM('ISF-SOREC'!O34)</f>
        <v>-212</v>
      </c>
      <c r="L35" s="323"/>
    </row>
    <row r="36" spans="1:14" s="317" customFormat="1" ht="9.9499999999999993" customHeight="1" x14ac:dyDescent="0.2">
      <c r="A36" s="577" t="s">
        <v>383</v>
      </c>
      <c r="B36" s="587"/>
      <c r="C36" s="324">
        <v>-811</v>
      </c>
      <c r="D36" s="587"/>
      <c r="E36" s="324">
        <v>-2424</v>
      </c>
      <c r="F36" s="324"/>
      <c r="G36" s="273">
        <f>SUM('Nonmajor Ent SOREC'!K34)</f>
        <v>-26</v>
      </c>
      <c r="H36" s="273"/>
      <c r="I36" s="273">
        <f>SUM(C36:G36)</f>
        <v>-3261</v>
      </c>
      <c r="J36" s="273"/>
      <c r="K36" s="273">
        <f>'ISF-SOREC'!O35</f>
        <v>-24</v>
      </c>
      <c r="L36" s="323"/>
    </row>
    <row r="37" spans="1:14" s="317" customFormat="1" ht="5.0999999999999996" customHeight="1" x14ac:dyDescent="0.2">
      <c r="B37" s="587"/>
      <c r="C37" s="590"/>
      <c r="D37" s="587"/>
      <c r="E37" s="366"/>
      <c r="F37" s="324"/>
      <c r="G37" s="340"/>
      <c r="H37" s="273"/>
      <c r="I37" s="340"/>
      <c r="J37" s="273"/>
      <c r="K37" s="340"/>
      <c r="L37" s="323"/>
    </row>
    <row r="38" spans="1:14" s="253" customFormat="1" ht="11.1" customHeight="1" x14ac:dyDescent="0.2">
      <c r="A38" s="353" t="s">
        <v>1338</v>
      </c>
      <c r="B38" s="301"/>
      <c r="C38" s="341">
        <f>SUM(C32:C36)</f>
        <v>2108</v>
      </c>
      <c r="D38" s="301"/>
      <c r="E38" s="341">
        <f>SUM(E32:E36)</f>
        <v>-1602</v>
      </c>
      <c r="F38" s="324"/>
      <c r="G38" s="341">
        <f>SUM(G32:G36)</f>
        <v>2056</v>
      </c>
      <c r="H38" s="273"/>
      <c r="I38" s="341">
        <f>SUM(I32:I36)</f>
        <v>2562</v>
      </c>
      <c r="J38" s="273"/>
      <c r="K38" s="341">
        <f>SUM(K32:K36)</f>
        <v>39863</v>
      </c>
      <c r="L38" s="254"/>
    </row>
    <row r="39" spans="1:14" s="317" customFormat="1" ht="5.0999999999999996" customHeight="1" x14ac:dyDescent="0.2">
      <c r="B39" s="587"/>
      <c r="C39" s="590"/>
      <c r="D39" s="587"/>
      <c r="E39" s="366"/>
      <c r="F39" s="324"/>
      <c r="G39" s="273"/>
      <c r="H39" s="273"/>
      <c r="I39" s="273"/>
      <c r="J39" s="273"/>
      <c r="K39" s="273"/>
      <c r="L39" s="323"/>
    </row>
    <row r="40" spans="1:14" s="317" customFormat="1" ht="9.9499999999999993" customHeight="1" x14ac:dyDescent="0.2">
      <c r="A40" s="353" t="s">
        <v>1760</v>
      </c>
      <c r="B40" s="587"/>
      <c r="C40" s="324"/>
      <c r="D40" s="587"/>
      <c r="E40" s="324"/>
      <c r="F40" s="324"/>
      <c r="G40" s="273"/>
      <c r="H40" s="273"/>
      <c r="I40" s="273"/>
      <c r="J40" s="273"/>
      <c r="K40" s="273"/>
      <c r="L40" s="323"/>
      <c r="N40" s="676"/>
    </row>
    <row r="41" spans="1:14" s="253" customFormat="1" ht="11.1" customHeight="1" x14ac:dyDescent="0.2">
      <c r="A41" s="707" t="s">
        <v>1761</v>
      </c>
      <c r="B41" s="301"/>
      <c r="C41" s="341">
        <f>+C29+C38</f>
        <v>14229</v>
      </c>
      <c r="D41" s="301"/>
      <c r="E41" s="341">
        <f>E29+E38</f>
        <v>10925</v>
      </c>
      <c r="F41" s="324"/>
      <c r="G41" s="341">
        <f>G38+G29</f>
        <v>-4270</v>
      </c>
      <c r="H41" s="273"/>
      <c r="I41" s="341">
        <f>I38+I29</f>
        <v>20884</v>
      </c>
      <c r="J41" s="273"/>
      <c r="K41" s="341">
        <f>K38+K29</f>
        <v>9901</v>
      </c>
      <c r="L41" s="254"/>
      <c r="N41" s="679"/>
    </row>
    <row r="42" spans="1:14" s="317" customFormat="1" ht="4.5" customHeight="1" x14ac:dyDescent="0.2">
      <c r="B42" s="587"/>
      <c r="C42" s="324"/>
      <c r="D42" s="587"/>
      <c r="E42" s="273"/>
      <c r="F42" s="324"/>
      <c r="G42" s="273"/>
      <c r="H42" s="273"/>
      <c r="I42" s="273"/>
      <c r="J42" s="273"/>
      <c r="K42" s="273"/>
      <c r="L42" s="323"/>
      <c r="N42" s="676"/>
    </row>
    <row r="43" spans="1:14" s="317" customFormat="1" ht="9.9499999999999993" customHeight="1" x14ac:dyDescent="0.2">
      <c r="A43" s="322" t="s">
        <v>777</v>
      </c>
      <c r="B43" s="587"/>
      <c r="C43" s="324">
        <v>53849</v>
      </c>
      <c r="D43" s="587"/>
      <c r="E43" s="324"/>
      <c r="F43" s="324"/>
      <c r="G43" s="273">
        <f>SUM('Nonmajor Ent SOREC'!K41)</f>
        <v>0</v>
      </c>
      <c r="H43" s="273"/>
      <c r="I43" s="273">
        <f>SUM(C43:G43)</f>
        <v>53849</v>
      </c>
      <c r="J43" s="273"/>
      <c r="K43" s="273"/>
      <c r="L43" s="323"/>
      <c r="N43" s="676"/>
    </row>
    <row r="44" spans="1:14" s="317" customFormat="1" ht="5.0999999999999996" customHeight="1" x14ac:dyDescent="0.2">
      <c r="B44" s="587"/>
      <c r="C44" s="324"/>
      <c r="D44" s="587"/>
      <c r="E44" s="324"/>
      <c r="F44" s="324"/>
      <c r="G44" s="273"/>
      <c r="H44" s="273"/>
      <c r="I44" s="273"/>
      <c r="J44" s="273"/>
      <c r="K44" s="273"/>
      <c r="L44" s="323"/>
      <c r="N44" s="676"/>
    </row>
    <row r="45" spans="1:14" s="317" customFormat="1" ht="9.9499999999999993" customHeight="1" x14ac:dyDescent="0.2">
      <c r="A45" s="480" t="s">
        <v>43</v>
      </c>
      <c r="B45" s="587"/>
      <c r="C45" s="324"/>
      <c r="D45" s="587"/>
      <c r="E45" s="324"/>
      <c r="F45" s="324"/>
      <c r="G45" s="273"/>
      <c r="H45" s="273"/>
      <c r="I45" s="273"/>
      <c r="J45" s="273"/>
      <c r="K45" s="273"/>
      <c r="L45" s="323"/>
      <c r="N45" s="500" t="s">
        <v>413</v>
      </c>
    </row>
    <row r="46" spans="1:14" s="317" customFormat="1" ht="9.9499999999999993" customHeight="1" x14ac:dyDescent="0.2">
      <c r="A46" s="577" t="s">
        <v>21</v>
      </c>
      <c r="B46" s="587"/>
      <c r="C46" s="324">
        <v>300</v>
      </c>
      <c r="D46" s="587"/>
      <c r="E46" s="324">
        <v>91</v>
      </c>
      <c r="F46" s="324"/>
      <c r="G46" s="273">
        <f>SUM('Nonmajor Ent SOREC'!K45)</f>
        <v>4259</v>
      </c>
      <c r="H46" s="273"/>
      <c r="I46" s="273">
        <f>SUM(C46:G46)</f>
        <v>4650</v>
      </c>
      <c r="J46" s="273"/>
      <c r="K46" s="273">
        <f>SUM('ISF-SOREC'!O42)</f>
        <v>25087</v>
      </c>
      <c r="L46" s="323"/>
      <c r="N46" s="687">
        <f>SUM(I46+K46+'SORECGF-major'!Y72)</f>
        <v>895201</v>
      </c>
    </row>
    <row r="47" spans="1:14" s="317" customFormat="1" ht="9.9499999999999993" customHeight="1" x14ac:dyDescent="0.2">
      <c r="A47" s="577" t="s">
        <v>22</v>
      </c>
      <c r="B47" s="587"/>
      <c r="C47" s="494">
        <v>-1070</v>
      </c>
      <c r="D47" s="587"/>
      <c r="E47" s="494">
        <v>-5199</v>
      </c>
      <c r="F47" s="324"/>
      <c r="G47" s="273">
        <f>SUM('Nonmajor Ent SOREC'!K46)</f>
        <v>-3781</v>
      </c>
      <c r="H47" s="273"/>
      <c r="I47" s="273">
        <f>SUM(C47:G47)</f>
        <v>-10050</v>
      </c>
      <c r="J47" s="273"/>
      <c r="K47" s="273">
        <f>SUM('ISF-SOREC'!O43)</f>
        <v>-5987</v>
      </c>
      <c r="L47" s="323"/>
      <c r="N47" s="687">
        <f>SUM(I47+K47+'SORECGF-major'!Y73)</f>
        <v>-896308</v>
      </c>
    </row>
    <row r="48" spans="1:14" s="317" customFormat="1" ht="5.0999999999999996" customHeight="1" x14ac:dyDescent="0.2">
      <c r="B48" s="587"/>
      <c r="C48" s="488"/>
      <c r="D48" s="587"/>
      <c r="E48" s="496"/>
      <c r="F48" s="324"/>
      <c r="G48" s="340"/>
      <c r="H48" s="273"/>
      <c r="I48" s="340"/>
      <c r="J48" s="273"/>
      <c r="K48" s="340"/>
      <c r="L48" s="323"/>
      <c r="N48" s="676"/>
    </row>
    <row r="49" spans="1:26" s="253" customFormat="1" ht="11.1" customHeight="1" x14ac:dyDescent="0.2">
      <c r="A49" s="353" t="s">
        <v>1335</v>
      </c>
      <c r="B49" s="301"/>
      <c r="C49" s="341">
        <f>SUM(C45:C47)</f>
        <v>-770</v>
      </c>
      <c r="D49" s="301"/>
      <c r="E49" s="341">
        <f>SUM(E45:E47)</f>
        <v>-5108</v>
      </c>
      <c r="F49" s="324"/>
      <c r="G49" s="341">
        <f>SUM(G45:G47)</f>
        <v>478</v>
      </c>
      <c r="H49" s="273"/>
      <c r="I49" s="341">
        <f>SUM(I45:I47)</f>
        <v>-5400</v>
      </c>
      <c r="J49" s="273"/>
      <c r="K49" s="341">
        <f>SUM(K45:K47)</f>
        <v>19100</v>
      </c>
      <c r="L49" s="254"/>
      <c r="N49" s="772">
        <f>SUM(N46:N48)</f>
        <v>-1107</v>
      </c>
    </row>
    <row r="50" spans="1:26" s="317" customFormat="1" ht="5.0999999999999996" customHeight="1" x14ac:dyDescent="0.2">
      <c r="B50" s="587"/>
      <c r="C50" s="488"/>
      <c r="D50" s="587"/>
      <c r="E50" s="496"/>
      <c r="F50" s="324"/>
      <c r="G50" s="340"/>
      <c r="H50" s="273"/>
      <c r="I50" s="340"/>
      <c r="J50" s="273"/>
      <c r="K50" s="340"/>
      <c r="L50" s="323"/>
      <c r="N50" s="676"/>
    </row>
    <row r="51" spans="1:26" s="317" customFormat="1" ht="9.9499999999999993" customHeight="1" x14ac:dyDescent="0.2">
      <c r="A51" s="1241" t="s">
        <v>1762</v>
      </c>
      <c r="B51" s="587"/>
      <c r="L51" s="323"/>
      <c r="N51" s="676"/>
    </row>
    <row r="52" spans="1:26" s="317" customFormat="1" ht="9.9499999999999993" customHeight="1" x14ac:dyDescent="0.2">
      <c r="A52" s="1558" t="s">
        <v>1752</v>
      </c>
      <c r="B52" s="587"/>
      <c r="C52" s="494"/>
      <c r="D52" s="587"/>
      <c r="E52" s="494">
        <v>31135</v>
      </c>
      <c r="F52" s="324"/>
      <c r="G52" s="341"/>
      <c r="H52" s="273"/>
      <c r="I52" s="341">
        <f>SUM(C52:G52)</f>
        <v>31135</v>
      </c>
      <c r="J52" s="273"/>
      <c r="K52" s="341"/>
      <c r="L52" s="323"/>
      <c r="N52" s="676"/>
    </row>
    <row r="53" spans="1:26" s="317" customFormat="1" ht="5.0999999999999996" customHeight="1" x14ac:dyDescent="0.2">
      <c r="B53" s="587"/>
      <c r="C53" s="324"/>
      <c r="D53" s="587"/>
      <c r="E53" s="324"/>
      <c r="F53" s="324"/>
      <c r="G53" s="273"/>
      <c r="H53" s="273"/>
      <c r="I53" s="273"/>
      <c r="J53" s="273"/>
      <c r="K53" s="273"/>
      <c r="L53" s="323"/>
      <c r="N53" s="676"/>
    </row>
    <row r="54" spans="1:26" s="317" customFormat="1" ht="9.9499999999999993" customHeight="1" x14ac:dyDescent="0.2">
      <c r="A54" s="322" t="s">
        <v>1117</v>
      </c>
      <c r="B54" s="481"/>
      <c r="C54" s="273">
        <f>+C41+C43+C49+C52</f>
        <v>67308</v>
      </c>
      <c r="D54" s="481"/>
      <c r="E54" s="273">
        <f>+E41+E43+E49+E52</f>
        <v>36952</v>
      </c>
      <c r="F54" s="324"/>
      <c r="G54" s="273">
        <f>+G41+G43+G49+G52</f>
        <v>-3792</v>
      </c>
      <c r="H54" s="273"/>
      <c r="I54" s="273">
        <f>+I41+I43+I49+I52</f>
        <v>100468</v>
      </c>
      <c r="J54" s="273"/>
      <c r="K54" s="273">
        <f>+K41+K43+K49</f>
        <v>29001</v>
      </c>
      <c r="N54" s="676"/>
    </row>
    <row r="55" spans="1:26" s="317" customFormat="1" ht="5.0999999999999996" customHeight="1" x14ac:dyDescent="0.2">
      <c r="B55" s="587"/>
      <c r="C55" s="324"/>
      <c r="D55" s="587"/>
      <c r="E55" s="324"/>
      <c r="F55" s="324"/>
      <c r="G55" s="273"/>
      <c r="H55" s="273"/>
      <c r="I55" s="273"/>
      <c r="J55" s="273"/>
      <c r="K55" s="273"/>
      <c r="L55" s="323"/>
      <c r="N55" s="676"/>
    </row>
    <row r="56" spans="1:26" s="317" customFormat="1" ht="11.1" customHeight="1" x14ac:dyDescent="0.2">
      <c r="A56" s="482" t="s">
        <v>1497</v>
      </c>
      <c r="B56" s="587"/>
      <c r="C56" s="488">
        <v>522239</v>
      </c>
      <c r="D56" s="587"/>
      <c r="E56" s="488">
        <v>-84824</v>
      </c>
      <c r="F56" s="324"/>
      <c r="G56" s="273">
        <v>13198</v>
      </c>
      <c r="H56" s="273"/>
      <c r="I56" s="273"/>
      <c r="J56" s="273"/>
      <c r="K56" s="273">
        <v>141555</v>
      </c>
      <c r="L56" s="323"/>
    </row>
    <row r="57" spans="1:26" s="253" customFormat="1" ht="5.0999999999999996" customHeight="1" x14ac:dyDescent="0.2">
      <c r="B57" s="273"/>
      <c r="C57" s="1486"/>
      <c r="D57" s="273"/>
      <c r="E57" s="340"/>
      <c r="F57" s="273"/>
      <c r="G57" s="340"/>
      <c r="H57" s="273"/>
      <c r="I57" s="273"/>
      <c r="J57" s="273"/>
      <c r="K57" s="340"/>
      <c r="L57" s="273"/>
      <c r="M57" s="273"/>
      <c r="N57" s="273"/>
      <c r="O57" s="273"/>
      <c r="P57" s="273"/>
      <c r="Q57" s="273"/>
      <c r="R57" s="273"/>
      <c r="S57" s="273"/>
      <c r="T57" s="273"/>
      <c r="U57" s="273"/>
      <c r="V57" s="273"/>
      <c r="W57" s="273"/>
      <c r="X57" s="273"/>
      <c r="Y57" s="273"/>
      <c r="Z57" s="348"/>
    </row>
    <row r="58" spans="1:26" s="253" customFormat="1" ht="9.9499999999999993" hidden="1" customHeight="1" x14ac:dyDescent="0.2">
      <c r="A58" s="253" t="s">
        <v>1715</v>
      </c>
      <c r="B58" s="273"/>
      <c r="C58" s="273"/>
      <c r="D58" s="273"/>
      <c r="E58" s="273"/>
      <c r="F58" s="273"/>
      <c r="G58" s="273"/>
      <c r="H58" s="273"/>
      <c r="I58" s="273">
        <f>SUM(C58:G58)</f>
        <v>0</v>
      </c>
      <c r="J58" s="273"/>
      <c r="K58" s="273"/>
      <c r="L58" s="273"/>
      <c r="M58" s="273"/>
      <c r="N58" s="273"/>
      <c r="O58" s="273"/>
      <c r="P58" s="273"/>
      <c r="Q58" s="273"/>
      <c r="R58" s="273"/>
      <c r="S58" s="273"/>
      <c r="T58" s="273"/>
      <c r="U58" s="273"/>
      <c r="V58" s="273"/>
      <c r="W58" s="273"/>
      <c r="X58" s="273"/>
      <c r="Y58" s="273"/>
      <c r="Z58" s="299"/>
    </row>
    <row r="59" spans="1:26" s="253" customFormat="1" ht="5.0999999999999996" hidden="1" customHeight="1" x14ac:dyDescent="0.2">
      <c r="B59" s="273"/>
      <c r="C59" s="399"/>
      <c r="D59" s="273"/>
      <c r="E59" s="273"/>
      <c r="F59" s="273"/>
      <c r="G59" s="273"/>
      <c r="H59" s="273"/>
      <c r="I59" s="273"/>
      <c r="J59" s="273"/>
      <c r="K59" s="273"/>
      <c r="L59" s="273"/>
      <c r="M59" s="273"/>
      <c r="N59" s="273"/>
      <c r="O59" s="273"/>
      <c r="P59" s="273"/>
      <c r="Q59" s="273"/>
      <c r="R59" s="273"/>
      <c r="S59" s="273"/>
      <c r="T59" s="273"/>
      <c r="U59" s="273"/>
      <c r="V59" s="273"/>
      <c r="W59" s="273"/>
      <c r="X59" s="273"/>
      <c r="Y59" s="273"/>
      <c r="Z59" s="348"/>
    </row>
    <row r="60" spans="1:26" s="253" customFormat="1" ht="9.9499999999999993" hidden="1" customHeight="1" x14ac:dyDescent="0.2">
      <c r="A60" s="253" t="s">
        <v>1716</v>
      </c>
      <c r="B60" s="273"/>
      <c r="C60" s="273"/>
      <c r="D60" s="273"/>
      <c r="E60" s="273"/>
      <c r="F60" s="273"/>
      <c r="G60" s="273"/>
      <c r="H60" s="273"/>
      <c r="I60" s="273">
        <f>SUM(C60:G60)</f>
        <v>0</v>
      </c>
      <c r="J60" s="273"/>
      <c r="K60" s="273"/>
      <c r="L60" s="273"/>
      <c r="M60" s="273"/>
      <c r="N60" s="273"/>
      <c r="O60" s="273"/>
      <c r="P60" s="273"/>
      <c r="Q60" s="273"/>
      <c r="R60" s="273"/>
      <c r="S60" s="273"/>
      <c r="T60" s="273"/>
      <c r="U60" s="273"/>
      <c r="V60" s="273"/>
      <c r="W60" s="273"/>
      <c r="X60" s="273"/>
      <c r="Y60" s="273"/>
      <c r="Z60" s="299"/>
    </row>
    <row r="61" spans="1:26" s="253" customFormat="1" ht="5.0999999999999996" hidden="1" customHeight="1" x14ac:dyDescent="0.2">
      <c r="B61" s="273"/>
      <c r="C61" s="399"/>
      <c r="D61" s="273"/>
      <c r="E61" s="273"/>
      <c r="F61" s="273"/>
      <c r="G61" s="273"/>
      <c r="H61" s="273"/>
      <c r="I61" s="273"/>
      <c r="J61" s="273"/>
      <c r="K61" s="273"/>
      <c r="L61" s="273"/>
      <c r="M61" s="273"/>
      <c r="N61" s="273"/>
      <c r="O61" s="273"/>
      <c r="P61" s="273"/>
      <c r="Q61" s="273"/>
      <c r="R61" s="273"/>
      <c r="S61" s="273"/>
      <c r="T61" s="273"/>
      <c r="U61" s="273"/>
      <c r="V61" s="273"/>
      <c r="W61" s="273"/>
      <c r="X61" s="273"/>
      <c r="Y61" s="273"/>
      <c r="Z61" s="348"/>
    </row>
    <row r="62" spans="1:26" s="253" customFormat="1" ht="9.9499999999999993" hidden="1" customHeight="1" x14ac:dyDescent="0.2">
      <c r="A62" s="253" t="s">
        <v>1717</v>
      </c>
      <c r="B62" s="273"/>
      <c r="C62" s="273"/>
      <c r="D62" s="273"/>
      <c r="E62" s="273"/>
      <c r="F62" s="273"/>
      <c r="G62" s="273"/>
      <c r="H62" s="273"/>
      <c r="I62" s="273">
        <f>SUM(C62:G62)</f>
        <v>0</v>
      </c>
      <c r="J62" s="273"/>
      <c r="K62" s="273"/>
      <c r="L62" s="273"/>
      <c r="M62" s="273"/>
      <c r="N62" s="273"/>
      <c r="O62" s="273"/>
      <c r="P62" s="273"/>
      <c r="Q62" s="273"/>
      <c r="R62" s="273"/>
      <c r="S62" s="273"/>
      <c r="T62" s="273"/>
      <c r="U62" s="273"/>
      <c r="V62" s="273"/>
      <c r="W62" s="273"/>
      <c r="X62" s="273"/>
      <c r="Y62" s="273"/>
      <c r="Z62" s="299"/>
    </row>
    <row r="63" spans="1:26" s="253" customFormat="1" ht="5.0999999999999996" hidden="1" customHeight="1" x14ac:dyDescent="0.2">
      <c r="B63" s="273"/>
      <c r="C63" s="399"/>
      <c r="D63" s="273"/>
      <c r="E63" s="273"/>
      <c r="F63" s="273"/>
      <c r="G63" s="273"/>
      <c r="H63" s="273"/>
      <c r="I63" s="273"/>
      <c r="J63" s="273"/>
      <c r="K63" s="273"/>
      <c r="L63" s="273"/>
      <c r="M63" s="273"/>
      <c r="N63" s="273"/>
      <c r="O63" s="273"/>
      <c r="P63" s="273"/>
      <c r="Q63" s="273"/>
      <c r="R63" s="273"/>
      <c r="S63" s="273"/>
      <c r="T63" s="273"/>
      <c r="U63" s="273"/>
      <c r="V63" s="273"/>
      <c r="W63" s="273"/>
      <c r="X63" s="273"/>
      <c r="Y63" s="273"/>
      <c r="Z63" s="348"/>
    </row>
    <row r="64" spans="1:26" s="253" customFormat="1" ht="9.9499999999999993" hidden="1" customHeight="1" x14ac:dyDescent="0.2">
      <c r="A64" s="349" t="s">
        <v>1721</v>
      </c>
      <c r="B64" s="273"/>
      <c r="C64" s="341">
        <f>SUM(C56:C62)</f>
        <v>522239</v>
      </c>
      <c r="D64" s="273"/>
      <c r="E64" s="341">
        <f>SUM(E56:E62)</f>
        <v>-84824</v>
      </c>
      <c r="F64" s="273"/>
      <c r="G64" s="341">
        <f>SUM(G56:G62)</f>
        <v>13198</v>
      </c>
      <c r="H64" s="273"/>
      <c r="I64" s="273">
        <f>SUM(I56:I62)</f>
        <v>0</v>
      </c>
      <c r="J64" s="273"/>
      <c r="K64" s="341">
        <f>SUM(K56:K62)</f>
        <v>141555</v>
      </c>
      <c r="L64" s="273"/>
      <c r="M64" s="273"/>
      <c r="N64" s="273"/>
      <c r="O64" s="273"/>
      <c r="P64" s="273"/>
      <c r="Q64" s="273"/>
      <c r="R64" s="273"/>
      <c r="S64" s="273"/>
      <c r="T64" s="273"/>
      <c r="U64" s="273"/>
      <c r="V64" s="273"/>
      <c r="W64" s="273"/>
      <c r="X64" s="273"/>
      <c r="Y64" s="273"/>
      <c r="Z64" s="299"/>
    </row>
    <row r="65" spans="1:12" s="317" customFormat="1" ht="5.0999999999999996" hidden="1" customHeight="1" x14ac:dyDescent="0.2">
      <c r="B65" s="587"/>
      <c r="C65" s="273"/>
      <c r="D65" s="587"/>
      <c r="E65" s="273"/>
      <c r="F65" s="324"/>
      <c r="G65" s="273"/>
      <c r="H65" s="273"/>
      <c r="I65" s="273"/>
      <c r="J65" s="273"/>
      <c r="K65" s="273"/>
      <c r="L65" s="323"/>
    </row>
    <row r="66" spans="1:12" s="253" customFormat="1" ht="11.1" customHeight="1" thickBot="1" x14ac:dyDescent="0.25">
      <c r="A66" s="284" t="s">
        <v>1489</v>
      </c>
      <c r="B66" s="362"/>
      <c r="C66" s="344">
        <f>+C64+C54</f>
        <v>589547</v>
      </c>
      <c r="D66" s="362"/>
      <c r="E66" s="344">
        <f>+E64+E54</f>
        <v>-47872</v>
      </c>
      <c r="F66" s="254"/>
      <c r="G66" s="344">
        <f>+G64+G54</f>
        <v>9406</v>
      </c>
      <c r="H66" s="254"/>
      <c r="I66" s="344">
        <f>+I64+I54</f>
        <v>100468</v>
      </c>
      <c r="J66" s="254"/>
      <c r="K66" s="344">
        <f>+K54+K64</f>
        <v>170556</v>
      </c>
      <c r="L66" s="339"/>
    </row>
    <row r="67" spans="1:12" s="317" customFormat="1" ht="9.9499999999999993" customHeight="1" thickTop="1" x14ac:dyDescent="0.2">
      <c r="B67" s="481"/>
      <c r="D67" s="481"/>
      <c r="G67" s="253"/>
      <c r="H67" s="253"/>
      <c r="I67" s="253"/>
      <c r="J67" s="253"/>
      <c r="K67" s="253"/>
    </row>
    <row r="68" spans="1:12" s="317" customFormat="1" ht="11.1" customHeight="1" x14ac:dyDescent="0.2">
      <c r="A68" s="482" t="s">
        <v>85</v>
      </c>
      <c r="B68" s="481"/>
      <c r="D68" s="481"/>
      <c r="H68" s="253"/>
      <c r="I68" s="486">
        <f>-SOAws!BZ114</f>
        <v>-4022</v>
      </c>
      <c r="J68" s="253"/>
      <c r="K68" s="253"/>
    </row>
    <row r="69" spans="1:12" s="317" customFormat="1" ht="5.0999999999999996" customHeight="1" x14ac:dyDescent="0.2">
      <c r="B69" s="481"/>
      <c r="D69" s="481"/>
      <c r="G69" s="253"/>
      <c r="H69" s="253"/>
      <c r="I69" s="591"/>
      <c r="J69" s="253"/>
      <c r="K69" s="253"/>
    </row>
    <row r="70" spans="1:12" s="317" customFormat="1" ht="11.1" customHeight="1" thickBot="1" x14ac:dyDescent="0.25">
      <c r="B70" s="481"/>
      <c r="C70" s="1593" t="s">
        <v>1169</v>
      </c>
      <c r="D70" s="1593"/>
      <c r="E70" s="1593"/>
      <c r="F70" s="1593"/>
      <c r="G70" s="1593"/>
      <c r="H70" s="253"/>
      <c r="I70" s="592">
        <f>I66+I68</f>
        <v>96446</v>
      </c>
      <c r="J70" s="253"/>
      <c r="K70" s="253"/>
    </row>
    <row r="71" spans="1:12" ht="3" customHeight="1" thickTop="1" x14ac:dyDescent="0.2"/>
    <row r="72" spans="1:12" s="683" customFormat="1" ht="9.9499999999999993" customHeight="1" x14ac:dyDescent="0.2">
      <c r="B72" s="682"/>
      <c r="D72" s="682"/>
      <c r="G72" s="686"/>
      <c r="H72" s="686"/>
      <c r="I72" s="686"/>
      <c r="J72" s="686"/>
      <c r="K72" s="686"/>
    </row>
    <row r="73" spans="1:12" s="683" customFormat="1" ht="9.9499999999999993" customHeight="1" x14ac:dyDescent="0.2">
      <c r="B73" s="682"/>
      <c r="C73" s="681"/>
      <c r="D73" s="681"/>
      <c r="E73" s="681"/>
      <c r="F73" s="681"/>
      <c r="G73" s="681"/>
      <c r="H73" s="681"/>
      <c r="I73" s="681">
        <f>SUM(SOActivities!M73)</f>
        <v>96446</v>
      </c>
      <c r="J73" s="681"/>
      <c r="K73" s="681">
        <f>I70-I73</f>
        <v>0</v>
      </c>
    </row>
    <row r="74" spans="1:12" s="683" customFormat="1" ht="9.9499999999999993" customHeight="1" x14ac:dyDescent="0.2">
      <c r="B74" s="682"/>
      <c r="C74" s="681"/>
      <c r="D74" s="681"/>
      <c r="E74" s="681"/>
      <c r="F74" s="681"/>
      <c r="G74" s="681"/>
      <c r="H74" s="681"/>
      <c r="I74" s="681"/>
      <c r="J74" s="681"/>
      <c r="K74" s="681"/>
    </row>
    <row r="75" spans="1:12" s="683" customFormat="1" ht="9.9499999999999993" customHeight="1" x14ac:dyDescent="0.2">
      <c r="B75" s="682"/>
      <c r="C75" s="681">
        <f>SUM(SONPPF!C175)</f>
        <v>589547</v>
      </c>
      <c r="D75" s="681"/>
      <c r="E75" s="681">
        <f>SUM(SONPPF!E175)</f>
        <v>-47872</v>
      </c>
      <c r="F75" s="681"/>
      <c r="G75" s="681">
        <f>SUM(SONPPF!G175)</f>
        <v>9406</v>
      </c>
      <c r="H75" s="681"/>
      <c r="I75" s="681">
        <f>SUM(SONPPF!I175)</f>
        <v>551081</v>
      </c>
      <c r="J75" s="681"/>
      <c r="K75" s="681">
        <f>SUM(SONPPF!K175)</f>
        <v>170556</v>
      </c>
    </row>
    <row r="76" spans="1:12" s="683" customFormat="1" ht="9.9499999999999993" customHeight="1" x14ac:dyDescent="0.2">
      <c r="B76" s="682"/>
      <c r="C76" s="681">
        <f>C66-C75</f>
        <v>0</v>
      </c>
      <c r="D76" s="681"/>
      <c r="E76" s="681">
        <f>E66-E75</f>
        <v>0</v>
      </c>
      <c r="F76" s="681"/>
      <c r="G76" s="681">
        <f>G66-G75</f>
        <v>0</v>
      </c>
      <c r="H76" s="681"/>
      <c r="I76" s="681">
        <f>C66+G66-I75+E66</f>
        <v>0</v>
      </c>
      <c r="J76" s="681"/>
      <c r="K76" s="1085">
        <f>K66-K75</f>
        <v>0</v>
      </c>
    </row>
    <row r="77" spans="1:12" s="683" customFormat="1" ht="9.9499999999999993" customHeight="1" x14ac:dyDescent="0.2">
      <c r="B77" s="682"/>
      <c r="D77" s="682"/>
      <c r="G77" s="686"/>
      <c r="H77" s="686"/>
      <c r="I77" s="279"/>
      <c r="J77" s="686"/>
      <c r="K77" s="684"/>
    </row>
    <row r="78" spans="1:12" s="683" customFormat="1" ht="9.9499999999999993" customHeight="1" x14ac:dyDescent="0.2">
      <c r="B78" s="682"/>
      <c r="D78" s="682"/>
      <c r="G78" s="686"/>
      <c r="H78" s="686"/>
      <c r="I78" s="685"/>
      <c r="J78" s="686"/>
      <c r="K78" s="267"/>
    </row>
    <row r="135" spans="7:7" ht="9.9499999999999993" customHeight="1" x14ac:dyDescent="0.2">
      <c r="G135" s="247">
        <v>21</v>
      </c>
    </row>
  </sheetData>
  <mergeCells count="6">
    <mergeCell ref="C70:G70"/>
    <mergeCell ref="C7:I7"/>
    <mergeCell ref="C8:I8"/>
    <mergeCell ref="A1:K1"/>
    <mergeCell ref="A4:F4"/>
    <mergeCell ref="A5:B5"/>
  </mergeCells>
  <phoneticPr fontId="9" type="noConversion"/>
  <printOptions horizontalCentered="1"/>
  <pageMargins left="0.5" right="0.5" top="0.5" bottom="0.625" header="0.5" footer="0.5"/>
  <pageSetup scale="88" orientation="portrait" r:id="rId1"/>
  <headerFooter alignWithMargins="0">
    <oddFooter>&amp;C&amp;"Calibri,Regular"&amp;9The accompanying notes are an integral part of these basic financial statements.</oddFooter>
  </headerFooter>
  <ignoredErrors>
    <ignoredError sqref="I75 K75 F75:F76 J75:J76 C75:C76 G75:H7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Q122"/>
  <sheetViews>
    <sheetView topLeftCell="A76" workbookViewId="0">
      <selection activeCell="K114" sqref="K114"/>
    </sheetView>
  </sheetViews>
  <sheetFormatPr defaultColWidth="9.140625" defaultRowHeight="12.75" x14ac:dyDescent="0.2"/>
  <cols>
    <col min="1" max="1" width="8" style="1197" customWidth="1"/>
    <col min="2" max="2" width="12.85546875" style="1198" customWidth="1"/>
    <col min="3" max="4" width="12.85546875" style="928" hidden="1" customWidth="1"/>
    <col min="5" max="7" width="12.85546875" style="928" customWidth="1"/>
    <col min="8" max="11" width="11.85546875" style="928" customWidth="1"/>
    <col min="12" max="16384" width="9.140625" style="202"/>
  </cols>
  <sheetData>
    <row r="1" spans="1:17" s="198" customFormat="1" x14ac:dyDescent="0.2">
      <c r="B1" s="1194"/>
      <c r="C1" s="1195" t="s">
        <v>1281</v>
      </c>
      <c r="D1" s="1195"/>
      <c r="E1" s="1195" t="s">
        <v>424</v>
      </c>
      <c r="F1" s="1195" t="s">
        <v>1282</v>
      </c>
      <c r="G1" s="1195" t="s">
        <v>1283</v>
      </c>
      <c r="H1" s="1195"/>
      <c r="I1" s="1195" t="s">
        <v>678</v>
      </c>
      <c r="J1" s="1195"/>
      <c r="K1" s="1195"/>
      <c r="M1" s="1195"/>
      <c r="N1" s="1195" t="s">
        <v>1153</v>
      </c>
      <c r="O1" s="1195" t="s">
        <v>1633</v>
      </c>
      <c r="P1" s="1195" t="s">
        <v>1154</v>
      </c>
      <c r="Q1" s="1195"/>
    </row>
    <row r="2" spans="1:17" s="198" customFormat="1" ht="13.5" thickBot="1" x14ac:dyDescent="0.25">
      <c r="B2" s="1194"/>
      <c r="C2" s="1196" t="s">
        <v>1284</v>
      </c>
      <c r="D2" s="1196" t="s">
        <v>1285</v>
      </c>
      <c r="E2" s="1196" t="s">
        <v>433</v>
      </c>
      <c r="F2" s="1196" t="s">
        <v>1286</v>
      </c>
      <c r="G2" s="1196" t="s">
        <v>1287</v>
      </c>
      <c r="H2" s="1196" t="s">
        <v>1288</v>
      </c>
      <c r="I2" s="1196" t="s">
        <v>1289</v>
      </c>
      <c r="J2" s="1196" t="s">
        <v>350</v>
      </c>
      <c r="K2" s="1196" t="s">
        <v>725</v>
      </c>
      <c r="M2" s="1196" t="s">
        <v>1632</v>
      </c>
      <c r="N2" s="1196" t="s">
        <v>1156</v>
      </c>
      <c r="O2" s="1196" t="s">
        <v>1158</v>
      </c>
      <c r="P2" s="1196" t="s">
        <v>1157</v>
      </c>
      <c r="Q2" s="1196" t="s">
        <v>760</v>
      </c>
    </row>
    <row r="3" spans="1:17" hidden="1" x14ac:dyDescent="0.2">
      <c r="A3" s="1197">
        <v>2009</v>
      </c>
      <c r="B3" s="1198" t="s">
        <v>541</v>
      </c>
      <c r="C3" s="928">
        <v>460</v>
      </c>
      <c r="D3" s="928">
        <v>648</v>
      </c>
      <c r="E3" s="928">
        <v>19125</v>
      </c>
      <c r="F3" s="928">
        <v>6405</v>
      </c>
      <c r="G3" s="928">
        <v>3276</v>
      </c>
      <c r="H3" s="928">
        <v>3232</v>
      </c>
      <c r="I3" s="928">
        <v>83089</v>
      </c>
      <c r="K3" s="928">
        <f>SUM(C3:J3)</f>
        <v>116235</v>
      </c>
    </row>
    <row r="4" spans="1:17" hidden="1" x14ac:dyDescent="0.2">
      <c r="A4" s="1197">
        <v>2010</v>
      </c>
      <c r="B4" s="1198" t="s">
        <v>1290</v>
      </c>
      <c r="C4" s="928">
        <v>-203</v>
      </c>
      <c r="E4" s="928">
        <f>-5458</f>
        <v>-5458</v>
      </c>
      <c r="F4" s="928">
        <v>-1567</v>
      </c>
      <c r="G4" s="928">
        <v>-2794</v>
      </c>
      <c r="H4" s="928">
        <v>496</v>
      </c>
      <c r="I4" s="928">
        <f>1861+203</f>
        <v>2064</v>
      </c>
      <c r="K4" s="928">
        <f>SUM(C4:J4)</f>
        <v>-7462</v>
      </c>
    </row>
    <row r="5" spans="1:17" hidden="1" x14ac:dyDescent="0.2">
      <c r="A5" s="1197">
        <v>2010</v>
      </c>
      <c r="B5" s="1199" t="s">
        <v>725</v>
      </c>
      <c r="C5" s="1050">
        <f>SUM(C3:C4)</f>
        <v>257</v>
      </c>
      <c r="D5" s="1050">
        <f t="shared" ref="D5:K5" si="0">SUM(D3:D4)</f>
        <v>648</v>
      </c>
      <c r="E5" s="1050">
        <f>SUM(E3:E4)</f>
        <v>13667</v>
      </c>
      <c r="F5" s="1050">
        <f t="shared" si="0"/>
        <v>4838</v>
      </c>
      <c r="G5" s="1050">
        <f>SUM(G3:G4)</f>
        <v>482</v>
      </c>
      <c r="H5" s="1050">
        <f t="shared" si="0"/>
        <v>3728</v>
      </c>
      <c r="I5" s="1050">
        <f t="shared" si="0"/>
        <v>85153</v>
      </c>
      <c r="J5" s="1050">
        <f t="shared" si="0"/>
        <v>0</v>
      </c>
      <c r="K5" s="1050">
        <f t="shared" si="0"/>
        <v>108773</v>
      </c>
    </row>
    <row r="6" spans="1:17" hidden="1" x14ac:dyDescent="0.2">
      <c r="C6" s="1048"/>
      <c r="D6" s="1048"/>
      <c r="E6" s="1048"/>
      <c r="F6" s="1048"/>
      <c r="G6" s="1048"/>
      <c r="H6" s="1048"/>
      <c r="I6" s="1048"/>
      <c r="J6" s="1048"/>
      <c r="K6" s="1048"/>
    </row>
    <row r="7" spans="1:17" hidden="1" x14ac:dyDescent="0.2"/>
    <row r="8" spans="1:17" hidden="1" x14ac:dyDescent="0.2">
      <c r="A8" s="1197">
        <v>2009</v>
      </c>
      <c r="B8" s="1198" t="s">
        <v>542</v>
      </c>
      <c r="C8" s="928">
        <v>0</v>
      </c>
      <c r="D8" s="928">
        <v>0</v>
      </c>
      <c r="E8" s="928">
        <v>-364</v>
      </c>
      <c r="F8" s="928">
        <v>-2349</v>
      </c>
      <c r="G8" s="928">
        <v>-1040</v>
      </c>
      <c r="H8" s="928">
        <v>-144</v>
      </c>
      <c r="I8" s="928">
        <v>2350</v>
      </c>
      <c r="K8" s="928">
        <f>SUM(C8:J8)</f>
        <v>-1547</v>
      </c>
    </row>
    <row r="9" spans="1:17" hidden="1" x14ac:dyDescent="0.2">
      <c r="A9" s="1197">
        <v>2010</v>
      </c>
      <c r="B9" s="1198" t="s">
        <v>1290</v>
      </c>
      <c r="E9" s="928">
        <v>-1162</v>
      </c>
      <c r="F9" s="928">
        <v>-373</v>
      </c>
      <c r="G9" s="928">
        <v>-553</v>
      </c>
      <c r="H9" s="928">
        <v>-119</v>
      </c>
      <c r="I9" s="928">
        <v>-236</v>
      </c>
      <c r="K9" s="928">
        <f>SUM(C9:J9)</f>
        <v>-2443</v>
      </c>
    </row>
    <row r="10" spans="1:17" hidden="1" x14ac:dyDescent="0.2">
      <c r="A10" s="1197">
        <v>2010</v>
      </c>
      <c r="B10" s="1199" t="s">
        <v>725</v>
      </c>
      <c r="C10" s="1050">
        <f t="shared" ref="C10:K10" si="1">SUM(C8:C9)</f>
        <v>0</v>
      </c>
      <c r="D10" s="1050">
        <f t="shared" si="1"/>
        <v>0</v>
      </c>
      <c r="E10" s="1050">
        <f>SUM(E8:E9)</f>
        <v>-1526</v>
      </c>
      <c r="F10" s="1050">
        <f t="shared" si="1"/>
        <v>-2722</v>
      </c>
      <c r="G10" s="1050">
        <f t="shared" si="1"/>
        <v>-1593</v>
      </c>
      <c r="H10" s="1050">
        <f t="shared" si="1"/>
        <v>-263</v>
      </c>
      <c r="I10" s="1050">
        <f t="shared" si="1"/>
        <v>2114</v>
      </c>
      <c r="J10" s="1050">
        <f t="shared" si="1"/>
        <v>0</v>
      </c>
      <c r="K10" s="1050">
        <f t="shared" si="1"/>
        <v>-3990</v>
      </c>
    </row>
    <row r="11" spans="1:17" hidden="1" x14ac:dyDescent="0.2"/>
    <row r="12" spans="1:17" hidden="1" x14ac:dyDescent="0.2">
      <c r="B12" s="1199" t="s">
        <v>1291</v>
      </c>
      <c r="C12" s="928">
        <f>+C5+C10</f>
        <v>257</v>
      </c>
      <c r="D12" s="928">
        <f t="shared" ref="D12:I12" si="2">+D5+D10</f>
        <v>648</v>
      </c>
      <c r="E12" s="928">
        <f>+E5+E10</f>
        <v>12141</v>
      </c>
      <c r="F12" s="928">
        <f t="shared" si="2"/>
        <v>2116</v>
      </c>
      <c r="G12" s="928">
        <f t="shared" si="2"/>
        <v>-1111</v>
      </c>
      <c r="H12" s="928">
        <f t="shared" si="2"/>
        <v>3465</v>
      </c>
      <c r="I12" s="928">
        <f t="shared" si="2"/>
        <v>87267</v>
      </c>
      <c r="J12" s="928">
        <f>+J5+J10</f>
        <v>0</v>
      </c>
      <c r="K12" s="928">
        <f>SUM(C12:I12)</f>
        <v>104783</v>
      </c>
    </row>
    <row r="13" spans="1:17" ht="13.5" hidden="1" thickBot="1" x14ac:dyDescent="0.25">
      <c r="A13" s="1200"/>
      <c r="B13" s="1201"/>
      <c r="C13" s="1202"/>
      <c r="D13" s="1202"/>
      <c r="E13" s="1202"/>
      <c r="F13" s="1202"/>
      <c r="G13" s="1202"/>
      <c r="H13" s="1202"/>
      <c r="I13" s="1202"/>
      <c r="J13" s="1202"/>
      <c r="K13" s="1202"/>
    </row>
    <row r="14" spans="1:17" hidden="1" x14ac:dyDescent="0.2"/>
    <row r="15" spans="1:17" hidden="1" x14ac:dyDescent="0.2">
      <c r="A15" s="1197">
        <v>2010</v>
      </c>
      <c r="B15" s="1198" t="s">
        <v>541</v>
      </c>
      <c r="C15" s="928">
        <v>257</v>
      </c>
      <c r="D15" s="928">
        <v>648</v>
      </c>
      <c r="E15" s="928">
        <v>13667</v>
      </c>
      <c r="F15" s="928">
        <v>4838</v>
      </c>
      <c r="G15" s="928">
        <v>482</v>
      </c>
      <c r="H15" s="928">
        <v>3728</v>
      </c>
      <c r="I15" s="928">
        <f>84950+203</f>
        <v>85153</v>
      </c>
      <c r="J15" s="928">
        <v>-2748</v>
      </c>
      <c r="K15" s="928">
        <f>SUM(C15:J15)</f>
        <v>106025</v>
      </c>
    </row>
    <row r="16" spans="1:17" hidden="1" x14ac:dyDescent="0.2">
      <c r="A16" s="1197">
        <v>2011</v>
      </c>
      <c r="B16" s="1198" t="s">
        <v>1290</v>
      </c>
      <c r="C16" s="928">
        <v>-64</v>
      </c>
      <c r="E16" s="928">
        <v>6989</v>
      </c>
      <c r="F16" s="928">
        <v>-819</v>
      </c>
      <c r="G16" s="928">
        <v>-119</v>
      </c>
      <c r="H16" s="928">
        <v>1702</v>
      </c>
      <c r="I16" s="928">
        <f>6548-841</f>
        <v>5707</v>
      </c>
      <c r="J16" s="928">
        <v>-848</v>
      </c>
      <c r="K16" s="928">
        <f>SUM(C16:J16)</f>
        <v>12548</v>
      </c>
    </row>
    <row r="17" spans="1:11" hidden="1" x14ac:dyDescent="0.2">
      <c r="A17" s="1197" t="s">
        <v>1628</v>
      </c>
      <c r="B17" s="1199" t="s">
        <v>725</v>
      </c>
      <c r="C17" s="1050">
        <f t="shared" ref="C17:K17" si="3">SUM(C15:C16)</f>
        <v>193</v>
      </c>
      <c r="D17" s="1050">
        <f t="shared" si="3"/>
        <v>648</v>
      </c>
      <c r="E17" s="1050">
        <f>SUM(E15:E16)</f>
        <v>20656</v>
      </c>
      <c r="F17" s="1050">
        <f t="shared" si="3"/>
        <v>4019</v>
      </c>
      <c r="G17" s="1050">
        <f t="shared" si="3"/>
        <v>363</v>
      </c>
      <c r="H17" s="1050">
        <f t="shared" si="3"/>
        <v>5430</v>
      </c>
      <c r="I17" s="1050">
        <f t="shared" si="3"/>
        <v>90860</v>
      </c>
      <c r="J17" s="1050">
        <f t="shared" si="3"/>
        <v>-3596</v>
      </c>
      <c r="K17" s="1050">
        <f t="shared" si="3"/>
        <v>118573</v>
      </c>
    </row>
    <row r="18" spans="1:11" hidden="1" x14ac:dyDescent="0.2">
      <c r="C18" s="1048"/>
      <c r="D18" s="1048"/>
      <c r="E18" s="1048"/>
      <c r="F18" s="1048"/>
      <c r="G18" s="1048"/>
      <c r="H18" s="1048"/>
      <c r="I18" s="1048"/>
      <c r="J18" s="1048"/>
      <c r="K18" s="1048"/>
    </row>
    <row r="19" spans="1:11" hidden="1" x14ac:dyDescent="0.2"/>
    <row r="20" spans="1:11" hidden="1" x14ac:dyDescent="0.2">
      <c r="A20" s="1197">
        <v>2010</v>
      </c>
      <c r="B20" s="1198" t="s">
        <v>542</v>
      </c>
      <c r="C20" s="928">
        <v>0</v>
      </c>
      <c r="D20" s="928">
        <v>0</v>
      </c>
      <c r="E20" s="928">
        <v>-1526</v>
      </c>
      <c r="F20" s="928">
        <v>-2722</v>
      </c>
      <c r="G20" s="928">
        <v>-1593</v>
      </c>
      <c r="H20" s="928">
        <v>-263</v>
      </c>
      <c r="I20" s="928">
        <v>2114</v>
      </c>
      <c r="K20" s="928">
        <f>SUM(C20:J20)</f>
        <v>-3990</v>
      </c>
    </row>
    <row r="21" spans="1:11" hidden="1" x14ac:dyDescent="0.2">
      <c r="A21" s="1197">
        <v>2011</v>
      </c>
      <c r="B21" s="1198" t="s">
        <v>1290</v>
      </c>
      <c r="E21" s="928">
        <v>571</v>
      </c>
      <c r="F21" s="928">
        <v>-173</v>
      </c>
      <c r="G21" s="928">
        <v>-107</v>
      </c>
      <c r="H21" s="928">
        <v>-274</v>
      </c>
      <c r="I21" s="928">
        <v>1400</v>
      </c>
      <c r="J21" s="928">
        <v>-123</v>
      </c>
      <c r="K21" s="928">
        <f>SUM(C21:J21)</f>
        <v>1294</v>
      </c>
    </row>
    <row r="22" spans="1:11" hidden="1" x14ac:dyDescent="0.2">
      <c r="A22" s="1197" t="s">
        <v>1628</v>
      </c>
      <c r="B22" s="1199" t="s">
        <v>725</v>
      </c>
      <c r="C22" s="1050">
        <f t="shared" ref="C22:K22" si="4">SUM(C20:C21)</f>
        <v>0</v>
      </c>
      <c r="D22" s="1050">
        <f t="shared" si="4"/>
        <v>0</v>
      </c>
      <c r="E22" s="1050">
        <f>SUM(E20:E21)</f>
        <v>-955</v>
      </c>
      <c r="F22" s="1050">
        <f t="shared" si="4"/>
        <v>-2895</v>
      </c>
      <c r="G22" s="1050">
        <f t="shared" si="4"/>
        <v>-1700</v>
      </c>
      <c r="H22" s="1050">
        <f t="shared" si="4"/>
        <v>-537</v>
      </c>
      <c r="I22" s="1050">
        <f t="shared" si="4"/>
        <v>3514</v>
      </c>
      <c r="J22" s="1050">
        <f t="shared" si="4"/>
        <v>-123</v>
      </c>
      <c r="K22" s="1050">
        <f t="shared" si="4"/>
        <v>-2696</v>
      </c>
    </row>
    <row r="23" spans="1:11" hidden="1" x14ac:dyDescent="0.2"/>
    <row r="24" spans="1:11" hidden="1" x14ac:dyDescent="0.2">
      <c r="B24" s="1199" t="s">
        <v>1291</v>
      </c>
      <c r="C24" s="928">
        <f t="shared" ref="C24:J24" si="5">+C17+C22</f>
        <v>193</v>
      </c>
      <c r="D24" s="928">
        <f t="shared" si="5"/>
        <v>648</v>
      </c>
      <c r="E24" s="928">
        <f t="shared" si="5"/>
        <v>19701</v>
      </c>
      <c r="F24" s="928">
        <f t="shared" si="5"/>
        <v>1124</v>
      </c>
      <c r="G24" s="928">
        <f t="shared" si="5"/>
        <v>-1337</v>
      </c>
      <c r="H24" s="928">
        <f t="shared" si="5"/>
        <v>4893</v>
      </c>
      <c r="I24" s="928">
        <f t="shared" si="5"/>
        <v>94374</v>
      </c>
      <c r="J24" s="928">
        <f t="shared" si="5"/>
        <v>-3719</v>
      </c>
      <c r="K24" s="928">
        <f>SUM(C24:J24)</f>
        <v>115877</v>
      </c>
    </row>
    <row r="25" spans="1:11" hidden="1" x14ac:dyDescent="0.2"/>
    <row r="26" spans="1:11" hidden="1" x14ac:dyDescent="0.2">
      <c r="B26" s="1198" t="s">
        <v>1628</v>
      </c>
      <c r="C26" s="928">
        <v>193</v>
      </c>
      <c r="D26" s="928">
        <v>648</v>
      </c>
      <c r="E26" s="928">
        <v>19701</v>
      </c>
      <c r="F26" s="928">
        <v>1124</v>
      </c>
      <c r="G26" s="928">
        <v>-1337</v>
      </c>
      <c r="H26" s="928">
        <v>4893</v>
      </c>
      <c r="I26" s="928">
        <f>95215-841</f>
        <v>94374</v>
      </c>
      <c r="J26" s="928">
        <v>-3719</v>
      </c>
      <c r="K26" s="928">
        <f>SUM(C26:I26)</f>
        <v>119596</v>
      </c>
    </row>
    <row r="27" spans="1:11" hidden="1" x14ac:dyDescent="0.2"/>
    <row r="28" spans="1:11" s="193" customFormat="1" hidden="1" x14ac:dyDescent="0.2">
      <c r="A28" s="198"/>
      <c r="B28" s="1203" t="s">
        <v>1003</v>
      </c>
      <c r="C28" s="1204">
        <f>+C24-C26</f>
        <v>0</v>
      </c>
      <c r="D28" s="1204">
        <f t="shared" ref="D28:I28" si="6">+D24-D26</f>
        <v>0</v>
      </c>
      <c r="E28" s="1204">
        <f>+E24-E26</f>
        <v>0</v>
      </c>
      <c r="F28" s="1204">
        <f t="shared" si="6"/>
        <v>0</v>
      </c>
      <c r="G28" s="1204">
        <f t="shared" si="6"/>
        <v>0</v>
      </c>
      <c r="H28" s="1204">
        <f t="shared" si="6"/>
        <v>0</v>
      </c>
      <c r="I28" s="1204">
        <f t="shared" si="6"/>
        <v>0</v>
      </c>
      <c r="J28" s="1204">
        <f>+J24-J26</f>
        <v>0</v>
      </c>
      <c r="K28" s="1204">
        <f>SUM(C28:J28)</f>
        <v>0</v>
      </c>
    </row>
    <row r="29" spans="1:11" ht="13.5" hidden="1" thickBot="1" x14ac:dyDescent="0.25">
      <c r="A29" s="1200"/>
      <c r="B29" s="1201"/>
      <c r="C29" s="1202"/>
      <c r="D29" s="1202"/>
      <c r="E29" s="1202"/>
      <c r="F29" s="1202"/>
      <c r="G29" s="1202"/>
      <c r="H29" s="1202"/>
      <c r="I29" s="1202"/>
      <c r="J29" s="1202"/>
      <c r="K29" s="1202"/>
    </row>
    <row r="30" spans="1:11" hidden="1" x14ac:dyDescent="0.2">
      <c r="G30" s="202"/>
      <c r="H30" s="202"/>
      <c r="I30" s="202"/>
      <c r="J30" s="202"/>
    </row>
    <row r="31" spans="1:11" hidden="1" x14ac:dyDescent="0.2">
      <c r="A31" s="1197">
        <v>2011</v>
      </c>
      <c r="B31" s="1198" t="s">
        <v>541</v>
      </c>
      <c r="C31" s="928">
        <v>193</v>
      </c>
      <c r="D31" s="928">
        <v>648</v>
      </c>
      <c r="E31" s="928">
        <v>20656</v>
      </c>
      <c r="F31" s="928">
        <v>4019</v>
      </c>
      <c r="G31" s="928">
        <v>363</v>
      </c>
      <c r="H31" s="928">
        <v>5430</v>
      </c>
      <c r="I31" s="928">
        <f>90860+841</f>
        <v>91701</v>
      </c>
      <c r="J31" s="928">
        <v>-3596</v>
      </c>
      <c r="K31" s="928">
        <f>SUM(C31:J31)</f>
        <v>119414</v>
      </c>
    </row>
    <row r="32" spans="1:11" hidden="1" x14ac:dyDescent="0.2">
      <c r="A32" s="1197">
        <v>2012</v>
      </c>
      <c r="B32" s="1198" t="s">
        <v>1290</v>
      </c>
      <c r="C32" s="928">
        <v>-75</v>
      </c>
      <c r="E32" s="928">
        <v>-6940</v>
      </c>
      <c r="F32" s="928">
        <v>-2090</v>
      </c>
      <c r="G32" s="928">
        <v>985</v>
      </c>
      <c r="H32" s="928">
        <v>-1133</v>
      </c>
      <c r="I32" s="928">
        <v>-2088</v>
      </c>
      <c r="J32" s="928">
        <v>-256</v>
      </c>
      <c r="K32" s="928">
        <f>SUM(C32:J32)</f>
        <v>-11597</v>
      </c>
    </row>
    <row r="33" spans="1:11" hidden="1" x14ac:dyDescent="0.2">
      <c r="A33" s="1197" t="s">
        <v>1628</v>
      </c>
      <c r="B33" s="1199" t="s">
        <v>725</v>
      </c>
      <c r="C33" s="1050">
        <f t="shared" ref="C33:K33" si="7">SUM(C31:C32)</f>
        <v>118</v>
      </c>
      <c r="D33" s="1050">
        <f t="shared" si="7"/>
        <v>648</v>
      </c>
      <c r="E33" s="1050">
        <f>SUM(E31:E32)</f>
        <v>13716</v>
      </c>
      <c r="F33" s="1050">
        <f t="shared" si="7"/>
        <v>1929</v>
      </c>
      <c r="G33" s="1050">
        <f t="shared" si="7"/>
        <v>1348</v>
      </c>
      <c r="H33" s="1050">
        <f t="shared" si="7"/>
        <v>4297</v>
      </c>
      <c r="I33" s="1050">
        <f t="shared" si="7"/>
        <v>89613</v>
      </c>
      <c r="J33" s="1050">
        <f t="shared" si="7"/>
        <v>-3852</v>
      </c>
      <c r="K33" s="1050">
        <f t="shared" si="7"/>
        <v>107817</v>
      </c>
    </row>
    <row r="34" spans="1:11" hidden="1" x14ac:dyDescent="0.2">
      <c r="C34" s="1048"/>
      <c r="D34" s="1048"/>
      <c r="E34" s="1048"/>
      <c r="F34" s="1048"/>
      <c r="G34" s="1048"/>
      <c r="H34" s="1048"/>
      <c r="I34" s="1048"/>
      <c r="J34" s="1048"/>
      <c r="K34" s="1048"/>
    </row>
    <row r="35" spans="1:11" hidden="1" x14ac:dyDescent="0.2"/>
    <row r="36" spans="1:11" hidden="1" x14ac:dyDescent="0.2">
      <c r="A36" s="1197">
        <v>2011</v>
      </c>
      <c r="B36" s="1198" t="s">
        <v>542</v>
      </c>
      <c r="C36" s="928">
        <v>0</v>
      </c>
      <c r="D36" s="928">
        <v>0</v>
      </c>
      <c r="E36" s="928">
        <v>-955</v>
      </c>
      <c r="F36" s="928">
        <v>-2895</v>
      </c>
      <c r="G36" s="928">
        <v>-1700</v>
      </c>
      <c r="H36" s="928">
        <v>-537</v>
      </c>
      <c r="I36" s="928">
        <v>3514</v>
      </c>
      <c r="J36" s="928">
        <v>-123</v>
      </c>
      <c r="K36" s="928">
        <f>SUM(C36:J36)</f>
        <v>-2696</v>
      </c>
    </row>
    <row r="37" spans="1:11" hidden="1" x14ac:dyDescent="0.2">
      <c r="A37" s="1197">
        <v>2012</v>
      </c>
      <c r="B37" s="1198" t="s">
        <v>1290</v>
      </c>
      <c r="E37" s="928">
        <v>-978</v>
      </c>
      <c r="F37" s="928">
        <v>-614</v>
      </c>
      <c r="G37" s="928">
        <v>69</v>
      </c>
      <c r="H37" s="928">
        <v>-541</v>
      </c>
      <c r="I37" s="928">
        <v>-581</v>
      </c>
      <c r="J37" s="928">
        <v>-210</v>
      </c>
      <c r="K37" s="928">
        <f>SUM(C37:J37)</f>
        <v>-2855</v>
      </c>
    </row>
    <row r="38" spans="1:11" hidden="1" x14ac:dyDescent="0.2">
      <c r="A38" s="1197" t="s">
        <v>1628</v>
      </c>
      <c r="B38" s="1199" t="s">
        <v>725</v>
      </c>
      <c r="C38" s="1050">
        <f t="shared" ref="C38:K38" si="8">SUM(C36:C37)</f>
        <v>0</v>
      </c>
      <c r="D38" s="1050">
        <f t="shared" si="8"/>
        <v>0</v>
      </c>
      <c r="E38" s="1050">
        <f>SUM(E36:E37)</f>
        <v>-1933</v>
      </c>
      <c r="F38" s="1050">
        <f t="shared" si="8"/>
        <v>-3509</v>
      </c>
      <c r="G38" s="1050">
        <f t="shared" si="8"/>
        <v>-1631</v>
      </c>
      <c r="H38" s="1050">
        <f t="shared" si="8"/>
        <v>-1078</v>
      </c>
      <c r="I38" s="1050">
        <f t="shared" si="8"/>
        <v>2933</v>
      </c>
      <c r="J38" s="1050">
        <f t="shared" si="8"/>
        <v>-333</v>
      </c>
      <c r="K38" s="1050">
        <f t="shared" si="8"/>
        <v>-5551</v>
      </c>
    </row>
    <row r="39" spans="1:11" hidden="1" x14ac:dyDescent="0.2"/>
    <row r="40" spans="1:11" hidden="1" x14ac:dyDescent="0.2">
      <c r="B40" s="1199" t="s">
        <v>1291</v>
      </c>
      <c r="C40" s="928">
        <f t="shared" ref="C40:J40" si="9">+C33+C38</f>
        <v>118</v>
      </c>
      <c r="D40" s="928">
        <f t="shared" si="9"/>
        <v>648</v>
      </c>
      <c r="E40" s="928">
        <f t="shared" si="9"/>
        <v>11783</v>
      </c>
      <c r="F40" s="928">
        <f t="shared" si="9"/>
        <v>-1580</v>
      </c>
      <c r="G40" s="928">
        <f t="shared" si="9"/>
        <v>-283</v>
      </c>
      <c r="H40" s="928">
        <f t="shared" si="9"/>
        <v>3219</v>
      </c>
      <c r="I40" s="928">
        <f t="shared" si="9"/>
        <v>92546</v>
      </c>
      <c r="J40" s="928">
        <f t="shared" si="9"/>
        <v>-4185</v>
      </c>
      <c r="K40" s="928">
        <f>SUM(C40:J40)</f>
        <v>102266</v>
      </c>
    </row>
    <row r="41" spans="1:11" hidden="1" x14ac:dyDescent="0.2"/>
    <row r="42" spans="1:11" hidden="1" x14ac:dyDescent="0.2">
      <c r="B42" s="1198" t="s">
        <v>1628</v>
      </c>
      <c r="C42" s="928">
        <v>118</v>
      </c>
      <c r="D42" s="928">
        <v>648</v>
      </c>
      <c r="E42" s="928">
        <v>11783</v>
      </c>
      <c r="F42" s="928">
        <v>-1580</v>
      </c>
      <c r="G42" s="928">
        <v>-283</v>
      </c>
      <c r="H42" s="928">
        <v>3219</v>
      </c>
      <c r="I42" s="928">
        <v>92546</v>
      </c>
      <c r="J42" s="928">
        <v>-4185</v>
      </c>
      <c r="K42" s="928">
        <f>SUM(C42:I42)</f>
        <v>106451</v>
      </c>
    </row>
    <row r="43" spans="1:11" hidden="1" x14ac:dyDescent="0.2"/>
    <row r="44" spans="1:11" s="193" customFormat="1" hidden="1" x14ac:dyDescent="0.2">
      <c r="A44" s="198"/>
      <c r="B44" s="1203" t="s">
        <v>1003</v>
      </c>
      <c r="C44" s="1204">
        <f>+C40-C42</f>
        <v>0</v>
      </c>
      <c r="D44" s="1204">
        <f t="shared" ref="D44:I44" si="10">+D40-D42</f>
        <v>0</v>
      </c>
      <c r="E44" s="1204">
        <f>+E40-E42</f>
        <v>0</v>
      </c>
      <c r="F44" s="1204">
        <f t="shared" si="10"/>
        <v>0</v>
      </c>
      <c r="G44" s="1204">
        <f t="shared" si="10"/>
        <v>0</v>
      </c>
      <c r="H44" s="1204">
        <f t="shared" si="10"/>
        <v>0</v>
      </c>
      <c r="I44" s="1204">
        <f t="shared" si="10"/>
        <v>0</v>
      </c>
      <c r="J44" s="1204">
        <f>+J40-J42</f>
        <v>0</v>
      </c>
      <c r="K44" s="1204">
        <f>SUM(C44:J44)</f>
        <v>0</v>
      </c>
    </row>
    <row r="45" spans="1:11" ht="13.5" hidden="1" thickBot="1" x14ac:dyDescent="0.25">
      <c r="A45" s="1200"/>
      <c r="B45" s="1201"/>
      <c r="C45" s="1202"/>
      <c r="D45" s="1202"/>
      <c r="E45" s="1202"/>
      <c r="F45" s="1202"/>
      <c r="G45" s="1202"/>
      <c r="H45" s="1202"/>
      <c r="I45" s="1202"/>
      <c r="J45" s="1202"/>
      <c r="K45" s="1202"/>
    </row>
    <row r="46" spans="1:11" hidden="1" x14ac:dyDescent="0.2">
      <c r="G46" s="202"/>
      <c r="H46" s="202"/>
      <c r="I46" s="202"/>
      <c r="J46" s="202"/>
    </row>
    <row r="47" spans="1:11" hidden="1" x14ac:dyDescent="0.2">
      <c r="A47" s="1197">
        <v>2012</v>
      </c>
      <c r="B47" s="1198" t="s">
        <v>541</v>
      </c>
      <c r="C47" s="928">
        <v>118</v>
      </c>
      <c r="D47" s="928">
        <v>648</v>
      </c>
      <c r="E47" s="928">
        <v>13720</v>
      </c>
      <c r="F47" s="928">
        <v>1924</v>
      </c>
      <c r="G47" s="928">
        <v>1340</v>
      </c>
      <c r="H47" s="928">
        <v>4093</v>
      </c>
      <c r="I47" s="928">
        <f>89555</f>
        <v>89555</v>
      </c>
      <c r="J47" s="928">
        <v>-3921</v>
      </c>
      <c r="K47" s="928">
        <f>SUM(C47:J47)</f>
        <v>107477</v>
      </c>
    </row>
    <row r="48" spans="1:11" hidden="1" x14ac:dyDescent="0.2">
      <c r="A48" s="1197">
        <v>2013</v>
      </c>
      <c r="B48" s="1198" t="s">
        <v>1290</v>
      </c>
      <c r="C48" s="928">
        <v>-118</v>
      </c>
      <c r="D48" s="928">
        <v>-648</v>
      </c>
      <c r="E48" s="928">
        <v>-10136</v>
      </c>
      <c r="F48" s="928">
        <v>3522</v>
      </c>
      <c r="G48" s="928">
        <v>5194</v>
      </c>
      <c r="H48" s="928">
        <v>-2654</v>
      </c>
      <c r="I48" s="928">
        <v>5252</v>
      </c>
      <c r="J48" s="928">
        <v>-871</v>
      </c>
      <c r="K48" s="928">
        <f>SUM(C48:J48)</f>
        <v>-459</v>
      </c>
    </row>
    <row r="49" spans="1:11" hidden="1" x14ac:dyDescent="0.2">
      <c r="A49" s="1197" t="s">
        <v>1628</v>
      </c>
      <c r="B49" s="1199" t="s">
        <v>725</v>
      </c>
      <c r="C49" s="1050">
        <f t="shared" ref="C49:K49" si="11">SUM(C47:C48)</f>
        <v>0</v>
      </c>
      <c r="D49" s="1050">
        <f t="shared" si="11"/>
        <v>0</v>
      </c>
      <c r="E49" s="1050">
        <f>SUM(E47:E48)</f>
        <v>3584</v>
      </c>
      <c r="F49" s="1050">
        <f t="shared" si="11"/>
        <v>5446</v>
      </c>
      <c r="G49" s="1050">
        <f t="shared" si="11"/>
        <v>6534</v>
      </c>
      <c r="H49" s="1050">
        <f t="shared" si="11"/>
        <v>1439</v>
      </c>
      <c r="I49" s="1050">
        <f t="shared" si="11"/>
        <v>94807</v>
      </c>
      <c r="J49" s="1050">
        <f t="shared" si="11"/>
        <v>-4792</v>
      </c>
      <c r="K49" s="1050">
        <f t="shared" si="11"/>
        <v>107018</v>
      </c>
    </row>
    <row r="50" spans="1:11" hidden="1" x14ac:dyDescent="0.2">
      <c r="C50" s="1048"/>
      <c r="D50" s="1048"/>
      <c r="E50" s="1048"/>
      <c r="F50" s="1048"/>
      <c r="G50" s="1048"/>
      <c r="H50" s="1048"/>
      <c r="I50" s="1048"/>
      <c r="J50" s="1048"/>
      <c r="K50" s="1048"/>
    </row>
    <row r="51" spans="1:11" hidden="1" x14ac:dyDescent="0.2"/>
    <row r="52" spans="1:11" hidden="1" x14ac:dyDescent="0.2">
      <c r="A52" s="1197">
        <v>2012</v>
      </c>
      <c r="B52" s="1198" t="s">
        <v>542</v>
      </c>
      <c r="C52" s="928">
        <v>0</v>
      </c>
      <c r="D52" s="928">
        <v>0</v>
      </c>
      <c r="E52" s="928">
        <v>-1932</v>
      </c>
      <c r="F52" s="928">
        <v>-3511</v>
      </c>
      <c r="G52" s="928">
        <v>-1632</v>
      </c>
      <c r="H52" s="928">
        <v>-1090</v>
      </c>
      <c r="I52" s="928">
        <v>2909</v>
      </c>
      <c r="J52" s="928">
        <v>-336</v>
      </c>
      <c r="K52" s="928">
        <f>SUM(C52:J52)</f>
        <v>-5592</v>
      </c>
    </row>
    <row r="53" spans="1:11" hidden="1" x14ac:dyDescent="0.2">
      <c r="A53" s="1197">
        <v>2013</v>
      </c>
      <c r="B53" s="1198" t="s">
        <v>1290</v>
      </c>
      <c r="E53" s="928">
        <v>-1578</v>
      </c>
      <c r="F53" s="928">
        <v>783</v>
      </c>
      <c r="G53" s="928">
        <v>646</v>
      </c>
      <c r="H53" s="928">
        <v>-249</v>
      </c>
      <c r="I53" s="928">
        <v>554</v>
      </c>
      <c r="J53" s="928">
        <v>-92</v>
      </c>
      <c r="K53" s="928">
        <f>SUM(C53:J53)</f>
        <v>64</v>
      </c>
    </row>
    <row r="54" spans="1:11" hidden="1" x14ac:dyDescent="0.2">
      <c r="A54" s="1197" t="s">
        <v>1628</v>
      </c>
      <c r="B54" s="1199" t="s">
        <v>725</v>
      </c>
      <c r="C54" s="1050">
        <f t="shared" ref="C54:K54" si="12">SUM(C52:C53)</f>
        <v>0</v>
      </c>
      <c r="D54" s="1050">
        <f t="shared" si="12"/>
        <v>0</v>
      </c>
      <c r="E54" s="1050">
        <f t="shared" si="12"/>
        <v>-3510</v>
      </c>
      <c r="F54" s="1050">
        <f t="shared" si="12"/>
        <v>-2728</v>
      </c>
      <c r="G54" s="1050">
        <f t="shared" si="12"/>
        <v>-986</v>
      </c>
      <c r="H54" s="1050">
        <f t="shared" si="12"/>
        <v>-1339</v>
      </c>
      <c r="I54" s="1050">
        <f t="shared" si="12"/>
        <v>3463</v>
      </c>
      <c r="J54" s="1050">
        <f t="shared" si="12"/>
        <v>-428</v>
      </c>
      <c r="K54" s="1050">
        <f t="shared" si="12"/>
        <v>-5528</v>
      </c>
    </row>
    <row r="55" spans="1:11" hidden="1" x14ac:dyDescent="0.2"/>
    <row r="56" spans="1:11" hidden="1" x14ac:dyDescent="0.2">
      <c r="B56" s="1199" t="s">
        <v>1291</v>
      </c>
      <c r="C56" s="928">
        <f t="shared" ref="C56:J56" si="13">+C49+C54</f>
        <v>0</v>
      </c>
      <c r="D56" s="928">
        <f t="shared" si="13"/>
        <v>0</v>
      </c>
      <c r="E56" s="928">
        <f t="shared" si="13"/>
        <v>74</v>
      </c>
      <c r="F56" s="928">
        <f t="shared" si="13"/>
        <v>2718</v>
      </c>
      <c r="G56" s="928">
        <f t="shared" si="13"/>
        <v>5548</v>
      </c>
      <c r="H56" s="928">
        <f t="shared" si="13"/>
        <v>100</v>
      </c>
      <c r="I56" s="928">
        <f t="shared" si="13"/>
        <v>98270</v>
      </c>
      <c r="J56" s="928">
        <f t="shared" si="13"/>
        <v>-5220</v>
      </c>
      <c r="K56" s="928">
        <f>SUM(C56:J56)</f>
        <v>101490</v>
      </c>
    </row>
    <row r="57" spans="1:11" hidden="1" x14ac:dyDescent="0.2"/>
    <row r="58" spans="1:11" hidden="1" x14ac:dyDescent="0.2">
      <c r="B58" s="1198" t="s">
        <v>1628</v>
      </c>
      <c r="C58" s="928">
        <v>0</v>
      </c>
      <c r="D58" s="928">
        <v>0</v>
      </c>
      <c r="E58" s="928">
        <v>74</v>
      </c>
      <c r="F58" s="928">
        <v>2718</v>
      </c>
      <c r="G58" s="928">
        <v>5548</v>
      </c>
      <c r="H58" s="928">
        <v>100</v>
      </c>
      <c r="I58" s="928">
        <v>98270</v>
      </c>
      <c r="J58" s="928">
        <v>-5220</v>
      </c>
      <c r="K58" s="928">
        <f>SUM(C58:J58)</f>
        <v>101490</v>
      </c>
    </row>
    <row r="59" spans="1:11" hidden="1" x14ac:dyDescent="0.2"/>
    <row r="60" spans="1:11" ht="13.5" hidden="1" thickBot="1" x14ac:dyDescent="0.25">
      <c r="A60" s="1205"/>
      <c r="B60" s="1206" t="s">
        <v>1003</v>
      </c>
      <c r="C60" s="1207">
        <f>+C56-C58</f>
        <v>0</v>
      </c>
      <c r="D60" s="1207">
        <f t="shared" ref="D60:I60" si="14">+D56-D58</f>
        <v>0</v>
      </c>
      <c r="E60" s="1207">
        <f>+E56-E58</f>
        <v>0</v>
      </c>
      <c r="F60" s="1207">
        <f t="shared" si="14"/>
        <v>0</v>
      </c>
      <c r="G60" s="1207">
        <f t="shared" si="14"/>
        <v>0</v>
      </c>
      <c r="H60" s="1207">
        <f t="shared" si="14"/>
        <v>0</v>
      </c>
      <c r="I60" s="1207">
        <f t="shared" si="14"/>
        <v>0</v>
      </c>
      <c r="J60" s="1207">
        <f>+J56-J58</f>
        <v>0</v>
      </c>
      <c r="K60" s="1207">
        <f>SUM(C60:J60)</f>
        <v>0</v>
      </c>
    </row>
    <row r="61" spans="1:11" hidden="1" x14ac:dyDescent="0.2"/>
    <row r="62" spans="1:11" hidden="1" x14ac:dyDescent="0.2">
      <c r="A62" s="1197">
        <v>2013</v>
      </c>
      <c r="B62" s="1198" t="s">
        <v>541</v>
      </c>
      <c r="E62" s="928">
        <v>3584</v>
      </c>
      <c r="F62" s="928">
        <v>5446</v>
      </c>
      <c r="G62" s="928">
        <v>6534</v>
      </c>
      <c r="H62" s="928">
        <v>1439</v>
      </c>
      <c r="I62" s="928">
        <v>94807</v>
      </c>
      <c r="J62" s="928">
        <v>-4792</v>
      </c>
      <c r="K62" s="928">
        <f>SUM(C62:J62)</f>
        <v>107018</v>
      </c>
    </row>
    <row r="63" spans="1:11" hidden="1" x14ac:dyDescent="0.2">
      <c r="A63" s="1197">
        <v>2014</v>
      </c>
      <c r="B63" s="1198" t="s">
        <v>1290</v>
      </c>
      <c r="E63" s="928">
        <v>-20094</v>
      </c>
      <c r="F63" s="928">
        <v>1486</v>
      </c>
      <c r="G63" s="928">
        <v>4752</v>
      </c>
      <c r="H63" s="928">
        <v>-1194</v>
      </c>
      <c r="I63" s="928">
        <v>10048</v>
      </c>
      <c r="J63" s="928">
        <v>992</v>
      </c>
      <c r="K63" s="928">
        <f>SUM(C63:J63)</f>
        <v>-4010</v>
      </c>
    </row>
    <row r="64" spans="1:11" hidden="1" x14ac:dyDescent="0.2">
      <c r="A64" s="1197" t="s">
        <v>1628</v>
      </c>
      <c r="B64" s="1199" t="s">
        <v>725</v>
      </c>
      <c r="C64" s="1050">
        <f t="shared" ref="C64:K64" si="15">SUM(C62:C63)</f>
        <v>0</v>
      </c>
      <c r="D64" s="1050">
        <f t="shared" si="15"/>
        <v>0</v>
      </c>
      <c r="E64" s="1050">
        <f t="shared" si="15"/>
        <v>-16510</v>
      </c>
      <c r="F64" s="1050">
        <f t="shared" si="15"/>
        <v>6932</v>
      </c>
      <c r="G64" s="1050">
        <f t="shared" si="15"/>
        <v>11286</v>
      </c>
      <c r="H64" s="1050">
        <f t="shared" si="15"/>
        <v>245</v>
      </c>
      <c r="I64" s="1050">
        <f t="shared" si="15"/>
        <v>104855</v>
      </c>
      <c r="J64" s="1050">
        <f t="shared" si="15"/>
        <v>-3800</v>
      </c>
      <c r="K64" s="1050">
        <f t="shared" si="15"/>
        <v>103008</v>
      </c>
    </row>
    <row r="65" spans="1:13" hidden="1" x14ac:dyDescent="0.2">
      <c r="C65" s="1048"/>
      <c r="D65" s="1048"/>
      <c r="E65" s="1048"/>
      <c r="F65" s="1048"/>
      <c r="G65" s="1048"/>
      <c r="H65" s="1048"/>
      <c r="I65" s="1048"/>
      <c r="J65" s="1048"/>
      <c r="K65" s="1048"/>
    </row>
    <row r="66" spans="1:13" hidden="1" x14ac:dyDescent="0.2"/>
    <row r="67" spans="1:13" hidden="1" x14ac:dyDescent="0.2">
      <c r="A67" s="1197">
        <v>2013</v>
      </c>
      <c r="B67" s="1198" t="s">
        <v>542</v>
      </c>
      <c r="C67" s="928">
        <v>0</v>
      </c>
      <c r="D67" s="928">
        <v>0</v>
      </c>
      <c r="E67" s="928">
        <v>-3510</v>
      </c>
      <c r="F67" s="928">
        <v>-2728</v>
      </c>
      <c r="G67" s="928">
        <v>-986</v>
      </c>
      <c r="H67" s="928">
        <v>-1339</v>
      </c>
      <c r="I67" s="928">
        <v>3463</v>
      </c>
      <c r="J67" s="928">
        <v>-428</v>
      </c>
      <c r="K67" s="928">
        <f>SUM(C67:J67)</f>
        <v>-5528</v>
      </c>
    </row>
    <row r="68" spans="1:13" hidden="1" x14ac:dyDescent="0.2">
      <c r="A68" s="1197">
        <v>2014</v>
      </c>
      <c r="B68" s="1198" t="s">
        <v>1290</v>
      </c>
      <c r="E68" s="928">
        <v>-2836</v>
      </c>
      <c r="F68" s="928">
        <v>368</v>
      </c>
      <c r="G68" s="928">
        <v>409</v>
      </c>
      <c r="H68" s="928">
        <v>-153</v>
      </c>
      <c r="I68" s="928">
        <v>1417</v>
      </c>
      <c r="J68" s="928">
        <v>-11</v>
      </c>
      <c r="K68" s="928">
        <v>782</v>
      </c>
    </row>
    <row r="69" spans="1:13" hidden="1" x14ac:dyDescent="0.2">
      <c r="A69" s="1197" t="s">
        <v>1628</v>
      </c>
      <c r="B69" s="1199" t="s">
        <v>725</v>
      </c>
      <c r="C69" s="1050">
        <f t="shared" ref="C69:K69" si="16">SUM(C67:C68)</f>
        <v>0</v>
      </c>
      <c r="D69" s="1050">
        <f t="shared" si="16"/>
        <v>0</v>
      </c>
      <c r="E69" s="1050">
        <f t="shared" si="16"/>
        <v>-6346</v>
      </c>
      <c r="F69" s="1050">
        <f t="shared" si="16"/>
        <v>-2360</v>
      </c>
      <c r="G69" s="1050">
        <f t="shared" si="16"/>
        <v>-577</v>
      </c>
      <c r="H69" s="1050">
        <f t="shared" si="16"/>
        <v>-1492</v>
      </c>
      <c r="I69" s="1050">
        <f t="shared" si="16"/>
        <v>4880</v>
      </c>
      <c r="J69" s="1050">
        <f t="shared" si="16"/>
        <v>-439</v>
      </c>
      <c r="K69" s="1050">
        <f t="shared" si="16"/>
        <v>-4746</v>
      </c>
    </row>
    <row r="70" spans="1:13" hidden="1" x14ac:dyDescent="0.2"/>
    <row r="71" spans="1:13" hidden="1" x14ac:dyDescent="0.2">
      <c r="B71" s="1199" t="s">
        <v>1291</v>
      </c>
      <c r="C71" s="928">
        <f t="shared" ref="C71:J71" si="17">+C64+C69</f>
        <v>0</v>
      </c>
      <c r="D71" s="928">
        <f t="shared" si="17"/>
        <v>0</v>
      </c>
      <c r="E71" s="928">
        <f t="shared" si="17"/>
        <v>-22856</v>
      </c>
      <c r="F71" s="928">
        <f t="shared" si="17"/>
        <v>4572</v>
      </c>
      <c r="G71" s="928">
        <f t="shared" si="17"/>
        <v>10709</v>
      </c>
      <c r="H71" s="928">
        <f t="shared" si="17"/>
        <v>-1247</v>
      </c>
      <c r="I71" s="928">
        <f t="shared" si="17"/>
        <v>109735</v>
      </c>
      <c r="J71" s="928">
        <f t="shared" si="17"/>
        <v>-4239</v>
      </c>
      <c r="K71" s="928">
        <f>SUM(C71:J71)</f>
        <v>96674</v>
      </c>
    </row>
    <row r="72" spans="1:13" hidden="1" x14ac:dyDescent="0.2"/>
    <row r="73" spans="1:13" hidden="1" x14ac:dyDescent="0.2">
      <c r="B73" s="1198" t="s">
        <v>1628</v>
      </c>
      <c r="C73" s="928">
        <v>0</v>
      </c>
      <c r="D73" s="928">
        <v>0</v>
      </c>
      <c r="E73" s="928">
        <v>-22856</v>
      </c>
      <c r="F73" s="928">
        <v>4572</v>
      </c>
      <c r="G73" s="928">
        <v>10709</v>
      </c>
      <c r="H73" s="928">
        <v>-1247</v>
      </c>
      <c r="I73" s="928">
        <v>109735</v>
      </c>
      <c r="J73" s="928">
        <v>-4239</v>
      </c>
      <c r="K73" s="928">
        <f>SUM(C73:J73)</f>
        <v>96674</v>
      </c>
    </row>
    <row r="74" spans="1:13" hidden="1" x14ac:dyDescent="0.2"/>
    <row r="75" spans="1:13" ht="13.5" hidden="1" thickBot="1" x14ac:dyDescent="0.25">
      <c r="A75" s="1205"/>
      <c r="B75" s="1206" t="s">
        <v>1003</v>
      </c>
      <c r="C75" s="1207">
        <f>+C71-C73</f>
        <v>0</v>
      </c>
      <c r="D75" s="1207">
        <f t="shared" ref="D75:I75" si="18">+D71-D73</f>
        <v>0</v>
      </c>
      <c r="E75" s="1207">
        <f t="shared" si="18"/>
        <v>0</v>
      </c>
      <c r="F75" s="1207">
        <f t="shared" si="18"/>
        <v>0</v>
      </c>
      <c r="G75" s="1207">
        <f t="shared" si="18"/>
        <v>0</v>
      </c>
      <c r="H75" s="1207">
        <f t="shared" si="18"/>
        <v>0</v>
      </c>
      <c r="I75" s="1207">
        <f t="shared" si="18"/>
        <v>0</v>
      </c>
      <c r="J75" s="1207">
        <f>+J71-J73</f>
        <v>0</v>
      </c>
      <c r="K75" s="1207">
        <f>SUM(C75:J75)</f>
        <v>0</v>
      </c>
    </row>
    <row r="77" spans="1:13" x14ac:dyDescent="0.2">
      <c r="A77" s="1197">
        <v>2014</v>
      </c>
      <c r="B77" s="1198" t="s">
        <v>541</v>
      </c>
      <c r="E77" s="928">
        <v>-16510</v>
      </c>
      <c r="F77" s="928">
        <v>6932</v>
      </c>
      <c r="G77" s="928">
        <v>11286</v>
      </c>
      <c r="H77" s="928">
        <v>245</v>
      </c>
      <c r="I77" s="928">
        <v>104855</v>
      </c>
      <c r="J77" s="928">
        <v>-3800</v>
      </c>
      <c r="K77" s="928">
        <f t="shared" ref="K77:K91" si="19">SUM(C77:J77)</f>
        <v>103008</v>
      </c>
      <c r="M77" s="202" t="s">
        <v>1284</v>
      </c>
    </row>
    <row r="78" spans="1:13" x14ac:dyDescent="0.2">
      <c r="A78" s="1197">
        <v>2014</v>
      </c>
      <c r="B78" s="1198" t="s">
        <v>1292</v>
      </c>
      <c r="E78" s="928">
        <v>-2431</v>
      </c>
      <c r="F78" s="928">
        <v>-973</v>
      </c>
      <c r="G78" s="928">
        <v>-1303</v>
      </c>
      <c r="H78" s="928">
        <v>-12496</v>
      </c>
      <c r="I78" s="928">
        <v>-10885</v>
      </c>
      <c r="J78" s="928">
        <v>-10088</v>
      </c>
      <c r="K78" s="928">
        <f t="shared" si="19"/>
        <v>-38176</v>
      </c>
    </row>
    <row r="79" spans="1:13" x14ac:dyDescent="0.2">
      <c r="A79" s="1197">
        <v>2015</v>
      </c>
      <c r="B79" s="1198" t="s">
        <v>1290</v>
      </c>
      <c r="E79" s="928">
        <v>3840</v>
      </c>
      <c r="F79" s="928">
        <v>2609</v>
      </c>
      <c r="G79" s="928">
        <v>2929</v>
      </c>
      <c r="H79" s="928">
        <v>-9348</v>
      </c>
      <c r="I79" s="928">
        <v>8834</v>
      </c>
      <c r="J79" s="928">
        <v>2581</v>
      </c>
      <c r="K79" s="928">
        <f t="shared" si="19"/>
        <v>11445</v>
      </c>
    </row>
    <row r="80" spans="1:13" x14ac:dyDescent="0.2">
      <c r="A80" s="1197">
        <v>2016</v>
      </c>
      <c r="B80" s="1198" t="s">
        <v>1290</v>
      </c>
      <c r="E80" s="928">
        <v>-836</v>
      </c>
      <c r="F80" s="928">
        <v>2794</v>
      </c>
      <c r="G80" s="928">
        <v>7296</v>
      </c>
      <c r="H80" s="928">
        <v>-3377</v>
      </c>
      <c r="I80" s="928">
        <v>11936</v>
      </c>
      <c r="J80" s="928">
        <v>-3664</v>
      </c>
      <c r="K80" s="928">
        <f t="shared" si="19"/>
        <v>14149</v>
      </c>
    </row>
    <row r="81" spans="1:13" x14ac:dyDescent="0.2">
      <c r="A81" s="1197">
        <v>2017</v>
      </c>
      <c r="B81" s="1198" t="s">
        <v>1290</v>
      </c>
      <c r="E81" s="928">
        <v>22239</v>
      </c>
      <c r="F81" s="928">
        <v>-200</v>
      </c>
      <c r="G81" s="928">
        <v>223</v>
      </c>
      <c r="H81" s="928">
        <v>-3735</v>
      </c>
      <c r="I81" s="928">
        <v>7157</v>
      </c>
      <c r="J81" s="928">
        <v>-1294</v>
      </c>
      <c r="K81" s="928">
        <f t="shared" si="19"/>
        <v>24390</v>
      </c>
    </row>
    <row r="82" spans="1:13" x14ac:dyDescent="0.2">
      <c r="B82" s="1198" t="s">
        <v>1292</v>
      </c>
      <c r="E82" s="928">
        <v>-2556</v>
      </c>
      <c r="F82" s="928">
        <v>-206</v>
      </c>
      <c r="G82" s="928">
        <v>-159</v>
      </c>
      <c r="H82" s="928">
        <v>-2266</v>
      </c>
      <c r="I82" s="928">
        <v>-2532</v>
      </c>
      <c r="J82" s="928">
        <v>-1161</v>
      </c>
      <c r="K82" s="928">
        <f t="shared" si="19"/>
        <v>-8880</v>
      </c>
    </row>
    <row r="83" spans="1:13" x14ac:dyDescent="0.2">
      <c r="A83" s="1197">
        <v>2018</v>
      </c>
      <c r="B83" s="1198" t="s">
        <v>1290</v>
      </c>
      <c r="E83" s="928">
        <v>16943</v>
      </c>
      <c r="F83" s="928">
        <v>975</v>
      </c>
      <c r="G83" s="928">
        <v>2922</v>
      </c>
      <c r="H83" s="928">
        <v>-210</v>
      </c>
      <c r="I83" s="928">
        <v>13963</v>
      </c>
      <c r="J83" s="928">
        <v>-1145</v>
      </c>
      <c r="K83" s="928">
        <f t="shared" si="19"/>
        <v>33448</v>
      </c>
    </row>
    <row r="84" spans="1:13" x14ac:dyDescent="0.2">
      <c r="B84" s="1198" t="s">
        <v>1292</v>
      </c>
      <c r="I84" s="928">
        <v>-531</v>
      </c>
      <c r="K84" s="928">
        <f t="shared" si="19"/>
        <v>-531</v>
      </c>
    </row>
    <row r="85" spans="1:13" x14ac:dyDescent="0.2">
      <c r="A85" s="1197">
        <v>2019</v>
      </c>
      <c r="E85" s="928">
        <v>-2647</v>
      </c>
      <c r="F85" s="928">
        <v>-4230</v>
      </c>
      <c r="G85" s="928">
        <v>-7635</v>
      </c>
      <c r="H85" s="928">
        <v>-3325</v>
      </c>
      <c r="I85" s="928">
        <v>6327</v>
      </c>
      <c r="J85" s="928">
        <v>-1941</v>
      </c>
      <c r="K85" s="928">
        <f t="shared" si="19"/>
        <v>-13451</v>
      </c>
    </row>
    <row r="86" spans="1:13" x14ac:dyDescent="0.2">
      <c r="B86" s="1198" t="s">
        <v>1292</v>
      </c>
      <c r="I86" s="928">
        <v>5786</v>
      </c>
      <c r="K86" s="928">
        <f t="shared" si="19"/>
        <v>5786</v>
      </c>
    </row>
    <row r="87" spans="1:13" x14ac:dyDescent="0.2">
      <c r="A87" s="1197">
        <v>2020</v>
      </c>
      <c r="E87" s="928">
        <v>3842</v>
      </c>
      <c r="F87" s="928">
        <v>-9926</v>
      </c>
      <c r="G87" s="928">
        <v>-8776</v>
      </c>
      <c r="H87" s="928">
        <v>-1089</v>
      </c>
      <c r="I87" s="928">
        <v>3935</v>
      </c>
      <c r="J87" s="928">
        <v>-1527</v>
      </c>
      <c r="K87" s="928">
        <f t="shared" si="19"/>
        <v>-13541</v>
      </c>
    </row>
    <row r="88" spans="1:13" x14ac:dyDescent="0.2">
      <c r="A88" s="1197">
        <v>2021</v>
      </c>
      <c r="B88" s="1198" t="s">
        <v>1290</v>
      </c>
      <c r="E88" s="928">
        <v>-12631</v>
      </c>
      <c r="F88" s="928">
        <v>-1028</v>
      </c>
      <c r="G88" s="928">
        <v>803</v>
      </c>
      <c r="H88" s="928">
        <v>-420</v>
      </c>
      <c r="I88" s="928">
        <v>15828</v>
      </c>
      <c r="J88" s="928">
        <v>-417</v>
      </c>
      <c r="K88" s="928">
        <f t="shared" si="19"/>
        <v>2135</v>
      </c>
    </row>
    <row r="89" spans="1:13" x14ac:dyDescent="0.2">
      <c r="A89" s="1197">
        <v>2022</v>
      </c>
      <c r="B89" s="1198" t="s">
        <v>1290</v>
      </c>
      <c r="E89" s="928">
        <v>9619</v>
      </c>
      <c r="F89" s="928">
        <v>6486</v>
      </c>
      <c r="G89" s="928">
        <v>-2304</v>
      </c>
      <c r="H89" s="928">
        <v>1239</v>
      </c>
      <c r="I89" s="928">
        <v>11767</v>
      </c>
      <c r="J89" s="928">
        <v>3156</v>
      </c>
      <c r="K89" s="928">
        <f t="shared" si="19"/>
        <v>29963</v>
      </c>
    </row>
    <row r="90" spans="1:13" x14ac:dyDescent="0.2">
      <c r="A90" s="1197">
        <v>2023</v>
      </c>
      <c r="B90" s="1198" t="s">
        <v>1290</v>
      </c>
      <c r="E90" s="928">
        <v>-3016</v>
      </c>
      <c r="F90" s="928">
        <v>-2366</v>
      </c>
      <c r="G90" s="928">
        <v>-8843</v>
      </c>
      <c r="H90" s="928">
        <v>4897</v>
      </c>
      <c r="I90" s="928">
        <v>14406</v>
      </c>
      <c r="J90" s="928">
        <v>-2088</v>
      </c>
      <c r="K90" s="928">
        <v>2990</v>
      </c>
    </row>
    <row r="91" spans="1:13" x14ac:dyDescent="0.2">
      <c r="A91" s="1197">
        <v>2024</v>
      </c>
      <c r="B91" s="1198" t="s">
        <v>1290</v>
      </c>
      <c r="E91" s="928">
        <f>'recon-SOAws'!BT43</f>
        <v>7252</v>
      </c>
      <c r="F91" s="928">
        <f>'recon-SOAws'!BU43</f>
        <v>480</v>
      </c>
      <c r="G91" s="928">
        <f>'recon-SOAws'!BV43</f>
        <v>6344</v>
      </c>
      <c r="H91" s="928">
        <f>'recon-SOAws'!BW43</f>
        <v>907</v>
      </c>
      <c r="I91" s="928">
        <f>'recon-SOAws'!BX43</f>
        <v>17658</v>
      </c>
      <c r="J91" s="928">
        <f>'recon-SOAws'!BY43</f>
        <v>382</v>
      </c>
      <c r="K91" s="928">
        <f t="shared" si="19"/>
        <v>33023</v>
      </c>
    </row>
    <row r="92" spans="1:13" x14ac:dyDescent="0.2">
      <c r="A92" s="1197" t="s">
        <v>1628</v>
      </c>
      <c r="B92" s="1199" t="s">
        <v>725</v>
      </c>
      <c r="C92" s="1050">
        <f t="shared" ref="C92:K92" si="20">SUM(C77:C91)</f>
        <v>0</v>
      </c>
      <c r="D92" s="1050">
        <f t="shared" si="20"/>
        <v>0</v>
      </c>
      <c r="E92" s="1050">
        <f t="shared" si="20"/>
        <v>23108</v>
      </c>
      <c r="F92" s="1050">
        <f t="shared" si="20"/>
        <v>1347</v>
      </c>
      <c r="G92" s="1050">
        <f t="shared" si="20"/>
        <v>2783</v>
      </c>
      <c r="H92" s="1050">
        <f t="shared" si="20"/>
        <v>-28978</v>
      </c>
      <c r="I92" s="1050">
        <f t="shared" si="20"/>
        <v>208504</v>
      </c>
      <c r="J92" s="1050">
        <f t="shared" si="20"/>
        <v>-21006</v>
      </c>
      <c r="K92" s="1050">
        <f t="shared" si="20"/>
        <v>185758</v>
      </c>
    </row>
    <row r="93" spans="1:13" x14ac:dyDescent="0.2">
      <c r="C93" s="1048"/>
      <c r="D93" s="1048"/>
      <c r="E93" s="1048"/>
      <c r="F93" s="1048"/>
      <c r="G93" s="1048"/>
      <c r="H93" s="1048"/>
      <c r="I93" s="1048"/>
      <c r="J93" s="1048"/>
      <c r="K93" s="1048"/>
    </row>
    <row r="95" spans="1:13" x14ac:dyDescent="0.2">
      <c r="A95" s="1197">
        <v>2014</v>
      </c>
      <c r="B95" s="1198" t="s">
        <v>542</v>
      </c>
      <c r="C95" s="928">
        <v>0</v>
      </c>
      <c r="D95" s="928">
        <v>0</v>
      </c>
      <c r="E95" s="928">
        <v>-6346</v>
      </c>
      <c r="F95" s="928">
        <v>-2360</v>
      </c>
      <c r="G95" s="928">
        <v>-577</v>
      </c>
      <c r="H95" s="928">
        <v>-1492</v>
      </c>
      <c r="I95" s="928">
        <v>4880</v>
      </c>
      <c r="J95" s="928">
        <v>-439</v>
      </c>
      <c r="K95" s="928">
        <f t="shared" ref="K95:K109" si="21">SUM(C95:J95)</f>
        <v>-6334</v>
      </c>
      <c r="M95" s="202" t="s">
        <v>1634</v>
      </c>
    </row>
    <row r="96" spans="1:13" x14ac:dyDescent="0.2">
      <c r="A96" s="1197">
        <v>2014</v>
      </c>
      <c r="B96" s="1198" t="s">
        <v>1292</v>
      </c>
      <c r="E96" s="928">
        <v>-570</v>
      </c>
      <c r="F96" s="928">
        <v>-229</v>
      </c>
      <c r="G96" s="928">
        <v>-306</v>
      </c>
      <c r="H96" s="928">
        <v>-2931</v>
      </c>
      <c r="I96" s="928">
        <v>-2553</v>
      </c>
      <c r="J96" s="928">
        <v>-2365</v>
      </c>
      <c r="K96" s="928">
        <f t="shared" si="21"/>
        <v>-8954</v>
      </c>
    </row>
    <row r="97" spans="1:11" x14ac:dyDescent="0.2">
      <c r="A97" s="1197">
        <v>2015</v>
      </c>
      <c r="B97" s="1198" t="s">
        <v>1290</v>
      </c>
      <c r="E97" s="928">
        <v>216</v>
      </c>
      <c r="F97" s="928">
        <v>825</v>
      </c>
      <c r="G97" s="928">
        <v>239</v>
      </c>
      <c r="H97" s="928">
        <v>-1835</v>
      </c>
      <c r="I97" s="928">
        <v>2116</v>
      </c>
      <c r="J97" s="928">
        <v>124</v>
      </c>
      <c r="K97" s="928">
        <f t="shared" si="21"/>
        <v>1685</v>
      </c>
    </row>
    <row r="98" spans="1:11" x14ac:dyDescent="0.2">
      <c r="A98" s="1197">
        <v>2016</v>
      </c>
      <c r="B98" s="1198" t="s">
        <v>1290</v>
      </c>
      <c r="E98" s="928">
        <v>-307</v>
      </c>
      <c r="F98" s="928">
        <v>585</v>
      </c>
      <c r="G98" s="928">
        <v>644</v>
      </c>
      <c r="H98" s="928">
        <v>-458</v>
      </c>
      <c r="I98" s="928">
        <v>3385</v>
      </c>
      <c r="J98" s="928">
        <v>-153</v>
      </c>
      <c r="K98" s="928">
        <f t="shared" si="21"/>
        <v>3696</v>
      </c>
    </row>
    <row r="99" spans="1:11" x14ac:dyDescent="0.2">
      <c r="A99" s="1197">
        <v>2017</v>
      </c>
      <c r="B99" s="1198" t="s">
        <v>1290</v>
      </c>
      <c r="E99" s="928">
        <v>1610</v>
      </c>
      <c r="F99" s="928">
        <v>-67</v>
      </c>
      <c r="G99" s="928">
        <v>-69</v>
      </c>
      <c r="H99" s="928">
        <v>-458</v>
      </c>
      <c r="I99" s="928">
        <v>2703</v>
      </c>
      <c r="J99" s="928">
        <v>-61</v>
      </c>
      <c r="K99" s="928">
        <f t="shared" si="21"/>
        <v>3658</v>
      </c>
    </row>
    <row r="100" spans="1:11" x14ac:dyDescent="0.2">
      <c r="A100" s="1197">
        <v>2017</v>
      </c>
      <c r="B100" s="1198" t="s">
        <v>1292</v>
      </c>
      <c r="E100" s="928">
        <v>1993</v>
      </c>
      <c r="F100" s="928">
        <v>23</v>
      </c>
      <c r="G100" s="928">
        <v>1</v>
      </c>
      <c r="H100" s="928">
        <v>-567</v>
      </c>
      <c r="I100" s="928">
        <v>-218</v>
      </c>
      <c r="J100" s="928">
        <v>-206</v>
      </c>
      <c r="K100" s="928">
        <f t="shared" si="21"/>
        <v>1026</v>
      </c>
    </row>
    <row r="101" spans="1:11" x14ac:dyDescent="0.2">
      <c r="A101" s="1197">
        <v>2018</v>
      </c>
      <c r="B101" s="1198" t="s">
        <v>1290</v>
      </c>
      <c r="E101" s="928">
        <v>709</v>
      </c>
      <c r="F101" s="928">
        <v>86</v>
      </c>
      <c r="G101" s="928">
        <v>154</v>
      </c>
      <c r="H101" s="928">
        <v>-141</v>
      </c>
      <c r="I101" s="928">
        <v>1281</v>
      </c>
      <c r="J101" s="928">
        <v>-42</v>
      </c>
      <c r="K101" s="928">
        <f t="shared" si="21"/>
        <v>2047</v>
      </c>
    </row>
    <row r="102" spans="1:11" x14ac:dyDescent="0.2">
      <c r="A102" s="1197">
        <v>2018</v>
      </c>
      <c r="B102" s="1198" t="s">
        <v>1292</v>
      </c>
      <c r="K102" s="928">
        <f t="shared" si="21"/>
        <v>0</v>
      </c>
    </row>
    <row r="103" spans="1:11" x14ac:dyDescent="0.2">
      <c r="A103" s="1197">
        <v>2019</v>
      </c>
      <c r="E103" s="928">
        <v>-1379</v>
      </c>
      <c r="F103" s="928">
        <v>-578</v>
      </c>
      <c r="G103" s="928">
        <v>-747</v>
      </c>
      <c r="H103" s="928">
        <v>-613</v>
      </c>
      <c r="I103" s="928">
        <v>2164</v>
      </c>
      <c r="J103" s="928">
        <v>-84</v>
      </c>
      <c r="K103" s="928">
        <f t="shared" si="21"/>
        <v>-1237</v>
      </c>
    </row>
    <row r="104" spans="1:11" x14ac:dyDescent="0.2">
      <c r="B104" s="1198" t="s">
        <v>1292</v>
      </c>
      <c r="K104" s="928">
        <f t="shared" si="21"/>
        <v>0</v>
      </c>
    </row>
    <row r="105" spans="1:11" x14ac:dyDescent="0.2">
      <c r="A105" s="1197">
        <v>2020</v>
      </c>
      <c r="E105" s="928">
        <v>-796</v>
      </c>
      <c r="F105" s="928">
        <v>-2646</v>
      </c>
      <c r="G105" s="928">
        <v>-921</v>
      </c>
      <c r="H105" s="928">
        <v>-311</v>
      </c>
      <c r="I105" s="928">
        <v>923</v>
      </c>
      <c r="J105" s="928">
        <v>-53</v>
      </c>
      <c r="K105" s="928">
        <f t="shared" si="21"/>
        <v>-3804</v>
      </c>
    </row>
    <row r="106" spans="1:11" x14ac:dyDescent="0.2">
      <c r="A106" s="1197">
        <v>2021</v>
      </c>
      <c r="B106" s="1198" t="s">
        <v>1290</v>
      </c>
      <c r="E106" s="928">
        <v>-2433</v>
      </c>
      <c r="F106" s="928">
        <v>-240</v>
      </c>
      <c r="G106" s="928">
        <v>22</v>
      </c>
      <c r="H106" s="928">
        <v>-74</v>
      </c>
      <c r="I106" s="928">
        <v>893</v>
      </c>
      <c r="J106" s="928">
        <v>-6</v>
      </c>
      <c r="K106" s="928">
        <f t="shared" si="21"/>
        <v>-1838</v>
      </c>
    </row>
    <row r="107" spans="1:11" x14ac:dyDescent="0.2">
      <c r="A107" s="1197">
        <v>2022</v>
      </c>
      <c r="B107" s="1198" t="s">
        <v>1290</v>
      </c>
      <c r="E107" s="928">
        <v>-1055</v>
      </c>
      <c r="F107" s="928">
        <v>966</v>
      </c>
      <c r="G107" s="928">
        <v>-164</v>
      </c>
      <c r="H107" s="928">
        <v>118</v>
      </c>
      <c r="I107" s="928">
        <v>1367</v>
      </c>
      <c r="J107" s="928">
        <v>4</v>
      </c>
      <c r="K107" s="928">
        <f t="shared" si="21"/>
        <v>1236</v>
      </c>
    </row>
    <row r="108" spans="1:11" x14ac:dyDescent="0.2">
      <c r="A108" s="1197">
        <v>2023</v>
      </c>
      <c r="B108" s="1198" t="s">
        <v>1290</v>
      </c>
      <c r="E108" s="928">
        <v>-1992</v>
      </c>
      <c r="F108" s="928">
        <v>-733</v>
      </c>
      <c r="G108" s="928">
        <v>-701</v>
      </c>
      <c r="H108" s="928">
        <v>549</v>
      </c>
      <c r="I108" s="928">
        <v>521</v>
      </c>
      <c r="J108" s="928">
        <v>-5</v>
      </c>
      <c r="K108" s="928">
        <v>-2361</v>
      </c>
    </row>
    <row r="109" spans="1:11" x14ac:dyDescent="0.2">
      <c r="A109" s="1197">
        <v>2024</v>
      </c>
      <c r="B109" s="1198" t="s">
        <v>1290</v>
      </c>
      <c r="E109" s="928">
        <f>-SOAws!BT114</f>
        <v>-1484</v>
      </c>
      <c r="F109" s="928">
        <f>-SOAws!BU114</f>
        <v>-1818</v>
      </c>
      <c r="G109" s="928">
        <f>-SOAws!BV114</f>
        <v>-124</v>
      </c>
      <c r="H109" s="928">
        <f>-SOAws!BW114</f>
        <v>-347</v>
      </c>
      <c r="I109" s="928">
        <f>-SOAws!BX114</f>
        <v>-253</v>
      </c>
      <c r="J109" s="928">
        <f>-SOAws!BY114</f>
        <v>4</v>
      </c>
      <c r="K109" s="928">
        <f t="shared" si="21"/>
        <v>-4022</v>
      </c>
    </row>
    <row r="110" spans="1:11" x14ac:dyDescent="0.2">
      <c r="A110" s="1197" t="s">
        <v>1628</v>
      </c>
      <c r="B110" s="1199" t="s">
        <v>725</v>
      </c>
      <c r="C110" s="1050">
        <f t="shared" ref="C110:K110" si="22">SUM(C95:C109)</f>
        <v>0</v>
      </c>
      <c r="D110" s="1050">
        <f t="shared" si="22"/>
        <v>0</v>
      </c>
      <c r="E110" s="1050">
        <f>SUM(E95:E109)</f>
        <v>-11834</v>
      </c>
      <c r="F110" s="1050">
        <f t="shared" si="22"/>
        <v>-6186</v>
      </c>
      <c r="G110" s="1050">
        <f t="shared" si="22"/>
        <v>-2549</v>
      </c>
      <c r="H110" s="1050">
        <f t="shared" si="22"/>
        <v>-8560</v>
      </c>
      <c r="I110" s="1050">
        <f t="shared" si="22"/>
        <v>17209</v>
      </c>
      <c r="J110" s="1050">
        <f t="shared" si="22"/>
        <v>-3282</v>
      </c>
      <c r="K110" s="1050">
        <f t="shared" si="22"/>
        <v>-15202</v>
      </c>
    </row>
    <row r="112" spans="1:11" x14ac:dyDescent="0.2">
      <c r="B112" s="1199" t="s">
        <v>1291</v>
      </c>
      <c r="C112" s="928">
        <f t="shared" ref="C112:J112" si="23">+C92+C110</f>
        <v>0</v>
      </c>
      <c r="D112" s="928">
        <f t="shared" si="23"/>
        <v>0</v>
      </c>
      <c r="E112" s="928">
        <f t="shared" si="23"/>
        <v>11274</v>
      </c>
      <c r="F112" s="928">
        <f t="shared" si="23"/>
        <v>-4839</v>
      </c>
      <c r="G112" s="928">
        <f t="shared" si="23"/>
        <v>234</v>
      </c>
      <c r="H112" s="928">
        <f t="shared" si="23"/>
        <v>-37538</v>
      </c>
      <c r="I112" s="928">
        <f t="shared" si="23"/>
        <v>225713</v>
      </c>
      <c r="J112" s="928">
        <f t="shared" si="23"/>
        <v>-24288</v>
      </c>
      <c r="K112" s="928">
        <f>SUM(C112:J112)</f>
        <v>170556</v>
      </c>
    </row>
    <row r="114" spans="1:11" x14ac:dyDescent="0.2">
      <c r="B114" s="1198" t="s">
        <v>1628</v>
      </c>
      <c r="C114" s="928">
        <v>0</v>
      </c>
      <c r="D114" s="928">
        <v>0</v>
      </c>
      <c r="E114" s="928">
        <f>'ISF-SONP'!C141</f>
        <v>11274</v>
      </c>
      <c r="F114" s="928">
        <f>'ISF-SONP'!E141</f>
        <v>-4839</v>
      </c>
      <c r="G114" s="928">
        <f>'ISF-SONP'!G141</f>
        <v>234</v>
      </c>
      <c r="H114" s="928">
        <f>'ISF-SONP'!I141</f>
        <v>-37538</v>
      </c>
      <c r="I114" s="928">
        <f>'ISF-SONP'!K141</f>
        <v>225713</v>
      </c>
      <c r="J114" s="928">
        <f>'ISF-SONP'!M141</f>
        <v>-24288</v>
      </c>
      <c r="K114" s="928">
        <f>SUM(C114:J114)</f>
        <v>170556</v>
      </c>
    </row>
    <row r="116" spans="1:11" ht="13.5" thickBot="1" x14ac:dyDescent="0.25">
      <c r="A116" s="1205"/>
      <c r="B116" s="1206" t="s">
        <v>1003</v>
      </c>
      <c r="C116" s="1207">
        <f>+C112-C114</f>
        <v>0</v>
      </c>
      <c r="D116" s="1207">
        <f t="shared" ref="D116:I116" si="24">+D112-D114</f>
        <v>0</v>
      </c>
      <c r="E116" s="1207">
        <f t="shared" si="24"/>
        <v>0</v>
      </c>
      <c r="F116" s="1207">
        <f t="shared" si="24"/>
        <v>0</v>
      </c>
      <c r="G116" s="1207">
        <f t="shared" si="24"/>
        <v>0</v>
      </c>
      <c r="H116" s="1207">
        <f t="shared" si="24"/>
        <v>0</v>
      </c>
      <c r="I116" s="1207">
        <f t="shared" si="24"/>
        <v>0</v>
      </c>
      <c r="J116" s="1207">
        <f>+J112-J114</f>
        <v>0</v>
      </c>
      <c r="K116" s="1207">
        <f>SUM(C116:J116)</f>
        <v>0</v>
      </c>
    </row>
    <row r="120" spans="1:11" x14ac:dyDescent="0.2">
      <c r="E120" s="928">
        <f>'recon-SONPws'!BT36</f>
        <v>23108</v>
      </c>
      <c r="F120" s="928">
        <f>'recon-SONPws'!BU36</f>
        <v>1347</v>
      </c>
      <c r="G120" s="928">
        <f>'recon-SONPws'!BV36</f>
        <v>2783</v>
      </c>
      <c r="H120" s="928">
        <f>'recon-SONPws'!BW36</f>
        <v>-28978</v>
      </c>
      <c r="I120" s="928">
        <f>'recon-SONPws'!BX36</f>
        <v>208504</v>
      </c>
      <c r="J120" s="928">
        <f>'recon-SONPws'!BY36</f>
        <v>-21006</v>
      </c>
    </row>
    <row r="122" spans="1:11" x14ac:dyDescent="0.2">
      <c r="E122" s="928">
        <f t="shared" ref="E122:J122" si="25">+E92-E120</f>
        <v>0</v>
      </c>
      <c r="F122" s="928">
        <f t="shared" si="25"/>
        <v>0</v>
      </c>
      <c r="G122" s="928">
        <f t="shared" si="25"/>
        <v>0</v>
      </c>
      <c r="H122" s="928">
        <f t="shared" si="25"/>
        <v>0</v>
      </c>
      <c r="I122" s="928">
        <f t="shared" si="25"/>
        <v>0</v>
      </c>
      <c r="J122" s="928">
        <f t="shared" si="25"/>
        <v>0</v>
      </c>
    </row>
  </sheetData>
  <pageMargins left="0.7" right="0.7" top="0.75" bottom="0.75" header="0.3" footer="0.3"/>
  <pageSetup scale="7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theme="6" tint="0.39997558519241921"/>
    <pageSetUpPr fitToPage="1"/>
  </sheetPr>
  <dimension ref="A1:Q125"/>
  <sheetViews>
    <sheetView view="pageBreakPreview" topLeftCell="A22" zoomScale="110" zoomScaleNormal="100" zoomScaleSheetLayoutView="150" workbookViewId="0">
      <selection activeCell="Z13" activeCellId="3" sqref="Z18 Z17 Z15 Z13"/>
    </sheetView>
  </sheetViews>
  <sheetFormatPr defaultColWidth="9.140625" defaultRowHeight="9.9499999999999993" customHeight="1" x14ac:dyDescent="0.2"/>
  <cols>
    <col min="1" max="1" width="58.42578125" style="569" customWidth="1"/>
    <col min="2" max="2" width="1.5703125" style="569" customWidth="1"/>
    <col min="3" max="3" width="12.5703125" style="569" customWidth="1"/>
    <col min="4" max="4" width="1.5703125" style="569" customWidth="1"/>
    <col min="5" max="5" width="12.5703125" style="569" customWidth="1"/>
    <col min="6" max="6" width="1.5703125" style="569" customWidth="1"/>
    <col min="7" max="7" width="2.42578125" style="586" hidden="1" customWidth="1"/>
    <col min="8" max="8" width="17.85546875" style="569" hidden="1" customWidth="1"/>
    <col min="9" max="9" width="2.42578125" style="569" hidden="1" customWidth="1"/>
    <col min="10" max="10" width="12.5703125" style="247" customWidth="1"/>
    <col min="11" max="11" width="1.5703125" style="569" customWidth="1"/>
    <col min="12" max="12" width="12.5703125" style="247" customWidth="1"/>
    <col min="13" max="13" width="1.5703125" style="569" customWidth="1"/>
    <col min="14" max="14" width="14.28515625" style="247" customWidth="1"/>
    <col min="15" max="15" width="2.42578125" style="569" customWidth="1"/>
    <col min="16" max="16" width="43.85546875" style="569" bestFit="1" customWidth="1"/>
    <col min="17" max="16384" width="9.140625" style="569"/>
  </cols>
  <sheetData>
    <row r="1" spans="1:16" s="729" customFormat="1" ht="16.5" customHeight="1" thickBot="1" x14ac:dyDescent="0.25">
      <c r="A1" s="1582" t="s">
        <v>1033</v>
      </c>
      <c r="B1" s="1582"/>
      <c r="C1" s="1582"/>
      <c r="D1" s="1582"/>
      <c r="E1" s="1582"/>
      <c r="F1" s="1582"/>
      <c r="G1" s="1582"/>
      <c r="H1" s="1582"/>
      <c r="I1" s="1582"/>
      <c r="J1" s="1582"/>
      <c r="K1" s="1582"/>
      <c r="L1" s="1582"/>
      <c r="M1" s="1582"/>
      <c r="N1" s="1582"/>
      <c r="O1" s="535"/>
    </row>
    <row r="2" spans="1:16" ht="15" customHeight="1" x14ac:dyDescent="0.2">
      <c r="A2" s="700" t="s">
        <v>384</v>
      </c>
      <c r="B2" s="310"/>
      <c r="C2" s="310"/>
      <c r="D2" s="310"/>
      <c r="E2" s="310"/>
      <c r="F2" s="806"/>
      <c r="G2" s="806"/>
      <c r="H2" s="806"/>
      <c r="I2" s="806"/>
      <c r="J2" s="806"/>
      <c r="K2" s="806"/>
      <c r="L2" s="806"/>
      <c r="M2" s="806"/>
      <c r="N2" s="806"/>
      <c r="O2" s="807"/>
    </row>
    <row r="3" spans="1:16" ht="15" customHeight="1" x14ac:dyDescent="0.2">
      <c r="A3" s="700" t="s">
        <v>48</v>
      </c>
      <c r="B3" s="310"/>
      <c r="C3" s="310"/>
      <c r="D3" s="310"/>
      <c r="E3" s="310"/>
      <c r="F3" s="321"/>
      <c r="G3" s="321"/>
      <c r="H3" s="321"/>
      <c r="I3" s="321"/>
      <c r="J3" s="584"/>
      <c r="K3" s="321"/>
      <c r="L3" s="321"/>
      <c r="M3" s="321"/>
      <c r="N3" s="321"/>
    </row>
    <row r="4" spans="1:16" ht="12.95" customHeight="1" x14ac:dyDescent="0.2">
      <c r="A4" s="1579" t="s">
        <v>1725</v>
      </c>
      <c r="B4" s="1579"/>
      <c r="C4" s="1579"/>
      <c r="D4" s="1579"/>
      <c r="E4" s="1579"/>
      <c r="F4" s="321"/>
      <c r="G4" s="321"/>
      <c r="H4" s="321"/>
      <c r="I4" s="321"/>
      <c r="J4" s="321"/>
      <c r="K4" s="321"/>
      <c r="L4" s="321"/>
      <c r="M4" s="321"/>
      <c r="N4" s="321"/>
    </row>
    <row r="5" spans="1:16" ht="12" customHeight="1" x14ac:dyDescent="0.2">
      <c r="A5" s="253" t="s">
        <v>972</v>
      </c>
      <c r="B5" s="394"/>
      <c r="C5" s="394"/>
      <c r="D5" s="394"/>
      <c r="E5" s="394"/>
      <c r="F5" s="321"/>
      <c r="G5" s="321"/>
      <c r="H5" s="321"/>
      <c r="I5" s="321"/>
      <c r="J5" s="321"/>
      <c r="K5" s="321"/>
      <c r="L5" s="321"/>
      <c r="M5" s="321"/>
      <c r="N5" s="321"/>
    </row>
    <row r="6" spans="1:16" s="472" customFormat="1" ht="12.6" customHeight="1" x14ac:dyDescent="0.2">
      <c r="C6" s="1592" t="s">
        <v>54</v>
      </c>
      <c r="D6" s="1592"/>
      <c r="E6" s="1592"/>
      <c r="F6" s="1592"/>
      <c r="G6" s="1592"/>
      <c r="H6" s="1592"/>
      <c r="I6" s="1592"/>
      <c r="J6" s="1592"/>
      <c r="K6" s="1592"/>
      <c r="L6" s="1592"/>
      <c r="N6" s="310" t="s">
        <v>669</v>
      </c>
    </row>
    <row r="7" spans="1:16" s="472" customFormat="1" ht="12.6" customHeight="1" x14ac:dyDescent="0.2">
      <c r="B7" s="573"/>
      <c r="C7" s="1591" t="s">
        <v>55</v>
      </c>
      <c r="D7" s="1591"/>
      <c r="E7" s="1591"/>
      <c r="F7" s="1591"/>
      <c r="G7" s="1591"/>
      <c r="H7" s="1591"/>
      <c r="I7" s="1591"/>
      <c r="J7" s="1591"/>
      <c r="K7" s="1591"/>
      <c r="L7" s="1591"/>
      <c r="M7" s="573"/>
      <c r="N7" s="574" t="s">
        <v>670</v>
      </c>
      <c r="O7" s="573"/>
    </row>
    <row r="8" spans="1:16" s="472" customFormat="1" ht="12.6" customHeight="1" x14ac:dyDescent="0.2">
      <c r="B8" s="573"/>
      <c r="C8" s="475"/>
      <c r="D8" s="475"/>
      <c r="E8" s="475"/>
      <c r="F8" s="475"/>
      <c r="G8" s="475"/>
      <c r="H8" s="475"/>
      <c r="I8" s="475"/>
      <c r="J8" s="475"/>
      <c r="K8" s="475"/>
      <c r="L8" s="475"/>
      <c r="M8" s="573"/>
      <c r="N8" s="310"/>
      <c r="O8" s="573"/>
    </row>
    <row r="9" spans="1:16" s="472" customFormat="1" ht="12.6" customHeight="1" x14ac:dyDescent="0.2">
      <c r="C9" s="475"/>
      <c r="E9" s="310" t="s">
        <v>1087</v>
      </c>
      <c r="G9" s="475"/>
      <c r="H9" s="475"/>
      <c r="J9" s="445" t="s">
        <v>1064</v>
      </c>
      <c r="K9" s="445"/>
      <c r="L9" s="477"/>
      <c r="N9" s="310" t="s">
        <v>58</v>
      </c>
    </row>
    <row r="10" spans="1:16" s="472" customFormat="1" ht="12.6" customHeight="1" x14ac:dyDescent="0.2">
      <c r="C10" s="475" t="s">
        <v>836</v>
      </c>
      <c r="E10" s="310" t="s">
        <v>1088</v>
      </c>
      <c r="G10" s="475"/>
      <c r="H10" s="475"/>
      <c r="J10" s="445" t="s">
        <v>57</v>
      </c>
      <c r="K10" s="445"/>
      <c r="L10" s="477"/>
      <c r="N10" s="310" t="s">
        <v>1066</v>
      </c>
    </row>
    <row r="11" spans="1:16" s="472" customFormat="1" ht="12.6" customHeight="1" x14ac:dyDescent="0.2">
      <c r="C11" s="946" t="s">
        <v>59</v>
      </c>
      <c r="E11" s="574" t="s">
        <v>228</v>
      </c>
      <c r="G11" s="809" t="s">
        <v>838</v>
      </c>
      <c r="H11" s="809"/>
      <c r="J11" s="945" t="s">
        <v>864</v>
      </c>
      <c r="K11" s="796"/>
      <c r="L11" s="574" t="s">
        <v>865</v>
      </c>
      <c r="N11" s="574" t="s">
        <v>864</v>
      </c>
      <c r="P11" s="1133"/>
    </row>
    <row r="12" spans="1:16" s="317" customFormat="1" ht="9.9499999999999993" customHeight="1" x14ac:dyDescent="0.2">
      <c r="A12" s="480" t="s">
        <v>603</v>
      </c>
      <c r="B12" s="787"/>
      <c r="C12" s="797"/>
      <c r="D12" s="787"/>
      <c r="E12" s="797"/>
      <c r="F12" s="787"/>
      <c r="G12" s="316"/>
      <c r="H12" s="797"/>
      <c r="I12" s="787"/>
      <c r="J12" s="260"/>
      <c r="K12" s="787"/>
      <c r="L12" s="260"/>
      <c r="M12" s="787"/>
      <c r="N12" s="260"/>
      <c r="O12" s="787"/>
      <c r="P12" s="1133"/>
    </row>
    <row r="13" spans="1:16" s="317" customFormat="1" ht="9.9499999999999993" customHeight="1" x14ac:dyDescent="0.2">
      <c r="A13" s="577" t="s">
        <v>386</v>
      </c>
      <c r="B13" s="482"/>
      <c r="C13" s="495">
        <v>141555</v>
      </c>
      <c r="D13" s="482"/>
      <c r="E13" s="495">
        <v>150215</v>
      </c>
      <c r="F13" s="482"/>
      <c r="G13" s="481" t="s">
        <v>1035</v>
      </c>
      <c r="H13" s="323"/>
      <c r="I13" s="482"/>
      <c r="J13" s="802">
        <f>SUM('Nonmajor Ent CF'!K12)</f>
        <v>56069</v>
      </c>
      <c r="K13" s="482"/>
      <c r="L13" s="339">
        <f>E13+H13+C13+J13</f>
        <v>347839</v>
      </c>
      <c r="M13" s="482"/>
      <c r="N13" s="339">
        <f>SUM('ISF-CASH FLOW'!O12)</f>
        <v>480563</v>
      </c>
      <c r="O13" s="482"/>
      <c r="P13" s="1133"/>
    </row>
    <row r="14" spans="1:16" s="317" customFormat="1" ht="9.9499999999999993" customHeight="1" x14ac:dyDescent="0.2">
      <c r="A14" s="577" t="s">
        <v>387</v>
      </c>
      <c r="B14" s="489"/>
      <c r="C14" s="324">
        <v>-47879</v>
      </c>
      <c r="D14" s="489"/>
      <c r="E14" s="324">
        <v>-83228</v>
      </c>
      <c r="F14" s="489"/>
      <c r="G14" s="810"/>
      <c r="H14" s="324"/>
      <c r="I14" s="489"/>
      <c r="J14" s="273">
        <f>SUM('Nonmajor Ent CF'!K13)</f>
        <v>-20449</v>
      </c>
      <c r="K14" s="489"/>
      <c r="L14" s="273">
        <f>E14+H14+C14+J14</f>
        <v>-151556</v>
      </c>
      <c r="M14" s="489"/>
      <c r="N14" s="254">
        <f>SUM('ISF-CASH FLOW'!O13)</f>
        <v>-343033</v>
      </c>
      <c r="O14" s="482"/>
      <c r="P14" s="1133"/>
    </row>
    <row r="15" spans="1:16" s="317" customFormat="1" ht="9.9499999999999993" customHeight="1" x14ac:dyDescent="0.2">
      <c r="A15" s="577" t="s">
        <v>388</v>
      </c>
      <c r="B15" s="489"/>
      <c r="C15" s="324">
        <v>-44639</v>
      </c>
      <c r="D15" s="489"/>
      <c r="E15" s="324">
        <v>-57871</v>
      </c>
      <c r="F15" s="489"/>
      <c r="G15" s="810"/>
      <c r="H15" s="324"/>
      <c r="I15" s="489"/>
      <c r="J15" s="273">
        <f>SUM('Nonmajor Ent CF'!K14)</f>
        <v>-37974</v>
      </c>
      <c r="K15" s="489"/>
      <c r="L15" s="273">
        <f>E15+H15+C15+J15</f>
        <v>-140484</v>
      </c>
      <c r="M15" s="489"/>
      <c r="N15" s="254">
        <f>SUM('ISF-CASH FLOW'!O14)</f>
        <v>-117054</v>
      </c>
      <c r="O15" s="482"/>
      <c r="P15" s="1133"/>
    </row>
    <row r="16" spans="1:16" s="317" customFormat="1" ht="9.9499999999999993" customHeight="1" x14ac:dyDescent="0.2">
      <c r="A16" s="577" t="s">
        <v>1274</v>
      </c>
      <c r="B16" s="489"/>
      <c r="C16" s="324">
        <v>1186</v>
      </c>
      <c r="D16" s="489"/>
      <c r="E16" s="324">
        <v>435</v>
      </c>
      <c r="F16" s="489"/>
      <c r="G16" s="810"/>
      <c r="H16" s="324"/>
      <c r="I16" s="489"/>
      <c r="J16" s="273">
        <f>SUM('Nonmajor Ent CF'!K15)</f>
        <v>13</v>
      </c>
      <c r="K16" s="489"/>
      <c r="L16" s="273">
        <f>E16+H16+C16+J16</f>
        <v>1634</v>
      </c>
      <c r="M16" s="489"/>
      <c r="N16" s="254">
        <f>SUM('ISF-CASH FLOW'!O15)</f>
        <v>21633</v>
      </c>
      <c r="O16" s="482"/>
      <c r="P16" s="1133"/>
    </row>
    <row r="17" spans="1:17" s="317" customFormat="1" ht="5.0999999999999996" customHeight="1" x14ac:dyDescent="0.2">
      <c r="A17" s="480"/>
      <c r="B17" s="798"/>
      <c r="C17" s="496"/>
      <c r="D17" s="798"/>
      <c r="E17" s="496"/>
      <c r="F17" s="798"/>
      <c r="G17" s="325"/>
      <c r="H17" s="324"/>
      <c r="I17" s="798"/>
      <c r="J17" s="340"/>
      <c r="K17" s="798"/>
      <c r="L17" s="340"/>
      <c r="M17" s="798"/>
      <c r="N17" s="366"/>
      <c r="O17" s="787"/>
      <c r="P17" s="1133"/>
    </row>
    <row r="18" spans="1:17" s="253" customFormat="1" ht="11.1" customHeight="1" x14ac:dyDescent="0.2">
      <c r="A18" s="353" t="s">
        <v>1442</v>
      </c>
      <c r="B18" s="399"/>
      <c r="C18" s="341">
        <f>SUM(C13:C16)</f>
        <v>50223</v>
      </c>
      <c r="D18" s="399"/>
      <c r="E18" s="341">
        <f>SUM(E13:E16)</f>
        <v>9551</v>
      </c>
      <c r="F18" s="399"/>
      <c r="G18" s="811"/>
      <c r="H18" s="341">
        <f>SUM(H13:H15)</f>
        <v>0</v>
      </c>
      <c r="I18" s="399"/>
      <c r="J18" s="341">
        <f>SUM(J13:J16)</f>
        <v>-2341</v>
      </c>
      <c r="K18" s="399"/>
      <c r="L18" s="341">
        <f>SUM(L13:L16)</f>
        <v>57433</v>
      </c>
      <c r="M18" s="399"/>
      <c r="N18" s="341">
        <f>SUM(N13:N16)</f>
        <v>42109</v>
      </c>
      <c r="O18" s="352"/>
      <c r="P18" s="1133"/>
    </row>
    <row r="19" spans="1:17" s="317" customFormat="1" ht="5.0999999999999996" customHeight="1" x14ac:dyDescent="0.2">
      <c r="A19" s="482"/>
      <c r="B19" s="324"/>
      <c r="C19" s="324"/>
      <c r="D19" s="324"/>
      <c r="E19" s="324"/>
      <c r="F19" s="324"/>
      <c r="G19" s="810"/>
      <c r="H19" s="324"/>
      <c r="I19" s="324"/>
      <c r="J19" s="273"/>
      <c r="K19" s="324"/>
      <c r="L19" s="273"/>
      <c r="M19" s="324"/>
      <c r="N19" s="273"/>
      <c r="P19" s="1133"/>
    </row>
    <row r="20" spans="1:17" s="317" customFormat="1" ht="9.9499999999999993" customHeight="1" x14ac:dyDescent="0.2">
      <c r="A20" s="480" t="s">
        <v>1020</v>
      </c>
      <c r="B20" s="798"/>
      <c r="C20" s="324"/>
      <c r="D20" s="798"/>
      <c r="E20" s="324"/>
      <c r="F20" s="798"/>
      <c r="G20" s="325"/>
      <c r="H20" s="324"/>
      <c r="I20" s="798"/>
      <c r="J20" s="273"/>
      <c r="K20" s="798"/>
      <c r="L20" s="273"/>
      <c r="M20" s="798"/>
      <c r="N20" s="273"/>
      <c r="O20" s="787"/>
      <c r="P20" s="1133"/>
    </row>
    <row r="21" spans="1:17" s="317" customFormat="1" ht="9.9499999999999993" customHeight="1" x14ac:dyDescent="0.2">
      <c r="A21" s="577" t="s">
        <v>390</v>
      </c>
      <c r="B21" s="489"/>
      <c r="C21" s="488"/>
      <c r="D21" s="489"/>
      <c r="E21" s="488">
        <v>91</v>
      </c>
      <c r="F21" s="489"/>
      <c r="G21" s="810"/>
      <c r="H21" s="324"/>
      <c r="I21" s="489"/>
      <c r="J21" s="273">
        <f>SUM('Nonmajor Ent CF'!K20)</f>
        <v>4259</v>
      </c>
      <c r="K21" s="489"/>
      <c r="L21" s="273">
        <f>E21+H21+C21+J21</f>
        <v>4350</v>
      </c>
      <c r="M21" s="489"/>
      <c r="N21" s="273">
        <f>SUM('ISF-CASH FLOW'!O20)</f>
        <v>25087</v>
      </c>
      <c r="O21" s="482"/>
    </row>
    <row r="22" spans="1:17" s="317" customFormat="1" ht="9.9499999999999993" customHeight="1" x14ac:dyDescent="0.2">
      <c r="A22" s="577" t="s">
        <v>391</v>
      </c>
      <c r="B22" s="489"/>
      <c r="C22" s="488">
        <v>-770</v>
      </c>
      <c r="D22" s="489"/>
      <c r="E22" s="488">
        <v>-5199</v>
      </c>
      <c r="F22" s="489"/>
      <c r="G22" s="810"/>
      <c r="H22" s="324"/>
      <c r="I22" s="489"/>
      <c r="J22" s="273">
        <f>SUM('Nonmajor Ent CF'!K21)</f>
        <v>-3781</v>
      </c>
      <c r="K22" s="489"/>
      <c r="L22" s="273">
        <f>E22+H22+C22+J22</f>
        <v>-9750</v>
      </c>
      <c r="M22" s="489"/>
      <c r="N22" s="273">
        <f>SUM('ISF-CASH FLOW'!O21)</f>
        <v>-5987</v>
      </c>
      <c r="O22" s="482"/>
    </row>
    <row r="23" spans="1:17" s="317" customFormat="1" ht="9.9499999999999993" hidden="1" customHeight="1" x14ac:dyDescent="0.2">
      <c r="A23" s="577" t="s">
        <v>604</v>
      </c>
      <c r="B23" s="489"/>
      <c r="C23" s="488"/>
      <c r="D23" s="489"/>
      <c r="E23" s="488"/>
      <c r="F23" s="489"/>
      <c r="G23" s="810"/>
      <c r="H23" s="324"/>
      <c r="I23" s="489"/>
      <c r="J23" s="273">
        <f>SUM('Nonmajor Ent CF'!K22)</f>
        <v>0</v>
      </c>
      <c r="K23" s="489"/>
      <c r="L23" s="273">
        <f>E23+H23+C23+J23</f>
        <v>0</v>
      </c>
      <c r="M23" s="489"/>
      <c r="N23" s="273">
        <f>SUM('ISF-CASH FLOW'!O22)</f>
        <v>0</v>
      </c>
      <c r="O23" s="482"/>
    </row>
    <row r="24" spans="1:17" s="317" customFormat="1" ht="9.9499999999999993" customHeight="1" x14ac:dyDescent="0.2">
      <c r="A24" s="577" t="s">
        <v>63</v>
      </c>
      <c r="B24" s="489"/>
      <c r="C24" s="1354"/>
      <c r="D24" s="489"/>
      <c r="E24" s="1354"/>
      <c r="F24" s="489"/>
      <c r="G24" s="810"/>
      <c r="H24" s="324"/>
      <c r="I24" s="489"/>
      <c r="J24" s="273">
        <f>SUM('Nonmajor Ent CF'!K23)</f>
        <v>-6</v>
      </c>
      <c r="K24" s="489"/>
      <c r="L24" s="273">
        <f>E24+H24+C24+J24</f>
        <v>-6</v>
      </c>
      <c r="M24" s="489"/>
      <c r="N24" s="273">
        <f>SUM('ISF-CASH FLOW'!O23)</f>
        <v>0</v>
      </c>
      <c r="O24" s="482"/>
    </row>
    <row r="25" spans="1:17" s="317" customFormat="1" ht="9.9499999999999993" hidden="1" customHeight="1" x14ac:dyDescent="0.2">
      <c r="A25" s="1134" t="s">
        <v>1243</v>
      </c>
      <c r="B25" s="798"/>
      <c r="C25" s="324"/>
      <c r="D25" s="798"/>
      <c r="E25" s="324"/>
      <c r="F25" s="798"/>
      <c r="G25" s="325"/>
      <c r="H25" s="324"/>
      <c r="I25" s="798"/>
      <c r="J25" s="273">
        <f>SUM('Nonmajor Ent CF'!K24)</f>
        <v>0</v>
      </c>
      <c r="K25" s="798"/>
      <c r="L25" s="273">
        <f>E25+H25+C25+J25</f>
        <v>0</v>
      </c>
      <c r="M25" s="798"/>
      <c r="N25" s="273">
        <f>SUM('ISF-CASH FLOW'!O24)</f>
        <v>0</v>
      </c>
      <c r="O25" s="787"/>
    </row>
    <row r="26" spans="1:17" s="317" customFormat="1" ht="5.0999999999999996" customHeight="1" x14ac:dyDescent="0.2">
      <c r="A26" s="482"/>
      <c r="B26" s="489"/>
      <c r="C26" s="1355"/>
      <c r="D26" s="489"/>
      <c r="E26" s="1355"/>
      <c r="F26" s="489"/>
      <c r="G26" s="810"/>
      <c r="H26" s="324"/>
      <c r="I26" s="489"/>
      <c r="J26" s="340"/>
      <c r="K26" s="489"/>
      <c r="L26" s="340"/>
      <c r="M26" s="489"/>
      <c r="N26" s="340"/>
      <c r="O26" s="482"/>
    </row>
    <row r="27" spans="1:17" s="253" customFormat="1" ht="10.5" customHeight="1" x14ac:dyDescent="0.2">
      <c r="A27" s="353" t="s">
        <v>1476</v>
      </c>
      <c r="B27" s="399"/>
      <c r="C27" s="341">
        <f>SUM(C21:C25)</f>
        <v>-770</v>
      </c>
      <c r="D27" s="399"/>
      <c r="E27" s="341">
        <f>SUM(E21:E25)</f>
        <v>-5108</v>
      </c>
      <c r="F27" s="399"/>
      <c r="G27" s="811"/>
      <c r="H27" s="341">
        <f>SUM(H21:H24)</f>
        <v>0</v>
      </c>
      <c r="I27" s="399"/>
      <c r="J27" s="341">
        <f>SUM(J21:J25)</f>
        <v>472</v>
      </c>
      <c r="K27" s="399"/>
      <c r="L27" s="341">
        <f>SUM(L21:L25)</f>
        <v>-5406</v>
      </c>
      <c r="M27" s="399"/>
      <c r="N27" s="341">
        <f>SUM(N21:N25)</f>
        <v>19100</v>
      </c>
      <c r="O27" s="352"/>
      <c r="P27" s="681"/>
    </row>
    <row r="28" spans="1:17" s="317" customFormat="1" ht="5.0999999999999996" customHeight="1" x14ac:dyDescent="0.2">
      <c r="A28" s="482"/>
      <c r="B28" s="489"/>
      <c r="C28" s="324"/>
      <c r="D28" s="489"/>
      <c r="E28" s="324"/>
      <c r="F28" s="489"/>
      <c r="G28" s="810"/>
      <c r="H28" s="324"/>
      <c r="I28" s="489"/>
      <c r="J28" s="273"/>
      <c r="K28" s="489"/>
      <c r="L28" s="273"/>
      <c r="M28" s="489"/>
      <c r="N28" s="273"/>
      <c r="O28" s="482"/>
    </row>
    <row r="29" spans="1:17" s="317" customFormat="1" ht="9.9499999999999993" customHeight="1" x14ac:dyDescent="0.2">
      <c r="A29" s="480" t="s">
        <v>605</v>
      </c>
      <c r="B29" s="798"/>
      <c r="C29" s="324"/>
      <c r="D29" s="798"/>
      <c r="E29" s="324"/>
      <c r="F29" s="798"/>
      <c r="G29" s="325"/>
      <c r="H29" s="324"/>
      <c r="I29" s="798"/>
      <c r="J29" s="273"/>
      <c r="K29" s="798"/>
      <c r="L29" s="273"/>
      <c r="M29" s="798"/>
      <c r="N29" s="273"/>
      <c r="O29" s="787"/>
    </row>
    <row r="30" spans="1:17" s="317" customFormat="1" ht="9.9499999999999993" customHeight="1" x14ac:dyDescent="0.2">
      <c r="A30" s="577" t="s">
        <v>396</v>
      </c>
      <c r="B30" s="489"/>
      <c r="C30" s="324">
        <v>-75635</v>
      </c>
      <c r="D30" s="489"/>
      <c r="E30" s="324">
        <v>-3231</v>
      </c>
      <c r="F30" s="489"/>
      <c r="G30" s="810"/>
      <c r="H30" s="324"/>
      <c r="I30" s="489"/>
      <c r="J30" s="273">
        <f>'Nonmajor Ent CF'!K29</f>
        <v>-1544</v>
      </c>
      <c r="K30" s="489"/>
      <c r="L30" s="273">
        <f>+C30+E30+J30</f>
        <v>-80410</v>
      </c>
      <c r="M30" s="489"/>
      <c r="N30" s="273">
        <f>SUM('ISF-CASH FLOW'!O29)</f>
        <v>-59700</v>
      </c>
      <c r="O30" s="482"/>
      <c r="P30" s="482"/>
      <c r="Q30" s="482"/>
    </row>
    <row r="31" spans="1:17" s="317" customFormat="1" ht="9.9499999999999993" customHeight="1" x14ac:dyDescent="0.2">
      <c r="A31" s="577" t="s">
        <v>406</v>
      </c>
      <c r="B31" s="798"/>
      <c r="C31" s="488">
        <v>53849</v>
      </c>
      <c r="D31" s="798"/>
      <c r="E31" s="488"/>
      <c r="F31" s="798"/>
      <c r="G31" s="325"/>
      <c r="H31" s="324"/>
      <c r="I31" s="798"/>
      <c r="J31" s="273">
        <f>'Nonmajor Ent CF'!K30</f>
        <v>0</v>
      </c>
      <c r="K31" s="798"/>
      <c r="L31" s="273">
        <f t="shared" ref="L31:L39" si="0">+C31+E31+J31</f>
        <v>53849</v>
      </c>
      <c r="M31" s="798"/>
      <c r="N31" s="273">
        <f>SUM('ISF-CASH FLOW'!O30)</f>
        <v>0</v>
      </c>
      <c r="O31" s="787"/>
      <c r="P31" s="482"/>
      <c r="Q31" s="482"/>
    </row>
    <row r="32" spans="1:17" s="317" customFormat="1" ht="9.9499999999999993" hidden="1" customHeight="1" x14ac:dyDescent="0.2">
      <c r="A32" s="577" t="s">
        <v>398</v>
      </c>
      <c r="B32" s="489"/>
      <c r="C32" s="324"/>
      <c r="D32" s="489"/>
      <c r="E32" s="324"/>
      <c r="F32" s="489"/>
      <c r="G32" s="810"/>
      <c r="H32" s="324"/>
      <c r="I32" s="489"/>
      <c r="J32" s="273">
        <f>'Nonmajor Ent CF'!K31</f>
        <v>0</v>
      </c>
      <c r="K32" s="489"/>
      <c r="L32" s="273">
        <f t="shared" si="0"/>
        <v>0</v>
      </c>
      <c r="M32" s="489"/>
      <c r="N32" s="273">
        <f>SUM('ISF-CASH FLOW'!O31)</f>
        <v>0</v>
      </c>
      <c r="O32" s="482"/>
      <c r="P32" s="482"/>
      <c r="Q32" s="482"/>
    </row>
    <row r="33" spans="1:17" s="317" customFormat="1" ht="9.9499999999999993" customHeight="1" x14ac:dyDescent="0.2">
      <c r="A33" s="577" t="s">
        <v>347</v>
      </c>
      <c r="B33" s="489"/>
      <c r="C33" s="488">
        <v>-30162</v>
      </c>
      <c r="D33" s="489"/>
      <c r="E33" s="488">
        <v>-253</v>
      </c>
      <c r="F33" s="489"/>
      <c r="G33" s="810"/>
      <c r="H33" s="324"/>
      <c r="I33" s="489"/>
      <c r="J33" s="273">
        <f>'Nonmajor Ent CF'!K32</f>
        <v>-237</v>
      </c>
      <c r="K33" s="489"/>
      <c r="L33" s="273">
        <f t="shared" si="0"/>
        <v>-30652</v>
      </c>
      <c r="M33" s="489"/>
      <c r="N33" s="273">
        <f>SUM('ISF-CASH FLOW'!O32)</f>
        <v>-213</v>
      </c>
      <c r="O33" s="482"/>
      <c r="P33" s="482"/>
      <c r="Q33" s="482"/>
    </row>
    <row r="34" spans="1:17" s="317" customFormat="1" ht="9.9499999999999993" customHeight="1" x14ac:dyDescent="0.2">
      <c r="A34" s="577" t="s">
        <v>285</v>
      </c>
      <c r="B34" s="489"/>
      <c r="C34" s="488">
        <v>-1</v>
      </c>
      <c r="D34" s="489"/>
      <c r="E34" s="488"/>
      <c r="F34" s="489"/>
      <c r="G34" s="810"/>
      <c r="H34" s="324"/>
      <c r="I34" s="489"/>
      <c r="J34" s="273">
        <f>'Nonmajor Ent CF'!K33</f>
        <v>0</v>
      </c>
      <c r="K34" s="489"/>
      <c r="L34" s="273">
        <f t="shared" si="0"/>
        <v>-1</v>
      </c>
      <c r="M34" s="489"/>
      <c r="N34" s="273">
        <f>SUM('ISF-CASH FLOW'!O33)</f>
        <v>0</v>
      </c>
      <c r="O34" s="482"/>
      <c r="P34" s="482"/>
      <c r="Q34" s="482"/>
    </row>
    <row r="35" spans="1:17" s="317" customFormat="1" ht="9.9499999999999993" customHeight="1" x14ac:dyDescent="0.2">
      <c r="A35" s="577" t="s">
        <v>1106</v>
      </c>
      <c r="B35" s="489"/>
      <c r="C35" s="488">
        <v>-83479</v>
      </c>
      <c r="D35" s="489"/>
      <c r="E35" s="488"/>
      <c r="F35" s="489"/>
      <c r="G35" s="810"/>
      <c r="H35" s="324"/>
      <c r="I35" s="489"/>
      <c r="J35" s="273">
        <f>'Nonmajor Ent CF'!K34</f>
        <v>-1902</v>
      </c>
      <c r="K35" s="489"/>
      <c r="L35" s="273">
        <f t="shared" si="0"/>
        <v>-85381</v>
      </c>
      <c r="M35" s="489"/>
      <c r="N35" s="273">
        <f>SUM('ISF-CASH FLOW'!O34)</f>
        <v>-213</v>
      </c>
      <c r="O35" s="482"/>
      <c r="P35" s="482"/>
      <c r="Q35" s="482"/>
    </row>
    <row r="36" spans="1:17" s="317" customFormat="1" ht="9.9499999999999993" customHeight="1" x14ac:dyDescent="0.2">
      <c r="A36" s="577" t="s">
        <v>284</v>
      </c>
      <c r="B36" s="489"/>
      <c r="C36" s="488"/>
      <c r="D36" s="489"/>
      <c r="E36" s="488">
        <v>-471</v>
      </c>
      <c r="F36" s="489"/>
      <c r="G36" s="810"/>
      <c r="H36" s="324"/>
      <c r="I36" s="489"/>
      <c r="J36" s="273">
        <f>'Nonmajor Ent CF'!K35</f>
        <v>0</v>
      </c>
      <c r="K36" s="489"/>
      <c r="L36" s="273">
        <f t="shared" si="0"/>
        <v>-471</v>
      </c>
      <c r="M36" s="489"/>
      <c r="N36" s="273">
        <f>SUM('ISF-CASH FLOW'!O35)</f>
        <v>0</v>
      </c>
      <c r="O36" s="482"/>
      <c r="P36" s="482"/>
      <c r="Q36" s="482"/>
    </row>
    <row r="37" spans="1:17" s="317" customFormat="1" ht="9.9499999999999993" hidden="1" customHeight="1" x14ac:dyDescent="0.2">
      <c r="A37" s="577" t="s">
        <v>397</v>
      </c>
      <c r="B37" s="489"/>
      <c r="C37" s="488"/>
      <c r="D37" s="489"/>
      <c r="E37" s="488"/>
      <c r="F37" s="489"/>
      <c r="G37" s="810"/>
      <c r="H37" s="324"/>
      <c r="I37" s="489"/>
      <c r="J37" s="273">
        <f>'Nonmajor Ent CF'!K36</f>
        <v>0</v>
      </c>
      <c r="K37" s="489"/>
      <c r="L37" s="273">
        <f t="shared" si="0"/>
        <v>0</v>
      </c>
      <c r="M37" s="489"/>
      <c r="N37" s="273">
        <f>SUM('ISF-CASH FLOW'!O36)</f>
        <v>0</v>
      </c>
      <c r="O37" s="482"/>
      <c r="P37" s="482"/>
      <c r="Q37" s="482"/>
    </row>
    <row r="38" spans="1:17" s="317" customFormat="1" ht="9.9499999999999993" customHeight="1" x14ac:dyDescent="0.2">
      <c r="A38" s="577" t="s">
        <v>348</v>
      </c>
      <c r="B38" s="489"/>
      <c r="C38" s="488"/>
      <c r="D38" s="489"/>
      <c r="E38" s="488">
        <v>4439</v>
      </c>
      <c r="F38" s="489"/>
      <c r="G38" s="810"/>
      <c r="H38" s="324"/>
      <c r="I38" s="489"/>
      <c r="J38" s="273">
        <f>'Nonmajor Ent CF'!K37</f>
        <v>0</v>
      </c>
      <c r="K38" s="489"/>
      <c r="L38" s="273">
        <f t="shared" si="0"/>
        <v>4439</v>
      </c>
      <c r="M38" s="489"/>
      <c r="N38" s="273">
        <f>SUM('ISF-CASH FLOW'!O37)</f>
        <v>0</v>
      </c>
      <c r="O38" s="482"/>
      <c r="P38" s="482"/>
      <c r="Q38" s="482"/>
    </row>
    <row r="39" spans="1:17" s="317" customFormat="1" ht="9.9499999999999993" customHeight="1" x14ac:dyDescent="0.2">
      <c r="A39" s="577" t="s">
        <v>399</v>
      </c>
      <c r="B39" s="489"/>
      <c r="C39" s="488">
        <v>2</v>
      </c>
      <c r="D39" s="489"/>
      <c r="E39" s="488"/>
      <c r="F39" s="489"/>
      <c r="G39" s="810"/>
      <c r="H39" s="324"/>
      <c r="I39" s="489"/>
      <c r="J39" s="273">
        <f>'Nonmajor Ent CF'!K38</f>
        <v>0</v>
      </c>
      <c r="K39" s="489"/>
      <c r="L39" s="273">
        <f t="shared" si="0"/>
        <v>2</v>
      </c>
      <c r="M39" s="489"/>
      <c r="N39" s="273">
        <f>SUM('ISF-CASH FLOW'!O38)</f>
        <v>4500</v>
      </c>
      <c r="O39" s="482"/>
      <c r="P39" s="482"/>
      <c r="Q39" s="482"/>
    </row>
    <row r="40" spans="1:17" s="317" customFormat="1" ht="5.0999999999999996" customHeight="1" x14ac:dyDescent="0.2">
      <c r="A40" s="482"/>
      <c r="B40" s="489"/>
      <c r="C40" s="591"/>
      <c r="D40" s="489"/>
      <c r="E40" s="591"/>
      <c r="F40" s="489"/>
      <c r="G40" s="810"/>
      <c r="H40" s="324"/>
      <c r="I40" s="489"/>
      <c r="J40" s="340"/>
      <c r="K40" s="489"/>
      <c r="L40" s="340"/>
      <c r="M40" s="489"/>
      <c r="N40" s="340"/>
      <c r="O40" s="482"/>
      <c r="P40" s="834"/>
      <c r="Q40" s="253"/>
    </row>
    <row r="41" spans="1:17" s="253" customFormat="1" ht="11.1" customHeight="1" x14ac:dyDescent="0.2">
      <c r="A41" s="353" t="s">
        <v>1665</v>
      </c>
      <c r="B41" s="399"/>
      <c r="C41" s="341">
        <f>SUM(C30:C39)</f>
        <v>-135426</v>
      </c>
      <c r="D41" s="399"/>
      <c r="E41" s="341">
        <f>SUM(E30:E39)</f>
        <v>484</v>
      </c>
      <c r="F41" s="399"/>
      <c r="G41" s="811"/>
      <c r="H41" s="341">
        <f>SUM(H31:H39)</f>
        <v>0</v>
      </c>
      <c r="I41" s="399"/>
      <c r="J41" s="341">
        <f>SUM(J30:J39)</f>
        <v>-3683</v>
      </c>
      <c r="K41" s="399"/>
      <c r="L41" s="341">
        <f>SUM(L30:L39)</f>
        <v>-138625</v>
      </c>
      <c r="M41" s="399"/>
      <c r="N41" s="341">
        <f>SUM(N30:N39)</f>
        <v>-55626</v>
      </c>
      <c r="O41" s="352"/>
    </row>
    <row r="42" spans="1:17" s="317" customFormat="1" ht="5.0999999999999996" customHeight="1" x14ac:dyDescent="0.2">
      <c r="A42" s="482"/>
      <c r="B42" s="489"/>
      <c r="C42" s="324"/>
      <c r="D42" s="489"/>
      <c r="E42" s="324"/>
      <c r="F42" s="489"/>
      <c r="G42" s="810"/>
      <c r="H42" s="324"/>
      <c r="I42" s="489"/>
      <c r="J42" s="273"/>
      <c r="K42" s="489"/>
      <c r="L42" s="273"/>
      <c r="M42" s="489"/>
      <c r="N42" s="273"/>
      <c r="O42" s="482"/>
    </row>
    <row r="43" spans="1:17" s="317" customFormat="1" ht="9.9499999999999993" customHeight="1" x14ac:dyDescent="0.2">
      <c r="A43" s="480" t="s">
        <v>400</v>
      </c>
      <c r="B43" s="799"/>
      <c r="C43" s="488"/>
      <c r="D43" s="799"/>
      <c r="E43" s="488"/>
      <c r="F43" s="799"/>
      <c r="G43" s="325"/>
      <c r="H43" s="324"/>
      <c r="I43" s="799"/>
      <c r="J43" s="273"/>
      <c r="K43" s="799"/>
      <c r="L43" s="273"/>
      <c r="M43" s="799"/>
      <c r="N43" s="273"/>
      <c r="O43" s="812"/>
    </row>
    <row r="44" spans="1:17" s="317" customFormat="1" ht="9.9499999999999993" customHeight="1" x14ac:dyDescent="0.2">
      <c r="A44" s="577" t="s">
        <v>401</v>
      </c>
      <c r="B44" s="489"/>
      <c r="C44" s="488">
        <v>-464192</v>
      </c>
      <c r="D44" s="489"/>
      <c r="E44" s="488">
        <v>-3117</v>
      </c>
      <c r="F44" s="489"/>
      <c r="G44" s="810"/>
      <c r="H44" s="324"/>
      <c r="I44" s="489"/>
      <c r="J44" s="273">
        <f>SUM('Nonmajor Ent CF'!K43)</f>
        <v>-19580</v>
      </c>
      <c r="K44" s="489"/>
      <c r="L44" s="273">
        <f>E44+H44+C44+J44</f>
        <v>-486889</v>
      </c>
      <c r="M44" s="489"/>
      <c r="N44" s="273">
        <f>SUM('ISF-CASH FLOW'!O43)</f>
        <v>-131883</v>
      </c>
      <c r="O44" s="482"/>
    </row>
    <row r="45" spans="1:17" s="317" customFormat="1" ht="9.9499999999999993" customHeight="1" x14ac:dyDescent="0.2">
      <c r="A45" s="577" t="s">
        <v>402</v>
      </c>
      <c r="B45" s="489"/>
      <c r="C45" s="488">
        <v>545508</v>
      </c>
      <c r="D45" s="489"/>
      <c r="E45" s="488">
        <v>-910</v>
      </c>
      <c r="F45" s="489"/>
      <c r="G45" s="810"/>
      <c r="H45" s="324"/>
      <c r="I45" s="489"/>
      <c r="J45" s="273">
        <f>SUM('Nonmajor Ent CF'!K44)</f>
        <v>21774</v>
      </c>
      <c r="K45" s="489"/>
      <c r="L45" s="273">
        <f>E45+H45+C45+J45</f>
        <v>566372</v>
      </c>
      <c r="M45" s="489"/>
      <c r="N45" s="273">
        <f>SUM('ISF-CASH FLOW'!O44)</f>
        <v>113684</v>
      </c>
      <c r="O45" s="482"/>
    </row>
    <row r="46" spans="1:17" s="317" customFormat="1" ht="9.9499999999999993" customHeight="1" x14ac:dyDescent="0.2">
      <c r="A46" s="577" t="s">
        <v>1666</v>
      </c>
      <c r="B46" s="489"/>
      <c r="C46" s="488">
        <v>31805</v>
      </c>
      <c r="D46" s="489"/>
      <c r="E46" s="488">
        <v>442</v>
      </c>
      <c r="F46" s="489"/>
      <c r="G46" s="810"/>
      <c r="H46" s="324"/>
      <c r="I46" s="489"/>
      <c r="J46" s="273">
        <f>SUM('Nonmajor Ent CF'!K45)</f>
        <v>2260</v>
      </c>
      <c r="K46" s="489"/>
      <c r="L46" s="273">
        <f>E46+H46+C46+J46</f>
        <v>34507</v>
      </c>
      <c r="M46" s="489"/>
      <c r="N46" s="273">
        <f>SUM('ISF-CASH FLOW'!O45)</f>
        <v>14430</v>
      </c>
      <c r="O46" s="482"/>
    </row>
    <row r="47" spans="1:17" s="317" customFormat="1" ht="5.0999999999999996" customHeight="1" x14ac:dyDescent="0.2">
      <c r="A47" s="482"/>
      <c r="B47" s="489"/>
      <c r="C47" s="496"/>
      <c r="D47" s="489"/>
      <c r="E47" s="496"/>
      <c r="F47" s="489"/>
      <c r="G47" s="810"/>
      <c r="H47" s="324"/>
      <c r="I47" s="489"/>
      <c r="J47" s="340"/>
      <c r="K47" s="489"/>
      <c r="L47" s="340"/>
      <c r="M47" s="489"/>
      <c r="N47" s="340"/>
      <c r="O47" s="482"/>
    </row>
    <row r="48" spans="1:17" s="253" customFormat="1" ht="11.1" customHeight="1" x14ac:dyDescent="0.2">
      <c r="A48" s="353" t="s">
        <v>1556</v>
      </c>
      <c r="B48" s="399"/>
      <c r="C48" s="341">
        <f>SUM(C44:C46)</f>
        <v>113121</v>
      </c>
      <c r="D48" s="399"/>
      <c r="E48" s="341">
        <f>SUM(E44:E46)</f>
        <v>-3585</v>
      </c>
      <c r="F48" s="399"/>
      <c r="G48" s="811"/>
      <c r="H48" s="341">
        <f>SUM(H44:H46)</f>
        <v>0</v>
      </c>
      <c r="I48" s="399"/>
      <c r="J48" s="341">
        <f>SUM(J44:J46)</f>
        <v>4454</v>
      </c>
      <c r="K48" s="399"/>
      <c r="L48" s="341">
        <f>SUM(L44:L46)</f>
        <v>113990</v>
      </c>
      <c r="M48" s="399"/>
      <c r="N48" s="341">
        <f>SUM(N44:N46)</f>
        <v>-3769</v>
      </c>
      <c r="O48" s="352"/>
      <c r="P48" s="681"/>
    </row>
    <row r="49" spans="1:15" s="317" customFormat="1" ht="5.0999999999999996" customHeight="1" x14ac:dyDescent="0.2">
      <c r="A49" s="482"/>
      <c r="B49" s="489"/>
      <c r="C49" s="324"/>
      <c r="D49" s="489"/>
      <c r="E49" s="324"/>
      <c r="F49" s="489"/>
      <c r="G49" s="810"/>
      <c r="H49" s="324"/>
      <c r="I49" s="489"/>
      <c r="J49" s="273"/>
      <c r="K49" s="489"/>
      <c r="L49" s="273"/>
      <c r="M49" s="489"/>
      <c r="N49" s="273"/>
      <c r="O49" s="482"/>
    </row>
    <row r="50" spans="1:15" s="253" customFormat="1" ht="9.9499999999999993" customHeight="1" x14ac:dyDescent="0.2">
      <c r="A50" s="353" t="s">
        <v>1549</v>
      </c>
      <c r="B50" s="399"/>
      <c r="C50" s="273">
        <f>C18+C27+C41+C48</f>
        <v>27148</v>
      </c>
      <c r="D50" s="399"/>
      <c r="E50" s="273">
        <f>E18+E27+E41+E48</f>
        <v>1342</v>
      </c>
      <c r="F50" s="399"/>
      <c r="G50" s="342"/>
      <c r="H50" s="273">
        <f>H18+H27+H41+H48</f>
        <v>0</v>
      </c>
      <c r="I50" s="399"/>
      <c r="J50" s="273">
        <f>J18+J27+J41+J48</f>
        <v>-1098</v>
      </c>
      <c r="K50" s="399"/>
      <c r="L50" s="273">
        <f>L18+L27+L41+L48</f>
        <v>27392</v>
      </c>
      <c r="M50" s="399"/>
      <c r="N50" s="273">
        <f>N18+N27+N41+N48</f>
        <v>1814</v>
      </c>
      <c r="O50" s="352"/>
    </row>
    <row r="51" spans="1:15" s="317" customFormat="1" ht="5.0999999999999996" customHeight="1" x14ac:dyDescent="0.2">
      <c r="A51" s="482"/>
      <c r="B51" s="489"/>
      <c r="C51" s="324"/>
      <c r="D51" s="489"/>
      <c r="E51" s="324"/>
      <c r="F51" s="489"/>
      <c r="G51" s="810"/>
      <c r="H51" s="324"/>
      <c r="I51" s="489"/>
      <c r="J51" s="273"/>
      <c r="K51" s="489"/>
      <c r="L51" s="273"/>
      <c r="M51" s="489"/>
      <c r="N51" s="273"/>
      <c r="O51" s="482"/>
    </row>
    <row r="52" spans="1:15" s="317" customFormat="1" ht="9.9499999999999993" customHeight="1" x14ac:dyDescent="0.2">
      <c r="A52" s="482" t="s">
        <v>1097</v>
      </c>
      <c r="B52" s="489"/>
      <c r="C52" s="494">
        <v>139309</v>
      </c>
      <c r="D52" s="489"/>
      <c r="E52" s="494">
        <v>2525</v>
      </c>
      <c r="F52" s="489"/>
      <c r="G52" s="810" t="s">
        <v>1035</v>
      </c>
      <c r="H52" s="494">
        <v>0</v>
      </c>
      <c r="I52" s="489"/>
      <c r="J52" s="273">
        <v>9560</v>
      </c>
      <c r="K52" s="489"/>
      <c r="L52" s="273">
        <f>SUM(C52:J52)</f>
        <v>151394</v>
      </c>
      <c r="M52" s="489"/>
      <c r="N52" s="273">
        <v>57154</v>
      </c>
      <c r="O52" s="482"/>
    </row>
    <row r="53" spans="1:15" s="317" customFormat="1" ht="5.0999999999999996" customHeight="1" x14ac:dyDescent="0.2">
      <c r="A53" s="482"/>
      <c r="B53" s="489"/>
      <c r="C53" s="496"/>
      <c r="D53" s="489"/>
      <c r="E53" s="340"/>
      <c r="F53" s="489"/>
      <c r="G53" s="813"/>
      <c r="H53" s="496"/>
      <c r="I53" s="489"/>
      <c r="J53" s="340"/>
      <c r="K53" s="489"/>
      <c r="L53" s="340"/>
      <c r="M53" s="489"/>
      <c r="N53" s="340"/>
      <c r="O53" s="482"/>
    </row>
    <row r="54" spans="1:15" s="254" customFormat="1" ht="11.1" customHeight="1" thickBot="1" x14ac:dyDescent="0.25">
      <c r="A54" s="353" t="s">
        <v>405</v>
      </c>
      <c r="B54" s="800"/>
      <c r="C54" s="344">
        <f>C50+C52</f>
        <v>166457</v>
      </c>
      <c r="D54" s="800"/>
      <c r="E54" s="344">
        <f>E50+E52</f>
        <v>3867</v>
      </c>
      <c r="F54" s="800"/>
      <c r="G54" s="814" t="s">
        <v>1035</v>
      </c>
      <c r="H54" s="815">
        <f>H50+H52</f>
        <v>0</v>
      </c>
      <c r="I54" s="800"/>
      <c r="J54" s="344">
        <f>J50+J52</f>
        <v>8462</v>
      </c>
      <c r="K54" s="800"/>
      <c r="L54" s="344">
        <f>L50+L52</f>
        <v>178786</v>
      </c>
      <c r="M54" s="800"/>
      <c r="N54" s="344">
        <f>N50+N52</f>
        <v>58968</v>
      </c>
      <c r="O54" s="801"/>
    </row>
    <row r="55" spans="1:15" ht="5.0999999999999996" customHeight="1" thickTop="1" x14ac:dyDescent="0.2">
      <c r="B55" s="816"/>
      <c r="C55" s="816"/>
      <c r="D55" s="816"/>
      <c r="E55" s="816"/>
      <c r="F55" s="816"/>
      <c r="G55" s="817"/>
      <c r="H55" s="816"/>
      <c r="I55" s="816"/>
      <c r="J55" s="269"/>
      <c r="K55" s="816"/>
      <c r="L55" s="269"/>
      <c r="M55" s="816"/>
      <c r="N55" s="269"/>
    </row>
    <row r="56" spans="1:15" ht="9.9499999999999993" hidden="1" customHeight="1" x14ac:dyDescent="0.2">
      <c r="B56" s="816"/>
      <c r="C56" s="816"/>
      <c r="D56" s="816"/>
      <c r="E56" s="816"/>
      <c r="F56" s="816"/>
      <c r="G56" s="816"/>
      <c r="H56" s="816"/>
      <c r="I56" s="816"/>
      <c r="J56" s="816"/>
      <c r="K56" s="816"/>
      <c r="L56" s="816"/>
      <c r="M56" s="816"/>
      <c r="N56" s="816"/>
      <c r="O56" s="319"/>
    </row>
    <row r="57" spans="1:15" ht="16.5" hidden="1" customHeight="1" thickBot="1" x14ac:dyDescent="0.25">
      <c r="A57" s="1582" t="s">
        <v>1033</v>
      </c>
      <c r="B57" s="1582"/>
      <c r="C57" s="1582"/>
      <c r="D57" s="1582"/>
      <c r="E57" s="1582"/>
      <c r="F57" s="1582"/>
      <c r="G57" s="1582"/>
      <c r="H57" s="1582"/>
      <c r="I57" s="1582"/>
      <c r="J57" s="1582"/>
      <c r="K57" s="1582"/>
      <c r="L57" s="1582"/>
      <c r="M57" s="1582"/>
      <c r="N57" s="1582"/>
    </row>
    <row r="58" spans="1:15" ht="15" hidden="1" customHeight="1" x14ac:dyDescent="0.2">
      <c r="A58" s="700" t="s">
        <v>384</v>
      </c>
      <c r="B58" s="310"/>
      <c r="C58" s="310"/>
      <c r="D58" s="310"/>
      <c r="E58" s="310"/>
      <c r="F58" s="806"/>
      <c r="G58" s="806"/>
      <c r="H58" s="806"/>
      <c r="I58" s="806"/>
      <c r="J58" s="806"/>
      <c r="K58" s="806"/>
      <c r="L58" s="806"/>
      <c r="M58" s="806"/>
      <c r="N58" s="806"/>
      <c r="O58" s="807"/>
    </row>
    <row r="59" spans="1:15" ht="15" hidden="1" customHeight="1" x14ac:dyDescent="0.2">
      <c r="A59" s="700" t="s">
        <v>48</v>
      </c>
      <c r="B59" s="310"/>
      <c r="C59" s="310"/>
      <c r="D59" s="310"/>
      <c r="E59" s="310"/>
      <c r="F59" s="321"/>
      <c r="G59" s="321"/>
      <c r="H59" s="321"/>
      <c r="I59" s="321"/>
      <c r="J59" s="584"/>
      <c r="K59" s="321"/>
      <c r="L59" s="321"/>
      <c r="M59" s="321"/>
      <c r="N59" s="321"/>
      <c r="O59" s="319"/>
    </row>
    <row r="60" spans="1:15" ht="12.95" hidden="1" customHeight="1" x14ac:dyDescent="0.2">
      <c r="A60" s="1579" t="s">
        <v>1725</v>
      </c>
      <c r="B60" s="1579"/>
      <c r="C60" s="1579"/>
      <c r="D60" s="1579"/>
      <c r="E60" s="1579"/>
      <c r="F60" s="321"/>
      <c r="G60" s="321"/>
      <c r="H60" s="321"/>
      <c r="I60" s="321"/>
      <c r="J60" s="321"/>
      <c r="K60" s="321"/>
      <c r="L60" s="321"/>
      <c r="M60" s="321"/>
      <c r="N60" s="321"/>
      <c r="O60" s="319"/>
    </row>
    <row r="61" spans="1:15" ht="12" hidden="1" customHeight="1" x14ac:dyDescent="0.2">
      <c r="A61" s="253" t="s">
        <v>972</v>
      </c>
      <c r="B61" s="394"/>
      <c r="C61" s="394"/>
      <c r="D61" s="394"/>
      <c r="E61" s="394"/>
      <c r="F61" s="321"/>
      <c r="G61" s="321"/>
      <c r="H61" s="321"/>
      <c r="I61" s="321"/>
      <c r="J61" s="321"/>
      <c r="K61" s="321"/>
      <c r="L61" s="321"/>
      <c r="M61" s="321"/>
      <c r="N61" s="321"/>
      <c r="O61" s="319"/>
    </row>
    <row r="62" spans="1:15" s="472" customFormat="1" ht="12.6" hidden="1" customHeight="1" x14ac:dyDescent="0.2">
      <c r="C62" s="1592" t="s">
        <v>54</v>
      </c>
      <c r="D62" s="1592"/>
      <c r="E62" s="1592"/>
      <c r="F62" s="1592"/>
      <c r="G62" s="1592"/>
      <c r="H62" s="1592"/>
      <c r="I62" s="1592"/>
      <c r="J62" s="1592"/>
      <c r="K62" s="1592"/>
      <c r="L62" s="1592"/>
      <c r="N62" s="310" t="s">
        <v>669</v>
      </c>
    </row>
    <row r="63" spans="1:15" s="472" customFormat="1" ht="12.6" hidden="1" customHeight="1" x14ac:dyDescent="0.2">
      <c r="B63" s="573"/>
      <c r="C63" s="1591" t="s">
        <v>55</v>
      </c>
      <c r="D63" s="1591"/>
      <c r="E63" s="1591"/>
      <c r="F63" s="1591"/>
      <c r="G63" s="1591"/>
      <c r="H63" s="1591"/>
      <c r="I63" s="1591"/>
      <c r="J63" s="1591"/>
      <c r="K63" s="1591"/>
      <c r="L63" s="1591"/>
      <c r="M63" s="573"/>
      <c r="N63" s="574" t="s">
        <v>670</v>
      </c>
      <c r="O63" s="573"/>
    </row>
    <row r="64" spans="1:15" s="472" customFormat="1" ht="12.6" hidden="1" customHeight="1" x14ac:dyDescent="0.2">
      <c r="C64" s="475"/>
      <c r="E64" s="310" t="s">
        <v>1087</v>
      </c>
      <c r="G64" s="475"/>
      <c r="H64" s="475"/>
      <c r="J64" s="445" t="s">
        <v>1064</v>
      </c>
      <c r="K64" s="445"/>
      <c r="L64" s="477"/>
      <c r="N64" s="310" t="s">
        <v>58</v>
      </c>
    </row>
    <row r="65" spans="1:17" s="472" customFormat="1" ht="12.6" hidden="1" customHeight="1" x14ac:dyDescent="0.2">
      <c r="C65" s="475" t="s">
        <v>836</v>
      </c>
      <c r="E65" s="310" t="s">
        <v>1088</v>
      </c>
      <c r="G65" s="475"/>
      <c r="H65" s="475"/>
      <c r="J65" s="445" t="s">
        <v>57</v>
      </c>
      <c r="K65" s="445"/>
      <c r="L65" s="477"/>
      <c r="N65" s="310" t="s">
        <v>385</v>
      </c>
    </row>
    <row r="66" spans="1:17" s="472" customFormat="1" ht="12.6" hidden="1" customHeight="1" x14ac:dyDescent="0.2">
      <c r="A66" s="796"/>
      <c r="C66" s="946" t="s">
        <v>59</v>
      </c>
      <c r="E66" s="574" t="s">
        <v>228</v>
      </c>
      <c r="G66" s="809" t="s">
        <v>838</v>
      </c>
      <c r="H66" s="809"/>
      <c r="J66" s="945" t="s">
        <v>864</v>
      </c>
      <c r="K66" s="819"/>
      <c r="L66" s="574" t="s">
        <v>865</v>
      </c>
      <c r="N66" s="574" t="s">
        <v>864</v>
      </c>
    </row>
    <row r="67" spans="1:17" s="808" customFormat="1" ht="9.9499999999999993" customHeight="1" x14ac:dyDescent="0.2">
      <c r="A67" s="820"/>
      <c r="B67" s="819"/>
      <c r="C67" s="819"/>
      <c r="D67" s="819"/>
      <c r="E67" s="819"/>
      <c r="F67" s="819"/>
      <c r="G67" s="819"/>
      <c r="H67" s="819"/>
      <c r="I67" s="819"/>
      <c r="J67" s="819"/>
      <c r="K67" s="819"/>
      <c r="L67" s="819"/>
      <c r="M67" s="819"/>
      <c r="N67" s="819"/>
      <c r="O67" s="818"/>
    </row>
    <row r="68" spans="1:17" s="317" customFormat="1" ht="9.9499999999999993" customHeight="1" x14ac:dyDescent="0.2">
      <c r="A68" s="480" t="s">
        <v>566</v>
      </c>
      <c r="B68" s="798"/>
      <c r="C68" s="324"/>
      <c r="D68" s="798"/>
      <c r="E68" s="324"/>
      <c r="F68" s="798"/>
      <c r="G68" s="325"/>
      <c r="H68" s="324"/>
      <c r="I68" s="798"/>
      <c r="J68" s="273"/>
      <c r="K68" s="798"/>
      <c r="L68" s="273"/>
      <c r="M68" s="798"/>
      <c r="N68" s="273"/>
      <c r="O68" s="787"/>
    </row>
    <row r="69" spans="1:17" s="317" customFormat="1" ht="9.9499999999999993" customHeight="1" x14ac:dyDescent="0.2">
      <c r="A69" s="480" t="s">
        <v>1557</v>
      </c>
      <c r="B69" s="799"/>
      <c r="C69" s="324"/>
      <c r="D69" s="799"/>
      <c r="E69" s="324"/>
      <c r="F69" s="799"/>
      <c r="G69" s="325"/>
      <c r="H69" s="324"/>
      <c r="I69" s="799"/>
      <c r="J69" s="273"/>
      <c r="K69" s="799"/>
      <c r="L69" s="273"/>
      <c r="M69" s="799"/>
      <c r="N69" s="273"/>
      <c r="O69" s="812"/>
    </row>
    <row r="70" spans="1:17" s="317" customFormat="1" ht="9.9499999999999993" customHeight="1" x14ac:dyDescent="0.2">
      <c r="A70" s="577" t="s">
        <v>380</v>
      </c>
      <c r="B70" s="489"/>
      <c r="C70" s="495">
        <f>SORECPF!C29</f>
        <v>12121</v>
      </c>
      <c r="D70" s="489"/>
      <c r="E70" s="495">
        <f>SORECPF!E29</f>
        <v>12527</v>
      </c>
      <c r="F70" s="489"/>
      <c r="G70" s="810"/>
      <c r="H70" s="324"/>
      <c r="I70" s="489"/>
      <c r="J70" s="339">
        <f>SUM('Nonmajor Ent CF'!K58)</f>
        <v>-6326</v>
      </c>
      <c r="K70" s="489"/>
      <c r="L70" s="339">
        <f t="shared" ref="L70:L102" si="1">E70+H70+C70+J70</f>
        <v>18322</v>
      </c>
      <c r="M70" s="489"/>
      <c r="N70" s="339">
        <f>SUM('ISF-CASH FLOW'!O57)</f>
        <v>-29962</v>
      </c>
      <c r="O70" s="482"/>
    </row>
    <row r="71" spans="1:17" s="317" customFormat="1" ht="9.9499999999999993" customHeight="1" x14ac:dyDescent="0.2">
      <c r="A71" s="480" t="s">
        <v>1104</v>
      </c>
      <c r="B71" s="489"/>
      <c r="C71" s="324"/>
      <c r="D71" s="489"/>
      <c r="E71" s="324"/>
      <c r="F71" s="489"/>
      <c r="G71" s="810"/>
      <c r="H71" s="324"/>
      <c r="I71" s="489"/>
      <c r="J71" s="273"/>
      <c r="K71" s="489"/>
      <c r="L71" s="273">
        <f t="shared" si="1"/>
        <v>0</v>
      </c>
      <c r="M71" s="489"/>
      <c r="N71" s="273">
        <f>SUM('ISF-CASH FLOW'!O58)</f>
        <v>0</v>
      </c>
      <c r="O71" s="482"/>
      <c r="P71" s="317">
        <f>13608-13410</f>
        <v>198</v>
      </c>
    </row>
    <row r="72" spans="1:17" s="317" customFormat="1" ht="9.9499999999999993" customHeight="1" x14ac:dyDescent="0.2">
      <c r="A72" s="701" t="s">
        <v>1696</v>
      </c>
      <c r="B72" s="489"/>
      <c r="C72" s="324"/>
      <c r="D72" s="489"/>
      <c r="E72" s="324"/>
      <c r="F72" s="489"/>
      <c r="G72" s="810"/>
      <c r="H72" s="324"/>
      <c r="I72" s="489"/>
      <c r="J72" s="273"/>
      <c r="K72" s="489"/>
      <c r="L72" s="273">
        <f t="shared" si="1"/>
        <v>0</v>
      </c>
      <c r="M72" s="489"/>
      <c r="N72" s="273">
        <f>SUM('ISF-CASH FLOW'!O59)</f>
        <v>0</v>
      </c>
      <c r="O72" s="482"/>
    </row>
    <row r="73" spans="1:17" s="317" customFormat="1" ht="9.9499999999999993" customHeight="1" x14ac:dyDescent="0.2">
      <c r="A73" s="703" t="s">
        <v>378</v>
      </c>
      <c r="B73" s="489"/>
      <c r="C73" s="804">
        <v>42529</v>
      </c>
      <c r="D73" s="1424"/>
      <c r="E73" s="1414">
        <v>2572</v>
      </c>
      <c r="F73" s="1424"/>
      <c r="G73" s="1517"/>
      <c r="H73" s="1423"/>
      <c r="I73" s="1424"/>
      <c r="J73" s="1414">
        <f>SUM('Nonmajor Ent CF'!K61)</f>
        <v>4653</v>
      </c>
      <c r="K73" s="1424"/>
      <c r="L73" s="273">
        <f t="shared" si="1"/>
        <v>49754</v>
      </c>
      <c r="M73" s="1424"/>
      <c r="N73" s="1414">
        <f>SUM('ISF-CASH FLOW'!O60)</f>
        <v>37582</v>
      </c>
      <c r="O73" s="482"/>
    </row>
    <row r="74" spans="1:17" s="317" customFormat="1" ht="9.9499999999999993" customHeight="1" x14ac:dyDescent="0.2">
      <c r="A74" s="703" t="s">
        <v>389</v>
      </c>
      <c r="B74" s="489"/>
      <c r="C74" s="804">
        <v>1186</v>
      </c>
      <c r="D74" s="1424"/>
      <c r="E74" s="1423">
        <v>435</v>
      </c>
      <c r="F74" s="1424"/>
      <c r="G74" s="1517"/>
      <c r="H74" s="1423"/>
      <c r="I74" s="1424"/>
      <c r="J74" s="1414">
        <f>SUM('Nonmajor Ent CF'!K62)</f>
        <v>13</v>
      </c>
      <c r="K74" s="1424"/>
      <c r="L74" s="273">
        <f t="shared" si="1"/>
        <v>1634</v>
      </c>
      <c r="M74" s="1424"/>
      <c r="N74" s="1414">
        <f>SUM('ISF-CASH FLOW'!O61)</f>
        <v>21632</v>
      </c>
      <c r="O74" s="482"/>
    </row>
    <row r="75" spans="1:17" s="317" customFormat="1" ht="9.9499999999999993" customHeight="1" x14ac:dyDescent="0.2">
      <c r="A75" s="703" t="s">
        <v>1787</v>
      </c>
      <c r="B75" s="489"/>
      <c r="C75" s="804"/>
      <c r="D75" s="1424"/>
      <c r="E75" s="1423"/>
      <c r="F75" s="1424"/>
      <c r="G75" s="1517"/>
      <c r="H75" s="1423"/>
      <c r="I75" s="1424"/>
      <c r="J75" s="1414"/>
      <c r="K75" s="1424"/>
      <c r="L75" s="273"/>
      <c r="M75" s="1424"/>
      <c r="N75" s="1414">
        <f>SUM('ISF-CASH FLOW'!O62)</f>
        <v>-24</v>
      </c>
      <c r="O75" s="482"/>
    </row>
    <row r="76" spans="1:17" s="317" customFormat="1" ht="9.9499999999999993" customHeight="1" x14ac:dyDescent="0.2">
      <c r="A76" s="702" t="s">
        <v>1336</v>
      </c>
      <c r="B76" s="489"/>
      <c r="C76" s="804"/>
      <c r="D76" s="1424"/>
      <c r="E76" s="1423"/>
      <c r="F76" s="1424"/>
      <c r="G76" s="1517"/>
      <c r="H76" s="1423"/>
      <c r="I76" s="1424"/>
      <c r="J76" s="273">
        <f>SUM('Nonmajor Ent CF'!K63)</f>
        <v>0</v>
      </c>
      <c r="K76" s="1424"/>
      <c r="L76" s="273">
        <f t="shared" si="1"/>
        <v>0</v>
      </c>
      <c r="M76" s="1424"/>
      <c r="N76" s="1414"/>
      <c r="O76" s="482"/>
    </row>
    <row r="77" spans="1:17" s="317" customFormat="1" ht="9.9499999999999993" customHeight="1" x14ac:dyDescent="0.2">
      <c r="A77" s="702" t="s">
        <v>1331</v>
      </c>
      <c r="B77" s="489"/>
      <c r="C77" s="804"/>
      <c r="D77" s="1424"/>
      <c r="E77" s="1423"/>
      <c r="F77" s="1424"/>
      <c r="G77" s="1517"/>
      <c r="H77" s="1423"/>
      <c r="I77" s="1424"/>
      <c r="J77" s="1414"/>
      <c r="K77" s="1424"/>
      <c r="L77" s="273">
        <f t="shared" si="1"/>
        <v>0</v>
      </c>
      <c r="M77" s="1424"/>
      <c r="N77" s="1414"/>
      <c r="O77" s="482"/>
    </row>
    <row r="78" spans="1:17" s="317" customFormat="1" ht="9.9499999999999993" customHeight="1" x14ac:dyDescent="0.2">
      <c r="A78" s="704" t="s">
        <v>479</v>
      </c>
      <c r="B78" s="489"/>
      <c r="C78" s="804">
        <v>-6837</v>
      </c>
      <c r="D78" s="1424"/>
      <c r="E78" s="1423">
        <v>-2254</v>
      </c>
      <c r="F78" s="1424"/>
      <c r="G78" s="1517"/>
      <c r="H78" s="1423"/>
      <c r="I78" s="1424"/>
      <c r="J78" s="1414">
        <f>SUM('Nonmajor Ent CF'!K65)</f>
        <v>60</v>
      </c>
      <c r="K78" s="1424"/>
      <c r="L78" s="273">
        <f t="shared" si="1"/>
        <v>-9031</v>
      </c>
      <c r="M78" s="1424"/>
      <c r="N78" s="1414">
        <f>SUM('ISF-CASH FLOW'!O65)</f>
        <v>86</v>
      </c>
      <c r="O78" s="482"/>
      <c r="P78" s="1138"/>
      <c r="Q78" s="450"/>
    </row>
    <row r="79" spans="1:17" s="317" customFormat="1" ht="9.9499999999999993" customHeight="1" x14ac:dyDescent="0.2">
      <c r="A79" s="704" t="s">
        <v>1776</v>
      </c>
      <c r="B79" s="489"/>
      <c r="C79" s="804">
        <v>12136</v>
      </c>
      <c r="D79" s="1424"/>
      <c r="E79" s="1423">
        <v>124</v>
      </c>
      <c r="F79" s="1424"/>
      <c r="G79" s="1517"/>
      <c r="H79" s="1423"/>
      <c r="I79" s="1424"/>
      <c r="J79" s="1414">
        <f>SUM('Nonmajor Ent CF'!K66)</f>
        <v>5081</v>
      </c>
      <c r="K79" s="1424"/>
      <c r="L79" s="273">
        <f t="shared" si="1"/>
        <v>17341</v>
      </c>
      <c r="M79" s="1424"/>
      <c r="N79" s="1414">
        <f>SUM('ISF-CASH FLOW'!O66)</f>
        <v>274</v>
      </c>
      <c r="O79" s="482"/>
      <c r="P79" s="1138"/>
      <c r="Q79" s="450"/>
    </row>
    <row r="80" spans="1:17" s="317" customFormat="1" ht="9.9499999999999993" customHeight="1" x14ac:dyDescent="0.2">
      <c r="A80" s="704" t="s">
        <v>1766</v>
      </c>
      <c r="B80" s="489"/>
      <c r="C80" s="804">
        <v>25</v>
      </c>
      <c r="D80" s="1424"/>
      <c r="E80" s="1423"/>
      <c r="F80" s="1424"/>
      <c r="G80" s="1517"/>
      <c r="H80" s="1423"/>
      <c r="I80" s="1424"/>
      <c r="J80" s="273">
        <f>SUM('Nonmajor Ent CF'!K67)</f>
        <v>0</v>
      </c>
      <c r="K80" s="1424"/>
      <c r="L80" s="273">
        <f t="shared" si="1"/>
        <v>25</v>
      </c>
      <c r="M80" s="1424"/>
      <c r="N80" s="1414">
        <f>SUM('ISF-CASH FLOW'!O67)</f>
        <v>-75</v>
      </c>
      <c r="O80" s="482"/>
      <c r="P80" s="1138">
        <v>631</v>
      </c>
      <c r="Q80" s="450"/>
    </row>
    <row r="81" spans="1:17" s="317" customFormat="1" ht="9.9499999999999993" customHeight="1" x14ac:dyDescent="0.2">
      <c r="A81" s="704" t="s">
        <v>1447</v>
      </c>
      <c r="B81" s="489"/>
      <c r="C81" s="804">
        <v>8</v>
      </c>
      <c r="D81" s="1424"/>
      <c r="E81" s="1423">
        <v>-21</v>
      </c>
      <c r="F81" s="1424"/>
      <c r="G81" s="1517"/>
      <c r="H81" s="1423"/>
      <c r="I81" s="1424"/>
      <c r="J81" s="1414">
        <f>SUM('Nonmajor Ent CF'!K68)</f>
        <v>-56</v>
      </c>
      <c r="K81" s="1424"/>
      <c r="L81" s="273">
        <f t="shared" si="1"/>
        <v>-69</v>
      </c>
      <c r="M81" s="1424"/>
      <c r="N81" s="1414">
        <f>SUM('ISF-CASH FLOW'!O68)</f>
        <v>544</v>
      </c>
      <c r="O81" s="482"/>
      <c r="P81" s="1138">
        <v>7193</v>
      </c>
      <c r="Q81" s="450"/>
    </row>
    <row r="82" spans="1:17" s="317" customFormat="1" ht="9.9499999999999993" customHeight="1" x14ac:dyDescent="0.2">
      <c r="A82" s="704" t="s">
        <v>1736</v>
      </c>
      <c r="B82" s="489"/>
      <c r="C82" s="804"/>
      <c r="D82" s="1424"/>
      <c r="E82" s="1423"/>
      <c r="F82" s="1424"/>
      <c r="G82" s="1517"/>
      <c r="H82" s="1423"/>
      <c r="I82" s="1424"/>
      <c r="J82" s="1414">
        <f>SUM('Nonmajor Ent CF'!K69)</f>
        <v>378</v>
      </c>
      <c r="K82" s="1424"/>
      <c r="L82" s="273">
        <f t="shared" si="1"/>
        <v>378</v>
      </c>
      <c r="M82" s="1424"/>
      <c r="N82" s="1414">
        <f>SUM('ISF-CASH FLOW'!O69)</f>
        <v>194</v>
      </c>
      <c r="O82" s="482"/>
      <c r="P82" s="1138"/>
      <c r="Q82" s="450"/>
    </row>
    <row r="83" spans="1:17" s="317" customFormat="1" ht="9.9499999999999993" hidden="1" customHeight="1" x14ac:dyDescent="0.2">
      <c r="A83" s="704" t="s">
        <v>1667</v>
      </c>
      <c r="B83" s="489"/>
      <c r="C83" s="804"/>
      <c r="D83" s="1424"/>
      <c r="E83" s="1423"/>
      <c r="F83" s="1424"/>
      <c r="G83" s="1517"/>
      <c r="H83" s="1423"/>
      <c r="I83" s="1424"/>
      <c r="J83" s="1414"/>
      <c r="K83" s="1424"/>
      <c r="L83" s="273">
        <f t="shared" si="1"/>
        <v>0</v>
      </c>
      <c r="M83" s="1424"/>
      <c r="N83" s="273">
        <f>SUM('ISF-CASH FLOW'!O70)</f>
        <v>0</v>
      </c>
      <c r="O83" s="482"/>
      <c r="P83" s="1138"/>
      <c r="Q83" s="450"/>
    </row>
    <row r="84" spans="1:17" s="317" customFormat="1" ht="9.9499999999999993" customHeight="1" x14ac:dyDescent="0.2">
      <c r="A84" s="704" t="s">
        <v>1737</v>
      </c>
      <c r="B84" s="489"/>
      <c r="C84" s="804">
        <v>2358</v>
      </c>
      <c r="D84" s="1424"/>
      <c r="E84" s="1423">
        <v>996</v>
      </c>
      <c r="F84" s="1424"/>
      <c r="G84" s="1517"/>
      <c r="H84" s="1423"/>
      <c r="I84" s="1424"/>
      <c r="J84" s="1414">
        <f>SUM('Nonmajor Ent CF'!K71)</f>
        <v>96</v>
      </c>
      <c r="K84" s="1424"/>
      <c r="L84" s="273">
        <f t="shared" si="1"/>
        <v>3450</v>
      </c>
      <c r="M84" s="1424"/>
      <c r="N84" s="1414">
        <f>SUM('ISF-CASH FLOW'!O71)</f>
        <v>3575</v>
      </c>
      <c r="O84" s="482"/>
      <c r="P84" s="1138"/>
      <c r="Q84" s="450"/>
    </row>
    <row r="85" spans="1:17" s="317" customFormat="1" ht="9.9499999999999993" customHeight="1" x14ac:dyDescent="0.2">
      <c r="A85" s="704" t="s">
        <v>1548</v>
      </c>
      <c r="B85" s="489"/>
      <c r="C85" s="804"/>
      <c r="D85" s="1424"/>
      <c r="E85" s="1423"/>
      <c r="F85" s="1424"/>
      <c r="G85" s="1517"/>
      <c r="H85" s="1423"/>
      <c r="I85" s="1424"/>
      <c r="J85" s="273">
        <f>SUM('Nonmajor Ent CF'!K72)</f>
        <v>0</v>
      </c>
      <c r="K85" s="1424"/>
      <c r="L85" s="273">
        <f t="shared" si="1"/>
        <v>0</v>
      </c>
      <c r="M85" s="1424"/>
      <c r="N85" s="1414">
        <f>SUM('ISF-CASH FLOW'!O72)</f>
        <v>6629</v>
      </c>
      <c r="O85" s="482"/>
      <c r="P85" s="1138"/>
      <c r="Q85" s="450"/>
    </row>
    <row r="86" spans="1:17" s="317" customFormat="1" ht="9.9499999999999993" customHeight="1" x14ac:dyDescent="0.2">
      <c r="A86" s="704" t="s">
        <v>635</v>
      </c>
      <c r="B86" s="489"/>
      <c r="C86" s="804">
        <v>583</v>
      </c>
      <c r="D86" s="1424"/>
      <c r="E86" s="1423">
        <v>719</v>
      </c>
      <c r="F86" s="1424"/>
      <c r="G86" s="1517"/>
      <c r="H86" s="1423"/>
      <c r="I86" s="1424"/>
      <c r="J86" s="1414">
        <f>SUM('Nonmajor Ent CF'!K73)</f>
        <v>-688</v>
      </c>
      <c r="K86" s="1424"/>
      <c r="L86" s="273">
        <f t="shared" si="1"/>
        <v>614</v>
      </c>
      <c r="M86" s="1424"/>
      <c r="N86" s="1414">
        <f>SUM('ISF-CASH FLOW'!O73)</f>
        <v>-638</v>
      </c>
      <c r="O86" s="482"/>
      <c r="P86" s="1138"/>
      <c r="Q86" s="450"/>
    </row>
    <row r="87" spans="1:17" s="317" customFormat="1" ht="9.9499999999999993" customHeight="1" x14ac:dyDescent="0.2">
      <c r="A87" s="704" t="s">
        <v>1668</v>
      </c>
      <c r="B87" s="489"/>
      <c r="C87" s="804">
        <v>182</v>
      </c>
      <c r="D87" s="1424"/>
      <c r="E87" s="1423">
        <v>214</v>
      </c>
      <c r="F87" s="1424"/>
      <c r="G87" s="1517"/>
      <c r="H87" s="1423"/>
      <c r="I87" s="1424"/>
      <c r="J87" s="1414">
        <f>SUM('Nonmajor Ent CF'!K74)</f>
        <v>164</v>
      </c>
      <c r="K87" s="1424"/>
      <c r="L87" s="273">
        <f t="shared" si="1"/>
        <v>560</v>
      </c>
      <c r="M87" s="1424"/>
      <c r="N87" s="1414">
        <f>SUM('ISF-CASH FLOW'!O74)</f>
        <v>540</v>
      </c>
      <c r="O87" s="482"/>
      <c r="P87" s="1138"/>
      <c r="Q87" s="450"/>
    </row>
    <row r="88" spans="1:17" s="317" customFormat="1" ht="9.9499999999999993" customHeight="1" x14ac:dyDescent="0.2">
      <c r="A88" s="704" t="s">
        <v>1738</v>
      </c>
      <c r="B88" s="489"/>
      <c r="C88" s="804">
        <v>325</v>
      </c>
      <c r="D88" s="1424"/>
      <c r="E88" s="1423">
        <v>-43</v>
      </c>
      <c r="F88" s="1424"/>
      <c r="G88" s="1517"/>
      <c r="H88" s="1423"/>
      <c r="I88" s="1424"/>
      <c r="J88" s="1414">
        <f>SUM('Nonmajor Ent CF'!K75)</f>
        <v>158</v>
      </c>
      <c r="K88" s="1424"/>
      <c r="L88" s="273">
        <f t="shared" si="1"/>
        <v>440</v>
      </c>
      <c r="M88" s="1424"/>
      <c r="N88" s="1414">
        <f>SUM('ISF-CASH FLOW'!O75)</f>
        <v>317</v>
      </c>
      <c r="O88" s="482"/>
      <c r="P88" s="1138"/>
      <c r="Q88" s="450"/>
    </row>
    <row r="89" spans="1:17" s="317" customFormat="1" ht="9.9499999999999993" customHeight="1" x14ac:dyDescent="0.2">
      <c r="A89" s="704" t="s">
        <v>726</v>
      </c>
      <c r="B89" s="489"/>
      <c r="C89" s="804"/>
      <c r="D89" s="1424"/>
      <c r="E89" s="1423">
        <v>-81</v>
      </c>
      <c r="F89" s="1424"/>
      <c r="G89" s="1517"/>
      <c r="H89" s="1423"/>
      <c r="I89" s="1424"/>
      <c r="J89" s="273">
        <f>SUM('Nonmajor Ent CF'!K76)</f>
        <v>0</v>
      </c>
      <c r="K89" s="1424"/>
      <c r="L89" s="273">
        <f t="shared" si="1"/>
        <v>-81</v>
      </c>
      <c r="M89" s="1424"/>
      <c r="N89" s="273">
        <f>SUM('ISF-CASH FLOW'!O76)</f>
        <v>0</v>
      </c>
      <c r="O89" s="482"/>
      <c r="P89" s="1138"/>
      <c r="Q89" s="450"/>
    </row>
    <row r="90" spans="1:17" s="317" customFormat="1" ht="9.9499999999999993" customHeight="1" x14ac:dyDescent="0.2">
      <c r="A90" s="704" t="s">
        <v>1739</v>
      </c>
      <c r="B90" s="489"/>
      <c r="C90" s="804">
        <v>-5804</v>
      </c>
      <c r="D90" s="1424"/>
      <c r="E90" s="1423">
        <v>-11458</v>
      </c>
      <c r="F90" s="1424"/>
      <c r="G90" s="1517"/>
      <c r="H90" s="1423"/>
      <c r="I90" s="1424"/>
      <c r="J90" s="1414">
        <f>SUM('Nonmajor Ent CF'!K77)</f>
        <v>-4842</v>
      </c>
      <c r="K90" s="1424"/>
      <c r="L90" s="273">
        <f t="shared" si="1"/>
        <v>-22104</v>
      </c>
      <c r="M90" s="1424"/>
      <c r="N90" s="1414">
        <f>SUM('ISF-CASH FLOW'!O77)</f>
        <v>-8277</v>
      </c>
      <c r="O90" s="482"/>
      <c r="P90" s="1138"/>
      <c r="Q90" s="450"/>
    </row>
    <row r="91" spans="1:17" s="317" customFormat="1" ht="9.9499999999999993" customHeight="1" x14ac:dyDescent="0.2">
      <c r="A91" s="704" t="s">
        <v>1554</v>
      </c>
      <c r="B91" s="489"/>
      <c r="C91" s="804"/>
      <c r="D91" s="1424"/>
      <c r="E91" s="1423"/>
      <c r="F91" s="1424"/>
      <c r="G91" s="1517"/>
      <c r="H91" s="1423"/>
      <c r="I91" s="1424"/>
      <c r="J91" s="273">
        <f>SUM('Nonmajor Ent CF'!K78)</f>
        <v>0</v>
      </c>
      <c r="K91" s="1424"/>
      <c r="L91" s="273">
        <f t="shared" si="1"/>
        <v>0</v>
      </c>
      <c r="M91" s="1424"/>
      <c r="N91" s="1414">
        <f>SUM('ISF-CASH FLOW'!O78)</f>
        <v>-17</v>
      </c>
      <c r="O91" s="482"/>
      <c r="P91" s="1138"/>
      <c r="Q91" s="450"/>
    </row>
    <row r="92" spans="1:17" s="317" customFormat="1" ht="9.9499999999999993" customHeight="1" x14ac:dyDescent="0.2">
      <c r="A92" s="704" t="s">
        <v>1555</v>
      </c>
      <c r="B92" s="489"/>
      <c r="C92" s="804">
        <v>48</v>
      </c>
      <c r="D92" s="1424"/>
      <c r="E92" s="1423"/>
      <c r="F92" s="1424"/>
      <c r="G92" s="1517"/>
      <c r="H92" s="1423"/>
      <c r="I92" s="1424"/>
      <c r="J92" s="273">
        <f>SUM('Nonmajor Ent CF'!K79)</f>
        <v>0</v>
      </c>
      <c r="K92" s="1424"/>
      <c r="L92" s="273">
        <f t="shared" si="1"/>
        <v>48</v>
      </c>
      <c r="M92" s="1424"/>
      <c r="N92" s="273">
        <f>SUM('ISF-CASH FLOW'!O79)</f>
        <v>0</v>
      </c>
      <c r="O92" s="482"/>
      <c r="P92" s="1138"/>
      <c r="Q92" s="450"/>
    </row>
    <row r="93" spans="1:17" s="317" customFormat="1" ht="9.9499999999999993" hidden="1" customHeight="1" x14ac:dyDescent="0.2">
      <c r="A93" s="704" t="s">
        <v>1594</v>
      </c>
      <c r="B93" s="489"/>
      <c r="C93" s="1523"/>
      <c r="D93" s="1515"/>
      <c r="E93" s="1514"/>
      <c r="F93" s="1515"/>
      <c r="G93" s="1518"/>
      <c r="H93" s="1514"/>
      <c r="I93" s="1515"/>
      <c r="J93" s="273"/>
      <c r="L93" s="273">
        <f t="shared" si="1"/>
        <v>0</v>
      </c>
      <c r="M93" s="1515"/>
      <c r="N93" s="273">
        <f>SUM('ISF-CASH FLOW'!O80)</f>
        <v>0</v>
      </c>
      <c r="O93" s="482"/>
      <c r="P93" s="1138"/>
      <c r="Q93" s="450"/>
    </row>
    <row r="94" spans="1:17" s="317" customFormat="1" ht="9.9499999999999993" hidden="1" customHeight="1" x14ac:dyDescent="0.2">
      <c r="A94" s="706" t="s">
        <v>1491</v>
      </c>
      <c r="B94" s="489"/>
      <c r="C94" s="1523"/>
      <c r="D94" s="1515"/>
      <c r="E94" s="1514"/>
      <c r="F94" s="1515"/>
      <c r="G94" s="1518"/>
      <c r="H94" s="1514"/>
      <c r="I94" s="1515"/>
      <c r="J94" s="273"/>
      <c r="K94" s="1515"/>
      <c r="L94" s="273">
        <f t="shared" si="1"/>
        <v>0</v>
      </c>
      <c r="M94" s="1515"/>
      <c r="N94" s="273"/>
      <c r="O94" s="482"/>
      <c r="P94" s="1138"/>
      <c r="Q94" s="450"/>
    </row>
    <row r="95" spans="1:17" s="317" customFormat="1" ht="9.9499999999999993" hidden="1" customHeight="1" x14ac:dyDescent="0.2">
      <c r="A95" s="704" t="s">
        <v>1740</v>
      </c>
      <c r="B95" s="489"/>
      <c r="C95" s="1523"/>
      <c r="D95" s="1515"/>
      <c r="E95" s="1514"/>
      <c r="F95" s="1515"/>
      <c r="G95" s="1518"/>
      <c r="H95" s="1514"/>
      <c r="I95" s="1515"/>
      <c r="J95" s="273"/>
      <c r="L95" s="273">
        <f t="shared" si="1"/>
        <v>0</v>
      </c>
      <c r="M95" s="1515"/>
      <c r="N95" s="1414"/>
      <c r="O95" s="482"/>
      <c r="P95" s="1138"/>
      <c r="Q95" s="450"/>
    </row>
    <row r="96" spans="1:17" s="317" customFormat="1" ht="9.9499999999999993" customHeight="1" x14ac:dyDescent="0.2">
      <c r="A96" s="704" t="s">
        <v>1594</v>
      </c>
      <c r="B96" s="489"/>
      <c r="C96" s="804"/>
      <c r="D96" s="1423"/>
      <c r="E96" s="1423"/>
      <c r="F96" s="1423"/>
      <c r="G96" s="1423"/>
      <c r="H96" s="1423"/>
      <c r="I96" s="1423"/>
      <c r="J96" s="273">
        <f>SUM('Nonmajor Ent CF'!K82)</f>
        <v>0</v>
      </c>
      <c r="K96" s="1423"/>
      <c r="L96" s="273">
        <f t="shared" si="1"/>
        <v>0</v>
      </c>
      <c r="M96" s="1423"/>
      <c r="O96" s="482"/>
      <c r="P96" s="1138"/>
      <c r="Q96" s="450"/>
    </row>
    <row r="97" spans="1:17" s="317" customFormat="1" ht="9.9499999999999993" customHeight="1" x14ac:dyDescent="0.2">
      <c r="A97" s="706" t="s">
        <v>1490</v>
      </c>
      <c r="B97" s="489"/>
      <c r="C97" s="804">
        <v>5423</v>
      </c>
      <c r="D97" s="1423"/>
      <c r="E97" s="1423">
        <v>7013</v>
      </c>
      <c r="F97" s="1423"/>
      <c r="G97" s="1423"/>
      <c r="H97" s="1423"/>
      <c r="I97" s="1423"/>
      <c r="J97" s="1414">
        <f>SUM('Nonmajor Ent CF'!K80)</f>
        <v>4452</v>
      </c>
      <c r="K97" s="1423"/>
      <c r="L97" s="273">
        <f t="shared" si="1"/>
        <v>16888</v>
      </c>
      <c r="M97" s="1423"/>
      <c r="N97" s="1414">
        <f>'ISF-CASH FLOW'!O81</f>
        <v>11794</v>
      </c>
      <c r="O97" s="482"/>
      <c r="P97" s="1138"/>
      <c r="Q97" s="450"/>
    </row>
    <row r="98" spans="1:17" s="317" customFormat="1" ht="9.9499999999999993" customHeight="1" x14ac:dyDescent="0.2">
      <c r="A98" s="704" t="s">
        <v>1550</v>
      </c>
      <c r="B98" s="489"/>
      <c r="C98" s="1523">
        <v>-15245</v>
      </c>
      <c r="D98" s="1515"/>
      <c r="E98" s="1514"/>
      <c r="F98" s="1515"/>
      <c r="G98" s="1518"/>
      <c r="H98" s="1514"/>
      <c r="I98" s="1515"/>
      <c r="J98" s="1414">
        <f>SUM('Nonmajor Ent CF'!K81)</f>
        <v>-5475</v>
      </c>
      <c r="K98" s="1515"/>
      <c r="L98" s="273">
        <f t="shared" si="1"/>
        <v>-20720</v>
      </c>
      <c r="M98" s="1515"/>
      <c r="N98" s="1414">
        <f>'ISF-CASH FLOW'!O82</f>
        <v>-2085</v>
      </c>
      <c r="O98" s="482"/>
      <c r="P98" s="1138"/>
      <c r="Q98" s="450"/>
    </row>
    <row r="99" spans="1:17" s="317" customFormat="1" ht="9.9499999999999993" customHeight="1" x14ac:dyDescent="0.2">
      <c r="A99" s="704" t="s">
        <v>1550</v>
      </c>
      <c r="B99" s="489"/>
      <c r="C99" s="804"/>
      <c r="D99" s="1424"/>
      <c r="E99" s="1423"/>
      <c r="F99" s="1424"/>
      <c r="G99" s="1517"/>
      <c r="H99" s="1423"/>
      <c r="I99" s="1424"/>
      <c r="J99" s="273">
        <f>SUM('Nonmajor Ent CF'!K84)</f>
        <v>0</v>
      </c>
      <c r="K99" s="1424"/>
      <c r="L99" s="273">
        <f t="shared" si="1"/>
        <v>0</v>
      </c>
      <c r="M99" s="1424"/>
      <c r="N99" s="1414"/>
      <c r="O99" s="482"/>
      <c r="P99" s="1138"/>
      <c r="Q99" s="450"/>
    </row>
    <row r="100" spans="1:17" s="317" customFormat="1" ht="9.9499999999999993" customHeight="1" x14ac:dyDescent="0.2">
      <c r="A100" s="706" t="s">
        <v>1492</v>
      </c>
      <c r="B100" s="489"/>
      <c r="C100" s="804"/>
      <c r="D100" s="1424"/>
      <c r="E100" s="1423">
        <v>-1133</v>
      </c>
      <c r="F100" s="1424"/>
      <c r="G100" s="1517"/>
      <c r="H100" s="1423"/>
      <c r="I100" s="1424"/>
      <c r="J100" s="273">
        <f>SUM('Nonmajor Ent CF'!K85)</f>
        <v>0</v>
      </c>
      <c r="K100" s="1424"/>
      <c r="L100" s="273">
        <f t="shared" si="1"/>
        <v>-1133</v>
      </c>
      <c r="M100" s="1424"/>
      <c r="N100" s="273">
        <f>SUM('ISF-CASH FLOW'!O85)</f>
        <v>0</v>
      </c>
      <c r="O100" s="482"/>
      <c r="P100" s="1138"/>
      <c r="Q100" s="450"/>
    </row>
    <row r="101" spans="1:17" s="317" customFormat="1" ht="9.9499999999999993" customHeight="1" x14ac:dyDescent="0.2">
      <c r="A101" s="704" t="s">
        <v>1741</v>
      </c>
      <c r="B101" s="489"/>
      <c r="C101" s="804">
        <v>1185</v>
      </c>
      <c r="D101" s="1424"/>
      <c r="E101" s="1423">
        <v>-59</v>
      </c>
      <c r="F101" s="1424"/>
      <c r="G101" s="1517"/>
      <c r="H101" s="1519"/>
      <c r="I101" s="1424"/>
      <c r="J101" s="1414">
        <f>SUM('Nonmajor Ent CF'!K86)</f>
        <v>-9</v>
      </c>
      <c r="K101" s="1424"/>
      <c r="L101" s="273">
        <f t="shared" si="1"/>
        <v>1117</v>
      </c>
      <c r="M101" s="1424"/>
      <c r="N101" s="273">
        <f>'ISF-CASH FLOW'!O87</f>
        <v>20</v>
      </c>
      <c r="O101" s="482"/>
      <c r="P101" s="1138"/>
      <c r="Q101" s="450"/>
    </row>
    <row r="102" spans="1:17" s="317" customFormat="1" ht="9.9499999999999993" hidden="1" customHeight="1" x14ac:dyDescent="0.2">
      <c r="A102" s="427" t="s">
        <v>1742</v>
      </c>
      <c r="B102" s="489"/>
      <c r="C102" s="1519"/>
      <c r="D102" s="1424"/>
      <c r="E102" s="1519"/>
      <c r="F102" s="1424"/>
      <c r="G102" s="1517"/>
      <c r="H102" s="1423"/>
      <c r="I102" s="1424"/>
      <c r="J102" s="273">
        <f>SUM('Nonmajor Ent CF'!K87)</f>
        <v>0</v>
      </c>
      <c r="K102" s="1424"/>
      <c r="L102" s="273">
        <f t="shared" si="1"/>
        <v>0</v>
      </c>
      <c r="M102" s="1424"/>
      <c r="N102" s="273">
        <f>'ISF-CASH FLOW'!O88</f>
        <v>0</v>
      </c>
      <c r="O102" s="482"/>
      <c r="P102" s="1138"/>
      <c r="Q102" s="450"/>
    </row>
    <row r="103" spans="1:17" s="317" customFormat="1" ht="5.0999999999999996" customHeight="1" x14ac:dyDescent="0.2">
      <c r="A103" s="482"/>
      <c r="C103" s="590"/>
      <c r="E103" s="590"/>
      <c r="G103" s="491"/>
      <c r="H103" s="323"/>
      <c r="J103" s="366"/>
      <c r="L103" s="366"/>
      <c r="N103" s="366"/>
    </row>
    <row r="104" spans="1:17" s="323" customFormat="1" ht="9.9499999999999993" customHeight="1" thickBot="1" x14ac:dyDescent="0.25">
      <c r="A104" s="353" t="s">
        <v>1442</v>
      </c>
      <c r="B104" s="801"/>
      <c r="C104" s="344">
        <f>SUM(C70:C102)</f>
        <v>50223</v>
      </c>
      <c r="D104" s="801"/>
      <c r="E104" s="344">
        <f>SUM(E70:E101)</f>
        <v>9551</v>
      </c>
      <c r="F104" s="801"/>
      <c r="G104" s="821" t="s">
        <v>1035</v>
      </c>
      <c r="H104" s="822">
        <f>SUM(H70:H101)</f>
        <v>0</v>
      </c>
      <c r="I104" s="801"/>
      <c r="J104" s="344">
        <f>SUM(J70:J102)</f>
        <v>-2341</v>
      </c>
      <c r="K104" s="801"/>
      <c r="L104" s="344">
        <f>SUM(L70:L102)</f>
        <v>57433</v>
      </c>
      <c r="M104" s="801"/>
      <c r="N104" s="344">
        <f>SUM(N70:N102)</f>
        <v>42109</v>
      </c>
      <c r="O104" s="801"/>
    </row>
    <row r="105" spans="1:17" s="317" customFormat="1" ht="5.0999999999999996" customHeight="1" thickTop="1" x14ac:dyDescent="0.2">
      <c r="A105" s="482"/>
      <c r="G105" s="481"/>
      <c r="J105" s="253"/>
      <c r="L105" s="253"/>
      <c r="N105" s="253"/>
    </row>
    <row r="106" spans="1:17" s="317" customFormat="1" ht="9.9499999999999993" customHeight="1" x14ac:dyDescent="0.2">
      <c r="A106" s="480" t="s">
        <v>1712</v>
      </c>
      <c r="B106" s="787"/>
      <c r="C106" s="1419"/>
      <c r="D106" s="1419"/>
      <c r="E106" s="1419"/>
      <c r="F106" s="1419"/>
      <c r="G106" s="1419"/>
      <c r="H106" s="1419"/>
      <c r="I106" s="1419"/>
      <c r="J106" s="1419"/>
      <c r="K106" s="1419"/>
      <c r="L106" s="1419"/>
      <c r="M106" s="1419"/>
      <c r="N106" s="1419"/>
      <c r="O106" s="787"/>
    </row>
    <row r="107" spans="1:17" s="317" customFormat="1" ht="9.9499999999999993" customHeight="1" x14ac:dyDescent="0.2">
      <c r="A107" s="577" t="s">
        <v>1711</v>
      </c>
      <c r="B107" s="482"/>
      <c r="C107" s="495">
        <v>11570</v>
      </c>
      <c r="D107" s="482"/>
      <c r="E107" s="495">
        <v>51</v>
      </c>
      <c r="F107" s="482"/>
      <c r="G107" s="481"/>
      <c r="I107" s="482"/>
      <c r="J107" s="339">
        <f>'Nonmajor Ent CF'!K92</f>
        <v>13</v>
      </c>
      <c r="K107" s="482"/>
      <c r="L107" s="339">
        <f>+J107+E107+C107</f>
        <v>11634</v>
      </c>
      <c r="M107" s="482"/>
      <c r="N107" s="339">
        <f>'ISF-CASH FLOW'!O93</f>
        <v>40</v>
      </c>
      <c r="O107" s="482"/>
    </row>
    <row r="108" spans="1:17" s="317" customFormat="1" ht="9.9499999999999993" customHeight="1" x14ac:dyDescent="0.2">
      <c r="A108" s="577" t="s">
        <v>1713</v>
      </c>
      <c r="B108" s="482"/>
      <c r="C108" s="1414">
        <v>5468</v>
      </c>
      <c r="D108" s="1414"/>
      <c r="E108" s="1414"/>
      <c r="F108" s="1414"/>
      <c r="G108" s="1414"/>
      <c r="H108" s="1414"/>
      <c r="I108" s="1414"/>
      <c r="J108" s="273">
        <f>'Nonmajor Ent CF'!K93</f>
        <v>0</v>
      </c>
      <c r="K108" s="1414"/>
      <c r="L108" s="273">
        <f>+J108+C108</f>
        <v>5468</v>
      </c>
      <c r="M108" s="1424"/>
      <c r="N108" s="1414">
        <f>'ISF-CASH FLOW'!O94</f>
        <v>26466</v>
      </c>
      <c r="O108" s="482"/>
    </row>
    <row r="109" spans="1:17" s="317" customFormat="1" ht="9.9499999999999993" customHeight="1" x14ac:dyDescent="0.2">
      <c r="A109" s="577" t="s">
        <v>1752</v>
      </c>
      <c r="B109" s="482"/>
      <c r="C109" s="1560"/>
      <c r="D109" s="1560"/>
      <c r="E109" s="1560">
        <v>31135</v>
      </c>
      <c r="F109" s="1560"/>
      <c r="G109" s="1560"/>
      <c r="H109" s="1560"/>
      <c r="I109" s="1560"/>
      <c r="J109" s="1560"/>
      <c r="K109" s="1560"/>
      <c r="L109" s="1560">
        <f>+C109+E109+J109</f>
        <v>31135</v>
      </c>
      <c r="M109" s="1561"/>
      <c r="N109" s="1560"/>
      <c r="O109" s="482"/>
    </row>
    <row r="110" spans="1:17" s="317" customFormat="1" ht="9.9499999999999993" customHeight="1" x14ac:dyDescent="0.2">
      <c r="A110" s="703" t="s">
        <v>1308</v>
      </c>
      <c r="B110" s="489"/>
      <c r="C110" s="1326">
        <v>0</v>
      </c>
      <c r="D110" s="1327"/>
      <c r="E110" s="1326">
        <v>0</v>
      </c>
      <c r="F110" s="1327"/>
      <c r="G110" s="1328"/>
      <c r="H110" s="495"/>
      <c r="I110" s="1327">
        <f>SUM(E118+C118+G118)</f>
        <v>0</v>
      </c>
      <c r="J110" s="1326">
        <f>'Nonmajor Ent CF'!K93</f>
        <v>0</v>
      </c>
      <c r="K110" s="1327"/>
      <c r="L110" s="1326">
        <f>+J110+C110+E110</f>
        <v>0</v>
      </c>
      <c r="M110" s="1327"/>
      <c r="N110" s="1326">
        <f>'ISF-CASH FLOW'!O93</f>
        <v>40</v>
      </c>
      <c r="O110" s="482"/>
    </row>
    <row r="111" spans="1:17" s="317" customFormat="1" ht="9.9499999999999993" customHeight="1" x14ac:dyDescent="0.2">
      <c r="A111" s="577" t="s">
        <v>406</v>
      </c>
      <c r="B111" s="489"/>
      <c r="C111" s="804"/>
      <c r="D111" s="1117"/>
      <c r="E111" s="804"/>
      <c r="F111" s="1117"/>
      <c r="G111" s="1118"/>
      <c r="H111" s="804"/>
      <c r="I111" s="1117"/>
      <c r="J111" s="804"/>
      <c r="K111" s="1117"/>
      <c r="L111" s="804"/>
      <c r="M111" s="1117"/>
      <c r="N111" s="576"/>
      <c r="O111" s="482"/>
    </row>
    <row r="112" spans="1:17" ht="9.9499999999999993" customHeight="1" x14ac:dyDescent="0.2">
      <c r="A112" s="823"/>
      <c r="B112" s="824"/>
      <c r="C112" s="816"/>
      <c r="D112" s="824"/>
      <c r="E112" s="816"/>
      <c r="F112" s="824"/>
      <c r="G112" s="817"/>
      <c r="H112" s="816"/>
      <c r="I112" s="824"/>
      <c r="J112" s="269"/>
      <c r="K112" s="824"/>
      <c r="L112" s="269"/>
      <c r="M112" s="824"/>
      <c r="N112" s="269"/>
      <c r="O112" s="823"/>
    </row>
    <row r="113" spans="1:15" s="830" customFormat="1" ht="9.9499999999999993" customHeight="1" x14ac:dyDescent="0.2">
      <c r="A113" s="825"/>
      <c r="B113" s="826"/>
      <c r="C113" s="827"/>
      <c r="D113" s="826"/>
      <c r="E113" s="827"/>
      <c r="F113" s="826"/>
      <c r="G113" s="828"/>
      <c r="H113" s="827"/>
      <c r="I113" s="826"/>
      <c r="J113" s="829"/>
      <c r="K113" s="826"/>
      <c r="L113" s="829"/>
      <c r="M113" s="826"/>
      <c r="N113" s="829"/>
      <c r="O113" s="825"/>
    </row>
    <row r="114" spans="1:15" s="830" customFormat="1" ht="9.9499999999999993" customHeight="1" x14ac:dyDescent="0.2">
      <c r="A114" s="825"/>
      <c r="B114" s="826"/>
      <c r="C114" s="827"/>
      <c r="D114" s="826"/>
      <c r="E114" s="827"/>
      <c r="F114" s="826"/>
      <c r="G114" s="828"/>
      <c r="H114" s="827"/>
      <c r="I114" s="826"/>
      <c r="J114" s="829"/>
      <c r="K114" s="826"/>
      <c r="L114" s="829"/>
      <c r="M114" s="826"/>
      <c r="N114" s="829"/>
      <c r="O114" s="825"/>
    </row>
    <row r="115" spans="1:15" s="832" customFormat="1" ht="5.0999999999999996" customHeight="1" x14ac:dyDescent="0.2">
      <c r="A115" s="831"/>
      <c r="C115" s="827"/>
      <c r="D115" s="827"/>
      <c r="E115" s="827"/>
      <c r="F115" s="827"/>
      <c r="G115" s="828"/>
      <c r="H115" s="827"/>
      <c r="I115" s="827"/>
      <c r="J115" s="829"/>
      <c r="K115" s="827"/>
      <c r="L115" s="829"/>
      <c r="M115" s="827"/>
      <c r="N115" s="829"/>
    </row>
    <row r="116" spans="1:15" s="832" customFormat="1" ht="9.9499999999999993" customHeight="1" x14ac:dyDescent="0.2">
      <c r="A116" s="831"/>
      <c r="C116" s="827"/>
      <c r="D116" s="827"/>
      <c r="E116" s="827"/>
      <c r="F116" s="827"/>
      <c r="G116" s="828"/>
      <c r="H116" s="827"/>
      <c r="I116" s="827"/>
      <c r="J116" s="829"/>
      <c r="K116" s="827"/>
      <c r="L116" s="829"/>
      <c r="M116" s="827"/>
      <c r="N116" s="829"/>
    </row>
    <row r="117" spans="1:15" s="830" customFormat="1" ht="9.9499999999999993" customHeight="1" x14ac:dyDescent="0.2">
      <c r="B117" s="683"/>
      <c r="C117" s="681">
        <f>C18</f>
        <v>50223</v>
      </c>
      <c r="D117" s="681"/>
      <c r="E117" s="681">
        <f>E18</f>
        <v>9551</v>
      </c>
      <c r="F117" s="681"/>
      <c r="G117" s="681"/>
      <c r="H117" s="681"/>
      <c r="I117" s="681"/>
      <c r="J117" s="681">
        <f>J18</f>
        <v>-2341</v>
      </c>
      <c r="K117" s="681"/>
      <c r="L117" s="681">
        <f>L18</f>
        <v>57433</v>
      </c>
      <c r="M117" s="681"/>
      <c r="N117" s="681">
        <f>N18</f>
        <v>42109</v>
      </c>
      <c r="O117" s="832"/>
    </row>
    <row r="118" spans="1:15" s="830" customFormat="1" ht="9.9499999999999993" customHeight="1" x14ac:dyDescent="0.2">
      <c r="B118" s="683"/>
      <c r="C118" s="681">
        <f>C104-C117</f>
        <v>0</v>
      </c>
      <c r="D118" s="681"/>
      <c r="E118" s="681">
        <f>E104-E117</f>
        <v>0</v>
      </c>
      <c r="F118" s="681"/>
      <c r="G118" s="681"/>
      <c r="H118" s="681"/>
      <c r="I118" s="681"/>
      <c r="J118" s="681">
        <f>J104-J117</f>
        <v>0</v>
      </c>
      <c r="K118" s="681"/>
      <c r="L118" s="681">
        <f>L104-L117</f>
        <v>0</v>
      </c>
      <c r="M118" s="681"/>
      <c r="N118" s="681">
        <f>N104-N117</f>
        <v>0</v>
      </c>
      <c r="O118" s="832"/>
    </row>
    <row r="119" spans="1:15" s="830" customFormat="1" ht="9.9499999999999993" customHeight="1" x14ac:dyDescent="0.2">
      <c r="C119" s="681"/>
      <c r="D119" s="681"/>
      <c r="E119" s="681"/>
      <c r="F119" s="681"/>
      <c r="G119" s="681"/>
      <c r="H119" s="681"/>
      <c r="I119" s="681"/>
      <c r="J119" s="681"/>
      <c r="K119" s="681"/>
      <c r="L119" s="681"/>
      <c r="M119" s="681"/>
      <c r="N119" s="681"/>
    </row>
    <row r="120" spans="1:15" s="830" customFormat="1" ht="9.9499999999999993" customHeight="1" x14ac:dyDescent="0.2">
      <c r="B120" s="834"/>
      <c r="C120" s="681">
        <f>SONPPF!C16+SONPPF!C30+SONPPF!C37+SONPPF!C44+SONPPF!C51</f>
        <v>166457</v>
      </c>
      <c r="D120" s="681"/>
      <c r="E120" s="681">
        <f>SONPPF!E16+SONPPF!E30+SONPPF!E37+SONPPF!E44+SONPPF!E51</f>
        <v>3867</v>
      </c>
      <c r="F120" s="681"/>
      <c r="G120" s="681"/>
      <c r="H120" s="681"/>
      <c r="I120" s="681"/>
      <c r="J120" s="681">
        <f>+SONPPF!G16+SONPPF!G30+SONPPF!G37+SONPPF!G44+SONPPF!G51</f>
        <v>8462</v>
      </c>
      <c r="K120" s="681"/>
      <c r="L120" s="681">
        <f>L54</f>
        <v>178786</v>
      </c>
      <c r="M120" s="681"/>
      <c r="N120" s="681">
        <f>N54</f>
        <v>58968</v>
      </c>
      <c r="O120" s="832"/>
    </row>
    <row r="121" spans="1:15" s="683" customFormat="1" ht="9.9499999999999993" customHeight="1" x14ac:dyDescent="0.2">
      <c r="B121" s="834"/>
      <c r="C121" s="681">
        <f>+C54-C120</f>
        <v>0</v>
      </c>
      <c r="D121" s="681"/>
      <c r="E121" s="681">
        <f>E54-E120</f>
        <v>0</v>
      </c>
      <c r="F121" s="681"/>
      <c r="G121" s="681"/>
      <c r="H121" s="681"/>
      <c r="I121" s="681"/>
      <c r="J121" s="681">
        <f>+J54-J120</f>
        <v>0</v>
      </c>
      <c r="K121" s="681"/>
      <c r="L121" s="681">
        <f>+L54-L120</f>
        <v>0</v>
      </c>
      <c r="M121" s="681"/>
      <c r="N121" s="681">
        <f>+N54-N120</f>
        <v>0</v>
      </c>
      <c r="O121" s="835"/>
    </row>
    <row r="122" spans="1:15" s="830" customFormat="1" ht="9.9499999999999993" customHeight="1" x14ac:dyDescent="0.2">
      <c r="G122" s="833"/>
      <c r="J122" s="568"/>
      <c r="L122" s="568"/>
      <c r="N122" s="568"/>
    </row>
    <row r="123" spans="1:15" s="830" customFormat="1" ht="9.9499999999999993" customHeight="1" x14ac:dyDescent="0.2">
      <c r="G123" s="833"/>
      <c r="J123" s="568"/>
      <c r="L123" s="568"/>
      <c r="N123" s="568"/>
    </row>
    <row r="124" spans="1:15" s="830" customFormat="1" ht="9.9499999999999993" customHeight="1" x14ac:dyDescent="0.2">
      <c r="G124" s="833"/>
      <c r="J124" s="568"/>
      <c r="L124" s="568"/>
      <c r="N124" s="568"/>
    </row>
    <row r="125" spans="1:15" s="830" customFormat="1" ht="9.9499999999999993" customHeight="1" x14ac:dyDescent="0.2">
      <c r="G125" s="833"/>
      <c r="J125" s="568"/>
      <c r="L125" s="568"/>
      <c r="N125" s="568"/>
    </row>
  </sheetData>
  <mergeCells count="8">
    <mergeCell ref="C63:L63"/>
    <mergeCell ref="C6:L6"/>
    <mergeCell ref="C7:L7"/>
    <mergeCell ref="A1:N1"/>
    <mergeCell ref="A4:E4"/>
    <mergeCell ref="A60:E60"/>
    <mergeCell ref="A57:N57"/>
    <mergeCell ref="C62:L62"/>
  </mergeCells>
  <phoneticPr fontId="9" type="noConversion"/>
  <printOptions horizontalCentered="1"/>
  <pageMargins left="0.5" right="0.5" top="0.5" bottom="0.625" header="0.5" footer="0.5"/>
  <pageSetup scale="74" orientation="portrait" r:id="rId1"/>
  <headerFooter alignWithMargins="0">
    <oddFooter>&amp;C&amp;"Calibri,Regular"&amp;9The accompanying notes are an integral part of these basic financial statements.</oddFooter>
  </headerFooter>
  <ignoredErrors>
    <ignoredError sqref="C117:D118 G117:N118 F117:F118"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theme="6" tint="0.39997558519241921"/>
    <pageSetUpPr fitToPage="1"/>
  </sheetPr>
  <dimension ref="A1:R144"/>
  <sheetViews>
    <sheetView view="pageBreakPreview" zoomScale="110" zoomScaleNormal="100" workbookViewId="0">
      <selection activeCell="C17" sqref="C17:C24"/>
    </sheetView>
  </sheetViews>
  <sheetFormatPr defaultColWidth="9.140625" defaultRowHeight="9.9499999999999993" customHeight="1" x14ac:dyDescent="0.2"/>
  <cols>
    <col min="1" max="1" width="50.85546875" style="314" customWidth="1"/>
    <col min="2" max="2" width="1.5703125" style="314" customWidth="1"/>
    <col min="3" max="3" width="17.5703125" style="314" customWidth="1"/>
    <col min="4" max="4" width="1.5703125" style="314" hidden="1" customWidth="1"/>
    <col min="5" max="5" width="17.5703125" style="314" hidden="1" customWidth="1"/>
    <col min="6" max="6" width="1.5703125" style="314" customWidth="1"/>
    <col min="7" max="7" width="17.5703125" style="314" customWidth="1"/>
    <col min="8" max="8" width="1.5703125" style="314" hidden="1" customWidth="1"/>
    <col min="9" max="9" width="17.5703125" style="314" hidden="1" customWidth="1"/>
    <col min="10" max="10" width="2.5703125" style="314" customWidth="1"/>
    <col min="11" max="16384" width="9.140625" style="314"/>
  </cols>
  <sheetData>
    <row r="1" spans="1:18" s="247" customFormat="1" ht="16.5" customHeight="1" thickBot="1" x14ac:dyDescent="0.25">
      <c r="A1" s="1582" t="s">
        <v>1033</v>
      </c>
      <c r="B1" s="1582"/>
      <c r="C1" s="1582"/>
      <c r="D1" s="1582"/>
      <c r="E1" s="1582"/>
      <c r="F1" s="1582"/>
      <c r="G1" s="1582"/>
      <c r="H1" s="519"/>
      <c r="I1" s="519"/>
      <c r="J1" s="535"/>
      <c r="K1" s="535"/>
    </row>
    <row r="2" spans="1:18" s="247" customFormat="1" ht="15" customHeight="1" x14ac:dyDescent="0.2">
      <c r="A2" s="700" t="s">
        <v>1551</v>
      </c>
      <c r="B2" s="310"/>
      <c r="C2" s="310"/>
      <c r="D2" s="310"/>
      <c r="E2" s="310"/>
      <c r="F2" s="310"/>
      <c r="G2" s="310"/>
      <c r="H2" s="310"/>
      <c r="I2" s="310"/>
      <c r="J2" s="310"/>
      <c r="K2" s="310"/>
    </row>
    <row r="3" spans="1:18" s="247" customFormat="1" ht="15" customHeight="1" x14ac:dyDescent="0.2">
      <c r="A3" s="700" t="s">
        <v>408</v>
      </c>
      <c r="B3" s="310"/>
      <c r="C3" s="310"/>
      <c r="D3" s="310"/>
      <c r="E3" s="310"/>
      <c r="F3" s="310"/>
      <c r="G3" s="310"/>
      <c r="H3" s="310"/>
      <c r="I3" s="310"/>
      <c r="J3" s="310"/>
      <c r="K3" s="310"/>
    </row>
    <row r="4" spans="1:18" s="247" customFormat="1" ht="12.95" customHeight="1" x14ac:dyDescent="0.2">
      <c r="A4" s="943" t="s">
        <v>1724</v>
      </c>
      <c r="B4" s="432"/>
      <c r="C4" s="432"/>
      <c r="D4" s="432"/>
      <c r="E4" s="432"/>
      <c r="F4" s="432"/>
      <c r="G4" s="432"/>
      <c r="H4" s="432"/>
      <c r="I4" s="432"/>
      <c r="J4" s="432"/>
      <c r="K4" s="432"/>
    </row>
    <row r="5" spans="1:18" s="247" customFormat="1" ht="12" customHeight="1" x14ac:dyDescent="0.2">
      <c r="A5" s="253" t="s">
        <v>972</v>
      </c>
      <c r="B5" s="394"/>
      <c r="C5" s="394"/>
      <c r="D5" s="394"/>
      <c r="E5" s="394"/>
      <c r="F5" s="394"/>
      <c r="G5" s="394"/>
      <c r="H5" s="394"/>
      <c r="I5" s="394"/>
      <c r="J5" s="394"/>
      <c r="K5" s="394"/>
    </row>
    <row r="6" spans="1:18" s="508" customFormat="1" ht="12.6" hidden="1" customHeight="1" x14ac:dyDescent="0.2">
      <c r="A6" s="212"/>
      <c r="B6" s="212"/>
      <c r="C6" s="212"/>
      <c r="D6" s="212"/>
      <c r="E6" s="212"/>
      <c r="F6" s="212"/>
      <c r="G6" s="212"/>
      <c r="H6" s="212"/>
      <c r="I6" s="212"/>
      <c r="J6" s="212"/>
      <c r="K6" s="212"/>
    </row>
    <row r="7" spans="1:18" s="593" customFormat="1" ht="12.6" hidden="1" customHeight="1" x14ac:dyDescent="0.2">
      <c r="A7" s="336"/>
      <c r="B7" s="336"/>
      <c r="C7" s="310"/>
      <c r="D7" s="336"/>
      <c r="E7" s="310" t="s">
        <v>979</v>
      </c>
      <c r="F7" s="336"/>
      <c r="G7" s="310"/>
      <c r="H7" s="336"/>
      <c r="I7" s="336"/>
      <c r="J7" s="336"/>
      <c r="K7" s="336"/>
    </row>
    <row r="8" spans="1:18" s="593" customFormat="1" ht="12.6" hidden="1" customHeight="1" x14ac:dyDescent="0.2">
      <c r="A8" s="336"/>
      <c r="B8" s="336"/>
      <c r="C8" s="310"/>
      <c r="D8" s="336"/>
      <c r="E8" s="310" t="s">
        <v>208</v>
      </c>
      <c r="F8" s="336"/>
      <c r="G8" s="310"/>
      <c r="H8" s="336"/>
      <c r="I8" s="336"/>
      <c r="J8" s="336"/>
      <c r="K8" s="336"/>
    </row>
    <row r="9" spans="1:18" s="593" customFormat="1" ht="12.6" customHeight="1" x14ac:dyDescent="0.2">
      <c r="A9" s="336"/>
      <c r="B9" s="336"/>
      <c r="C9" s="310" t="s">
        <v>1561</v>
      </c>
      <c r="D9" s="336"/>
      <c r="E9" s="310" t="s">
        <v>437</v>
      </c>
      <c r="F9" s="336"/>
      <c r="G9" s="310"/>
      <c r="H9" s="336"/>
      <c r="I9" s="336"/>
      <c r="J9" s="336"/>
      <c r="K9" s="336"/>
    </row>
    <row r="10" spans="1:18" s="593" customFormat="1" ht="12.6" customHeight="1" x14ac:dyDescent="0.2">
      <c r="A10" s="336"/>
      <c r="B10" s="336"/>
      <c r="C10" s="310" t="s">
        <v>1563</v>
      </c>
      <c r="D10" s="336"/>
      <c r="E10" s="310" t="s">
        <v>339</v>
      </c>
      <c r="F10" s="336"/>
      <c r="G10" s="310" t="s">
        <v>1525</v>
      </c>
      <c r="H10" s="336"/>
      <c r="I10" s="310" t="s">
        <v>409</v>
      </c>
      <c r="J10" s="336"/>
      <c r="K10" s="336"/>
    </row>
    <row r="11" spans="1:18" s="593" customFormat="1" ht="12.6" customHeight="1" x14ac:dyDescent="0.2">
      <c r="A11" s="336"/>
      <c r="B11" s="336"/>
      <c r="C11" s="574" t="s">
        <v>1562</v>
      </c>
      <c r="D11" s="336"/>
      <c r="E11" s="574" t="s">
        <v>236</v>
      </c>
      <c r="F11" s="336"/>
      <c r="G11" s="574" t="s">
        <v>864</v>
      </c>
      <c r="H11" s="336"/>
      <c r="I11" s="574" t="s">
        <v>864</v>
      </c>
      <c r="J11" s="336"/>
      <c r="K11" s="336"/>
    </row>
    <row r="12" spans="1:18" s="492" customFormat="1" ht="9.9499999999999993" customHeight="1" x14ac:dyDescent="0.2">
      <c r="A12" s="353" t="s">
        <v>672</v>
      </c>
      <c r="B12" s="253"/>
      <c r="C12" s="257"/>
      <c r="D12" s="253"/>
      <c r="E12" s="257"/>
      <c r="F12" s="253"/>
      <c r="G12" s="257"/>
      <c r="H12" s="253"/>
      <c r="I12" s="257"/>
      <c r="J12" s="253"/>
      <c r="K12" s="253"/>
    </row>
    <row r="13" spans="1:18" s="492" customFormat="1" ht="9.9499999999999993" customHeight="1" x14ac:dyDescent="0.2">
      <c r="A13" s="707" t="s">
        <v>61</v>
      </c>
      <c r="B13" s="253"/>
      <c r="C13" s="253"/>
      <c r="D13" s="253"/>
      <c r="E13" s="253"/>
      <c r="F13" s="253"/>
      <c r="G13" s="253"/>
      <c r="H13" s="253"/>
      <c r="I13" s="253"/>
      <c r="J13" s="253"/>
      <c r="K13" s="253"/>
      <c r="L13" s="594"/>
      <c r="R13" s="492">
        <v>0</v>
      </c>
    </row>
    <row r="14" spans="1:18" s="492" customFormat="1" ht="9.9499999999999993" customHeight="1" x14ac:dyDescent="0.2">
      <c r="A14" s="351" t="s">
        <v>673</v>
      </c>
      <c r="B14" s="253"/>
      <c r="C14" s="339">
        <f>SUM('SONPFF PensionHealth'!L13)</f>
        <v>100626</v>
      </c>
      <c r="D14" s="254"/>
      <c r="E14" s="339">
        <v>0</v>
      </c>
      <c r="F14" s="254"/>
      <c r="G14" s="339">
        <f>SONPCustodial!Z13</f>
        <v>3310</v>
      </c>
      <c r="H14" s="254"/>
      <c r="I14" s="339">
        <f>SUM('BS-agency '!F25)</f>
        <v>4215</v>
      </c>
      <c r="J14" s="253"/>
      <c r="K14" s="253"/>
    </row>
    <row r="15" spans="1:18" s="492" customFormat="1" ht="9.9499999999999993" customHeight="1" x14ac:dyDescent="0.2">
      <c r="A15" s="351" t="s">
        <v>410</v>
      </c>
      <c r="B15" s="254"/>
      <c r="C15" s="273">
        <f>SUM('SONPFF PensionHealth'!L14)</f>
        <v>87732</v>
      </c>
      <c r="D15" s="273"/>
      <c r="E15" s="273">
        <v>0</v>
      </c>
      <c r="F15" s="273"/>
      <c r="G15" s="273"/>
      <c r="H15" s="273"/>
      <c r="I15" s="273"/>
      <c r="J15" s="254"/>
      <c r="K15" s="253"/>
      <c r="L15" s="595"/>
    </row>
    <row r="16" spans="1:18" s="492" customFormat="1" ht="9.9499999999999993" customHeight="1" x14ac:dyDescent="0.2">
      <c r="A16" s="351" t="s">
        <v>289</v>
      </c>
      <c r="B16" s="254"/>
      <c r="C16" s="273"/>
      <c r="D16" s="273"/>
      <c r="F16" s="273"/>
      <c r="G16" s="273"/>
      <c r="H16" s="273"/>
      <c r="J16" s="254"/>
      <c r="K16" s="253"/>
      <c r="L16" s="595"/>
    </row>
    <row r="17" spans="1:12" s="492" customFormat="1" ht="9.9499999999999993" customHeight="1" x14ac:dyDescent="0.2">
      <c r="A17" s="705" t="s">
        <v>290</v>
      </c>
      <c r="B17" s="254"/>
      <c r="C17" s="273">
        <f>SUM('SONPFF PensionHealth'!L16)</f>
        <v>1753788</v>
      </c>
      <c r="D17" s="273"/>
      <c r="E17" s="273"/>
      <c r="F17" s="273"/>
      <c r="G17" s="273"/>
      <c r="H17" s="273"/>
      <c r="I17" s="273"/>
      <c r="J17" s="254"/>
      <c r="K17" s="253"/>
      <c r="L17" s="595"/>
    </row>
    <row r="18" spans="1:12" s="492" customFormat="1" ht="9.9499999999999993" customHeight="1" x14ac:dyDescent="0.2">
      <c r="A18" s="705" t="s">
        <v>291</v>
      </c>
      <c r="B18" s="254"/>
      <c r="C18" s="273">
        <f>SUM('SONPFF PensionHealth'!L17)</f>
        <v>302621</v>
      </c>
      <c r="D18" s="273"/>
      <c r="E18" s="273"/>
      <c r="F18" s="273"/>
      <c r="G18" s="273">
        <f>SONPCustodial!Z15</f>
        <v>2276</v>
      </c>
      <c r="H18" s="273"/>
      <c r="I18" s="273">
        <f>'BS-agency '!H25</f>
        <v>2072</v>
      </c>
      <c r="J18" s="254"/>
      <c r="K18" s="253"/>
      <c r="L18" s="595"/>
    </row>
    <row r="19" spans="1:12" s="492" customFormat="1" ht="9.9499999999999993" customHeight="1" x14ac:dyDescent="0.2">
      <c r="A19" s="705" t="s">
        <v>292</v>
      </c>
      <c r="B19" s="254"/>
      <c r="C19" s="273">
        <f>SUM('SONPFF PensionHealth'!L18)</f>
        <v>527400</v>
      </c>
      <c r="D19" s="273"/>
      <c r="E19" s="273"/>
      <c r="F19" s="273"/>
      <c r="G19" s="273"/>
      <c r="H19" s="273"/>
      <c r="I19" s="273"/>
      <c r="J19" s="254"/>
      <c r="K19" s="253"/>
      <c r="L19" s="595"/>
    </row>
    <row r="20" spans="1:12" s="492" customFormat="1" ht="9.9499999999999993" hidden="1" customHeight="1" x14ac:dyDescent="0.2">
      <c r="A20" s="705" t="s">
        <v>1279</v>
      </c>
      <c r="B20" s="254"/>
      <c r="C20" s="273">
        <f>SUM('SONPFF PensionHealth'!L19)</f>
        <v>0</v>
      </c>
      <c r="D20" s="273"/>
      <c r="E20" s="273"/>
      <c r="F20" s="273"/>
      <c r="G20" s="273"/>
      <c r="H20" s="273"/>
      <c r="I20" s="273"/>
      <c r="J20" s="254"/>
      <c r="K20" s="253"/>
      <c r="L20" s="595"/>
    </row>
    <row r="21" spans="1:12" s="492" customFormat="1" ht="9.9499999999999993" customHeight="1" x14ac:dyDescent="0.2">
      <c r="A21" s="705" t="s">
        <v>1095</v>
      </c>
      <c r="B21" s="254"/>
      <c r="C21" s="273">
        <f>SUM('SONPFF PensionHealth'!L20)</f>
        <v>103063</v>
      </c>
      <c r="D21" s="273"/>
      <c r="E21" s="273"/>
      <c r="F21" s="273"/>
      <c r="G21" s="273"/>
      <c r="H21" s="273"/>
      <c r="I21" s="273"/>
      <c r="J21" s="254"/>
      <c r="K21" s="253"/>
      <c r="L21" s="595"/>
    </row>
    <row r="22" spans="1:12" s="492" customFormat="1" ht="9.9499999999999993" customHeight="1" x14ac:dyDescent="0.2">
      <c r="A22" s="705" t="s">
        <v>293</v>
      </c>
      <c r="B22" s="254"/>
      <c r="C22" s="273">
        <f>SUM('SONPFF PensionHealth'!L21)</f>
        <v>25120</v>
      </c>
      <c r="D22" s="273"/>
      <c r="E22" s="273"/>
      <c r="F22" s="273"/>
      <c r="G22" s="273"/>
      <c r="H22" s="273"/>
      <c r="I22" s="273"/>
      <c r="J22" s="254"/>
      <c r="K22" s="253"/>
      <c r="L22" s="595"/>
    </row>
    <row r="23" spans="1:12" s="492" customFormat="1" ht="9.9499999999999993" customHeight="1" x14ac:dyDescent="0.2">
      <c r="A23" s="705" t="s">
        <v>294</v>
      </c>
      <c r="B23" s="254"/>
      <c r="C23" s="273">
        <f>SUM('SONPFF PensionHealth'!L22)</f>
        <v>343636</v>
      </c>
      <c r="D23" s="273"/>
      <c r="E23" s="273"/>
      <c r="F23" s="273"/>
      <c r="G23" s="273"/>
      <c r="H23" s="273"/>
      <c r="I23" s="273"/>
      <c r="J23" s="254"/>
      <c r="K23" s="253"/>
      <c r="L23" s="595"/>
    </row>
    <row r="24" spans="1:12" s="492" customFormat="1" ht="9.9499999999999993" customHeight="1" x14ac:dyDescent="0.2">
      <c r="A24" s="705" t="s">
        <v>295</v>
      </c>
      <c r="B24" s="254"/>
      <c r="C24" s="273">
        <f>SUM('SONPFF PensionHealth'!L23)</f>
        <v>1308006</v>
      </c>
      <c r="D24" s="273"/>
      <c r="E24" s="273"/>
      <c r="F24" s="273"/>
      <c r="G24" s="273"/>
      <c r="H24" s="273"/>
      <c r="I24" s="273"/>
      <c r="J24" s="254"/>
      <c r="K24" s="253"/>
      <c r="L24" s="595"/>
    </row>
    <row r="25" spans="1:12" s="492" customFormat="1" ht="9.9499999999999993" customHeight="1" x14ac:dyDescent="0.2">
      <c r="A25" s="351" t="s">
        <v>62</v>
      </c>
      <c r="B25" s="254"/>
      <c r="C25" s="273"/>
      <c r="D25" s="273"/>
      <c r="E25" s="273"/>
      <c r="F25" s="273"/>
      <c r="G25" s="273"/>
      <c r="H25" s="273"/>
      <c r="I25" s="273"/>
      <c r="J25" s="254"/>
      <c r="K25" s="253"/>
    </row>
    <row r="26" spans="1:12" s="492" customFormat="1" ht="9.9499999999999993" customHeight="1" x14ac:dyDescent="0.2">
      <c r="A26" s="705" t="s">
        <v>844</v>
      </c>
      <c r="B26" s="254"/>
      <c r="C26" s="273">
        <f>SUM('SONPFF PensionHealth'!L25)</f>
        <v>5248</v>
      </c>
      <c r="D26" s="273"/>
      <c r="E26" s="273"/>
      <c r="F26" s="273"/>
      <c r="G26" s="273">
        <f>SONPCustodial!Z17</f>
        <v>829</v>
      </c>
      <c r="H26" s="273"/>
      <c r="I26" s="273">
        <f>SUM('BS-agency '!J25)</f>
        <v>245</v>
      </c>
      <c r="J26" s="254"/>
      <c r="K26" s="253"/>
    </row>
    <row r="27" spans="1:12" s="492" customFormat="1" ht="9.9499999999999993" customHeight="1" x14ac:dyDescent="0.2">
      <c r="A27" s="705" t="s">
        <v>676</v>
      </c>
      <c r="B27" s="254"/>
      <c r="C27" s="273">
        <f>SUM('SONPFF PensionHealth'!L26)</f>
        <v>6636</v>
      </c>
      <c r="D27" s="273"/>
      <c r="E27" s="273"/>
      <c r="F27" s="273"/>
      <c r="G27" s="273">
        <f>SONPCustodial!Z18</f>
        <v>14</v>
      </c>
      <c r="H27" s="273"/>
      <c r="I27" s="273">
        <f>'BS-agency '!L25</f>
        <v>7</v>
      </c>
      <c r="J27" s="254"/>
      <c r="K27" s="253"/>
    </row>
    <row r="28" spans="1:12" s="492" customFormat="1" ht="9.9499999999999993" customHeight="1" x14ac:dyDescent="0.2">
      <c r="A28" s="705" t="s">
        <v>677</v>
      </c>
      <c r="B28" s="254"/>
      <c r="C28" s="273">
        <f>SUM('SONPFF PensionHealth'!L27)</f>
        <v>8904</v>
      </c>
      <c r="D28" s="273"/>
      <c r="E28" s="273"/>
      <c r="F28" s="273"/>
      <c r="G28" s="273"/>
      <c r="H28" s="273"/>
      <c r="I28" s="273">
        <f>SUM('BS-agency '!J27)</f>
        <v>0</v>
      </c>
      <c r="J28" s="254"/>
      <c r="K28" s="253"/>
    </row>
    <row r="29" spans="1:12" s="492" customFormat="1" ht="9.9499999999999993" customHeight="1" x14ac:dyDescent="0.2">
      <c r="A29" s="351" t="s">
        <v>679</v>
      </c>
      <c r="B29" s="254"/>
      <c r="C29" s="273">
        <f>SUM('SONPFF PensionHealth'!L28)</f>
        <v>41</v>
      </c>
      <c r="D29" s="273"/>
      <c r="E29" s="273"/>
      <c r="F29" s="273"/>
      <c r="G29" s="273"/>
      <c r="H29" s="273"/>
      <c r="I29" s="273"/>
      <c r="J29" s="254"/>
      <c r="K29" s="253"/>
    </row>
    <row r="30" spans="1:12" s="492" customFormat="1" ht="5.0999999999999996" customHeight="1" x14ac:dyDescent="0.2">
      <c r="A30" s="349"/>
      <c r="B30" s="254"/>
      <c r="C30" s="340"/>
      <c r="D30" s="273"/>
      <c r="E30" s="340"/>
      <c r="F30" s="273"/>
      <c r="G30" s="340"/>
      <c r="H30" s="273"/>
      <c r="I30" s="340"/>
      <c r="J30" s="254"/>
      <c r="K30" s="253"/>
    </row>
    <row r="31" spans="1:12" s="492" customFormat="1" ht="9.9499999999999993" customHeight="1" x14ac:dyDescent="0.2">
      <c r="A31" s="707" t="s">
        <v>64</v>
      </c>
      <c r="B31" s="254"/>
      <c r="C31" s="341">
        <f>SUM(C14:C29)</f>
        <v>4572821</v>
      </c>
      <c r="D31" s="273"/>
      <c r="E31" s="341">
        <f>SUM(E14:E28)</f>
        <v>0</v>
      </c>
      <c r="F31" s="273"/>
      <c r="G31" s="341">
        <f>SUM(G14:G29)</f>
        <v>6429</v>
      </c>
      <c r="H31" s="273"/>
      <c r="I31" s="341">
        <f>SUM(I14:I28)</f>
        <v>6539</v>
      </c>
      <c r="J31" s="254"/>
      <c r="K31" s="253"/>
    </row>
    <row r="32" spans="1:12" s="492" customFormat="1" ht="5.0999999999999996" customHeight="1" x14ac:dyDescent="0.2">
      <c r="A32" s="349"/>
      <c r="B32" s="254"/>
      <c r="C32" s="273"/>
      <c r="D32" s="273"/>
      <c r="E32" s="273"/>
      <c r="F32" s="273"/>
      <c r="G32" s="273"/>
      <c r="H32" s="273"/>
      <c r="I32" s="273"/>
      <c r="J32" s="254"/>
      <c r="K32" s="253"/>
    </row>
    <row r="33" spans="1:11" s="492" customFormat="1" ht="9.9499999999999993" customHeight="1" x14ac:dyDescent="0.2">
      <c r="A33" s="349"/>
      <c r="B33" s="254"/>
      <c r="C33" s="273"/>
      <c r="D33" s="273"/>
      <c r="E33" s="273"/>
      <c r="F33" s="273"/>
      <c r="G33" s="273"/>
      <c r="H33" s="273"/>
      <c r="I33" s="273"/>
      <c r="J33" s="254"/>
      <c r="K33" s="253"/>
    </row>
    <row r="34" spans="1:11" s="492" customFormat="1" ht="9.9499999999999993" customHeight="1" x14ac:dyDescent="0.2">
      <c r="A34" s="707" t="s">
        <v>70</v>
      </c>
      <c r="B34" s="254"/>
      <c r="C34" s="273"/>
      <c r="D34" s="273"/>
      <c r="E34" s="273"/>
      <c r="F34" s="273"/>
      <c r="G34" s="273"/>
      <c r="H34" s="273"/>
      <c r="I34" s="273"/>
      <c r="J34" s="254"/>
      <c r="K34" s="253"/>
    </row>
    <row r="35" spans="1:11" s="492" customFormat="1" ht="9.9499999999999993" customHeight="1" x14ac:dyDescent="0.2">
      <c r="A35" s="708" t="s">
        <v>686</v>
      </c>
      <c r="B35" s="254"/>
      <c r="C35" s="273"/>
      <c r="D35" s="273"/>
      <c r="E35" s="273"/>
      <c r="F35" s="273"/>
      <c r="G35" s="273"/>
      <c r="H35" s="273"/>
      <c r="I35" s="273"/>
      <c r="J35" s="254"/>
      <c r="K35" s="253"/>
    </row>
    <row r="36" spans="1:11" s="492" customFormat="1" ht="9.9499999999999993" customHeight="1" x14ac:dyDescent="0.2">
      <c r="A36" s="705" t="s">
        <v>1756</v>
      </c>
      <c r="B36" s="254"/>
      <c r="C36" s="273"/>
      <c r="D36" s="273"/>
      <c r="E36" s="273"/>
      <c r="F36" s="273"/>
      <c r="G36" s="273"/>
      <c r="H36" s="273"/>
      <c r="I36" s="273"/>
      <c r="J36" s="254"/>
      <c r="K36" s="253"/>
    </row>
    <row r="37" spans="1:11" s="492" customFormat="1" ht="9.9499999999999993" customHeight="1" x14ac:dyDescent="0.2">
      <c r="A37" s="749" t="s">
        <v>77</v>
      </c>
      <c r="B37" s="254"/>
      <c r="C37" s="273">
        <f>SUM('SONPFF PensionHealth'!L35)</f>
        <v>14303</v>
      </c>
      <c r="D37" s="273"/>
      <c r="E37" s="273"/>
      <c r="F37" s="273"/>
      <c r="G37" s="273"/>
      <c r="H37" s="273"/>
      <c r="I37" s="273"/>
      <c r="J37" s="254"/>
      <c r="K37" s="253"/>
    </row>
    <row r="38" spans="1:11" s="492" customFormat="1" ht="9.9499999999999993" customHeight="1" x14ac:dyDescent="0.2">
      <c r="A38" s="749" t="s">
        <v>995</v>
      </c>
      <c r="B38" s="254"/>
      <c r="C38" s="273">
        <f>SUM('SONPFF PensionHealth'!L36)</f>
        <v>2513</v>
      </c>
      <c r="D38" s="273"/>
      <c r="E38" s="273"/>
      <c r="F38" s="273"/>
      <c r="G38" s="273"/>
      <c r="H38" s="273"/>
      <c r="I38" s="273"/>
      <c r="J38" s="254"/>
      <c r="K38" s="253"/>
    </row>
    <row r="39" spans="1:11" s="492" customFormat="1" ht="9.9499999999999993" customHeight="1" x14ac:dyDescent="0.2">
      <c r="A39" s="749" t="s">
        <v>994</v>
      </c>
      <c r="B39" s="254"/>
      <c r="C39" s="273">
        <f>SUM('SONPFF PensionHealth'!L37)</f>
        <v>17496</v>
      </c>
      <c r="D39" s="273">
        <f>SUM('SONPFF PensionHealth'!M37)</f>
        <v>0</v>
      </c>
      <c r="E39" s="273">
        <f>SUM('SONPFF PensionHealth'!N37)</f>
        <v>0</v>
      </c>
      <c r="F39" s="273"/>
      <c r="G39" s="273"/>
      <c r="H39" s="273"/>
      <c r="I39" s="273"/>
      <c r="J39" s="254"/>
      <c r="K39" s="253"/>
    </row>
    <row r="40" spans="1:11" s="492" customFormat="1" ht="9.9499999999999993" hidden="1" customHeight="1" x14ac:dyDescent="0.2">
      <c r="A40" s="705" t="s">
        <v>993</v>
      </c>
      <c r="B40" s="254"/>
      <c r="C40" s="273">
        <f>SUM('SONPFF PensionHealth'!L38)</f>
        <v>0</v>
      </c>
      <c r="D40" s="273"/>
      <c r="E40" s="273"/>
      <c r="F40" s="273"/>
      <c r="G40" s="273"/>
      <c r="H40" s="273"/>
      <c r="I40" s="273"/>
      <c r="J40" s="254"/>
      <c r="K40" s="253"/>
    </row>
    <row r="41" spans="1:11" s="492" customFormat="1" ht="9.9499999999999993" customHeight="1" x14ac:dyDescent="0.2">
      <c r="A41" s="749" t="s">
        <v>996</v>
      </c>
      <c r="B41" s="254"/>
      <c r="C41" s="341">
        <f>SUM('SONPFF PensionHealth'!L39)</f>
        <v>2335</v>
      </c>
      <c r="D41" s="273"/>
      <c r="E41" s="341"/>
      <c r="F41" s="273"/>
      <c r="G41" s="341"/>
      <c r="H41" s="273"/>
      <c r="I41" s="341"/>
      <c r="J41" s="254"/>
      <c r="K41" s="253"/>
    </row>
    <row r="42" spans="1:11" s="492" customFormat="1" ht="5.0999999999999996" customHeight="1" x14ac:dyDescent="0.2">
      <c r="A42" s="351"/>
      <c r="B42" s="254"/>
      <c r="C42" s="340"/>
      <c r="D42" s="273"/>
      <c r="E42" s="340"/>
      <c r="F42" s="273"/>
      <c r="G42" s="340"/>
      <c r="H42" s="273"/>
      <c r="I42" s="340"/>
      <c r="J42" s="254"/>
      <c r="K42" s="253"/>
    </row>
    <row r="43" spans="1:11" s="492" customFormat="1" ht="9.9499999999999993" customHeight="1" x14ac:dyDescent="0.2">
      <c r="A43" s="705" t="s">
        <v>1755</v>
      </c>
      <c r="B43" s="254"/>
      <c r="C43" s="273">
        <f>SUM(C37:E40)-C41</f>
        <v>31977</v>
      </c>
      <c r="D43" s="273"/>
      <c r="E43" s="273">
        <f>SUM(E38:E39)</f>
        <v>0</v>
      </c>
      <c r="F43" s="273"/>
      <c r="G43" s="1480">
        <f>SUM(G37:I40)-G41</f>
        <v>0</v>
      </c>
      <c r="H43" s="273"/>
      <c r="I43" s="273">
        <f>SUM(I38:I39)</f>
        <v>0</v>
      </c>
      <c r="J43" s="254"/>
      <c r="K43" s="273"/>
    </row>
    <row r="44" spans="1:11" s="492" customFormat="1" ht="5.0999999999999996" customHeight="1" x14ac:dyDescent="0.2">
      <c r="A44" s="351"/>
      <c r="B44" s="254"/>
      <c r="C44" s="340"/>
      <c r="D44" s="273"/>
      <c r="E44" s="340"/>
      <c r="F44" s="273"/>
      <c r="G44" s="340"/>
      <c r="H44" s="273"/>
      <c r="I44" s="340"/>
      <c r="J44" s="254"/>
      <c r="K44" s="253"/>
    </row>
    <row r="45" spans="1:11" s="492" customFormat="1" ht="9.9499999999999993" customHeight="1" x14ac:dyDescent="0.2">
      <c r="A45" s="705" t="s">
        <v>764</v>
      </c>
      <c r="B45" s="254"/>
      <c r="C45" s="273">
        <f>'SONPFF PensionHealth'!L43</f>
        <v>13153</v>
      </c>
      <c r="D45" s="273"/>
      <c r="E45" s="273"/>
      <c r="F45" s="273"/>
      <c r="G45" s="273"/>
      <c r="H45" s="273"/>
      <c r="I45" s="273"/>
      <c r="J45" s="254"/>
      <c r="K45" s="253"/>
    </row>
    <row r="46" spans="1:11" s="492" customFormat="1" ht="5.0999999999999996" customHeight="1" x14ac:dyDescent="0.2">
      <c r="A46" s="705"/>
      <c r="B46" s="254"/>
      <c r="C46" s="273"/>
      <c r="D46" s="273"/>
      <c r="E46" s="273"/>
      <c r="F46" s="273"/>
      <c r="G46" s="273"/>
      <c r="H46" s="273"/>
      <c r="I46" s="273"/>
      <c r="J46" s="254"/>
      <c r="K46" s="253"/>
    </row>
    <row r="47" spans="1:11" s="492" customFormat="1" ht="9.9499999999999993" customHeight="1" x14ac:dyDescent="0.2">
      <c r="A47" s="705" t="s">
        <v>1614</v>
      </c>
      <c r="B47" s="254"/>
      <c r="C47" s="273">
        <f>'SONPFF PensionHealth'!L45</f>
        <v>1408</v>
      </c>
      <c r="D47" s="273"/>
      <c r="E47" s="273"/>
      <c r="F47" s="273"/>
      <c r="G47" s="273"/>
      <c r="H47" s="273"/>
      <c r="I47" s="273"/>
      <c r="J47" s="254"/>
      <c r="K47" s="253"/>
    </row>
    <row r="48" spans="1:11" s="492" customFormat="1" ht="9.9499999999999993" customHeight="1" x14ac:dyDescent="0.2">
      <c r="A48" s="749" t="s">
        <v>1585</v>
      </c>
      <c r="C48" s="273">
        <f>'SONPFF PensionHealth'!L46</f>
        <v>534</v>
      </c>
      <c r="D48" s="273"/>
      <c r="E48" s="273"/>
      <c r="F48" s="273"/>
      <c r="G48" s="273"/>
      <c r="H48" s="273"/>
      <c r="I48" s="273"/>
      <c r="J48" s="254"/>
      <c r="K48" s="253"/>
    </row>
    <row r="49" spans="1:11" s="492" customFormat="1" ht="9.9499999999999993" customHeight="1" x14ac:dyDescent="0.2">
      <c r="A49" s="705" t="s">
        <v>1612</v>
      </c>
      <c r="B49" s="254"/>
      <c r="C49" s="340">
        <f>+C47-C48</f>
        <v>874</v>
      </c>
      <c r="D49" s="273"/>
      <c r="E49" s="273"/>
      <c r="F49" s="273"/>
      <c r="G49" s="1564">
        <f>+G47-G48</f>
        <v>0</v>
      </c>
      <c r="H49" s="273"/>
      <c r="I49" s="273"/>
      <c r="J49" s="254"/>
      <c r="K49" s="253"/>
    </row>
    <row r="50" spans="1:11" s="492" customFormat="1" ht="5.0999999999999996" customHeight="1" x14ac:dyDescent="0.2">
      <c r="A50" s="351"/>
      <c r="B50" s="254"/>
      <c r="C50" s="340"/>
      <c r="D50" s="273"/>
      <c r="E50" s="340"/>
      <c r="F50" s="273"/>
      <c r="G50" s="340"/>
      <c r="H50" s="273"/>
      <c r="I50" s="340"/>
      <c r="J50" s="254"/>
      <c r="K50" s="253"/>
    </row>
    <row r="51" spans="1:11" s="492" customFormat="1" ht="9.9499999999999993" customHeight="1" x14ac:dyDescent="0.2">
      <c r="A51" s="708" t="s">
        <v>78</v>
      </c>
      <c r="B51" s="254"/>
      <c r="C51" s="341">
        <f>+C43+C45+C49</f>
        <v>46004</v>
      </c>
      <c r="D51" s="273"/>
      <c r="E51" s="341">
        <f>E43-E41</f>
        <v>0</v>
      </c>
      <c r="F51" s="273"/>
      <c r="G51" s="1563">
        <f>+G43+G45+G49</f>
        <v>0</v>
      </c>
      <c r="H51" s="273"/>
      <c r="I51" s="341">
        <f>I43-I41</f>
        <v>0</v>
      </c>
      <c r="J51" s="254"/>
      <c r="K51" s="253"/>
    </row>
    <row r="52" spans="1:11" s="492" customFormat="1" ht="5.0999999999999996" customHeight="1" x14ac:dyDescent="0.2">
      <c r="A52" s="253"/>
      <c r="B52" s="254"/>
      <c r="C52" s="340"/>
      <c r="D52" s="273"/>
      <c r="E52" s="340"/>
      <c r="F52" s="273"/>
      <c r="G52" s="340"/>
      <c r="H52" s="273"/>
      <c r="I52" s="340"/>
      <c r="J52" s="254"/>
      <c r="K52" s="253"/>
    </row>
    <row r="53" spans="1:11" s="492" customFormat="1" ht="5.0999999999999996" hidden="1" customHeight="1" x14ac:dyDescent="0.2">
      <c r="A53" s="253"/>
      <c r="B53" s="254"/>
      <c r="C53" s="340"/>
      <c r="D53" s="273"/>
      <c r="E53" s="273"/>
      <c r="F53" s="273"/>
      <c r="G53" s="340"/>
      <c r="H53" s="273"/>
      <c r="I53" s="273"/>
      <c r="J53" s="254"/>
      <c r="K53" s="253"/>
    </row>
    <row r="54" spans="1:11" s="492" customFormat="1" ht="9.9499999999999993" customHeight="1" x14ac:dyDescent="0.2">
      <c r="A54" s="707" t="s">
        <v>976</v>
      </c>
      <c r="B54" s="254"/>
      <c r="C54" s="273">
        <f>+C51</f>
        <v>46004</v>
      </c>
      <c r="D54" s="273"/>
      <c r="E54" s="273"/>
      <c r="F54" s="273"/>
      <c r="G54" s="1480">
        <f>+G51</f>
        <v>0</v>
      </c>
      <c r="H54" s="273"/>
      <c r="I54" s="273"/>
      <c r="J54" s="254"/>
      <c r="K54" s="253"/>
    </row>
    <row r="55" spans="1:11" s="492" customFormat="1" ht="5.0999999999999996" customHeight="1" x14ac:dyDescent="0.2">
      <c r="A55" s="253"/>
      <c r="B55" s="254"/>
      <c r="C55" s="340"/>
      <c r="D55" s="273"/>
      <c r="E55" s="273"/>
      <c r="F55" s="273"/>
      <c r="G55" s="340"/>
      <c r="H55" s="273"/>
      <c r="I55" s="273"/>
      <c r="J55" s="254"/>
      <c r="K55" s="253"/>
    </row>
    <row r="56" spans="1:11" s="492" customFormat="1" ht="9.9499999999999993" customHeight="1" thickBot="1" x14ac:dyDescent="0.25">
      <c r="A56" s="353" t="s">
        <v>687</v>
      </c>
      <c r="B56" s="254"/>
      <c r="C56" s="578">
        <f>C31+C54</f>
        <v>4618825</v>
      </c>
      <c r="D56" s="273"/>
      <c r="E56" s="578">
        <f>E31+E51</f>
        <v>0</v>
      </c>
      <c r="F56" s="273"/>
      <c r="G56" s="578">
        <f>G31+G54</f>
        <v>6429</v>
      </c>
      <c r="H56" s="273"/>
      <c r="I56" s="344">
        <f>I31+I51</f>
        <v>6539</v>
      </c>
      <c r="J56" s="254"/>
      <c r="K56" s="253"/>
    </row>
    <row r="57" spans="1:11" s="492" customFormat="1" ht="5.0999999999999996" customHeight="1" thickTop="1" x14ac:dyDescent="0.2">
      <c r="A57" s="253"/>
      <c r="B57" s="254"/>
      <c r="C57" s="273"/>
      <c r="D57" s="273"/>
      <c r="E57" s="273"/>
      <c r="F57" s="273"/>
      <c r="G57" s="273"/>
      <c r="H57" s="273"/>
      <c r="I57" s="273"/>
      <c r="J57" s="254"/>
      <c r="K57" s="253"/>
    </row>
    <row r="58" spans="1:11" s="492" customFormat="1" ht="9.9499999999999993" customHeight="1" x14ac:dyDescent="0.2">
      <c r="A58" s="353" t="s">
        <v>751</v>
      </c>
      <c r="B58" s="254"/>
      <c r="C58" s="273"/>
      <c r="D58" s="273"/>
      <c r="E58" s="273"/>
      <c r="F58" s="273"/>
      <c r="G58" s="273"/>
      <c r="H58" s="273"/>
      <c r="I58" s="273"/>
      <c r="J58" s="254"/>
      <c r="K58" s="253"/>
    </row>
    <row r="59" spans="1:11" s="492" customFormat="1" ht="9.9499999999999993" customHeight="1" x14ac:dyDescent="0.2">
      <c r="A59" s="349" t="s">
        <v>688</v>
      </c>
      <c r="B59" s="254"/>
      <c r="C59" s="454">
        <f>SUM('SONPFF PensionHealth'!L56)</f>
        <v>3393</v>
      </c>
      <c r="D59" s="273"/>
      <c r="E59" s="339">
        <v>0</v>
      </c>
      <c r="F59" s="273"/>
      <c r="G59" s="1565">
        <f>SONPCustodial!Z28</f>
        <v>0</v>
      </c>
      <c r="H59" s="273"/>
      <c r="I59" s="346">
        <f>'BS-agency '!F45</f>
        <v>656</v>
      </c>
      <c r="J59" s="254"/>
      <c r="K59" s="253"/>
    </row>
    <row r="60" spans="1:11" s="492" customFormat="1" ht="9.9499999999999993" customHeight="1" x14ac:dyDescent="0.2">
      <c r="A60" s="349" t="s">
        <v>847</v>
      </c>
      <c r="B60" s="254"/>
      <c r="C60" s="273">
        <f>SUM('SONPFF PensionHealth'!L57)</f>
        <v>13391</v>
      </c>
      <c r="D60" s="273"/>
      <c r="E60" s="273"/>
      <c r="F60" s="273"/>
      <c r="G60" s="273">
        <f>SONPCustodial!Z29</f>
        <v>0</v>
      </c>
      <c r="H60" s="273"/>
      <c r="I60" s="273">
        <f>'BS-agency '!H45</f>
        <v>5883</v>
      </c>
      <c r="J60" s="254"/>
      <c r="K60" s="253"/>
    </row>
    <row r="61" spans="1:11" s="492" customFormat="1" ht="9.9499999999999993" customHeight="1" x14ac:dyDescent="0.2">
      <c r="A61" s="349" t="s">
        <v>254</v>
      </c>
      <c r="B61" s="254"/>
      <c r="C61" s="273">
        <f>SUM('SONPFF PensionHealth'!L58)</f>
        <v>5109</v>
      </c>
      <c r="D61" s="273"/>
      <c r="E61" s="273"/>
      <c r="F61" s="273"/>
      <c r="G61" s="273"/>
      <c r="H61" s="273"/>
      <c r="I61" s="273"/>
      <c r="J61" s="254"/>
      <c r="K61" s="253"/>
    </row>
    <row r="62" spans="1:11" s="492" customFormat="1" ht="9.9499999999999993" customHeight="1" x14ac:dyDescent="0.2">
      <c r="A62" s="349" t="s">
        <v>690</v>
      </c>
      <c r="B62" s="254"/>
      <c r="C62" s="273">
        <f>SUM('SONPFF PensionHealth'!L59)</f>
        <v>447</v>
      </c>
      <c r="D62" s="273"/>
      <c r="E62" s="273"/>
      <c r="F62" s="273"/>
      <c r="G62" s="273"/>
      <c r="H62" s="273"/>
      <c r="I62" s="273"/>
      <c r="J62" s="254"/>
      <c r="K62" s="253"/>
    </row>
    <row r="63" spans="1:11" s="492" customFormat="1" ht="9.9499999999999993" hidden="1" customHeight="1" x14ac:dyDescent="0.2">
      <c r="A63" s="349" t="s">
        <v>753</v>
      </c>
      <c r="B63" s="254"/>
      <c r="C63" s="273"/>
      <c r="D63" s="273"/>
      <c r="E63" s="273"/>
      <c r="F63" s="273"/>
      <c r="G63" s="273"/>
      <c r="H63" s="273"/>
      <c r="I63" s="273"/>
      <c r="J63" s="254"/>
      <c r="K63" s="253"/>
    </row>
    <row r="64" spans="1:11" s="492" customFormat="1" ht="9.9499999999999993" hidden="1" customHeight="1" x14ac:dyDescent="0.2">
      <c r="A64" s="349" t="s">
        <v>692</v>
      </c>
      <c r="B64" s="254"/>
      <c r="C64" s="273">
        <f>SUM('SONPFF PensionHealth'!L60)</f>
        <v>0</v>
      </c>
      <c r="D64" s="273"/>
      <c r="E64" s="273"/>
      <c r="F64" s="273"/>
      <c r="G64" s="273"/>
      <c r="H64" s="273"/>
      <c r="I64" s="273">
        <f>SUM('BS-agency '!J46)</f>
        <v>0</v>
      </c>
      <c r="J64" s="254"/>
      <c r="K64" s="253"/>
    </row>
    <row r="65" spans="1:11" s="492" customFormat="1" ht="9.9499999999999993" customHeight="1" x14ac:dyDescent="0.2">
      <c r="A65" s="349" t="s">
        <v>854</v>
      </c>
      <c r="B65" s="254"/>
      <c r="C65" s="273">
        <f>SUM('SONPFF PensionHealth'!L62)</f>
        <v>87732</v>
      </c>
      <c r="D65" s="273"/>
      <c r="E65" s="273">
        <f>+E15</f>
        <v>0</v>
      </c>
      <c r="F65" s="273"/>
      <c r="G65" s="273"/>
      <c r="H65" s="273"/>
      <c r="I65" s="273"/>
      <c r="J65" s="254"/>
      <c r="K65" s="253"/>
    </row>
    <row r="66" spans="1:11" s="492" customFormat="1" ht="5.0999999999999996" customHeight="1" x14ac:dyDescent="0.2">
      <c r="A66" s="352"/>
      <c r="B66" s="254"/>
      <c r="C66" s="340"/>
      <c r="D66" s="273"/>
      <c r="E66" s="340"/>
      <c r="F66" s="273"/>
      <c r="G66" s="340"/>
      <c r="H66" s="273"/>
      <c r="I66" s="340"/>
      <c r="J66" s="254"/>
      <c r="K66" s="253"/>
    </row>
    <row r="67" spans="1:11" s="492" customFormat="1" ht="9.9499999999999993" customHeight="1" thickBot="1" x14ac:dyDescent="0.25">
      <c r="A67" s="353" t="s">
        <v>702</v>
      </c>
      <c r="B67" s="254"/>
      <c r="C67" s="596">
        <f>SUM(C59:C65)</f>
        <v>110072</v>
      </c>
      <c r="D67" s="273"/>
      <c r="E67" s="341">
        <f>SUM(E59:E65)</f>
        <v>0</v>
      </c>
      <c r="F67" s="273"/>
      <c r="G67" s="1563">
        <f>SUM(G59:G65)</f>
        <v>0</v>
      </c>
      <c r="H67" s="273"/>
      <c r="I67" s="344">
        <f>SUM(I59:I65)</f>
        <v>6539</v>
      </c>
      <c r="J67" s="254"/>
      <c r="K67" s="253"/>
    </row>
    <row r="68" spans="1:11" s="492" customFormat="1" ht="5.0999999999999996" customHeight="1" thickTop="1" x14ac:dyDescent="0.2">
      <c r="A68" s="253"/>
      <c r="B68" s="254"/>
      <c r="C68" s="254"/>
      <c r="D68" s="273"/>
      <c r="E68" s="254"/>
      <c r="F68" s="273"/>
      <c r="G68" s="254"/>
      <c r="H68" s="273"/>
      <c r="I68" s="254"/>
      <c r="J68" s="254"/>
      <c r="K68" s="253"/>
    </row>
    <row r="69" spans="1:11" s="492" customFormat="1" ht="9.9499999999999993" customHeight="1" x14ac:dyDescent="0.2">
      <c r="A69" s="353" t="s">
        <v>1113</v>
      </c>
      <c r="B69" s="254"/>
      <c r="C69" s="254"/>
      <c r="D69" s="273"/>
      <c r="E69" s="254"/>
      <c r="F69" s="273"/>
      <c r="G69" s="254"/>
      <c r="H69" s="273"/>
      <c r="I69" s="254"/>
      <c r="J69" s="254"/>
      <c r="K69" s="253"/>
    </row>
    <row r="70" spans="1:11" s="492" customFormat="1" ht="9.9499999999999993" customHeight="1" x14ac:dyDescent="0.2">
      <c r="A70" s="349" t="s">
        <v>1484</v>
      </c>
      <c r="B70" s="253"/>
      <c r="C70" s="538">
        <f>'SONPFF PensionHealth'!L67</f>
        <v>3923604</v>
      </c>
      <c r="D70" s="538"/>
      <c r="E70" s="646"/>
      <c r="F70" s="533"/>
      <c r="G70" s="538"/>
      <c r="H70" s="533"/>
      <c r="I70" s="538"/>
      <c r="J70" s="254"/>
      <c r="K70" s="253"/>
    </row>
    <row r="71" spans="1:11" s="492" customFormat="1" ht="9.9499999999999993" customHeight="1" x14ac:dyDescent="0.2">
      <c r="A71" s="349" t="s">
        <v>1301</v>
      </c>
      <c r="B71" s="254"/>
      <c r="C71" s="538">
        <f>'SONPFF PensionHealth'!L68</f>
        <v>585149</v>
      </c>
      <c r="D71" s="254"/>
      <c r="E71" s="254"/>
      <c r="F71" s="254"/>
      <c r="G71" s="538"/>
      <c r="H71" s="254"/>
      <c r="I71" s="254"/>
      <c r="J71" s="254"/>
      <c r="K71" s="253"/>
    </row>
    <row r="72" spans="1:11" s="492" customFormat="1" ht="9.9499999999999993" customHeight="1" x14ac:dyDescent="0.2">
      <c r="A72" s="349" t="s">
        <v>1513</v>
      </c>
      <c r="B72" s="254"/>
      <c r="C72" s="538"/>
      <c r="D72" s="254"/>
      <c r="E72" s="254"/>
      <c r="F72" s="254"/>
      <c r="G72" s="538"/>
      <c r="H72" s="254"/>
      <c r="I72" s="254"/>
      <c r="J72" s="254"/>
      <c r="K72" s="253"/>
    </row>
    <row r="73" spans="1:11" s="492" customFormat="1" ht="9.9499999999999993" customHeight="1" x14ac:dyDescent="0.2">
      <c r="A73" s="253" t="s">
        <v>1514</v>
      </c>
      <c r="B73" s="254"/>
      <c r="C73" s="254"/>
      <c r="D73" s="254"/>
      <c r="E73" s="538"/>
      <c r="F73" s="254"/>
      <c r="G73" s="254">
        <f>SONPCustodial!Z43</f>
        <v>6429</v>
      </c>
      <c r="H73" s="254"/>
      <c r="I73" s="254"/>
      <c r="J73" s="254"/>
      <c r="K73" s="253"/>
    </row>
    <row r="74" spans="1:11" s="492" customFormat="1" ht="5.0999999999999996" customHeight="1" x14ac:dyDescent="0.2">
      <c r="A74" s="253"/>
      <c r="B74" s="254"/>
      <c r="C74" s="340"/>
      <c r="D74" s="273"/>
      <c r="E74" s="340"/>
      <c r="F74" s="273"/>
      <c r="G74" s="340"/>
      <c r="H74" s="273"/>
      <c r="I74" s="273"/>
      <c r="J74" s="254"/>
      <c r="K74" s="253"/>
    </row>
    <row r="75" spans="1:11" s="492" customFormat="1" ht="9.9499999999999993" customHeight="1" thickBot="1" x14ac:dyDescent="0.25">
      <c r="A75" s="353" t="s">
        <v>1116</v>
      </c>
      <c r="B75" s="254"/>
      <c r="C75" s="344">
        <f>SUM(C70:C73)</f>
        <v>4508753</v>
      </c>
      <c r="D75" s="273"/>
      <c r="E75" s="344">
        <f>SUM(E70:E73)</f>
        <v>0</v>
      </c>
      <c r="F75" s="273"/>
      <c r="G75" s="344">
        <f>SUM(G70:G73)</f>
        <v>6429</v>
      </c>
      <c r="H75" s="273"/>
      <c r="I75" s="339"/>
      <c r="J75" s="254"/>
      <c r="K75" s="253"/>
    </row>
    <row r="76" spans="1:11" s="492" customFormat="1" ht="5.0999999999999996" customHeight="1" thickTop="1" x14ac:dyDescent="0.2">
      <c r="A76" s="253"/>
      <c r="B76" s="253"/>
      <c r="C76" s="253"/>
      <c r="D76" s="253"/>
      <c r="E76" s="253"/>
      <c r="F76" s="253"/>
      <c r="G76" s="253"/>
      <c r="H76" s="253"/>
      <c r="I76" s="253"/>
      <c r="J76" s="253"/>
      <c r="K76" s="253"/>
    </row>
    <row r="77" spans="1:11" s="492" customFormat="1" ht="9.9499999999999993" customHeight="1" x14ac:dyDescent="0.2">
      <c r="A77" s="253"/>
      <c r="B77" s="253"/>
      <c r="C77" s="259"/>
      <c r="D77" s="253"/>
      <c r="E77" s="253"/>
      <c r="F77" s="253"/>
      <c r="G77" s="259"/>
      <c r="H77" s="253"/>
      <c r="I77" s="253"/>
      <c r="J77" s="253"/>
      <c r="K77" s="253"/>
    </row>
    <row r="78" spans="1:11" s="492" customFormat="1" ht="9.9499999999999993" customHeight="1" x14ac:dyDescent="0.2">
      <c r="A78" s="253"/>
      <c r="B78" s="253"/>
      <c r="C78" s="259"/>
      <c r="D78" s="253"/>
      <c r="E78" s="253"/>
      <c r="F78" s="253"/>
      <c r="G78" s="259"/>
      <c r="H78" s="253"/>
      <c r="I78" s="253"/>
      <c r="J78" s="253"/>
      <c r="K78" s="253"/>
    </row>
    <row r="79" spans="1:11" s="492" customFormat="1" ht="9.9499999999999993" customHeight="1" x14ac:dyDescent="0.2">
      <c r="A79" s="253"/>
      <c r="B79" s="253"/>
      <c r="C79" s="253"/>
      <c r="D79" s="253"/>
      <c r="E79" s="253"/>
      <c r="F79" s="253"/>
      <c r="G79" s="253"/>
      <c r="H79" s="253"/>
      <c r="I79" s="253"/>
      <c r="J79" s="253"/>
      <c r="K79" s="253"/>
    </row>
    <row r="80" spans="1:11" s="650" customFormat="1" ht="9.9499999999999993" customHeight="1" x14ac:dyDescent="0.2">
      <c r="A80" s="400"/>
      <c r="B80" s="400"/>
      <c r="C80" s="420">
        <f>SUM(C56-C67-C75)</f>
        <v>0</v>
      </c>
      <c r="D80" s="420"/>
      <c r="E80" s="420">
        <f>SUM(E56-E67-E75)</f>
        <v>0</v>
      </c>
      <c r="F80" s="420"/>
      <c r="G80" s="420">
        <f>SUM(G56-G67-G75)</f>
        <v>0</v>
      </c>
      <c r="H80" s="420"/>
      <c r="I80" s="420">
        <f>SUM(I56-I67-I75)</f>
        <v>0</v>
      </c>
      <c r="J80" s="400"/>
      <c r="K80" s="400"/>
    </row>
    <row r="81" spans="1:11" s="492" customFormat="1" ht="9.9499999999999993" customHeight="1" x14ac:dyDescent="0.2">
      <c r="A81" s="253"/>
      <c r="B81" s="253"/>
      <c r="C81" s="253"/>
      <c r="D81" s="253"/>
      <c r="E81" s="253"/>
      <c r="F81" s="253"/>
      <c r="G81" s="253"/>
      <c r="H81" s="253"/>
      <c r="I81" s="253"/>
      <c r="J81" s="253"/>
      <c r="K81" s="253"/>
    </row>
    <row r="82" spans="1:11" s="492" customFormat="1" ht="9.9499999999999993" customHeight="1" x14ac:dyDescent="0.2">
      <c r="A82" s="253"/>
      <c r="B82" s="253"/>
      <c r="C82" s="253"/>
      <c r="D82" s="253"/>
      <c r="E82" s="253"/>
      <c r="F82" s="253"/>
      <c r="G82" s="253"/>
      <c r="H82" s="253"/>
      <c r="I82" s="253"/>
      <c r="J82" s="253"/>
      <c r="K82" s="253"/>
    </row>
    <row r="83" spans="1:11" ht="9.9499999999999993" customHeight="1" x14ac:dyDescent="0.2">
      <c r="A83" s="314" t="s">
        <v>1050</v>
      </c>
    </row>
    <row r="144" spans="9:9" ht="9.9499999999999993" customHeight="1" x14ac:dyDescent="0.2">
      <c r="I144" s="314">
        <v>21</v>
      </c>
    </row>
  </sheetData>
  <mergeCells count="1">
    <mergeCell ref="A1:G1"/>
  </mergeCells>
  <phoneticPr fontId="9" type="noConversion"/>
  <printOptions horizontalCentered="1"/>
  <pageMargins left="0.25" right="0.25" top="0.5" bottom="0.625" header="0.5" footer="0.5"/>
  <pageSetup orientation="portrait" r:id="rId1"/>
  <headerFooter alignWithMargins="0">
    <oddFooter>&amp;C&amp;"Calibri,Regular"&amp;9The accompanying notes are an integral part of these basic financial statements.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theme="6" tint="0.39997558519241921"/>
    <pageSetUpPr fitToPage="1"/>
  </sheetPr>
  <dimension ref="A1:Z147"/>
  <sheetViews>
    <sheetView view="pageBreakPreview" zoomScale="110" zoomScaleNormal="100" workbookViewId="0">
      <selection activeCell="Z13" activeCellId="3" sqref="Z18 Z17 Z15 Z13"/>
    </sheetView>
  </sheetViews>
  <sheetFormatPr defaultColWidth="9.140625" defaultRowHeight="9.9499999999999993" customHeight="1" x14ac:dyDescent="0.2"/>
  <cols>
    <col min="1" max="1" width="50.85546875" style="569" customWidth="1"/>
    <col min="2" max="2" width="1.5703125" style="247" customWidth="1"/>
    <col min="3" max="3" width="17.5703125" style="247" customWidth="1"/>
    <col min="4" max="4" width="1.5703125" style="247" customWidth="1"/>
    <col min="5" max="5" width="17.5703125" style="569" customWidth="1"/>
    <col min="6" max="6" width="2.5703125" style="569" customWidth="1"/>
    <col min="7" max="16384" width="9.140625" style="569"/>
  </cols>
  <sheetData>
    <row r="1" spans="1:16" ht="16.5" customHeight="1" thickBot="1" x14ac:dyDescent="0.25">
      <c r="A1" s="1582" t="s">
        <v>1033</v>
      </c>
      <c r="B1" s="1582"/>
      <c r="C1" s="1582"/>
      <c r="D1" s="1582"/>
      <c r="E1" s="1582"/>
      <c r="F1" s="1594"/>
      <c r="G1" s="1594"/>
      <c r="H1" s="1594"/>
    </row>
    <row r="2" spans="1:16" ht="15" customHeight="1" x14ac:dyDescent="0.2">
      <c r="A2" s="700" t="s">
        <v>1145</v>
      </c>
      <c r="B2" s="310"/>
      <c r="C2" s="310"/>
      <c r="D2" s="310"/>
      <c r="E2" s="310"/>
      <c r="F2" s="700"/>
      <c r="G2" s="310"/>
      <c r="H2" s="310"/>
    </row>
    <row r="3" spans="1:16" ht="15" customHeight="1" x14ac:dyDescent="0.2">
      <c r="A3" s="700" t="s">
        <v>408</v>
      </c>
      <c r="B3" s="310"/>
      <c r="C3" s="310"/>
      <c r="D3" s="310"/>
      <c r="E3" s="310"/>
      <c r="F3" s="700"/>
      <c r="G3" s="310"/>
      <c r="H3" s="310"/>
    </row>
    <row r="4" spans="1:16" ht="12.95" customHeight="1" x14ac:dyDescent="0.2">
      <c r="A4" s="943" t="s">
        <v>1725</v>
      </c>
      <c r="B4" s="432"/>
      <c r="C4" s="432"/>
      <c r="D4" s="432"/>
      <c r="E4" s="432"/>
      <c r="F4" s="1579"/>
      <c r="G4" s="1579"/>
      <c r="H4" s="1579"/>
    </row>
    <row r="5" spans="1:16" ht="12" customHeight="1" x14ac:dyDescent="0.2">
      <c r="A5" s="253" t="s">
        <v>972</v>
      </c>
      <c r="B5" s="394"/>
      <c r="C5" s="394"/>
      <c r="D5" s="394"/>
      <c r="E5" s="394"/>
      <c r="F5" s="253"/>
      <c r="G5" s="394"/>
      <c r="H5" s="394"/>
    </row>
    <row r="6" spans="1:16" ht="12.6" hidden="1" customHeight="1" x14ac:dyDescent="0.2">
      <c r="G6" s="302"/>
      <c r="H6" s="302"/>
    </row>
    <row r="7" spans="1:16" s="472" customFormat="1" ht="12.6" hidden="1" customHeight="1" x14ac:dyDescent="0.2">
      <c r="B7" s="336"/>
      <c r="C7" s="310"/>
      <c r="D7" s="336"/>
      <c r="E7" s="475" t="s">
        <v>979</v>
      </c>
      <c r="G7" s="602"/>
      <c r="H7" s="602"/>
    </row>
    <row r="8" spans="1:16" s="472" customFormat="1" ht="12.6" hidden="1" customHeight="1" x14ac:dyDescent="0.2">
      <c r="B8" s="336"/>
      <c r="D8" s="336"/>
      <c r="E8" s="475"/>
      <c r="G8" s="602"/>
      <c r="H8" s="602"/>
    </row>
    <row r="9" spans="1:16" s="472" customFormat="1" ht="12.6" customHeight="1" x14ac:dyDescent="0.2">
      <c r="B9" s="336"/>
      <c r="C9" s="310" t="s">
        <v>1561</v>
      </c>
      <c r="D9" s="336"/>
      <c r="E9" s="475"/>
      <c r="G9" s="624"/>
      <c r="H9" s="624"/>
    </row>
    <row r="10" spans="1:16" s="472" customFormat="1" ht="12.6" customHeight="1" x14ac:dyDescent="0.2">
      <c r="B10" s="336"/>
      <c r="C10" s="310" t="s">
        <v>1563</v>
      </c>
      <c r="D10" s="336"/>
      <c r="E10" s="475" t="s">
        <v>1525</v>
      </c>
    </row>
    <row r="11" spans="1:16" s="472" customFormat="1" ht="12.6" customHeight="1" x14ac:dyDescent="0.2">
      <c r="B11" s="336"/>
      <c r="C11" s="574" t="s">
        <v>1562</v>
      </c>
      <c r="D11" s="336"/>
      <c r="E11" s="946" t="s">
        <v>864</v>
      </c>
    </row>
    <row r="12" spans="1:16" s="317" customFormat="1" ht="9.9499999999999993" customHeight="1" x14ac:dyDescent="0.2">
      <c r="A12" s="353" t="s">
        <v>29</v>
      </c>
      <c r="B12" s="253"/>
      <c r="C12" s="253"/>
      <c r="D12" s="253"/>
    </row>
    <row r="13" spans="1:16" s="317" customFormat="1" ht="9.9499999999999993" customHeight="1" x14ac:dyDescent="0.2">
      <c r="A13" s="707" t="s">
        <v>422</v>
      </c>
      <c r="B13" s="254"/>
      <c r="C13" s="254"/>
      <c r="D13" s="254"/>
      <c r="E13" s="323"/>
      <c r="P13" s="317">
        <v>0</v>
      </c>
    </row>
    <row r="14" spans="1:16" s="317" customFormat="1" ht="9.9499999999999993" customHeight="1" x14ac:dyDescent="0.2">
      <c r="A14" s="351" t="s">
        <v>423</v>
      </c>
      <c r="B14" s="254"/>
      <c r="C14" s="339">
        <f>SUM('SOCFNAFF PensionHealth'!N13)</f>
        <v>144658</v>
      </c>
      <c r="D14" s="254"/>
      <c r="E14" s="1565">
        <v>0</v>
      </c>
    </row>
    <row r="15" spans="1:16" s="317" customFormat="1" ht="9.9499999999999993" customHeight="1" x14ac:dyDescent="0.2">
      <c r="A15" s="351" t="s">
        <v>424</v>
      </c>
      <c r="B15" s="254"/>
      <c r="C15" s="273">
        <f>SUM('SOCFNAFF PensionHealth'!N14)</f>
        <v>70326</v>
      </c>
      <c r="D15" s="273"/>
      <c r="E15" s="324"/>
    </row>
    <row r="16" spans="1:16" s="317" customFormat="1" ht="9.9499999999999993" customHeight="1" x14ac:dyDescent="0.2">
      <c r="A16" s="351" t="s">
        <v>425</v>
      </c>
      <c r="B16" s="254"/>
      <c r="C16" s="273">
        <f>SUM('SOCFNAFF PensionHealth'!N15)</f>
        <v>2887</v>
      </c>
      <c r="D16" s="273"/>
      <c r="E16" s="626">
        <f>SUM('x-Changes PrivatePurpose'!N12)</f>
        <v>0</v>
      </c>
    </row>
    <row r="17" spans="1:5" s="317" customFormat="1" ht="5.0999999999999996" customHeight="1" x14ac:dyDescent="0.2">
      <c r="A17" s="577"/>
      <c r="B17" s="254"/>
      <c r="C17" s="340"/>
      <c r="D17" s="273"/>
      <c r="E17" s="627"/>
    </row>
    <row r="18" spans="1:5" s="317" customFormat="1" ht="9.9499999999999993" customHeight="1" x14ac:dyDescent="0.2">
      <c r="A18" s="707" t="s">
        <v>426</v>
      </c>
      <c r="B18" s="254"/>
      <c r="C18" s="341">
        <f>SUM(C14:C16)</f>
        <v>217871</v>
      </c>
      <c r="D18" s="273"/>
      <c r="E18" s="1563">
        <f>SUM(E14:E16)</f>
        <v>0</v>
      </c>
    </row>
    <row r="19" spans="1:5" s="317" customFormat="1" ht="5.0999999999999996" customHeight="1" x14ac:dyDescent="0.2">
      <c r="A19" s="482"/>
      <c r="B19" s="254"/>
      <c r="C19" s="273"/>
      <c r="D19" s="273"/>
      <c r="E19" s="324"/>
    </row>
    <row r="20" spans="1:5" s="317" customFormat="1" ht="9.9499999999999993" customHeight="1" x14ac:dyDescent="0.2">
      <c r="A20" s="707" t="s">
        <v>427</v>
      </c>
      <c r="B20" s="254"/>
      <c r="C20" s="273"/>
      <c r="D20" s="273"/>
      <c r="E20" s="324"/>
    </row>
    <row r="21" spans="1:5" s="317" customFormat="1" ht="9.9499999999999993" customHeight="1" x14ac:dyDescent="0.2">
      <c r="A21" s="351" t="s">
        <v>1462</v>
      </c>
      <c r="B21" s="254"/>
      <c r="C21" s="273">
        <f>SUM('SOCFNAFF PensionHealth'!N20)</f>
        <v>395051</v>
      </c>
      <c r="D21" s="273"/>
      <c r="E21" s="273">
        <f>SOCFNAFFCust!AB14</f>
        <v>38</v>
      </c>
    </row>
    <row r="22" spans="1:5" s="317" customFormat="1" ht="9.9499999999999993" customHeight="1" x14ac:dyDescent="0.2">
      <c r="A22" s="351" t="s">
        <v>428</v>
      </c>
      <c r="B22" s="254"/>
      <c r="C22" s="273">
        <f>SUM('SOCFNAFF PensionHealth'!N21)</f>
        <v>9806</v>
      </c>
      <c r="D22" s="273"/>
      <c r="E22" s="324"/>
    </row>
    <row r="23" spans="1:5" s="317" customFormat="1" ht="9.9499999999999993" customHeight="1" x14ac:dyDescent="0.2">
      <c r="A23" s="351" t="s">
        <v>429</v>
      </c>
      <c r="B23" s="254"/>
      <c r="C23" s="273">
        <f>SUM('SOCFNAFF PensionHealth'!N22)</f>
        <v>67041</v>
      </c>
      <c r="D23" s="273"/>
      <c r="E23" s="273">
        <f>SOCFNAFFCust!AB15</f>
        <v>106</v>
      </c>
    </row>
    <row r="24" spans="1:5" s="317" customFormat="1" ht="9.9499999999999993" customHeight="1" x14ac:dyDescent="0.2">
      <c r="A24" s="351" t="s">
        <v>414</v>
      </c>
      <c r="B24" s="254"/>
      <c r="C24" s="273">
        <f>SUM('SOCFNAFF PensionHealth'!N23)</f>
        <v>7667</v>
      </c>
      <c r="D24" s="273"/>
      <c r="E24" s="324"/>
    </row>
    <row r="25" spans="1:5" s="317" customFormat="1" ht="9.9499999999999993" customHeight="1" x14ac:dyDescent="0.2">
      <c r="A25" s="351" t="s">
        <v>430</v>
      </c>
      <c r="B25" s="254"/>
      <c r="C25" s="273">
        <f>SUM('SOCFNAFF PensionHealth'!N24)</f>
        <v>171</v>
      </c>
      <c r="D25" s="273"/>
      <c r="E25" s="324"/>
    </row>
    <row r="26" spans="1:5" s="317" customFormat="1" ht="5.0999999999999996" customHeight="1" x14ac:dyDescent="0.2">
      <c r="A26" s="577"/>
      <c r="B26" s="254"/>
      <c r="C26" s="340"/>
      <c r="D26" s="273"/>
      <c r="E26" s="496"/>
    </row>
    <row r="27" spans="1:5" s="317" customFormat="1" ht="9.9499999999999993" customHeight="1" x14ac:dyDescent="0.2">
      <c r="A27" s="707" t="s">
        <v>852</v>
      </c>
      <c r="B27" s="254"/>
      <c r="C27" s="273">
        <f>SUM(C20:C25)</f>
        <v>479736</v>
      </c>
      <c r="D27" s="273"/>
      <c r="E27" s="273">
        <f>SUM(E20:E25)</f>
        <v>144</v>
      </c>
    </row>
    <row r="28" spans="1:5" s="317" customFormat="1" ht="9.9499999999999993" customHeight="1" x14ac:dyDescent="0.2">
      <c r="A28" s="351" t="s">
        <v>887</v>
      </c>
      <c r="B28" s="254"/>
      <c r="C28" s="273"/>
      <c r="D28" s="273"/>
      <c r="E28" s="324"/>
    </row>
    <row r="29" spans="1:5" s="317" customFormat="1" ht="9.9499999999999993" customHeight="1" x14ac:dyDescent="0.2">
      <c r="A29" s="705" t="s">
        <v>431</v>
      </c>
      <c r="B29" s="254"/>
      <c r="C29" s="273">
        <f>SUM('SOCFNAFF PensionHealth'!N28)</f>
        <v>-10903</v>
      </c>
      <c r="D29" s="273"/>
      <c r="E29" s="324"/>
    </row>
    <row r="30" spans="1:5" s="317" customFormat="1" ht="9.9499999999999993" customHeight="1" x14ac:dyDescent="0.2">
      <c r="A30" s="351" t="s">
        <v>359</v>
      </c>
      <c r="B30" s="254"/>
      <c r="C30" s="273"/>
      <c r="D30" s="273"/>
      <c r="E30" s="324"/>
    </row>
    <row r="31" spans="1:5" s="317" customFormat="1" ht="9.9499999999999993" customHeight="1" x14ac:dyDescent="0.2">
      <c r="A31" s="705" t="s">
        <v>352</v>
      </c>
      <c r="B31" s="254"/>
      <c r="C31" s="273">
        <f>SUM('SOCFNAFF PensionHealth'!N30)</f>
        <v>-7236</v>
      </c>
      <c r="D31" s="273"/>
      <c r="E31" s="324"/>
    </row>
    <row r="32" spans="1:5" s="317" customFormat="1" ht="5.0999999999999996" customHeight="1" x14ac:dyDescent="0.2">
      <c r="A32" s="577"/>
      <c r="B32" s="254"/>
      <c r="C32" s="340"/>
      <c r="D32" s="273"/>
      <c r="E32" s="496"/>
    </row>
    <row r="33" spans="1:5" s="317" customFormat="1" ht="10.5" customHeight="1" x14ac:dyDescent="0.2">
      <c r="A33" s="707" t="s">
        <v>349</v>
      </c>
      <c r="B33" s="254"/>
      <c r="C33" s="273">
        <f>C27+(SUM(C28:C31))</f>
        <v>461597</v>
      </c>
      <c r="D33" s="273"/>
      <c r="E33" s="273">
        <f>E27-(SUM(E28:E31))</f>
        <v>144</v>
      </c>
    </row>
    <row r="34" spans="1:5" s="317" customFormat="1" ht="5.0999999999999996" customHeight="1" x14ac:dyDescent="0.2">
      <c r="A34" s="482"/>
      <c r="B34" s="254"/>
      <c r="C34" s="273"/>
      <c r="D34" s="273"/>
      <c r="E34" s="324"/>
    </row>
    <row r="35" spans="1:5" s="317" customFormat="1" ht="9.9499999999999993" customHeight="1" x14ac:dyDescent="0.2">
      <c r="A35" s="707" t="s">
        <v>1517</v>
      </c>
      <c r="B35" s="254"/>
      <c r="C35" s="273"/>
      <c r="D35" s="273"/>
      <c r="E35" s="626"/>
    </row>
    <row r="36" spans="1:5" s="317" customFormat="1" ht="9.9499999999999993" customHeight="1" x14ac:dyDescent="0.2">
      <c r="A36" s="351" t="s">
        <v>1518</v>
      </c>
      <c r="B36" s="254"/>
      <c r="C36" s="273"/>
      <c r="D36" s="273"/>
      <c r="E36" s="626">
        <f>SOCFNAFFCust!AB27</f>
        <v>46589</v>
      </c>
    </row>
    <row r="37" spans="1:5" s="317" customFormat="1" ht="9.9499999999999993" customHeight="1" x14ac:dyDescent="0.2">
      <c r="A37" s="351" t="s">
        <v>1519</v>
      </c>
      <c r="B37" s="254"/>
      <c r="C37" s="273"/>
      <c r="D37" s="273"/>
      <c r="E37" s="626">
        <f>SOCFNAFFCust!AB28</f>
        <v>8412</v>
      </c>
    </row>
    <row r="38" spans="1:5" s="317" customFormat="1" ht="9.9499999999999993" customHeight="1" x14ac:dyDescent="0.2">
      <c r="A38" s="351" t="s">
        <v>1520</v>
      </c>
      <c r="B38" s="254"/>
      <c r="C38" s="273"/>
      <c r="D38" s="273"/>
      <c r="E38" s="626">
        <f>SOCFNAFFCust!AB29</f>
        <v>279</v>
      </c>
    </row>
    <row r="39" spans="1:5" s="317" customFormat="1" ht="5.0999999999999996" customHeight="1" x14ac:dyDescent="0.2">
      <c r="B39" s="254"/>
      <c r="C39" s="340"/>
      <c r="D39" s="273"/>
      <c r="E39" s="340"/>
    </row>
    <row r="40" spans="1:5" s="317" customFormat="1" ht="9.9499999999999993" customHeight="1" x14ac:dyDescent="0.2">
      <c r="A40" s="707" t="s">
        <v>1558</v>
      </c>
      <c r="B40" s="254"/>
      <c r="C40" s="1563">
        <f>SUM(C35:C38)</f>
        <v>0</v>
      </c>
      <c r="D40" s="273"/>
      <c r="E40" s="341">
        <f>SUM(E35:E38)</f>
        <v>55280</v>
      </c>
    </row>
    <row r="41" spans="1:5" s="317" customFormat="1" ht="5.0999999999999996" customHeight="1" x14ac:dyDescent="0.2">
      <c r="B41" s="254"/>
      <c r="C41" s="273"/>
      <c r="D41" s="273"/>
      <c r="E41" s="324"/>
    </row>
    <row r="42" spans="1:5" s="317" customFormat="1" ht="9.9499999999999993" customHeight="1" x14ac:dyDescent="0.2">
      <c r="A42" s="353" t="s">
        <v>432</v>
      </c>
      <c r="B42" s="254"/>
      <c r="C42" s="341">
        <f>C18+C33+C40</f>
        <v>679468</v>
      </c>
      <c r="D42" s="273"/>
      <c r="E42" s="341">
        <f>E18+E33+E40</f>
        <v>55424</v>
      </c>
    </row>
    <row r="43" spans="1:5" s="317" customFormat="1" ht="5.0999999999999996" customHeight="1" x14ac:dyDescent="0.2">
      <c r="B43" s="254"/>
      <c r="C43" s="273"/>
      <c r="D43" s="273"/>
      <c r="E43" s="324"/>
    </row>
    <row r="44" spans="1:5" s="317" customFormat="1" ht="9.9499999999999993" customHeight="1" x14ac:dyDescent="0.2">
      <c r="A44" s="353" t="s">
        <v>30</v>
      </c>
      <c r="B44" s="254"/>
      <c r="C44" s="273"/>
      <c r="D44" s="273"/>
      <c r="E44" s="324"/>
    </row>
    <row r="45" spans="1:5" s="317" customFormat="1" ht="9.9499999999999993" customHeight="1" x14ac:dyDescent="0.2">
      <c r="A45" s="349" t="s">
        <v>433</v>
      </c>
      <c r="B45" s="254"/>
      <c r="C45" s="273">
        <f>SUM('SOCFNAFF PensionHealth'!N37)</f>
        <v>292141</v>
      </c>
      <c r="D45" s="273"/>
      <c r="E45" s="324"/>
    </row>
    <row r="46" spans="1:5" s="317" customFormat="1" ht="9.9499999999999993" customHeight="1" x14ac:dyDescent="0.2">
      <c r="A46" s="349" t="s">
        <v>434</v>
      </c>
      <c r="B46" s="254"/>
      <c r="C46" s="273">
        <f>SUM('SOCFNAFF PensionHealth'!N38)</f>
        <v>2211</v>
      </c>
      <c r="D46" s="273"/>
      <c r="E46" s="324"/>
    </row>
    <row r="47" spans="1:5" s="317" customFormat="1" ht="9.9499999999999993" customHeight="1" x14ac:dyDescent="0.2">
      <c r="A47" s="349" t="s">
        <v>718</v>
      </c>
      <c r="B47" s="254"/>
      <c r="C47" s="273">
        <f>SUM('SOCFNAFF PensionHealth'!N39)</f>
        <v>9992</v>
      </c>
      <c r="D47" s="273"/>
      <c r="E47" s="273">
        <f>SOCFNAFFCust!AB36</f>
        <v>847</v>
      </c>
    </row>
    <row r="48" spans="1:5" s="317" customFormat="1" ht="9.9499999999999993" customHeight="1" x14ac:dyDescent="0.2">
      <c r="A48" s="349" t="s">
        <v>1521</v>
      </c>
      <c r="B48" s="254"/>
      <c r="C48" s="273"/>
      <c r="D48" s="273"/>
      <c r="E48" s="273">
        <f>SOCFNAFFCust!AB37</f>
        <v>7670</v>
      </c>
    </row>
    <row r="49" spans="1:26" s="317" customFormat="1" ht="9.9499999999999993" customHeight="1" x14ac:dyDescent="0.2">
      <c r="A49" s="349" t="s">
        <v>1522</v>
      </c>
      <c r="B49" s="254"/>
      <c r="C49" s="273"/>
      <c r="D49" s="273"/>
      <c r="E49" s="273">
        <f>SOCFNAFFCust!AB38</f>
        <v>132</v>
      </c>
    </row>
    <row r="50" spans="1:26" s="317" customFormat="1" ht="9.9499999999999993" customHeight="1" x14ac:dyDescent="0.2">
      <c r="A50" s="349" t="s">
        <v>1523</v>
      </c>
      <c r="B50" s="254"/>
      <c r="C50" s="273"/>
      <c r="D50" s="273"/>
      <c r="E50" s="273">
        <f>SOCFNAFFCust!AB39</f>
        <v>44992</v>
      </c>
    </row>
    <row r="51" spans="1:26" s="317" customFormat="1" ht="9.9499999999999993" hidden="1" customHeight="1" x14ac:dyDescent="0.2">
      <c r="A51" s="349" t="s">
        <v>718</v>
      </c>
      <c r="B51" s="254"/>
      <c r="C51" s="273"/>
      <c r="D51" s="273"/>
    </row>
    <row r="52" spans="1:26" s="317" customFormat="1" ht="9.9499999999999993" customHeight="1" x14ac:dyDescent="0.2">
      <c r="A52" s="349" t="s">
        <v>1524</v>
      </c>
      <c r="B52" s="254"/>
      <c r="C52" s="273"/>
      <c r="D52" s="273"/>
      <c r="E52" s="273">
        <f>SOCFNAFFCust!AB40</f>
        <v>2744</v>
      </c>
    </row>
    <row r="53" spans="1:26" s="317" customFormat="1" ht="5.0999999999999996" customHeight="1" x14ac:dyDescent="0.2">
      <c r="B53" s="254"/>
      <c r="C53" s="340"/>
      <c r="D53" s="273"/>
      <c r="E53" s="496"/>
    </row>
    <row r="54" spans="1:26" s="317" customFormat="1" ht="9.9499999999999993" customHeight="1" x14ac:dyDescent="0.2">
      <c r="A54" s="353" t="s">
        <v>435</v>
      </c>
      <c r="B54" s="254"/>
      <c r="C54" s="341">
        <f>SUM(C45:C52)</f>
        <v>304344</v>
      </c>
      <c r="D54" s="273"/>
      <c r="E54" s="341">
        <f>SUM(E45:E52)</f>
        <v>56385</v>
      </c>
    </row>
    <row r="55" spans="1:26" s="317" customFormat="1" ht="5.0999999999999996" customHeight="1" x14ac:dyDescent="0.2">
      <c r="B55" s="254"/>
      <c r="C55" s="273"/>
      <c r="D55" s="273"/>
      <c r="E55" s="324"/>
    </row>
    <row r="56" spans="1:26" s="317" customFormat="1" ht="9.9499999999999993" customHeight="1" x14ac:dyDescent="0.2">
      <c r="A56" s="353" t="s">
        <v>1111</v>
      </c>
      <c r="B56" s="254"/>
      <c r="C56" s="273">
        <f>C42-C54</f>
        <v>375124</v>
      </c>
      <c r="D56" s="324"/>
      <c r="E56" s="273">
        <f>E42-E54</f>
        <v>-961</v>
      </c>
    </row>
    <row r="57" spans="1:26" s="317" customFormat="1" ht="5.0999999999999996" customHeight="1" x14ac:dyDescent="0.2">
      <c r="B57" s="254"/>
      <c r="C57" s="273"/>
      <c r="D57" s="273"/>
      <c r="E57" s="324"/>
    </row>
    <row r="58" spans="1:26" s="317" customFormat="1" ht="9.9499999999999993" customHeight="1" x14ac:dyDescent="0.2">
      <c r="A58" s="253" t="s">
        <v>1748</v>
      </c>
      <c r="B58" s="254"/>
      <c r="C58" s="341">
        <v>4133629</v>
      </c>
      <c r="D58" s="273"/>
      <c r="E58" s="341">
        <v>7390</v>
      </c>
    </row>
    <row r="59" spans="1:26" s="253" customFormat="1" ht="5.0999999999999996" hidden="1" customHeight="1" x14ac:dyDescent="0.2">
      <c r="B59" s="273"/>
      <c r="C59" s="1486"/>
      <c r="D59" s="273"/>
      <c r="E59" s="340"/>
      <c r="F59" s="273"/>
      <c r="G59" s="273"/>
      <c r="H59" s="273"/>
      <c r="I59" s="273"/>
      <c r="J59" s="273"/>
      <c r="K59" s="273"/>
      <c r="L59" s="273"/>
      <c r="M59" s="273"/>
      <c r="N59" s="273"/>
      <c r="O59" s="273"/>
      <c r="P59" s="273"/>
      <c r="Q59" s="273"/>
      <c r="R59" s="273"/>
      <c r="S59" s="273"/>
      <c r="T59" s="273"/>
      <c r="U59" s="273"/>
      <c r="V59" s="273"/>
      <c r="W59" s="273"/>
      <c r="X59" s="273"/>
      <c r="Y59" s="273"/>
      <c r="Z59" s="348"/>
    </row>
    <row r="60" spans="1:26" s="253" customFormat="1" ht="9.9499999999999993" hidden="1" customHeight="1" x14ac:dyDescent="0.2">
      <c r="A60" s="253" t="s">
        <v>1715</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99"/>
    </row>
    <row r="61" spans="1:26" s="253" customFormat="1" ht="5.0999999999999996" hidden="1" customHeight="1" x14ac:dyDescent="0.2">
      <c r="B61" s="273"/>
      <c r="C61" s="399"/>
      <c r="D61" s="273"/>
      <c r="E61" s="273"/>
      <c r="F61" s="273"/>
      <c r="G61" s="273"/>
      <c r="H61" s="273"/>
      <c r="I61" s="273"/>
      <c r="J61" s="273"/>
      <c r="K61" s="273"/>
      <c r="L61" s="273"/>
      <c r="M61" s="273"/>
      <c r="N61" s="273"/>
      <c r="O61" s="273"/>
      <c r="P61" s="273"/>
      <c r="Q61" s="273"/>
      <c r="R61" s="273"/>
      <c r="S61" s="273"/>
      <c r="T61" s="273"/>
      <c r="U61" s="273"/>
      <c r="V61" s="273"/>
      <c r="W61" s="273"/>
      <c r="X61" s="273"/>
      <c r="Y61" s="273"/>
      <c r="Z61" s="348"/>
    </row>
    <row r="62" spans="1:26" s="253" customFormat="1" ht="9.9499999999999993" hidden="1" customHeight="1" x14ac:dyDescent="0.2">
      <c r="A62" s="253" t="s">
        <v>1716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99"/>
    </row>
    <row r="63" spans="1:26" s="253" customFormat="1" ht="5.0999999999999996" hidden="1" customHeight="1" x14ac:dyDescent="0.2">
      <c r="B63" s="273"/>
      <c r="C63" s="399"/>
      <c r="D63" s="273"/>
      <c r="E63" s="273"/>
      <c r="F63" s="273"/>
      <c r="G63" s="273"/>
      <c r="H63" s="273"/>
      <c r="I63" s="273"/>
      <c r="J63" s="273"/>
      <c r="K63" s="273"/>
      <c r="L63" s="273"/>
      <c r="M63" s="273"/>
      <c r="N63" s="273"/>
      <c r="O63" s="273"/>
      <c r="P63" s="273"/>
      <c r="Q63" s="273"/>
      <c r="R63" s="273"/>
      <c r="S63" s="273"/>
      <c r="T63" s="273"/>
      <c r="U63" s="273"/>
      <c r="V63" s="273"/>
      <c r="W63" s="273"/>
      <c r="X63" s="273"/>
      <c r="Y63" s="273"/>
      <c r="Z63" s="348"/>
    </row>
    <row r="64" spans="1:26" s="253" customFormat="1" ht="9.9499999999999993" hidden="1" customHeight="1" x14ac:dyDescent="0.2">
      <c r="A64" s="253" t="s">
        <v>1717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99"/>
    </row>
    <row r="65" spans="1:26" s="253" customFormat="1" ht="5.0999999999999996" hidden="1" customHeight="1" x14ac:dyDescent="0.2">
      <c r="B65" s="273"/>
      <c r="C65" s="399"/>
      <c r="D65" s="273"/>
      <c r="E65" s="273"/>
      <c r="F65" s="273"/>
      <c r="G65" s="273"/>
      <c r="H65" s="273"/>
      <c r="I65" s="273"/>
      <c r="J65" s="273"/>
      <c r="K65" s="273"/>
      <c r="L65" s="273"/>
      <c r="M65" s="273"/>
      <c r="N65" s="273"/>
      <c r="O65" s="273"/>
      <c r="P65" s="273"/>
      <c r="Q65" s="273"/>
      <c r="R65" s="273"/>
      <c r="S65" s="273"/>
      <c r="T65" s="273"/>
      <c r="U65" s="273"/>
      <c r="V65" s="273"/>
      <c r="W65" s="273"/>
      <c r="X65" s="273"/>
      <c r="Y65" s="273"/>
      <c r="Z65" s="348"/>
    </row>
    <row r="66" spans="1:26" s="317" customFormat="1" ht="9.9499999999999993" hidden="1" customHeight="1" x14ac:dyDescent="0.2">
      <c r="A66" s="349" t="s">
        <v>1721</v>
      </c>
      <c r="B66" s="254"/>
      <c r="C66" s="341">
        <f>SUM(C58:C64)</f>
        <v>4133629</v>
      </c>
      <c r="D66" s="273"/>
      <c r="E66" s="341">
        <f>SUM(E58:E64)</f>
        <v>7390</v>
      </c>
    </row>
    <row r="67" spans="1:26" s="317" customFormat="1" ht="5.0999999999999996" customHeight="1" x14ac:dyDescent="0.2">
      <c r="A67" s="253"/>
      <c r="B67" s="254"/>
      <c r="C67" s="273"/>
      <c r="D67" s="273"/>
      <c r="E67" s="273"/>
    </row>
    <row r="68" spans="1:26" s="317" customFormat="1" ht="9.9499999999999993" customHeight="1" thickBot="1" x14ac:dyDescent="0.25">
      <c r="A68" s="284" t="s">
        <v>1115</v>
      </c>
      <c r="B68" s="339"/>
      <c r="C68" s="344">
        <f>+C66+C56</f>
        <v>4508753</v>
      </c>
      <c r="D68" s="339"/>
      <c r="E68" s="344">
        <f>+E66+E56</f>
        <v>6429</v>
      </c>
    </row>
    <row r="69" spans="1:26" s="317" customFormat="1" ht="5.0999999999999996" customHeight="1" thickTop="1" x14ac:dyDescent="0.2">
      <c r="B69" s="253"/>
      <c r="C69" s="253"/>
      <c r="D69" s="253"/>
    </row>
    <row r="70" spans="1:26" s="317" customFormat="1" ht="5.0999999999999996" customHeight="1" x14ac:dyDescent="0.2">
      <c r="B70" s="253"/>
      <c r="C70" s="253"/>
      <c r="D70" s="253"/>
    </row>
    <row r="71" spans="1:26" s="317" customFormat="1" ht="5.0999999999999996" customHeight="1" x14ac:dyDescent="0.2">
      <c r="B71" s="253"/>
      <c r="C71" s="253"/>
      <c r="D71" s="253"/>
    </row>
    <row r="72" spans="1:26" s="317" customFormat="1" ht="28.5" customHeight="1" x14ac:dyDescent="0.2">
      <c r="A72" s="1595"/>
      <c r="B72" s="1595"/>
      <c r="C72" s="1595"/>
      <c r="D72" s="1595"/>
      <c r="E72" s="1595"/>
    </row>
    <row r="73" spans="1:26" s="317" customFormat="1" ht="9.9499999999999993" customHeight="1" x14ac:dyDescent="0.2">
      <c r="A73" s="498"/>
      <c r="B73" s="253"/>
      <c r="C73" s="253"/>
      <c r="D73" s="253"/>
    </row>
    <row r="74" spans="1:26" s="317" customFormat="1" ht="9.9499999999999993" customHeight="1" x14ac:dyDescent="0.2">
      <c r="A74" s="498"/>
      <c r="B74" s="253"/>
      <c r="C74" s="253"/>
      <c r="D74" s="253"/>
    </row>
    <row r="75" spans="1:26" s="317" customFormat="1" ht="9.9499999999999993" customHeight="1" x14ac:dyDescent="0.2">
      <c r="A75" s="498"/>
      <c r="B75" s="253"/>
      <c r="C75" s="253"/>
      <c r="D75" s="253"/>
    </row>
    <row r="76" spans="1:26" s="498" customFormat="1" ht="9.9499999999999993" customHeight="1" x14ac:dyDescent="0.2">
      <c r="B76" s="400"/>
      <c r="C76" s="420">
        <f>SUM(SONPFF!C75-SOCFNAFF!C68)</f>
        <v>0</v>
      </c>
      <c r="D76" s="420"/>
      <c r="E76" s="420">
        <f>+E68-SONPFF!G75</f>
        <v>0</v>
      </c>
    </row>
    <row r="77" spans="1:26" s="317" customFormat="1" ht="9.9499999999999993" customHeight="1" x14ac:dyDescent="0.2">
      <c r="B77" s="404"/>
      <c r="C77" s="628"/>
      <c r="D77" s="404"/>
      <c r="E77" s="582"/>
    </row>
    <row r="78" spans="1:26" s="317" customFormat="1" ht="9.9499999999999993" customHeight="1" x14ac:dyDescent="0.2">
      <c r="B78" s="253"/>
      <c r="C78" s="259"/>
      <c r="D78" s="253"/>
    </row>
    <row r="79" spans="1:26" s="317" customFormat="1" ht="9.9499999999999993" customHeight="1" x14ac:dyDescent="0.2">
      <c r="B79" s="253"/>
      <c r="C79" s="253"/>
      <c r="D79" s="253"/>
    </row>
    <row r="80" spans="1:26" s="317" customFormat="1" ht="9.9499999999999993" customHeight="1" x14ac:dyDescent="0.2">
      <c r="B80" s="253"/>
      <c r="C80" s="253"/>
      <c r="D80" s="253"/>
    </row>
    <row r="81" spans="2:4" s="317" customFormat="1" ht="9.9499999999999993" customHeight="1" x14ac:dyDescent="0.2">
      <c r="B81" s="253"/>
      <c r="C81" s="253"/>
      <c r="D81" s="253"/>
    </row>
    <row r="82" spans="2:4" s="317" customFormat="1" ht="9.9499999999999993" customHeight="1" x14ac:dyDescent="0.2">
      <c r="B82" s="253"/>
      <c r="C82" s="253"/>
      <c r="D82" s="253"/>
    </row>
    <row r="147" spans="7:7" ht="9.9499999999999993" customHeight="1" x14ac:dyDescent="0.2">
      <c r="G147" s="569">
        <v>21</v>
      </c>
    </row>
  </sheetData>
  <mergeCells count="4">
    <mergeCell ref="A1:E1"/>
    <mergeCell ref="F1:H1"/>
    <mergeCell ref="F4:H4"/>
    <mergeCell ref="A72:E72"/>
  </mergeCells>
  <phoneticPr fontId="9" type="noConversion"/>
  <printOptions horizontalCentered="1"/>
  <pageMargins left="0.25" right="0.25" top="0.5" bottom="0.625" header="0.5" footer="0.5"/>
  <pageSetup orientation="portrait" r:id="rId1"/>
  <headerFooter alignWithMargins="0">
    <oddFooter>&amp;C&amp;"Calibri,Regular"&amp;9The accompanying notes are an integral part of these basic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6" tint="0.39997558519241921"/>
  </sheetPr>
  <dimension ref="A1:IJ191"/>
  <sheetViews>
    <sheetView view="pageBreakPreview" topLeftCell="A99" zoomScale="110" zoomScaleNormal="100" zoomScaleSheetLayoutView="110" workbookViewId="0">
      <selection activeCell="A144" sqref="A144"/>
    </sheetView>
  </sheetViews>
  <sheetFormatPr defaultColWidth="9.140625" defaultRowHeight="9.9499999999999993" customHeight="1" x14ac:dyDescent="0.2"/>
  <cols>
    <col min="1" max="1" width="44.85546875" style="247" customWidth="1"/>
    <col min="2" max="2" width="1.5703125" style="247" customWidth="1"/>
    <col min="3" max="3" width="12.42578125" style="247" customWidth="1"/>
    <col min="4" max="4" width="1.5703125" style="247" customWidth="1"/>
    <col min="5" max="5" width="12.85546875" style="247" bestFit="1" customWidth="1"/>
    <col min="6" max="6" width="1.5703125" style="247" customWidth="1"/>
    <col min="7" max="7" width="11.42578125" style="247" customWidth="1"/>
    <col min="8" max="8" width="1.5703125" style="247" customWidth="1"/>
    <col min="9" max="9" width="12.42578125" style="247" customWidth="1"/>
    <col min="10" max="11" width="1.5703125" style="247" customWidth="1"/>
    <col min="12" max="12" width="43.28515625" style="247" bestFit="1" customWidth="1"/>
    <col min="13" max="14" width="1.5703125" style="247" customWidth="1"/>
    <col min="15" max="15" width="15.5703125" style="247" customWidth="1"/>
    <col min="16" max="17" width="1.5703125" style="247" customWidth="1"/>
    <col min="18" max="18" width="15.5703125" style="247" customWidth="1"/>
    <col min="19" max="20" width="1.5703125" style="247" customWidth="1"/>
    <col min="21" max="21" width="15.5703125" style="247" customWidth="1"/>
    <col min="22" max="23" width="1.5703125" style="247" customWidth="1"/>
    <col min="24" max="24" width="15.5703125" style="247" customWidth="1"/>
    <col min="25" max="26" width="1.5703125" style="247" customWidth="1"/>
    <col min="27" max="27" width="15.5703125" style="247" customWidth="1"/>
    <col min="28" max="29" width="1.5703125" style="247" customWidth="1"/>
    <col min="30" max="30" width="15.5703125" style="247" customWidth="1"/>
    <col min="31" max="42" width="9.140625" style="247"/>
    <col min="43" max="43" width="9.5703125" style="247" bestFit="1" customWidth="1"/>
    <col min="44" max="16384" width="9.140625" style="247"/>
  </cols>
  <sheetData>
    <row r="1" spans="1:30" ht="16.5" customHeight="1" thickBot="1" x14ac:dyDescent="0.25">
      <c r="A1" s="1582" t="s">
        <v>1033</v>
      </c>
      <c r="B1" s="1582"/>
      <c r="C1" s="1582"/>
      <c r="D1" s="1582"/>
      <c r="E1" s="1582"/>
      <c r="F1" s="1582"/>
      <c r="G1" s="1582"/>
      <c r="H1" s="1582"/>
      <c r="I1" s="1582"/>
      <c r="J1" s="394"/>
      <c r="K1" s="394"/>
      <c r="L1" s="394"/>
      <c r="M1" s="394"/>
      <c r="N1" s="394"/>
      <c r="O1" s="394"/>
      <c r="P1" s="394"/>
      <c r="Q1" s="394"/>
      <c r="R1" s="394"/>
      <c r="S1" s="394"/>
      <c r="T1" s="394"/>
      <c r="U1" s="394"/>
      <c r="V1" s="394"/>
      <c r="W1" s="394"/>
      <c r="X1" s="394"/>
      <c r="Y1" s="394"/>
      <c r="Z1" s="394"/>
      <c r="AA1" s="394"/>
      <c r="AB1" s="394"/>
      <c r="AC1" s="394"/>
      <c r="AD1" s="394"/>
    </row>
    <row r="2" spans="1:30" ht="15" customHeight="1" x14ac:dyDescent="0.2">
      <c r="A2" s="700" t="s">
        <v>1109</v>
      </c>
      <c r="B2" s="310"/>
      <c r="C2" s="310"/>
      <c r="D2" s="310"/>
      <c r="E2" s="310"/>
      <c r="F2" s="310"/>
      <c r="G2" s="310"/>
      <c r="H2" s="597"/>
      <c r="I2" s="597"/>
      <c r="J2" s="597"/>
    </row>
    <row r="3" spans="1:30" ht="15" customHeight="1" x14ac:dyDescent="0.2">
      <c r="A3" s="700" t="s">
        <v>715</v>
      </c>
      <c r="B3" s="310"/>
      <c r="C3" s="310"/>
      <c r="D3" s="310"/>
      <c r="E3" s="310"/>
      <c r="F3" s="310"/>
      <c r="G3" s="310"/>
      <c r="H3" s="302"/>
      <c r="I3" s="302"/>
      <c r="J3" s="302"/>
      <c r="K3" s="302"/>
      <c r="L3" s="302"/>
      <c r="M3" s="302"/>
      <c r="N3" s="302"/>
      <c r="O3" s="302"/>
      <c r="P3" s="302"/>
      <c r="Q3" s="302"/>
      <c r="R3" s="302"/>
      <c r="S3" s="302"/>
      <c r="T3" s="302"/>
      <c r="U3" s="302"/>
      <c r="V3" s="302"/>
      <c r="W3" s="302"/>
      <c r="X3" s="302"/>
      <c r="Y3" s="302"/>
      <c r="Z3" s="302"/>
      <c r="AA3" s="302"/>
      <c r="AB3" s="302"/>
      <c r="AC3" s="302"/>
      <c r="AD3" s="302"/>
    </row>
    <row r="4" spans="1:30" ht="12.95" customHeight="1" x14ac:dyDescent="0.2">
      <c r="A4" s="1579" t="s">
        <v>1724</v>
      </c>
      <c r="B4" s="1579"/>
      <c r="C4" s="1579"/>
      <c r="D4" s="1579"/>
      <c r="E4" s="1579"/>
      <c r="F4" s="1579"/>
      <c r="G4" s="1579"/>
      <c r="H4" s="302"/>
      <c r="I4" s="302"/>
      <c r="J4" s="302"/>
      <c r="K4" s="302"/>
      <c r="L4" s="302"/>
      <c r="M4" s="302"/>
      <c r="N4" s="302"/>
      <c r="O4" s="302"/>
      <c r="P4" s="302"/>
      <c r="Q4" s="302"/>
      <c r="R4" s="302"/>
      <c r="S4" s="302"/>
      <c r="T4" s="302"/>
      <c r="U4" s="302"/>
      <c r="V4" s="302"/>
      <c r="W4" s="302"/>
      <c r="X4" s="302"/>
      <c r="Y4" s="302"/>
      <c r="Z4" s="302"/>
      <c r="AA4" s="302"/>
      <c r="AB4" s="302"/>
      <c r="AC4" s="302"/>
      <c r="AD4" s="302"/>
    </row>
    <row r="5" spans="1:30" ht="12" customHeight="1" x14ac:dyDescent="0.2">
      <c r="A5" s="253" t="s">
        <v>972</v>
      </c>
      <c r="H5" s="302"/>
      <c r="I5" s="302"/>
      <c r="J5" s="302"/>
      <c r="K5" s="302"/>
      <c r="L5" s="302"/>
      <c r="M5" s="302"/>
      <c r="N5" s="302"/>
      <c r="O5" s="302"/>
      <c r="P5" s="302"/>
      <c r="Q5" s="302"/>
      <c r="R5" s="302"/>
      <c r="S5" s="302"/>
      <c r="T5" s="302"/>
      <c r="U5" s="302"/>
      <c r="V5" s="302"/>
      <c r="W5" s="302"/>
      <c r="X5" s="302"/>
      <c r="Y5" s="302"/>
      <c r="Z5" s="302"/>
      <c r="AA5" s="302"/>
      <c r="AB5" s="302"/>
      <c r="AC5" s="302"/>
      <c r="AD5" s="302"/>
    </row>
    <row r="6" spans="1:30" ht="12" customHeight="1" x14ac:dyDescent="0.2">
      <c r="A6" s="253"/>
      <c r="H6" s="302"/>
      <c r="I6" s="302"/>
      <c r="J6" s="302"/>
      <c r="K6" s="302"/>
      <c r="L6" s="302"/>
      <c r="M6" s="302"/>
      <c r="N6" s="302"/>
      <c r="O6" s="302"/>
      <c r="P6" s="302"/>
      <c r="Q6" s="302"/>
      <c r="R6" s="302"/>
      <c r="S6" s="302"/>
      <c r="T6" s="302"/>
      <c r="U6" s="302"/>
      <c r="V6" s="302"/>
      <c r="W6" s="302"/>
      <c r="X6" s="302"/>
      <c r="Y6" s="302"/>
      <c r="Z6" s="302"/>
      <c r="AA6" s="302"/>
      <c r="AB6" s="302"/>
      <c r="AC6" s="302"/>
      <c r="AD6" s="302"/>
    </row>
    <row r="7" spans="1:30" s="336" customFormat="1" ht="12.6" customHeight="1" x14ac:dyDescent="0.2">
      <c r="C7" s="358"/>
      <c r="E7" s="310" t="s">
        <v>437</v>
      </c>
      <c r="G7" s="310" t="s">
        <v>1064</v>
      </c>
      <c r="K7" s="1581"/>
      <c r="L7" s="1581"/>
      <c r="N7" s="1581"/>
      <c r="O7" s="1581"/>
      <c r="Q7" s="1581"/>
      <c r="R7" s="1581"/>
      <c r="T7" s="1581"/>
      <c r="U7" s="1581"/>
      <c r="W7" s="1581"/>
      <c r="X7" s="1581"/>
      <c r="Z7" s="1581"/>
      <c r="AA7" s="1581"/>
      <c r="AC7" s="1581"/>
      <c r="AD7" s="1581"/>
    </row>
    <row r="8" spans="1:30" s="336" customFormat="1" ht="12.6" customHeight="1" x14ac:dyDescent="0.2">
      <c r="C8" s="310" t="s">
        <v>460</v>
      </c>
      <c r="E8" s="310" t="s">
        <v>220</v>
      </c>
      <c r="G8" s="310" t="s">
        <v>761</v>
      </c>
      <c r="K8" s="1581"/>
      <c r="L8" s="1581"/>
      <c r="N8" s="1581"/>
      <c r="O8" s="1581"/>
      <c r="Q8" s="1581"/>
      <c r="R8" s="1581"/>
      <c r="T8" s="1581"/>
      <c r="U8" s="1581"/>
      <c r="W8" s="1581"/>
      <c r="X8" s="1581"/>
      <c r="Z8" s="1581"/>
      <c r="AA8" s="1581"/>
      <c r="AC8" s="1581"/>
      <c r="AD8" s="1581"/>
    </row>
    <row r="9" spans="1:30" s="336" customFormat="1" ht="12.6" customHeight="1" x14ac:dyDescent="0.2">
      <c r="C9" s="574" t="s">
        <v>221</v>
      </c>
      <c r="E9" s="574" t="s">
        <v>59</v>
      </c>
      <c r="G9" s="574" t="s">
        <v>762</v>
      </c>
      <c r="I9" s="574" t="s">
        <v>671</v>
      </c>
      <c r="J9" s="358"/>
      <c r="K9" s="1581"/>
      <c r="L9" s="1581"/>
      <c r="N9" s="1581"/>
      <c r="O9" s="1581"/>
      <c r="Q9" s="1581"/>
      <c r="R9" s="1581"/>
      <c r="T9" s="1581"/>
      <c r="U9" s="1581"/>
      <c r="W9" s="1581"/>
      <c r="X9" s="1581"/>
      <c r="Z9" s="1581"/>
      <c r="AA9" s="1581"/>
      <c r="AC9" s="1581"/>
      <c r="AD9" s="1581"/>
    </row>
    <row r="10" spans="1:30" s="253" customFormat="1" ht="9.75" customHeight="1" x14ac:dyDescent="0.2">
      <c r="A10" s="353" t="s">
        <v>672</v>
      </c>
      <c r="C10" s="257"/>
      <c r="E10" s="257"/>
      <c r="G10" s="257"/>
      <c r="I10" s="257"/>
      <c r="J10" s="257"/>
      <c r="K10" s="257"/>
      <c r="L10" s="257"/>
      <c r="N10" s="257"/>
      <c r="O10" s="257"/>
      <c r="Q10" s="257"/>
      <c r="R10" s="257"/>
      <c r="T10" s="257"/>
      <c r="U10" s="257"/>
      <c r="W10" s="257"/>
      <c r="X10" s="257"/>
      <c r="Z10" s="257"/>
      <c r="AA10" s="257"/>
      <c r="AC10" s="257"/>
      <c r="AD10" s="257"/>
    </row>
    <row r="11" spans="1:30" s="253" customFormat="1" ht="9.9499999999999993" customHeight="1" x14ac:dyDescent="0.2">
      <c r="A11" s="707" t="s">
        <v>61</v>
      </c>
    </row>
    <row r="12" spans="1:30" s="253" customFormat="1" ht="9.75" customHeight="1" x14ac:dyDescent="0.2">
      <c r="A12" s="708" t="s">
        <v>373</v>
      </c>
    </row>
    <row r="13" spans="1:30" s="253" customFormat="1" ht="9.9499999999999993" customHeight="1" x14ac:dyDescent="0.2">
      <c r="A13" s="705" t="s">
        <v>673</v>
      </c>
      <c r="B13" s="254"/>
      <c r="C13" s="339">
        <v>394213</v>
      </c>
      <c r="D13" s="347"/>
      <c r="E13" s="339">
        <v>234813</v>
      </c>
      <c r="F13" s="347"/>
      <c r="G13" s="339">
        <f>SUM('Combining SONPCU'!V15)</f>
        <v>32236</v>
      </c>
      <c r="H13" s="347"/>
      <c r="I13" s="339">
        <f t="shared" ref="I13:I23" si="0">E13+C13+G13</f>
        <v>661262</v>
      </c>
      <c r="J13" s="273"/>
      <c r="K13" s="301"/>
      <c r="L13" s="347"/>
      <c r="M13" s="347"/>
      <c r="N13" s="364"/>
      <c r="O13" s="347"/>
      <c r="P13" s="347"/>
      <c r="Q13" s="364"/>
      <c r="R13" s="347"/>
      <c r="S13" s="347"/>
      <c r="T13" s="364"/>
      <c r="U13" s="347"/>
      <c r="V13" s="347"/>
      <c r="W13" s="364"/>
      <c r="X13" s="347"/>
      <c r="Y13" s="347"/>
      <c r="Z13" s="364"/>
      <c r="AA13" s="347"/>
      <c r="AB13" s="347"/>
      <c r="AC13" s="364"/>
      <c r="AD13" s="347"/>
    </row>
    <row r="14" spans="1:30" s="253" customFormat="1" ht="9.9499999999999993" hidden="1" customHeight="1" x14ac:dyDescent="0.2">
      <c r="A14" s="705" t="s">
        <v>535</v>
      </c>
      <c r="B14" s="254"/>
      <c r="C14" s="347"/>
      <c r="D14" s="347"/>
      <c r="E14" s="347"/>
      <c r="F14" s="347"/>
      <c r="G14" s="347"/>
      <c r="H14" s="347"/>
      <c r="I14" s="273">
        <f t="shared" si="0"/>
        <v>0</v>
      </c>
      <c r="J14" s="273"/>
      <c r="K14" s="301"/>
      <c r="L14" s="347"/>
      <c r="M14" s="347"/>
      <c r="N14" s="364"/>
      <c r="O14" s="347"/>
      <c r="P14" s="347">
        <v>0</v>
      </c>
      <c r="Q14" s="364"/>
      <c r="R14" s="347"/>
      <c r="S14" s="347"/>
      <c r="T14" s="364"/>
      <c r="U14" s="347"/>
      <c r="V14" s="347"/>
      <c r="W14" s="364"/>
      <c r="X14" s="347"/>
      <c r="Y14" s="347"/>
      <c r="Z14" s="364"/>
      <c r="AA14" s="347"/>
      <c r="AB14" s="347"/>
      <c r="AC14" s="364"/>
      <c r="AD14" s="347"/>
    </row>
    <row r="15" spans="1:30" s="253" customFormat="1" ht="9.9499999999999993" customHeight="1" x14ac:dyDescent="0.2">
      <c r="A15" s="705" t="s">
        <v>674</v>
      </c>
      <c r="B15" s="254"/>
      <c r="C15" s="273">
        <v>0</v>
      </c>
      <c r="D15" s="273"/>
      <c r="E15" s="273">
        <v>471940</v>
      </c>
      <c r="F15" s="273"/>
      <c r="G15" s="273">
        <f>SUM('Combining SONPCU'!V16)</f>
        <v>39271</v>
      </c>
      <c r="H15" s="273"/>
      <c r="I15" s="273">
        <f t="shared" si="0"/>
        <v>511211</v>
      </c>
      <c r="J15" s="273"/>
      <c r="K15" s="254"/>
      <c r="L15" s="273"/>
      <c r="M15" s="273"/>
      <c r="N15" s="273"/>
      <c r="O15" s="273"/>
      <c r="P15" s="273"/>
      <c r="Q15" s="273"/>
      <c r="R15" s="273"/>
      <c r="S15" s="273"/>
      <c r="T15" s="273"/>
      <c r="U15" s="273"/>
      <c r="V15" s="273"/>
      <c r="W15" s="273"/>
      <c r="X15" s="273"/>
      <c r="Y15" s="273"/>
      <c r="Z15" s="273"/>
      <c r="AA15" s="273"/>
      <c r="AB15" s="273"/>
      <c r="AC15" s="273"/>
      <c r="AD15" s="273"/>
    </row>
    <row r="16" spans="1:30" s="253" customFormat="1" ht="9.9499999999999993" customHeight="1" x14ac:dyDescent="0.2">
      <c r="A16" s="705" t="s">
        <v>252</v>
      </c>
      <c r="B16" s="254"/>
      <c r="C16" s="273">
        <v>442370</v>
      </c>
      <c r="D16" s="273"/>
      <c r="E16" s="273">
        <f>88195+4816</f>
        <v>93011</v>
      </c>
      <c r="F16" s="273"/>
      <c r="G16" s="273">
        <f>SUM('Combining SONPCU'!V17)</f>
        <v>2965</v>
      </c>
      <c r="H16" s="273"/>
      <c r="I16" s="273">
        <f t="shared" si="0"/>
        <v>538346</v>
      </c>
      <c r="J16" s="273"/>
      <c r="K16" s="254"/>
      <c r="L16" s="273"/>
      <c r="M16" s="273"/>
      <c r="N16" s="273"/>
      <c r="O16" s="273"/>
      <c r="P16" s="273"/>
      <c r="Q16" s="273"/>
      <c r="R16" s="273"/>
      <c r="S16" s="273"/>
      <c r="T16" s="273"/>
      <c r="U16" s="273"/>
      <c r="V16" s="273"/>
      <c r="W16" s="273"/>
      <c r="X16" s="273"/>
      <c r="Y16" s="273"/>
      <c r="Z16" s="273"/>
      <c r="AA16" s="273"/>
      <c r="AB16" s="273"/>
      <c r="AC16" s="273"/>
      <c r="AD16" s="273"/>
    </row>
    <row r="17" spans="1:30" s="253" customFormat="1" ht="9.9499999999999993" hidden="1" customHeight="1" x14ac:dyDescent="0.2">
      <c r="A17" s="749" t="s">
        <v>446</v>
      </c>
      <c r="B17" s="254"/>
      <c r="C17" s="273"/>
      <c r="D17" s="273"/>
      <c r="E17" s="273"/>
      <c r="F17" s="273"/>
      <c r="G17" s="273">
        <f>SUM('Combining SONPCU'!V18)</f>
        <v>0</v>
      </c>
      <c r="H17" s="273"/>
      <c r="I17" s="273">
        <f t="shared" si="0"/>
        <v>0</v>
      </c>
      <c r="J17" s="273"/>
      <c r="K17" s="254"/>
      <c r="L17" s="273"/>
      <c r="M17" s="273"/>
      <c r="N17" s="273"/>
      <c r="O17" s="273"/>
      <c r="P17" s="273"/>
      <c r="Q17" s="273"/>
      <c r="R17" s="273"/>
      <c r="S17" s="273"/>
      <c r="T17" s="273"/>
      <c r="U17" s="273"/>
      <c r="V17" s="273"/>
      <c r="W17" s="273"/>
      <c r="X17" s="273"/>
      <c r="Y17" s="273"/>
      <c r="Z17" s="273"/>
      <c r="AA17" s="273"/>
      <c r="AB17" s="273"/>
      <c r="AC17" s="273"/>
      <c r="AD17" s="273"/>
    </row>
    <row r="18" spans="1:30" s="253" customFormat="1" ht="9.9499999999999993" hidden="1" customHeight="1" x14ac:dyDescent="0.2">
      <c r="A18" s="749" t="s">
        <v>844</v>
      </c>
      <c r="B18" s="254"/>
      <c r="C18" s="273"/>
      <c r="D18" s="273"/>
      <c r="E18" s="273"/>
      <c r="F18" s="273"/>
      <c r="G18" s="273">
        <f>SUM('Combining SONPCU'!V19)</f>
        <v>0</v>
      </c>
      <c r="H18" s="273"/>
      <c r="I18" s="273">
        <f t="shared" si="0"/>
        <v>0</v>
      </c>
      <c r="J18" s="273"/>
      <c r="K18" s="254"/>
      <c r="L18" s="273"/>
      <c r="M18" s="273"/>
      <c r="N18" s="273"/>
      <c r="O18" s="273"/>
      <c r="P18" s="273"/>
      <c r="Q18" s="273"/>
      <c r="R18" s="273"/>
      <c r="S18" s="273"/>
      <c r="T18" s="273"/>
      <c r="U18" s="273"/>
      <c r="V18" s="273"/>
      <c r="W18" s="273"/>
      <c r="X18" s="273"/>
      <c r="Y18" s="273"/>
      <c r="Z18" s="273"/>
      <c r="AA18" s="273"/>
      <c r="AB18" s="273"/>
      <c r="AC18" s="273"/>
      <c r="AD18" s="273"/>
    </row>
    <row r="19" spans="1:30" s="253" customFormat="1" ht="9.9499999999999993" hidden="1" customHeight="1" x14ac:dyDescent="0.2">
      <c r="A19" s="749" t="s">
        <v>676</v>
      </c>
      <c r="B19" s="254"/>
      <c r="C19" s="273"/>
      <c r="D19" s="273"/>
      <c r="E19" s="273"/>
      <c r="F19" s="273"/>
      <c r="G19" s="273">
        <f>SUM('Combining SONPCU'!V20)</f>
        <v>0</v>
      </c>
      <c r="H19" s="273"/>
      <c r="I19" s="273">
        <f t="shared" si="0"/>
        <v>0</v>
      </c>
      <c r="J19" s="273"/>
      <c r="K19" s="254"/>
      <c r="L19" s="273"/>
      <c r="M19" s="273"/>
      <c r="N19" s="273"/>
      <c r="O19" s="273"/>
      <c r="P19" s="273"/>
      <c r="Q19" s="273"/>
      <c r="R19" s="273"/>
      <c r="S19" s="273"/>
      <c r="T19" s="273"/>
      <c r="U19" s="273"/>
      <c r="V19" s="273"/>
      <c r="W19" s="273"/>
      <c r="X19" s="273"/>
      <c r="Y19" s="273"/>
      <c r="Z19" s="273"/>
      <c r="AA19" s="273"/>
      <c r="AB19" s="273"/>
      <c r="AC19" s="273"/>
      <c r="AD19" s="273"/>
    </row>
    <row r="20" spans="1:30" s="253" customFormat="1" ht="9.9499999999999993" customHeight="1" x14ac:dyDescent="0.2">
      <c r="A20" s="705" t="s">
        <v>763</v>
      </c>
      <c r="B20" s="254"/>
      <c r="C20" s="273">
        <v>216904</v>
      </c>
      <c r="D20" s="273"/>
      <c r="E20" s="273">
        <v>7960</v>
      </c>
      <c r="F20" s="273"/>
      <c r="G20" s="273">
        <f>SUM('Combining SONPCU'!V21)</f>
        <v>223</v>
      </c>
      <c r="H20" s="273"/>
      <c r="I20" s="273">
        <f t="shared" si="0"/>
        <v>225087</v>
      </c>
      <c r="J20" s="273"/>
      <c r="K20" s="254"/>
      <c r="L20" s="273"/>
      <c r="M20" s="273"/>
      <c r="N20" s="273"/>
      <c r="O20" s="273"/>
      <c r="P20" s="273"/>
      <c r="Q20" s="273"/>
      <c r="R20" s="273"/>
      <c r="S20" s="273"/>
      <c r="T20" s="273"/>
      <c r="U20" s="273"/>
      <c r="V20" s="273"/>
      <c r="W20" s="273"/>
      <c r="X20" s="273"/>
      <c r="Y20" s="273"/>
      <c r="Z20" s="273"/>
      <c r="AA20" s="273"/>
      <c r="AB20" s="273"/>
      <c r="AC20" s="273"/>
      <c r="AD20" s="273"/>
    </row>
    <row r="21" spans="1:30" s="253" customFormat="1" ht="9.9499999999999993" customHeight="1" x14ac:dyDescent="0.2">
      <c r="A21" s="705" t="s">
        <v>682</v>
      </c>
      <c r="B21" s="254"/>
      <c r="C21" s="273"/>
      <c r="D21" s="273"/>
      <c r="E21" s="273"/>
      <c r="F21" s="273"/>
      <c r="G21" s="273">
        <f>SUM('Combining SONPCU'!V22)</f>
        <v>987</v>
      </c>
      <c r="H21" s="273"/>
      <c r="I21" s="273">
        <f t="shared" si="0"/>
        <v>987</v>
      </c>
      <c r="J21" s="273"/>
      <c r="K21" s="254"/>
      <c r="L21" s="273"/>
      <c r="M21" s="273"/>
      <c r="N21" s="273"/>
      <c r="O21" s="273"/>
      <c r="P21" s="273"/>
      <c r="Q21" s="273"/>
      <c r="R21" s="273"/>
      <c r="S21" s="273"/>
      <c r="T21" s="273"/>
      <c r="U21" s="273"/>
      <c r="V21" s="273"/>
      <c r="W21" s="273"/>
      <c r="X21" s="273"/>
      <c r="Y21" s="273"/>
      <c r="Z21" s="273"/>
      <c r="AA21" s="273"/>
      <c r="AB21" s="273"/>
      <c r="AC21" s="273"/>
      <c r="AD21" s="273"/>
    </row>
    <row r="22" spans="1:30" s="253" customFormat="1" ht="9.9499999999999993" customHeight="1" x14ac:dyDescent="0.2">
      <c r="A22" s="705" t="s">
        <v>679</v>
      </c>
      <c r="B22" s="254"/>
      <c r="C22" s="273">
        <v>151124</v>
      </c>
      <c r="D22" s="273"/>
      <c r="E22" s="273">
        <v>8772</v>
      </c>
      <c r="F22" s="273"/>
      <c r="G22" s="273">
        <f>SUM('Combining SONPCU'!V23)</f>
        <v>19366</v>
      </c>
      <c r="H22" s="273"/>
      <c r="I22" s="273">
        <f t="shared" si="0"/>
        <v>179262</v>
      </c>
      <c r="J22" s="273"/>
      <c r="K22" s="254"/>
      <c r="L22" s="273"/>
      <c r="M22" s="273"/>
      <c r="N22" s="273"/>
      <c r="O22" s="273"/>
      <c r="P22" s="273"/>
      <c r="Q22" s="273"/>
      <c r="R22" s="273"/>
      <c r="S22" s="273"/>
      <c r="T22" s="273"/>
      <c r="U22" s="273"/>
      <c r="V22" s="273"/>
      <c r="W22" s="273"/>
      <c r="X22" s="273"/>
      <c r="Y22" s="273"/>
      <c r="Z22" s="273"/>
      <c r="AA22" s="273"/>
      <c r="AB22" s="273"/>
      <c r="AC22" s="273"/>
      <c r="AD22" s="273"/>
    </row>
    <row r="23" spans="1:30" s="253" customFormat="1" ht="9.9499999999999993" customHeight="1" x14ac:dyDescent="0.2">
      <c r="A23" s="705" t="s">
        <v>982</v>
      </c>
      <c r="B23" s="254"/>
      <c r="C23" s="273"/>
      <c r="D23" s="273"/>
      <c r="E23" s="273">
        <v>0</v>
      </c>
      <c r="F23" s="273"/>
      <c r="G23" s="273">
        <f>SUM('Combining SONPCU'!V24)</f>
        <v>8</v>
      </c>
      <c r="H23" s="273"/>
      <c r="I23" s="273">
        <f t="shared" si="0"/>
        <v>8</v>
      </c>
      <c r="J23" s="273"/>
      <c r="K23" s="254"/>
      <c r="L23" s="273"/>
      <c r="M23" s="273"/>
      <c r="N23" s="273"/>
      <c r="O23" s="273"/>
      <c r="P23" s="273"/>
      <c r="Q23" s="273"/>
      <c r="R23" s="273"/>
      <c r="S23" s="273"/>
      <c r="T23" s="273"/>
      <c r="U23" s="273"/>
      <c r="V23" s="273"/>
      <c r="W23" s="273"/>
      <c r="X23" s="273"/>
      <c r="Y23" s="273"/>
      <c r="Z23" s="273"/>
      <c r="AA23" s="273"/>
      <c r="AB23" s="273"/>
      <c r="AC23" s="273"/>
      <c r="AD23" s="273"/>
    </row>
    <row r="24" spans="1:30" s="253" customFormat="1" ht="9.9499999999999993" customHeight="1" x14ac:dyDescent="0.2">
      <c r="A24" s="705" t="s">
        <v>1773</v>
      </c>
      <c r="B24" s="254"/>
      <c r="C24" s="273"/>
      <c r="D24" s="273"/>
      <c r="E24" s="273"/>
      <c r="F24" s="273"/>
      <c r="G24" s="273">
        <f>SUM('Combining SONPCU'!V25)</f>
        <v>26265</v>
      </c>
      <c r="H24" s="273"/>
      <c r="I24" s="273">
        <f t="shared" ref="I24" si="1">E24+C24+G24</f>
        <v>26265</v>
      </c>
      <c r="J24" s="273"/>
      <c r="K24" s="254"/>
      <c r="L24" s="273"/>
      <c r="M24" s="273"/>
      <c r="N24" s="273"/>
      <c r="O24" s="273"/>
      <c r="P24" s="273"/>
      <c r="Q24" s="273"/>
      <c r="R24" s="273"/>
      <c r="S24" s="273"/>
      <c r="T24" s="273"/>
      <c r="U24" s="273"/>
      <c r="V24" s="273"/>
      <c r="W24" s="273"/>
      <c r="X24" s="273"/>
      <c r="Y24" s="273"/>
      <c r="Z24" s="273"/>
      <c r="AA24" s="273"/>
      <c r="AB24" s="273"/>
      <c r="AC24" s="273"/>
      <c r="AD24" s="273"/>
    </row>
    <row r="25" spans="1:30" s="253" customFormat="1" ht="5.0999999999999996" customHeight="1" x14ac:dyDescent="0.2">
      <c r="A25" s="351"/>
      <c r="B25" s="254"/>
      <c r="C25" s="340"/>
      <c r="D25" s="273"/>
      <c r="E25" s="340"/>
      <c r="F25" s="273"/>
      <c r="G25" s="340"/>
      <c r="H25" s="273"/>
      <c r="I25" s="340"/>
      <c r="J25" s="273"/>
      <c r="K25" s="254"/>
      <c r="L25" s="273"/>
      <c r="M25" s="273"/>
      <c r="N25" s="273"/>
      <c r="O25" s="273"/>
      <c r="P25" s="273"/>
      <c r="Q25" s="273"/>
      <c r="R25" s="273"/>
      <c r="S25" s="273"/>
      <c r="T25" s="273"/>
      <c r="U25" s="273"/>
      <c r="V25" s="273"/>
      <c r="W25" s="273"/>
      <c r="X25" s="273"/>
      <c r="Y25" s="273"/>
      <c r="Z25" s="273"/>
      <c r="AA25" s="273"/>
      <c r="AB25" s="273"/>
      <c r="AC25" s="273"/>
      <c r="AD25" s="273"/>
    </row>
    <row r="26" spans="1:30" s="253" customFormat="1" ht="9.9499999999999993" customHeight="1" x14ac:dyDescent="0.2">
      <c r="A26" s="708" t="s">
        <v>757</v>
      </c>
      <c r="B26" s="254"/>
      <c r="C26" s="341">
        <f>SUM(C13:C24)</f>
        <v>1204611</v>
      </c>
      <c r="D26" s="273"/>
      <c r="E26" s="341">
        <f>SUM(E13:E24)</f>
        <v>816496</v>
      </c>
      <c r="F26" s="273"/>
      <c r="G26" s="341">
        <f>SUM(G13:G24)</f>
        <v>121321</v>
      </c>
      <c r="H26" s="273"/>
      <c r="I26" s="341">
        <f>SUM(I13:I24)</f>
        <v>2142428</v>
      </c>
      <c r="J26" s="273"/>
      <c r="K26" s="254"/>
      <c r="L26" s="273"/>
      <c r="M26" s="273"/>
      <c r="N26" s="273"/>
      <c r="O26" s="273"/>
      <c r="P26" s="273"/>
      <c r="Q26" s="273"/>
      <c r="R26" s="273"/>
      <c r="S26" s="273"/>
      <c r="T26" s="273"/>
      <c r="U26" s="273"/>
      <c r="V26" s="273"/>
      <c r="W26" s="273"/>
      <c r="X26" s="273"/>
      <c r="Y26" s="273"/>
      <c r="Z26" s="273"/>
      <c r="AA26" s="273"/>
      <c r="AB26" s="273"/>
      <c r="AC26" s="273"/>
      <c r="AD26" s="273"/>
    </row>
    <row r="27" spans="1:30" s="253" customFormat="1" ht="5.0999999999999996" customHeight="1" x14ac:dyDescent="0.2">
      <c r="A27" s="349"/>
      <c r="B27" s="254"/>
      <c r="C27" s="273"/>
      <c r="D27" s="273"/>
      <c r="E27" s="273"/>
      <c r="F27" s="273"/>
      <c r="G27" s="273"/>
      <c r="H27" s="273"/>
      <c r="I27" s="273"/>
      <c r="J27" s="273"/>
      <c r="K27" s="254"/>
      <c r="L27" s="273"/>
      <c r="M27" s="273"/>
      <c r="N27" s="273"/>
      <c r="O27" s="273"/>
      <c r="P27" s="273"/>
      <c r="Q27" s="273"/>
      <c r="R27" s="273"/>
      <c r="S27" s="273"/>
      <c r="T27" s="273"/>
      <c r="U27" s="273"/>
      <c r="V27" s="273"/>
      <c r="W27" s="273"/>
      <c r="X27" s="273"/>
      <c r="Y27" s="273"/>
      <c r="Z27" s="273"/>
      <c r="AA27" s="273"/>
      <c r="AB27" s="273"/>
      <c r="AC27" s="273"/>
      <c r="AD27" s="273"/>
    </row>
    <row r="28" spans="1:30" s="253" customFormat="1" ht="9.9499999999999993" customHeight="1" x14ac:dyDescent="0.2">
      <c r="A28" s="708" t="s">
        <v>685</v>
      </c>
      <c r="B28" s="254"/>
      <c r="C28" s="273"/>
      <c r="D28" s="273"/>
      <c r="E28" s="273"/>
      <c r="F28" s="273"/>
      <c r="G28" s="273"/>
      <c r="H28" s="273"/>
      <c r="I28" s="273"/>
      <c r="J28" s="273"/>
      <c r="K28" s="254"/>
      <c r="L28" s="273"/>
      <c r="M28" s="273"/>
      <c r="N28" s="273"/>
      <c r="O28" s="273"/>
      <c r="P28" s="273"/>
      <c r="Q28" s="273"/>
      <c r="R28" s="273"/>
      <c r="S28" s="273"/>
      <c r="T28" s="273"/>
      <c r="U28" s="273"/>
      <c r="V28" s="273"/>
      <c r="W28" s="273"/>
      <c r="X28" s="273"/>
      <c r="Y28" s="273"/>
      <c r="Z28" s="273"/>
      <c r="AA28" s="273"/>
      <c r="AB28" s="273"/>
      <c r="AC28" s="273"/>
      <c r="AD28" s="273"/>
    </row>
    <row r="29" spans="1:30" s="253" customFormat="1" ht="9.9499999999999993" customHeight="1" x14ac:dyDescent="0.2">
      <c r="A29" s="705" t="s">
        <v>72</v>
      </c>
      <c r="B29" s="254"/>
      <c r="C29" s="273"/>
      <c r="D29" s="273"/>
      <c r="E29" s="273"/>
      <c r="F29" s="273"/>
      <c r="G29" s="273"/>
      <c r="H29" s="273"/>
      <c r="I29" s="273"/>
      <c r="J29" s="273"/>
      <c r="K29" s="254"/>
      <c r="L29" s="273"/>
      <c r="M29" s="273"/>
      <c r="N29" s="273"/>
      <c r="O29" s="273"/>
      <c r="P29" s="273"/>
      <c r="Q29" s="273"/>
      <c r="R29" s="273"/>
      <c r="S29" s="273"/>
      <c r="T29" s="273"/>
      <c r="U29" s="273"/>
      <c r="V29" s="273"/>
      <c r="W29" s="273"/>
      <c r="X29" s="273"/>
      <c r="Y29" s="273"/>
      <c r="Z29" s="273"/>
      <c r="AA29" s="273"/>
      <c r="AB29" s="273"/>
      <c r="AC29" s="273"/>
      <c r="AD29" s="273"/>
    </row>
    <row r="30" spans="1:30" s="253" customFormat="1" ht="9.9499999999999993" customHeight="1" x14ac:dyDescent="0.2">
      <c r="A30" s="749" t="s">
        <v>673</v>
      </c>
      <c r="B30" s="254"/>
      <c r="C30" s="273">
        <v>320431</v>
      </c>
      <c r="D30" s="273"/>
      <c r="E30" s="273">
        <v>75083</v>
      </c>
      <c r="F30" s="273"/>
      <c r="G30" s="273">
        <f>+'Combining SONPCU'!V29</f>
        <v>0</v>
      </c>
      <c r="H30" s="273"/>
      <c r="I30" s="273">
        <f t="shared" ref="I30:I49" si="2">E30+C30+G30</f>
        <v>395514</v>
      </c>
      <c r="J30" s="273"/>
      <c r="K30" s="254"/>
      <c r="L30" s="273"/>
      <c r="M30" s="273"/>
      <c r="N30" s="273"/>
      <c r="O30" s="273"/>
      <c r="P30" s="273"/>
      <c r="Q30" s="273"/>
      <c r="R30" s="273"/>
      <c r="S30" s="273"/>
      <c r="T30" s="273"/>
      <c r="U30" s="273"/>
      <c r="V30" s="273"/>
      <c r="W30" s="273"/>
      <c r="X30" s="273"/>
      <c r="Y30" s="273"/>
      <c r="Z30" s="273"/>
      <c r="AA30" s="273"/>
      <c r="AB30" s="273"/>
      <c r="AC30" s="273"/>
      <c r="AD30" s="273"/>
    </row>
    <row r="31" spans="1:30" s="253" customFormat="1" ht="9.9499999999999993" hidden="1" customHeight="1" x14ac:dyDescent="0.2">
      <c r="A31" s="749" t="s">
        <v>674</v>
      </c>
      <c r="B31" s="254"/>
      <c r="C31" s="273"/>
      <c r="D31" s="273"/>
      <c r="E31" s="273"/>
      <c r="F31" s="273"/>
      <c r="G31" s="273">
        <f>+'Combining SONPCU'!V30</f>
        <v>0</v>
      </c>
      <c r="H31" s="273"/>
      <c r="I31" s="273">
        <f t="shared" si="2"/>
        <v>0</v>
      </c>
      <c r="J31" s="273"/>
      <c r="K31" s="254"/>
      <c r="L31" s="273"/>
      <c r="M31" s="273"/>
      <c r="N31" s="273"/>
      <c r="O31" s="273"/>
      <c r="P31" s="273"/>
      <c r="Q31" s="273"/>
      <c r="R31" s="273"/>
      <c r="S31" s="273"/>
      <c r="T31" s="273"/>
      <c r="U31" s="273"/>
      <c r="V31" s="273"/>
      <c r="W31" s="273"/>
      <c r="X31" s="273"/>
      <c r="Y31" s="273"/>
      <c r="Z31" s="273"/>
      <c r="AA31" s="273"/>
      <c r="AB31" s="273"/>
      <c r="AC31" s="273"/>
      <c r="AD31" s="273"/>
    </row>
    <row r="32" spans="1:30" s="253" customFormat="1" ht="9.9499999999999993" hidden="1" customHeight="1" x14ac:dyDescent="0.2">
      <c r="A32" s="749" t="s">
        <v>252</v>
      </c>
      <c r="B32" s="254"/>
      <c r="C32" s="273">
        <v>0</v>
      </c>
      <c r="D32" s="273"/>
      <c r="E32" s="533"/>
      <c r="F32" s="273"/>
      <c r="G32" s="273">
        <f>+'Combining SONPCU'!V31</f>
        <v>0</v>
      </c>
      <c r="H32" s="273"/>
      <c r="I32" s="273">
        <f t="shared" si="2"/>
        <v>0</v>
      </c>
      <c r="J32" s="273"/>
      <c r="K32" s="254"/>
      <c r="L32" s="273"/>
      <c r="M32" s="273"/>
      <c r="N32" s="273"/>
      <c r="O32" s="273"/>
      <c r="P32" s="273"/>
      <c r="Q32" s="273"/>
      <c r="R32" s="273"/>
      <c r="S32" s="273"/>
      <c r="T32" s="273"/>
      <c r="U32" s="273"/>
      <c r="V32" s="273"/>
      <c r="W32" s="273"/>
      <c r="X32" s="273"/>
      <c r="Y32" s="273"/>
      <c r="Z32" s="273"/>
      <c r="AA32" s="273"/>
      <c r="AB32" s="273"/>
      <c r="AC32" s="273"/>
      <c r="AD32" s="273"/>
    </row>
    <row r="33" spans="1:30" s="253" customFormat="1" ht="9.9499999999999993" customHeight="1" x14ac:dyDescent="0.2">
      <c r="A33" s="705" t="s">
        <v>475</v>
      </c>
      <c r="B33" s="254"/>
      <c r="C33" s="273"/>
      <c r="D33" s="273"/>
      <c r="E33" s="533"/>
      <c r="F33" s="273"/>
      <c r="G33" s="273"/>
      <c r="H33" s="273"/>
      <c r="I33" s="273">
        <f t="shared" si="2"/>
        <v>0</v>
      </c>
      <c r="J33" s="273"/>
      <c r="K33" s="254"/>
      <c r="L33" s="273"/>
      <c r="M33" s="273"/>
      <c r="N33" s="273"/>
      <c r="O33" s="273"/>
      <c r="P33" s="273"/>
      <c r="Q33" s="273"/>
      <c r="R33" s="273"/>
      <c r="S33" s="273"/>
      <c r="T33" s="273"/>
      <c r="U33" s="273"/>
      <c r="V33" s="273"/>
      <c r="W33" s="273"/>
      <c r="X33" s="273"/>
      <c r="Y33" s="273"/>
      <c r="Z33" s="273"/>
      <c r="AA33" s="273"/>
      <c r="AB33" s="273"/>
      <c r="AC33" s="273"/>
      <c r="AD33" s="273"/>
    </row>
    <row r="34" spans="1:30" s="253" customFormat="1" ht="9.9499999999999993" customHeight="1" x14ac:dyDescent="0.2">
      <c r="A34" s="749" t="s">
        <v>673</v>
      </c>
      <c r="B34" s="254"/>
      <c r="C34" s="273">
        <v>1337</v>
      </c>
      <c r="D34" s="273"/>
      <c r="E34" s="533">
        <v>75404</v>
      </c>
      <c r="F34" s="273"/>
      <c r="G34" s="273">
        <f>SUM(L34:AD34)</f>
        <v>0</v>
      </c>
      <c r="H34" s="273"/>
      <c r="I34" s="273">
        <f t="shared" si="2"/>
        <v>76741</v>
      </c>
      <c r="J34" s="273"/>
      <c r="K34" s="254"/>
      <c r="L34" s="273"/>
      <c r="M34" s="273"/>
      <c r="N34" s="273"/>
      <c r="O34" s="273"/>
      <c r="P34" s="273"/>
      <c r="Q34" s="273"/>
      <c r="R34" s="273"/>
      <c r="S34" s="273"/>
      <c r="T34" s="273"/>
      <c r="U34" s="273"/>
      <c r="V34" s="273"/>
      <c r="W34" s="273"/>
      <c r="X34" s="273"/>
      <c r="Y34" s="273"/>
      <c r="Z34" s="273"/>
      <c r="AA34" s="273"/>
      <c r="AB34" s="273"/>
      <c r="AC34" s="273"/>
      <c r="AD34" s="273"/>
    </row>
    <row r="35" spans="1:30" s="253" customFormat="1" ht="9.9499999999999993" hidden="1" customHeight="1" x14ac:dyDescent="0.2">
      <c r="A35" s="749" t="s">
        <v>674</v>
      </c>
      <c r="B35" s="254"/>
      <c r="C35" s="273"/>
      <c r="D35" s="273"/>
      <c r="E35" s="533"/>
      <c r="F35" s="273"/>
      <c r="G35" s="273">
        <f>SUM(L35:AD35)</f>
        <v>0</v>
      </c>
      <c r="H35" s="273"/>
      <c r="I35" s="273">
        <f t="shared" si="2"/>
        <v>0</v>
      </c>
      <c r="J35" s="273"/>
      <c r="K35" s="254"/>
      <c r="L35" s="273"/>
      <c r="M35" s="273"/>
      <c r="N35" s="273"/>
      <c r="O35" s="273"/>
      <c r="P35" s="273"/>
      <c r="Q35" s="273"/>
      <c r="R35" s="273"/>
      <c r="S35" s="273"/>
      <c r="T35" s="273"/>
      <c r="U35" s="273"/>
      <c r="V35" s="273"/>
      <c r="W35" s="273"/>
      <c r="X35" s="273"/>
      <c r="Y35" s="273"/>
      <c r="Z35" s="273"/>
      <c r="AA35" s="273"/>
      <c r="AB35" s="273"/>
      <c r="AC35" s="273"/>
      <c r="AD35" s="273"/>
    </row>
    <row r="36" spans="1:30" s="253" customFormat="1" ht="9.9499999999999993" hidden="1" customHeight="1" x14ac:dyDescent="0.2">
      <c r="A36" s="749" t="s">
        <v>252</v>
      </c>
      <c r="B36" s="254"/>
      <c r="C36" s="273"/>
      <c r="D36" s="273"/>
      <c r="E36" s="533"/>
      <c r="F36" s="273"/>
      <c r="G36" s="273"/>
      <c r="H36" s="273"/>
      <c r="I36" s="273">
        <f t="shared" si="2"/>
        <v>0</v>
      </c>
      <c r="J36" s="273"/>
      <c r="K36" s="254"/>
      <c r="L36" s="273"/>
      <c r="M36" s="273"/>
      <c r="N36" s="273"/>
      <c r="O36" s="273"/>
      <c r="P36" s="273"/>
      <c r="Q36" s="273"/>
      <c r="R36" s="273"/>
      <c r="S36" s="273"/>
      <c r="T36" s="273"/>
      <c r="U36" s="273"/>
      <c r="V36" s="273"/>
      <c r="W36" s="273"/>
      <c r="X36" s="273"/>
      <c r="Y36" s="273"/>
      <c r="Z36" s="273"/>
      <c r="AA36" s="273"/>
      <c r="AB36" s="273"/>
      <c r="AC36" s="273"/>
      <c r="AD36" s="273"/>
    </row>
    <row r="37" spans="1:30" s="253" customFormat="1" ht="9.9499999999999993" customHeight="1" x14ac:dyDescent="0.2">
      <c r="A37" s="705" t="s">
        <v>476</v>
      </c>
      <c r="B37" s="254"/>
      <c r="C37" s="273"/>
      <c r="D37" s="273"/>
      <c r="E37" s="533"/>
      <c r="F37" s="273"/>
      <c r="G37" s="273"/>
      <c r="H37" s="273"/>
      <c r="I37" s="273">
        <f t="shared" si="2"/>
        <v>0</v>
      </c>
      <c r="J37" s="273"/>
      <c r="K37" s="254"/>
      <c r="L37" s="273"/>
      <c r="M37" s="273"/>
      <c r="N37" s="273"/>
      <c r="O37" s="273"/>
      <c r="P37" s="273"/>
      <c r="Q37" s="273"/>
      <c r="R37" s="273"/>
      <c r="S37" s="273"/>
      <c r="T37" s="273"/>
      <c r="U37" s="273"/>
      <c r="V37" s="273"/>
      <c r="W37" s="273"/>
      <c r="X37" s="273"/>
      <c r="Y37" s="273"/>
      <c r="Z37" s="273"/>
      <c r="AA37" s="273"/>
      <c r="AB37" s="273"/>
      <c r="AC37" s="273"/>
      <c r="AD37" s="273"/>
    </row>
    <row r="38" spans="1:30" s="253" customFormat="1" ht="9.9499999999999993" customHeight="1" x14ac:dyDescent="0.2">
      <c r="A38" s="749" t="s">
        <v>673</v>
      </c>
      <c r="B38" s="254"/>
      <c r="C38" s="273">
        <v>104874</v>
      </c>
      <c r="D38" s="273"/>
      <c r="E38" s="533"/>
      <c r="F38" s="273"/>
      <c r="G38" s="273">
        <f>SUM(L38:AD38)</f>
        <v>0</v>
      </c>
      <c r="H38" s="273"/>
      <c r="I38" s="273">
        <f t="shared" si="2"/>
        <v>104874</v>
      </c>
      <c r="J38" s="273"/>
      <c r="K38" s="254"/>
      <c r="L38" s="273"/>
      <c r="M38" s="273"/>
      <c r="N38" s="273"/>
      <c r="O38" s="273"/>
      <c r="P38" s="273"/>
      <c r="Q38" s="273"/>
      <c r="R38" s="273"/>
      <c r="S38" s="273"/>
      <c r="T38" s="273"/>
      <c r="U38" s="273"/>
      <c r="V38" s="273"/>
      <c r="W38" s="273"/>
      <c r="X38" s="273"/>
      <c r="Y38" s="273"/>
      <c r="Z38" s="273"/>
      <c r="AA38" s="273"/>
      <c r="AB38" s="273"/>
      <c r="AC38" s="273"/>
      <c r="AD38" s="273"/>
    </row>
    <row r="39" spans="1:30" s="253" customFormat="1" ht="9.9499999999999993" customHeight="1" x14ac:dyDescent="0.2">
      <c r="A39" s="749" t="s">
        <v>674</v>
      </c>
      <c r="B39" s="254"/>
      <c r="C39" s="273">
        <v>682863</v>
      </c>
      <c r="D39" s="273"/>
      <c r="E39" s="533"/>
      <c r="F39" s="273"/>
      <c r="G39" s="273">
        <f>SUM(L39:AD39)</f>
        <v>0</v>
      </c>
      <c r="H39" s="273"/>
      <c r="I39" s="273">
        <f t="shared" si="2"/>
        <v>682863</v>
      </c>
      <c r="J39" s="273"/>
      <c r="K39" s="254"/>
      <c r="L39" s="273"/>
      <c r="M39" s="273"/>
      <c r="N39" s="273"/>
      <c r="O39" s="273"/>
      <c r="P39" s="273"/>
      <c r="Q39" s="273"/>
      <c r="R39" s="273"/>
      <c r="S39" s="273"/>
      <c r="T39" s="273"/>
      <c r="U39" s="273"/>
      <c r="V39" s="273"/>
      <c r="W39" s="273"/>
      <c r="X39" s="273"/>
      <c r="Y39" s="273"/>
      <c r="Z39" s="273"/>
      <c r="AA39" s="273"/>
      <c r="AB39" s="273"/>
      <c r="AC39" s="273"/>
      <c r="AD39" s="273"/>
    </row>
    <row r="40" spans="1:30" s="253" customFormat="1" ht="9.9499999999999993" customHeight="1" x14ac:dyDescent="0.2">
      <c r="A40" s="749" t="s">
        <v>252</v>
      </c>
      <c r="B40" s="254"/>
      <c r="C40" s="1414">
        <v>4033</v>
      </c>
      <c r="D40" s="273"/>
      <c r="E40" s="533"/>
      <c r="F40" s="273"/>
      <c r="G40" s="273"/>
      <c r="H40" s="273"/>
      <c r="I40" s="273">
        <f t="shared" si="2"/>
        <v>4033</v>
      </c>
      <c r="J40" s="273"/>
      <c r="K40" s="254"/>
      <c r="L40" s="273"/>
      <c r="M40" s="273"/>
      <c r="N40" s="273"/>
      <c r="O40" s="273"/>
      <c r="P40" s="273"/>
      <c r="Q40" s="273"/>
      <c r="R40" s="273"/>
      <c r="S40" s="273"/>
      <c r="T40" s="273"/>
      <c r="U40" s="273"/>
      <c r="V40" s="273"/>
      <c r="W40" s="273"/>
      <c r="X40" s="273"/>
      <c r="Y40" s="273"/>
      <c r="Z40" s="273"/>
      <c r="AA40" s="273"/>
      <c r="AB40" s="273"/>
      <c r="AC40" s="273"/>
      <c r="AD40" s="273"/>
    </row>
    <row r="41" spans="1:30" s="253" customFormat="1" ht="9.9499999999999993" customHeight="1" x14ac:dyDescent="0.2">
      <c r="A41" s="705" t="s">
        <v>75</v>
      </c>
      <c r="B41" s="254"/>
      <c r="C41" s="273"/>
      <c r="D41" s="273"/>
      <c r="E41" s="533"/>
      <c r="F41" s="273"/>
      <c r="G41" s="273"/>
      <c r="H41" s="273"/>
      <c r="I41" s="273">
        <f t="shared" si="2"/>
        <v>0</v>
      </c>
      <c r="J41" s="273"/>
      <c r="K41" s="254"/>
      <c r="L41" s="273"/>
      <c r="M41" s="273"/>
      <c r="N41" s="273"/>
      <c r="O41" s="273"/>
      <c r="P41" s="273"/>
      <c r="Q41" s="273"/>
      <c r="R41" s="273"/>
      <c r="S41" s="273"/>
      <c r="T41" s="273"/>
      <c r="U41" s="273"/>
      <c r="V41" s="273"/>
      <c r="W41" s="273"/>
      <c r="X41" s="273"/>
      <c r="Y41" s="273"/>
      <c r="Z41" s="273"/>
      <c r="AA41" s="273"/>
      <c r="AB41" s="273"/>
      <c r="AC41" s="273"/>
      <c r="AD41" s="273"/>
    </row>
    <row r="42" spans="1:30" s="253" customFormat="1" ht="9.9499999999999993" customHeight="1" x14ac:dyDescent="0.2">
      <c r="A42" s="749" t="s">
        <v>673</v>
      </c>
      <c r="B42" s="254"/>
      <c r="C42" s="273">
        <v>28303</v>
      </c>
      <c r="D42" s="273"/>
      <c r="E42" s="533"/>
      <c r="F42" s="273"/>
      <c r="G42" s="273">
        <f>'Combining SONPCU'!V33</f>
        <v>27709</v>
      </c>
      <c r="H42" s="273"/>
      <c r="I42" s="273">
        <f t="shared" si="2"/>
        <v>56012</v>
      </c>
      <c r="J42" s="273"/>
      <c r="K42" s="254"/>
      <c r="L42" s="273"/>
      <c r="M42" s="273"/>
      <c r="N42" s="273"/>
      <c r="O42" s="273"/>
      <c r="P42" s="273"/>
      <c r="Q42" s="273"/>
      <c r="R42" s="273"/>
      <c r="S42" s="273"/>
      <c r="T42" s="273"/>
      <c r="U42" s="273"/>
      <c r="V42" s="273"/>
      <c r="W42" s="273"/>
      <c r="X42" s="273"/>
      <c r="Y42" s="273"/>
      <c r="Z42" s="273"/>
      <c r="AA42" s="273"/>
      <c r="AB42" s="273"/>
      <c r="AC42" s="273"/>
      <c r="AD42" s="273"/>
    </row>
    <row r="43" spans="1:30" s="253" customFormat="1" ht="9.9499999999999993" hidden="1" customHeight="1" x14ac:dyDescent="0.2">
      <c r="A43" s="749" t="s">
        <v>1013</v>
      </c>
      <c r="B43" s="254"/>
      <c r="C43" s="273"/>
      <c r="D43" s="273"/>
      <c r="E43" s="538"/>
      <c r="F43" s="273"/>
      <c r="G43" s="273"/>
      <c r="H43" s="273"/>
      <c r="I43" s="273">
        <f t="shared" si="2"/>
        <v>0</v>
      </c>
      <c r="J43" s="273"/>
      <c r="K43" s="254"/>
      <c r="L43" s="273"/>
      <c r="M43" s="273"/>
      <c r="N43" s="273"/>
      <c r="O43" s="273"/>
      <c r="P43" s="273"/>
      <c r="Q43" s="273"/>
      <c r="R43" s="273"/>
      <c r="S43" s="273"/>
      <c r="T43" s="273"/>
      <c r="U43" s="273"/>
      <c r="V43" s="273"/>
      <c r="W43" s="273"/>
      <c r="X43" s="273"/>
      <c r="Y43" s="273"/>
      <c r="Z43" s="273"/>
      <c r="AA43" s="273"/>
      <c r="AB43" s="273"/>
      <c r="AC43" s="273"/>
      <c r="AD43" s="273"/>
    </row>
    <row r="44" spans="1:30" s="253" customFormat="1" ht="9.9499999999999993" customHeight="1" x14ac:dyDescent="0.2">
      <c r="A44" s="749" t="s">
        <v>674</v>
      </c>
      <c r="B44" s="254"/>
      <c r="C44" s="273">
        <v>678974</v>
      </c>
      <c r="D44" s="273"/>
      <c r="E44" s="533">
        <v>83839</v>
      </c>
      <c r="F44" s="273"/>
      <c r="G44" s="273">
        <f>'Combining SONPCU'!V34</f>
        <v>0</v>
      </c>
      <c r="H44" s="273"/>
      <c r="I44" s="273">
        <f t="shared" si="2"/>
        <v>762813</v>
      </c>
      <c r="J44" s="273"/>
      <c r="K44" s="254"/>
      <c r="L44" s="273"/>
      <c r="M44" s="273"/>
      <c r="N44" s="273"/>
      <c r="O44" s="273"/>
      <c r="P44" s="273"/>
      <c r="Q44" s="273"/>
      <c r="R44" s="273"/>
      <c r="S44" s="273"/>
      <c r="T44" s="273"/>
      <c r="U44" s="273"/>
      <c r="V44" s="273"/>
      <c r="W44" s="273"/>
      <c r="X44" s="273"/>
      <c r="Y44" s="273"/>
      <c r="Z44" s="273"/>
      <c r="AA44" s="273"/>
      <c r="AB44" s="273"/>
      <c r="AC44" s="273"/>
      <c r="AD44" s="273"/>
    </row>
    <row r="45" spans="1:30" s="253" customFormat="1" ht="9.9499999999999993" customHeight="1" x14ac:dyDescent="0.2">
      <c r="A45" s="749" t="s">
        <v>252</v>
      </c>
      <c r="B45" s="254"/>
      <c r="C45" s="273">
        <v>4612</v>
      </c>
      <c r="D45" s="273"/>
      <c r="E45" s="533"/>
      <c r="F45" s="273"/>
      <c r="G45" s="273">
        <f>SUM('Combining SONPCU'!V36)</f>
        <v>1009</v>
      </c>
      <c r="H45" s="273"/>
      <c r="I45" s="273">
        <f t="shared" si="2"/>
        <v>5621</v>
      </c>
      <c r="J45" s="273"/>
      <c r="K45" s="254"/>
      <c r="L45" s="273"/>
      <c r="M45" s="273"/>
      <c r="N45" s="273"/>
      <c r="O45" s="273"/>
      <c r="P45" s="273"/>
      <c r="Q45" s="273"/>
      <c r="R45" s="273"/>
      <c r="S45" s="273"/>
      <c r="T45" s="273"/>
      <c r="U45" s="273"/>
      <c r="V45" s="273"/>
      <c r="W45" s="273"/>
      <c r="X45" s="273"/>
      <c r="Y45" s="273"/>
      <c r="Z45" s="273"/>
      <c r="AA45" s="273"/>
      <c r="AB45" s="273"/>
      <c r="AC45" s="273"/>
      <c r="AD45" s="273"/>
    </row>
    <row r="46" spans="1:30" s="253" customFormat="1" ht="9.9499999999999993" customHeight="1" x14ac:dyDescent="0.2">
      <c r="A46" s="749" t="s">
        <v>1773</v>
      </c>
      <c r="B46" s="254"/>
      <c r="C46" s="273"/>
      <c r="D46" s="273"/>
      <c r="E46" s="533"/>
      <c r="F46" s="273"/>
      <c r="G46" s="273">
        <f>'Combining SONPCU'!V39</f>
        <v>3902</v>
      </c>
      <c r="H46" s="273"/>
      <c r="I46" s="273">
        <f t="shared" si="2"/>
        <v>3902</v>
      </c>
      <c r="J46" s="273"/>
      <c r="K46" s="254"/>
      <c r="L46" s="273"/>
      <c r="M46" s="273"/>
      <c r="N46" s="273"/>
      <c r="O46" s="273"/>
      <c r="P46" s="273"/>
      <c r="Q46" s="273"/>
      <c r="R46" s="273"/>
      <c r="S46" s="273"/>
      <c r="T46" s="273"/>
      <c r="U46" s="273"/>
      <c r="V46" s="273"/>
      <c r="W46" s="273"/>
      <c r="X46" s="273"/>
      <c r="Y46" s="273"/>
      <c r="Z46" s="273"/>
      <c r="AA46" s="273"/>
      <c r="AB46" s="273"/>
      <c r="AC46" s="273"/>
      <c r="AD46" s="273"/>
    </row>
    <row r="47" spans="1:30" s="253" customFormat="1" ht="9.9499999999999993" hidden="1" customHeight="1" x14ac:dyDescent="0.2">
      <c r="A47" s="705" t="s">
        <v>684</v>
      </c>
      <c r="B47" s="254"/>
      <c r="C47" s="273"/>
      <c r="D47" s="273"/>
      <c r="E47" s="533"/>
      <c r="F47" s="273"/>
      <c r="G47" s="273">
        <f>'Combining SONPCU'!V37</f>
        <v>0</v>
      </c>
      <c r="H47" s="273"/>
      <c r="I47" s="273">
        <f t="shared" si="2"/>
        <v>0</v>
      </c>
      <c r="J47" s="273"/>
      <c r="K47" s="254"/>
      <c r="L47" s="273"/>
      <c r="M47" s="273"/>
      <c r="N47" s="273"/>
      <c r="O47" s="273"/>
      <c r="P47" s="273"/>
      <c r="Q47" s="273"/>
      <c r="R47" s="273"/>
      <c r="S47" s="273"/>
      <c r="T47" s="273"/>
      <c r="U47" s="273"/>
      <c r="V47" s="273"/>
      <c r="W47" s="273"/>
      <c r="X47" s="273"/>
      <c r="Y47" s="273"/>
      <c r="Z47" s="273"/>
      <c r="AA47" s="273"/>
      <c r="AB47" s="273"/>
      <c r="AC47" s="273"/>
      <c r="AD47" s="273"/>
    </row>
    <row r="48" spans="1:30" s="253" customFormat="1" ht="9.9499999999999993" hidden="1" customHeight="1" x14ac:dyDescent="0.2">
      <c r="A48" s="749" t="s">
        <v>1067</v>
      </c>
      <c r="B48" s="254"/>
      <c r="C48" s="273"/>
      <c r="D48" s="273"/>
      <c r="E48" s="273"/>
      <c r="F48" s="273"/>
      <c r="G48" s="273"/>
      <c r="H48" s="273"/>
      <c r="I48" s="273">
        <f t="shared" si="2"/>
        <v>0</v>
      </c>
      <c r="J48" s="273"/>
      <c r="K48" s="254"/>
      <c r="L48" s="273"/>
      <c r="M48" s="273"/>
      <c r="N48" s="273"/>
      <c r="O48" s="273"/>
      <c r="P48" s="273"/>
      <c r="Q48" s="273"/>
      <c r="R48" s="273"/>
      <c r="S48" s="273"/>
      <c r="T48" s="273"/>
      <c r="U48" s="273"/>
      <c r="V48" s="273"/>
      <c r="W48" s="273"/>
      <c r="X48" s="273"/>
      <c r="Y48" s="273"/>
      <c r="Z48" s="273"/>
      <c r="AA48" s="273"/>
      <c r="AB48" s="273"/>
      <c r="AC48" s="273"/>
      <c r="AD48" s="273"/>
    </row>
    <row r="49" spans="1:30" s="253" customFormat="1" ht="9.9499999999999993" hidden="1" customHeight="1" x14ac:dyDescent="0.2">
      <c r="A49" s="749" t="s">
        <v>679</v>
      </c>
      <c r="B49" s="254"/>
      <c r="C49" s="273"/>
      <c r="D49" s="273"/>
      <c r="E49" s="273"/>
      <c r="F49" s="273"/>
      <c r="G49" s="273"/>
      <c r="H49" s="273"/>
      <c r="I49" s="273">
        <f t="shared" si="2"/>
        <v>0</v>
      </c>
      <c r="J49" s="273"/>
      <c r="K49" s="254"/>
      <c r="L49" s="273"/>
      <c r="M49" s="273"/>
      <c r="N49" s="273"/>
      <c r="O49" s="273"/>
      <c r="P49" s="273"/>
      <c r="Q49" s="273"/>
      <c r="R49" s="273"/>
      <c r="S49" s="273"/>
      <c r="T49" s="273"/>
      <c r="U49" s="273"/>
      <c r="V49" s="273"/>
      <c r="W49" s="273"/>
      <c r="X49" s="273"/>
      <c r="Y49" s="273"/>
      <c r="Z49" s="273"/>
      <c r="AA49" s="273"/>
      <c r="AB49" s="273"/>
      <c r="AC49" s="273"/>
      <c r="AD49" s="273"/>
    </row>
    <row r="50" spans="1:30" s="253" customFormat="1" ht="5.0999999999999996" customHeight="1" x14ac:dyDescent="0.2">
      <c r="A50" s="351"/>
      <c r="B50" s="254"/>
      <c r="C50" s="340"/>
      <c r="D50" s="273"/>
      <c r="E50" s="340"/>
      <c r="F50" s="273"/>
      <c r="G50" s="340"/>
      <c r="H50" s="273"/>
      <c r="I50" s="340"/>
      <c r="J50" s="273"/>
      <c r="K50" s="254"/>
      <c r="L50" s="273"/>
      <c r="M50" s="273"/>
      <c r="N50" s="273"/>
      <c r="O50" s="273"/>
      <c r="P50" s="273"/>
      <c r="Q50" s="273"/>
      <c r="R50" s="273"/>
      <c r="S50" s="273"/>
      <c r="T50" s="273"/>
      <c r="U50" s="273"/>
      <c r="V50" s="273"/>
      <c r="W50" s="273"/>
      <c r="X50" s="273"/>
      <c r="Y50" s="273"/>
      <c r="Z50" s="273"/>
      <c r="AA50" s="273"/>
      <c r="AB50" s="273"/>
      <c r="AC50" s="273"/>
      <c r="AD50" s="273"/>
    </row>
    <row r="51" spans="1:30" s="253" customFormat="1" ht="9.9499999999999993" customHeight="1" x14ac:dyDescent="0.2">
      <c r="A51" s="708" t="s">
        <v>76</v>
      </c>
      <c r="B51" s="254"/>
      <c r="C51" s="341">
        <f>SUM(C29:C49)</f>
        <v>1825427</v>
      </c>
      <c r="D51" s="273"/>
      <c r="E51" s="341">
        <f>SUM(E29:E49)</f>
        <v>234326</v>
      </c>
      <c r="F51" s="273"/>
      <c r="G51" s="341">
        <f>SUM(G30:G49)</f>
        <v>32620</v>
      </c>
      <c r="H51" s="273"/>
      <c r="I51" s="341">
        <f>SUM(I29:I49)</f>
        <v>2092373</v>
      </c>
      <c r="J51" s="273"/>
      <c r="K51" s="254"/>
      <c r="L51" s="273"/>
      <c r="M51" s="273"/>
      <c r="N51" s="273"/>
      <c r="O51" s="273"/>
      <c r="P51" s="273"/>
      <c r="Q51" s="273"/>
      <c r="R51" s="273"/>
      <c r="S51" s="273"/>
      <c r="T51" s="273"/>
      <c r="U51" s="273"/>
      <c r="V51" s="273"/>
      <c r="W51" s="273"/>
      <c r="X51" s="273"/>
      <c r="Y51" s="273"/>
      <c r="Z51" s="273"/>
      <c r="AA51" s="273"/>
      <c r="AB51" s="273"/>
      <c r="AC51" s="273"/>
      <c r="AD51" s="273"/>
    </row>
    <row r="52" spans="1:30" s="253" customFormat="1" ht="5.0999999999999996" customHeight="1" x14ac:dyDescent="0.2">
      <c r="A52" s="349"/>
      <c r="B52" s="254"/>
      <c r="C52" s="340"/>
      <c r="D52" s="273"/>
      <c r="E52" s="340"/>
      <c r="F52" s="273"/>
      <c r="G52" s="340"/>
      <c r="H52" s="273"/>
      <c r="I52" s="340"/>
      <c r="J52" s="273"/>
      <c r="K52" s="254"/>
      <c r="L52" s="273"/>
      <c r="M52" s="273"/>
      <c r="N52" s="273"/>
      <c r="O52" s="273"/>
      <c r="P52" s="273"/>
      <c r="Q52" s="273"/>
      <c r="R52" s="273"/>
      <c r="S52" s="273"/>
      <c r="T52" s="273"/>
      <c r="U52" s="273"/>
      <c r="V52" s="273"/>
      <c r="W52" s="273"/>
      <c r="X52" s="273"/>
      <c r="Y52" s="273"/>
      <c r="Z52" s="273"/>
      <c r="AA52" s="273"/>
      <c r="AB52" s="273"/>
      <c r="AC52" s="273"/>
      <c r="AD52" s="273"/>
    </row>
    <row r="53" spans="1:30" s="253" customFormat="1" ht="9.9499999999999993" customHeight="1" x14ac:dyDescent="0.2">
      <c r="A53" s="707" t="s">
        <v>64</v>
      </c>
      <c r="B53" s="254"/>
      <c r="C53" s="341">
        <f>SUM(C51+C26)</f>
        <v>3030038</v>
      </c>
      <c r="D53" s="273"/>
      <c r="E53" s="341">
        <f>SUM(E51+E26)</f>
        <v>1050822</v>
      </c>
      <c r="F53" s="273"/>
      <c r="G53" s="341">
        <f>SUM(G51+G26)</f>
        <v>153941</v>
      </c>
      <c r="H53" s="273"/>
      <c r="I53" s="341">
        <f>SUM(I51+I26)</f>
        <v>4234801</v>
      </c>
      <c r="J53" s="273"/>
      <c r="K53" s="254"/>
      <c r="L53" s="273">
        <v>4108571</v>
      </c>
      <c r="M53" s="273"/>
      <c r="N53" s="273"/>
      <c r="O53" s="273"/>
      <c r="P53" s="273"/>
      <c r="Q53" s="273"/>
      <c r="R53" s="273"/>
      <c r="S53" s="273"/>
      <c r="T53" s="273"/>
      <c r="U53" s="273"/>
      <c r="V53" s="273"/>
      <c r="W53" s="273"/>
      <c r="X53" s="273"/>
      <c r="Y53" s="273"/>
      <c r="Z53" s="273"/>
      <c r="AA53" s="273"/>
      <c r="AB53" s="273"/>
      <c r="AC53" s="273"/>
      <c r="AD53" s="273"/>
    </row>
    <row r="54" spans="1:30" s="253" customFormat="1" ht="5.0999999999999996" customHeight="1" x14ac:dyDescent="0.2">
      <c r="A54" s="349"/>
      <c r="B54" s="254"/>
      <c r="C54" s="273"/>
      <c r="D54" s="273"/>
      <c r="E54" s="273"/>
      <c r="F54" s="273"/>
      <c r="G54" s="273"/>
      <c r="H54" s="273"/>
      <c r="I54" s="273"/>
      <c r="J54" s="273"/>
      <c r="K54" s="254"/>
      <c r="L54" s="273"/>
      <c r="M54" s="273"/>
      <c r="N54" s="273"/>
      <c r="O54" s="273"/>
      <c r="P54" s="273"/>
      <c r="Q54" s="273"/>
      <c r="R54" s="273"/>
      <c r="S54" s="273"/>
      <c r="T54" s="273"/>
      <c r="U54" s="273"/>
      <c r="V54" s="273"/>
      <c r="W54" s="273"/>
      <c r="X54" s="273"/>
      <c r="Y54" s="273"/>
      <c r="Z54" s="273"/>
      <c r="AA54" s="273"/>
      <c r="AB54" s="273"/>
      <c r="AC54" s="273"/>
      <c r="AD54" s="273"/>
    </row>
    <row r="55" spans="1:30" s="253" customFormat="1" ht="9.9499999999999993" customHeight="1" x14ac:dyDescent="0.2">
      <c r="A55" s="707" t="s">
        <v>70</v>
      </c>
      <c r="B55" s="254"/>
      <c r="C55" s="273"/>
      <c r="D55" s="273"/>
      <c r="E55" s="273"/>
      <c r="F55" s="273"/>
      <c r="G55" s="273"/>
      <c r="H55" s="273"/>
      <c r="I55" s="273"/>
      <c r="J55" s="273"/>
      <c r="K55" s="254"/>
      <c r="L55" s="273">
        <f>+L53-I53</f>
        <v>-126230</v>
      </c>
      <c r="M55" s="273"/>
      <c r="N55" s="273"/>
      <c r="O55" s="273"/>
      <c r="P55" s="273"/>
      <c r="Q55" s="273"/>
      <c r="R55" s="273"/>
      <c r="S55" s="273"/>
      <c r="T55" s="273"/>
      <c r="U55" s="273"/>
      <c r="V55" s="273"/>
      <c r="W55" s="273"/>
      <c r="X55" s="273"/>
      <c r="Y55" s="273"/>
      <c r="Z55" s="273"/>
      <c r="AA55" s="273"/>
      <c r="AB55" s="273"/>
      <c r="AC55" s="273"/>
      <c r="AD55" s="273"/>
    </row>
    <row r="56" spans="1:30" s="253" customFormat="1" ht="9.9499999999999993" customHeight="1" x14ac:dyDescent="0.2">
      <c r="A56" s="708" t="s">
        <v>686</v>
      </c>
      <c r="B56" s="254"/>
      <c r="C56" s="273"/>
      <c r="D56" s="273"/>
      <c r="E56" s="273"/>
      <c r="F56" s="273"/>
      <c r="G56" s="273"/>
      <c r="H56" s="273"/>
      <c r="I56" s="273"/>
      <c r="J56" s="273"/>
      <c r="K56" s="254"/>
      <c r="L56" s="273"/>
      <c r="M56" s="273"/>
      <c r="N56" s="273"/>
      <c r="O56" s="273"/>
      <c r="P56" s="273"/>
      <c r="Q56" s="273"/>
      <c r="R56" s="273"/>
      <c r="S56" s="273"/>
      <c r="T56" s="273"/>
      <c r="U56" s="273"/>
      <c r="V56" s="273"/>
      <c r="W56" s="273"/>
      <c r="X56" s="273"/>
      <c r="Y56" s="273"/>
      <c r="Z56" s="273"/>
      <c r="AA56" s="273"/>
      <c r="AB56" s="273"/>
      <c r="AC56" s="273"/>
      <c r="AD56" s="273"/>
    </row>
    <row r="57" spans="1:30" s="253" customFormat="1" ht="9.9499999999999993" customHeight="1" x14ac:dyDescent="0.2">
      <c r="A57" s="705" t="s">
        <v>1756</v>
      </c>
      <c r="B57" s="254"/>
      <c r="C57" s="273"/>
      <c r="D57" s="273"/>
      <c r="E57" s="273"/>
      <c r="F57" s="273"/>
      <c r="G57" s="273"/>
      <c r="H57" s="273"/>
      <c r="I57" s="273"/>
      <c r="J57" s="273"/>
      <c r="K57" s="254"/>
      <c r="L57" s="273"/>
      <c r="M57" s="273"/>
      <c r="N57" s="273"/>
      <c r="O57" s="273"/>
      <c r="P57" s="273"/>
      <c r="Q57" s="273"/>
      <c r="R57" s="273"/>
      <c r="S57" s="273"/>
      <c r="T57" s="273"/>
      <c r="U57" s="273"/>
      <c r="V57" s="273"/>
      <c r="W57" s="273"/>
      <c r="X57" s="273"/>
      <c r="Y57" s="273"/>
      <c r="Z57" s="273"/>
      <c r="AA57" s="273"/>
      <c r="AB57" s="273"/>
      <c r="AC57" s="273"/>
      <c r="AD57" s="273"/>
    </row>
    <row r="58" spans="1:30" s="253" customFormat="1" ht="9.9499999999999993" customHeight="1" x14ac:dyDescent="0.2">
      <c r="A58" s="749" t="s">
        <v>77</v>
      </c>
      <c r="B58" s="254"/>
      <c r="C58" s="273">
        <v>121672</v>
      </c>
      <c r="D58" s="273"/>
      <c r="E58" s="273">
        <v>181075</v>
      </c>
      <c r="F58" s="273"/>
      <c r="G58" s="273">
        <f>SUM('Combining SONPCU'!V45)</f>
        <v>57291</v>
      </c>
      <c r="H58" s="273"/>
      <c r="I58" s="273">
        <f t="shared" ref="I58:I66" si="3">E58+C58+G58</f>
        <v>360038</v>
      </c>
      <c r="J58" s="273"/>
      <c r="K58" s="254"/>
      <c r="L58" s="273"/>
      <c r="M58" s="273"/>
      <c r="N58" s="273"/>
      <c r="O58" s="273"/>
      <c r="P58" s="273"/>
      <c r="Q58" s="273"/>
      <c r="R58" s="273"/>
      <c r="S58" s="273"/>
      <c r="T58" s="273"/>
      <c r="U58" s="273"/>
      <c r="V58" s="273"/>
      <c r="W58" s="273"/>
      <c r="X58" s="273"/>
      <c r="Y58" s="273"/>
      <c r="Z58" s="273"/>
      <c r="AA58" s="273"/>
      <c r="AB58" s="273"/>
      <c r="AC58" s="273"/>
      <c r="AD58" s="273"/>
    </row>
    <row r="59" spans="1:30" s="253" customFormat="1" ht="10.35" customHeight="1" x14ac:dyDescent="0.2">
      <c r="A59" s="749" t="s">
        <v>1477</v>
      </c>
      <c r="B59" s="254"/>
      <c r="C59" s="273">
        <v>107611</v>
      </c>
      <c r="D59" s="273"/>
      <c r="E59" s="273">
        <f>249251</f>
        <v>249251</v>
      </c>
      <c r="F59" s="273"/>
      <c r="G59" s="273">
        <f>SUM(L59:AD59)</f>
        <v>0</v>
      </c>
      <c r="H59" s="273"/>
      <c r="I59" s="273">
        <f>E59+C59+G59</f>
        <v>356862</v>
      </c>
      <c r="J59" s="273"/>
      <c r="K59" s="254"/>
      <c r="L59" s="273"/>
      <c r="M59" s="273"/>
      <c r="N59" s="273"/>
      <c r="O59" s="273"/>
      <c r="P59" s="273"/>
      <c r="Q59" s="273"/>
      <c r="R59" s="273"/>
      <c r="S59" s="273"/>
      <c r="T59" s="273"/>
      <c r="U59" s="273"/>
      <c r="V59" s="273"/>
      <c r="W59" s="273"/>
      <c r="X59" s="273"/>
      <c r="Y59" s="273"/>
      <c r="Z59" s="273"/>
      <c r="AA59" s="273"/>
      <c r="AB59" s="273"/>
      <c r="AC59" s="273"/>
      <c r="AD59" s="273"/>
    </row>
    <row r="60" spans="1:30" s="253" customFormat="1" ht="9.9499999999999993" customHeight="1" x14ac:dyDescent="0.2">
      <c r="A60" s="749" t="s">
        <v>577</v>
      </c>
      <c r="B60" s="254"/>
      <c r="C60" s="273">
        <v>217324</v>
      </c>
      <c r="D60" s="273"/>
      <c r="E60" s="273">
        <v>1354</v>
      </c>
      <c r="F60" s="273"/>
      <c r="G60" s="273"/>
      <c r="H60" s="273"/>
      <c r="I60" s="273">
        <f t="shared" si="3"/>
        <v>218678</v>
      </c>
      <c r="J60" s="273"/>
      <c r="K60" s="254"/>
      <c r="L60" s="273"/>
      <c r="M60" s="273"/>
      <c r="N60" s="273"/>
      <c r="O60" s="273"/>
      <c r="P60" s="273"/>
      <c r="Q60" s="273"/>
      <c r="R60" s="273"/>
      <c r="S60" s="273"/>
      <c r="T60" s="273"/>
      <c r="U60" s="273"/>
      <c r="V60" s="273"/>
      <c r="W60" s="273"/>
      <c r="X60" s="273"/>
      <c r="Y60" s="273"/>
      <c r="Z60" s="273"/>
      <c r="AA60" s="273"/>
      <c r="AB60" s="273"/>
      <c r="AC60" s="273"/>
      <c r="AD60" s="273"/>
    </row>
    <row r="61" spans="1:30" s="253" customFormat="1" ht="9.9499999999999993" customHeight="1" x14ac:dyDescent="0.2">
      <c r="A61" s="749" t="s">
        <v>447</v>
      </c>
      <c r="B61" s="254"/>
      <c r="C61" s="273"/>
      <c r="D61" s="273"/>
      <c r="E61" s="273"/>
      <c r="F61" s="273"/>
      <c r="G61" s="273">
        <f>SUM('Combining SONPCU'!V46)</f>
        <v>136690</v>
      </c>
      <c r="H61" s="273"/>
      <c r="I61" s="273">
        <f t="shared" si="3"/>
        <v>136690</v>
      </c>
      <c r="J61" s="273"/>
      <c r="K61" s="254"/>
      <c r="L61" s="273"/>
      <c r="M61" s="273"/>
      <c r="N61" s="273"/>
      <c r="O61" s="273"/>
      <c r="P61" s="273"/>
      <c r="Q61" s="273"/>
      <c r="R61" s="273"/>
      <c r="S61" s="273"/>
      <c r="T61" s="273"/>
      <c r="U61" s="273"/>
      <c r="V61" s="273"/>
      <c r="W61" s="273"/>
      <c r="X61" s="273"/>
      <c r="Y61" s="273"/>
      <c r="Z61" s="273"/>
      <c r="AA61" s="273"/>
      <c r="AB61" s="273"/>
      <c r="AC61" s="273"/>
      <c r="AD61" s="273"/>
    </row>
    <row r="62" spans="1:30" s="253" customFormat="1" ht="10.35" customHeight="1" x14ac:dyDescent="0.2">
      <c r="A62" s="749" t="s">
        <v>994</v>
      </c>
      <c r="B62" s="254"/>
      <c r="C62" s="273"/>
      <c r="D62" s="273"/>
      <c r="E62" s="273"/>
      <c r="F62" s="273"/>
      <c r="G62" s="273">
        <f>SUM('Combining SONPCU'!V47)</f>
        <v>566274</v>
      </c>
      <c r="H62" s="273"/>
      <c r="I62" s="273">
        <f t="shared" si="3"/>
        <v>566274</v>
      </c>
      <c r="J62" s="273"/>
      <c r="K62" s="254"/>
      <c r="L62" s="273"/>
      <c r="M62" s="273"/>
      <c r="N62" s="273"/>
      <c r="O62" s="273"/>
      <c r="P62" s="273"/>
      <c r="Q62" s="273"/>
      <c r="R62" s="273"/>
      <c r="S62" s="273"/>
      <c r="T62" s="273"/>
      <c r="U62" s="273"/>
      <c r="V62" s="273"/>
      <c r="W62" s="273"/>
      <c r="X62" s="273"/>
      <c r="Y62" s="273"/>
      <c r="Z62" s="273"/>
      <c r="AA62" s="273"/>
      <c r="AB62" s="273"/>
      <c r="AC62" s="273"/>
      <c r="AD62" s="273"/>
    </row>
    <row r="63" spans="1:30" s="253" customFormat="1" ht="9.9499999999999993" customHeight="1" x14ac:dyDescent="0.2">
      <c r="A63" s="749" t="s">
        <v>450</v>
      </c>
      <c r="B63" s="254"/>
      <c r="C63" s="273">
        <v>15366607</v>
      </c>
      <c r="D63" s="273"/>
      <c r="E63" s="273">
        <v>8961618</v>
      </c>
      <c r="F63" s="273"/>
      <c r="G63" s="273">
        <f>SUM('Combining SONPCU'!V48)</f>
        <v>0</v>
      </c>
      <c r="H63" s="273"/>
      <c r="I63" s="273">
        <f t="shared" si="3"/>
        <v>24328225</v>
      </c>
      <c r="J63" s="273"/>
      <c r="K63" s="254"/>
      <c r="L63" s="273"/>
      <c r="M63" s="273"/>
      <c r="N63" s="273"/>
      <c r="O63" s="273"/>
      <c r="P63" s="273"/>
      <c r="Q63" s="273"/>
      <c r="R63" s="273"/>
      <c r="S63" s="273"/>
      <c r="T63" s="273"/>
      <c r="U63" s="273"/>
      <c r="V63" s="273"/>
      <c r="W63" s="273"/>
      <c r="X63" s="273"/>
      <c r="Y63" s="273"/>
      <c r="Z63" s="273"/>
      <c r="AA63" s="273"/>
      <c r="AB63" s="273"/>
      <c r="AC63" s="273"/>
      <c r="AD63" s="273"/>
    </row>
    <row r="64" spans="1:30" s="253" customFormat="1" ht="9.9499999999999993" customHeight="1" x14ac:dyDescent="0.2">
      <c r="A64" s="749" t="s">
        <v>995</v>
      </c>
      <c r="B64" s="254"/>
      <c r="C64" s="254"/>
      <c r="D64" s="273"/>
      <c r="E64" s="273">
        <v>641188</v>
      </c>
      <c r="F64" s="273"/>
      <c r="G64" s="273">
        <f>SUM('Combining SONPCU'!V49)</f>
        <v>27711</v>
      </c>
      <c r="H64" s="273"/>
      <c r="I64" s="273">
        <f t="shared" si="3"/>
        <v>668899</v>
      </c>
      <c r="J64" s="273"/>
      <c r="K64" s="254"/>
      <c r="L64" s="273"/>
      <c r="M64" s="273"/>
      <c r="N64" s="273"/>
      <c r="O64" s="273"/>
      <c r="P64" s="273"/>
      <c r="Q64" s="273"/>
      <c r="R64" s="273"/>
      <c r="S64" s="273"/>
      <c r="T64" s="273"/>
      <c r="U64" s="273"/>
      <c r="V64" s="273"/>
      <c r="W64" s="273"/>
      <c r="X64" s="273"/>
      <c r="Y64" s="273"/>
      <c r="Z64" s="273"/>
      <c r="AA64" s="273"/>
      <c r="AB64" s="273"/>
      <c r="AC64" s="273"/>
      <c r="AD64" s="273"/>
    </row>
    <row r="65" spans="1:30" s="253" customFormat="1" ht="9.9499999999999993" customHeight="1" x14ac:dyDescent="0.2">
      <c r="A65" s="749" t="s">
        <v>993</v>
      </c>
      <c r="B65" s="254"/>
      <c r="C65" s="273">
        <v>1220274</v>
      </c>
      <c r="D65" s="273"/>
      <c r="E65" s="273">
        <v>830450</v>
      </c>
      <c r="F65" s="273"/>
      <c r="G65" s="273">
        <f>SUM('Combining SONPCU'!V50)</f>
        <v>21239</v>
      </c>
      <c r="H65" s="273"/>
      <c r="I65" s="273">
        <f t="shared" si="3"/>
        <v>2071963</v>
      </c>
      <c r="J65" s="273"/>
      <c r="K65" s="254"/>
      <c r="L65" s="273"/>
      <c r="M65" s="273"/>
      <c r="N65" s="273"/>
      <c r="O65" s="273"/>
      <c r="P65" s="273"/>
      <c r="Q65" s="273"/>
      <c r="R65" s="273"/>
      <c r="S65" s="273"/>
      <c r="T65" s="273"/>
      <c r="U65" s="273"/>
      <c r="V65" s="273"/>
      <c r="W65" s="273"/>
      <c r="X65" s="273"/>
      <c r="Y65" s="273"/>
      <c r="Z65" s="273"/>
      <c r="AA65" s="273"/>
      <c r="AB65" s="273"/>
      <c r="AC65" s="273"/>
      <c r="AD65" s="273"/>
    </row>
    <row r="66" spans="1:30" s="253" customFormat="1" ht="9.9499999999999993" customHeight="1" x14ac:dyDescent="0.2">
      <c r="A66" s="749" t="s">
        <v>608</v>
      </c>
      <c r="B66" s="254"/>
      <c r="C66" s="273">
        <v>1283333</v>
      </c>
      <c r="D66" s="273"/>
      <c r="E66" s="273"/>
      <c r="F66" s="273"/>
      <c r="G66" s="273">
        <f>SUM(L66:AD66)</f>
        <v>0</v>
      </c>
      <c r="H66" s="273"/>
      <c r="I66" s="273">
        <f t="shared" si="3"/>
        <v>1283333</v>
      </c>
      <c r="J66" s="273"/>
      <c r="K66" s="254"/>
      <c r="L66" s="273"/>
      <c r="M66" s="273"/>
      <c r="N66" s="273"/>
      <c r="O66" s="273"/>
      <c r="P66" s="273"/>
      <c r="Q66" s="273"/>
      <c r="R66" s="273"/>
      <c r="S66" s="273"/>
      <c r="T66" s="273"/>
      <c r="U66" s="273"/>
      <c r="V66" s="273"/>
      <c r="W66" s="273"/>
      <c r="X66" s="273"/>
      <c r="Y66" s="273"/>
      <c r="Z66" s="273"/>
      <c r="AA66" s="273"/>
      <c r="AB66" s="273"/>
      <c r="AC66" s="273"/>
      <c r="AD66" s="273"/>
    </row>
    <row r="67" spans="1:30" s="253" customFormat="1" ht="9.9499999999999993" customHeight="1" x14ac:dyDescent="0.2">
      <c r="A67" s="749" t="s">
        <v>996</v>
      </c>
      <c r="B67" s="254"/>
      <c r="C67" s="502">
        <v>8586701</v>
      </c>
      <c r="D67" s="502"/>
      <c r="E67" s="502">
        <v>2869426</v>
      </c>
      <c r="F67" s="502"/>
      <c r="G67" s="502">
        <f>SUM('Combining SONPCU'!V51)</f>
        <v>313705</v>
      </c>
      <c r="H67" s="502"/>
      <c r="I67" s="273">
        <f>E67+C67+G67</f>
        <v>11769832</v>
      </c>
      <c r="J67" s="273"/>
      <c r="K67" s="254"/>
      <c r="L67" s="273"/>
      <c r="M67" s="273"/>
      <c r="N67" s="273"/>
      <c r="O67" s="273"/>
      <c r="P67" s="273"/>
      <c r="Q67" s="273"/>
      <c r="R67" s="273"/>
      <c r="S67" s="273"/>
      <c r="T67" s="273"/>
      <c r="U67" s="273"/>
      <c r="V67" s="273"/>
      <c r="W67" s="273"/>
      <c r="X67" s="273"/>
      <c r="Y67" s="273"/>
      <c r="Z67" s="273"/>
      <c r="AA67" s="273"/>
      <c r="AB67" s="273"/>
      <c r="AC67" s="273"/>
      <c r="AD67" s="273"/>
    </row>
    <row r="68" spans="1:30" s="439" customFormat="1" ht="5.0999999999999996" customHeight="1" x14ac:dyDescent="0.2">
      <c r="A68" s="417"/>
      <c r="B68" s="418"/>
      <c r="C68" s="1369"/>
      <c r="D68" s="417"/>
      <c r="E68" s="1369"/>
      <c r="F68" s="538"/>
      <c r="G68" s="1369"/>
      <c r="H68" s="538"/>
      <c r="I68" s="1369"/>
      <c r="J68" s="1335"/>
      <c r="K68" s="450"/>
      <c r="L68" s="538"/>
      <c r="M68" s="450"/>
      <c r="N68" s="538"/>
      <c r="O68" s="450"/>
      <c r="P68" s="538"/>
      <c r="Q68" s="450"/>
      <c r="R68" s="538"/>
      <c r="S68" s="450"/>
      <c r="T68" s="538"/>
      <c r="U68" s="450"/>
      <c r="V68" s="538"/>
    </row>
    <row r="69" spans="1:30" s="253" customFormat="1" ht="9.9499999999999993" customHeight="1" x14ac:dyDescent="0.2">
      <c r="A69" s="705" t="s">
        <v>1755</v>
      </c>
      <c r="B69" s="254"/>
      <c r="C69" s="273">
        <f>SUM(C58:C66)-C67</f>
        <v>9730120</v>
      </c>
      <c r="D69" s="273"/>
      <c r="E69" s="273">
        <f>SUM(E58:E66)-E67</f>
        <v>7995510</v>
      </c>
      <c r="F69" s="273"/>
      <c r="G69" s="273">
        <f>SUM(G58:G66)-G67</f>
        <v>495500</v>
      </c>
      <c r="H69" s="273"/>
      <c r="I69" s="273">
        <f>SUM(I58:I66)-I67</f>
        <v>18221130</v>
      </c>
      <c r="J69" s="273"/>
      <c r="K69" s="254"/>
      <c r="L69" s="273"/>
      <c r="M69" s="273"/>
      <c r="N69" s="273"/>
      <c r="O69" s="273"/>
      <c r="P69" s="273"/>
      <c r="Q69" s="273"/>
      <c r="R69" s="273"/>
      <c r="S69" s="273"/>
      <c r="T69" s="273"/>
      <c r="U69" s="273"/>
      <c r="V69" s="273"/>
      <c r="W69" s="273"/>
      <c r="X69" s="273"/>
      <c r="Y69" s="273"/>
      <c r="Z69" s="273"/>
      <c r="AA69" s="273"/>
      <c r="AB69" s="273"/>
      <c r="AC69" s="273"/>
      <c r="AD69" s="273"/>
    </row>
    <row r="70" spans="1:30" s="439" customFormat="1" ht="5.0999999999999996" customHeight="1" x14ac:dyDescent="0.2">
      <c r="A70" s="417"/>
      <c r="B70" s="418"/>
      <c r="C70" s="1369"/>
      <c r="D70" s="417"/>
      <c r="E70" s="1369"/>
      <c r="F70" s="538"/>
      <c r="G70" s="1369"/>
      <c r="H70" s="538"/>
      <c r="I70" s="1369"/>
      <c r="J70" s="1335"/>
      <c r="K70" s="450"/>
      <c r="L70" s="538"/>
      <c r="M70" s="450"/>
      <c r="N70" s="538"/>
      <c r="O70" s="450"/>
      <c r="P70" s="538"/>
      <c r="Q70" s="450"/>
      <c r="R70" s="538"/>
      <c r="S70" s="450"/>
      <c r="T70" s="538"/>
      <c r="U70" s="450"/>
      <c r="V70" s="538"/>
    </row>
    <row r="71" spans="1:30" s="253" customFormat="1" ht="9.9499999999999993" customHeight="1" x14ac:dyDescent="0.2">
      <c r="A71" s="427" t="s">
        <v>1614</v>
      </c>
      <c r="B71" s="254"/>
      <c r="C71" s="273">
        <v>5819</v>
      </c>
      <c r="D71" s="273"/>
      <c r="E71" s="273"/>
      <c r="F71" s="273"/>
      <c r="G71" s="273">
        <f>'Combining SONPCU'!V55</f>
        <v>2344</v>
      </c>
      <c r="H71" s="273"/>
      <c r="I71" s="273">
        <f t="shared" ref="I71:I72" si="4">E71+C71+G71</f>
        <v>8163</v>
      </c>
      <c r="J71" s="273"/>
      <c r="K71" s="254"/>
      <c r="L71" s="273"/>
      <c r="M71" s="273"/>
      <c r="N71" s="273"/>
      <c r="O71" s="273"/>
      <c r="P71" s="273"/>
      <c r="Q71" s="273"/>
      <c r="R71" s="273"/>
      <c r="S71" s="273"/>
      <c r="T71" s="273"/>
      <c r="U71" s="273"/>
      <c r="V71" s="273"/>
      <c r="W71" s="273"/>
      <c r="X71" s="273"/>
      <c r="Y71" s="273"/>
      <c r="Z71" s="273"/>
      <c r="AA71" s="273"/>
      <c r="AB71" s="273"/>
      <c r="AC71" s="273"/>
      <c r="AD71" s="273"/>
    </row>
    <row r="72" spans="1:30" s="253" customFormat="1" ht="9.9499999999999993" customHeight="1" x14ac:dyDescent="0.2">
      <c r="A72" s="429" t="s">
        <v>1585</v>
      </c>
      <c r="B72" s="254"/>
      <c r="C72" s="273">
        <v>2204</v>
      </c>
      <c r="D72" s="273"/>
      <c r="E72" s="273"/>
      <c r="F72" s="273"/>
      <c r="G72" s="273">
        <f>'Combining SONPCU'!V56</f>
        <v>150</v>
      </c>
      <c r="H72" s="273"/>
      <c r="I72" s="273">
        <f t="shared" si="4"/>
        <v>2354</v>
      </c>
      <c r="J72" s="273"/>
      <c r="K72" s="254"/>
      <c r="L72" s="273"/>
      <c r="M72" s="273"/>
      <c r="N72" s="273"/>
      <c r="O72" s="273"/>
      <c r="P72" s="273"/>
      <c r="Q72" s="273"/>
      <c r="R72" s="273"/>
      <c r="S72" s="273"/>
      <c r="T72" s="273"/>
      <c r="U72" s="273"/>
      <c r="V72" s="273"/>
      <c r="W72" s="273"/>
      <c r="X72" s="273"/>
      <c r="Y72" s="273"/>
      <c r="Z72" s="273"/>
      <c r="AA72" s="273"/>
      <c r="AB72" s="273"/>
      <c r="AC72" s="273"/>
      <c r="AD72" s="273"/>
    </row>
    <row r="73" spans="1:30" s="439" customFormat="1" ht="5.0999999999999996" customHeight="1" x14ac:dyDescent="0.2">
      <c r="A73" s="417"/>
      <c r="B73" s="418"/>
      <c r="C73" s="1369"/>
      <c r="D73" s="417"/>
      <c r="E73" s="1369"/>
      <c r="F73" s="538"/>
      <c r="G73" s="1369"/>
      <c r="H73" s="538"/>
      <c r="I73" s="1369"/>
      <c r="J73" s="1335"/>
      <c r="K73" s="450"/>
      <c r="L73" s="538"/>
      <c r="M73" s="450"/>
      <c r="N73" s="538"/>
      <c r="O73" s="450"/>
      <c r="P73" s="538"/>
      <c r="Q73" s="450"/>
      <c r="R73" s="538"/>
      <c r="S73" s="450"/>
      <c r="T73" s="538"/>
      <c r="U73" s="450"/>
      <c r="V73" s="538"/>
    </row>
    <row r="74" spans="1:30" s="253" customFormat="1" ht="9.9499999999999993" customHeight="1" x14ac:dyDescent="0.2">
      <c r="A74" s="427" t="s">
        <v>1612</v>
      </c>
      <c r="B74" s="254"/>
      <c r="C74" s="450">
        <f>+C71-C72</f>
        <v>3615</v>
      </c>
      <c r="D74" s="273"/>
      <c r="E74" s="1480">
        <f>+E71-E72</f>
        <v>0</v>
      </c>
      <c r="F74" s="273"/>
      <c r="G74" s="450">
        <f>+G71-G72</f>
        <v>2194</v>
      </c>
      <c r="H74" s="273"/>
      <c r="I74" s="450">
        <f>+I71-I72</f>
        <v>5809</v>
      </c>
      <c r="J74" s="273"/>
      <c r="K74" s="254"/>
      <c r="L74" s="273"/>
      <c r="M74" s="273"/>
      <c r="N74" s="273"/>
      <c r="O74" s="273"/>
      <c r="P74" s="273"/>
      <c r="Q74" s="273"/>
      <c r="R74" s="273"/>
      <c r="S74" s="273"/>
      <c r="T74" s="273"/>
      <c r="U74" s="273"/>
      <c r="V74" s="273"/>
      <c r="W74" s="273"/>
      <c r="X74" s="273"/>
      <c r="Y74" s="273"/>
      <c r="Z74" s="273"/>
      <c r="AA74" s="273"/>
      <c r="AB74" s="273"/>
      <c r="AC74" s="273"/>
      <c r="AD74" s="273"/>
    </row>
    <row r="75" spans="1:30" s="439" customFormat="1" ht="5.0999999999999996" customHeight="1" x14ac:dyDescent="0.2">
      <c r="A75" s="417"/>
      <c r="B75" s="418"/>
      <c r="C75" s="1369"/>
      <c r="D75" s="417"/>
      <c r="E75" s="1369"/>
      <c r="F75" s="538"/>
      <c r="G75" s="1369"/>
      <c r="H75" s="538"/>
      <c r="I75" s="1369"/>
      <c r="J75" s="1335"/>
      <c r="K75" s="450"/>
      <c r="L75" s="538"/>
      <c r="M75" s="450"/>
      <c r="N75" s="538"/>
      <c r="O75" s="450"/>
      <c r="P75" s="538"/>
      <c r="Q75" s="450"/>
      <c r="R75" s="538"/>
      <c r="S75" s="450"/>
      <c r="T75" s="538"/>
      <c r="U75" s="450"/>
      <c r="V75" s="538"/>
    </row>
    <row r="76" spans="1:30" s="253" customFormat="1" ht="9.9499999999999993" customHeight="1" x14ac:dyDescent="0.2">
      <c r="A76" s="427" t="s">
        <v>1645</v>
      </c>
      <c r="B76" s="254"/>
      <c r="C76" s="273">
        <v>48228</v>
      </c>
      <c r="D76" s="273"/>
      <c r="E76" s="273">
        <v>6892</v>
      </c>
      <c r="F76" s="273"/>
      <c r="G76" s="273">
        <f>'Combining SONPCU'!V60</f>
        <v>255</v>
      </c>
      <c r="H76" s="273"/>
      <c r="I76" s="273">
        <f t="shared" ref="I76:I77" si="5">E76+C76+G76</f>
        <v>55375</v>
      </c>
      <c r="J76" s="273"/>
      <c r="K76" s="254"/>
      <c r="L76" s="273"/>
      <c r="M76" s="273"/>
      <c r="N76" s="273"/>
      <c r="O76" s="273"/>
      <c r="P76" s="273"/>
      <c r="Q76" s="273"/>
      <c r="R76" s="273"/>
      <c r="S76" s="273"/>
      <c r="T76" s="273"/>
      <c r="U76" s="273"/>
      <c r="V76" s="273"/>
      <c r="W76" s="273"/>
      <c r="X76" s="273"/>
      <c r="Y76" s="273"/>
      <c r="Z76" s="273"/>
      <c r="AA76" s="273"/>
      <c r="AB76" s="273"/>
      <c r="AC76" s="273"/>
      <c r="AD76" s="273"/>
    </row>
    <row r="77" spans="1:30" s="253" customFormat="1" ht="9.9499999999999993" customHeight="1" x14ac:dyDescent="0.2">
      <c r="A77" s="429" t="s">
        <v>1585</v>
      </c>
      <c r="B77" s="254"/>
      <c r="C77" s="273">
        <v>18853</v>
      </c>
      <c r="D77" s="273"/>
      <c r="E77" s="273">
        <v>1691</v>
      </c>
      <c r="F77" s="273"/>
      <c r="G77" s="273">
        <f>'Combining SONPCU'!V61</f>
        <v>162</v>
      </c>
      <c r="H77" s="273"/>
      <c r="I77" s="273">
        <f t="shared" si="5"/>
        <v>20706</v>
      </c>
      <c r="J77" s="273"/>
      <c r="K77" s="254"/>
      <c r="L77" s="273"/>
      <c r="M77" s="273"/>
      <c r="N77" s="273"/>
      <c r="O77" s="273"/>
      <c r="P77" s="273"/>
      <c r="Q77" s="273"/>
      <c r="R77" s="273"/>
      <c r="S77" s="273"/>
      <c r="T77" s="273"/>
      <c r="U77" s="273"/>
      <c r="V77" s="273"/>
      <c r="W77" s="273"/>
      <c r="X77" s="273"/>
      <c r="Y77" s="273"/>
      <c r="Z77" s="273"/>
      <c r="AA77" s="273"/>
      <c r="AB77" s="273"/>
      <c r="AC77" s="273"/>
      <c r="AD77" s="273"/>
    </row>
    <row r="78" spans="1:30" s="439" customFormat="1" ht="5.0999999999999996" customHeight="1" x14ac:dyDescent="0.2">
      <c r="A78" s="417"/>
      <c r="B78" s="418"/>
      <c r="C78" s="1369"/>
      <c r="D78" s="417"/>
      <c r="E78" s="1369"/>
      <c r="F78" s="538"/>
      <c r="G78" s="340">
        <f>'Combining SONPCU'!V62</f>
        <v>0</v>
      </c>
      <c r="H78" s="538"/>
      <c r="I78" s="1369"/>
      <c r="J78" s="1335"/>
      <c r="K78" s="450"/>
      <c r="L78" s="538"/>
      <c r="M78" s="450"/>
      <c r="N78" s="538"/>
      <c r="O78" s="450"/>
      <c r="P78" s="538"/>
      <c r="Q78" s="450"/>
      <c r="R78" s="538"/>
      <c r="S78" s="450"/>
      <c r="T78" s="538"/>
      <c r="U78" s="450"/>
      <c r="V78" s="538"/>
    </row>
    <row r="79" spans="1:30" s="253" customFormat="1" ht="9.9499999999999993" customHeight="1" x14ac:dyDescent="0.2">
      <c r="A79" s="427" t="s">
        <v>1644</v>
      </c>
      <c r="B79" s="254"/>
      <c r="C79" s="450">
        <f>+C76-C77</f>
        <v>29375</v>
      </c>
      <c r="D79" s="273"/>
      <c r="E79" s="450">
        <f>+E76-E77</f>
        <v>5201</v>
      </c>
      <c r="F79" s="273"/>
      <c r="G79" s="450">
        <f>+G76-G77</f>
        <v>93</v>
      </c>
      <c r="H79" s="273"/>
      <c r="I79" s="450">
        <f>+I76-I77</f>
        <v>34669</v>
      </c>
      <c r="J79" s="273"/>
      <c r="K79" s="254"/>
      <c r="L79" s="273"/>
      <c r="M79" s="273"/>
      <c r="N79" s="273"/>
      <c r="O79" s="273"/>
      <c r="P79" s="273"/>
      <c r="Q79" s="273"/>
      <c r="R79" s="273"/>
      <c r="S79" s="273"/>
      <c r="T79" s="273"/>
      <c r="U79" s="273"/>
      <c r="V79" s="273"/>
      <c r="W79" s="273"/>
      <c r="X79" s="273"/>
      <c r="Y79" s="273"/>
      <c r="Z79" s="273"/>
      <c r="AA79" s="273"/>
      <c r="AB79" s="273"/>
      <c r="AC79" s="273"/>
      <c r="AD79" s="273"/>
    </row>
    <row r="80" spans="1:30" s="439" customFormat="1" ht="5.0999999999999996" customHeight="1" x14ac:dyDescent="0.2">
      <c r="A80" s="417"/>
      <c r="B80" s="418"/>
      <c r="C80" s="1369"/>
      <c r="D80" s="417"/>
      <c r="E80" s="1369"/>
      <c r="F80" s="538"/>
      <c r="G80" s="1369"/>
      <c r="H80" s="538"/>
      <c r="I80" s="1369"/>
      <c r="J80" s="1335"/>
      <c r="K80" s="450"/>
      <c r="L80" s="538"/>
      <c r="M80" s="450"/>
      <c r="N80" s="538"/>
      <c r="O80" s="450"/>
      <c r="P80" s="538"/>
      <c r="Q80" s="450"/>
      <c r="R80" s="538"/>
      <c r="S80" s="450"/>
      <c r="T80" s="538"/>
      <c r="U80" s="450"/>
      <c r="V80" s="538"/>
    </row>
    <row r="81" spans="1:43" s="253" customFormat="1" ht="9.9499999999999993" hidden="1" customHeight="1" x14ac:dyDescent="0.2">
      <c r="A81" s="705" t="s">
        <v>764</v>
      </c>
      <c r="B81" s="254"/>
      <c r="C81" s="502"/>
      <c r="D81" s="502"/>
      <c r="E81" s="502"/>
      <c r="F81" s="502"/>
      <c r="G81" s="502"/>
      <c r="H81" s="502"/>
      <c r="I81" s="273">
        <f>E81+C81+G81</f>
        <v>0</v>
      </c>
      <c r="J81" s="273"/>
      <c r="K81" s="254"/>
      <c r="L81" s="273"/>
      <c r="M81" s="273"/>
      <c r="N81" s="273"/>
      <c r="O81" s="273"/>
      <c r="P81" s="273"/>
      <c r="Q81" s="273"/>
      <c r="R81" s="273"/>
      <c r="S81" s="273"/>
      <c r="T81" s="273"/>
      <c r="U81" s="273"/>
      <c r="V81" s="273"/>
      <c r="W81" s="273"/>
      <c r="X81" s="273"/>
      <c r="Y81" s="273"/>
      <c r="Z81" s="273"/>
      <c r="AA81" s="273"/>
      <c r="AB81" s="273"/>
      <c r="AC81" s="273"/>
      <c r="AD81" s="273"/>
    </row>
    <row r="82" spans="1:43" s="253" customFormat="1" ht="9.9499999999999993" customHeight="1" x14ac:dyDescent="0.2">
      <c r="A82" s="708" t="s">
        <v>78</v>
      </c>
      <c r="B82" s="254"/>
      <c r="C82" s="273">
        <f>+C69+C74+C79</f>
        <v>9763110</v>
      </c>
      <c r="D82" s="273"/>
      <c r="E82" s="273">
        <f>+E69+E74+E79</f>
        <v>8000711</v>
      </c>
      <c r="F82" s="273"/>
      <c r="G82" s="273">
        <f>+G69+G74+G79</f>
        <v>497787</v>
      </c>
      <c r="H82" s="273"/>
      <c r="I82" s="273">
        <f>+I69+I74+I79</f>
        <v>18261608</v>
      </c>
      <c r="J82" s="273"/>
      <c r="K82" s="254"/>
      <c r="L82" s="273"/>
      <c r="M82" s="273"/>
      <c r="N82" s="273"/>
      <c r="O82" s="273"/>
      <c r="P82" s="273"/>
      <c r="Q82" s="273"/>
      <c r="R82" s="273"/>
      <c r="S82" s="273"/>
      <c r="T82" s="273"/>
      <c r="U82" s="273"/>
      <c r="V82" s="273"/>
      <c r="W82" s="273"/>
      <c r="X82" s="273"/>
      <c r="Y82" s="273"/>
      <c r="Z82" s="273"/>
      <c r="AA82" s="273"/>
      <c r="AB82" s="273"/>
      <c r="AC82" s="273"/>
      <c r="AD82" s="273"/>
    </row>
    <row r="83" spans="1:43" s="439" customFormat="1" ht="5.0999999999999996" customHeight="1" x14ac:dyDescent="0.2">
      <c r="A83" s="417"/>
      <c r="B83" s="418"/>
      <c r="C83" s="1369"/>
      <c r="D83" s="417"/>
      <c r="E83" s="1369"/>
      <c r="F83" s="538"/>
      <c r="G83" s="1369"/>
      <c r="H83" s="538"/>
      <c r="I83" s="1369"/>
      <c r="J83" s="1335"/>
      <c r="K83" s="450"/>
      <c r="L83" s="538"/>
      <c r="M83" s="450"/>
      <c r="N83" s="538"/>
      <c r="O83" s="450"/>
      <c r="P83" s="538"/>
      <c r="Q83" s="450"/>
      <c r="R83" s="538"/>
      <c r="S83" s="450"/>
      <c r="T83" s="538"/>
      <c r="U83" s="450"/>
      <c r="V83" s="538"/>
    </row>
    <row r="84" spans="1:43" s="253" customFormat="1" ht="9.9499999999999993" customHeight="1" x14ac:dyDescent="0.2">
      <c r="A84" s="750" t="s">
        <v>287</v>
      </c>
      <c r="B84" s="254"/>
      <c r="C84" s="273"/>
      <c r="D84" s="273"/>
      <c r="E84" s="273"/>
      <c r="F84" s="273"/>
      <c r="G84" s="273"/>
      <c r="H84" s="273"/>
      <c r="I84" s="273"/>
      <c r="J84" s="273"/>
      <c r="K84" s="254"/>
      <c r="L84" s="273"/>
      <c r="M84" s="273"/>
      <c r="N84" s="273"/>
      <c r="O84" s="273"/>
      <c r="P84" s="273"/>
      <c r="Q84" s="273"/>
      <c r="R84" s="273"/>
      <c r="S84" s="273"/>
      <c r="T84" s="273"/>
      <c r="U84" s="273"/>
      <c r="V84" s="273"/>
      <c r="W84" s="273"/>
      <c r="X84" s="273"/>
      <c r="Y84" s="273"/>
      <c r="Z84" s="273"/>
      <c r="AA84" s="273"/>
      <c r="AB84" s="273"/>
      <c r="AC84" s="273"/>
      <c r="AD84" s="273"/>
    </row>
    <row r="85" spans="1:43" s="253" customFormat="1" ht="9.9499999999999993" customHeight="1" x14ac:dyDescent="0.2">
      <c r="A85" s="705" t="s">
        <v>673</v>
      </c>
      <c r="B85" s="254"/>
      <c r="C85" s="273"/>
      <c r="D85" s="273"/>
      <c r="E85" s="273">
        <v>231216</v>
      </c>
      <c r="F85" s="273"/>
      <c r="G85" s="273">
        <f>'Combining SONPCU'!V68</f>
        <v>5163</v>
      </c>
      <c r="H85" s="273"/>
      <c r="I85" s="273">
        <f t="shared" ref="I85:I92" si="6">E85+C85+G85</f>
        <v>236379</v>
      </c>
      <c r="J85" s="273"/>
      <c r="K85" s="254"/>
      <c r="L85" s="273"/>
      <c r="M85" s="273"/>
      <c r="N85" s="273"/>
      <c r="O85" s="273"/>
      <c r="P85" s="273"/>
      <c r="Q85" s="273"/>
      <c r="R85" s="273"/>
      <c r="S85" s="273"/>
      <c r="T85" s="273"/>
      <c r="U85" s="273"/>
      <c r="V85" s="273"/>
      <c r="W85" s="273"/>
      <c r="X85" s="273"/>
      <c r="Y85" s="273"/>
      <c r="Z85" s="273"/>
      <c r="AA85" s="273"/>
      <c r="AB85" s="273"/>
      <c r="AC85" s="273"/>
      <c r="AD85" s="273"/>
    </row>
    <row r="86" spans="1:43" s="253" customFormat="1" ht="9.9499999999999993" customHeight="1" x14ac:dyDescent="0.2">
      <c r="A86" s="705" t="s">
        <v>674</v>
      </c>
      <c r="B86" s="254"/>
      <c r="C86" s="273"/>
      <c r="D86" s="273"/>
      <c r="E86" s="273">
        <v>295618</v>
      </c>
      <c r="F86" s="273"/>
      <c r="G86" s="273">
        <f>'Combining SONPCU'!V69</f>
        <v>51243</v>
      </c>
      <c r="H86" s="273"/>
      <c r="I86" s="273">
        <f t="shared" si="6"/>
        <v>346861</v>
      </c>
      <c r="J86" s="273"/>
      <c r="K86" s="254"/>
      <c r="L86" s="273"/>
      <c r="M86" s="273"/>
      <c r="N86" s="273"/>
      <c r="O86" s="273"/>
      <c r="P86" s="273"/>
      <c r="Q86" s="273"/>
      <c r="R86" s="273"/>
      <c r="S86" s="273"/>
      <c r="T86" s="273"/>
      <c r="U86" s="273"/>
      <c r="V86" s="273"/>
      <c r="W86" s="273"/>
      <c r="X86" s="273"/>
      <c r="Y86" s="273"/>
      <c r="Z86" s="273"/>
      <c r="AA86" s="273"/>
      <c r="AB86" s="273"/>
      <c r="AC86" s="273"/>
      <c r="AD86" s="273"/>
    </row>
    <row r="87" spans="1:43" s="253" customFormat="1" ht="9.9499999999999993" customHeight="1" x14ac:dyDescent="0.2">
      <c r="A87" s="427" t="s">
        <v>252</v>
      </c>
      <c r="B87" s="254"/>
      <c r="C87" s="273"/>
      <c r="D87" s="273"/>
      <c r="E87" s="273">
        <v>3635</v>
      </c>
      <c r="F87" s="273"/>
      <c r="G87" s="273">
        <f>'Combining SONPCU'!V70</f>
        <v>721</v>
      </c>
      <c r="H87" s="273"/>
      <c r="I87" s="273">
        <f t="shared" si="6"/>
        <v>4356</v>
      </c>
      <c r="J87" s="273"/>
      <c r="K87" s="254"/>
      <c r="L87" s="273"/>
      <c r="M87" s="273"/>
      <c r="N87" s="273"/>
      <c r="O87" s="273"/>
      <c r="P87" s="273"/>
      <c r="Q87" s="273"/>
      <c r="R87" s="273"/>
      <c r="S87" s="273"/>
      <c r="T87" s="273"/>
      <c r="U87" s="273"/>
      <c r="V87" s="273"/>
      <c r="W87" s="273"/>
      <c r="X87" s="273"/>
      <c r="Y87" s="273"/>
      <c r="Z87" s="273"/>
      <c r="AA87" s="273"/>
      <c r="AB87" s="273"/>
      <c r="AC87" s="273"/>
      <c r="AD87" s="273"/>
    </row>
    <row r="88" spans="1:43" s="253" customFormat="1" ht="9.9499999999999993" customHeight="1" x14ac:dyDescent="0.2">
      <c r="A88" s="705" t="s">
        <v>679</v>
      </c>
      <c r="B88" s="254"/>
      <c r="C88" s="273"/>
      <c r="D88" s="273"/>
      <c r="E88" s="273"/>
      <c r="F88" s="273"/>
      <c r="G88" s="273">
        <f>'Combining SONPCU'!V71</f>
        <v>52365</v>
      </c>
      <c r="H88" s="273"/>
      <c r="I88" s="273">
        <f t="shared" si="6"/>
        <v>52365</v>
      </c>
      <c r="J88" s="273"/>
      <c r="K88" s="254"/>
      <c r="L88" s="273"/>
      <c r="M88" s="273"/>
      <c r="N88" s="273"/>
      <c r="O88" s="273"/>
      <c r="P88" s="273"/>
      <c r="Q88" s="273"/>
      <c r="R88" s="273"/>
      <c r="S88" s="273"/>
      <c r="T88" s="273"/>
      <c r="U88" s="273"/>
      <c r="V88" s="273"/>
      <c r="W88" s="273"/>
      <c r="X88" s="273"/>
      <c r="Y88" s="273"/>
      <c r="Z88" s="273"/>
      <c r="AA88" s="273"/>
      <c r="AB88" s="273"/>
      <c r="AC88" s="273"/>
      <c r="AD88" s="273"/>
    </row>
    <row r="89" spans="1:43" s="253" customFormat="1" ht="9.9499999999999993" customHeight="1" x14ac:dyDescent="0.2">
      <c r="A89" s="705" t="s">
        <v>1426</v>
      </c>
      <c r="B89" s="254"/>
      <c r="C89" s="273">
        <v>244586</v>
      </c>
      <c r="D89" s="273"/>
      <c r="E89" s="273"/>
      <c r="F89" s="273"/>
      <c r="G89" s="273"/>
      <c r="H89" s="273"/>
      <c r="I89" s="273">
        <f t="shared" si="6"/>
        <v>244586</v>
      </c>
      <c r="J89" s="273"/>
      <c r="K89" s="254"/>
      <c r="L89" s="273"/>
      <c r="M89" s="273"/>
      <c r="N89" s="273"/>
      <c r="O89" s="273"/>
      <c r="P89" s="273"/>
      <c r="Q89" s="273"/>
      <c r="R89" s="273"/>
      <c r="S89" s="273"/>
      <c r="T89" s="273"/>
      <c r="U89" s="273"/>
      <c r="V89" s="273"/>
      <c r="W89" s="273"/>
      <c r="X89" s="273"/>
      <c r="Y89" s="273"/>
      <c r="Z89" s="273"/>
      <c r="AA89" s="273"/>
      <c r="AB89" s="273"/>
      <c r="AC89" s="273"/>
      <c r="AD89" s="273"/>
    </row>
    <row r="90" spans="1:43" s="253" customFormat="1" ht="9.9499999999999993" customHeight="1" x14ac:dyDescent="0.2">
      <c r="A90" s="705" t="s">
        <v>1773</v>
      </c>
      <c r="B90" s="254"/>
      <c r="C90" s="273"/>
      <c r="D90" s="273"/>
      <c r="E90" s="273"/>
      <c r="F90" s="273"/>
      <c r="G90" s="273">
        <f>'Combining SONPCU'!V72</f>
        <v>213487</v>
      </c>
      <c r="H90" s="273"/>
      <c r="I90" s="273">
        <f t="shared" si="6"/>
        <v>213487</v>
      </c>
      <c r="J90" s="273"/>
      <c r="K90" s="254"/>
      <c r="L90" s="273"/>
      <c r="M90" s="273"/>
      <c r="N90" s="273"/>
      <c r="O90" s="273"/>
      <c r="P90" s="273"/>
      <c r="Q90" s="273"/>
      <c r="R90" s="273"/>
      <c r="S90" s="273"/>
      <c r="T90" s="273"/>
      <c r="U90" s="273"/>
      <c r="V90" s="273"/>
      <c r="W90" s="273"/>
      <c r="X90" s="273"/>
      <c r="Y90" s="273"/>
      <c r="Z90" s="273"/>
      <c r="AA90" s="273"/>
      <c r="AB90" s="273"/>
      <c r="AC90" s="273"/>
      <c r="AD90" s="273"/>
    </row>
    <row r="91" spans="1:43" s="253" customFormat="1" ht="9.9499999999999993" customHeight="1" x14ac:dyDescent="0.2">
      <c r="A91" s="705" t="s">
        <v>853</v>
      </c>
      <c r="B91" s="254"/>
      <c r="C91" s="273">
        <v>1025288</v>
      </c>
      <c r="D91" s="273"/>
      <c r="E91" s="273">
        <f>44399+241</f>
        <v>44640</v>
      </c>
      <c r="F91" s="273"/>
      <c r="G91" s="273"/>
      <c r="H91" s="273"/>
      <c r="I91" s="273">
        <f t="shared" si="6"/>
        <v>1069928</v>
      </c>
      <c r="J91" s="273"/>
      <c r="K91" s="254"/>
      <c r="L91" s="273"/>
      <c r="M91" s="273"/>
      <c r="N91" s="273"/>
      <c r="O91" s="273"/>
      <c r="P91" s="273"/>
      <c r="Q91" s="273"/>
      <c r="R91" s="273"/>
      <c r="S91" s="273"/>
      <c r="T91" s="273"/>
      <c r="U91" s="273"/>
      <c r="V91" s="273"/>
      <c r="W91" s="273"/>
      <c r="X91" s="273"/>
      <c r="Y91" s="273"/>
      <c r="Z91" s="273"/>
      <c r="AA91" s="273"/>
      <c r="AB91" s="273"/>
      <c r="AC91" s="273"/>
      <c r="AD91" s="273"/>
    </row>
    <row r="92" spans="1:43" s="253" customFormat="1" ht="9.9499999999999993" hidden="1" customHeight="1" x14ac:dyDescent="0.2">
      <c r="A92" s="705" t="s">
        <v>609</v>
      </c>
      <c r="B92" s="254"/>
      <c r="C92" s="273"/>
      <c r="D92" s="273"/>
      <c r="E92" s="273"/>
      <c r="F92" s="273"/>
      <c r="G92" s="273">
        <f>SUM(L92:AD92)</f>
        <v>0</v>
      </c>
      <c r="H92" s="273"/>
      <c r="I92" s="273">
        <f t="shared" si="6"/>
        <v>0</v>
      </c>
      <c r="J92" s="273"/>
      <c r="K92" s="254"/>
      <c r="L92" s="273"/>
      <c r="M92" s="273"/>
      <c r="N92" s="273"/>
      <c r="O92" s="273"/>
      <c r="P92" s="273"/>
      <c r="Q92" s="273"/>
      <c r="R92" s="273"/>
      <c r="S92" s="273"/>
      <c r="T92" s="273"/>
      <c r="U92" s="273"/>
      <c r="V92" s="273"/>
      <c r="W92" s="273"/>
      <c r="X92" s="273"/>
      <c r="Y92" s="273"/>
      <c r="Z92" s="273"/>
      <c r="AA92" s="273"/>
      <c r="AB92" s="273"/>
      <c r="AC92" s="273"/>
      <c r="AD92" s="273"/>
    </row>
    <row r="93" spans="1:43" s="253" customFormat="1" ht="9.9499999999999993" customHeight="1" x14ac:dyDescent="0.2">
      <c r="A93" s="708" t="s">
        <v>288</v>
      </c>
      <c r="B93" s="254"/>
      <c r="C93" s="629">
        <f>SUM(C85:C92)</f>
        <v>1269874</v>
      </c>
      <c r="D93" s="273"/>
      <c r="E93" s="629">
        <f>SUM(E85:E92)</f>
        <v>575109</v>
      </c>
      <c r="F93" s="273"/>
      <c r="G93" s="629">
        <f>SUM(G85:G92)</f>
        <v>322979</v>
      </c>
      <c r="H93" s="273"/>
      <c r="I93" s="629">
        <f>SUM(I85:I92)</f>
        <v>2167962</v>
      </c>
      <c r="J93" s="273"/>
      <c r="K93" s="254"/>
      <c r="L93" s="273"/>
      <c r="M93" s="273"/>
      <c r="N93" s="273"/>
      <c r="O93" s="273"/>
      <c r="P93" s="273"/>
      <c r="Q93" s="273"/>
      <c r="R93" s="273"/>
      <c r="S93" s="273"/>
      <c r="T93" s="273"/>
      <c r="U93" s="273"/>
      <c r="V93" s="273"/>
      <c r="W93" s="273"/>
      <c r="X93" s="273"/>
      <c r="Y93" s="273"/>
      <c r="Z93" s="273"/>
      <c r="AA93" s="273"/>
      <c r="AB93" s="273"/>
      <c r="AC93" s="273"/>
      <c r="AD93" s="273"/>
    </row>
    <row r="94" spans="1:43" s="253" customFormat="1" ht="9.9499999999999993" customHeight="1" x14ac:dyDescent="0.2">
      <c r="A94" s="707" t="s">
        <v>976</v>
      </c>
      <c r="B94" s="254"/>
      <c r="C94" s="629">
        <f>+C82+C93</f>
        <v>11032984</v>
      </c>
      <c r="D94" s="273"/>
      <c r="E94" s="629">
        <f>+E82+E93</f>
        <v>8575820</v>
      </c>
      <c r="F94" s="273"/>
      <c r="G94" s="629">
        <f>+G82+G93</f>
        <v>820766</v>
      </c>
      <c r="H94" s="273"/>
      <c r="I94" s="629">
        <f>+I82+I93</f>
        <v>20429570</v>
      </c>
      <c r="J94" s="273"/>
      <c r="K94" s="254"/>
      <c r="L94" s="273"/>
      <c r="M94" s="273"/>
      <c r="N94" s="273"/>
      <c r="O94" s="273"/>
      <c r="P94" s="273"/>
      <c r="Q94" s="273"/>
      <c r="R94" s="273"/>
      <c r="S94" s="273"/>
      <c r="T94" s="273"/>
      <c r="U94" s="273"/>
      <c r="V94" s="273"/>
      <c r="W94" s="273"/>
      <c r="X94" s="273"/>
      <c r="Y94" s="273"/>
      <c r="Z94" s="273"/>
      <c r="AA94" s="273"/>
      <c r="AB94" s="273"/>
      <c r="AC94" s="273"/>
      <c r="AD94" s="273"/>
    </row>
    <row r="95" spans="1:43" s="253" customFormat="1" ht="5.0999999999999996" customHeight="1" x14ac:dyDescent="0.2">
      <c r="A95" s="351"/>
      <c r="B95" s="254"/>
      <c r="C95" s="340"/>
      <c r="D95" s="273"/>
      <c r="E95" s="340"/>
      <c r="F95" s="273"/>
      <c r="G95" s="340"/>
      <c r="H95" s="273"/>
      <c r="I95" s="340"/>
      <c r="J95" s="273"/>
      <c r="K95" s="254"/>
      <c r="L95" s="273"/>
      <c r="M95" s="273"/>
      <c r="N95" s="273"/>
      <c r="O95" s="273"/>
      <c r="P95" s="273"/>
      <c r="Q95" s="273"/>
      <c r="R95" s="273"/>
      <c r="S95" s="273"/>
      <c r="T95" s="273"/>
      <c r="U95" s="273"/>
      <c r="V95" s="273"/>
      <c r="W95" s="273"/>
      <c r="X95" s="273"/>
      <c r="Y95" s="273"/>
      <c r="Z95" s="273"/>
      <c r="AA95" s="273"/>
      <c r="AB95" s="273"/>
      <c r="AC95" s="273"/>
      <c r="AD95" s="273"/>
    </row>
    <row r="96" spans="1:43" s="253" customFormat="1" ht="9.9499999999999993" customHeight="1" x14ac:dyDescent="0.2">
      <c r="A96" s="353" t="s">
        <v>687</v>
      </c>
      <c r="B96" s="254"/>
      <c r="C96" s="906">
        <f>+C53+C94</f>
        <v>14063022</v>
      </c>
      <c r="D96" s="533"/>
      <c r="E96" s="906">
        <f>+E53+E94</f>
        <v>9626642</v>
      </c>
      <c r="F96" s="533">
        <v>8602827</v>
      </c>
      <c r="G96" s="906">
        <f>+G53+G94</f>
        <v>974707</v>
      </c>
      <c r="H96" s="533"/>
      <c r="I96" s="906">
        <f>+I53+I94</f>
        <v>24664371</v>
      </c>
      <c r="J96" s="347"/>
      <c r="K96" s="301"/>
      <c r="L96" s="347"/>
      <c r="M96" s="347"/>
      <c r="N96" s="364"/>
      <c r="O96" s="347"/>
      <c r="P96" s="347"/>
      <c r="Q96" s="364"/>
      <c r="R96" s="347"/>
      <c r="S96" s="347"/>
      <c r="T96" s="364"/>
      <c r="U96" s="347"/>
      <c r="V96" s="347"/>
      <c r="W96" s="364"/>
      <c r="X96" s="347"/>
      <c r="Y96" s="347"/>
      <c r="Z96" s="364"/>
      <c r="AA96" s="347"/>
      <c r="AB96" s="347"/>
      <c r="AC96" s="364"/>
      <c r="AD96" s="347"/>
      <c r="AE96" s="347"/>
      <c r="AQ96" s="630"/>
    </row>
    <row r="97" spans="1:244" s="253" customFormat="1" ht="5.0999999999999996" customHeight="1" x14ac:dyDescent="0.2">
      <c r="B97" s="254"/>
      <c r="C97" s="273"/>
      <c r="D97" s="273"/>
      <c r="E97" s="340"/>
      <c r="F97" s="273"/>
      <c r="G97" s="273"/>
      <c r="H97" s="273"/>
      <c r="I97" s="273"/>
      <c r="J97" s="273"/>
      <c r="K97" s="254"/>
      <c r="L97" s="273"/>
      <c r="M97" s="273"/>
      <c r="N97" s="273"/>
      <c r="O97" s="273"/>
      <c r="P97" s="273"/>
      <c r="Q97" s="273"/>
      <c r="R97" s="273"/>
      <c r="S97" s="273"/>
      <c r="T97" s="273"/>
      <c r="U97" s="273"/>
      <c r="V97" s="273"/>
      <c r="W97" s="273"/>
      <c r="X97" s="273"/>
      <c r="Y97" s="273"/>
      <c r="Z97" s="273"/>
      <c r="AA97" s="273"/>
      <c r="AB97" s="273"/>
      <c r="AC97" s="273"/>
      <c r="AD97" s="273"/>
    </row>
    <row r="98" spans="1:244" s="253" customFormat="1" ht="9.9499999999999993" customHeight="1" x14ac:dyDescent="0.2">
      <c r="A98" s="353" t="s">
        <v>1132</v>
      </c>
      <c r="B98" s="254"/>
      <c r="C98" s="906">
        <v>747712</v>
      </c>
      <c r="D98" s="533"/>
      <c r="E98" s="906">
        <v>142507</v>
      </c>
      <c r="F98" s="533"/>
      <c r="G98" s="906">
        <f>'Combining SONPCU'!V77</f>
        <v>2709</v>
      </c>
      <c r="H98" s="533"/>
      <c r="I98" s="906">
        <f>E98+C98+G98</f>
        <v>892928</v>
      </c>
      <c r="J98" s="339"/>
      <c r="K98" s="254"/>
      <c r="L98" s="273"/>
      <c r="M98" s="273"/>
      <c r="N98" s="273"/>
      <c r="O98" s="273"/>
      <c r="P98" s="273"/>
      <c r="Q98" s="273"/>
      <c r="R98" s="273"/>
      <c r="S98" s="273"/>
      <c r="T98" s="273"/>
      <c r="U98" s="273"/>
      <c r="V98" s="273"/>
      <c r="W98" s="273"/>
      <c r="X98" s="273"/>
      <c r="Y98" s="273"/>
      <c r="Z98" s="273"/>
      <c r="AA98" s="273"/>
      <c r="AB98" s="273"/>
      <c r="AC98" s="273"/>
      <c r="AD98" s="273"/>
    </row>
    <row r="99" spans="1:244" s="253" customFormat="1" ht="5.0999999999999996" customHeight="1" x14ac:dyDescent="0.2">
      <c r="A99" s="349"/>
      <c r="B99" s="254"/>
      <c r="C99" s="273"/>
      <c r="D99" s="273"/>
      <c r="E99" s="273"/>
      <c r="F99" s="273"/>
      <c r="G99" s="273"/>
      <c r="H99" s="273"/>
      <c r="I99" s="273"/>
      <c r="J99" s="273"/>
      <c r="K99" s="254"/>
      <c r="L99" s="273"/>
      <c r="M99" s="273"/>
      <c r="N99" s="273"/>
      <c r="O99" s="273"/>
      <c r="P99" s="273"/>
      <c r="Q99" s="273"/>
      <c r="R99" s="273"/>
      <c r="S99" s="273"/>
      <c r="T99" s="273"/>
      <c r="U99" s="273"/>
      <c r="V99" s="273"/>
      <c r="W99" s="273"/>
      <c r="X99" s="273"/>
      <c r="Y99" s="273"/>
      <c r="Z99" s="273"/>
      <c r="AA99" s="273"/>
      <c r="AB99" s="273"/>
      <c r="AC99" s="273"/>
      <c r="AD99" s="273"/>
    </row>
    <row r="100" spans="1:244" s="253" customFormat="1" ht="9.9499999999999993" customHeight="1" x14ac:dyDescent="0.2">
      <c r="B100" s="254"/>
      <c r="C100" s="347"/>
      <c r="D100" s="347"/>
      <c r="E100" s="347"/>
      <c r="F100" s="347"/>
      <c r="G100" s="347"/>
      <c r="H100" s="347"/>
      <c r="I100" s="671" t="s">
        <v>1454</v>
      </c>
      <c r="J100" s="347"/>
      <c r="K100" s="301"/>
      <c r="L100" s="347"/>
      <c r="M100" s="347"/>
      <c r="N100" s="364"/>
      <c r="O100" s="347"/>
      <c r="P100" s="347"/>
      <c r="Q100" s="364"/>
      <c r="R100" s="347"/>
      <c r="S100" s="347"/>
      <c r="T100" s="364"/>
      <c r="U100" s="347"/>
      <c r="V100" s="347"/>
      <c r="W100" s="364"/>
      <c r="X100" s="347"/>
      <c r="Y100" s="347"/>
      <c r="Z100" s="364"/>
      <c r="AA100" s="347"/>
      <c r="AB100" s="347"/>
      <c r="AC100" s="364"/>
      <c r="AD100" s="347"/>
      <c r="AE100" s="347"/>
      <c r="AQ100" s="630"/>
    </row>
    <row r="101" spans="1:244" ht="16.5" customHeight="1" thickBot="1" x14ac:dyDescent="0.25">
      <c r="A101" s="1582" t="s">
        <v>1033</v>
      </c>
      <c r="B101" s="1582"/>
      <c r="C101" s="1582"/>
      <c r="D101" s="1582"/>
      <c r="E101" s="1582"/>
      <c r="F101" s="1582"/>
      <c r="G101" s="1582"/>
      <c r="H101" s="1582"/>
      <c r="I101" s="1582"/>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c r="AI101" s="394"/>
      <c r="AJ101" s="394"/>
      <c r="AK101" s="394"/>
      <c r="AL101" s="394"/>
      <c r="AM101" s="394"/>
      <c r="AN101" s="394"/>
      <c r="AO101" s="394"/>
      <c r="AP101" s="394"/>
      <c r="AQ101" s="599"/>
      <c r="AR101" s="394"/>
      <c r="AS101" s="394"/>
      <c r="AT101" s="394"/>
      <c r="AU101" s="394"/>
      <c r="AV101" s="394"/>
      <c r="AW101" s="394"/>
      <c r="AX101" s="394"/>
      <c r="AY101" s="394"/>
      <c r="AZ101" s="394"/>
      <c r="BA101" s="394"/>
      <c r="BB101" s="394"/>
      <c r="BC101" s="394"/>
      <c r="BD101" s="394"/>
      <c r="BE101" s="394"/>
      <c r="BF101" s="394"/>
      <c r="BG101" s="394"/>
      <c r="BH101" s="394"/>
      <c r="BI101" s="394"/>
      <c r="BJ101" s="394"/>
      <c r="BK101" s="394"/>
      <c r="BL101" s="394"/>
      <c r="BM101" s="394"/>
      <c r="BN101" s="394"/>
      <c r="BO101" s="394"/>
      <c r="BP101" s="394"/>
      <c r="BQ101" s="394"/>
      <c r="BR101" s="394"/>
      <c r="BS101" s="394"/>
      <c r="BT101" s="394"/>
      <c r="BU101" s="394"/>
      <c r="BV101" s="394"/>
      <c r="BW101" s="394"/>
      <c r="BX101" s="394"/>
      <c r="BY101" s="394"/>
      <c r="BZ101" s="394"/>
      <c r="CA101" s="394"/>
      <c r="CB101" s="394"/>
      <c r="CC101" s="394"/>
      <c r="CD101" s="394"/>
      <c r="CE101" s="394"/>
      <c r="CF101" s="394"/>
      <c r="CG101" s="394"/>
      <c r="CH101" s="394"/>
      <c r="CI101" s="394"/>
      <c r="CJ101" s="394"/>
      <c r="CK101" s="394"/>
      <c r="CL101" s="394"/>
      <c r="CM101" s="394"/>
      <c r="CN101" s="394"/>
      <c r="CO101" s="394"/>
      <c r="CP101" s="394"/>
      <c r="CQ101" s="394"/>
      <c r="CR101" s="394"/>
      <c r="CS101" s="394"/>
      <c r="CT101" s="394"/>
      <c r="CU101" s="394"/>
      <c r="CV101" s="394"/>
      <c r="CW101" s="394"/>
      <c r="CX101" s="394"/>
      <c r="CY101" s="394"/>
      <c r="CZ101" s="394"/>
      <c r="DA101" s="394"/>
      <c r="DB101" s="394"/>
      <c r="DC101" s="394"/>
      <c r="DD101" s="394"/>
      <c r="DE101" s="394"/>
      <c r="DF101" s="394"/>
      <c r="DG101" s="394"/>
      <c r="DH101" s="394"/>
      <c r="DI101" s="394"/>
      <c r="DJ101" s="394"/>
      <c r="DK101" s="394"/>
      <c r="DL101" s="394"/>
      <c r="DM101" s="394"/>
      <c r="DN101" s="394"/>
      <c r="DO101" s="394"/>
      <c r="DP101" s="394"/>
      <c r="DQ101" s="394"/>
      <c r="DR101" s="394"/>
      <c r="DS101" s="394"/>
      <c r="DT101" s="394"/>
      <c r="DU101" s="394"/>
      <c r="DV101" s="394"/>
      <c r="DW101" s="394"/>
      <c r="DX101" s="394"/>
      <c r="DY101" s="394"/>
      <c r="DZ101" s="394"/>
      <c r="EA101" s="394"/>
      <c r="EB101" s="394"/>
      <c r="EC101" s="394"/>
      <c r="ED101" s="394"/>
      <c r="EE101" s="394"/>
      <c r="EF101" s="394"/>
      <c r="EG101" s="394"/>
      <c r="EH101" s="394"/>
      <c r="EI101" s="394"/>
      <c r="EJ101" s="394"/>
      <c r="EK101" s="394"/>
      <c r="EL101" s="394"/>
      <c r="EM101" s="394"/>
      <c r="EN101" s="394"/>
      <c r="EO101" s="394"/>
      <c r="EP101" s="394"/>
      <c r="EQ101" s="394"/>
      <c r="ER101" s="394"/>
      <c r="ES101" s="394"/>
      <c r="ET101" s="394"/>
      <c r="EU101" s="394"/>
      <c r="EV101" s="394"/>
      <c r="EW101" s="394"/>
      <c r="EX101" s="394"/>
      <c r="EY101" s="394"/>
      <c r="EZ101" s="394"/>
      <c r="FA101" s="394"/>
      <c r="FB101" s="394"/>
      <c r="FC101" s="394"/>
      <c r="FD101" s="394"/>
      <c r="FE101" s="394"/>
      <c r="FF101" s="394"/>
      <c r="FG101" s="394"/>
      <c r="FH101" s="394"/>
      <c r="FI101" s="394"/>
      <c r="FJ101" s="394"/>
      <c r="FK101" s="394"/>
      <c r="FL101" s="394"/>
      <c r="FM101" s="394"/>
      <c r="FN101" s="394"/>
      <c r="FO101" s="394"/>
      <c r="FP101" s="394"/>
      <c r="FQ101" s="394"/>
      <c r="FR101" s="394"/>
      <c r="FS101" s="394"/>
      <c r="FT101" s="394"/>
      <c r="FU101" s="394"/>
      <c r="FV101" s="394"/>
      <c r="FW101" s="394"/>
      <c r="FX101" s="394"/>
      <c r="FY101" s="394"/>
      <c r="FZ101" s="394"/>
      <c r="GA101" s="394"/>
      <c r="GB101" s="394"/>
      <c r="GC101" s="394"/>
      <c r="GD101" s="394"/>
      <c r="GE101" s="394"/>
      <c r="GF101" s="394"/>
      <c r="GG101" s="394"/>
      <c r="GH101" s="394"/>
      <c r="GI101" s="394"/>
      <c r="GJ101" s="394"/>
      <c r="GK101" s="394"/>
      <c r="GL101" s="394"/>
      <c r="GM101" s="394"/>
      <c r="GN101" s="394"/>
      <c r="GO101" s="394"/>
      <c r="GP101" s="394"/>
      <c r="GQ101" s="394"/>
      <c r="GR101" s="394"/>
      <c r="GS101" s="394"/>
      <c r="GT101" s="394"/>
      <c r="GU101" s="394"/>
      <c r="GV101" s="394"/>
      <c r="GW101" s="394"/>
      <c r="GX101" s="394"/>
      <c r="GY101" s="394"/>
      <c r="GZ101" s="394"/>
      <c r="HA101" s="394"/>
      <c r="HB101" s="394"/>
      <c r="HC101" s="394"/>
      <c r="HD101" s="394"/>
      <c r="HE101" s="394"/>
      <c r="HF101" s="394"/>
      <c r="HG101" s="394"/>
      <c r="HH101" s="394"/>
      <c r="HI101" s="394"/>
      <c r="HJ101" s="394"/>
      <c r="HK101" s="394"/>
      <c r="HL101" s="394"/>
      <c r="HM101" s="394"/>
      <c r="HN101" s="394"/>
      <c r="HO101" s="394"/>
      <c r="HP101" s="394"/>
      <c r="HQ101" s="394"/>
      <c r="HR101" s="394"/>
      <c r="HS101" s="394"/>
      <c r="HT101" s="394"/>
      <c r="HU101" s="394"/>
      <c r="HV101" s="394"/>
      <c r="HW101" s="394"/>
      <c r="HX101" s="394"/>
      <c r="HY101" s="394"/>
      <c r="HZ101" s="394"/>
      <c r="IA101" s="394"/>
      <c r="IB101" s="394"/>
      <c r="IC101" s="394"/>
      <c r="ID101" s="394"/>
      <c r="IE101" s="394"/>
      <c r="IF101" s="394"/>
      <c r="IG101" s="394"/>
      <c r="IH101" s="394"/>
      <c r="II101" s="394"/>
      <c r="IJ101" s="394"/>
    </row>
    <row r="102" spans="1:244" s="250" customFormat="1" ht="15" customHeight="1" x14ac:dyDescent="0.2">
      <c r="A102" s="700" t="s">
        <v>1109</v>
      </c>
      <c r="B102" s="310"/>
      <c r="C102" s="310"/>
      <c r="D102" s="310"/>
      <c r="E102" s="310"/>
      <c r="F102" s="310"/>
      <c r="G102" s="310"/>
      <c r="H102" s="597"/>
      <c r="I102" s="597"/>
      <c r="J102" s="600"/>
    </row>
    <row r="103" spans="1:244" s="250" customFormat="1" ht="15" customHeight="1" x14ac:dyDescent="0.2">
      <c r="A103" s="700" t="s">
        <v>1486</v>
      </c>
      <c r="B103" s="310"/>
      <c r="C103" s="310"/>
      <c r="D103" s="310"/>
      <c r="E103" s="310"/>
      <c r="F103" s="310"/>
      <c r="G103" s="310"/>
      <c r="H103" s="302"/>
      <c r="I103" s="302"/>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c r="CM103" s="601"/>
      <c r="CN103" s="601"/>
      <c r="CO103" s="601"/>
      <c r="CP103" s="601"/>
      <c r="CQ103" s="601"/>
      <c r="CR103" s="601"/>
      <c r="CS103" s="601"/>
      <c r="CT103" s="601"/>
      <c r="CU103" s="601"/>
      <c r="CV103" s="601"/>
      <c r="CW103" s="601"/>
      <c r="CX103" s="601"/>
      <c r="CY103" s="601"/>
      <c r="CZ103" s="601"/>
      <c r="DA103" s="601"/>
      <c r="DB103" s="601"/>
      <c r="DC103" s="601"/>
      <c r="DD103" s="601"/>
      <c r="DE103" s="601"/>
      <c r="DF103" s="601"/>
      <c r="DG103" s="601"/>
      <c r="DH103" s="601"/>
      <c r="DI103" s="601"/>
      <c r="DJ103" s="601"/>
      <c r="DK103" s="601"/>
      <c r="DL103" s="601"/>
      <c r="DM103" s="601"/>
      <c r="DN103" s="601"/>
      <c r="DO103" s="601"/>
      <c r="DP103" s="601"/>
      <c r="DQ103" s="601"/>
      <c r="DR103" s="601"/>
      <c r="DS103" s="601"/>
      <c r="DT103" s="601"/>
      <c r="DU103" s="601"/>
      <c r="DV103" s="601"/>
      <c r="DW103" s="601"/>
      <c r="DX103" s="601"/>
      <c r="DY103" s="601"/>
      <c r="DZ103" s="601"/>
      <c r="EA103" s="601"/>
      <c r="EB103" s="601"/>
      <c r="EC103" s="601"/>
      <c r="ED103" s="601"/>
      <c r="EE103" s="601"/>
      <c r="EF103" s="601"/>
      <c r="EG103" s="601"/>
      <c r="EH103" s="601"/>
      <c r="EI103" s="601"/>
      <c r="EJ103" s="601"/>
      <c r="EK103" s="601"/>
      <c r="EL103" s="601"/>
      <c r="EM103" s="601"/>
      <c r="EN103" s="601"/>
      <c r="EO103" s="601"/>
      <c r="EP103" s="601"/>
      <c r="EQ103" s="601"/>
      <c r="ER103" s="601"/>
      <c r="ES103" s="601"/>
      <c r="ET103" s="601"/>
      <c r="EU103" s="601"/>
      <c r="EV103" s="601"/>
      <c r="EW103" s="601"/>
      <c r="EX103" s="601"/>
      <c r="EY103" s="601"/>
      <c r="EZ103" s="601"/>
      <c r="FA103" s="601"/>
      <c r="FB103" s="601"/>
      <c r="FC103" s="601"/>
      <c r="FD103" s="601"/>
      <c r="FE103" s="601"/>
      <c r="FF103" s="601"/>
      <c r="FG103" s="601"/>
      <c r="FH103" s="601"/>
      <c r="FI103" s="601"/>
      <c r="FJ103" s="601"/>
      <c r="FK103" s="601"/>
      <c r="FL103" s="601"/>
      <c r="FM103" s="601"/>
      <c r="FN103" s="601"/>
      <c r="FO103" s="601"/>
      <c r="FP103" s="601"/>
      <c r="FQ103" s="601"/>
      <c r="FR103" s="601"/>
      <c r="FS103" s="601"/>
      <c r="FT103" s="601"/>
      <c r="FU103" s="601"/>
      <c r="FV103" s="601"/>
      <c r="FW103" s="601"/>
      <c r="FX103" s="601"/>
      <c r="FY103" s="601"/>
      <c r="FZ103" s="601"/>
      <c r="GA103" s="601"/>
      <c r="GB103" s="601"/>
      <c r="GC103" s="601"/>
      <c r="GD103" s="601"/>
      <c r="GE103" s="601"/>
      <c r="GF103" s="601"/>
      <c r="GG103" s="601"/>
      <c r="GH103" s="601"/>
      <c r="GI103" s="601"/>
      <c r="GJ103" s="601"/>
      <c r="GK103" s="601"/>
      <c r="GL103" s="601"/>
      <c r="GM103" s="601"/>
      <c r="GN103" s="601"/>
      <c r="GO103" s="601"/>
      <c r="GP103" s="601"/>
      <c r="GQ103" s="601"/>
      <c r="GR103" s="601"/>
      <c r="GS103" s="601"/>
      <c r="GT103" s="601"/>
      <c r="GU103" s="601"/>
      <c r="GV103" s="601"/>
      <c r="GW103" s="601"/>
      <c r="GX103" s="601"/>
      <c r="GY103" s="601"/>
      <c r="GZ103" s="601"/>
      <c r="HA103" s="601"/>
      <c r="HB103" s="601"/>
      <c r="HC103" s="601"/>
      <c r="HD103" s="601"/>
      <c r="HE103" s="601"/>
      <c r="HF103" s="601"/>
      <c r="HG103" s="601"/>
      <c r="HH103" s="601"/>
      <c r="HI103" s="601"/>
      <c r="HJ103" s="601"/>
      <c r="HK103" s="601"/>
      <c r="HL103" s="601"/>
      <c r="HM103" s="601"/>
      <c r="HN103" s="601"/>
      <c r="HO103" s="601"/>
      <c r="HP103" s="601"/>
      <c r="HQ103" s="601"/>
      <c r="HR103" s="601"/>
      <c r="HS103" s="601"/>
      <c r="HT103" s="601"/>
      <c r="HU103" s="601"/>
      <c r="HV103" s="601"/>
      <c r="HW103" s="601"/>
      <c r="HX103" s="601"/>
      <c r="HY103" s="601"/>
      <c r="HZ103" s="601"/>
      <c r="IA103" s="601"/>
      <c r="IB103" s="601"/>
      <c r="IC103" s="601"/>
      <c r="ID103" s="601"/>
      <c r="IE103" s="601"/>
      <c r="IF103" s="601"/>
      <c r="IG103" s="601"/>
      <c r="IH103" s="601"/>
      <c r="II103" s="601"/>
      <c r="IJ103" s="601"/>
    </row>
    <row r="104" spans="1:244" s="212" customFormat="1" ht="12.95" customHeight="1" x14ac:dyDescent="0.2">
      <c r="A104" s="1579" t="s">
        <v>1724</v>
      </c>
      <c r="B104" s="1579"/>
      <c r="C104" s="1579"/>
      <c r="D104" s="1579"/>
      <c r="E104" s="1579"/>
      <c r="F104" s="1579"/>
      <c r="G104" s="1579"/>
      <c r="H104" s="302"/>
      <c r="I104" s="3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2"/>
      <c r="AN104" s="602"/>
      <c r="AO104" s="602"/>
      <c r="AP104" s="602"/>
      <c r="AQ104" s="602"/>
      <c r="AR104" s="602"/>
      <c r="AS104" s="602"/>
      <c r="AT104" s="602"/>
      <c r="AU104" s="602"/>
      <c r="AV104" s="602"/>
      <c r="AW104" s="602"/>
      <c r="AX104" s="602"/>
      <c r="AY104" s="602"/>
      <c r="AZ104" s="602"/>
      <c r="BA104" s="602"/>
      <c r="BB104" s="602"/>
      <c r="BC104" s="602"/>
      <c r="BD104" s="602"/>
      <c r="BE104" s="602"/>
      <c r="BF104" s="602"/>
      <c r="BG104" s="602"/>
      <c r="BH104" s="602"/>
      <c r="BI104" s="602"/>
      <c r="BJ104" s="602"/>
      <c r="BK104" s="602"/>
      <c r="BL104" s="602"/>
      <c r="BM104" s="602"/>
      <c r="BN104" s="602"/>
      <c r="BO104" s="602"/>
      <c r="BP104" s="602"/>
      <c r="BQ104" s="602"/>
      <c r="BR104" s="602"/>
      <c r="BS104" s="602"/>
      <c r="BT104" s="602"/>
      <c r="BU104" s="602"/>
      <c r="BV104" s="602"/>
      <c r="BW104" s="602"/>
      <c r="BX104" s="602"/>
      <c r="BY104" s="602"/>
      <c r="BZ104" s="602"/>
      <c r="CA104" s="602"/>
      <c r="CB104" s="602"/>
      <c r="CC104" s="602"/>
      <c r="CD104" s="602"/>
      <c r="CE104" s="602"/>
      <c r="CF104" s="602"/>
      <c r="CG104" s="602"/>
      <c r="CH104" s="602"/>
      <c r="CI104" s="602"/>
      <c r="CJ104" s="602"/>
      <c r="CK104" s="602"/>
      <c r="CL104" s="602"/>
      <c r="CM104" s="602"/>
      <c r="CN104" s="602"/>
      <c r="CO104" s="602"/>
      <c r="CP104" s="602"/>
      <c r="CQ104" s="602"/>
      <c r="CR104" s="602"/>
      <c r="CS104" s="602"/>
      <c r="CT104" s="602"/>
      <c r="CU104" s="602"/>
      <c r="CV104" s="602"/>
      <c r="CW104" s="602"/>
      <c r="CX104" s="602"/>
      <c r="CY104" s="602"/>
      <c r="CZ104" s="602"/>
      <c r="DA104" s="602"/>
      <c r="DB104" s="602"/>
      <c r="DC104" s="602"/>
      <c r="DD104" s="602"/>
      <c r="DE104" s="602"/>
      <c r="DF104" s="602"/>
      <c r="DG104" s="602"/>
      <c r="DH104" s="602"/>
      <c r="DI104" s="602"/>
      <c r="DJ104" s="602"/>
      <c r="DK104" s="602"/>
      <c r="DL104" s="602"/>
      <c r="DM104" s="602"/>
      <c r="DN104" s="602"/>
      <c r="DO104" s="602"/>
      <c r="DP104" s="602"/>
      <c r="DQ104" s="602"/>
      <c r="DR104" s="602"/>
      <c r="DS104" s="602"/>
      <c r="DT104" s="602"/>
      <c r="DU104" s="602"/>
      <c r="DV104" s="602"/>
      <c r="DW104" s="602"/>
      <c r="DX104" s="602"/>
      <c r="DY104" s="602"/>
      <c r="DZ104" s="602"/>
      <c r="EA104" s="602"/>
      <c r="EB104" s="602"/>
      <c r="EC104" s="602"/>
      <c r="ED104" s="602"/>
      <c r="EE104" s="602"/>
      <c r="EF104" s="602"/>
      <c r="EG104" s="602"/>
      <c r="EH104" s="602"/>
      <c r="EI104" s="602"/>
      <c r="EJ104" s="602"/>
      <c r="EK104" s="602"/>
      <c r="EL104" s="602"/>
      <c r="EM104" s="602"/>
      <c r="EN104" s="602"/>
      <c r="EO104" s="602"/>
      <c r="EP104" s="602"/>
      <c r="EQ104" s="602"/>
      <c r="ER104" s="602"/>
      <c r="ES104" s="602"/>
      <c r="ET104" s="602"/>
      <c r="EU104" s="602"/>
      <c r="EV104" s="602"/>
      <c r="EW104" s="602"/>
      <c r="EX104" s="602"/>
      <c r="EY104" s="602"/>
      <c r="EZ104" s="602"/>
      <c r="FA104" s="602"/>
      <c r="FB104" s="602"/>
      <c r="FC104" s="602"/>
      <c r="FD104" s="602"/>
      <c r="FE104" s="602"/>
      <c r="FF104" s="602"/>
      <c r="FG104" s="602"/>
      <c r="FH104" s="602"/>
      <c r="FI104" s="602"/>
      <c r="FJ104" s="602"/>
      <c r="FK104" s="602"/>
      <c r="FL104" s="602"/>
      <c r="FM104" s="602"/>
      <c r="FN104" s="602"/>
      <c r="FO104" s="602"/>
      <c r="FP104" s="602"/>
      <c r="FQ104" s="602"/>
      <c r="FR104" s="602"/>
      <c r="FS104" s="602"/>
      <c r="FT104" s="602"/>
      <c r="FU104" s="602"/>
      <c r="FV104" s="602"/>
      <c r="FW104" s="602"/>
      <c r="FX104" s="602"/>
      <c r="FY104" s="602"/>
      <c r="FZ104" s="602"/>
      <c r="GA104" s="602"/>
      <c r="GB104" s="602"/>
      <c r="GC104" s="602"/>
      <c r="GD104" s="602"/>
      <c r="GE104" s="602"/>
      <c r="GF104" s="602"/>
      <c r="GG104" s="602"/>
      <c r="GH104" s="602"/>
      <c r="GI104" s="602"/>
      <c r="GJ104" s="602"/>
      <c r="GK104" s="602"/>
      <c r="GL104" s="602"/>
      <c r="GM104" s="602"/>
      <c r="GN104" s="602"/>
      <c r="GO104" s="602"/>
      <c r="GP104" s="602"/>
      <c r="GQ104" s="602"/>
      <c r="GR104" s="602"/>
      <c r="GS104" s="602"/>
      <c r="GT104" s="602"/>
      <c r="GU104" s="602"/>
      <c r="GV104" s="602"/>
      <c r="GW104" s="602"/>
      <c r="GX104" s="602"/>
      <c r="GY104" s="602"/>
      <c r="GZ104" s="602"/>
      <c r="HA104" s="602"/>
      <c r="HB104" s="602"/>
      <c r="HC104" s="602"/>
      <c r="HD104" s="602"/>
      <c r="HE104" s="602"/>
      <c r="HF104" s="602"/>
      <c r="HG104" s="602"/>
      <c r="HH104" s="602"/>
      <c r="HI104" s="602"/>
      <c r="HJ104" s="602"/>
      <c r="HK104" s="602"/>
      <c r="HL104" s="602"/>
      <c r="HM104" s="602"/>
      <c r="HN104" s="602"/>
      <c r="HO104" s="602"/>
      <c r="HP104" s="602"/>
      <c r="HQ104" s="602"/>
      <c r="HR104" s="602"/>
      <c r="HS104" s="602"/>
      <c r="HT104" s="602"/>
      <c r="HU104" s="602"/>
      <c r="HV104" s="602"/>
      <c r="HW104" s="602"/>
      <c r="HX104" s="602"/>
      <c r="HY104" s="602"/>
      <c r="HZ104" s="602"/>
      <c r="IA104" s="602"/>
      <c r="IB104" s="602"/>
      <c r="IC104" s="602"/>
      <c r="ID104" s="602"/>
      <c r="IE104" s="602"/>
      <c r="IF104" s="602"/>
      <c r="IG104" s="602"/>
      <c r="IH104" s="602"/>
      <c r="II104" s="602"/>
      <c r="IJ104" s="602"/>
    </row>
    <row r="105" spans="1:244" ht="12" customHeight="1" x14ac:dyDescent="0.2">
      <c r="A105" s="253" t="s">
        <v>972</v>
      </c>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c r="BB105" s="302"/>
      <c r="BC105" s="302"/>
      <c r="BD105" s="302"/>
      <c r="BE105" s="302"/>
      <c r="BF105" s="302"/>
      <c r="BG105" s="302"/>
      <c r="BH105" s="302"/>
      <c r="BI105" s="302"/>
      <c r="BJ105" s="302"/>
      <c r="BK105" s="302"/>
      <c r="BL105" s="302"/>
      <c r="BM105" s="302"/>
      <c r="BN105" s="302"/>
      <c r="BO105" s="302"/>
      <c r="BP105" s="302"/>
      <c r="BQ105" s="302"/>
      <c r="BR105" s="302"/>
      <c r="BS105" s="302"/>
      <c r="BT105" s="302"/>
      <c r="BU105" s="302"/>
      <c r="BV105" s="302"/>
      <c r="BW105" s="302"/>
      <c r="BX105" s="302"/>
      <c r="BY105" s="302"/>
      <c r="BZ105" s="302"/>
      <c r="CA105" s="302"/>
      <c r="CB105" s="302"/>
      <c r="CC105" s="302"/>
      <c r="CD105" s="302"/>
      <c r="CE105" s="302"/>
      <c r="CF105" s="302"/>
      <c r="CG105" s="302"/>
      <c r="CH105" s="302"/>
      <c r="CI105" s="302"/>
      <c r="CJ105" s="302"/>
      <c r="CK105" s="302"/>
      <c r="CL105" s="302"/>
      <c r="CM105" s="302"/>
      <c r="CN105" s="302"/>
      <c r="CO105" s="302"/>
      <c r="CP105" s="302"/>
      <c r="CQ105" s="302"/>
      <c r="CR105" s="302"/>
      <c r="CS105" s="302"/>
      <c r="CT105" s="302"/>
      <c r="CU105" s="302"/>
      <c r="CV105" s="302"/>
      <c r="CW105" s="302"/>
      <c r="CX105" s="302"/>
      <c r="CY105" s="302"/>
      <c r="CZ105" s="302"/>
      <c r="DA105" s="302"/>
      <c r="DB105" s="302"/>
      <c r="DC105" s="302"/>
      <c r="DD105" s="302"/>
      <c r="DE105" s="302"/>
      <c r="DF105" s="302"/>
      <c r="DG105" s="302"/>
      <c r="DH105" s="302"/>
      <c r="DI105" s="302"/>
      <c r="DJ105" s="302"/>
      <c r="DK105" s="302"/>
      <c r="DL105" s="302"/>
      <c r="DM105" s="302"/>
      <c r="DN105" s="302"/>
      <c r="DO105" s="302"/>
      <c r="DP105" s="302"/>
      <c r="DQ105" s="302"/>
      <c r="DR105" s="302"/>
      <c r="DS105" s="302"/>
      <c r="DT105" s="302"/>
      <c r="DU105" s="302"/>
      <c r="DV105" s="302"/>
      <c r="DW105" s="302"/>
      <c r="DX105" s="302"/>
      <c r="DY105" s="302"/>
      <c r="DZ105" s="302"/>
      <c r="EA105" s="302"/>
      <c r="EB105" s="302"/>
      <c r="EC105" s="302"/>
      <c r="ED105" s="302"/>
      <c r="EE105" s="302"/>
      <c r="EF105" s="302"/>
      <c r="EG105" s="302"/>
      <c r="EH105" s="302"/>
      <c r="EI105" s="302"/>
      <c r="EJ105" s="302"/>
      <c r="EK105" s="302"/>
      <c r="EL105" s="302"/>
      <c r="EM105" s="302"/>
      <c r="EN105" s="302"/>
      <c r="EO105" s="302"/>
      <c r="EP105" s="302"/>
      <c r="EQ105" s="302"/>
      <c r="ER105" s="302"/>
      <c r="ES105" s="302"/>
      <c r="ET105" s="302"/>
      <c r="EU105" s="302"/>
      <c r="EV105" s="302"/>
      <c r="EW105" s="302"/>
      <c r="EX105" s="302"/>
      <c r="EY105" s="302"/>
      <c r="EZ105" s="302"/>
      <c r="FA105" s="302"/>
      <c r="FB105" s="302"/>
      <c r="FC105" s="302"/>
      <c r="FD105" s="302"/>
      <c r="FE105" s="302"/>
      <c r="FF105" s="302"/>
      <c r="FG105" s="302"/>
      <c r="FH105" s="302"/>
      <c r="FI105" s="302"/>
      <c r="FJ105" s="302"/>
      <c r="FK105" s="302"/>
      <c r="FL105" s="302"/>
      <c r="FM105" s="302"/>
      <c r="FN105" s="302"/>
      <c r="FO105" s="302"/>
      <c r="FP105" s="302"/>
      <c r="FQ105" s="302"/>
      <c r="FR105" s="302"/>
      <c r="FS105" s="302"/>
      <c r="FT105" s="302"/>
      <c r="FU105" s="302"/>
      <c r="FV105" s="302"/>
      <c r="FW105" s="302"/>
      <c r="FX105" s="302"/>
      <c r="FY105" s="302"/>
      <c r="FZ105" s="302"/>
      <c r="GA105" s="302"/>
      <c r="GB105" s="302"/>
      <c r="GC105" s="302"/>
      <c r="GD105" s="302"/>
      <c r="GE105" s="302"/>
      <c r="GF105" s="302"/>
      <c r="GG105" s="302"/>
      <c r="GH105" s="302"/>
      <c r="GI105" s="302"/>
      <c r="GJ105" s="302"/>
      <c r="GK105" s="302"/>
      <c r="GL105" s="302"/>
      <c r="GM105" s="302"/>
      <c r="GN105" s="302"/>
      <c r="GO105" s="302"/>
      <c r="GP105" s="302"/>
      <c r="GQ105" s="302"/>
      <c r="GR105" s="302"/>
      <c r="GS105" s="302"/>
      <c r="GT105" s="302"/>
      <c r="GU105" s="302"/>
      <c r="GV105" s="302"/>
      <c r="GW105" s="302"/>
      <c r="GX105" s="302"/>
      <c r="GY105" s="302"/>
      <c r="GZ105" s="302"/>
      <c r="HA105" s="302"/>
      <c r="HB105" s="302"/>
      <c r="HC105" s="302"/>
      <c r="HD105" s="302"/>
      <c r="HE105" s="302"/>
      <c r="HF105" s="302"/>
      <c r="HG105" s="302"/>
      <c r="HH105" s="302"/>
      <c r="HI105" s="302"/>
      <c r="HJ105" s="302"/>
      <c r="HK105" s="302"/>
      <c r="HL105" s="302"/>
      <c r="HM105" s="302"/>
      <c r="HN105" s="302"/>
      <c r="HO105" s="302"/>
      <c r="HP105" s="302"/>
      <c r="HQ105" s="302"/>
      <c r="HR105" s="302"/>
      <c r="HS105" s="302"/>
      <c r="HT105" s="302"/>
      <c r="HU105" s="302"/>
      <c r="HV105" s="302"/>
      <c r="HW105" s="302"/>
      <c r="HX105" s="302"/>
      <c r="HY105" s="302"/>
      <c r="HZ105" s="302"/>
      <c r="IA105" s="302"/>
      <c r="IB105" s="302"/>
      <c r="IC105" s="302"/>
      <c r="ID105" s="302"/>
      <c r="IE105" s="302"/>
      <c r="IF105" s="302"/>
      <c r="IG105" s="302"/>
      <c r="IH105" s="302"/>
      <c r="II105" s="302"/>
      <c r="IJ105" s="302"/>
    </row>
    <row r="106" spans="1:244" ht="12" customHeight="1" x14ac:dyDescent="0.2">
      <c r="A106" s="253"/>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c r="BI106" s="302"/>
      <c r="BJ106" s="302"/>
      <c r="BK106" s="302"/>
      <c r="BL106" s="302"/>
      <c r="BM106" s="302"/>
      <c r="BN106" s="302"/>
      <c r="BO106" s="302"/>
      <c r="BP106" s="302"/>
      <c r="BQ106" s="302"/>
      <c r="BR106" s="302"/>
      <c r="BS106" s="302"/>
      <c r="BT106" s="302"/>
      <c r="BU106" s="302"/>
      <c r="BV106" s="302"/>
      <c r="BW106" s="302"/>
      <c r="BX106" s="302"/>
      <c r="BY106" s="302"/>
      <c r="BZ106" s="302"/>
      <c r="CA106" s="302"/>
      <c r="CB106" s="302"/>
      <c r="CC106" s="302"/>
      <c r="CD106" s="302"/>
      <c r="CE106" s="302"/>
      <c r="CF106" s="302"/>
      <c r="CG106" s="302"/>
      <c r="CH106" s="302"/>
      <c r="CI106" s="302"/>
      <c r="CJ106" s="302"/>
      <c r="CK106" s="302"/>
      <c r="CL106" s="302"/>
      <c r="CM106" s="302"/>
      <c r="CN106" s="302"/>
      <c r="CO106" s="302"/>
      <c r="CP106" s="302"/>
      <c r="CQ106" s="302"/>
      <c r="CR106" s="302"/>
      <c r="CS106" s="302"/>
      <c r="CT106" s="302"/>
      <c r="CU106" s="302"/>
      <c r="CV106" s="302"/>
      <c r="CW106" s="302"/>
      <c r="CX106" s="302"/>
      <c r="CY106" s="302"/>
      <c r="CZ106" s="302"/>
      <c r="DA106" s="302"/>
      <c r="DB106" s="302"/>
      <c r="DC106" s="302"/>
      <c r="DD106" s="302"/>
      <c r="DE106" s="302"/>
      <c r="DF106" s="302"/>
      <c r="DG106" s="302"/>
      <c r="DH106" s="302"/>
      <c r="DI106" s="302"/>
      <c r="DJ106" s="302"/>
      <c r="DK106" s="302"/>
      <c r="DL106" s="302"/>
      <c r="DM106" s="302"/>
      <c r="DN106" s="302"/>
      <c r="DO106" s="302"/>
      <c r="DP106" s="302"/>
      <c r="DQ106" s="302"/>
      <c r="DR106" s="302"/>
      <c r="DS106" s="302"/>
      <c r="DT106" s="302"/>
      <c r="DU106" s="302"/>
      <c r="DV106" s="302"/>
      <c r="DW106" s="302"/>
      <c r="DX106" s="302"/>
      <c r="DY106" s="302"/>
      <c r="DZ106" s="302"/>
      <c r="EA106" s="302"/>
      <c r="EB106" s="302"/>
      <c r="EC106" s="302"/>
      <c r="ED106" s="302"/>
      <c r="EE106" s="302"/>
      <c r="EF106" s="302"/>
      <c r="EG106" s="302"/>
      <c r="EH106" s="302"/>
      <c r="EI106" s="302"/>
      <c r="EJ106" s="302"/>
      <c r="EK106" s="302"/>
      <c r="EL106" s="302"/>
      <c r="EM106" s="302"/>
      <c r="EN106" s="302"/>
      <c r="EO106" s="302"/>
      <c r="EP106" s="302"/>
      <c r="EQ106" s="302"/>
      <c r="ER106" s="302"/>
      <c r="ES106" s="302"/>
      <c r="ET106" s="302"/>
      <c r="EU106" s="302"/>
      <c r="EV106" s="302"/>
      <c r="EW106" s="302"/>
      <c r="EX106" s="302"/>
      <c r="EY106" s="302"/>
      <c r="EZ106" s="302"/>
      <c r="FA106" s="302"/>
      <c r="FB106" s="302"/>
      <c r="FC106" s="302"/>
      <c r="FD106" s="302"/>
      <c r="FE106" s="302"/>
      <c r="FF106" s="302"/>
      <c r="FG106" s="302"/>
      <c r="FH106" s="302"/>
      <c r="FI106" s="302"/>
      <c r="FJ106" s="302"/>
      <c r="FK106" s="302"/>
      <c r="FL106" s="302"/>
      <c r="FM106" s="302"/>
      <c r="FN106" s="302"/>
      <c r="FO106" s="302"/>
      <c r="FP106" s="302"/>
      <c r="FQ106" s="302"/>
      <c r="FR106" s="302"/>
      <c r="FS106" s="302"/>
      <c r="FT106" s="302"/>
      <c r="FU106" s="302"/>
      <c r="FV106" s="302"/>
      <c r="FW106" s="302"/>
      <c r="FX106" s="302"/>
      <c r="FY106" s="302"/>
      <c r="FZ106" s="302"/>
      <c r="GA106" s="302"/>
      <c r="GB106" s="302"/>
      <c r="GC106" s="302"/>
      <c r="GD106" s="302"/>
      <c r="GE106" s="302"/>
      <c r="GF106" s="302"/>
      <c r="GG106" s="302"/>
      <c r="GH106" s="302"/>
      <c r="GI106" s="302"/>
      <c r="GJ106" s="302"/>
      <c r="GK106" s="302"/>
      <c r="GL106" s="302"/>
      <c r="GM106" s="302"/>
      <c r="GN106" s="302"/>
      <c r="GO106" s="302"/>
      <c r="GP106" s="302"/>
      <c r="GQ106" s="302"/>
      <c r="GR106" s="302"/>
      <c r="GS106" s="302"/>
      <c r="GT106" s="302"/>
      <c r="GU106" s="302"/>
      <c r="GV106" s="302"/>
      <c r="GW106" s="302"/>
      <c r="GX106" s="302"/>
      <c r="GY106" s="302"/>
      <c r="GZ106" s="302"/>
      <c r="HA106" s="302"/>
      <c r="HB106" s="302"/>
      <c r="HC106" s="302"/>
      <c r="HD106" s="302"/>
      <c r="HE106" s="302"/>
      <c r="HF106" s="302"/>
      <c r="HG106" s="302"/>
      <c r="HH106" s="302"/>
      <c r="HI106" s="302"/>
      <c r="HJ106" s="302"/>
      <c r="HK106" s="302"/>
      <c r="HL106" s="302"/>
      <c r="HM106" s="302"/>
      <c r="HN106" s="302"/>
      <c r="HO106" s="302"/>
      <c r="HP106" s="302"/>
      <c r="HQ106" s="302"/>
      <c r="HR106" s="302"/>
      <c r="HS106" s="302"/>
      <c r="HT106" s="302"/>
      <c r="HU106" s="302"/>
      <c r="HV106" s="302"/>
      <c r="HW106" s="302"/>
      <c r="HX106" s="302"/>
      <c r="HY106" s="302"/>
      <c r="HZ106" s="302"/>
      <c r="IA106" s="302"/>
      <c r="IB106" s="302"/>
      <c r="IC106" s="302"/>
      <c r="ID106" s="302"/>
      <c r="IE106" s="302"/>
      <c r="IF106" s="302"/>
      <c r="IG106" s="302"/>
      <c r="IH106" s="302"/>
      <c r="II106" s="302"/>
      <c r="IJ106" s="302"/>
    </row>
    <row r="107" spans="1:244" s="336" customFormat="1" ht="12.6" customHeight="1" x14ac:dyDescent="0.2">
      <c r="C107" s="358"/>
      <c r="E107" s="310" t="s">
        <v>437</v>
      </c>
      <c r="G107" s="310" t="s">
        <v>1064</v>
      </c>
      <c r="K107" s="1581"/>
      <c r="L107" s="1581"/>
      <c r="N107" s="1581"/>
      <c r="O107" s="1581"/>
      <c r="Q107" s="1581"/>
      <c r="R107" s="1581"/>
      <c r="T107" s="1581"/>
      <c r="U107" s="1581"/>
      <c r="W107" s="1581"/>
      <c r="X107" s="1581"/>
      <c r="Z107" s="1581"/>
      <c r="AA107" s="1581"/>
      <c r="AC107" s="1581"/>
      <c r="AD107" s="1581"/>
    </row>
    <row r="108" spans="1:244" s="336" customFormat="1" ht="12.6" customHeight="1" x14ac:dyDescent="0.2">
      <c r="C108" s="310" t="s">
        <v>460</v>
      </c>
      <c r="E108" s="310" t="s">
        <v>220</v>
      </c>
      <c r="G108" s="310" t="s">
        <v>761</v>
      </c>
      <c r="K108" s="1581"/>
      <c r="L108" s="1581"/>
      <c r="N108" s="1581"/>
      <c r="O108" s="1581"/>
      <c r="Q108" s="1581"/>
      <c r="R108" s="1581"/>
      <c r="T108" s="1581"/>
      <c r="U108" s="1581"/>
      <c r="W108" s="1581"/>
      <c r="X108" s="1581"/>
      <c r="Z108" s="1581"/>
      <c r="AA108" s="1581"/>
      <c r="AC108" s="1581"/>
      <c r="AD108" s="1581"/>
    </row>
    <row r="109" spans="1:244" s="336" customFormat="1" ht="12.6" customHeight="1" x14ac:dyDescent="0.2">
      <c r="C109" s="574" t="s">
        <v>221</v>
      </c>
      <c r="E109" s="574" t="s">
        <v>59</v>
      </c>
      <c r="G109" s="574" t="s">
        <v>762</v>
      </c>
      <c r="I109" s="574" t="s">
        <v>671</v>
      </c>
      <c r="J109" s="358"/>
      <c r="K109" s="1581"/>
      <c r="L109" s="1581"/>
      <c r="N109" s="1581"/>
      <c r="O109" s="1581"/>
      <c r="Q109" s="1581"/>
      <c r="R109" s="1581"/>
      <c r="T109" s="1581"/>
      <c r="U109" s="1581"/>
      <c r="W109" s="1581"/>
      <c r="X109" s="1581"/>
      <c r="Z109" s="1581"/>
      <c r="AA109" s="1581"/>
      <c r="AC109" s="1581"/>
      <c r="AD109" s="1581"/>
    </row>
    <row r="110" spans="1:244" s="253" customFormat="1" ht="9.9499999999999993" customHeight="1" x14ac:dyDescent="0.2">
      <c r="A110" s="353" t="s">
        <v>751</v>
      </c>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row>
    <row r="111" spans="1:244" s="253" customFormat="1" ht="9.9499999999999993" customHeight="1" x14ac:dyDescent="0.2">
      <c r="A111" s="707" t="s">
        <v>80</v>
      </c>
      <c r="B111" s="254"/>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row>
    <row r="112" spans="1:244" s="253" customFormat="1" ht="9.9499999999999993" customHeight="1" x14ac:dyDescent="0.2">
      <c r="A112" s="708" t="s">
        <v>758</v>
      </c>
      <c r="B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row>
    <row r="113" spans="1:30" s="253" customFormat="1" ht="9.9499999999999993" customHeight="1" x14ac:dyDescent="0.2">
      <c r="A113" s="705" t="s">
        <v>689</v>
      </c>
      <c r="B113" s="254"/>
      <c r="C113" s="339">
        <v>752305</v>
      </c>
      <c r="D113" s="347"/>
      <c r="E113" s="339">
        <f>117263-17708-8938</f>
        <v>90617</v>
      </c>
      <c r="F113" s="347"/>
      <c r="G113" s="339">
        <f>SUM('Combining SONPCU'!V95)</f>
        <v>15025</v>
      </c>
      <c r="H113" s="347"/>
      <c r="I113" s="339">
        <f>SUM(C113:G113)</f>
        <v>857947</v>
      </c>
      <c r="J113" s="273"/>
      <c r="K113" s="254"/>
      <c r="L113" s="254"/>
      <c r="M113" s="254"/>
      <c r="N113" s="254"/>
      <c r="O113" s="254"/>
      <c r="P113" s="254"/>
      <c r="Q113" s="254"/>
      <c r="R113" s="254"/>
      <c r="S113" s="254"/>
      <c r="T113" s="254"/>
      <c r="U113" s="254"/>
      <c r="V113" s="254"/>
      <c r="W113" s="254"/>
      <c r="X113" s="254"/>
      <c r="Y113" s="254"/>
      <c r="Z113" s="254"/>
      <c r="AA113" s="254"/>
      <c r="AB113" s="254"/>
      <c r="AC113" s="254"/>
      <c r="AD113" s="254"/>
    </row>
    <row r="114" spans="1:30" s="253" customFormat="1" ht="9.9499999999999993" hidden="1" customHeight="1" x14ac:dyDescent="0.2">
      <c r="A114" s="705" t="s">
        <v>716</v>
      </c>
      <c r="B114" s="254"/>
      <c r="C114" s="273"/>
      <c r="D114" s="273"/>
      <c r="E114" s="273"/>
      <c r="F114" s="273"/>
      <c r="G114" s="254"/>
      <c r="H114" s="273"/>
      <c r="I114" s="273">
        <f t="shared" ref="I114:I125" si="7">E114+C114+G114</f>
        <v>0</v>
      </c>
      <c r="J114" s="273"/>
      <c r="K114" s="254"/>
      <c r="L114" s="273"/>
      <c r="M114" s="273"/>
      <c r="N114" s="273"/>
      <c r="O114" s="273"/>
      <c r="P114" s="273"/>
      <c r="Q114" s="273"/>
      <c r="R114" s="273"/>
      <c r="S114" s="273"/>
      <c r="T114" s="273"/>
      <c r="U114" s="273"/>
      <c r="V114" s="273"/>
      <c r="W114" s="273"/>
      <c r="X114" s="273"/>
      <c r="Y114" s="273"/>
      <c r="Z114" s="273"/>
      <c r="AA114" s="273"/>
      <c r="AB114" s="273"/>
      <c r="AC114" s="273"/>
      <c r="AD114" s="273"/>
    </row>
    <row r="115" spans="1:30" s="253" customFormat="1" ht="9.9499999999999993" hidden="1" customHeight="1" x14ac:dyDescent="0.2">
      <c r="A115" s="705" t="s">
        <v>854</v>
      </c>
      <c r="B115" s="254"/>
      <c r="C115" s="273"/>
      <c r="D115" s="273"/>
      <c r="E115" s="273"/>
      <c r="F115" s="273"/>
      <c r="G115" s="254"/>
      <c r="H115" s="273"/>
      <c r="I115" s="273">
        <f t="shared" si="7"/>
        <v>0</v>
      </c>
      <c r="J115" s="273"/>
      <c r="K115" s="254"/>
      <c r="L115" s="273"/>
      <c r="M115" s="273"/>
      <c r="N115" s="273"/>
      <c r="O115" s="273"/>
      <c r="P115" s="273"/>
      <c r="Q115" s="273"/>
      <c r="R115" s="273"/>
      <c r="S115" s="273"/>
      <c r="T115" s="273"/>
      <c r="U115" s="273"/>
      <c r="V115" s="273"/>
      <c r="W115" s="273"/>
      <c r="X115" s="273"/>
      <c r="Y115" s="273"/>
      <c r="Z115" s="273"/>
      <c r="AA115" s="273"/>
      <c r="AB115" s="273"/>
      <c r="AC115" s="273"/>
      <c r="AD115" s="273"/>
    </row>
    <row r="116" spans="1:30" s="253" customFormat="1" ht="9.9499999999999993" customHeight="1" x14ac:dyDescent="0.2">
      <c r="A116" s="705" t="s">
        <v>752</v>
      </c>
      <c r="B116" s="254"/>
      <c r="C116" s="273"/>
      <c r="D116" s="273"/>
      <c r="E116" s="273"/>
      <c r="F116" s="273"/>
      <c r="G116" s="273">
        <f>SUM('Combining SONPCU'!V96)</f>
        <v>2190</v>
      </c>
      <c r="H116" s="273"/>
      <c r="I116" s="273">
        <f t="shared" si="7"/>
        <v>2190</v>
      </c>
      <c r="J116" s="273"/>
      <c r="K116" s="254"/>
      <c r="L116" s="273"/>
      <c r="M116" s="273"/>
      <c r="N116" s="273"/>
      <c r="O116" s="273"/>
      <c r="P116" s="273"/>
      <c r="Q116" s="273"/>
      <c r="R116" s="273"/>
      <c r="S116" s="273"/>
      <c r="T116" s="273"/>
      <c r="U116" s="273"/>
      <c r="V116" s="273"/>
      <c r="W116" s="273"/>
      <c r="X116" s="273"/>
      <c r="Y116" s="273"/>
      <c r="Z116" s="273"/>
      <c r="AA116" s="273"/>
      <c r="AB116" s="273"/>
      <c r="AC116" s="273"/>
      <c r="AD116" s="273"/>
    </row>
    <row r="117" spans="1:30" s="253" customFormat="1" ht="9.9499999999999993" hidden="1" customHeight="1" x14ac:dyDescent="0.2">
      <c r="A117" s="705" t="s">
        <v>854</v>
      </c>
      <c r="B117" s="254"/>
      <c r="C117" s="273"/>
      <c r="D117" s="273"/>
      <c r="E117" s="273"/>
      <c r="F117" s="273"/>
      <c r="G117" s="273"/>
      <c r="H117" s="273"/>
      <c r="I117" s="273">
        <f t="shared" si="7"/>
        <v>0</v>
      </c>
      <c r="J117" s="273"/>
      <c r="K117" s="254"/>
      <c r="L117" s="273"/>
      <c r="M117" s="273"/>
      <c r="N117" s="273"/>
      <c r="O117" s="273"/>
      <c r="P117" s="273"/>
      <c r="Q117" s="273"/>
      <c r="R117" s="273"/>
      <c r="S117" s="273"/>
      <c r="T117" s="273"/>
      <c r="U117" s="273"/>
      <c r="V117" s="273"/>
      <c r="W117" s="273"/>
      <c r="X117" s="273"/>
      <c r="Y117" s="273"/>
      <c r="Z117" s="273"/>
      <c r="AA117" s="273"/>
      <c r="AB117" s="273"/>
      <c r="AC117" s="273"/>
      <c r="AD117" s="273"/>
    </row>
    <row r="118" spans="1:30" s="253" customFormat="1" ht="9.9499999999999993" hidden="1" customHeight="1" x14ac:dyDescent="0.2">
      <c r="A118" s="705" t="s">
        <v>846</v>
      </c>
      <c r="B118" s="254"/>
      <c r="C118" s="273"/>
      <c r="D118" s="273"/>
      <c r="E118" s="273"/>
      <c r="F118" s="273"/>
      <c r="G118" s="273">
        <f>SUM('Combining SONPCU'!V97)</f>
        <v>0</v>
      </c>
      <c r="H118" s="273"/>
      <c r="I118" s="273">
        <f t="shared" si="7"/>
        <v>0</v>
      </c>
      <c r="J118" s="273"/>
      <c r="K118" s="254"/>
      <c r="L118" s="273"/>
      <c r="M118" s="273"/>
      <c r="N118" s="273"/>
      <c r="O118" s="273"/>
      <c r="P118" s="273"/>
      <c r="Q118" s="273"/>
      <c r="R118" s="273"/>
      <c r="S118" s="273"/>
      <c r="T118" s="273"/>
      <c r="U118" s="273"/>
      <c r="V118" s="273"/>
      <c r="W118" s="273"/>
      <c r="X118" s="273"/>
      <c r="Y118" s="273"/>
      <c r="Z118" s="273"/>
      <c r="AA118" s="273"/>
      <c r="AB118" s="273"/>
      <c r="AC118" s="273"/>
      <c r="AD118" s="273"/>
    </row>
    <row r="119" spans="1:30" s="253" customFormat="1" ht="9.9499999999999993" hidden="1" customHeight="1" x14ac:dyDescent="0.2">
      <c r="A119" s="705" t="s">
        <v>451</v>
      </c>
      <c r="B119" s="254"/>
      <c r="C119" s="273"/>
      <c r="D119" s="273"/>
      <c r="E119" s="273"/>
      <c r="F119" s="273"/>
      <c r="G119" s="273">
        <f>SUM('Combining SONPCU'!V98)</f>
        <v>0</v>
      </c>
      <c r="H119" s="273"/>
      <c r="I119" s="273">
        <f t="shared" si="7"/>
        <v>0</v>
      </c>
      <c r="J119" s="273"/>
      <c r="K119" s="254"/>
      <c r="L119" s="273"/>
      <c r="M119" s="273"/>
      <c r="N119" s="273"/>
      <c r="O119" s="273"/>
      <c r="P119" s="273"/>
      <c r="Q119" s="273"/>
      <c r="R119" s="273"/>
      <c r="S119" s="273"/>
      <c r="T119" s="273"/>
      <c r="U119" s="273"/>
      <c r="V119" s="273"/>
      <c r="W119" s="273"/>
      <c r="X119" s="273"/>
      <c r="Y119" s="273"/>
      <c r="Z119" s="273"/>
      <c r="AA119" s="273"/>
      <c r="AB119" s="273"/>
      <c r="AC119" s="273"/>
      <c r="AD119" s="273"/>
    </row>
    <row r="120" spans="1:30" s="253" customFormat="1" ht="9.9499999999999993" customHeight="1" x14ac:dyDescent="0.2">
      <c r="A120" s="705" t="s">
        <v>850</v>
      </c>
      <c r="B120" s="254"/>
      <c r="C120" s="273"/>
      <c r="D120" s="273"/>
      <c r="E120" s="273"/>
      <c r="F120" s="273"/>
      <c r="G120" s="273">
        <f>SUM('Combining SONPCU'!V99)</f>
        <v>23</v>
      </c>
      <c r="H120" s="273"/>
      <c r="I120" s="273">
        <f t="shared" si="7"/>
        <v>23</v>
      </c>
      <c r="J120" s="273"/>
      <c r="K120" s="254"/>
      <c r="L120" s="273"/>
      <c r="M120" s="273"/>
      <c r="N120" s="273"/>
      <c r="O120" s="273"/>
      <c r="P120" s="273"/>
      <c r="Q120" s="273"/>
      <c r="R120" s="273"/>
      <c r="S120" s="273"/>
      <c r="T120" s="273"/>
      <c r="U120" s="273"/>
      <c r="V120" s="273"/>
      <c r="W120" s="273"/>
      <c r="X120" s="273"/>
      <c r="Y120" s="273"/>
      <c r="Z120" s="273"/>
      <c r="AA120" s="273"/>
      <c r="AB120" s="273"/>
      <c r="AC120" s="273"/>
      <c r="AD120" s="273"/>
    </row>
    <row r="121" spans="1:30" s="253" customFormat="1" ht="9.9499999999999993" customHeight="1" x14ac:dyDescent="0.2">
      <c r="A121" s="705" t="s">
        <v>1452</v>
      </c>
      <c r="B121" s="254"/>
      <c r="D121" s="273"/>
      <c r="E121" s="273">
        <v>17708</v>
      </c>
      <c r="F121" s="273"/>
      <c r="G121" s="273">
        <f>SUM('Combining SONPCU'!V100)</f>
        <v>7006</v>
      </c>
      <c r="H121" s="273"/>
      <c r="I121" s="273">
        <f t="shared" si="7"/>
        <v>24714</v>
      </c>
      <c r="J121" s="273"/>
      <c r="K121" s="254"/>
      <c r="L121" s="273"/>
      <c r="M121" s="273"/>
      <c r="N121" s="273"/>
      <c r="O121" s="273"/>
      <c r="P121" s="273"/>
      <c r="Q121" s="273"/>
      <c r="R121" s="273"/>
      <c r="S121" s="273"/>
      <c r="T121" s="273"/>
      <c r="U121" s="273"/>
      <c r="V121" s="273"/>
      <c r="W121" s="273"/>
      <c r="X121" s="273"/>
      <c r="Y121" s="273"/>
      <c r="Z121" s="273"/>
      <c r="AA121" s="273"/>
      <c r="AB121" s="273"/>
      <c r="AC121" s="273"/>
      <c r="AD121" s="273"/>
    </row>
    <row r="122" spans="1:30" s="253" customFormat="1" ht="9.9499999999999993" hidden="1" customHeight="1" x14ac:dyDescent="0.2">
      <c r="A122" s="705" t="s">
        <v>346</v>
      </c>
      <c r="B122" s="254"/>
      <c r="D122" s="273"/>
      <c r="E122" s="273"/>
      <c r="F122" s="273"/>
      <c r="G122" s="273"/>
      <c r="H122" s="273"/>
      <c r="I122" s="273">
        <f t="shared" si="7"/>
        <v>0</v>
      </c>
      <c r="J122" s="273"/>
      <c r="K122" s="254"/>
      <c r="L122" s="273"/>
      <c r="M122" s="273"/>
      <c r="N122" s="273"/>
      <c r="O122" s="273"/>
      <c r="P122" s="273"/>
      <c r="Q122" s="273"/>
      <c r="R122" s="273"/>
      <c r="S122" s="273"/>
      <c r="T122" s="273"/>
      <c r="U122" s="273"/>
      <c r="V122" s="273"/>
      <c r="W122" s="273"/>
      <c r="X122" s="273"/>
      <c r="Y122" s="273"/>
      <c r="Z122" s="273"/>
      <c r="AA122" s="273"/>
      <c r="AB122" s="273"/>
      <c r="AC122" s="273"/>
      <c r="AD122" s="273"/>
    </row>
    <row r="123" spans="1:30" s="253" customFormat="1" ht="9.9499999999999993" customHeight="1" x14ac:dyDescent="0.2">
      <c r="A123" s="705" t="s">
        <v>1586</v>
      </c>
      <c r="B123" s="254"/>
      <c r="D123" s="273"/>
      <c r="E123" s="273"/>
      <c r="F123" s="273"/>
      <c r="G123" s="273">
        <f>'Combining SONPCU'!V101</f>
        <v>142</v>
      </c>
      <c r="H123" s="273"/>
      <c r="I123" s="273">
        <f t="shared" si="7"/>
        <v>142</v>
      </c>
      <c r="J123" s="273"/>
      <c r="K123" s="254"/>
      <c r="L123" s="273"/>
      <c r="M123" s="273"/>
      <c r="N123" s="273"/>
      <c r="O123" s="273"/>
      <c r="P123" s="273"/>
      <c r="Q123" s="273"/>
      <c r="R123" s="273"/>
      <c r="S123" s="273"/>
      <c r="T123" s="273"/>
      <c r="U123" s="273"/>
      <c r="V123" s="273"/>
      <c r="W123" s="273"/>
      <c r="X123" s="273"/>
      <c r="Y123" s="273"/>
      <c r="Z123" s="273"/>
      <c r="AA123" s="273"/>
      <c r="AB123" s="273"/>
      <c r="AC123" s="273"/>
      <c r="AD123" s="273"/>
    </row>
    <row r="124" spans="1:30" s="253" customFormat="1" ht="9.9499999999999993" customHeight="1" x14ac:dyDescent="0.2">
      <c r="A124" s="705" t="s">
        <v>1647</v>
      </c>
      <c r="B124" s="254"/>
      <c r="D124" s="273"/>
      <c r="E124" s="273"/>
      <c r="F124" s="273"/>
      <c r="G124" s="273">
        <f>'Combining SONPCU'!V102</f>
        <v>42</v>
      </c>
      <c r="H124" s="273"/>
      <c r="I124" s="273">
        <f t="shared" si="7"/>
        <v>42</v>
      </c>
      <c r="J124" s="273"/>
      <c r="K124" s="254"/>
      <c r="L124" s="273"/>
      <c r="M124" s="273"/>
      <c r="N124" s="273"/>
      <c r="O124" s="273"/>
      <c r="P124" s="273"/>
      <c r="Q124" s="273"/>
      <c r="R124" s="273"/>
      <c r="S124" s="273"/>
      <c r="T124" s="273"/>
      <c r="U124" s="273"/>
      <c r="V124" s="273"/>
      <c r="W124" s="273"/>
      <c r="X124" s="273"/>
      <c r="Y124" s="273"/>
      <c r="Z124" s="273"/>
      <c r="AA124" s="273"/>
      <c r="AB124" s="273"/>
      <c r="AC124" s="273"/>
      <c r="AD124" s="273"/>
    </row>
    <row r="125" spans="1:30" s="253" customFormat="1" ht="9.9499999999999993" customHeight="1" x14ac:dyDescent="0.2">
      <c r="A125" s="705" t="s">
        <v>452</v>
      </c>
      <c r="B125" s="254"/>
      <c r="C125" s="273">
        <v>44221</v>
      </c>
      <c r="D125" s="273"/>
      <c r="E125" s="273">
        <v>8938</v>
      </c>
      <c r="F125" s="273"/>
      <c r="G125" s="273">
        <f>'Combining SONPCU'!V103</f>
        <v>135</v>
      </c>
      <c r="H125" s="273"/>
      <c r="I125" s="273">
        <f t="shared" si="7"/>
        <v>53294</v>
      </c>
      <c r="J125" s="273"/>
      <c r="K125" s="254"/>
      <c r="L125" s="273"/>
      <c r="M125" s="273"/>
      <c r="N125" s="273"/>
      <c r="O125" s="273"/>
      <c r="P125" s="273"/>
      <c r="Q125" s="273"/>
      <c r="R125" s="273"/>
      <c r="S125" s="273"/>
      <c r="T125" s="273"/>
      <c r="U125" s="273"/>
      <c r="V125" s="273"/>
      <c r="W125" s="273"/>
      <c r="X125" s="273"/>
      <c r="Y125" s="273"/>
      <c r="Z125" s="273"/>
      <c r="AA125" s="273"/>
      <c r="AB125" s="273"/>
      <c r="AC125" s="273"/>
      <c r="AD125" s="273"/>
    </row>
    <row r="126" spans="1:30" s="253" customFormat="1" ht="5.0999999999999996" customHeight="1" x14ac:dyDescent="0.2">
      <c r="A126" s="351"/>
      <c r="B126" s="254"/>
      <c r="C126" s="340"/>
      <c r="D126" s="273"/>
      <c r="E126" s="340"/>
      <c r="F126" s="273"/>
      <c r="G126" s="340"/>
      <c r="H126" s="273"/>
      <c r="I126" s="340"/>
      <c r="J126" s="273"/>
      <c r="K126" s="254"/>
      <c r="L126" s="273"/>
      <c r="M126" s="273"/>
      <c r="N126" s="273"/>
      <c r="O126" s="273"/>
      <c r="P126" s="273"/>
      <c r="Q126" s="273"/>
      <c r="R126" s="273"/>
      <c r="S126" s="273"/>
      <c r="T126" s="273"/>
      <c r="U126" s="273"/>
      <c r="V126" s="273"/>
      <c r="W126" s="273"/>
      <c r="X126" s="273"/>
      <c r="Y126" s="273"/>
      <c r="Z126" s="273"/>
      <c r="AA126" s="273"/>
      <c r="AB126" s="273"/>
      <c r="AC126" s="273"/>
      <c r="AD126" s="273"/>
    </row>
    <row r="127" spans="1:30" s="352" customFormat="1" ht="11.1" customHeight="1" x14ac:dyDescent="0.2">
      <c r="A127" s="708" t="s">
        <v>759</v>
      </c>
      <c r="B127" s="254"/>
      <c r="C127" s="341">
        <f>SUM(C113:C125)</f>
        <v>796526</v>
      </c>
      <c r="D127" s="273"/>
      <c r="E127" s="341">
        <f>SUM(E113:E125)</f>
        <v>117263</v>
      </c>
      <c r="F127" s="273"/>
      <c r="G127" s="341">
        <f>SUM(G113:G125)</f>
        <v>24563</v>
      </c>
      <c r="H127" s="273"/>
      <c r="I127" s="341">
        <f>SUM(I113:I125)</f>
        <v>938352</v>
      </c>
      <c r="J127" s="273"/>
      <c r="K127" s="254"/>
      <c r="L127" s="273"/>
      <c r="M127" s="273"/>
      <c r="N127" s="273"/>
      <c r="O127" s="273"/>
      <c r="P127" s="273"/>
      <c r="Q127" s="273"/>
      <c r="R127" s="273"/>
      <c r="S127" s="273"/>
      <c r="T127" s="273"/>
      <c r="U127" s="273"/>
      <c r="V127" s="273"/>
      <c r="W127" s="273"/>
      <c r="X127" s="273"/>
      <c r="Y127" s="273"/>
      <c r="Z127" s="273"/>
      <c r="AA127" s="273"/>
      <c r="AB127" s="273"/>
      <c r="AC127" s="273"/>
      <c r="AD127" s="273"/>
    </row>
    <row r="128" spans="1:30" s="352" customFormat="1" ht="5.0999999999999996" customHeight="1" x14ac:dyDescent="0.2">
      <c r="A128" s="349"/>
      <c r="B128" s="350"/>
      <c r="C128" s="399"/>
      <c r="D128" s="399"/>
      <c r="E128" s="399"/>
      <c r="F128" s="399"/>
      <c r="G128" s="399"/>
      <c r="H128" s="273"/>
      <c r="I128" s="273"/>
      <c r="J128" s="273"/>
      <c r="K128" s="350"/>
      <c r="L128" s="399"/>
      <c r="M128" s="399"/>
      <c r="N128" s="399"/>
      <c r="O128" s="399"/>
      <c r="P128" s="399"/>
      <c r="Q128" s="399"/>
      <c r="R128" s="399"/>
      <c r="S128" s="399"/>
      <c r="T128" s="399"/>
      <c r="U128" s="399"/>
      <c r="V128" s="399"/>
      <c r="W128" s="399"/>
      <c r="X128" s="399"/>
      <c r="Y128" s="399"/>
      <c r="Z128" s="399"/>
      <c r="AA128" s="399"/>
      <c r="AB128" s="399"/>
      <c r="AC128" s="399"/>
      <c r="AD128" s="399"/>
    </row>
    <row r="129" spans="1:30" s="253" customFormat="1" ht="9.75" customHeight="1" x14ac:dyDescent="0.2">
      <c r="A129" s="708" t="s">
        <v>27</v>
      </c>
      <c r="B129" s="254"/>
      <c r="C129" s="273"/>
      <c r="D129" s="273"/>
      <c r="E129" s="273"/>
      <c r="F129" s="273"/>
      <c r="G129" s="273"/>
      <c r="H129" s="273"/>
      <c r="I129" s="273"/>
      <c r="J129" s="273"/>
      <c r="K129" s="254"/>
      <c r="L129" s="273"/>
      <c r="M129" s="273"/>
      <c r="N129" s="273"/>
      <c r="O129" s="273"/>
      <c r="P129" s="273"/>
      <c r="Q129" s="273"/>
      <c r="R129" s="273"/>
      <c r="S129" s="273"/>
      <c r="T129" s="273"/>
      <c r="U129" s="273"/>
      <c r="V129" s="273"/>
      <c r="W129" s="273"/>
      <c r="X129" s="273"/>
      <c r="Y129" s="273"/>
      <c r="Z129" s="273"/>
      <c r="AA129" s="273"/>
      <c r="AB129" s="273"/>
      <c r="AC129" s="273"/>
      <c r="AD129" s="273"/>
    </row>
    <row r="130" spans="1:30" s="253" customFormat="1" ht="9.9499999999999993" customHeight="1" x14ac:dyDescent="0.2">
      <c r="A130" s="705" t="s">
        <v>689</v>
      </c>
      <c r="B130" s="254"/>
      <c r="C130" s="273"/>
      <c r="D130" s="273"/>
      <c r="E130" s="273">
        <f>168348-17874-70220-4850</f>
        <v>75404</v>
      </c>
      <c r="F130" s="273"/>
      <c r="G130" s="273">
        <f>'Combining SONPCU'!V108</f>
        <v>154</v>
      </c>
      <c r="H130" s="273"/>
      <c r="I130" s="273">
        <f t="shared" ref="I130:I136" si="8">E130+C130+G130</f>
        <v>75558</v>
      </c>
      <c r="J130" s="273"/>
      <c r="K130" s="254"/>
      <c r="L130" s="705"/>
      <c r="M130" s="254"/>
      <c r="N130" s="273"/>
      <c r="O130" s="273"/>
      <c r="P130" s="273"/>
      <c r="Q130" s="273"/>
      <c r="R130" s="273"/>
      <c r="S130" s="273"/>
      <c r="T130" s="273"/>
      <c r="U130" s="273"/>
      <c r="V130" s="273"/>
      <c r="W130" s="273"/>
      <c r="X130" s="273"/>
      <c r="Y130" s="273"/>
      <c r="Z130" s="273"/>
      <c r="AA130" s="273"/>
      <c r="AB130" s="273"/>
      <c r="AC130" s="273"/>
      <c r="AD130" s="273"/>
    </row>
    <row r="131" spans="1:30" s="253" customFormat="1" ht="9.9499999999999993" customHeight="1" x14ac:dyDescent="0.2">
      <c r="A131" s="705" t="s">
        <v>1277</v>
      </c>
      <c r="B131" s="254"/>
      <c r="C131" s="273"/>
      <c r="D131" s="273"/>
      <c r="E131" s="273">
        <v>17874</v>
      </c>
      <c r="F131" s="273"/>
      <c r="G131" s="273">
        <f>'Combining SONPCU'!V109</f>
        <v>2895</v>
      </c>
      <c r="H131" s="273"/>
      <c r="I131" s="273">
        <f t="shared" si="8"/>
        <v>20769</v>
      </c>
      <c r="J131" s="273"/>
      <c r="K131" s="254"/>
      <c r="L131" s="705"/>
      <c r="M131" s="254"/>
      <c r="N131" s="273"/>
      <c r="O131" s="273"/>
      <c r="P131" s="273"/>
      <c r="Q131" s="273"/>
      <c r="R131" s="273"/>
      <c r="S131" s="273"/>
      <c r="T131" s="273"/>
      <c r="U131" s="273"/>
      <c r="V131" s="273"/>
      <c r="W131" s="273"/>
      <c r="X131" s="273"/>
      <c r="Y131" s="273"/>
      <c r="Z131" s="273"/>
      <c r="AA131" s="273"/>
      <c r="AB131" s="273"/>
      <c r="AC131" s="273"/>
      <c r="AD131" s="273"/>
    </row>
    <row r="132" spans="1:30" s="253" customFormat="1" ht="9.9499999999999993" customHeight="1" x14ac:dyDescent="0.2">
      <c r="A132" s="705" t="s">
        <v>1452</v>
      </c>
      <c r="B132" s="254"/>
      <c r="C132" s="273"/>
      <c r="D132" s="273"/>
      <c r="F132" s="273"/>
      <c r="G132" s="273">
        <f>SUM('Combining SONPCU'!V110)</f>
        <v>77</v>
      </c>
      <c r="H132" s="273"/>
      <c r="I132" s="273">
        <f t="shared" si="8"/>
        <v>77</v>
      </c>
      <c r="J132" s="273"/>
      <c r="K132" s="254"/>
      <c r="L132" s="705"/>
      <c r="M132" s="254"/>
      <c r="N132" s="273"/>
      <c r="O132" s="273"/>
      <c r="P132" s="273"/>
      <c r="Q132" s="273"/>
      <c r="R132" s="273"/>
      <c r="S132" s="273"/>
      <c r="T132" s="273"/>
      <c r="U132" s="273"/>
      <c r="V132" s="273"/>
      <c r="W132" s="273"/>
      <c r="X132" s="273"/>
      <c r="Y132" s="273"/>
      <c r="Z132" s="273"/>
      <c r="AA132" s="273"/>
      <c r="AB132" s="273"/>
      <c r="AC132" s="273"/>
      <c r="AD132" s="273"/>
    </row>
    <row r="133" spans="1:30" s="253" customFormat="1" ht="9.9499999999999993" customHeight="1" x14ac:dyDescent="0.2">
      <c r="A133" s="705" t="s">
        <v>1222</v>
      </c>
      <c r="B133" s="254"/>
      <c r="C133" s="273"/>
      <c r="D133" s="273"/>
      <c r="F133" s="273"/>
      <c r="G133" s="273"/>
      <c r="H133" s="273"/>
      <c r="I133" s="273"/>
      <c r="J133" s="273"/>
      <c r="K133" s="254"/>
      <c r="L133" s="705"/>
      <c r="M133" s="254"/>
      <c r="N133" s="273"/>
      <c r="O133" s="273"/>
      <c r="P133" s="273"/>
      <c r="Q133" s="273"/>
      <c r="R133" s="273"/>
      <c r="S133" s="273"/>
      <c r="T133" s="273"/>
      <c r="U133" s="273"/>
      <c r="V133" s="273"/>
      <c r="W133" s="273"/>
      <c r="X133" s="273"/>
      <c r="Y133" s="273"/>
      <c r="Z133" s="273"/>
      <c r="AA133" s="273"/>
      <c r="AB133" s="273"/>
      <c r="AC133" s="273"/>
      <c r="AD133" s="273"/>
    </row>
    <row r="134" spans="1:30" s="253" customFormat="1" ht="9.9499999999999993" customHeight="1" x14ac:dyDescent="0.2">
      <c r="A134" s="705" t="s">
        <v>1223</v>
      </c>
      <c r="B134" s="254"/>
      <c r="C134" s="273">
        <v>181295</v>
      </c>
      <c r="D134" s="273"/>
      <c r="E134" s="273">
        <v>100113</v>
      </c>
      <c r="F134" s="273"/>
      <c r="G134" s="273">
        <f>SUM('Combining SONPCU'!V111)</f>
        <v>16000</v>
      </c>
      <c r="H134" s="273"/>
      <c r="I134" s="273">
        <f t="shared" si="8"/>
        <v>297408</v>
      </c>
      <c r="J134" s="273"/>
      <c r="K134" s="254"/>
      <c r="L134" s="705"/>
      <c r="M134" s="254"/>
      <c r="N134" s="273"/>
      <c r="O134" s="273"/>
      <c r="P134" s="273"/>
      <c r="Q134" s="273"/>
      <c r="R134" s="273"/>
      <c r="S134" s="273"/>
      <c r="T134" s="273"/>
      <c r="U134" s="273"/>
      <c r="V134" s="273"/>
      <c r="W134" s="273"/>
      <c r="X134" s="273"/>
      <c r="Y134" s="273"/>
      <c r="Z134" s="273"/>
      <c r="AA134" s="273"/>
      <c r="AB134" s="273"/>
      <c r="AC134" s="273"/>
      <c r="AD134" s="273"/>
    </row>
    <row r="135" spans="1:30" s="253" customFormat="1" ht="9.9499999999999993" customHeight="1" x14ac:dyDescent="0.2">
      <c r="A135" s="705" t="s">
        <v>988</v>
      </c>
      <c r="B135" s="254"/>
      <c r="C135" s="273"/>
      <c r="D135" s="273"/>
      <c r="E135" s="273">
        <v>4850</v>
      </c>
      <c r="F135" s="273"/>
      <c r="G135" s="273"/>
      <c r="H135" s="273"/>
      <c r="I135" s="273">
        <f t="shared" si="8"/>
        <v>4850</v>
      </c>
      <c r="J135" s="273"/>
      <c r="K135" s="254"/>
      <c r="L135" s="273"/>
      <c r="M135" s="273"/>
      <c r="N135" s="273"/>
      <c r="O135" s="273"/>
      <c r="P135" s="273"/>
      <c r="Q135" s="273"/>
      <c r="R135" s="273"/>
      <c r="S135" s="273"/>
      <c r="T135" s="273"/>
      <c r="U135" s="273"/>
      <c r="V135" s="273"/>
      <c r="W135" s="273"/>
      <c r="X135" s="273"/>
      <c r="Y135" s="273"/>
      <c r="Z135" s="273"/>
      <c r="AA135" s="273"/>
      <c r="AB135" s="273"/>
      <c r="AC135" s="273"/>
      <c r="AD135" s="273"/>
    </row>
    <row r="136" spans="1:30" s="253" customFormat="1" ht="9.9499999999999993" hidden="1" customHeight="1" x14ac:dyDescent="0.2">
      <c r="A136" s="705" t="s">
        <v>693</v>
      </c>
      <c r="B136" s="254"/>
      <c r="C136" s="341"/>
      <c r="D136" s="273"/>
      <c r="E136" s="341"/>
      <c r="F136" s="273"/>
      <c r="G136" s="273">
        <f>'Combining SONPCU'!V112</f>
        <v>0</v>
      </c>
      <c r="H136" s="273"/>
      <c r="I136" s="273">
        <f t="shared" si="8"/>
        <v>0</v>
      </c>
      <c r="J136" s="273"/>
      <c r="K136" s="254"/>
      <c r="L136" s="273"/>
      <c r="M136" s="273"/>
      <c r="N136" s="273"/>
      <c r="O136" s="273"/>
      <c r="P136" s="273"/>
      <c r="Q136" s="273"/>
      <c r="R136" s="273"/>
      <c r="S136" s="273"/>
      <c r="T136" s="273"/>
      <c r="U136" s="273"/>
      <c r="V136" s="273"/>
      <c r="W136" s="273"/>
      <c r="X136" s="273"/>
      <c r="Y136" s="273"/>
      <c r="Z136" s="273"/>
      <c r="AA136" s="273"/>
      <c r="AB136" s="273"/>
      <c r="AC136" s="273"/>
      <c r="AD136" s="273"/>
    </row>
    <row r="137" spans="1:30" s="253" customFormat="1" ht="5.0999999999999996" customHeight="1" x14ac:dyDescent="0.2">
      <c r="A137" s="351"/>
      <c r="B137" s="254"/>
      <c r="C137" s="340"/>
      <c r="D137" s="273"/>
      <c r="E137" s="340"/>
      <c r="F137" s="273"/>
      <c r="G137" s="340"/>
      <c r="H137" s="273"/>
      <c r="I137" s="340"/>
      <c r="J137" s="273"/>
      <c r="K137" s="254"/>
      <c r="L137" s="273"/>
      <c r="M137" s="273"/>
      <c r="N137" s="273"/>
      <c r="O137" s="273"/>
      <c r="P137" s="273"/>
      <c r="Q137" s="273"/>
      <c r="R137" s="273"/>
      <c r="S137" s="273"/>
      <c r="T137" s="273"/>
      <c r="U137" s="273"/>
      <c r="V137" s="273"/>
      <c r="W137" s="273"/>
      <c r="X137" s="273"/>
      <c r="Y137" s="273"/>
      <c r="Z137" s="273"/>
      <c r="AA137" s="273"/>
      <c r="AB137" s="273"/>
      <c r="AC137" s="273"/>
      <c r="AD137" s="273"/>
    </row>
    <row r="138" spans="1:30" s="253" customFormat="1" ht="11.1" customHeight="1" x14ac:dyDescent="0.2">
      <c r="A138" s="708" t="s">
        <v>28</v>
      </c>
      <c r="B138" s="254"/>
      <c r="C138" s="341">
        <f>SUM(C130:C136)</f>
        <v>181295</v>
      </c>
      <c r="D138" s="273"/>
      <c r="E138" s="341">
        <f>SUM(E130:E136)</f>
        <v>198241</v>
      </c>
      <c r="F138" s="273"/>
      <c r="G138" s="341">
        <f>SUM(G130:G136)</f>
        <v>19126</v>
      </c>
      <c r="H138" s="273"/>
      <c r="I138" s="341">
        <f>SUM(I130:I136)</f>
        <v>398662</v>
      </c>
      <c r="J138" s="273"/>
      <c r="K138" s="254"/>
      <c r="L138" s="273"/>
      <c r="M138" s="273"/>
      <c r="N138" s="273"/>
      <c r="O138" s="273"/>
      <c r="P138" s="273"/>
      <c r="Q138" s="273"/>
      <c r="R138" s="273"/>
      <c r="S138" s="273"/>
      <c r="T138" s="273"/>
      <c r="U138" s="273"/>
      <c r="V138" s="273"/>
      <c r="W138" s="273"/>
      <c r="X138" s="273"/>
      <c r="Y138" s="273"/>
      <c r="Z138" s="273"/>
      <c r="AA138" s="273"/>
      <c r="AB138" s="273"/>
      <c r="AC138" s="273"/>
      <c r="AD138" s="273"/>
    </row>
    <row r="139" spans="1:30" s="253" customFormat="1" ht="5.0999999999999996" customHeight="1" x14ac:dyDescent="0.2">
      <c r="A139" s="349"/>
      <c r="B139" s="254"/>
      <c r="C139" s="273"/>
      <c r="D139" s="273"/>
      <c r="E139" s="273"/>
      <c r="F139" s="273"/>
      <c r="G139" s="273"/>
      <c r="H139" s="273"/>
      <c r="I139" s="273"/>
      <c r="J139" s="273"/>
      <c r="K139" s="254"/>
      <c r="L139" s="273"/>
      <c r="M139" s="273"/>
      <c r="N139" s="273"/>
      <c r="O139" s="273"/>
      <c r="P139" s="273"/>
      <c r="Q139" s="273"/>
      <c r="R139" s="273"/>
      <c r="S139" s="273"/>
      <c r="T139" s="273"/>
      <c r="U139" s="273"/>
      <c r="V139" s="273"/>
      <c r="W139" s="273"/>
      <c r="X139" s="273"/>
      <c r="Y139" s="273"/>
      <c r="Z139" s="273"/>
      <c r="AA139" s="273"/>
      <c r="AB139" s="273"/>
      <c r="AC139" s="273"/>
      <c r="AD139" s="273"/>
    </row>
    <row r="140" spans="1:30" s="253" customFormat="1" ht="11.1" customHeight="1" x14ac:dyDescent="0.2">
      <c r="A140" s="707" t="s">
        <v>81</v>
      </c>
      <c r="B140" s="254"/>
      <c r="C140" s="341">
        <f>C127+C138</f>
        <v>977821</v>
      </c>
      <c r="D140" s="273"/>
      <c r="E140" s="341">
        <f>E127+E138</f>
        <v>315504</v>
      </c>
      <c r="F140" s="273"/>
      <c r="G140" s="341">
        <f>G127+G138</f>
        <v>43689</v>
      </c>
      <c r="H140" s="273"/>
      <c r="I140" s="341">
        <f>I127+I138</f>
        <v>1337014</v>
      </c>
      <c r="J140" s="273"/>
      <c r="K140" s="254"/>
      <c r="L140" s="273"/>
      <c r="M140" s="273"/>
      <c r="N140" s="273"/>
      <c r="O140" s="273"/>
      <c r="P140" s="273"/>
      <c r="Q140" s="273"/>
      <c r="R140" s="273"/>
      <c r="S140" s="273"/>
      <c r="T140" s="273"/>
      <c r="U140" s="273"/>
      <c r="V140" s="273"/>
      <c r="W140" s="273"/>
      <c r="X140" s="273"/>
      <c r="Y140" s="273"/>
      <c r="Z140" s="273"/>
      <c r="AA140" s="273"/>
      <c r="AB140" s="273"/>
      <c r="AC140" s="273"/>
      <c r="AD140" s="273"/>
    </row>
    <row r="141" spans="1:30" s="253" customFormat="1" ht="5.0999999999999996" customHeight="1" x14ac:dyDescent="0.2">
      <c r="A141" s="349"/>
      <c r="B141" s="254"/>
      <c r="C141" s="273"/>
      <c r="D141" s="273"/>
      <c r="E141" s="273"/>
      <c r="F141" s="273"/>
      <c r="G141" s="273"/>
      <c r="H141" s="273"/>
      <c r="I141" s="273"/>
      <c r="J141" s="273"/>
      <c r="K141" s="254"/>
      <c r="L141" s="273"/>
      <c r="M141" s="273"/>
      <c r="N141" s="273"/>
      <c r="O141" s="273"/>
      <c r="P141" s="273"/>
      <c r="Q141" s="273"/>
      <c r="R141" s="273"/>
      <c r="S141" s="273"/>
      <c r="T141" s="273"/>
      <c r="U141" s="273"/>
      <c r="V141" s="273"/>
      <c r="W141" s="273"/>
      <c r="X141" s="273"/>
      <c r="Y141" s="273"/>
      <c r="Z141" s="273"/>
      <c r="AA141" s="273"/>
      <c r="AB141" s="273"/>
      <c r="AC141" s="273"/>
      <c r="AD141" s="273"/>
    </row>
    <row r="142" spans="1:30" s="253" customFormat="1" ht="9.9499999999999993" customHeight="1" x14ac:dyDescent="0.2">
      <c r="A142" s="707" t="s">
        <v>1038</v>
      </c>
      <c r="B142" s="254"/>
      <c r="C142" s="273"/>
      <c r="D142" s="273"/>
      <c r="E142" s="273"/>
      <c r="F142" s="273"/>
      <c r="G142" s="273"/>
      <c r="H142" s="273"/>
      <c r="I142" s="273"/>
      <c r="J142" s="273"/>
      <c r="K142" s="254"/>
      <c r="L142" s="273"/>
      <c r="M142" s="273"/>
      <c r="N142" s="273"/>
      <c r="O142" s="273"/>
      <c r="P142" s="273"/>
      <c r="Q142" s="273"/>
      <c r="R142" s="273"/>
      <c r="S142" s="273"/>
      <c r="T142" s="273"/>
      <c r="U142" s="273"/>
      <c r="V142" s="273"/>
      <c r="W142" s="273"/>
      <c r="X142" s="273"/>
      <c r="Y142" s="273"/>
      <c r="Z142" s="273"/>
      <c r="AA142" s="273"/>
      <c r="AB142" s="273"/>
      <c r="AC142" s="273"/>
      <c r="AD142" s="273"/>
    </row>
    <row r="143" spans="1:30" s="253" customFormat="1" ht="9.9499999999999993" customHeight="1" x14ac:dyDescent="0.2">
      <c r="A143" s="705" t="s">
        <v>1224</v>
      </c>
      <c r="B143" s="254"/>
      <c r="J143" s="273"/>
      <c r="K143" s="254"/>
      <c r="L143" s="273"/>
      <c r="M143" s="273"/>
      <c r="N143" s="273"/>
      <c r="O143" s="273"/>
      <c r="P143" s="273"/>
      <c r="Q143" s="273"/>
      <c r="R143" s="273"/>
      <c r="S143" s="273"/>
      <c r="T143" s="273"/>
      <c r="U143" s="273"/>
      <c r="V143" s="273"/>
      <c r="W143" s="273"/>
      <c r="X143" s="273"/>
      <c r="Y143" s="273"/>
      <c r="Z143" s="273"/>
      <c r="AA143" s="273"/>
      <c r="AB143" s="273"/>
      <c r="AC143" s="273"/>
      <c r="AD143" s="273"/>
    </row>
    <row r="144" spans="1:30" s="253" customFormat="1" ht="9.9499999999999993" customHeight="1" x14ac:dyDescent="0.2">
      <c r="A144" s="749" t="s">
        <v>1228</v>
      </c>
      <c r="B144" s="254"/>
      <c r="C144" s="1068">
        <v>6824052</v>
      </c>
      <c r="D144" s="1068"/>
      <c r="E144" s="1068">
        <v>3270279</v>
      </c>
      <c r="F144" s="1068"/>
      <c r="G144" s="1068">
        <f>'Combining SONPCU'!V117</f>
        <v>187189</v>
      </c>
      <c r="H144" s="1068"/>
      <c r="I144" s="273">
        <f t="shared" ref="I144:I154" si="9">E144+C144+G144</f>
        <v>10281520</v>
      </c>
      <c r="J144" s="273"/>
      <c r="K144" s="254"/>
      <c r="L144" s="351"/>
      <c r="M144" s="254"/>
      <c r="N144" s="273"/>
      <c r="O144" s="273"/>
      <c r="P144" s="273"/>
      <c r="Q144" s="273"/>
      <c r="R144" s="273"/>
      <c r="S144" s="273"/>
      <c r="T144" s="273"/>
      <c r="U144" s="273"/>
      <c r="V144" s="273"/>
      <c r="W144" s="273"/>
      <c r="X144" s="273"/>
      <c r="Y144" s="273"/>
      <c r="Z144" s="273"/>
      <c r="AA144" s="273"/>
      <c r="AB144" s="273"/>
      <c r="AC144" s="273"/>
      <c r="AD144" s="273"/>
    </row>
    <row r="145" spans="1:43" s="253" customFormat="1" ht="9.9499999999999993" customHeight="1" x14ac:dyDescent="0.2">
      <c r="A145" s="705" t="s">
        <v>1250</v>
      </c>
      <c r="B145" s="254"/>
      <c r="C145" s="273">
        <v>351400</v>
      </c>
      <c r="D145" s="273"/>
      <c r="E145" s="273">
        <v>220095</v>
      </c>
      <c r="F145" s="273"/>
      <c r="G145" s="273">
        <f>SUM(L145:AD145)</f>
        <v>0</v>
      </c>
      <c r="H145" s="273"/>
      <c r="I145" s="273">
        <f t="shared" si="9"/>
        <v>571495</v>
      </c>
      <c r="J145" s="273"/>
      <c r="K145" s="254"/>
      <c r="L145" s="351"/>
      <c r="M145" s="254"/>
      <c r="N145" s="273"/>
      <c r="O145" s="273"/>
      <c r="P145" s="273"/>
      <c r="Q145" s="273"/>
      <c r="R145" s="273"/>
      <c r="S145" s="273"/>
      <c r="T145" s="273"/>
      <c r="U145" s="273"/>
      <c r="V145" s="273"/>
      <c r="W145" s="273"/>
      <c r="X145" s="273"/>
      <c r="Y145" s="273"/>
      <c r="Z145" s="273"/>
      <c r="AA145" s="273"/>
      <c r="AB145" s="273"/>
      <c r="AC145" s="273"/>
      <c r="AD145" s="273"/>
    </row>
    <row r="146" spans="1:43" s="253" customFormat="1" ht="9.9499999999999993" customHeight="1" x14ac:dyDescent="0.2">
      <c r="A146" s="705" t="s">
        <v>1444</v>
      </c>
      <c r="B146" s="254"/>
      <c r="C146" s="273">
        <v>1054040</v>
      </c>
      <c r="D146" s="273"/>
      <c r="E146" s="273">
        <v>50729</v>
      </c>
      <c r="F146" s="273"/>
      <c r="G146" s="273"/>
      <c r="H146" s="273"/>
      <c r="I146" s="273">
        <f t="shared" si="9"/>
        <v>1104769</v>
      </c>
      <c r="J146" s="273"/>
      <c r="K146" s="254"/>
      <c r="L146" s="351"/>
      <c r="M146" s="254"/>
      <c r="N146" s="273"/>
      <c r="O146" s="273"/>
      <c r="P146" s="273"/>
      <c r="Q146" s="273"/>
      <c r="R146" s="273"/>
      <c r="S146" s="273"/>
      <c r="T146" s="273"/>
      <c r="U146" s="273"/>
      <c r="V146" s="273"/>
      <c r="W146" s="273"/>
      <c r="X146" s="273"/>
      <c r="Y146" s="273"/>
      <c r="Z146" s="273"/>
      <c r="AA146" s="273"/>
      <c r="AB146" s="273"/>
      <c r="AC146" s="273"/>
      <c r="AD146" s="273"/>
    </row>
    <row r="147" spans="1:43" s="253" customFormat="1" ht="9.9499999999999993" hidden="1" customHeight="1" x14ac:dyDescent="0.2">
      <c r="A147" s="705" t="s">
        <v>454</v>
      </c>
      <c r="B147" s="254"/>
      <c r="C147" s="273"/>
      <c r="D147" s="273"/>
      <c r="E147" s="273"/>
      <c r="F147" s="273"/>
      <c r="H147" s="273"/>
      <c r="I147" s="273">
        <f t="shared" si="9"/>
        <v>0</v>
      </c>
      <c r="J147" s="273"/>
      <c r="K147" s="254"/>
      <c r="L147" s="351"/>
      <c r="M147" s="254"/>
      <c r="N147" s="273"/>
      <c r="O147" s="1277"/>
      <c r="P147" s="273"/>
      <c r="Q147" s="273"/>
      <c r="R147" s="273"/>
      <c r="S147" s="273"/>
      <c r="T147" s="273"/>
      <c r="U147" s="273"/>
      <c r="V147" s="273"/>
      <c r="W147" s="273"/>
      <c r="X147" s="273"/>
      <c r="Y147" s="273"/>
      <c r="Z147" s="273"/>
      <c r="AA147" s="273"/>
      <c r="AB147" s="273"/>
      <c r="AC147" s="273"/>
      <c r="AD147" s="273"/>
    </row>
    <row r="148" spans="1:43" s="253" customFormat="1" ht="9.9499999999999993" hidden="1" customHeight="1" x14ac:dyDescent="0.2">
      <c r="A148" s="705" t="s">
        <v>754</v>
      </c>
      <c r="B148" s="254"/>
      <c r="C148" s="273"/>
      <c r="D148" s="273"/>
      <c r="E148" s="273"/>
      <c r="F148" s="273"/>
      <c r="G148" s="273"/>
      <c r="H148" s="273"/>
      <c r="I148" s="273">
        <f t="shared" si="9"/>
        <v>0</v>
      </c>
      <c r="J148" s="273"/>
      <c r="K148" s="254"/>
      <c r="L148" s="351"/>
      <c r="M148" s="254"/>
      <c r="N148" s="273"/>
      <c r="O148" s="1277"/>
      <c r="P148" s="273"/>
      <c r="Q148" s="273"/>
      <c r="R148" s="273"/>
      <c r="S148" s="273"/>
      <c r="T148" s="273"/>
      <c r="U148" s="273"/>
      <c r="V148" s="273"/>
      <c r="W148" s="273"/>
      <c r="X148" s="273"/>
      <c r="Y148" s="273"/>
      <c r="Z148" s="273"/>
      <c r="AA148" s="273"/>
      <c r="AB148" s="273"/>
      <c r="AC148" s="273"/>
      <c r="AD148" s="273"/>
    </row>
    <row r="149" spans="1:43" s="253" customFormat="1" ht="9.9499999999999993" customHeight="1" x14ac:dyDescent="0.2">
      <c r="A149" s="705" t="s">
        <v>1251</v>
      </c>
      <c r="B149" s="254"/>
      <c r="C149" s="273"/>
      <c r="D149" s="273"/>
      <c r="E149" s="273">
        <v>851233</v>
      </c>
      <c r="F149" s="273"/>
      <c r="G149" s="273">
        <f>SUM('Combining SONPCU'!V119)</f>
        <v>220285</v>
      </c>
      <c r="H149" s="273"/>
      <c r="I149" s="273">
        <f t="shared" si="9"/>
        <v>1071518</v>
      </c>
      <c r="J149" s="273"/>
      <c r="K149" s="254"/>
      <c r="L149" s="351"/>
      <c r="M149" s="254"/>
      <c r="N149" s="273"/>
      <c r="O149" s="273"/>
      <c r="P149" s="273"/>
      <c r="Q149" s="273"/>
      <c r="R149" s="273"/>
      <c r="S149" s="273"/>
      <c r="T149" s="273"/>
      <c r="U149" s="273"/>
      <c r="V149" s="273"/>
      <c r="W149" s="273"/>
      <c r="X149" s="273"/>
      <c r="Y149" s="273"/>
      <c r="Z149" s="273"/>
      <c r="AA149" s="273"/>
      <c r="AB149" s="273"/>
      <c r="AC149" s="273"/>
      <c r="AD149" s="273"/>
    </row>
    <row r="150" spans="1:43" s="253" customFormat="1" ht="9.9499999999999993" customHeight="1" x14ac:dyDescent="0.2">
      <c r="A150" s="705" t="s">
        <v>357</v>
      </c>
      <c r="B150" s="254"/>
      <c r="C150" s="273"/>
      <c r="D150" s="273"/>
      <c r="E150" s="273"/>
      <c r="F150" s="273"/>
      <c r="G150" s="273">
        <f>'Combining SONPCU'!V121</f>
        <v>58</v>
      </c>
      <c r="H150" s="273"/>
      <c r="I150" s="273">
        <f t="shared" si="9"/>
        <v>58</v>
      </c>
      <c r="J150" s="273"/>
      <c r="K150" s="254"/>
      <c r="L150" s="351"/>
      <c r="M150" s="254"/>
      <c r="N150" s="273"/>
      <c r="O150" s="273"/>
      <c r="P150" s="273"/>
      <c r="Q150" s="273"/>
      <c r="R150" s="273"/>
      <c r="S150" s="273"/>
      <c r="T150" s="273"/>
      <c r="U150" s="273"/>
      <c r="V150" s="273"/>
      <c r="W150" s="273"/>
      <c r="X150" s="273"/>
      <c r="Y150" s="273"/>
      <c r="Z150" s="273"/>
      <c r="AA150" s="273"/>
      <c r="AB150" s="273"/>
      <c r="AC150" s="273"/>
      <c r="AD150" s="273"/>
    </row>
    <row r="151" spans="1:43" s="253" customFormat="1" ht="9.9499999999999993" customHeight="1" x14ac:dyDescent="0.2">
      <c r="A151" s="705" t="s">
        <v>1587</v>
      </c>
      <c r="B151" s="254"/>
      <c r="C151" s="538"/>
      <c r="D151" s="273"/>
      <c r="E151" s="273"/>
      <c r="F151" s="273"/>
      <c r="G151" s="273">
        <f>'Combining SONPCU'!V122</f>
        <v>2040</v>
      </c>
      <c r="H151" s="273"/>
      <c r="I151" s="273">
        <f t="shared" si="9"/>
        <v>2040</v>
      </c>
      <c r="J151" s="273"/>
      <c r="K151" s="254"/>
      <c r="L151" s="351"/>
      <c r="M151" s="254"/>
      <c r="N151" s="273"/>
      <c r="O151" s="273"/>
      <c r="P151" s="273"/>
      <c r="Q151" s="273"/>
      <c r="R151" s="273"/>
      <c r="S151" s="273"/>
      <c r="T151" s="273"/>
      <c r="U151" s="273"/>
      <c r="V151" s="273"/>
      <c r="W151" s="273"/>
      <c r="X151" s="273"/>
      <c r="Y151" s="273"/>
      <c r="Z151" s="273"/>
      <c r="AA151" s="273"/>
      <c r="AB151" s="273"/>
      <c r="AC151" s="273"/>
      <c r="AD151" s="273"/>
    </row>
    <row r="152" spans="1:43" s="253" customFormat="1" ht="9.9499999999999993" customHeight="1" x14ac:dyDescent="0.2">
      <c r="A152" s="705" t="s">
        <v>1648</v>
      </c>
      <c r="B152" s="254"/>
      <c r="C152" s="538"/>
      <c r="D152" s="273"/>
      <c r="E152" s="273"/>
      <c r="F152" s="273"/>
      <c r="G152" s="273">
        <f>'Combining SONPCU'!V123</f>
        <v>14</v>
      </c>
      <c r="H152" s="273"/>
      <c r="I152" s="273">
        <f t="shared" si="9"/>
        <v>14</v>
      </c>
      <c r="J152" s="273"/>
      <c r="K152" s="254"/>
      <c r="L152" s="351"/>
      <c r="M152" s="254"/>
      <c r="N152" s="273"/>
      <c r="O152" s="273"/>
      <c r="P152" s="273"/>
      <c r="Q152" s="273"/>
      <c r="R152" s="273"/>
      <c r="S152" s="273"/>
      <c r="T152" s="273"/>
      <c r="U152" s="273"/>
      <c r="V152" s="273"/>
      <c r="W152" s="273"/>
      <c r="X152" s="273"/>
      <c r="Y152" s="273"/>
      <c r="Z152" s="273"/>
      <c r="AA152" s="273"/>
      <c r="AB152" s="273"/>
      <c r="AC152" s="273"/>
      <c r="AD152" s="273"/>
    </row>
    <row r="153" spans="1:43" s="253" customFormat="1" ht="9.9499999999999993" customHeight="1" x14ac:dyDescent="0.2">
      <c r="A153" s="705" t="s">
        <v>1343</v>
      </c>
      <c r="B153" s="254"/>
      <c r="C153" s="538">
        <v>349979</v>
      </c>
      <c r="D153" s="273"/>
      <c r="E153" s="273">
        <v>73045</v>
      </c>
      <c r="F153" s="273"/>
      <c r="G153" s="273">
        <f>'Combining SONPCU'!V120</f>
        <v>0</v>
      </c>
      <c r="H153" s="273"/>
      <c r="I153" s="273">
        <f t="shared" si="9"/>
        <v>423024</v>
      </c>
      <c r="J153" s="273"/>
      <c r="K153" s="254"/>
      <c r="L153" s="273"/>
      <c r="M153" s="273"/>
      <c r="N153" s="273"/>
      <c r="O153" s="273"/>
      <c r="P153" s="273"/>
      <c r="Q153" s="273"/>
      <c r="R153" s="273"/>
      <c r="S153" s="273"/>
      <c r="T153" s="273"/>
      <c r="U153" s="273"/>
      <c r="V153" s="273"/>
      <c r="W153" s="273"/>
      <c r="X153" s="273"/>
      <c r="Y153" s="273"/>
      <c r="Z153" s="273"/>
      <c r="AA153" s="273"/>
      <c r="AB153" s="273"/>
      <c r="AC153" s="273"/>
      <c r="AD153" s="273"/>
    </row>
    <row r="154" spans="1:43" s="253" customFormat="1" ht="9.9499999999999993" customHeight="1" x14ac:dyDescent="0.2">
      <c r="A154" s="705" t="s">
        <v>1188</v>
      </c>
      <c r="B154" s="254"/>
      <c r="C154" s="273">
        <v>696986</v>
      </c>
      <c r="D154" s="273"/>
      <c r="E154" s="273">
        <v>16680</v>
      </c>
      <c r="F154" s="273"/>
      <c r="G154" s="273">
        <f>SUM('Combining SONPCU'!V124)</f>
        <v>52835</v>
      </c>
      <c r="H154" s="273"/>
      <c r="I154" s="273">
        <f t="shared" si="9"/>
        <v>766501</v>
      </c>
      <c r="J154" s="273"/>
      <c r="K154" s="254"/>
      <c r="L154" s="273"/>
      <c r="M154" s="273"/>
      <c r="N154" s="273"/>
      <c r="O154" s="273"/>
      <c r="P154" s="273"/>
      <c r="Q154" s="273"/>
      <c r="R154" s="273"/>
      <c r="S154" s="273"/>
      <c r="T154" s="273"/>
      <c r="U154" s="273"/>
      <c r="V154" s="273"/>
      <c r="W154" s="273"/>
      <c r="X154" s="273"/>
      <c r="Y154" s="273"/>
      <c r="Z154" s="273"/>
      <c r="AA154" s="273"/>
      <c r="AB154" s="273"/>
      <c r="AC154" s="273"/>
      <c r="AD154" s="273"/>
    </row>
    <row r="155" spans="1:43" s="253" customFormat="1" ht="5.0999999999999996" customHeight="1" x14ac:dyDescent="0.2">
      <c r="A155" s="349"/>
      <c r="B155" s="254"/>
      <c r="C155" s="340"/>
      <c r="D155" s="273"/>
      <c r="E155" s="340"/>
      <c r="F155" s="273"/>
      <c r="G155" s="340"/>
      <c r="H155" s="273"/>
      <c r="I155" s="340"/>
      <c r="J155" s="273"/>
      <c r="K155" s="254"/>
      <c r="L155" s="273"/>
      <c r="M155" s="273"/>
      <c r="N155" s="273"/>
      <c r="O155" s="273"/>
      <c r="P155" s="273"/>
      <c r="Q155" s="273"/>
      <c r="R155" s="273"/>
      <c r="S155" s="273"/>
      <c r="T155" s="273"/>
      <c r="U155" s="273"/>
      <c r="V155" s="273"/>
      <c r="W155" s="273"/>
      <c r="X155" s="273"/>
      <c r="Y155" s="273"/>
      <c r="Z155" s="273"/>
      <c r="AA155" s="273"/>
      <c r="AB155" s="273"/>
      <c r="AC155" s="273"/>
      <c r="AD155" s="273"/>
    </row>
    <row r="156" spans="1:43" s="253" customFormat="1" ht="11.1" customHeight="1" x14ac:dyDescent="0.2">
      <c r="A156" s="707" t="s">
        <v>82</v>
      </c>
      <c r="B156" s="254"/>
      <c r="C156" s="341">
        <f>SUM(C144:C154)</f>
        <v>9276457</v>
      </c>
      <c r="D156" s="273"/>
      <c r="E156" s="341">
        <f>SUM(E144:E154)</f>
        <v>4482061</v>
      </c>
      <c r="F156" s="273"/>
      <c r="G156" s="341">
        <f>SUM(G144:G154)</f>
        <v>462421</v>
      </c>
      <c r="H156" s="273"/>
      <c r="I156" s="341">
        <f>SUM(I144:I154)</f>
        <v>14220939</v>
      </c>
      <c r="J156" s="273"/>
      <c r="K156" s="254"/>
      <c r="L156" s="273"/>
      <c r="M156" s="273"/>
      <c r="N156" s="273"/>
      <c r="O156" s="273"/>
      <c r="P156" s="273"/>
      <c r="Q156" s="273"/>
      <c r="R156" s="273"/>
      <c r="S156" s="273"/>
      <c r="T156" s="273"/>
      <c r="U156" s="273"/>
      <c r="V156" s="273"/>
      <c r="W156" s="273"/>
      <c r="X156" s="273"/>
      <c r="Y156" s="273"/>
      <c r="Z156" s="273"/>
      <c r="AA156" s="273"/>
      <c r="AB156" s="273"/>
      <c r="AC156" s="273"/>
      <c r="AD156" s="273"/>
      <c r="AQ156" s="630"/>
    </row>
    <row r="157" spans="1:43" s="253" customFormat="1" ht="5.0999999999999996" customHeight="1" x14ac:dyDescent="0.2">
      <c r="A157" s="349"/>
      <c r="B157" s="254"/>
      <c r="C157" s="273"/>
      <c r="D157" s="273"/>
      <c r="E157" s="273"/>
      <c r="F157" s="273"/>
      <c r="G157" s="273"/>
      <c r="H157" s="273"/>
      <c r="I157" s="273"/>
      <c r="J157" s="273"/>
      <c r="K157" s="254"/>
      <c r="L157" s="273"/>
      <c r="M157" s="273"/>
      <c r="N157" s="273"/>
      <c r="O157" s="273"/>
      <c r="P157" s="273"/>
      <c r="Q157" s="273"/>
      <c r="R157" s="273"/>
      <c r="S157" s="273"/>
      <c r="T157" s="273"/>
      <c r="U157" s="273"/>
      <c r="V157" s="273"/>
      <c r="W157" s="273"/>
      <c r="X157" s="273"/>
      <c r="Y157" s="273"/>
      <c r="Z157" s="273"/>
      <c r="AA157" s="273"/>
      <c r="AB157" s="273"/>
      <c r="AC157" s="273"/>
      <c r="AD157" s="273"/>
      <c r="AQ157" s="631"/>
    </row>
    <row r="158" spans="1:43" s="253" customFormat="1" ht="11.1" customHeight="1" x14ac:dyDescent="0.2">
      <c r="A158" s="353" t="s">
        <v>702</v>
      </c>
      <c r="B158" s="254"/>
      <c r="C158" s="341">
        <f>C140+C156</f>
        <v>10254278</v>
      </c>
      <c r="D158" s="273"/>
      <c r="E158" s="341">
        <f>E140+E156</f>
        <v>4797565</v>
      </c>
      <c r="F158" s="273"/>
      <c r="G158" s="341">
        <f>G140+G156</f>
        <v>506110</v>
      </c>
      <c r="H158" s="273"/>
      <c r="I158" s="341">
        <f>I140+I156</f>
        <v>15557953</v>
      </c>
      <c r="J158" s="273"/>
      <c r="K158" s="254"/>
      <c r="L158" s="273"/>
      <c r="M158" s="273"/>
      <c r="N158" s="273"/>
      <c r="O158" s="273"/>
      <c r="P158" s="273"/>
      <c r="Q158" s="273"/>
      <c r="R158" s="273"/>
      <c r="S158" s="273"/>
      <c r="T158" s="273"/>
      <c r="U158" s="273"/>
      <c r="V158" s="273"/>
      <c r="W158" s="273"/>
      <c r="X158" s="273"/>
      <c r="Y158" s="273"/>
      <c r="Z158" s="273"/>
      <c r="AA158" s="273"/>
      <c r="AB158" s="273"/>
      <c r="AC158" s="273"/>
      <c r="AD158" s="273"/>
      <c r="AQ158" s="630"/>
    </row>
    <row r="159" spans="1:43" s="253" customFormat="1" ht="5.0999999999999996" customHeight="1" x14ac:dyDescent="0.2">
      <c r="B159" s="254"/>
      <c r="C159" s="273"/>
      <c r="D159" s="273"/>
      <c r="E159" s="273"/>
      <c r="F159" s="273"/>
      <c r="G159" s="273"/>
      <c r="H159" s="273"/>
      <c r="I159" s="273"/>
      <c r="J159" s="273"/>
      <c r="K159" s="254"/>
      <c r="L159" s="273"/>
      <c r="M159" s="273"/>
      <c r="N159" s="273"/>
      <c r="O159" s="273"/>
      <c r="P159" s="273"/>
      <c r="Q159" s="273"/>
      <c r="R159" s="273"/>
      <c r="S159" s="273"/>
      <c r="T159" s="273"/>
      <c r="U159" s="273"/>
      <c r="V159" s="273"/>
      <c r="W159" s="273"/>
      <c r="X159" s="273"/>
      <c r="Y159" s="273"/>
      <c r="Z159" s="273"/>
      <c r="AA159" s="273"/>
      <c r="AB159" s="273"/>
      <c r="AC159" s="273"/>
      <c r="AD159" s="273"/>
    </row>
    <row r="160" spans="1:43" s="253" customFormat="1" ht="11.1" hidden="1" customHeight="1" x14ac:dyDescent="0.2">
      <c r="A160" s="353"/>
      <c r="B160" s="254"/>
      <c r="C160" s="273"/>
      <c r="D160" s="273"/>
      <c r="E160" s="273"/>
      <c r="F160" s="273"/>
      <c r="G160" s="273"/>
      <c r="H160" s="273"/>
      <c r="I160" s="273"/>
      <c r="J160" s="273"/>
      <c r="K160" s="254"/>
      <c r="L160" s="273"/>
      <c r="M160" s="273"/>
      <c r="N160" s="273"/>
      <c r="O160" s="273"/>
      <c r="P160" s="273"/>
      <c r="Q160" s="273"/>
      <c r="R160" s="273"/>
      <c r="S160" s="273"/>
      <c r="T160" s="273"/>
      <c r="U160" s="273"/>
      <c r="V160" s="273"/>
      <c r="W160" s="273"/>
      <c r="X160" s="273"/>
      <c r="Y160" s="273"/>
      <c r="Z160" s="273"/>
      <c r="AA160" s="273"/>
      <c r="AB160" s="273"/>
      <c r="AC160" s="273"/>
      <c r="AD160" s="273"/>
      <c r="AQ160" s="630"/>
    </row>
    <row r="161" spans="1:43" s="253" customFormat="1" ht="11.1" customHeight="1" x14ac:dyDescent="0.2">
      <c r="A161" s="353" t="s">
        <v>1206</v>
      </c>
      <c r="B161" s="254"/>
      <c r="C161" s="273">
        <v>192401</v>
      </c>
      <c r="D161" s="273"/>
      <c r="E161" s="273">
        <v>43280</v>
      </c>
      <c r="F161" s="273"/>
      <c r="G161" s="273">
        <f>'Combining SONPCU'!V128</f>
        <v>279354</v>
      </c>
      <c r="H161" s="273"/>
      <c r="I161" s="273">
        <f>E161+C161+G161</f>
        <v>515035</v>
      </c>
      <c r="J161" s="273"/>
      <c r="K161" s="254"/>
      <c r="L161" s="273"/>
      <c r="M161" s="273"/>
      <c r="N161" s="273"/>
      <c r="O161" s="273"/>
      <c r="P161" s="273"/>
      <c r="Q161" s="273"/>
      <c r="R161" s="273"/>
      <c r="S161" s="273"/>
      <c r="T161" s="273"/>
      <c r="U161" s="273"/>
      <c r="V161" s="273"/>
      <c r="W161" s="273"/>
      <c r="X161" s="273"/>
      <c r="Y161" s="273"/>
      <c r="Z161" s="273"/>
      <c r="AA161" s="273"/>
      <c r="AB161" s="273"/>
      <c r="AC161" s="273"/>
      <c r="AD161" s="273"/>
      <c r="AQ161" s="630"/>
    </row>
    <row r="162" spans="1:43" s="253" customFormat="1" ht="5.0999999999999996" customHeight="1" x14ac:dyDescent="0.2">
      <c r="B162" s="254"/>
      <c r="C162" s="340"/>
      <c r="D162" s="273"/>
      <c r="E162" s="340"/>
      <c r="F162" s="273"/>
      <c r="G162" s="340"/>
      <c r="H162" s="273"/>
      <c r="I162" s="340"/>
      <c r="J162" s="273"/>
      <c r="K162" s="254"/>
      <c r="L162" s="273"/>
      <c r="M162" s="273"/>
      <c r="N162" s="273"/>
      <c r="O162" s="273"/>
      <c r="P162" s="273"/>
      <c r="Q162" s="273"/>
      <c r="R162" s="273"/>
      <c r="S162" s="273"/>
      <c r="T162" s="273"/>
      <c r="U162" s="273"/>
      <c r="V162" s="273"/>
      <c r="W162" s="273"/>
      <c r="X162" s="273"/>
      <c r="Y162" s="273"/>
      <c r="Z162" s="273"/>
      <c r="AA162" s="273"/>
      <c r="AB162" s="273"/>
      <c r="AC162" s="273"/>
      <c r="AD162" s="273"/>
    </row>
    <row r="163" spans="1:43" s="253" customFormat="1" ht="10.5" hidden="1" customHeight="1" x14ac:dyDescent="0.2">
      <c r="A163" s="353"/>
      <c r="B163" s="254"/>
      <c r="C163" s="273"/>
      <c r="D163" s="273"/>
      <c r="E163" s="273"/>
      <c r="F163" s="273"/>
      <c r="G163" s="273"/>
      <c r="H163" s="273"/>
      <c r="I163" s="273"/>
      <c r="J163" s="273"/>
      <c r="K163" s="254"/>
      <c r="L163" s="273"/>
      <c r="M163" s="273"/>
      <c r="N163" s="273"/>
      <c r="O163" s="273"/>
      <c r="P163" s="273"/>
      <c r="Q163" s="273"/>
      <c r="R163" s="273"/>
      <c r="S163" s="273"/>
      <c r="T163" s="273"/>
      <c r="U163" s="273"/>
      <c r="V163" s="273"/>
      <c r="W163" s="273"/>
      <c r="X163" s="273"/>
      <c r="Y163" s="273"/>
      <c r="Z163" s="273"/>
      <c r="AA163" s="273"/>
      <c r="AB163" s="273"/>
      <c r="AC163" s="273"/>
      <c r="AD163" s="273"/>
      <c r="AQ163" s="630"/>
    </row>
    <row r="164" spans="1:43" s="253" customFormat="1" ht="9.9499999999999993" customHeight="1" x14ac:dyDescent="0.2">
      <c r="A164" s="353" t="s">
        <v>1113</v>
      </c>
      <c r="B164" s="254"/>
      <c r="C164" s="273"/>
      <c r="D164" s="273"/>
      <c r="E164" s="273"/>
      <c r="F164" s="273"/>
      <c r="G164" s="273"/>
      <c r="H164" s="273"/>
      <c r="I164" s="273"/>
      <c r="J164" s="273"/>
      <c r="K164" s="254"/>
      <c r="L164" s="273"/>
      <c r="M164" s="273"/>
      <c r="N164" s="273"/>
      <c r="O164" s="273"/>
      <c r="P164" s="273"/>
      <c r="Q164" s="273"/>
      <c r="R164" s="273"/>
      <c r="S164" s="273"/>
      <c r="T164" s="273"/>
      <c r="U164" s="273"/>
      <c r="V164" s="273"/>
      <c r="W164" s="273"/>
      <c r="X164" s="273"/>
      <c r="Y164" s="273"/>
      <c r="Z164" s="273"/>
      <c r="AA164" s="273"/>
      <c r="AB164" s="273"/>
      <c r="AC164" s="273"/>
      <c r="AD164" s="273"/>
    </row>
    <row r="165" spans="1:43" s="253" customFormat="1" ht="9.9499999999999993" customHeight="1" x14ac:dyDescent="0.2">
      <c r="A165" s="349" t="s">
        <v>1110</v>
      </c>
      <c r="B165" s="254"/>
      <c r="C165" s="273">
        <v>2682503</v>
      </c>
      <c r="D165" s="273"/>
      <c r="E165" s="273">
        <v>3915779</v>
      </c>
      <c r="F165" s="273"/>
      <c r="G165" s="273">
        <f>SUM('Combining SONPCU'!V131)</f>
        <v>190030</v>
      </c>
      <c r="H165" s="273"/>
      <c r="I165" s="273">
        <f>E165+C165+G165</f>
        <v>6788312</v>
      </c>
      <c r="J165" s="273"/>
      <c r="K165" s="254"/>
      <c r="L165" s="349"/>
      <c r="M165" s="254"/>
      <c r="N165" s="273"/>
      <c r="O165" s="273"/>
      <c r="P165" s="273"/>
      <c r="Q165" s="273"/>
      <c r="R165" s="273"/>
      <c r="S165" s="273"/>
      <c r="T165" s="273"/>
      <c r="U165" s="273"/>
      <c r="V165" s="273"/>
      <c r="W165" s="273"/>
      <c r="X165" s="273"/>
      <c r="Y165" s="273"/>
      <c r="Z165" s="273"/>
      <c r="AA165" s="273"/>
      <c r="AB165" s="273"/>
      <c r="AC165" s="273"/>
      <c r="AD165" s="273"/>
    </row>
    <row r="166" spans="1:43" s="253" customFormat="1" ht="9.9499999999999993" customHeight="1" x14ac:dyDescent="0.2">
      <c r="A166" s="349" t="s">
        <v>704</v>
      </c>
      <c r="B166" s="254"/>
      <c r="C166" s="273"/>
      <c r="D166" s="273"/>
      <c r="E166" s="273"/>
      <c r="F166" s="273"/>
      <c r="G166" s="273"/>
      <c r="H166" s="273"/>
      <c r="I166" s="273">
        <f t="shared" ref="I166:I175" si="10">E166+C166+G166</f>
        <v>0</v>
      </c>
      <c r="J166" s="273"/>
      <c r="K166" s="254"/>
      <c r="L166" s="349"/>
      <c r="M166" s="254"/>
      <c r="N166" s="273"/>
      <c r="O166" s="1277"/>
      <c r="P166" s="273"/>
      <c r="Q166" s="273"/>
      <c r="R166" s="273"/>
      <c r="S166" s="273"/>
      <c r="T166" s="273"/>
      <c r="U166" s="273"/>
      <c r="V166" s="273"/>
      <c r="W166" s="273"/>
      <c r="X166" s="273"/>
      <c r="Y166" s="273"/>
      <c r="Z166" s="273"/>
      <c r="AA166" s="273"/>
      <c r="AB166" s="273"/>
      <c r="AC166" s="273"/>
      <c r="AD166" s="273"/>
    </row>
    <row r="167" spans="1:43" s="253" customFormat="1" ht="9.9499999999999993" hidden="1" customHeight="1" x14ac:dyDescent="0.2">
      <c r="A167" s="351" t="s">
        <v>84</v>
      </c>
      <c r="B167" s="254"/>
      <c r="C167" s="273"/>
      <c r="D167" s="273"/>
      <c r="E167" s="273"/>
      <c r="F167" s="273"/>
      <c r="G167" s="273">
        <f>SUM('Combining SONPCU'!V133)</f>
        <v>0</v>
      </c>
      <c r="H167" s="273"/>
      <c r="I167" s="273">
        <f t="shared" si="10"/>
        <v>0</v>
      </c>
      <c r="J167" s="273"/>
      <c r="K167" s="254"/>
      <c r="L167" s="351"/>
      <c r="M167" s="254"/>
      <c r="N167" s="273"/>
      <c r="O167" s="1277"/>
      <c r="P167" s="273"/>
      <c r="Q167" s="273"/>
      <c r="R167" s="273"/>
      <c r="S167" s="273"/>
      <c r="T167" s="273"/>
      <c r="U167" s="273"/>
      <c r="V167" s="273"/>
      <c r="W167" s="273"/>
      <c r="X167" s="273"/>
      <c r="Y167" s="273"/>
      <c r="Z167" s="273"/>
      <c r="AA167" s="273"/>
      <c r="AB167" s="273"/>
      <c r="AC167" s="273"/>
      <c r="AD167" s="273"/>
    </row>
    <row r="168" spans="1:43" s="253" customFormat="1" ht="9.9499999999999993" customHeight="1" x14ac:dyDescent="0.2">
      <c r="A168" s="351" t="s">
        <v>756</v>
      </c>
      <c r="B168" s="254"/>
      <c r="C168" s="273">
        <v>173427</v>
      </c>
      <c r="D168" s="273"/>
      <c r="E168" s="273">
        <f>57209+12887</f>
        <v>70096</v>
      </c>
      <c r="F168" s="273"/>
      <c r="G168" s="273">
        <f>SUM('Combining SONPCU'!V134)</f>
        <v>0</v>
      </c>
      <c r="H168" s="273"/>
      <c r="I168" s="273">
        <f t="shared" si="10"/>
        <v>243523</v>
      </c>
      <c r="J168" s="273"/>
      <c r="K168" s="254"/>
      <c r="L168" s="351"/>
      <c r="M168" s="254"/>
      <c r="N168" s="273"/>
      <c r="O168" s="273"/>
      <c r="P168" s="273"/>
      <c r="Q168" s="273"/>
      <c r="R168" s="273"/>
      <c r="S168" s="273"/>
      <c r="T168" s="273"/>
      <c r="U168" s="273"/>
      <c r="V168" s="273"/>
      <c r="W168" s="273"/>
      <c r="X168" s="273"/>
      <c r="Y168" s="273"/>
      <c r="Z168" s="273"/>
      <c r="AA168" s="273"/>
      <c r="AB168" s="273"/>
      <c r="AC168" s="273"/>
      <c r="AD168" s="273"/>
    </row>
    <row r="169" spans="1:43" s="253" customFormat="1" ht="9.9499999999999993" hidden="1" customHeight="1" x14ac:dyDescent="0.2">
      <c r="A169" s="351" t="s">
        <v>272</v>
      </c>
      <c r="B169" s="254"/>
      <c r="C169" s="273"/>
      <c r="D169" s="273"/>
      <c r="E169" s="273"/>
      <c r="F169" s="273"/>
      <c r="G169" s="273"/>
      <c r="H169" s="273"/>
      <c r="I169" s="273">
        <f t="shared" si="10"/>
        <v>0</v>
      </c>
      <c r="J169" s="273"/>
      <c r="K169" s="254"/>
      <c r="L169" s="351"/>
      <c r="M169" s="254"/>
      <c r="N169" s="273"/>
      <c r="O169" s="1277"/>
      <c r="P169" s="273"/>
      <c r="Q169" s="273"/>
      <c r="R169" s="273"/>
      <c r="S169" s="273"/>
      <c r="T169" s="273"/>
      <c r="U169" s="273"/>
      <c r="V169" s="273"/>
      <c r="W169" s="273"/>
      <c r="X169" s="273"/>
      <c r="Y169" s="273"/>
      <c r="Z169" s="273"/>
      <c r="AA169" s="273"/>
      <c r="AB169" s="273"/>
      <c r="AC169" s="273"/>
      <c r="AD169" s="273"/>
    </row>
    <row r="170" spans="1:43" s="253" customFormat="1" ht="9.9499999999999993" customHeight="1" x14ac:dyDescent="0.2">
      <c r="A170" s="351" t="s">
        <v>706</v>
      </c>
      <c r="B170" s="254"/>
      <c r="C170" s="273">
        <v>791770</v>
      </c>
      <c r="D170" s="273"/>
      <c r="E170" s="273">
        <v>149299</v>
      </c>
      <c r="F170" s="273"/>
      <c r="G170" s="273">
        <f>SUM('Combining SONPCU'!V136)</f>
        <v>1762</v>
      </c>
      <c r="H170" s="273"/>
      <c r="I170" s="273">
        <f t="shared" si="10"/>
        <v>942831</v>
      </c>
      <c r="J170" s="273"/>
      <c r="K170" s="254"/>
      <c r="L170" s="351"/>
      <c r="M170" s="254"/>
      <c r="N170" s="273"/>
      <c r="O170" s="273"/>
      <c r="P170" s="273"/>
      <c r="Q170" s="273"/>
      <c r="R170" s="273"/>
      <c r="S170" s="273"/>
      <c r="T170" s="273"/>
      <c r="U170" s="273"/>
      <c r="V170" s="273"/>
      <c r="W170" s="273"/>
      <c r="X170" s="273"/>
      <c r="Y170" s="273"/>
      <c r="Z170" s="273"/>
      <c r="AA170" s="273"/>
      <c r="AB170" s="273"/>
      <c r="AC170" s="273"/>
      <c r="AD170" s="273"/>
    </row>
    <row r="171" spans="1:43" s="253" customFormat="1" ht="9.9499999999999993" customHeight="1" x14ac:dyDescent="0.2">
      <c r="A171" s="351" t="s">
        <v>727</v>
      </c>
      <c r="B171" s="254"/>
      <c r="C171" s="273"/>
      <c r="D171" s="273"/>
      <c r="E171" s="273">
        <f>83839+44640</f>
        <v>128479</v>
      </c>
      <c r="F171" s="273"/>
      <c r="G171" s="273">
        <f>SUM('Combining SONPCU'!V137)</f>
        <v>0</v>
      </c>
      <c r="H171" s="273"/>
      <c r="I171" s="273">
        <f t="shared" si="10"/>
        <v>128479</v>
      </c>
      <c r="J171" s="273"/>
      <c r="K171" s="254"/>
      <c r="L171" s="351"/>
      <c r="M171" s="254"/>
      <c r="N171" s="273"/>
      <c r="O171" s="273"/>
      <c r="P171" s="273"/>
      <c r="Q171" s="273"/>
      <c r="R171" s="273"/>
      <c r="S171" s="273"/>
      <c r="T171" s="273"/>
      <c r="U171" s="273"/>
      <c r="V171" s="273"/>
      <c r="W171" s="273"/>
      <c r="X171" s="273"/>
      <c r="Y171" s="273"/>
      <c r="Z171" s="273"/>
      <c r="AA171" s="273"/>
      <c r="AB171" s="273"/>
      <c r="AC171" s="273"/>
      <c r="AD171" s="273"/>
    </row>
    <row r="172" spans="1:43" s="253" customFormat="1" ht="9.9499999999999993" hidden="1" customHeight="1" x14ac:dyDescent="0.2">
      <c r="A172" s="349" t="s">
        <v>707</v>
      </c>
      <c r="B172" s="254"/>
      <c r="C172" s="273"/>
      <c r="D172" s="273"/>
      <c r="E172" s="273"/>
      <c r="F172" s="273"/>
      <c r="G172" s="273"/>
      <c r="H172" s="273"/>
      <c r="I172" s="273">
        <f t="shared" si="10"/>
        <v>0</v>
      </c>
      <c r="J172" s="273"/>
      <c r="K172" s="254"/>
      <c r="L172" s="349"/>
      <c r="M172" s="254"/>
      <c r="N172" s="273"/>
      <c r="O172" s="273"/>
      <c r="P172" s="273"/>
      <c r="Q172" s="273"/>
      <c r="R172" s="273"/>
      <c r="S172" s="273"/>
      <c r="T172" s="273"/>
      <c r="U172" s="273"/>
      <c r="V172" s="273"/>
      <c r="W172" s="273"/>
      <c r="X172" s="273"/>
      <c r="Y172" s="273"/>
      <c r="Z172" s="273"/>
      <c r="AA172" s="273"/>
      <c r="AB172" s="273"/>
      <c r="AC172" s="273"/>
      <c r="AD172" s="273"/>
    </row>
    <row r="173" spans="1:43" s="253" customFormat="1" ht="9.9499999999999993" hidden="1" customHeight="1" x14ac:dyDescent="0.2">
      <c r="A173" s="351" t="s">
        <v>708</v>
      </c>
      <c r="B173" s="254"/>
      <c r="C173" s="273"/>
      <c r="D173" s="273"/>
      <c r="E173" s="273"/>
      <c r="F173" s="273"/>
      <c r="G173" s="273">
        <f>'Combining SONPCU'!V139</f>
        <v>0</v>
      </c>
      <c r="H173" s="273"/>
      <c r="I173" s="273">
        <f t="shared" si="10"/>
        <v>0</v>
      </c>
      <c r="J173" s="273"/>
      <c r="K173" s="254"/>
      <c r="L173" s="351"/>
      <c r="M173" s="254"/>
      <c r="N173" s="273"/>
      <c r="O173" s="273"/>
      <c r="P173" s="273"/>
      <c r="Q173" s="273"/>
      <c r="R173" s="273"/>
      <c r="S173" s="273"/>
      <c r="T173" s="273"/>
      <c r="U173" s="273"/>
      <c r="V173" s="273"/>
      <c r="W173" s="273"/>
      <c r="X173" s="273"/>
      <c r="Y173" s="273"/>
      <c r="Z173" s="273"/>
      <c r="AA173" s="273"/>
      <c r="AB173" s="273"/>
      <c r="AC173" s="273"/>
      <c r="AD173" s="273"/>
    </row>
    <row r="174" spans="1:43" s="253" customFormat="1" ht="9.9499999999999993" hidden="1" customHeight="1" x14ac:dyDescent="0.2">
      <c r="A174" s="349" t="s">
        <v>539</v>
      </c>
      <c r="B174" s="254"/>
      <c r="C174" s="273"/>
      <c r="D174" s="273"/>
      <c r="E174" s="273"/>
      <c r="F174" s="273"/>
      <c r="G174" s="273">
        <f>'Combining SONPCU'!V140</f>
        <v>0</v>
      </c>
      <c r="H174" s="273"/>
      <c r="I174" s="273">
        <f t="shared" si="10"/>
        <v>0</v>
      </c>
      <c r="J174" s="273"/>
      <c r="K174" s="254"/>
      <c r="L174" s="349"/>
      <c r="M174" s="254"/>
      <c r="N174" s="273"/>
      <c r="O174" s="273"/>
      <c r="P174" s="273"/>
      <c r="Q174" s="273"/>
      <c r="R174" s="273"/>
      <c r="S174" s="273"/>
      <c r="T174" s="273"/>
      <c r="U174" s="273"/>
      <c r="V174" s="273"/>
      <c r="W174" s="273"/>
      <c r="X174" s="273"/>
      <c r="Y174" s="273"/>
      <c r="Z174" s="273"/>
      <c r="AA174" s="273"/>
      <c r="AB174" s="273"/>
      <c r="AC174" s="273"/>
      <c r="AD174" s="273"/>
    </row>
    <row r="175" spans="1:43" s="253" customFormat="1" ht="9.9499999999999993" customHeight="1" x14ac:dyDescent="0.2">
      <c r="A175" s="349" t="s">
        <v>1039</v>
      </c>
      <c r="B175" s="254"/>
      <c r="C175" s="273">
        <v>716355</v>
      </c>
      <c r="D175" s="273"/>
      <c r="E175" s="273">
        <v>664651</v>
      </c>
      <c r="F175" s="273"/>
      <c r="G175" s="273">
        <f>SUM('Combining SONPCU'!V141)</f>
        <v>160</v>
      </c>
      <c r="H175" s="273"/>
      <c r="I175" s="273">
        <f t="shared" si="10"/>
        <v>1381166</v>
      </c>
      <c r="J175" s="273"/>
      <c r="K175" s="254"/>
      <c r="L175" s="273"/>
      <c r="M175" s="273"/>
      <c r="N175" s="273"/>
      <c r="O175" s="273"/>
      <c r="P175" s="273"/>
      <c r="Q175" s="273"/>
      <c r="R175" s="273"/>
      <c r="S175" s="273"/>
      <c r="T175" s="273"/>
      <c r="U175" s="273"/>
      <c r="V175" s="273"/>
      <c r="W175" s="273"/>
      <c r="X175" s="273"/>
      <c r="Y175" s="273"/>
      <c r="Z175" s="273"/>
      <c r="AA175" s="273"/>
      <c r="AB175" s="273"/>
      <c r="AC175" s="273"/>
      <c r="AD175" s="273"/>
    </row>
    <row r="176" spans="1:43" s="253" customFormat="1" ht="5.0999999999999996" customHeight="1" x14ac:dyDescent="0.2">
      <c r="B176" s="254"/>
      <c r="C176" s="366"/>
      <c r="D176" s="254"/>
      <c r="E176" s="366"/>
      <c r="F176" s="254"/>
      <c r="G176" s="366"/>
      <c r="H176" s="254"/>
      <c r="I176" s="366"/>
      <c r="J176" s="254"/>
      <c r="K176" s="254"/>
      <c r="L176" s="254"/>
      <c r="M176" s="254"/>
      <c r="N176" s="254"/>
      <c r="O176" s="254"/>
      <c r="P176" s="254"/>
      <c r="Q176" s="254"/>
      <c r="R176" s="254"/>
      <c r="S176" s="254"/>
      <c r="T176" s="254"/>
      <c r="U176" s="254"/>
      <c r="V176" s="254"/>
      <c r="W176" s="254"/>
      <c r="X176" s="254"/>
      <c r="Y176" s="254"/>
      <c r="Z176" s="254"/>
      <c r="AA176" s="254"/>
      <c r="AB176" s="254"/>
      <c r="AC176" s="254"/>
      <c r="AD176" s="254"/>
    </row>
    <row r="177" spans="1:30" s="253" customFormat="1" ht="11.1" customHeight="1" thickBot="1" x14ac:dyDescent="0.25">
      <c r="A177" s="353" t="s">
        <v>1116</v>
      </c>
      <c r="B177" s="254"/>
      <c r="C177" s="344">
        <f>SUM(C165:C175)</f>
        <v>4364055</v>
      </c>
      <c r="D177" s="347"/>
      <c r="E177" s="344">
        <f>SUM(E165:E175)</f>
        <v>4928304</v>
      </c>
      <c r="F177" s="347"/>
      <c r="G177" s="344">
        <f>SUM(G165:G175)</f>
        <v>191952</v>
      </c>
      <c r="H177" s="347"/>
      <c r="I177" s="344">
        <f>SUM(I165:I175)</f>
        <v>9484311</v>
      </c>
      <c r="J177" s="347"/>
      <c r="K177" s="301"/>
      <c r="L177" s="347"/>
      <c r="M177" s="347"/>
      <c r="N177" s="364"/>
      <c r="O177" s="347"/>
      <c r="P177" s="347"/>
      <c r="Q177" s="364"/>
      <c r="R177" s="347"/>
      <c r="S177" s="347"/>
      <c r="T177" s="364"/>
      <c r="U177" s="347"/>
      <c r="V177" s="347"/>
      <c r="W177" s="364"/>
      <c r="X177" s="347"/>
      <c r="Y177" s="347"/>
      <c r="Z177" s="364"/>
      <c r="AA177" s="347"/>
      <c r="AB177" s="347"/>
      <c r="AC177" s="364"/>
      <c r="AD177" s="347"/>
    </row>
    <row r="178" spans="1:30" s="253" customFormat="1" ht="5.0999999999999996" customHeight="1" thickTop="1" x14ac:dyDescent="0.2">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c r="Y178" s="254"/>
      <c r="Z178" s="254"/>
      <c r="AA178" s="254"/>
      <c r="AB178" s="254"/>
      <c r="AC178" s="254"/>
      <c r="AD178" s="254"/>
    </row>
    <row r="179" spans="1:30" s="253" customFormat="1" ht="9.9499999999999993" customHeight="1" x14ac:dyDescent="0.2">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c r="Y179" s="254"/>
      <c r="Z179" s="254"/>
      <c r="AA179" s="254"/>
      <c r="AB179" s="254"/>
      <c r="AC179" s="254"/>
      <c r="AD179" s="254"/>
    </row>
    <row r="180" spans="1:30" s="679" customFormat="1" ht="9.9499999999999993" customHeight="1" x14ac:dyDescent="0.2">
      <c r="B180" s="402">
        <f>B96-B158</f>
        <v>0</v>
      </c>
      <c r="C180" s="1085">
        <f>C96+C98-C158-C161</f>
        <v>4364055</v>
      </c>
      <c r="D180" s="681"/>
      <c r="E180" s="1085">
        <f>E96+E98-E158-E161</f>
        <v>4928304</v>
      </c>
      <c r="F180" s="681"/>
      <c r="G180" s="1085">
        <f>G96+G98-G158-G161</f>
        <v>191952</v>
      </c>
      <c r="H180" s="681"/>
      <c r="I180" s="1085">
        <f>I96+I98-I158-I161</f>
        <v>9484311</v>
      </c>
      <c r="J180" s="678"/>
      <c r="K180" s="678"/>
      <c r="L180" s="402"/>
      <c r="M180" s="402"/>
      <c r="N180" s="402"/>
      <c r="O180" s="402"/>
      <c r="P180" s="402"/>
      <c r="Q180" s="402"/>
      <c r="R180" s="402"/>
      <c r="S180" s="402"/>
      <c r="T180" s="402"/>
      <c r="U180" s="402"/>
      <c r="V180" s="402"/>
      <c r="W180" s="402"/>
      <c r="X180" s="402"/>
      <c r="Y180" s="402"/>
      <c r="Z180" s="402"/>
      <c r="AA180" s="402"/>
      <c r="AB180" s="402"/>
      <c r="AC180" s="402"/>
      <c r="AD180" s="402"/>
    </row>
    <row r="181" spans="1:30" s="679" customFormat="1" ht="9.9499999999999993" customHeight="1" x14ac:dyDescent="0.2">
      <c r="B181" s="402">
        <f>B177-B180</f>
        <v>0</v>
      </c>
      <c r="C181" s="681">
        <f>C177-C180</f>
        <v>0</v>
      </c>
      <c r="D181" s="681"/>
      <c r="E181" s="681">
        <f>E177-E180</f>
        <v>0</v>
      </c>
      <c r="F181" s="681"/>
      <c r="G181" s="681">
        <f>G177-G180</f>
        <v>0</v>
      </c>
      <c r="H181" s="681"/>
      <c r="I181" s="681">
        <f>I177-I180</f>
        <v>0</v>
      </c>
      <c r="J181" s="678"/>
      <c r="K181" s="678"/>
      <c r="L181" s="420"/>
      <c r="M181" s="420"/>
      <c r="N181" s="420"/>
      <c r="O181" s="420"/>
      <c r="P181" s="420"/>
      <c r="Q181" s="420"/>
      <c r="R181" s="420"/>
      <c r="S181" s="420"/>
      <c r="T181" s="420"/>
      <c r="U181" s="420"/>
      <c r="V181" s="420"/>
      <c r="W181" s="420"/>
      <c r="X181" s="420"/>
      <c r="Y181" s="420"/>
      <c r="Z181" s="420"/>
      <c r="AA181" s="420"/>
      <c r="AB181" s="420"/>
      <c r="AC181" s="420"/>
      <c r="AD181" s="420"/>
    </row>
    <row r="182" spans="1:30" s="679" customFormat="1" ht="9.9499999999999993" customHeight="1" x14ac:dyDescent="0.2">
      <c r="C182" s="681"/>
      <c r="D182" s="681"/>
      <c r="E182" s="681"/>
      <c r="F182" s="681"/>
      <c r="G182" s="681"/>
      <c r="H182" s="681"/>
      <c r="I182" s="681"/>
    </row>
    <row r="183" spans="1:30" s="679" customFormat="1" ht="9.9499999999999993" customHeight="1" x14ac:dyDescent="0.2">
      <c r="C183" s="681"/>
      <c r="D183" s="681"/>
      <c r="E183" s="681"/>
      <c r="F183" s="681"/>
      <c r="G183" s="681" t="s">
        <v>12</v>
      </c>
      <c r="H183" s="681"/>
      <c r="I183" s="681">
        <f>SUM(SONP!I86)</f>
        <v>9484311</v>
      </c>
      <c r="J183" s="688"/>
    </row>
    <row r="184" spans="1:30" s="679" customFormat="1" ht="9.9499999999999993" customHeight="1" x14ac:dyDescent="0.2">
      <c r="C184" s="681"/>
      <c r="D184" s="681"/>
      <c r="E184" s="681"/>
      <c r="F184" s="681"/>
      <c r="G184" s="681"/>
      <c r="H184" s="681"/>
      <c r="I184" s="681">
        <f>I177-I183</f>
        <v>0</v>
      </c>
    </row>
    <row r="185" spans="1:30" s="253" customFormat="1" ht="9.9499999999999993" customHeight="1" x14ac:dyDescent="0.2">
      <c r="C185" s="1414"/>
    </row>
    <row r="186" spans="1:30" s="253" customFormat="1" ht="9.9499999999999993" customHeight="1" x14ac:dyDescent="0.2"/>
    <row r="187" spans="1:30" s="253" customFormat="1" ht="9.9499999999999993" customHeight="1" x14ac:dyDescent="0.2"/>
    <row r="188" spans="1:30" s="253" customFormat="1" ht="9.9499999999999993" customHeight="1" x14ac:dyDescent="0.2"/>
    <row r="189" spans="1:30" s="253" customFormat="1" ht="9.9499999999999993" customHeight="1" x14ac:dyDescent="0.2"/>
    <row r="190" spans="1:30" s="253" customFormat="1" ht="9.9499999999999993" customHeight="1" x14ac:dyDescent="0.2"/>
    <row r="191" spans="1:30" s="253" customFormat="1" ht="9.9499999999999993" customHeight="1" x14ac:dyDescent="0.2"/>
  </sheetData>
  <mergeCells count="46">
    <mergeCell ref="N9:O9"/>
    <mergeCell ref="K109:L109"/>
    <mergeCell ref="N109:O109"/>
    <mergeCell ref="Q109:R109"/>
    <mergeCell ref="K108:L108"/>
    <mergeCell ref="K107:L107"/>
    <mergeCell ref="N107:O107"/>
    <mergeCell ref="Z9:AA9"/>
    <mergeCell ref="AC8:AD8"/>
    <mergeCell ref="AC7:AD7"/>
    <mergeCell ref="T7:U7"/>
    <mergeCell ref="T8:U8"/>
    <mergeCell ref="W7:X7"/>
    <mergeCell ref="W8:X8"/>
    <mergeCell ref="W9:X9"/>
    <mergeCell ref="AC109:AD109"/>
    <mergeCell ref="W109:X109"/>
    <mergeCell ref="N108:O108"/>
    <mergeCell ref="Q108:R108"/>
    <mergeCell ref="T109:U109"/>
    <mergeCell ref="W108:X108"/>
    <mergeCell ref="Z109:AA109"/>
    <mergeCell ref="Z108:AA108"/>
    <mergeCell ref="T108:U108"/>
    <mergeCell ref="A104:G104"/>
    <mergeCell ref="A101:I101"/>
    <mergeCell ref="Q7:R7"/>
    <mergeCell ref="N7:O7"/>
    <mergeCell ref="AC108:AD108"/>
    <mergeCell ref="K7:L7"/>
    <mergeCell ref="K8:L8"/>
    <mergeCell ref="K9:L9"/>
    <mergeCell ref="AC107:AD107"/>
    <mergeCell ref="Q9:R9"/>
    <mergeCell ref="Z107:AA107"/>
    <mergeCell ref="Q107:R107"/>
    <mergeCell ref="T107:U107"/>
    <mergeCell ref="W107:X107"/>
    <mergeCell ref="AC9:AD9"/>
    <mergeCell ref="T9:U9"/>
    <mergeCell ref="A1:I1"/>
    <mergeCell ref="A4:G4"/>
    <mergeCell ref="Q8:R8"/>
    <mergeCell ref="Z7:AA7"/>
    <mergeCell ref="Z8:AA8"/>
    <mergeCell ref="N8:O8"/>
  </mergeCells>
  <phoneticPr fontId="9" type="noConversion"/>
  <printOptions horizontalCentered="1"/>
  <pageMargins left="0.5" right="0.5" top="0.5" bottom="0.625" header="0.5" footer="0.5"/>
  <pageSetup scale="86" fitToHeight="2" orientation="portrait" r:id="rId1"/>
  <headerFooter alignWithMargins="0">
    <oddFooter>&amp;C&amp;"Calibri,Regular"&amp;9The accompanying notes are an integral part of these basic financial statements.</oddFooter>
  </headerFooter>
  <rowBreaks count="1" manualBreakCount="1">
    <brk id="100"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6" tint="0.39997558519241921"/>
  </sheetPr>
  <dimension ref="A1:AO132"/>
  <sheetViews>
    <sheetView view="pageBreakPreview" zoomScale="110" zoomScaleNormal="100" workbookViewId="0">
      <selection activeCell="R48" activeCellId="2" sqref="N48 P48 R48"/>
    </sheetView>
  </sheetViews>
  <sheetFormatPr defaultColWidth="9.140625" defaultRowHeight="9.9499999999999993" customHeight="1" x14ac:dyDescent="0.2"/>
  <cols>
    <col min="1" max="1" width="22.42578125" style="265" customWidth="1"/>
    <col min="2" max="2" width="1.5703125" style="265" customWidth="1"/>
    <col min="3" max="3" width="17.140625" style="265" customWidth="1"/>
    <col min="4" max="4" width="1.5703125" style="265" customWidth="1"/>
    <col min="5" max="5" width="2" style="265" hidden="1" customWidth="1"/>
    <col min="6" max="6" width="18.5703125" style="265" hidden="1" customWidth="1"/>
    <col min="7" max="7" width="2" style="265" hidden="1" customWidth="1"/>
    <col min="8" max="8" width="17.140625" style="265" customWidth="1"/>
    <col min="9" max="9" width="1.5703125" style="265" customWidth="1"/>
    <col min="10" max="10" width="17.140625" style="265" customWidth="1"/>
    <col min="11" max="11" width="1.5703125" style="265" customWidth="1"/>
    <col min="12" max="12" width="17.140625" style="265" customWidth="1"/>
    <col min="13" max="13" width="4" style="265" customWidth="1"/>
    <col min="14" max="14" width="17.140625" style="265" customWidth="1"/>
    <col min="15" max="15" width="1.5703125" style="265" customWidth="1"/>
    <col min="16" max="16" width="17.140625" style="265" customWidth="1"/>
    <col min="17" max="17" width="1.5703125" style="265" customWidth="1"/>
    <col min="18" max="18" width="17.140625" style="265" customWidth="1"/>
    <col min="19" max="19" width="1.5703125" style="265" customWidth="1"/>
    <col min="20" max="20" width="17.140625" style="265" customWidth="1"/>
    <col min="21" max="21" width="1.5703125" style="265" customWidth="1"/>
    <col min="22" max="22" width="2" style="265" customWidth="1"/>
    <col min="23" max="23" width="11" style="265" customWidth="1"/>
    <col min="24" max="25" width="2" style="265" customWidth="1"/>
    <col min="26" max="26" width="11" style="265" customWidth="1"/>
    <col min="27" max="28" width="2" style="265" customWidth="1"/>
    <col min="29" max="29" width="11" style="265" customWidth="1"/>
    <col min="30" max="31" width="2" style="265" customWidth="1"/>
    <col min="32" max="32" width="11" style="265" customWidth="1"/>
    <col min="33" max="34" width="2" style="265" customWidth="1"/>
    <col min="35" max="35" width="11" style="265" customWidth="1"/>
    <col min="36" max="37" width="2" style="265" customWidth="1"/>
    <col min="38" max="38" width="11" style="265" customWidth="1"/>
    <col min="39" max="40" width="1.5703125" style="265" customWidth="1"/>
    <col min="41" max="41" width="11" style="265" customWidth="1"/>
    <col min="42" max="16384" width="9.140625" style="265"/>
  </cols>
  <sheetData>
    <row r="1" spans="1:41" ht="16.5" customHeight="1"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456"/>
      <c r="V1" s="456"/>
      <c r="W1" s="456"/>
      <c r="X1" s="456"/>
      <c r="Y1" s="456"/>
      <c r="Z1" s="456"/>
      <c r="AA1" s="456"/>
      <c r="AB1" s="456"/>
      <c r="AC1" s="614"/>
      <c r="AD1" s="614"/>
      <c r="AE1" s="614"/>
      <c r="AF1" s="614"/>
      <c r="AG1" s="614"/>
      <c r="AH1" s="614"/>
      <c r="AI1" s="614"/>
      <c r="AJ1" s="614"/>
      <c r="AK1" s="614"/>
      <c r="AL1" s="614"/>
    </row>
    <row r="2" spans="1:41" ht="15" customHeight="1" x14ac:dyDescent="0.2">
      <c r="A2" s="700" t="s">
        <v>1043</v>
      </c>
      <c r="B2" s="248"/>
      <c r="C2" s="310"/>
      <c r="D2" s="310"/>
      <c r="E2" s="310"/>
      <c r="F2" s="310"/>
      <c r="G2" s="310"/>
      <c r="H2" s="310"/>
      <c r="I2" s="310"/>
      <c r="J2" s="310"/>
      <c r="K2" s="310"/>
      <c r="L2" s="310"/>
      <c r="M2" s="310"/>
      <c r="N2" s="700"/>
      <c r="O2" s="248"/>
      <c r="P2" s="310"/>
      <c r="Q2" s="310"/>
      <c r="R2" s="310"/>
      <c r="S2" s="310"/>
      <c r="T2" s="310"/>
      <c r="U2" s="310"/>
      <c r="V2" s="310"/>
      <c r="W2" s="310"/>
      <c r="X2" s="310"/>
      <c r="Y2" s="310"/>
      <c r="Z2" s="310"/>
      <c r="AA2" s="310"/>
      <c r="AB2" s="310"/>
    </row>
    <row r="3" spans="1:41" ht="15" customHeight="1" x14ac:dyDescent="0.2">
      <c r="A3" s="700" t="s">
        <v>715</v>
      </c>
      <c r="B3" s="248"/>
      <c r="C3" s="310"/>
      <c r="D3" s="310"/>
      <c r="E3" s="310"/>
      <c r="F3" s="310"/>
      <c r="G3" s="310"/>
      <c r="H3" s="310"/>
      <c r="I3" s="310"/>
      <c r="J3" s="310"/>
      <c r="K3" s="310"/>
      <c r="L3" s="310"/>
      <c r="M3" s="310"/>
      <c r="N3" s="700"/>
      <c r="O3" s="248"/>
      <c r="P3" s="310"/>
      <c r="Q3" s="310"/>
      <c r="R3" s="310"/>
      <c r="S3" s="310"/>
      <c r="T3" s="310"/>
      <c r="U3" s="310"/>
      <c r="V3" s="310"/>
      <c r="W3" s="310"/>
      <c r="X3" s="310"/>
      <c r="Y3" s="310"/>
      <c r="Z3" s="310"/>
      <c r="AA3" s="310"/>
      <c r="AB3" s="310"/>
      <c r="AC3" s="275"/>
      <c r="AD3" s="275"/>
      <c r="AE3" s="275"/>
      <c r="AF3" s="275"/>
      <c r="AG3" s="275"/>
      <c r="AH3" s="275"/>
      <c r="AI3" s="275"/>
      <c r="AJ3" s="275"/>
      <c r="AK3" s="275"/>
      <c r="AL3" s="275"/>
    </row>
    <row r="4" spans="1:41" ht="12.95" customHeight="1" x14ac:dyDescent="0.2">
      <c r="A4" s="1579" t="s">
        <v>1725</v>
      </c>
      <c r="B4" s="1579"/>
      <c r="C4" s="1579"/>
      <c r="D4" s="1579"/>
      <c r="E4" s="1579"/>
      <c r="F4" s="1579"/>
      <c r="G4" s="1579"/>
      <c r="H4" s="1579"/>
      <c r="I4" s="432"/>
      <c r="J4" s="432"/>
      <c r="K4" s="432"/>
      <c r="L4" s="432"/>
      <c r="M4" s="432"/>
      <c r="N4" s="506"/>
      <c r="O4" s="506"/>
      <c r="P4" s="506"/>
      <c r="Q4" s="506"/>
      <c r="R4" s="506"/>
      <c r="S4" s="506"/>
      <c r="T4" s="506"/>
      <c r="U4" s="506"/>
      <c r="V4" s="432"/>
      <c r="W4" s="432"/>
      <c r="X4" s="432"/>
      <c r="Y4" s="432"/>
      <c r="Z4" s="432"/>
      <c r="AA4" s="432"/>
      <c r="AB4" s="432"/>
      <c r="AC4" s="275"/>
      <c r="AD4" s="275"/>
      <c r="AE4" s="275"/>
      <c r="AF4" s="275"/>
      <c r="AG4" s="275"/>
      <c r="AH4" s="275"/>
      <c r="AI4" s="275"/>
      <c r="AJ4" s="275"/>
      <c r="AK4" s="275"/>
      <c r="AL4" s="275"/>
    </row>
    <row r="5" spans="1:41" ht="12" customHeight="1" x14ac:dyDescent="0.2">
      <c r="A5" s="253" t="s">
        <v>972</v>
      </c>
      <c r="B5" s="247"/>
      <c r="C5" s="247"/>
      <c r="D5" s="247"/>
      <c r="E5" s="247"/>
      <c r="F5" s="247"/>
      <c r="G5" s="247"/>
      <c r="H5" s="247"/>
      <c r="I5" s="247"/>
      <c r="J5" s="247"/>
      <c r="K5" s="247"/>
      <c r="L5" s="247"/>
      <c r="M5" s="247"/>
      <c r="N5" s="253"/>
      <c r="O5" s="247"/>
      <c r="P5" s="247"/>
      <c r="Q5" s="247"/>
      <c r="R5" s="247"/>
      <c r="S5" s="247"/>
      <c r="T5" s="247"/>
      <c r="U5" s="247"/>
      <c r="V5" s="247"/>
      <c r="W5" s="247"/>
      <c r="X5" s="247"/>
      <c r="Y5" s="247"/>
      <c r="Z5" s="247"/>
      <c r="AA5" s="247"/>
      <c r="AB5" s="247"/>
      <c r="AC5" s="275"/>
      <c r="AD5" s="275"/>
      <c r="AE5" s="275"/>
      <c r="AF5" s="275"/>
      <c r="AG5" s="275"/>
      <c r="AH5" s="275"/>
      <c r="AI5" s="275"/>
      <c r="AJ5" s="275"/>
      <c r="AK5" s="275"/>
      <c r="AL5" s="275"/>
    </row>
    <row r="6" spans="1:41" ht="12.6" customHeight="1" x14ac:dyDescent="0.2"/>
    <row r="7" spans="1:41" s="632" customFormat="1" ht="12.6" customHeight="1" x14ac:dyDescent="0.2">
      <c r="A7" s="336"/>
      <c r="B7" s="336"/>
      <c r="C7" s="336"/>
      <c r="D7" s="336"/>
      <c r="E7" s="336"/>
      <c r="F7" s="336"/>
      <c r="G7" s="336"/>
      <c r="H7" s="336"/>
      <c r="I7" s="336"/>
      <c r="J7" s="336"/>
      <c r="K7" s="336"/>
      <c r="L7" s="336"/>
      <c r="M7" s="336"/>
      <c r="N7" s="1581" t="s">
        <v>456</v>
      </c>
      <c r="O7" s="1581"/>
      <c r="P7" s="1581"/>
      <c r="Q7" s="1581"/>
      <c r="R7" s="1581"/>
      <c r="S7" s="336"/>
      <c r="T7" s="358"/>
      <c r="W7" s="947"/>
      <c r="X7" s="947"/>
      <c r="Y7" s="947"/>
      <c r="Z7" s="947"/>
      <c r="AC7" s="633"/>
      <c r="AF7" s="633"/>
      <c r="AI7" s="633"/>
      <c r="AL7" s="633"/>
    </row>
    <row r="8" spans="1:41" s="632" customFormat="1" ht="12.6" customHeight="1" x14ac:dyDescent="0.2">
      <c r="A8" s="336"/>
      <c r="B8" s="336"/>
      <c r="C8" s="336"/>
      <c r="D8" s="336"/>
      <c r="E8" s="336"/>
      <c r="F8" s="336"/>
      <c r="G8" s="336"/>
      <c r="H8" s="1576" t="s">
        <v>1045</v>
      </c>
      <c r="I8" s="1576"/>
      <c r="J8" s="1576"/>
      <c r="K8" s="1576"/>
      <c r="L8" s="1576"/>
      <c r="M8" s="336"/>
      <c r="N8" s="1576" t="s">
        <v>1189</v>
      </c>
      <c r="O8" s="1576"/>
      <c r="P8" s="1576"/>
      <c r="Q8" s="1576"/>
      <c r="R8" s="1576"/>
      <c r="S8" s="336"/>
      <c r="T8" s="358"/>
      <c r="Y8" s="1596"/>
      <c r="Z8" s="1596"/>
      <c r="AE8" s="1596"/>
      <c r="AF8" s="1596"/>
      <c r="AH8" s="1596"/>
      <c r="AI8" s="1596"/>
      <c r="AN8" s="1596"/>
      <c r="AO8" s="1596"/>
    </row>
    <row r="9" spans="1:41" s="632" customFormat="1" ht="12.6" customHeight="1" x14ac:dyDescent="0.2">
      <c r="A9" s="336"/>
      <c r="B9" s="336"/>
      <c r="C9" s="336"/>
      <c r="D9" s="336"/>
      <c r="E9" s="336"/>
      <c r="F9" s="310" t="s">
        <v>1046</v>
      </c>
      <c r="G9" s="336"/>
      <c r="H9" s="336"/>
      <c r="I9" s="336"/>
      <c r="J9" s="337" t="s">
        <v>104</v>
      </c>
      <c r="K9" s="336"/>
      <c r="L9" s="337" t="s">
        <v>861</v>
      </c>
      <c r="M9" s="336"/>
      <c r="N9" s="337"/>
      <c r="O9" s="336"/>
      <c r="P9" s="337" t="s">
        <v>437</v>
      </c>
      <c r="Q9" s="336"/>
      <c r="R9" s="337" t="s">
        <v>1064</v>
      </c>
      <c r="S9" s="336"/>
      <c r="T9" s="358"/>
      <c r="V9" s="1596"/>
      <c r="W9" s="1596"/>
      <c r="Y9" s="1596"/>
      <c r="Z9" s="1596"/>
      <c r="AB9" s="1596"/>
      <c r="AC9" s="1596"/>
      <c r="AE9" s="633"/>
      <c r="AF9" s="633"/>
      <c r="AH9" s="1596"/>
      <c r="AI9" s="1596"/>
      <c r="AK9" s="1596"/>
      <c r="AL9" s="1596"/>
      <c r="AN9" s="1596"/>
      <c r="AO9" s="1596"/>
    </row>
    <row r="10" spans="1:41" s="632" customFormat="1" ht="12.6" customHeight="1" x14ac:dyDescent="0.2">
      <c r="A10" s="358"/>
      <c r="B10" s="358"/>
      <c r="C10" s="336"/>
      <c r="D10" s="336"/>
      <c r="E10" s="336"/>
      <c r="F10" s="310" t="s">
        <v>1047</v>
      </c>
      <c r="G10" s="336"/>
      <c r="H10" s="310" t="s">
        <v>103</v>
      </c>
      <c r="I10" s="310"/>
      <c r="J10" s="310" t="s">
        <v>107</v>
      </c>
      <c r="K10" s="336"/>
      <c r="L10" s="310" t="s">
        <v>105</v>
      </c>
      <c r="M10" s="336"/>
      <c r="N10" s="310" t="s">
        <v>460</v>
      </c>
      <c r="O10" s="336"/>
      <c r="P10" s="310" t="s">
        <v>220</v>
      </c>
      <c r="Q10" s="336"/>
      <c r="R10" s="310" t="s">
        <v>761</v>
      </c>
      <c r="S10" s="336"/>
      <c r="T10" s="336"/>
      <c r="V10" s="1596"/>
      <c r="W10" s="1596"/>
      <c r="Y10" s="1596"/>
      <c r="Z10" s="1596"/>
      <c r="AB10" s="1596"/>
      <c r="AC10" s="1596"/>
      <c r="AE10" s="1596"/>
      <c r="AF10" s="1596"/>
      <c r="AH10" s="1596"/>
      <c r="AI10" s="1596"/>
      <c r="AK10" s="1596"/>
      <c r="AL10" s="1596"/>
      <c r="AN10" s="1596"/>
      <c r="AO10" s="1596"/>
    </row>
    <row r="11" spans="1:41" s="632" customFormat="1" ht="12" customHeight="1" x14ac:dyDescent="0.2">
      <c r="A11" s="336"/>
      <c r="B11" s="336"/>
      <c r="C11" s="574" t="s">
        <v>1047</v>
      </c>
      <c r="D11" s="358"/>
      <c r="E11" s="336"/>
      <c r="F11" s="574" t="s">
        <v>1048</v>
      </c>
      <c r="G11" s="336"/>
      <c r="H11" s="574" t="s">
        <v>838</v>
      </c>
      <c r="I11" s="310"/>
      <c r="J11" s="574" t="s">
        <v>106</v>
      </c>
      <c r="K11" s="358"/>
      <c r="L11" s="574" t="s">
        <v>106</v>
      </c>
      <c r="M11" s="358"/>
      <c r="N11" s="574" t="s">
        <v>221</v>
      </c>
      <c r="O11" s="358"/>
      <c r="P11" s="574" t="s">
        <v>59</v>
      </c>
      <c r="Q11" s="358"/>
      <c r="R11" s="574" t="s">
        <v>762</v>
      </c>
      <c r="S11" s="358"/>
      <c r="T11" s="574" t="s">
        <v>865</v>
      </c>
      <c r="V11" s="1596"/>
      <c r="W11" s="1596"/>
      <c r="Y11" s="1596"/>
      <c r="Z11" s="1596"/>
      <c r="AB11" s="1596"/>
      <c r="AC11" s="1596"/>
      <c r="AE11" s="1596"/>
      <c r="AF11" s="1596"/>
      <c r="AH11" s="1596"/>
      <c r="AI11" s="1596"/>
      <c r="AK11" s="1596"/>
      <c r="AL11" s="1596"/>
      <c r="AN11" s="1596"/>
      <c r="AO11" s="1596"/>
    </row>
    <row r="12" spans="1:41" s="254" customFormat="1" ht="9.9499999999999993" customHeight="1" x14ac:dyDescent="0.2">
      <c r="A12" s="253"/>
      <c r="B12" s="253"/>
      <c r="C12" s="355"/>
      <c r="D12" s="355"/>
      <c r="F12" s="301"/>
      <c r="H12" s="355"/>
      <c r="I12" s="355"/>
      <c r="J12" s="355"/>
      <c r="K12" s="355"/>
      <c r="L12" s="355"/>
      <c r="M12" s="355"/>
      <c r="N12" s="355"/>
      <c r="O12" s="355"/>
      <c r="P12" s="355"/>
      <c r="Q12" s="355"/>
      <c r="R12" s="355"/>
      <c r="S12" s="355"/>
      <c r="T12" s="355"/>
      <c r="V12" s="355"/>
      <c r="W12" s="355"/>
      <c r="Y12" s="355"/>
      <c r="Z12" s="355"/>
      <c r="AB12" s="355"/>
      <c r="AC12" s="355"/>
      <c r="AE12" s="355"/>
      <c r="AF12" s="355"/>
      <c r="AH12" s="355"/>
      <c r="AI12" s="355"/>
      <c r="AK12" s="355"/>
      <c r="AL12" s="355"/>
    </row>
    <row r="13" spans="1:41" s="254" customFormat="1" ht="9.9499999999999993" customHeight="1" x14ac:dyDescent="0.2">
      <c r="A13" s="284" t="s">
        <v>368</v>
      </c>
      <c r="B13" s="284"/>
      <c r="C13" s="454">
        <f>3261520+7287</f>
        <v>3268807</v>
      </c>
      <c r="D13" s="454"/>
      <c r="E13" s="346"/>
      <c r="F13" s="454"/>
      <c r="G13" s="346"/>
      <c r="H13" s="454">
        <v>3359249</v>
      </c>
      <c r="I13" s="454"/>
      <c r="J13" s="339">
        <v>0</v>
      </c>
      <c r="K13" s="454"/>
      <c r="L13" s="454">
        <v>103062</v>
      </c>
      <c r="M13" s="339"/>
      <c r="N13" s="339">
        <f>-C13+H13+J13+L13</f>
        <v>193504</v>
      </c>
      <c r="O13" s="339"/>
      <c r="P13" s="339">
        <v>0</v>
      </c>
      <c r="Q13" s="339"/>
      <c r="R13" s="339">
        <v>0</v>
      </c>
      <c r="S13" s="339"/>
      <c r="T13" s="339">
        <f>N13+P13+R13</f>
        <v>193504</v>
      </c>
      <c r="V13" s="364"/>
      <c r="W13" s="347"/>
      <c r="X13" s="273"/>
      <c r="Y13" s="364"/>
      <c r="Z13" s="273"/>
      <c r="AA13" s="273"/>
      <c r="AB13" s="364"/>
      <c r="AC13" s="273"/>
      <c r="AD13" s="273"/>
      <c r="AE13" s="364"/>
      <c r="AF13" s="273"/>
      <c r="AG13" s="273"/>
      <c r="AH13" s="364"/>
      <c r="AI13" s="273"/>
      <c r="AJ13" s="273"/>
      <c r="AK13" s="364"/>
      <c r="AL13" s="273"/>
    </row>
    <row r="14" spans="1:41" s="254" customFormat="1" ht="9.9499999999999993" customHeight="1" x14ac:dyDescent="0.2">
      <c r="A14" s="352"/>
      <c r="B14" s="352"/>
      <c r="C14" s="273"/>
      <c r="D14" s="273"/>
      <c r="E14" s="273"/>
      <c r="F14" s="273"/>
      <c r="G14" s="273"/>
      <c r="H14" s="273"/>
      <c r="I14" s="273"/>
      <c r="J14" s="273"/>
      <c r="K14" s="273"/>
      <c r="L14" s="273"/>
      <c r="M14" s="273"/>
      <c r="N14" s="273"/>
      <c r="O14" s="273"/>
      <c r="P14" s="273"/>
      <c r="Q14" s="273"/>
      <c r="R14" s="273"/>
      <c r="S14" s="273"/>
      <c r="T14" s="273">
        <f>N14+P14+R14</f>
        <v>0</v>
      </c>
      <c r="V14" s="273"/>
      <c r="W14" s="273"/>
      <c r="X14" s="273"/>
      <c r="Y14" s="273"/>
      <c r="Z14" s="273"/>
      <c r="AA14" s="273"/>
      <c r="AB14" s="273"/>
      <c r="AC14" s="273"/>
      <c r="AD14" s="273"/>
      <c r="AE14" s="273"/>
      <c r="AF14" s="273"/>
      <c r="AG14" s="273"/>
      <c r="AH14" s="273"/>
      <c r="AI14" s="273"/>
      <c r="AJ14" s="273"/>
      <c r="AK14" s="273"/>
      <c r="AL14" s="273"/>
    </row>
    <row r="15" spans="1:41" s="254" customFormat="1" ht="9.9499999999999993" customHeight="1" x14ac:dyDescent="0.2">
      <c r="A15" s="284" t="s">
        <v>1059</v>
      </c>
      <c r="B15" s="284"/>
      <c r="C15" s="273">
        <v>835327</v>
      </c>
      <c r="D15" s="273"/>
      <c r="E15" s="273"/>
      <c r="F15" s="273"/>
      <c r="G15" s="273"/>
      <c r="H15" s="273">
        <v>862770</v>
      </c>
      <c r="I15" s="273"/>
      <c r="J15" s="273"/>
      <c r="K15" s="273"/>
      <c r="L15" s="273">
        <v>344933</v>
      </c>
      <c r="M15" s="273"/>
      <c r="N15" s="273"/>
      <c r="O15" s="273"/>
      <c r="P15" s="273">
        <f>-C15+H15+J15+L15</f>
        <v>372376</v>
      </c>
      <c r="Q15" s="273"/>
      <c r="R15" s="273"/>
      <c r="S15" s="273"/>
      <c r="T15" s="273">
        <f>N15+P15+R15</f>
        <v>372376</v>
      </c>
      <c r="V15" s="273"/>
      <c r="W15" s="273"/>
      <c r="X15" s="273"/>
      <c r="Y15" s="273"/>
      <c r="Z15" s="273"/>
      <c r="AA15" s="273"/>
      <c r="AB15" s="273"/>
      <c r="AC15" s="273"/>
      <c r="AD15" s="273"/>
      <c r="AE15" s="273"/>
      <c r="AF15" s="273"/>
      <c r="AG15" s="273"/>
      <c r="AH15" s="273"/>
      <c r="AI15" s="273"/>
      <c r="AJ15" s="273"/>
      <c r="AK15" s="273"/>
      <c r="AL15" s="273"/>
    </row>
    <row r="16" spans="1:41" s="254" customFormat="1" ht="9.9499999999999993" customHeight="1" x14ac:dyDescent="0.2">
      <c r="A16" s="352"/>
      <c r="B16" s="352"/>
      <c r="C16" s="273"/>
      <c r="D16" s="273"/>
      <c r="E16" s="273"/>
      <c r="F16" s="273"/>
      <c r="G16" s="273"/>
      <c r="H16" s="273"/>
      <c r="I16" s="273"/>
      <c r="J16" s="273"/>
      <c r="K16" s="273"/>
      <c r="L16" s="273"/>
      <c r="M16" s="273"/>
      <c r="N16" s="273"/>
      <c r="O16" s="273"/>
      <c r="P16" s="273"/>
      <c r="Q16" s="273"/>
      <c r="R16" s="273"/>
      <c r="S16" s="273"/>
      <c r="T16" s="273">
        <f>N16+P16+R16</f>
        <v>0</v>
      </c>
      <c r="V16" s="273"/>
      <c r="W16" s="273"/>
      <c r="X16" s="273"/>
      <c r="Y16" s="273"/>
      <c r="Z16" s="273"/>
      <c r="AA16" s="273"/>
      <c r="AB16" s="273"/>
      <c r="AC16" s="273"/>
      <c r="AD16" s="273"/>
      <c r="AE16" s="273"/>
      <c r="AF16" s="273"/>
      <c r="AG16" s="273"/>
      <c r="AH16" s="273"/>
      <c r="AI16" s="273"/>
      <c r="AJ16" s="273"/>
      <c r="AK16" s="273"/>
      <c r="AL16" s="273"/>
    </row>
    <row r="17" spans="1:41" s="254" customFormat="1" ht="9.9499999999999993" customHeight="1" x14ac:dyDescent="0.2">
      <c r="A17" s="353" t="s">
        <v>457</v>
      </c>
      <c r="B17" s="353"/>
      <c r="C17" s="273">
        <f>'Combining SOACU'!F35</f>
        <v>145542</v>
      </c>
      <c r="D17" s="273"/>
      <c r="E17" s="273"/>
      <c r="F17" s="273"/>
      <c r="G17" s="273"/>
      <c r="H17" s="273">
        <f>'Combining SOACU'!H35</f>
        <v>111373</v>
      </c>
      <c r="I17" s="273"/>
      <c r="J17" s="273">
        <f>'Combining SOACU'!J35</f>
        <v>0</v>
      </c>
      <c r="K17" s="273"/>
      <c r="L17" s="273">
        <f>'Combining SOACU'!L35</f>
        <v>2304</v>
      </c>
      <c r="M17" s="273"/>
      <c r="N17" s="273"/>
      <c r="O17" s="273"/>
      <c r="Q17" s="273"/>
      <c r="R17" s="273">
        <f>'Combining SOACU'!AN35</f>
        <v>-31865</v>
      </c>
      <c r="S17" s="273"/>
      <c r="T17" s="273">
        <f>N17+P17+R17</f>
        <v>-31865</v>
      </c>
      <c r="V17" s="273"/>
      <c r="W17" s="273"/>
      <c r="X17" s="273"/>
      <c r="Y17" s="273"/>
      <c r="Z17" s="273"/>
      <c r="AA17" s="273"/>
      <c r="AB17" s="273"/>
      <c r="AC17" s="273"/>
      <c r="AD17" s="273"/>
      <c r="AE17" s="273"/>
      <c r="AF17" s="273"/>
      <c r="AG17" s="273"/>
      <c r="AH17" s="273"/>
      <c r="AI17" s="273"/>
      <c r="AJ17" s="273"/>
      <c r="AK17" s="273"/>
      <c r="AL17" s="273"/>
    </row>
    <row r="18" spans="1:41" s="254" customFormat="1" ht="5.0999999999999996" customHeight="1" x14ac:dyDescent="0.2">
      <c r="A18" s="352"/>
      <c r="B18" s="352"/>
      <c r="C18" s="340"/>
      <c r="D18" s="273"/>
      <c r="E18" s="273"/>
      <c r="F18" s="273"/>
      <c r="G18" s="273"/>
      <c r="H18" s="340"/>
      <c r="I18" s="273"/>
      <c r="J18" s="340"/>
      <c r="K18" s="273"/>
      <c r="L18" s="340"/>
      <c r="M18" s="273"/>
      <c r="N18" s="340"/>
      <c r="O18" s="273"/>
      <c r="P18" s="340"/>
      <c r="Q18" s="273"/>
      <c r="R18" s="340"/>
      <c r="S18" s="273"/>
      <c r="T18" s="340"/>
      <c r="V18" s="273"/>
      <c r="W18" s="273"/>
      <c r="X18" s="273"/>
      <c r="Y18" s="273"/>
      <c r="Z18" s="273"/>
      <c r="AA18" s="273"/>
      <c r="AB18" s="273"/>
      <c r="AC18" s="273"/>
      <c r="AD18" s="273"/>
      <c r="AE18" s="273"/>
      <c r="AF18" s="273"/>
      <c r="AG18" s="273"/>
      <c r="AH18" s="273"/>
      <c r="AI18" s="273"/>
      <c r="AJ18" s="273"/>
      <c r="AK18" s="273"/>
      <c r="AL18" s="273"/>
    </row>
    <row r="19" spans="1:41" s="254" customFormat="1" ht="11.1" customHeight="1" thickBot="1" x14ac:dyDescent="0.25">
      <c r="A19" s="353" t="s">
        <v>458</v>
      </c>
      <c r="B19" s="353"/>
      <c r="C19" s="344">
        <f>SUM(C13+C15+C17)</f>
        <v>4249676</v>
      </c>
      <c r="D19" s="347"/>
      <c r="E19" s="634" t="s">
        <v>1035</v>
      </c>
      <c r="F19" s="635">
        <f>SUM(F62:F79)</f>
        <v>0</v>
      </c>
      <c r="G19" s="347"/>
      <c r="H19" s="344">
        <f>SUM(H13+H15+H17)</f>
        <v>4333392</v>
      </c>
      <c r="I19" s="347"/>
      <c r="J19" s="344">
        <f>SUM(J13+J15+J17)</f>
        <v>0</v>
      </c>
      <c r="K19" s="347"/>
      <c r="L19" s="344">
        <f>SUM(L13+L15+L17)</f>
        <v>450299</v>
      </c>
      <c r="M19" s="347"/>
      <c r="N19" s="596">
        <f>SUM(N13:N17)</f>
        <v>193504</v>
      </c>
      <c r="O19" s="347"/>
      <c r="P19" s="596">
        <f>SUM(P13:P17)</f>
        <v>372376</v>
      </c>
      <c r="Q19" s="347"/>
      <c r="R19" s="906">
        <f>SUM(R13:R17)</f>
        <v>-31865</v>
      </c>
      <c r="S19" s="347"/>
      <c r="T19" s="596">
        <f>SUM(T13:T17)</f>
        <v>534015</v>
      </c>
      <c r="V19" s="364"/>
      <c r="W19" s="347"/>
      <c r="X19" s="347"/>
      <c r="Y19" s="364"/>
      <c r="Z19" s="347"/>
      <c r="AA19" s="347"/>
      <c r="AB19" s="364"/>
      <c r="AC19" s="347"/>
      <c r="AD19" s="347"/>
      <c r="AE19" s="364"/>
      <c r="AF19" s="347"/>
      <c r="AG19" s="347"/>
      <c r="AH19" s="364"/>
      <c r="AI19" s="347"/>
      <c r="AJ19" s="347"/>
      <c r="AK19" s="364"/>
      <c r="AL19" s="347"/>
      <c r="AN19" s="301"/>
      <c r="AO19" s="347"/>
    </row>
    <row r="20" spans="1:41" s="254" customFormat="1" ht="9.9499999999999993" customHeight="1" thickTop="1" x14ac:dyDescent="0.2">
      <c r="A20" s="253"/>
      <c r="B20" s="253"/>
    </row>
    <row r="21" spans="1:41" s="254" customFormat="1" ht="9.9499999999999993" customHeight="1" x14ac:dyDescent="0.2">
      <c r="A21" s="253"/>
      <c r="B21" s="253"/>
    </row>
    <row r="22" spans="1:41" s="254" customFormat="1" ht="9.9499999999999993" customHeight="1" x14ac:dyDescent="0.2">
      <c r="A22" s="253"/>
      <c r="B22" s="253"/>
      <c r="E22" s="348"/>
      <c r="G22" s="348"/>
      <c r="I22" s="353" t="s">
        <v>773</v>
      </c>
      <c r="J22" s="352"/>
      <c r="N22" s="348"/>
      <c r="P22" s="348"/>
      <c r="R22" s="348"/>
      <c r="V22" s="348"/>
      <c r="W22" s="348"/>
      <c r="X22" s="348"/>
      <c r="Y22" s="348"/>
      <c r="Z22" s="348"/>
      <c r="AA22" s="348"/>
      <c r="AB22" s="348"/>
      <c r="AC22" s="348"/>
      <c r="AD22" s="348"/>
      <c r="AE22" s="348"/>
      <c r="AF22" s="348"/>
      <c r="AG22" s="348"/>
      <c r="AH22" s="348"/>
      <c r="AI22" s="348"/>
      <c r="AJ22" s="348"/>
      <c r="AK22" s="348"/>
      <c r="AL22" s="348"/>
    </row>
    <row r="23" spans="1:41" s="254" customFormat="1" ht="9.9499999999999993" customHeight="1" x14ac:dyDescent="0.2">
      <c r="D23" s="350"/>
      <c r="E23" s="350"/>
      <c r="F23" s="350"/>
      <c r="G23" s="350"/>
      <c r="I23" s="349" t="s">
        <v>774</v>
      </c>
      <c r="J23" s="352"/>
      <c r="K23" s="350"/>
      <c r="M23" s="350"/>
      <c r="N23" s="273">
        <v>139336</v>
      </c>
      <c r="O23" s="350"/>
      <c r="P23" s="273">
        <v>69974</v>
      </c>
      <c r="Q23" s="350"/>
      <c r="R23" s="273">
        <f>'Combining SOACU'!AN39</f>
        <v>16429</v>
      </c>
      <c r="S23" s="350"/>
      <c r="T23" s="273">
        <f t="shared" ref="T23:T30" si="0">N23+P23+R23</f>
        <v>225739</v>
      </c>
      <c r="V23" s="350"/>
      <c r="W23" s="273"/>
      <c r="X23" s="399"/>
      <c r="Y23" s="399"/>
      <c r="Z23" s="273"/>
      <c r="AA23" s="399"/>
      <c r="AB23" s="399"/>
      <c r="AC23" s="273"/>
      <c r="AD23" s="399"/>
      <c r="AE23" s="399"/>
      <c r="AF23" s="273"/>
      <c r="AG23" s="399"/>
      <c r="AH23" s="399"/>
      <c r="AI23" s="273"/>
      <c r="AJ23" s="399"/>
      <c r="AK23" s="399"/>
      <c r="AL23" s="273"/>
    </row>
    <row r="24" spans="1:41" s="254" customFormat="1" ht="9.9499999999999993" customHeight="1" x14ac:dyDescent="0.2">
      <c r="D24" s="350"/>
      <c r="E24" s="350"/>
      <c r="F24" s="350"/>
      <c r="G24" s="350"/>
      <c r="I24" s="349" t="s">
        <v>775</v>
      </c>
      <c r="J24" s="352"/>
      <c r="K24" s="350"/>
      <c r="M24" s="350"/>
      <c r="N24" s="273"/>
      <c r="O24" s="350"/>
      <c r="P24" s="273">
        <v>6449</v>
      </c>
      <c r="Q24" s="350"/>
      <c r="R24" s="273">
        <f>'Combining SOACU'!AN40</f>
        <v>15630</v>
      </c>
      <c r="S24" s="350"/>
      <c r="T24" s="273">
        <f t="shared" si="0"/>
        <v>22079</v>
      </c>
      <c r="V24" s="350"/>
      <c r="W24" s="273"/>
      <c r="X24" s="399"/>
      <c r="Y24" s="399"/>
      <c r="Z24" s="273"/>
      <c r="AA24" s="399"/>
      <c r="AB24" s="399"/>
      <c r="AC24" s="273"/>
      <c r="AD24" s="399"/>
      <c r="AE24" s="399"/>
      <c r="AF24" s="273"/>
      <c r="AG24" s="399"/>
      <c r="AH24" s="399"/>
      <c r="AI24" s="273"/>
      <c r="AJ24" s="399"/>
      <c r="AK24" s="399"/>
      <c r="AL24" s="273"/>
    </row>
    <row r="25" spans="1:41" s="254" customFormat="1" ht="9.9499999999999993" hidden="1" customHeight="1" x14ac:dyDescent="0.2">
      <c r="D25" s="350"/>
      <c r="E25" s="350"/>
      <c r="F25" s="350"/>
      <c r="G25" s="350"/>
      <c r="I25" s="352" t="s">
        <v>1302</v>
      </c>
      <c r="J25" s="352"/>
      <c r="K25" s="350"/>
      <c r="M25" s="350"/>
      <c r="N25" s="273"/>
      <c r="O25" s="350"/>
      <c r="P25" s="273"/>
      <c r="Q25" s="350"/>
      <c r="R25" s="273"/>
      <c r="S25" s="350"/>
      <c r="T25" s="273">
        <f t="shared" si="0"/>
        <v>0</v>
      </c>
      <c r="V25" s="350"/>
      <c r="W25" s="273"/>
      <c r="X25" s="399"/>
      <c r="Y25" s="399"/>
      <c r="Z25" s="273"/>
      <c r="AA25" s="399"/>
      <c r="AB25" s="399"/>
      <c r="AC25" s="273"/>
      <c r="AD25" s="399"/>
      <c r="AE25" s="399"/>
      <c r="AF25" s="273"/>
      <c r="AG25" s="399"/>
      <c r="AH25" s="399"/>
      <c r="AI25" s="273"/>
      <c r="AJ25" s="399"/>
      <c r="AK25" s="399"/>
      <c r="AL25" s="273"/>
    </row>
    <row r="26" spans="1:41" s="254" customFormat="1" ht="9.9499999999999993" hidden="1" customHeight="1" x14ac:dyDescent="0.2">
      <c r="D26" s="350"/>
      <c r="E26" s="350"/>
      <c r="F26" s="350"/>
      <c r="G26" s="350"/>
      <c r="I26" s="352" t="s">
        <v>477</v>
      </c>
      <c r="J26" s="352"/>
      <c r="K26" s="350"/>
      <c r="M26" s="350"/>
      <c r="N26" s="273"/>
      <c r="O26" s="350"/>
      <c r="P26" s="273"/>
      <c r="Q26" s="350"/>
      <c r="R26" s="273"/>
      <c r="S26" s="350"/>
      <c r="T26" s="273">
        <f t="shared" si="0"/>
        <v>0</v>
      </c>
      <c r="V26" s="350"/>
      <c r="W26" s="273"/>
      <c r="X26" s="399"/>
      <c r="Y26" s="399"/>
      <c r="Z26" s="273"/>
      <c r="AA26" s="399"/>
      <c r="AB26" s="399"/>
      <c r="AC26" s="273"/>
      <c r="AD26" s="399"/>
      <c r="AE26" s="399"/>
      <c r="AF26" s="273"/>
      <c r="AG26" s="399"/>
      <c r="AH26" s="399"/>
      <c r="AI26" s="273"/>
      <c r="AJ26" s="399"/>
      <c r="AK26" s="399"/>
      <c r="AL26" s="273"/>
    </row>
    <row r="27" spans="1:41" s="254" customFormat="1" ht="9.9499999999999993" hidden="1" customHeight="1" x14ac:dyDescent="0.2">
      <c r="D27" s="350"/>
      <c r="E27" s="350"/>
      <c r="F27" s="350"/>
      <c r="G27" s="350"/>
      <c r="I27" s="352" t="s">
        <v>374</v>
      </c>
      <c r="J27" s="352"/>
      <c r="K27" s="350"/>
      <c r="M27" s="350"/>
      <c r="N27" s="273"/>
      <c r="O27" s="350"/>
      <c r="P27" s="273"/>
      <c r="Q27" s="350"/>
      <c r="R27" s="273"/>
      <c r="S27" s="350"/>
      <c r="T27" s="273">
        <f t="shared" si="0"/>
        <v>0</v>
      </c>
      <c r="V27" s="350"/>
      <c r="W27" s="273"/>
      <c r="X27" s="399"/>
      <c r="Y27" s="399"/>
      <c r="Z27" s="273"/>
      <c r="AA27" s="399"/>
      <c r="AB27" s="399"/>
      <c r="AC27" s="273"/>
      <c r="AD27" s="399"/>
      <c r="AE27" s="399"/>
      <c r="AF27" s="273"/>
      <c r="AG27" s="399"/>
      <c r="AH27" s="399"/>
      <c r="AI27" s="273"/>
      <c r="AJ27" s="399"/>
      <c r="AK27" s="399"/>
      <c r="AL27" s="273"/>
    </row>
    <row r="28" spans="1:41" s="254" customFormat="1" ht="9.9499999999999993" hidden="1" customHeight="1" x14ac:dyDescent="0.2">
      <c r="D28" s="350"/>
      <c r="E28" s="350"/>
      <c r="F28" s="350"/>
      <c r="G28" s="350"/>
      <c r="I28" s="352" t="s">
        <v>1278</v>
      </c>
      <c r="J28" s="352"/>
      <c r="K28" s="350"/>
      <c r="M28" s="350"/>
      <c r="N28" s="273"/>
      <c r="O28" s="350"/>
      <c r="P28" s="273"/>
      <c r="Q28" s="350"/>
      <c r="R28" s="273"/>
      <c r="S28" s="350"/>
      <c r="T28" s="273">
        <f t="shared" si="0"/>
        <v>0</v>
      </c>
      <c r="V28" s="350"/>
      <c r="W28" s="273"/>
      <c r="X28" s="399"/>
      <c r="Y28" s="399"/>
      <c r="Z28" s="273"/>
      <c r="AA28" s="399"/>
      <c r="AB28" s="399"/>
      <c r="AC28" s="273"/>
      <c r="AD28" s="399"/>
      <c r="AE28" s="399"/>
      <c r="AF28" s="273"/>
      <c r="AG28" s="399"/>
      <c r="AH28" s="399"/>
      <c r="AI28" s="273"/>
      <c r="AJ28" s="399"/>
      <c r="AK28" s="399"/>
      <c r="AL28" s="273"/>
    </row>
    <row r="29" spans="1:41" s="254" customFormat="1" ht="9.9499999999999993" hidden="1" customHeight="1" x14ac:dyDescent="0.2">
      <c r="D29" s="350"/>
      <c r="E29" s="350"/>
      <c r="F29" s="350"/>
      <c r="G29" s="350"/>
      <c r="I29" s="352" t="s">
        <v>478</v>
      </c>
      <c r="J29" s="352"/>
      <c r="K29" s="350"/>
      <c r="M29" s="350"/>
      <c r="N29" s="273"/>
      <c r="O29" s="350"/>
      <c r="P29" s="273"/>
      <c r="Q29" s="350"/>
      <c r="R29" s="273"/>
      <c r="S29" s="350"/>
      <c r="T29" s="273">
        <f t="shared" si="0"/>
        <v>0</v>
      </c>
      <c r="V29" s="350"/>
      <c r="W29" s="273"/>
      <c r="X29" s="399"/>
      <c r="Y29" s="399"/>
      <c r="Z29" s="273"/>
      <c r="AA29" s="399"/>
      <c r="AB29" s="399"/>
      <c r="AC29" s="273"/>
      <c r="AD29" s="399"/>
      <c r="AE29" s="399"/>
      <c r="AF29" s="273"/>
      <c r="AG29" s="399"/>
      <c r="AH29" s="399"/>
      <c r="AI29" s="273"/>
      <c r="AJ29" s="399"/>
      <c r="AK29" s="399"/>
      <c r="AL29" s="273"/>
    </row>
    <row r="30" spans="1:41" s="254" customFormat="1" ht="9.9499999999999993" hidden="1" customHeight="1" x14ac:dyDescent="0.2">
      <c r="D30" s="350"/>
      <c r="E30" s="350"/>
      <c r="F30" s="350"/>
      <c r="G30" s="350"/>
      <c r="I30" s="352" t="s">
        <v>1705</v>
      </c>
      <c r="J30" s="352"/>
      <c r="K30" s="350"/>
      <c r="M30" s="350"/>
      <c r="N30" s="273"/>
      <c r="O30" s="350"/>
      <c r="P30" s="273"/>
      <c r="Q30" s="350"/>
      <c r="R30" s="273"/>
      <c r="S30" s="350"/>
      <c r="T30" s="273">
        <f t="shared" si="0"/>
        <v>0</v>
      </c>
      <c r="V30" s="350"/>
      <c r="W30" s="273"/>
      <c r="X30" s="399"/>
      <c r="Y30" s="399"/>
      <c r="Z30" s="273"/>
      <c r="AA30" s="399"/>
      <c r="AB30" s="399"/>
      <c r="AC30" s="273"/>
      <c r="AD30" s="399"/>
      <c r="AE30" s="399"/>
      <c r="AF30" s="273"/>
      <c r="AG30" s="399"/>
      <c r="AH30" s="399"/>
      <c r="AI30" s="273"/>
      <c r="AJ30" s="399"/>
      <c r="AK30" s="399"/>
      <c r="AL30" s="273"/>
    </row>
    <row r="31" spans="1:41" s="254" customFormat="1" ht="5.0999999999999996" customHeight="1" x14ac:dyDescent="0.2">
      <c r="D31" s="350"/>
      <c r="E31" s="350"/>
      <c r="F31" s="350"/>
      <c r="G31" s="350"/>
      <c r="I31" s="352"/>
      <c r="J31" s="352"/>
      <c r="K31" s="350"/>
      <c r="M31" s="350"/>
      <c r="N31" s="340"/>
      <c r="O31" s="350"/>
      <c r="P31" s="340"/>
      <c r="Q31" s="350"/>
      <c r="R31" s="340"/>
      <c r="S31" s="350"/>
      <c r="T31" s="340"/>
      <c r="V31" s="350"/>
      <c r="W31" s="273"/>
      <c r="X31" s="399"/>
      <c r="Y31" s="399"/>
      <c r="Z31" s="273"/>
      <c r="AA31" s="399"/>
      <c r="AB31" s="399"/>
      <c r="AC31" s="273"/>
      <c r="AD31" s="399"/>
      <c r="AE31" s="399"/>
      <c r="AF31" s="273"/>
      <c r="AG31" s="399"/>
      <c r="AH31" s="399"/>
      <c r="AI31" s="273"/>
      <c r="AJ31" s="399"/>
      <c r="AK31" s="399"/>
      <c r="AL31" s="273"/>
    </row>
    <row r="32" spans="1:41" s="254" customFormat="1" ht="9.9499999999999993" customHeight="1" x14ac:dyDescent="0.2">
      <c r="D32" s="350"/>
      <c r="E32" s="350"/>
      <c r="F32" s="350"/>
      <c r="G32" s="350"/>
      <c r="I32" s="353" t="s">
        <v>459</v>
      </c>
      <c r="K32" s="350"/>
      <c r="M32" s="350"/>
      <c r="N32" s="273">
        <f>SUM(N23:N30)</f>
        <v>139336</v>
      </c>
      <c r="O32" s="350"/>
      <c r="P32" s="273">
        <f>SUM(P23:P30)</f>
        <v>76423</v>
      </c>
      <c r="Q32" s="350"/>
      <c r="R32" s="273">
        <f>SUM(R23:R30)</f>
        <v>32059</v>
      </c>
      <c r="S32" s="350"/>
      <c r="T32" s="273">
        <f>SUM(T23:T30)</f>
        <v>247818</v>
      </c>
      <c r="V32" s="350"/>
      <c r="W32" s="273"/>
      <c r="X32" s="399"/>
      <c r="Y32" s="399"/>
      <c r="Z32" s="273"/>
      <c r="AA32" s="399"/>
      <c r="AB32" s="399"/>
      <c r="AC32" s="273"/>
      <c r="AD32" s="399"/>
      <c r="AE32" s="399"/>
      <c r="AF32" s="273"/>
      <c r="AG32" s="399"/>
      <c r="AH32" s="399"/>
      <c r="AI32" s="273"/>
      <c r="AJ32" s="399"/>
      <c r="AK32" s="399"/>
      <c r="AL32" s="273"/>
      <c r="AO32" s="273"/>
    </row>
    <row r="33" spans="4:41" s="254" customFormat="1" ht="5.0999999999999996" customHeight="1" x14ac:dyDescent="0.2">
      <c r="D33" s="350"/>
      <c r="E33" s="350"/>
      <c r="F33" s="350"/>
      <c r="G33" s="350"/>
      <c r="I33" s="353"/>
      <c r="K33" s="350"/>
      <c r="M33" s="350"/>
      <c r="N33" s="340"/>
      <c r="O33" s="350"/>
      <c r="P33" s="340"/>
      <c r="Q33" s="350"/>
      <c r="R33" s="340"/>
      <c r="S33" s="350"/>
      <c r="T33" s="340"/>
      <c r="V33" s="350"/>
      <c r="W33" s="273"/>
      <c r="X33" s="399"/>
      <c r="Y33" s="399"/>
      <c r="Z33" s="273"/>
      <c r="AA33" s="399"/>
      <c r="AB33" s="399"/>
      <c r="AC33" s="273"/>
      <c r="AD33" s="399"/>
      <c r="AE33" s="399"/>
      <c r="AF33" s="273"/>
      <c r="AG33" s="399"/>
      <c r="AH33" s="399"/>
      <c r="AI33" s="273"/>
      <c r="AJ33" s="399"/>
      <c r="AK33" s="399"/>
      <c r="AL33" s="273"/>
      <c r="AO33" s="273"/>
    </row>
    <row r="34" spans="4:41" s="254" customFormat="1" ht="9.9499999999999993" customHeight="1" x14ac:dyDescent="0.2">
      <c r="D34" s="350"/>
      <c r="E34" s="350"/>
      <c r="F34" s="350"/>
      <c r="G34" s="350"/>
      <c r="I34" s="353" t="s">
        <v>1111</v>
      </c>
      <c r="J34" s="352"/>
      <c r="K34" s="350"/>
      <c r="M34" s="350"/>
      <c r="N34" s="273">
        <f>N32+N19</f>
        <v>332840</v>
      </c>
      <c r="O34" s="350"/>
      <c r="P34" s="273">
        <f>P32+P19</f>
        <v>448799</v>
      </c>
      <c r="Q34" s="350"/>
      <c r="R34" s="273">
        <f>R32+R19</f>
        <v>194</v>
      </c>
      <c r="S34" s="350"/>
      <c r="T34" s="273">
        <f>T32+T19</f>
        <v>781833</v>
      </c>
      <c r="V34" s="350"/>
      <c r="W34" s="273"/>
      <c r="X34" s="399"/>
      <c r="Y34" s="399"/>
      <c r="Z34" s="273"/>
      <c r="AA34" s="399"/>
      <c r="AB34" s="399"/>
      <c r="AC34" s="273"/>
      <c r="AD34" s="399"/>
      <c r="AE34" s="399"/>
      <c r="AF34" s="273"/>
      <c r="AG34" s="399"/>
      <c r="AH34" s="399"/>
      <c r="AI34" s="273"/>
      <c r="AJ34" s="399"/>
      <c r="AK34" s="399"/>
      <c r="AL34" s="273"/>
      <c r="AO34" s="273"/>
    </row>
    <row r="35" spans="4:41" s="254" customFormat="1" ht="5.0999999999999996" customHeight="1" x14ac:dyDescent="0.2">
      <c r="I35" s="352"/>
      <c r="J35" s="352"/>
      <c r="N35" s="340"/>
      <c r="P35" s="340"/>
      <c r="R35" s="340"/>
      <c r="T35" s="340"/>
      <c r="W35" s="273"/>
      <c r="X35" s="273"/>
      <c r="Y35" s="273"/>
      <c r="Z35" s="273"/>
      <c r="AA35" s="273"/>
      <c r="AB35" s="273"/>
      <c r="AC35" s="273"/>
      <c r="AD35" s="273"/>
      <c r="AE35" s="273"/>
      <c r="AF35" s="273"/>
      <c r="AG35" s="273"/>
      <c r="AH35" s="273"/>
      <c r="AI35" s="273"/>
      <c r="AJ35" s="273"/>
      <c r="AK35" s="273"/>
      <c r="AL35" s="273"/>
    </row>
    <row r="36" spans="4:41" s="254" customFormat="1" ht="9.9499999999999993" customHeight="1" x14ac:dyDescent="0.2">
      <c r="I36" s="352" t="s">
        <v>1439</v>
      </c>
      <c r="J36" s="352"/>
      <c r="N36" s="341">
        <v>4031215</v>
      </c>
      <c r="P36" s="341">
        <v>4479603</v>
      </c>
      <c r="R36" s="341">
        <v>198599</v>
      </c>
      <c r="T36" s="341">
        <f>+N36+P36+R36</f>
        <v>8709417</v>
      </c>
      <c r="W36" s="273"/>
      <c r="X36" s="273"/>
      <c r="Y36" s="273"/>
      <c r="Z36" s="273"/>
      <c r="AA36" s="273"/>
      <c r="AB36" s="273"/>
      <c r="AC36" s="273"/>
      <c r="AD36" s="273"/>
      <c r="AE36" s="273"/>
      <c r="AF36" s="273"/>
      <c r="AG36" s="273"/>
      <c r="AH36" s="273"/>
      <c r="AI36" s="273"/>
      <c r="AJ36" s="273"/>
      <c r="AK36" s="273"/>
      <c r="AL36" s="273"/>
    </row>
    <row r="37" spans="4:41" s="254" customFormat="1" ht="9.9499999999999993" hidden="1" customHeight="1" x14ac:dyDescent="0.2">
      <c r="I37" s="352" t="s">
        <v>717</v>
      </c>
      <c r="J37" s="352"/>
      <c r="N37" s="273"/>
      <c r="P37" s="273"/>
      <c r="R37" s="273">
        <f>SUM('Combining SOACU'!AN47)</f>
        <v>0</v>
      </c>
      <c r="T37" s="273">
        <f>N37+P37+R37</f>
        <v>0</v>
      </c>
      <c r="W37" s="273"/>
      <c r="X37" s="273"/>
      <c r="Y37" s="273"/>
      <c r="Z37" s="273"/>
      <c r="AA37" s="273"/>
      <c r="AB37" s="273"/>
      <c r="AC37" s="273"/>
      <c r="AD37" s="273"/>
      <c r="AE37" s="273"/>
      <c r="AF37" s="273"/>
      <c r="AG37" s="273"/>
      <c r="AH37" s="273"/>
      <c r="AI37" s="273"/>
      <c r="AJ37" s="273"/>
      <c r="AK37" s="273"/>
      <c r="AL37" s="273"/>
    </row>
    <row r="38" spans="4:41" s="254" customFormat="1" ht="9.9499999999999993" hidden="1" customHeight="1" x14ac:dyDescent="0.2">
      <c r="I38" s="352" t="s">
        <v>133</v>
      </c>
      <c r="J38" s="352"/>
      <c r="N38" s="273"/>
      <c r="P38" s="273"/>
      <c r="R38" s="273">
        <f>SUM('Combining SOACU'!AN49)</f>
        <v>0</v>
      </c>
      <c r="T38" s="273">
        <f>N38+P38+R38</f>
        <v>0</v>
      </c>
      <c r="W38" s="273"/>
      <c r="X38" s="273"/>
      <c r="Y38" s="273"/>
      <c r="Z38" s="273"/>
      <c r="AA38" s="273"/>
      <c r="AB38" s="273"/>
      <c r="AC38" s="273"/>
      <c r="AD38" s="273"/>
      <c r="AE38" s="273"/>
      <c r="AF38" s="273"/>
      <c r="AG38" s="273"/>
      <c r="AH38" s="273"/>
      <c r="AI38" s="273"/>
      <c r="AJ38" s="273"/>
      <c r="AK38" s="273"/>
      <c r="AL38" s="273"/>
    </row>
    <row r="39" spans="4:41" s="254" customFormat="1" ht="5.0999999999999996" customHeight="1" x14ac:dyDescent="0.2">
      <c r="I39" s="352"/>
      <c r="J39" s="352"/>
      <c r="N39" s="273"/>
      <c r="P39" s="273"/>
      <c r="R39" s="273"/>
      <c r="T39" s="273"/>
      <c r="W39" s="273"/>
      <c r="X39" s="273"/>
      <c r="Y39" s="273"/>
      <c r="Z39" s="273"/>
      <c r="AA39" s="273"/>
      <c r="AB39" s="273"/>
      <c r="AC39" s="273"/>
      <c r="AD39" s="273"/>
      <c r="AE39" s="273"/>
      <c r="AF39" s="273"/>
      <c r="AG39" s="273"/>
      <c r="AH39" s="273"/>
      <c r="AI39" s="273"/>
      <c r="AJ39" s="273"/>
      <c r="AK39" s="273"/>
      <c r="AL39" s="273"/>
    </row>
    <row r="40" spans="4:41" s="254" customFormat="1" ht="9.9499999999999993" customHeight="1" x14ac:dyDescent="0.2">
      <c r="I40" s="352" t="s">
        <v>1715</v>
      </c>
      <c r="J40" s="352"/>
      <c r="N40" s="273"/>
      <c r="P40" s="273">
        <v>-98</v>
      </c>
      <c r="R40" s="273"/>
      <c r="T40" s="273">
        <f>+N40+P40+R40</f>
        <v>-98</v>
      </c>
      <c r="W40" s="273"/>
      <c r="X40" s="273"/>
      <c r="Y40" s="273"/>
      <c r="Z40" s="273"/>
      <c r="AA40" s="273"/>
      <c r="AB40" s="273"/>
      <c r="AC40" s="273"/>
      <c r="AD40" s="273"/>
      <c r="AE40" s="273"/>
      <c r="AF40" s="273"/>
      <c r="AG40" s="273"/>
      <c r="AH40" s="273"/>
      <c r="AI40" s="273"/>
      <c r="AJ40" s="273"/>
      <c r="AK40" s="273"/>
      <c r="AL40" s="273"/>
    </row>
    <row r="41" spans="4:41" s="254" customFormat="1" ht="5.0999999999999996" customHeight="1" x14ac:dyDescent="0.2">
      <c r="I41" s="352"/>
      <c r="J41" s="352"/>
      <c r="N41" s="273"/>
      <c r="P41" s="273"/>
      <c r="R41" s="273"/>
      <c r="T41" s="273"/>
      <c r="W41" s="273"/>
      <c r="X41" s="273"/>
      <c r="Y41" s="273"/>
      <c r="Z41" s="273"/>
      <c r="AA41" s="273"/>
      <c r="AB41" s="273"/>
      <c r="AC41" s="273"/>
      <c r="AD41" s="273"/>
      <c r="AE41" s="273"/>
      <c r="AF41" s="273"/>
      <c r="AG41" s="273"/>
      <c r="AH41" s="273"/>
      <c r="AI41" s="273"/>
      <c r="AJ41" s="273"/>
      <c r="AK41" s="273"/>
      <c r="AL41" s="273"/>
    </row>
    <row r="42" spans="4:41" s="254" customFormat="1" ht="9.9499999999999993" customHeight="1" x14ac:dyDescent="0.2">
      <c r="I42" s="352" t="s">
        <v>1716</v>
      </c>
      <c r="J42" s="352"/>
      <c r="N42" s="273"/>
      <c r="P42" s="273"/>
      <c r="R42" s="273">
        <v>-6841</v>
      </c>
      <c r="T42" s="273">
        <f>+N42+P42+R42</f>
        <v>-6841</v>
      </c>
      <c r="W42" s="273"/>
      <c r="X42" s="273"/>
      <c r="Y42" s="273"/>
      <c r="Z42" s="273"/>
      <c r="AA42" s="273"/>
      <c r="AB42" s="273"/>
      <c r="AC42" s="273"/>
      <c r="AD42" s="273"/>
      <c r="AE42" s="273"/>
      <c r="AF42" s="273"/>
      <c r="AG42" s="273"/>
      <c r="AH42" s="273"/>
      <c r="AI42" s="273"/>
      <c r="AJ42" s="273"/>
      <c r="AK42" s="273"/>
      <c r="AL42" s="273"/>
    </row>
    <row r="43" spans="4:41" s="254" customFormat="1" ht="5.0999999999999996" customHeight="1" x14ac:dyDescent="0.2">
      <c r="I43" s="352"/>
      <c r="J43" s="352"/>
      <c r="N43" s="273"/>
      <c r="P43" s="273"/>
      <c r="R43" s="273"/>
      <c r="T43" s="273"/>
      <c r="W43" s="273"/>
      <c r="X43" s="273"/>
      <c r="Y43" s="273"/>
      <c r="Z43" s="273"/>
      <c r="AA43" s="273"/>
      <c r="AB43" s="273"/>
      <c r="AC43" s="273"/>
      <c r="AD43" s="273"/>
      <c r="AE43" s="273"/>
      <c r="AF43" s="273"/>
      <c r="AG43" s="273"/>
      <c r="AH43" s="273"/>
      <c r="AI43" s="273"/>
      <c r="AJ43" s="273"/>
      <c r="AK43" s="273"/>
      <c r="AL43" s="273"/>
    </row>
    <row r="44" spans="4:41" s="254" customFormat="1" ht="9.9499999999999993" hidden="1" customHeight="1" x14ac:dyDescent="0.2">
      <c r="I44" s="352" t="s">
        <v>1717</v>
      </c>
      <c r="J44" s="352"/>
      <c r="N44" s="273"/>
      <c r="P44" s="273"/>
      <c r="R44" s="273"/>
      <c r="T44" s="273">
        <f>+N44+P44+R44</f>
        <v>0</v>
      </c>
      <c r="W44" s="273"/>
      <c r="X44" s="273"/>
      <c r="Y44" s="273"/>
      <c r="Z44" s="273"/>
      <c r="AA44" s="273"/>
      <c r="AB44" s="273"/>
      <c r="AC44" s="273"/>
      <c r="AD44" s="273"/>
      <c r="AE44" s="273"/>
      <c r="AF44" s="273"/>
      <c r="AG44" s="273"/>
      <c r="AH44" s="273"/>
      <c r="AI44" s="273"/>
      <c r="AJ44" s="273"/>
      <c r="AK44" s="273"/>
      <c r="AL44" s="273"/>
    </row>
    <row r="45" spans="4:41" s="254" customFormat="1" ht="5.0999999999999996" hidden="1" customHeight="1" x14ac:dyDescent="0.2">
      <c r="I45" s="352"/>
      <c r="J45" s="352"/>
      <c r="N45" s="273"/>
      <c r="P45" s="273"/>
      <c r="R45" s="273"/>
      <c r="T45" s="273"/>
      <c r="W45" s="273"/>
      <c r="X45" s="273"/>
      <c r="Y45" s="273"/>
      <c r="Z45" s="273"/>
      <c r="AA45" s="273"/>
      <c r="AB45" s="273"/>
      <c r="AC45" s="273"/>
      <c r="AD45" s="273"/>
      <c r="AE45" s="273"/>
      <c r="AF45" s="273"/>
      <c r="AG45" s="273"/>
      <c r="AH45" s="273"/>
      <c r="AI45" s="273"/>
      <c r="AJ45" s="273"/>
      <c r="AK45" s="273"/>
      <c r="AL45" s="273"/>
    </row>
    <row r="46" spans="4:41" s="254" customFormat="1" ht="9.9499999999999993" customHeight="1" x14ac:dyDescent="0.2">
      <c r="I46" s="352"/>
      <c r="J46" s="352" t="s">
        <v>1718</v>
      </c>
      <c r="N46" s="273">
        <f>SUM(N36:N44)</f>
        <v>4031215</v>
      </c>
      <c r="P46" s="273">
        <f>SUM(P36:P44)</f>
        <v>4479505</v>
      </c>
      <c r="R46" s="273">
        <f>SUM(R36:R44)</f>
        <v>191758</v>
      </c>
      <c r="T46" s="273">
        <f>SUM(T36:T44)</f>
        <v>8702478</v>
      </c>
      <c r="W46" s="273"/>
      <c r="X46" s="273"/>
      <c r="Y46" s="273"/>
      <c r="Z46" s="273"/>
      <c r="AA46" s="273"/>
      <c r="AB46" s="273"/>
      <c r="AC46" s="273"/>
      <c r="AD46" s="273"/>
      <c r="AE46" s="273"/>
      <c r="AF46" s="273"/>
      <c r="AG46" s="273"/>
      <c r="AH46" s="273"/>
      <c r="AI46" s="273"/>
      <c r="AJ46" s="273"/>
      <c r="AK46" s="273"/>
      <c r="AL46" s="273"/>
    </row>
    <row r="47" spans="4:41" s="254" customFormat="1" ht="5.0999999999999996" customHeight="1" x14ac:dyDescent="0.2">
      <c r="I47" s="352"/>
      <c r="J47" s="352"/>
      <c r="N47" s="340"/>
      <c r="P47" s="340"/>
      <c r="R47" s="340"/>
      <c r="T47" s="340"/>
      <c r="W47" s="273"/>
      <c r="X47" s="273"/>
      <c r="Y47" s="273"/>
      <c r="Z47" s="273"/>
      <c r="AA47" s="273"/>
      <c r="AB47" s="273"/>
      <c r="AC47" s="273"/>
      <c r="AD47" s="273"/>
      <c r="AE47" s="273"/>
      <c r="AF47" s="273"/>
      <c r="AG47" s="273"/>
      <c r="AH47" s="273"/>
      <c r="AI47" s="273"/>
      <c r="AJ47" s="273"/>
      <c r="AK47" s="273"/>
      <c r="AL47" s="273"/>
    </row>
    <row r="48" spans="4:41" s="254" customFormat="1" ht="11.1" customHeight="1" thickBot="1" x14ac:dyDescent="0.25">
      <c r="I48" s="353" t="s">
        <v>1115</v>
      </c>
      <c r="J48" s="352"/>
      <c r="N48" s="344">
        <f>+N46+N34</f>
        <v>4364055</v>
      </c>
      <c r="P48" s="344">
        <f>+P46+P34</f>
        <v>4928304</v>
      </c>
      <c r="R48" s="344">
        <f>+R46+R34</f>
        <v>191952</v>
      </c>
      <c r="T48" s="344">
        <f>+T46+T34</f>
        <v>9484311</v>
      </c>
      <c r="V48" s="301"/>
      <c r="W48" s="347"/>
      <c r="X48" s="347"/>
      <c r="Y48" s="364"/>
      <c r="Z48" s="347"/>
      <c r="AA48" s="347"/>
      <c r="AB48" s="364"/>
      <c r="AC48" s="347"/>
      <c r="AD48" s="347"/>
      <c r="AE48" s="364"/>
      <c r="AF48" s="347"/>
      <c r="AG48" s="347"/>
      <c r="AH48" s="364"/>
      <c r="AI48" s="347"/>
      <c r="AJ48" s="347"/>
      <c r="AK48" s="364"/>
      <c r="AL48" s="347"/>
      <c r="AN48" s="364"/>
      <c r="AO48" s="347"/>
    </row>
    <row r="49" spans="1:38" s="254" customFormat="1" ht="5.0999999999999996" customHeight="1" thickTop="1" x14ac:dyDescent="0.2">
      <c r="N49" s="347"/>
      <c r="P49" s="347"/>
      <c r="R49" s="347"/>
      <c r="T49" s="347"/>
      <c r="V49" s="301"/>
      <c r="W49" s="347"/>
      <c r="X49" s="347"/>
      <c r="Y49" s="364"/>
      <c r="Z49" s="347"/>
      <c r="AA49" s="347"/>
      <c r="AB49" s="364"/>
      <c r="AC49" s="347"/>
      <c r="AD49" s="347"/>
      <c r="AE49" s="364"/>
      <c r="AF49" s="347"/>
      <c r="AG49" s="347"/>
      <c r="AH49" s="364"/>
      <c r="AI49" s="347"/>
      <c r="AJ49" s="347"/>
      <c r="AK49" s="364"/>
      <c r="AL49" s="347"/>
    </row>
    <row r="50" spans="1:38" s="254" customFormat="1" ht="11.1" customHeight="1" x14ac:dyDescent="0.2">
      <c r="N50" s="347"/>
      <c r="P50" s="347"/>
      <c r="R50" s="347"/>
      <c r="T50" s="347"/>
      <c r="V50" s="301"/>
      <c r="W50" s="347"/>
      <c r="X50" s="347"/>
      <c r="Y50" s="364"/>
      <c r="Z50" s="347"/>
      <c r="AA50" s="347"/>
      <c r="AB50" s="364"/>
      <c r="AC50" s="347"/>
      <c r="AD50" s="347"/>
      <c r="AE50" s="364"/>
      <c r="AF50" s="347"/>
      <c r="AG50" s="347"/>
      <c r="AH50" s="364"/>
      <c r="AI50" s="347"/>
      <c r="AJ50" s="347"/>
      <c r="AK50" s="364"/>
      <c r="AL50" s="347"/>
    </row>
    <row r="51" spans="1:38" s="678" customFormat="1" ht="9.9499999999999993" customHeight="1" x14ac:dyDescent="0.2">
      <c r="L51" s="673" t="s">
        <v>371</v>
      </c>
      <c r="N51" s="681">
        <f>SUM(SONPCU!C177)</f>
        <v>4364055</v>
      </c>
      <c r="O51" s="681"/>
      <c r="P51" s="681">
        <f>SUM(SONPCU!E177)</f>
        <v>4928304</v>
      </c>
      <c r="Q51" s="681"/>
      <c r="R51" s="681">
        <f>SUM(SONPCU!G177)</f>
        <v>191952</v>
      </c>
      <c r="S51" s="681"/>
      <c r="T51" s="681">
        <f>SUM(SONPCU!I177)</f>
        <v>9484311</v>
      </c>
      <c r="V51" s="689"/>
      <c r="W51" s="690"/>
      <c r="X51" s="690"/>
      <c r="Y51" s="691"/>
      <c r="Z51" s="690"/>
      <c r="AA51" s="690"/>
      <c r="AB51" s="691"/>
      <c r="AC51" s="690"/>
      <c r="AD51" s="690"/>
      <c r="AE51" s="691"/>
      <c r="AF51" s="690"/>
      <c r="AG51" s="690"/>
      <c r="AH51" s="691"/>
      <c r="AI51" s="690"/>
      <c r="AJ51" s="690"/>
      <c r="AK51" s="691"/>
      <c r="AL51" s="690"/>
    </row>
    <row r="52" spans="1:38" s="678" customFormat="1" ht="9.9499999999999993" customHeight="1" x14ac:dyDescent="0.2">
      <c r="L52" s="402"/>
      <c r="N52" s="681">
        <f>N48-N51</f>
        <v>0</v>
      </c>
      <c r="O52" s="681"/>
      <c r="P52" s="681">
        <f>P48-P51</f>
        <v>0</v>
      </c>
      <c r="Q52" s="681"/>
      <c r="R52" s="681">
        <f>R48-R51</f>
        <v>0</v>
      </c>
      <c r="S52" s="681"/>
      <c r="T52" s="681">
        <f>T48-T51</f>
        <v>0</v>
      </c>
      <c r="V52" s="689"/>
      <c r="W52" s="690"/>
      <c r="X52" s="690"/>
      <c r="Y52" s="691"/>
      <c r="Z52" s="690"/>
      <c r="AA52" s="690"/>
      <c r="AB52" s="691"/>
      <c r="AC52" s="690"/>
      <c r="AD52" s="690"/>
      <c r="AE52" s="691"/>
      <c r="AF52" s="690"/>
      <c r="AG52" s="690"/>
      <c r="AH52" s="691"/>
      <c r="AI52" s="690"/>
      <c r="AJ52" s="690"/>
      <c r="AK52" s="691"/>
      <c r="AL52" s="690"/>
    </row>
    <row r="53" spans="1:38" s="254" customFormat="1" ht="9.9499999999999993" customHeight="1" x14ac:dyDescent="0.2">
      <c r="N53" s="347"/>
      <c r="P53" s="347"/>
      <c r="R53" s="347"/>
      <c r="T53" s="347"/>
      <c r="V53" s="301"/>
      <c r="W53" s="347"/>
      <c r="X53" s="347"/>
      <c r="Y53" s="364"/>
      <c r="Z53" s="347"/>
      <c r="AA53" s="347"/>
      <c r="AB53" s="364"/>
      <c r="AC53" s="347"/>
      <c r="AD53" s="347"/>
      <c r="AE53" s="364"/>
      <c r="AF53" s="347"/>
      <c r="AG53" s="347"/>
      <c r="AH53" s="364"/>
      <c r="AI53" s="347"/>
      <c r="AJ53" s="347"/>
      <c r="AK53" s="364"/>
      <c r="AL53" s="347"/>
    </row>
    <row r="54" spans="1:38" s="254" customFormat="1" ht="9.9499999999999993" customHeight="1" x14ac:dyDescent="0.2">
      <c r="N54" s="347"/>
      <c r="P54" s="347"/>
      <c r="R54" s="347"/>
      <c r="T54" s="347"/>
      <c r="V54" s="301"/>
      <c r="W54" s="347"/>
      <c r="X54" s="347"/>
      <c r="Y54" s="364"/>
      <c r="Z54" s="347"/>
      <c r="AA54" s="347"/>
      <c r="AB54" s="364"/>
      <c r="AC54" s="347"/>
      <c r="AD54" s="347"/>
      <c r="AE54" s="364"/>
      <c r="AF54" s="347"/>
      <c r="AG54" s="347"/>
      <c r="AH54" s="364"/>
      <c r="AI54" s="347"/>
      <c r="AJ54" s="347"/>
      <c r="AK54" s="364"/>
      <c r="AL54" s="347"/>
    </row>
    <row r="55" spans="1:38" s="254" customFormat="1" ht="9.9499999999999993" customHeight="1" x14ac:dyDescent="0.2">
      <c r="N55" s="347"/>
      <c r="P55" s="347"/>
      <c r="R55" s="347"/>
      <c r="T55" s="347"/>
      <c r="V55" s="301"/>
      <c r="W55" s="347"/>
      <c r="X55" s="347"/>
      <c r="Y55" s="364"/>
      <c r="Z55" s="347"/>
      <c r="AA55" s="347"/>
      <c r="AB55" s="364"/>
      <c r="AC55" s="347"/>
      <c r="AD55" s="347"/>
      <c r="AE55" s="364"/>
      <c r="AF55" s="347"/>
      <c r="AG55" s="347"/>
      <c r="AH55" s="364"/>
      <c r="AI55" s="347"/>
      <c r="AJ55" s="347"/>
      <c r="AK55" s="364"/>
      <c r="AL55" s="347"/>
    </row>
    <row r="56" spans="1:38" s="254" customFormat="1" ht="9.9499999999999993" customHeight="1" x14ac:dyDescent="0.2">
      <c r="H56" s="259"/>
      <c r="N56" s="448">
        <f>3740755-N36</f>
        <v>-290460</v>
      </c>
      <c r="P56" s="447"/>
      <c r="R56" s="636"/>
      <c r="T56" s="447"/>
      <c r="V56" s="447"/>
      <c r="W56" s="447"/>
      <c r="X56" s="447"/>
      <c r="Y56" s="447"/>
      <c r="Z56" s="447"/>
      <c r="AA56" s="347"/>
      <c r="AB56" s="447"/>
      <c r="AC56" s="347"/>
      <c r="AD56" s="347"/>
      <c r="AE56" s="364"/>
      <c r="AF56" s="347"/>
      <c r="AG56" s="347"/>
      <c r="AH56" s="364"/>
      <c r="AI56" s="347"/>
      <c r="AJ56" s="347"/>
      <c r="AK56" s="364"/>
      <c r="AL56" s="347"/>
    </row>
    <row r="57" spans="1:38" s="254" customFormat="1" ht="9.9499999999999993" customHeight="1" x14ac:dyDescent="0.2">
      <c r="H57" s="259"/>
      <c r="N57" s="448"/>
      <c r="P57" s="636"/>
      <c r="R57" s="448"/>
      <c r="T57" s="636"/>
      <c r="V57" s="636"/>
      <c r="W57" s="636"/>
      <c r="X57" s="636"/>
      <c r="Y57" s="448"/>
      <c r="Z57" s="448"/>
      <c r="AA57" s="347"/>
      <c r="AB57" s="448"/>
      <c r="AD57" s="347"/>
      <c r="AE57" s="364"/>
      <c r="AF57" s="347"/>
      <c r="AG57" s="347"/>
      <c r="AH57" s="364"/>
      <c r="AI57" s="347"/>
      <c r="AJ57" s="347"/>
      <c r="AK57" s="364"/>
      <c r="AL57" s="347"/>
    </row>
    <row r="58" spans="1:38" s="254" customFormat="1" ht="9.9499999999999993" customHeight="1" x14ac:dyDescent="0.2">
      <c r="H58" s="259"/>
      <c r="N58" s="636"/>
      <c r="P58" s="636"/>
      <c r="R58" s="636"/>
      <c r="T58" s="636"/>
      <c r="V58" s="636"/>
      <c r="W58" s="636"/>
      <c r="X58" s="636"/>
      <c r="Y58" s="448"/>
      <c r="Z58" s="636"/>
      <c r="AA58" s="347"/>
      <c r="AB58" s="636"/>
      <c r="AC58" s="364"/>
      <c r="AD58" s="347"/>
      <c r="AE58" s="364"/>
      <c r="AF58" s="347"/>
      <c r="AG58" s="347"/>
      <c r="AH58" s="364"/>
      <c r="AI58" s="347"/>
      <c r="AJ58" s="347"/>
      <c r="AK58" s="364"/>
      <c r="AL58" s="347"/>
    </row>
    <row r="59" spans="1:38" s="254" customFormat="1" ht="9.9499999999999993" customHeight="1" x14ac:dyDescent="0.2">
      <c r="N59" s="636">
        <v>3105695</v>
      </c>
      <c r="P59" s="636"/>
      <c r="R59" s="636"/>
      <c r="T59" s="636"/>
      <c r="V59" s="636"/>
      <c r="W59" s="636"/>
      <c r="X59" s="636"/>
      <c r="Y59" s="448"/>
      <c r="Z59" s="636"/>
      <c r="AA59" s="347"/>
      <c r="AB59" s="636"/>
      <c r="AC59" s="364"/>
      <c r="AD59" s="347"/>
      <c r="AE59" s="364"/>
      <c r="AF59" s="347"/>
      <c r="AG59" s="347"/>
      <c r="AH59" s="364"/>
      <c r="AI59" s="347"/>
      <c r="AJ59" s="347"/>
      <c r="AK59" s="364"/>
      <c r="AL59" s="347"/>
    </row>
    <row r="60" spans="1:38" s="254" customFormat="1" ht="9.9499999999999993" customHeight="1" x14ac:dyDescent="0.2">
      <c r="N60" s="636"/>
      <c r="P60" s="636"/>
      <c r="R60" s="636"/>
      <c r="T60" s="636"/>
      <c r="V60" s="636"/>
      <c r="W60" s="636"/>
      <c r="X60" s="636"/>
      <c r="Y60" s="448"/>
      <c r="Z60" s="636"/>
      <c r="AA60" s="347"/>
      <c r="AB60" s="636"/>
      <c r="AC60" s="364"/>
    </row>
    <row r="61" spans="1:38" ht="9.9499999999999993" customHeight="1" x14ac:dyDescent="0.2">
      <c r="A61" s="603"/>
      <c r="B61" s="603"/>
      <c r="N61" s="265">
        <f>+N59-P36</f>
        <v>-1373908</v>
      </c>
      <c r="AA61" s="516"/>
    </row>
    <row r="62" spans="1:38" ht="9.9499999999999993" customHeight="1" x14ac:dyDescent="0.2">
      <c r="A62" s="603"/>
      <c r="B62" s="603"/>
      <c r="C62" s="516"/>
      <c r="D62" s="516"/>
      <c r="E62" s="598"/>
      <c r="F62" s="516"/>
      <c r="G62" s="516"/>
      <c r="H62" s="516"/>
      <c r="I62" s="516"/>
      <c r="J62" s="516"/>
      <c r="K62" s="516"/>
      <c r="L62" s="516"/>
      <c r="M62" s="516"/>
      <c r="N62" s="269"/>
      <c r="O62" s="516"/>
      <c r="P62" s="516"/>
      <c r="Q62" s="516"/>
      <c r="R62" s="516"/>
      <c r="S62" s="516"/>
      <c r="T62" s="516"/>
      <c r="W62" s="516"/>
      <c r="X62" s="516"/>
      <c r="Z62" s="516"/>
      <c r="AA62" s="516"/>
      <c r="AC62" s="516"/>
      <c r="AD62" s="516"/>
      <c r="AF62" s="516"/>
      <c r="AG62" s="516"/>
      <c r="AI62" s="516"/>
      <c r="AJ62" s="516"/>
      <c r="AL62" s="516"/>
    </row>
    <row r="63" spans="1:38" ht="9.9499999999999993" customHeight="1" x14ac:dyDescent="0.2">
      <c r="C63" s="269"/>
      <c r="D63" s="269"/>
      <c r="E63" s="269"/>
      <c r="F63" s="269"/>
      <c r="G63" s="269"/>
      <c r="H63" s="269"/>
      <c r="I63" s="269"/>
      <c r="J63" s="269"/>
      <c r="K63" s="269"/>
      <c r="L63" s="269"/>
      <c r="M63" s="269"/>
      <c r="N63" s="269"/>
      <c r="O63" s="269"/>
      <c r="P63" s="269"/>
      <c r="Q63" s="269"/>
      <c r="R63" s="269"/>
      <c r="S63" s="269"/>
      <c r="T63" s="269"/>
      <c r="V63" s="269"/>
      <c r="W63" s="269"/>
      <c r="X63" s="269"/>
      <c r="Y63" s="269"/>
      <c r="Z63" s="269"/>
      <c r="AA63" s="269"/>
      <c r="AB63" s="269"/>
      <c r="AC63" s="269"/>
      <c r="AD63" s="269"/>
      <c r="AE63" s="269"/>
      <c r="AF63" s="269"/>
      <c r="AG63" s="269"/>
      <c r="AH63" s="269"/>
      <c r="AI63" s="269"/>
      <c r="AJ63" s="269"/>
      <c r="AK63" s="269"/>
      <c r="AL63" s="269"/>
    </row>
    <row r="64" spans="1:38" ht="9.9499999999999993" customHeight="1" x14ac:dyDescent="0.2">
      <c r="C64" s="269"/>
      <c r="D64" s="269"/>
      <c r="E64" s="269"/>
      <c r="F64" s="269"/>
      <c r="G64" s="269"/>
      <c r="H64" s="269"/>
      <c r="I64" s="269"/>
      <c r="J64" s="269"/>
      <c r="K64" s="269"/>
      <c r="L64" s="269"/>
      <c r="M64" s="269"/>
      <c r="N64" s="269">
        <v>3880248</v>
      </c>
      <c r="O64" s="269"/>
      <c r="P64" s="269"/>
      <c r="Q64" s="269"/>
      <c r="R64" s="269"/>
      <c r="S64" s="269"/>
      <c r="T64" s="269"/>
      <c r="V64" s="269"/>
      <c r="W64" s="269"/>
      <c r="X64" s="269"/>
      <c r="Y64" s="269"/>
      <c r="Z64" s="269"/>
      <c r="AA64" s="269"/>
      <c r="AB64" s="269"/>
      <c r="AC64" s="269"/>
      <c r="AD64" s="269"/>
      <c r="AE64" s="269"/>
      <c r="AF64" s="269"/>
      <c r="AG64" s="269"/>
      <c r="AH64" s="269"/>
      <c r="AI64" s="269"/>
      <c r="AJ64" s="269"/>
      <c r="AK64" s="269"/>
      <c r="AL64" s="269"/>
    </row>
    <row r="65" spans="1:38" ht="9.9499999999999993" customHeight="1" x14ac:dyDescent="0.2">
      <c r="A65" s="603"/>
      <c r="B65" s="603"/>
      <c r="C65" s="269"/>
      <c r="D65" s="269"/>
      <c r="E65" s="269"/>
      <c r="F65" s="269"/>
      <c r="G65" s="269"/>
      <c r="H65" s="269"/>
      <c r="I65" s="269"/>
      <c r="J65" s="269"/>
      <c r="K65" s="269"/>
      <c r="L65" s="269"/>
      <c r="M65" s="269"/>
      <c r="N65" s="265">
        <v>3890723</v>
      </c>
      <c r="O65" s="269"/>
      <c r="P65" s="269"/>
      <c r="Q65" s="269"/>
      <c r="R65" s="269"/>
      <c r="S65" s="269"/>
      <c r="T65" s="269"/>
      <c r="V65" s="269"/>
      <c r="W65" s="269"/>
      <c r="X65" s="269"/>
      <c r="Y65" s="269"/>
      <c r="Z65" s="269"/>
      <c r="AA65" s="269"/>
      <c r="AB65" s="269"/>
      <c r="AC65" s="269"/>
      <c r="AD65" s="269"/>
      <c r="AE65" s="269"/>
      <c r="AF65" s="269"/>
      <c r="AG65" s="269"/>
      <c r="AH65" s="269"/>
      <c r="AI65" s="269"/>
      <c r="AJ65" s="269"/>
      <c r="AK65" s="269"/>
      <c r="AL65" s="269"/>
    </row>
    <row r="66" spans="1:38" ht="9.9499999999999993" customHeight="1" x14ac:dyDescent="0.2">
      <c r="C66" s="269"/>
      <c r="D66" s="269"/>
      <c r="E66" s="269"/>
      <c r="F66" s="269"/>
      <c r="G66" s="269"/>
      <c r="H66" s="269"/>
      <c r="I66" s="269"/>
      <c r="J66" s="269"/>
      <c r="K66" s="269"/>
      <c r="L66" s="269"/>
      <c r="M66" s="269"/>
      <c r="N66" s="269"/>
      <c r="O66" s="269"/>
      <c r="P66" s="269"/>
      <c r="Q66" s="269"/>
      <c r="R66" s="269"/>
      <c r="S66" s="269"/>
      <c r="T66" s="269"/>
      <c r="V66" s="269"/>
      <c r="W66" s="269"/>
      <c r="X66" s="269"/>
      <c r="Y66" s="269"/>
      <c r="Z66" s="269"/>
      <c r="AA66" s="269"/>
      <c r="AB66" s="269"/>
      <c r="AC66" s="269"/>
      <c r="AD66" s="269"/>
      <c r="AE66" s="269"/>
      <c r="AF66" s="269"/>
      <c r="AG66" s="269"/>
      <c r="AH66" s="269"/>
      <c r="AI66" s="269"/>
      <c r="AJ66" s="269"/>
      <c r="AK66" s="269"/>
      <c r="AL66" s="269"/>
    </row>
    <row r="67" spans="1:38" ht="9.9499999999999993" customHeight="1" x14ac:dyDescent="0.2">
      <c r="C67" s="269"/>
      <c r="D67" s="269"/>
      <c r="E67" s="269"/>
      <c r="F67" s="269"/>
      <c r="G67" s="269"/>
      <c r="H67" s="269"/>
      <c r="I67" s="269"/>
      <c r="J67" s="269"/>
      <c r="K67" s="269"/>
      <c r="L67" s="269"/>
      <c r="M67" s="269"/>
      <c r="N67" s="269">
        <f>+N64-N65</f>
        <v>-10475</v>
      </c>
      <c r="O67" s="269"/>
      <c r="P67" s="269"/>
      <c r="Q67" s="269"/>
      <c r="R67" s="269"/>
      <c r="S67" s="269"/>
      <c r="T67" s="269"/>
      <c r="V67" s="269"/>
      <c r="W67" s="269"/>
      <c r="X67" s="269"/>
      <c r="Y67" s="269"/>
      <c r="Z67" s="269"/>
      <c r="AA67" s="269"/>
      <c r="AB67" s="269"/>
      <c r="AC67" s="269"/>
      <c r="AD67" s="269"/>
      <c r="AE67" s="269"/>
      <c r="AF67" s="269"/>
      <c r="AG67" s="269"/>
      <c r="AH67" s="269"/>
      <c r="AI67" s="269"/>
      <c r="AJ67" s="269"/>
      <c r="AK67" s="269"/>
      <c r="AL67" s="269"/>
    </row>
    <row r="68" spans="1:38" ht="9.9499999999999993" customHeight="1" x14ac:dyDescent="0.2">
      <c r="A68" s="603"/>
      <c r="B68" s="603"/>
      <c r="C68" s="269"/>
      <c r="D68" s="269"/>
      <c r="E68" s="269"/>
      <c r="F68" s="269"/>
      <c r="G68" s="269"/>
      <c r="H68" s="269"/>
      <c r="I68" s="269"/>
      <c r="J68" s="269"/>
      <c r="K68" s="269"/>
      <c r="L68" s="269"/>
      <c r="M68" s="269"/>
      <c r="N68" s="269"/>
      <c r="O68" s="269"/>
      <c r="P68" s="269"/>
      <c r="Q68" s="269"/>
      <c r="R68" s="269"/>
      <c r="S68" s="269"/>
      <c r="T68" s="269"/>
      <c r="V68" s="269"/>
      <c r="W68" s="269"/>
      <c r="X68" s="269"/>
      <c r="Y68" s="269"/>
      <c r="Z68" s="269"/>
      <c r="AA68" s="269"/>
      <c r="AB68" s="269"/>
      <c r="AC68" s="269"/>
      <c r="AD68" s="269"/>
      <c r="AE68" s="269"/>
      <c r="AF68" s="269"/>
      <c r="AG68" s="269"/>
      <c r="AH68" s="269"/>
      <c r="AI68" s="269"/>
      <c r="AJ68" s="269"/>
      <c r="AK68" s="269"/>
      <c r="AL68" s="269"/>
    </row>
    <row r="69" spans="1:38" ht="9.9499999999999993" customHeight="1" x14ac:dyDescent="0.2">
      <c r="C69" s="269"/>
      <c r="D69" s="269"/>
      <c r="E69" s="269"/>
      <c r="F69" s="269"/>
      <c r="G69" s="269"/>
      <c r="H69" s="269"/>
      <c r="I69" s="269"/>
      <c r="J69" s="269"/>
      <c r="K69" s="269"/>
      <c r="L69" s="269"/>
      <c r="M69" s="269"/>
      <c r="N69" s="269"/>
      <c r="O69" s="269"/>
      <c r="P69" s="269"/>
      <c r="Q69" s="269"/>
      <c r="R69" s="269"/>
      <c r="S69" s="269"/>
      <c r="T69" s="269"/>
      <c r="V69" s="269"/>
      <c r="W69" s="269"/>
      <c r="X69" s="269"/>
      <c r="Y69" s="269"/>
      <c r="Z69" s="269"/>
      <c r="AA69" s="269"/>
      <c r="AB69" s="269"/>
      <c r="AC69" s="269"/>
      <c r="AD69" s="269"/>
      <c r="AE69" s="269"/>
      <c r="AF69" s="269"/>
      <c r="AG69" s="269"/>
      <c r="AH69" s="269"/>
      <c r="AI69" s="269"/>
      <c r="AJ69" s="269"/>
      <c r="AK69" s="269"/>
      <c r="AL69" s="269"/>
    </row>
    <row r="70" spans="1:38" ht="9.9499999999999993" customHeight="1" x14ac:dyDescent="0.2">
      <c r="C70" s="269"/>
      <c r="D70" s="269"/>
      <c r="E70" s="269"/>
      <c r="F70" s="269"/>
      <c r="G70" s="269"/>
      <c r="H70" s="269"/>
      <c r="I70" s="269"/>
      <c r="J70" s="269"/>
      <c r="K70" s="269"/>
      <c r="L70" s="269"/>
      <c r="M70" s="269"/>
      <c r="N70" s="269"/>
      <c r="O70" s="269"/>
      <c r="P70" s="269"/>
      <c r="Q70" s="269"/>
      <c r="R70" s="269"/>
      <c r="S70" s="269"/>
      <c r="T70" s="269"/>
      <c r="V70" s="269"/>
      <c r="W70" s="269"/>
      <c r="X70" s="269"/>
      <c r="Y70" s="269"/>
      <c r="Z70" s="269"/>
      <c r="AA70" s="269"/>
      <c r="AB70" s="269"/>
      <c r="AC70" s="269"/>
      <c r="AD70" s="269"/>
      <c r="AE70" s="269"/>
      <c r="AF70" s="269"/>
      <c r="AG70" s="269"/>
      <c r="AH70" s="269"/>
      <c r="AI70" s="269"/>
      <c r="AJ70" s="269"/>
      <c r="AK70" s="269"/>
      <c r="AL70" s="269"/>
    </row>
    <row r="71" spans="1:38" ht="9.9499999999999993" customHeight="1" x14ac:dyDescent="0.2">
      <c r="A71" s="603"/>
      <c r="B71" s="603"/>
      <c r="C71" s="269"/>
      <c r="D71" s="269"/>
      <c r="E71" s="269"/>
      <c r="F71" s="269"/>
      <c r="G71" s="269"/>
      <c r="H71" s="269"/>
      <c r="I71" s="269"/>
      <c r="J71" s="269"/>
      <c r="K71" s="269"/>
      <c r="L71" s="269"/>
      <c r="M71" s="269"/>
      <c r="O71" s="269"/>
      <c r="P71" s="269"/>
      <c r="Q71" s="269"/>
      <c r="R71" s="269"/>
      <c r="S71" s="269"/>
      <c r="T71" s="269"/>
      <c r="V71" s="269"/>
      <c r="W71" s="269"/>
      <c r="X71" s="269"/>
      <c r="Y71" s="269"/>
      <c r="Z71" s="269"/>
      <c r="AA71" s="269"/>
      <c r="AB71" s="269"/>
      <c r="AC71" s="269"/>
      <c r="AD71" s="269"/>
      <c r="AE71" s="269"/>
      <c r="AF71" s="269"/>
      <c r="AG71" s="269"/>
      <c r="AH71" s="269"/>
      <c r="AI71" s="269"/>
      <c r="AJ71" s="269"/>
      <c r="AK71" s="269"/>
      <c r="AL71" s="269"/>
    </row>
    <row r="72" spans="1:38" ht="9.9499999999999993" customHeight="1" x14ac:dyDescent="0.2">
      <c r="C72" s="269"/>
      <c r="D72" s="269"/>
      <c r="E72" s="269"/>
      <c r="F72" s="269"/>
      <c r="G72" s="269"/>
      <c r="H72" s="269"/>
      <c r="I72" s="269"/>
      <c r="J72" s="269"/>
      <c r="K72" s="269"/>
      <c r="L72" s="269"/>
      <c r="M72" s="269"/>
      <c r="N72" s="269"/>
      <c r="O72" s="269"/>
      <c r="P72" s="269"/>
      <c r="Q72" s="269"/>
      <c r="R72" s="269"/>
      <c r="S72" s="269"/>
      <c r="T72" s="269"/>
      <c r="V72" s="269"/>
      <c r="W72" s="269"/>
      <c r="X72" s="269"/>
      <c r="Y72" s="269"/>
      <c r="Z72" s="269"/>
      <c r="AA72" s="269"/>
      <c r="AB72" s="269"/>
      <c r="AC72" s="269"/>
      <c r="AD72" s="269"/>
      <c r="AE72" s="269"/>
      <c r="AF72" s="269"/>
      <c r="AG72" s="269"/>
      <c r="AH72" s="269"/>
      <c r="AI72" s="269"/>
      <c r="AJ72" s="269"/>
      <c r="AK72" s="269"/>
      <c r="AL72" s="269"/>
    </row>
    <row r="73" spans="1:38" ht="9.9499999999999993" customHeight="1" x14ac:dyDescent="0.2">
      <c r="C73" s="269"/>
      <c r="D73" s="269"/>
      <c r="E73" s="269"/>
      <c r="F73" s="269"/>
      <c r="G73" s="269"/>
      <c r="H73" s="269"/>
      <c r="I73" s="269"/>
      <c r="J73" s="269"/>
      <c r="K73" s="269"/>
      <c r="L73" s="269"/>
      <c r="M73" s="269"/>
      <c r="N73" s="269"/>
      <c r="O73" s="269"/>
      <c r="P73" s="269"/>
      <c r="Q73" s="269"/>
      <c r="R73" s="269"/>
      <c r="S73" s="269"/>
      <c r="V73" s="269"/>
      <c r="W73" s="269"/>
      <c r="X73" s="269"/>
      <c r="Y73" s="269"/>
      <c r="Z73" s="269"/>
      <c r="AA73" s="269"/>
      <c r="AB73" s="269"/>
      <c r="AC73" s="269"/>
      <c r="AD73" s="269"/>
      <c r="AE73" s="269"/>
      <c r="AF73" s="269"/>
      <c r="AG73" s="269"/>
      <c r="AH73" s="269"/>
      <c r="AI73" s="269"/>
      <c r="AJ73" s="269"/>
      <c r="AK73" s="269"/>
      <c r="AL73" s="269"/>
    </row>
    <row r="74" spans="1:38" ht="9.9499999999999993" customHeight="1" x14ac:dyDescent="0.2">
      <c r="C74" s="269"/>
      <c r="D74" s="269"/>
      <c r="E74" s="269"/>
      <c r="F74" s="269"/>
      <c r="G74" s="269"/>
      <c r="H74" s="269"/>
      <c r="I74" s="269"/>
      <c r="J74" s="269"/>
      <c r="K74" s="269"/>
      <c r="L74" s="269"/>
      <c r="M74" s="269"/>
      <c r="N74" s="269"/>
      <c r="O74" s="269"/>
      <c r="P74" s="269"/>
      <c r="Q74" s="269"/>
      <c r="R74" s="269"/>
      <c r="S74" s="269"/>
      <c r="T74" s="269"/>
      <c r="V74" s="269"/>
      <c r="W74" s="269"/>
      <c r="X74" s="269"/>
      <c r="Y74" s="269"/>
      <c r="Z74" s="269"/>
      <c r="AA74" s="269"/>
      <c r="AB74" s="269"/>
      <c r="AC74" s="269"/>
      <c r="AD74" s="269"/>
      <c r="AE74" s="269"/>
      <c r="AF74" s="269"/>
      <c r="AG74" s="269"/>
      <c r="AH74" s="269"/>
      <c r="AI74" s="269"/>
      <c r="AJ74" s="269"/>
      <c r="AK74" s="269"/>
      <c r="AL74" s="269"/>
    </row>
    <row r="75" spans="1:38" ht="9.9499999999999993" customHeight="1" x14ac:dyDescent="0.2">
      <c r="A75" s="603"/>
      <c r="B75" s="603"/>
      <c r="C75" s="269"/>
      <c r="D75" s="269"/>
      <c r="E75" s="269"/>
      <c r="F75" s="269"/>
      <c r="G75" s="269"/>
      <c r="H75" s="269"/>
      <c r="I75" s="269"/>
      <c r="J75" s="269"/>
      <c r="K75" s="269"/>
      <c r="L75" s="269"/>
      <c r="M75" s="269"/>
      <c r="N75" s="269"/>
      <c r="O75" s="269"/>
      <c r="P75" s="269"/>
      <c r="Q75" s="269"/>
      <c r="R75" s="269"/>
      <c r="S75" s="269"/>
      <c r="T75" s="269"/>
      <c r="V75" s="269"/>
      <c r="W75" s="269"/>
      <c r="X75" s="269"/>
      <c r="Y75" s="269"/>
      <c r="Z75" s="269"/>
      <c r="AA75" s="269"/>
      <c r="AB75" s="269"/>
      <c r="AC75" s="269"/>
      <c r="AD75" s="269"/>
      <c r="AE75" s="269"/>
      <c r="AF75" s="269"/>
      <c r="AG75" s="269"/>
      <c r="AH75" s="269"/>
      <c r="AI75" s="269"/>
      <c r="AJ75" s="269"/>
      <c r="AK75" s="269"/>
      <c r="AL75" s="269"/>
    </row>
    <row r="76" spans="1:38" ht="9.9499999999999993" customHeight="1" x14ac:dyDescent="0.2">
      <c r="A76" s="603"/>
      <c r="B76" s="603"/>
      <c r="C76" s="269"/>
      <c r="D76" s="269"/>
      <c r="E76" s="269"/>
      <c r="F76" s="269"/>
      <c r="G76" s="269"/>
      <c r="H76" s="269"/>
      <c r="I76" s="269"/>
      <c r="J76" s="269"/>
      <c r="K76" s="269"/>
      <c r="L76" s="269"/>
      <c r="M76" s="269"/>
      <c r="O76" s="269"/>
      <c r="P76" s="269"/>
      <c r="Q76" s="269"/>
      <c r="R76" s="269"/>
      <c r="S76" s="269"/>
      <c r="T76" s="269"/>
      <c r="V76" s="269"/>
      <c r="W76" s="269"/>
      <c r="X76" s="269"/>
      <c r="Y76" s="269"/>
      <c r="Z76" s="269"/>
      <c r="AA76" s="269"/>
      <c r="AB76" s="269"/>
      <c r="AC76" s="269"/>
      <c r="AD76" s="269"/>
      <c r="AE76" s="269"/>
      <c r="AF76" s="269"/>
      <c r="AG76" s="269"/>
      <c r="AH76" s="269"/>
      <c r="AI76" s="269"/>
      <c r="AJ76" s="269"/>
      <c r="AK76" s="269"/>
      <c r="AL76" s="269"/>
    </row>
    <row r="77" spans="1:38" ht="9.9499999999999993" customHeight="1" x14ac:dyDescent="0.2">
      <c r="A77" s="603"/>
      <c r="B77" s="603"/>
      <c r="C77" s="269"/>
      <c r="D77" s="269"/>
      <c r="E77" s="269"/>
      <c r="F77" s="269"/>
      <c r="G77" s="269"/>
      <c r="H77" s="269"/>
      <c r="I77" s="269"/>
      <c r="J77" s="269"/>
      <c r="K77" s="269"/>
      <c r="L77" s="269"/>
      <c r="M77" s="269"/>
      <c r="O77" s="269"/>
      <c r="P77" s="269"/>
      <c r="Q77" s="269"/>
      <c r="R77" s="269"/>
      <c r="S77" s="269"/>
      <c r="T77" s="269"/>
      <c r="V77" s="269"/>
      <c r="W77" s="269"/>
      <c r="X77" s="269"/>
      <c r="Y77" s="269"/>
      <c r="Z77" s="269"/>
      <c r="AA77" s="269"/>
      <c r="AB77" s="269"/>
      <c r="AC77" s="269"/>
      <c r="AD77" s="269"/>
      <c r="AE77" s="269"/>
      <c r="AF77" s="269"/>
      <c r="AG77" s="269"/>
      <c r="AH77" s="269"/>
      <c r="AI77" s="269"/>
      <c r="AJ77" s="269"/>
      <c r="AK77" s="269"/>
      <c r="AL77" s="269"/>
    </row>
    <row r="78" spans="1:38" ht="9.9499999999999993" customHeight="1" x14ac:dyDescent="0.2">
      <c r="A78" s="603"/>
      <c r="B78" s="603"/>
      <c r="C78" s="269"/>
      <c r="D78" s="269"/>
      <c r="E78" s="269"/>
      <c r="F78" s="269"/>
      <c r="G78" s="269"/>
      <c r="H78" s="269"/>
      <c r="I78" s="269"/>
      <c r="J78" s="269"/>
      <c r="K78" s="269"/>
      <c r="L78" s="269"/>
      <c r="M78" s="269"/>
      <c r="O78" s="269"/>
      <c r="P78" s="269"/>
      <c r="Q78" s="269"/>
      <c r="R78" s="269"/>
      <c r="S78" s="269"/>
      <c r="T78" s="269"/>
      <c r="V78" s="269"/>
      <c r="W78" s="269"/>
      <c r="X78" s="269"/>
      <c r="Y78" s="269"/>
      <c r="Z78" s="269"/>
      <c r="AA78" s="269"/>
      <c r="AB78" s="269"/>
      <c r="AC78" s="269"/>
      <c r="AD78" s="269"/>
      <c r="AE78" s="269"/>
      <c r="AF78" s="269"/>
      <c r="AG78" s="269"/>
      <c r="AH78" s="269"/>
      <c r="AI78" s="269"/>
      <c r="AJ78" s="269"/>
      <c r="AK78" s="269"/>
      <c r="AL78" s="269"/>
    </row>
    <row r="79" spans="1:38" ht="9.9499999999999993" customHeight="1" x14ac:dyDescent="0.2">
      <c r="C79" s="269"/>
      <c r="D79" s="269"/>
      <c r="E79" s="269"/>
      <c r="F79" s="269"/>
      <c r="G79" s="269"/>
      <c r="H79" s="269"/>
      <c r="I79" s="269"/>
      <c r="J79" s="269"/>
      <c r="K79" s="269"/>
      <c r="L79" s="269"/>
      <c r="M79" s="269"/>
      <c r="N79" s="269"/>
      <c r="O79" s="269"/>
      <c r="P79" s="269"/>
      <c r="Q79" s="269"/>
      <c r="R79" s="269"/>
      <c r="S79" s="269"/>
      <c r="T79" s="269"/>
      <c r="V79" s="269"/>
      <c r="W79" s="269"/>
      <c r="X79" s="269"/>
      <c r="Y79" s="269"/>
      <c r="Z79" s="269"/>
      <c r="AA79" s="269"/>
      <c r="AB79" s="269"/>
      <c r="AC79" s="269"/>
      <c r="AD79" s="269"/>
      <c r="AE79" s="269"/>
      <c r="AF79" s="269"/>
      <c r="AG79" s="269"/>
      <c r="AH79" s="269"/>
      <c r="AI79" s="269"/>
      <c r="AJ79" s="269"/>
      <c r="AK79" s="269"/>
      <c r="AL79" s="269"/>
    </row>
    <row r="80" spans="1:38" ht="9.9499999999999993" customHeight="1" x14ac:dyDescent="0.2">
      <c r="D80" s="269"/>
      <c r="E80" s="269"/>
      <c r="F80" s="269"/>
      <c r="G80" s="269"/>
      <c r="H80" s="269"/>
      <c r="I80" s="269"/>
      <c r="J80" s="269"/>
      <c r="K80" s="269"/>
      <c r="L80" s="269"/>
      <c r="M80" s="269"/>
      <c r="N80" s="620"/>
      <c r="O80" s="269"/>
      <c r="P80" s="620"/>
      <c r="Q80" s="269"/>
      <c r="R80" s="620"/>
      <c r="S80" s="269"/>
      <c r="T80" s="620"/>
      <c r="V80" s="620"/>
      <c r="W80" s="620"/>
      <c r="X80" s="620"/>
      <c r="Y80" s="621"/>
      <c r="Z80" s="620"/>
      <c r="AA80" s="269"/>
      <c r="AB80" s="598"/>
      <c r="AC80" s="620"/>
      <c r="AD80" s="269"/>
      <c r="AE80" s="269"/>
      <c r="AF80" s="620"/>
      <c r="AG80" s="269"/>
      <c r="AH80" s="269"/>
      <c r="AI80" s="269"/>
      <c r="AJ80" s="269"/>
      <c r="AK80" s="269"/>
      <c r="AL80" s="269"/>
    </row>
    <row r="81" spans="3:38" ht="9.9499999999999993" customHeight="1" x14ac:dyDescent="0.2">
      <c r="D81" s="269"/>
      <c r="E81" s="269"/>
      <c r="F81" s="269"/>
      <c r="G81" s="269">
        <v>4302</v>
      </c>
      <c r="H81" s="269"/>
      <c r="I81" s="269"/>
      <c r="J81" s="269"/>
      <c r="K81" s="269"/>
      <c r="L81" s="269"/>
      <c r="M81" s="269"/>
      <c r="N81" s="620"/>
      <c r="O81" s="269"/>
      <c r="P81" s="620"/>
      <c r="Q81" s="269"/>
      <c r="R81" s="620"/>
      <c r="S81" s="269"/>
      <c r="T81" s="620"/>
      <c r="V81" s="620"/>
      <c r="W81" s="620"/>
      <c r="X81" s="620"/>
      <c r="Y81" s="621"/>
      <c r="Z81" s="620"/>
      <c r="AA81" s="269"/>
      <c r="AB81" s="516"/>
      <c r="AC81" s="620"/>
      <c r="AD81" s="269"/>
      <c r="AE81" s="269"/>
      <c r="AF81" s="620"/>
      <c r="AG81" s="269"/>
      <c r="AH81" s="269"/>
      <c r="AI81" s="269"/>
      <c r="AJ81" s="269"/>
      <c r="AK81" s="269"/>
      <c r="AL81" s="269"/>
    </row>
    <row r="82" spans="3:38" ht="9.9499999999999993" customHeight="1" x14ac:dyDescent="0.2">
      <c r="C82" s="526"/>
      <c r="D82" s="269"/>
      <c r="E82" s="269"/>
      <c r="F82" s="269"/>
      <c r="G82" s="269"/>
      <c r="H82" s="269"/>
      <c r="I82" s="269"/>
      <c r="J82" s="269"/>
      <c r="K82" s="269"/>
      <c r="L82" s="269"/>
      <c r="M82" s="269"/>
      <c r="N82" s="620"/>
      <c r="O82" s="269"/>
      <c r="P82" s="620"/>
      <c r="Q82" s="269"/>
      <c r="R82" s="620"/>
      <c r="S82" s="269"/>
      <c r="T82" s="620"/>
      <c r="V82" s="620"/>
      <c r="W82" s="620"/>
      <c r="X82" s="620"/>
      <c r="Y82" s="621"/>
      <c r="Z82" s="620"/>
      <c r="AA82" s="269"/>
      <c r="AB82" s="516"/>
      <c r="AC82" s="620"/>
      <c r="AD82" s="269"/>
      <c r="AE82" s="269"/>
      <c r="AF82" s="620"/>
      <c r="AG82" s="269"/>
      <c r="AH82" s="269"/>
      <c r="AI82" s="269"/>
      <c r="AJ82" s="269"/>
      <c r="AK82" s="269"/>
      <c r="AL82" s="269"/>
    </row>
    <row r="83" spans="3:38" ht="9.9499999999999993" customHeight="1" x14ac:dyDescent="0.2">
      <c r="C83" s="622"/>
      <c r="D83" s="269"/>
      <c r="E83" s="269"/>
      <c r="F83" s="269"/>
      <c r="G83" s="269"/>
      <c r="H83" s="269"/>
      <c r="I83" s="269"/>
      <c r="J83" s="269"/>
      <c r="K83" s="269"/>
      <c r="L83" s="269"/>
      <c r="M83" s="269"/>
      <c r="N83" s="269"/>
      <c r="O83" s="269"/>
      <c r="P83" s="269"/>
      <c r="Q83" s="269"/>
      <c r="R83" s="269"/>
      <c r="S83" s="269"/>
      <c r="T83" s="269"/>
      <c r="V83" s="269"/>
      <c r="W83" s="269"/>
      <c r="X83" s="269"/>
      <c r="Y83" s="269"/>
      <c r="Z83" s="269"/>
      <c r="AA83" s="269"/>
      <c r="AB83" s="269"/>
      <c r="AC83" s="269"/>
      <c r="AD83" s="269"/>
      <c r="AE83" s="269"/>
      <c r="AF83" s="269"/>
      <c r="AG83" s="269"/>
      <c r="AH83" s="269"/>
      <c r="AI83" s="269"/>
      <c r="AJ83" s="269"/>
      <c r="AK83" s="269"/>
      <c r="AL83" s="269"/>
    </row>
    <row r="84" spans="3:38" ht="9.9499999999999993" customHeight="1" x14ac:dyDescent="0.2">
      <c r="C84" s="622"/>
      <c r="D84" s="269"/>
      <c r="E84" s="269"/>
      <c r="F84" s="269"/>
      <c r="G84" s="269"/>
      <c r="H84" s="269"/>
      <c r="I84" s="269"/>
      <c r="J84" s="269"/>
      <c r="K84" s="269"/>
      <c r="L84" s="269"/>
      <c r="M84" s="269"/>
      <c r="N84" s="527"/>
      <c r="O84" s="269"/>
      <c r="P84" s="527"/>
      <c r="Q84" s="269"/>
      <c r="R84" s="527"/>
      <c r="S84" s="269"/>
      <c r="T84" s="527"/>
      <c r="V84" s="623"/>
      <c r="W84" s="623"/>
      <c r="X84" s="527"/>
      <c r="Y84" s="623"/>
      <c r="Z84" s="623"/>
      <c r="AA84" s="269"/>
      <c r="AB84" s="269"/>
      <c r="AC84" s="269"/>
      <c r="AD84" s="269"/>
      <c r="AE84" s="269"/>
      <c r="AF84" s="269"/>
      <c r="AG84" s="269"/>
      <c r="AH84" s="269"/>
      <c r="AI84" s="269"/>
      <c r="AJ84" s="269"/>
      <c r="AK84" s="269"/>
      <c r="AL84" s="269"/>
    </row>
    <row r="85" spans="3:38" ht="9.9499999999999993" customHeight="1" x14ac:dyDescent="0.2">
      <c r="C85" s="622"/>
      <c r="D85" s="269"/>
      <c r="E85" s="269"/>
      <c r="F85" s="269"/>
      <c r="G85" s="269"/>
      <c r="H85" s="269"/>
      <c r="I85" s="269"/>
      <c r="J85" s="269"/>
      <c r="K85" s="269"/>
      <c r="L85" s="269"/>
      <c r="M85" s="269"/>
      <c r="N85" s="527"/>
      <c r="O85" s="269"/>
      <c r="P85" s="527"/>
      <c r="Q85" s="269"/>
      <c r="R85" s="527"/>
      <c r="S85" s="269"/>
      <c r="T85" s="527"/>
      <c r="V85" s="623"/>
      <c r="W85" s="623"/>
      <c r="X85" s="527"/>
      <c r="Y85" s="623"/>
      <c r="Z85" s="623"/>
      <c r="AA85" s="269"/>
      <c r="AB85" s="269"/>
      <c r="AC85" s="269"/>
      <c r="AD85" s="269"/>
      <c r="AE85" s="269"/>
      <c r="AF85" s="269"/>
      <c r="AG85" s="269"/>
      <c r="AH85" s="269"/>
      <c r="AI85" s="269"/>
      <c r="AJ85" s="269"/>
      <c r="AK85" s="269"/>
      <c r="AL85" s="269"/>
    </row>
    <row r="86" spans="3:38" ht="9.9499999999999993" customHeight="1" x14ac:dyDescent="0.2">
      <c r="C86" s="622"/>
      <c r="D86" s="269"/>
      <c r="E86" s="269"/>
      <c r="F86" s="269"/>
      <c r="G86" s="269"/>
      <c r="H86" s="269"/>
      <c r="I86" s="269"/>
      <c r="J86" s="269"/>
      <c r="K86" s="269"/>
      <c r="L86" s="269"/>
      <c r="M86" s="269"/>
      <c r="N86" s="527"/>
      <c r="O86" s="269"/>
      <c r="P86" s="527"/>
      <c r="Q86" s="269"/>
      <c r="R86" s="527"/>
      <c r="S86" s="269"/>
      <c r="T86" s="527"/>
      <c r="V86" s="623"/>
      <c r="W86" s="623"/>
      <c r="X86" s="527"/>
      <c r="Y86" s="623"/>
      <c r="Z86" s="623"/>
      <c r="AA86" s="269"/>
      <c r="AB86" s="269"/>
      <c r="AC86" s="269"/>
      <c r="AD86" s="269"/>
      <c r="AE86" s="269"/>
      <c r="AF86" s="269"/>
      <c r="AG86" s="269"/>
      <c r="AH86" s="269"/>
      <c r="AI86" s="269"/>
      <c r="AJ86" s="269"/>
      <c r="AK86" s="269"/>
      <c r="AL86" s="269"/>
    </row>
    <row r="87" spans="3:38" ht="9.9499999999999993" customHeight="1" x14ac:dyDescent="0.2">
      <c r="C87" s="622"/>
      <c r="D87" s="269"/>
      <c r="E87" s="269"/>
      <c r="F87" s="269"/>
      <c r="G87" s="269"/>
      <c r="H87" s="269"/>
      <c r="I87" s="269"/>
      <c r="J87" s="269"/>
      <c r="K87" s="269"/>
      <c r="L87" s="269"/>
      <c r="M87" s="269"/>
      <c r="N87" s="527"/>
      <c r="O87" s="269"/>
      <c r="P87" s="527"/>
      <c r="Q87" s="269"/>
      <c r="R87" s="527"/>
      <c r="S87" s="269"/>
      <c r="T87" s="527"/>
      <c r="V87" s="623"/>
      <c r="W87" s="623"/>
      <c r="X87" s="527"/>
      <c r="Y87" s="623"/>
      <c r="Z87" s="623"/>
      <c r="AA87" s="269"/>
      <c r="AB87" s="269"/>
      <c r="AC87" s="269"/>
      <c r="AD87" s="269"/>
      <c r="AE87" s="269"/>
      <c r="AF87" s="269"/>
      <c r="AG87" s="269"/>
      <c r="AH87" s="269"/>
      <c r="AI87" s="269"/>
      <c r="AJ87" s="269"/>
      <c r="AK87" s="269"/>
      <c r="AL87" s="269"/>
    </row>
    <row r="88" spans="3:38" ht="9.9499999999999993" customHeight="1" x14ac:dyDescent="0.2">
      <c r="C88" s="622"/>
      <c r="D88" s="269"/>
      <c r="E88" s="269"/>
      <c r="F88" s="269"/>
      <c r="G88" s="269"/>
      <c r="H88" s="269"/>
      <c r="I88" s="269"/>
      <c r="J88" s="269"/>
      <c r="K88" s="269"/>
      <c r="L88" s="269"/>
      <c r="M88" s="269"/>
      <c r="N88" s="527"/>
      <c r="O88" s="269"/>
      <c r="P88" s="527"/>
      <c r="Q88" s="269"/>
      <c r="R88" s="527"/>
      <c r="S88" s="269"/>
      <c r="T88" s="527"/>
      <c r="V88" s="623"/>
      <c r="W88" s="623"/>
      <c r="X88" s="527"/>
      <c r="Y88" s="623"/>
      <c r="Z88" s="623"/>
      <c r="AA88" s="269"/>
      <c r="AB88" s="269"/>
      <c r="AC88" s="269"/>
      <c r="AD88" s="269"/>
      <c r="AE88" s="269"/>
      <c r="AF88" s="269"/>
      <c r="AG88" s="269"/>
      <c r="AH88" s="269"/>
      <c r="AI88" s="269"/>
      <c r="AJ88" s="269"/>
      <c r="AK88" s="269"/>
      <c r="AL88" s="269"/>
    </row>
    <row r="89" spans="3:38" ht="9.9499999999999993" customHeight="1" x14ac:dyDescent="0.2">
      <c r="C89" s="622"/>
      <c r="D89" s="269"/>
      <c r="E89" s="269"/>
      <c r="F89" s="269"/>
      <c r="G89" s="269"/>
      <c r="H89" s="269"/>
      <c r="I89" s="269"/>
      <c r="J89" s="269"/>
      <c r="K89" s="269"/>
      <c r="L89" s="269"/>
      <c r="M89" s="269"/>
      <c r="N89" s="527"/>
      <c r="O89" s="269"/>
      <c r="P89" s="527"/>
      <c r="Q89" s="269"/>
      <c r="R89" s="527"/>
      <c r="S89" s="269"/>
      <c r="T89" s="527"/>
      <c r="V89" s="623"/>
      <c r="W89" s="527"/>
      <c r="X89" s="527"/>
      <c r="Y89" s="623"/>
      <c r="Z89" s="527"/>
      <c r="AA89" s="269"/>
      <c r="AB89" s="269"/>
      <c r="AC89" s="527"/>
      <c r="AD89" s="269"/>
      <c r="AE89" s="269"/>
      <c r="AF89" s="269"/>
      <c r="AG89" s="269"/>
      <c r="AH89" s="269"/>
      <c r="AI89" s="269"/>
      <c r="AJ89" s="269"/>
      <c r="AK89" s="269"/>
      <c r="AL89" s="269"/>
    </row>
    <row r="90" spans="3:38" ht="9.9499999999999993" customHeight="1" x14ac:dyDescent="0.2">
      <c r="C90" s="526"/>
      <c r="D90" s="269"/>
      <c r="E90" s="269"/>
      <c r="F90" s="269"/>
      <c r="G90" s="269"/>
      <c r="H90" s="269"/>
      <c r="I90" s="269"/>
      <c r="J90" s="269"/>
      <c r="K90" s="269"/>
      <c r="L90" s="269"/>
      <c r="M90" s="269"/>
      <c r="N90" s="527"/>
      <c r="O90" s="269"/>
      <c r="P90" s="527"/>
      <c r="Q90" s="269"/>
      <c r="R90" s="527"/>
      <c r="S90" s="269"/>
      <c r="T90" s="527"/>
      <c r="V90" s="527"/>
      <c r="W90" s="527"/>
      <c r="X90" s="527"/>
      <c r="Y90" s="527"/>
      <c r="Z90" s="527"/>
      <c r="AA90" s="269"/>
      <c r="AB90" s="269"/>
      <c r="AC90" s="269"/>
      <c r="AD90" s="269"/>
      <c r="AE90" s="269"/>
      <c r="AF90" s="269"/>
      <c r="AG90" s="269"/>
      <c r="AH90" s="269"/>
      <c r="AI90" s="269"/>
      <c r="AJ90" s="269"/>
      <c r="AK90" s="269"/>
      <c r="AL90" s="269"/>
    </row>
    <row r="91" spans="3:38" ht="9.9499999999999993" customHeight="1" x14ac:dyDescent="0.2">
      <c r="C91" s="526"/>
      <c r="D91" s="269"/>
      <c r="E91" s="269"/>
      <c r="F91" s="269"/>
      <c r="G91" s="269"/>
      <c r="H91" s="269"/>
      <c r="I91" s="269"/>
      <c r="J91" s="269"/>
      <c r="K91" s="269"/>
      <c r="L91" s="269"/>
      <c r="M91" s="269"/>
      <c r="N91" s="527"/>
      <c r="O91" s="269"/>
      <c r="P91" s="527"/>
      <c r="Q91" s="269"/>
      <c r="R91" s="527"/>
      <c r="S91" s="269"/>
      <c r="T91" s="527"/>
      <c r="V91" s="527"/>
      <c r="W91" s="527"/>
      <c r="X91" s="527"/>
      <c r="Y91" s="527"/>
      <c r="Z91" s="527"/>
      <c r="AA91" s="269"/>
      <c r="AB91" s="269"/>
      <c r="AC91" s="269"/>
      <c r="AD91" s="269"/>
      <c r="AE91" s="269"/>
      <c r="AF91" s="269"/>
      <c r="AG91" s="269"/>
      <c r="AH91" s="269"/>
      <c r="AI91" s="269"/>
      <c r="AJ91" s="269"/>
      <c r="AK91" s="269"/>
      <c r="AL91" s="269"/>
    </row>
    <row r="92" spans="3:38" ht="9.9499999999999993" customHeight="1" x14ac:dyDescent="0.2">
      <c r="C92" s="526"/>
      <c r="D92" s="269"/>
      <c r="E92" s="269"/>
      <c r="F92" s="269"/>
      <c r="G92" s="269"/>
      <c r="H92" s="269"/>
      <c r="I92" s="269"/>
      <c r="J92" s="269"/>
      <c r="K92" s="269"/>
      <c r="L92" s="269"/>
      <c r="M92" s="269"/>
      <c r="N92" s="620"/>
      <c r="O92" s="269"/>
      <c r="P92" s="620"/>
      <c r="Q92" s="269"/>
      <c r="R92" s="620"/>
      <c r="S92" s="269"/>
      <c r="T92" s="620"/>
      <c r="V92" s="620"/>
      <c r="W92" s="620"/>
      <c r="X92" s="620"/>
      <c r="Y92" s="621"/>
      <c r="Z92" s="620"/>
      <c r="AA92" s="269"/>
      <c r="AB92" s="269"/>
      <c r="AC92" s="620"/>
      <c r="AD92" s="269"/>
      <c r="AE92" s="269"/>
      <c r="AF92" s="269"/>
      <c r="AG92" s="269"/>
      <c r="AH92" s="269"/>
      <c r="AI92" s="269"/>
      <c r="AJ92" s="269"/>
      <c r="AK92" s="269"/>
      <c r="AL92" s="269"/>
    </row>
    <row r="93" spans="3:38" ht="9.9499999999999993" customHeight="1" x14ac:dyDescent="0.2">
      <c r="D93" s="269"/>
      <c r="E93" s="269"/>
      <c r="F93" s="269"/>
      <c r="G93" s="269"/>
      <c r="H93" s="269"/>
      <c r="I93" s="269"/>
      <c r="J93" s="269"/>
      <c r="K93" s="269"/>
      <c r="L93" s="269"/>
      <c r="M93" s="269"/>
      <c r="N93" s="269"/>
      <c r="O93" s="269"/>
      <c r="P93" s="269"/>
      <c r="Q93" s="269"/>
      <c r="R93" s="269"/>
      <c r="S93" s="269"/>
      <c r="T93" s="269"/>
      <c r="V93" s="269"/>
      <c r="W93" s="269"/>
      <c r="X93" s="269"/>
      <c r="Y93" s="269"/>
      <c r="Z93" s="269"/>
      <c r="AA93" s="269"/>
      <c r="AB93" s="269"/>
      <c r="AC93" s="269"/>
      <c r="AD93" s="269"/>
      <c r="AE93" s="269"/>
      <c r="AF93" s="269"/>
      <c r="AG93" s="269"/>
      <c r="AH93" s="269"/>
      <c r="AI93" s="269"/>
      <c r="AJ93" s="269"/>
      <c r="AK93" s="269"/>
      <c r="AL93" s="269"/>
    </row>
    <row r="94" spans="3:38" ht="9.9499999999999993" customHeight="1" x14ac:dyDescent="0.2">
      <c r="C94" s="269"/>
      <c r="D94" s="269"/>
      <c r="E94" s="269"/>
      <c r="F94" s="269"/>
      <c r="G94" s="269"/>
      <c r="H94" s="269"/>
      <c r="I94" s="269"/>
      <c r="J94" s="269"/>
      <c r="K94" s="269"/>
      <c r="L94" s="269"/>
      <c r="M94" s="269"/>
      <c r="N94" s="269"/>
      <c r="O94" s="269"/>
      <c r="P94" s="269"/>
      <c r="Q94" s="269"/>
      <c r="R94" s="269"/>
      <c r="S94" s="269"/>
      <c r="T94" s="269"/>
      <c r="V94" s="269"/>
      <c r="W94" s="269"/>
      <c r="X94" s="269"/>
      <c r="Y94" s="269"/>
      <c r="Z94" s="269"/>
      <c r="AA94" s="269"/>
      <c r="AB94" s="269"/>
      <c r="AC94" s="269"/>
      <c r="AD94" s="269"/>
      <c r="AE94" s="269"/>
      <c r="AF94" s="269"/>
      <c r="AG94" s="269"/>
      <c r="AH94" s="269"/>
      <c r="AI94" s="269"/>
      <c r="AJ94" s="269"/>
      <c r="AK94" s="269"/>
      <c r="AL94" s="269"/>
    </row>
    <row r="95" spans="3:38" ht="9.9499999999999993" customHeight="1" x14ac:dyDescent="0.2">
      <c r="C95" s="269"/>
      <c r="D95" s="269"/>
      <c r="E95" s="269"/>
      <c r="F95" s="269"/>
      <c r="G95" s="269"/>
      <c r="H95" s="269"/>
      <c r="I95" s="269"/>
      <c r="J95" s="269"/>
      <c r="K95" s="269"/>
      <c r="L95" s="269"/>
      <c r="M95" s="269"/>
      <c r="N95" s="269"/>
      <c r="O95" s="269"/>
      <c r="P95" s="269"/>
      <c r="Q95" s="269"/>
      <c r="R95" s="269"/>
      <c r="S95" s="269"/>
      <c r="T95" s="269"/>
      <c r="V95" s="269"/>
      <c r="W95" s="269"/>
      <c r="X95" s="269"/>
      <c r="Y95" s="269"/>
      <c r="Z95" s="269"/>
      <c r="AA95" s="269"/>
      <c r="AB95" s="269"/>
      <c r="AC95" s="269"/>
      <c r="AD95" s="269"/>
      <c r="AE95" s="269"/>
      <c r="AF95" s="269"/>
      <c r="AG95" s="269"/>
      <c r="AH95" s="269"/>
      <c r="AI95" s="269"/>
      <c r="AJ95" s="269"/>
      <c r="AK95" s="269"/>
      <c r="AL95" s="269"/>
    </row>
    <row r="96" spans="3:38" ht="9.9499999999999993" customHeight="1" x14ac:dyDescent="0.2">
      <c r="C96" s="269"/>
      <c r="D96" s="269"/>
      <c r="E96" s="269"/>
      <c r="F96" s="269"/>
      <c r="G96" s="269"/>
      <c r="H96" s="269"/>
      <c r="I96" s="269"/>
      <c r="J96" s="269"/>
      <c r="K96" s="269"/>
      <c r="L96" s="269"/>
      <c r="M96" s="269"/>
      <c r="N96" s="269"/>
      <c r="O96" s="269"/>
      <c r="P96" s="269"/>
      <c r="Q96" s="269"/>
      <c r="R96" s="269"/>
      <c r="S96" s="269"/>
      <c r="T96" s="269"/>
      <c r="V96" s="269"/>
      <c r="W96" s="269"/>
      <c r="X96" s="269"/>
      <c r="Y96" s="269"/>
      <c r="Z96" s="269"/>
      <c r="AA96" s="269"/>
      <c r="AB96" s="269"/>
      <c r="AC96" s="269"/>
      <c r="AD96" s="269"/>
      <c r="AE96" s="269"/>
      <c r="AF96" s="269"/>
      <c r="AG96" s="269"/>
      <c r="AH96" s="269"/>
      <c r="AI96" s="269"/>
      <c r="AJ96" s="269"/>
      <c r="AK96" s="269"/>
      <c r="AL96" s="269"/>
    </row>
    <row r="97" spans="3:38" ht="9.9499999999999993" customHeight="1" x14ac:dyDescent="0.2">
      <c r="C97" s="269"/>
      <c r="D97" s="269"/>
      <c r="E97" s="269"/>
      <c r="F97" s="269"/>
      <c r="G97" s="269"/>
      <c r="H97" s="269"/>
      <c r="I97" s="269"/>
      <c r="J97" s="269"/>
      <c r="K97" s="269"/>
      <c r="L97" s="269"/>
      <c r="M97" s="269"/>
      <c r="N97" s="269"/>
      <c r="O97" s="269"/>
      <c r="P97" s="269"/>
      <c r="Q97" s="269"/>
      <c r="R97" s="269"/>
      <c r="S97" s="269"/>
      <c r="T97" s="269"/>
      <c r="V97" s="269"/>
      <c r="W97" s="269"/>
      <c r="X97" s="269"/>
      <c r="Y97" s="269"/>
      <c r="Z97" s="269"/>
      <c r="AA97" s="269"/>
      <c r="AB97" s="269"/>
      <c r="AC97" s="269"/>
      <c r="AD97" s="269"/>
      <c r="AE97" s="269"/>
      <c r="AF97" s="269"/>
      <c r="AG97" s="269"/>
      <c r="AH97" s="269"/>
      <c r="AI97" s="269"/>
      <c r="AJ97" s="269"/>
      <c r="AK97" s="269"/>
      <c r="AL97" s="269"/>
    </row>
    <row r="98" spans="3:38" ht="9.9499999999999993" customHeight="1" x14ac:dyDescent="0.2">
      <c r="C98" s="269"/>
      <c r="D98" s="269"/>
      <c r="E98" s="269"/>
      <c r="F98" s="269"/>
      <c r="G98" s="269"/>
      <c r="H98" s="269"/>
      <c r="I98" s="269"/>
      <c r="J98" s="269"/>
      <c r="K98" s="269"/>
      <c r="L98" s="269"/>
      <c r="M98" s="269"/>
      <c r="N98" s="269"/>
      <c r="O98" s="269"/>
      <c r="P98" s="269"/>
      <c r="Q98" s="269"/>
      <c r="R98" s="269"/>
      <c r="S98" s="269"/>
      <c r="T98" s="269"/>
      <c r="V98" s="269"/>
      <c r="W98" s="269"/>
      <c r="X98" s="269"/>
      <c r="Y98" s="269"/>
      <c r="Z98" s="269"/>
      <c r="AA98" s="269"/>
      <c r="AB98" s="269"/>
      <c r="AC98" s="269"/>
      <c r="AD98" s="269"/>
      <c r="AE98" s="269"/>
      <c r="AF98" s="269"/>
      <c r="AG98" s="269"/>
      <c r="AH98" s="269"/>
      <c r="AI98" s="269"/>
      <c r="AJ98" s="269"/>
      <c r="AK98" s="269"/>
      <c r="AL98" s="269"/>
    </row>
    <row r="99" spans="3:38" ht="9.9499999999999993" customHeight="1" x14ac:dyDescent="0.2">
      <c r="C99" s="269"/>
      <c r="D99" s="269"/>
      <c r="E99" s="269"/>
      <c r="F99" s="269"/>
      <c r="G99" s="269"/>
      <c r="H99" s="269"/>
      <c r="I99" s="269"/>
      <c r="J99" s="269"/>
      <c r="K99" s="269"/>
      <c r="L99" s="269"/>
      <c r="M99" s="269"/>
      <c r="N99" s="269"/>
      <c r="O99" s="269"/>
      <c r="P99" s="269"/>
      <c r="Q99" s="269"/>
      <c r="R99" s="269"/>
      <c r="S99" s="269"/>
      <c r="T99" s="269"/>
      <c r="V99" s="269"/>
      <c r="W99" s="269"/>
      <c r="X99" s="269"/>
      <c r="Y99" s="269"/>
      <c r="Z99" s="269"/>
      <c r="AA99" s="269"/>
      <c r="AB99" s="269"/>
      <c r="AC99" s="269"/>
      <c r="AD99" s="269"/>
      <c r="AE99" s="269"/>
      <c r="AF99" s="269"/>
      <c r="AG99" s="269"/>
      <c r="AH99" s="269"/>
      <c r="AI99" s="269"/>
      <c r="AJ99" s="269"/>
      <c r="AK99" s="269"/>
      <c r="AL99" s="269"/>
    </row>
    <row r="100" spans="3:38" ht="9.9499999999999993" customHeight="1" x14ac:dyDescent="0.2">
      <c r="C100" s="269"/>
      <c r="D100" s="269"/>
      <c r="E100" s="269"/>
      <c r="F100" s="269"/>
      <c r="G100" s="269"/>
      <c r="H100" s="269"/>
      <c r="I100" s="269"/>
      <c r="J100" s="269"/>
      <c r="K100" s="269"/>
      <c r="L100" s="269"/>
      <c r="M100" s="269"/>
      <c r="N100" s="269"/>
      <c r="O100" s="269"/>
      <c r="P100" s="269"/>
      <c r="Q100" s="269"/>
      <c r="R100" s="269"/>
      <c r="S100" s="269"/>
      <c r="T100" s="269"/>
      <c r="V100" s="269"/>
      <c r="W100" s="269"/>
      <c r="X100" s="269"/>
      <c r="Y100" s="269"/>
      <c r="Z100" s="269"/>
      <c r="AA100" s="269"/>
      <c r="AB100" s="269"/>
      <c r="AC100" s="269"/>
      <c r="AD100" s="269"/>
      <c r="AE100" s="269"/>
      <c r="AF100" s="269"/>
      <c r="AG100" s="269"/>
      <c r="AH100" s="269"/>
      <c r="AI100" s="269"/>
      <c r="AJ100" s="269"/>
      <c r="AK100" s="269"/>
      <c r="AL100" s="269"/>
    </row>
    <row r="101" spans="3:38" ht="9.9499999999999993" customHeight="1" x14ac:dyDescent="0.2">
      <c r="C101" s="269"/>
      <c r="D101" s="269"/>
      <c r="E101" s="269"/>
      <c r="F101" s="269"/>
      <c r="G101" s="269"/>
      <c r="H101" s="269"/>
      <c r="I101" s="269"/>
      <c r="J101" s="269"/>
      <c r="K101" s="269"/>
      <c r="L101" s="269"/>
      <c r="M101" s="269"/>
      <c r="N101" s="269"/>
      <c r="O101" s="269"/>
      <c r="P101" s="269"/>
      <c r="Q101" s="269"/>
      <c r="R101" s="269"/>
      <c r="S101" s="269"/>
      <c r="T101" s="269"/>
      <c r="V101" s="269"/>
      <c r="W101" s="269"/>
      <c r="X101" s="269"/>
      <c r="Y101" s="269"/>
      <c r="Z101" s="269"/>
      <c r="AA101" s="269"/>
      <c r="AB101" s="269"/>
      <c r="AC101" s="269"/>
      <c r="AD101" s="269"/>
      <c r="AE101" s="269"/>
      <c r="AF101" s="269"/>
      <c r="AG101" s="269"/>
      <c r="AH101" s="269"/>
      <c r="AI101" s="269"/>
      <c r="AJ101" s="269"/>
      <c r="AK101" s="269"/>
      <c r="AL101" s="269"/>
    </row>
    <row r="102" spans="3:38" ht="9.9499999999999993" customHeight="1" x14ac:dyDescent="0.2">
      <c r="C102" s="269"/>
      <c r="D102" s="269"/>
      <c r="E102" s="269"/>
      <c r="F102" s="269"/>
      <c r="G102" s="269"/>
      <c r="H102" s="269"/>
      <c r="I102" s="269"/>
      <c r="J102" s="269"/>
      <c r="K102" s="269"/>
      <c r="L102" s="269"/>
      <c r="M102" s="269"/>
      <c r="N102" s="269"/>
      <c r="O102" s="269"/>
      <c r="P102" s="269"/>
      <c r="Q102" s="269"/>
      <c r="R102" s="269"/>
      <c r="S102" s="269"/>
      <c r="T102" s="269"/>
      <c r="V102" s="269"/>
      <c r="W102" s="269"/>
      <c r="X102" s="269"/>
      <c r="Y102" s="269"/>
      <c r="Z102" s="269"/>
      <c r="AA102" s="269"/>
      <c r="AB102" s="269"/>
      <c r="AC102" s="269"/>
      <c r="AD102" s="269"/>
      <c r="AE102" s="269"/>
      <c r="AF102" s="269"/>
      <c r="AG102" s="269"/>
      <c r="AH102" s="269"/>
      <c r="AI102" s="269"/>
      <c r="AJ102" s="269"/>
      <c r="AK102" s="269"/>
      <c r="AL102" s="269"/>
    </row>
    <row r="103" spans="3:38" ht="9.9499999999999993" customHeight="1" x14ac:dyDescent="0.2">
      <c r="C103" s="269"/>
      <c r="D103" s="269"/>
      <c r="E103" s="269"/>
      <c r="F103" s="269"/>
      <c r="G103" s="269"/>
      <c r="H103" s="269"/>
      <c r="I103" s="269"/>
      <c r="J103" s="269"/>
      <c r="K103" s="269"/>
      <c r="L103" s="269"/>
      <c r="M103" s="269"/>
      <c r="N103" s="269"/>
      <c r="O103" s="269"/>
      <c r="P103" s="269"/>
      <c r="Q103" s="269"/>
      <c r="R103" s="269"/>
      <c r="S103" s="269"/>
      <c r="T103" s="269"/>
      <c r="V103" s="269"/>
      <c r="W103" s="269"/>
      <c r="X103" s="269"/>
      <c r="Y103" s="269"/>
      <c r="Z103" s="269"/>
      <c r="AA103" s="269"/>
      <c r="AB103" s="269"/>
      <c r="AC103" s="269"/>
      <c r="AD103" s="269"/>
      <c r="AE103" s="269"/>
      <c r="AF103" s="269"/>
      <c r="AG103" s="269"/>
      <c r="AH103" s="269"/>
      <c r="AI103" s="269"/>
      <c r="AJ103" s="269"/>
      <c r="AK103" s="269"/>
      <c r="AL103" s="269"/>
    </row>
    <row r="104" spans="3:38" ht="9.9499999999999993" customHeight="1" x14ac:dyDescent="0.2">
      <c r="C104" s="269"/>
      <c r="D104" s="269"/>
      <c r="E104" s="269"/>
      <c r="F104" s="269"/>
      <c r="G104" s="269"/>
      <c r="H104" s="269"/>
      <c r="I104" s="269"/>
      <c r="J104" s="269"/>
      <c r="K104" s="269"/>
      <c r="L104" s="269"/>
      <c r="M104" s="269"/>
      <c r="N104" s="269"/>
      <c r="O104" s="269"/>
      <c r="P104" s="269"/>
      <c r="Q104" s="269"/>
      <c r="R104" s="269"/>
      <c r="S104" s="269"/>
      <c r="T104" s="269"/>
      <c r="V104" s="269"/>
      <c r="W104" s="269"/>
      <c r="X104" s="269"/>
      <c r="Y104" s="269"/>
      <c r="Z104" s="269"/>
      <c r="AA104" s="269"/>
      <c r="AB104" s="269"/>
      <c r="AC104" s="269"/>
      <c r="AD104" s="269"/>
      <c r="AE104" s="269"/>
      <c r="AF104" s="269"/>
      <c r="AG104" s="269"/>
      <c r="AH104" s="269"/>
      <c r="AI104" s="269"/>
      <c r="AJ104" s="269"/>
      <c r="AK104" s="269"/>
      <c r="AL104" s="269"/>
    </row>
    <row r="105" spans="3:38" ht="9.9499999999999993" customHeight="1" x14ac:dyDescent="0.2">
      <c r="C105" s="269"/>
      <c r="D105" s="269"/>
      <c r="E105" s="269"/>
      <c r="F105" s="269"/>
      <c r="G105" s="269"/>
      <c r="H105" s="269"/>
      <c r="I105" s="269"/>
      <c r="J105" s="269"/>
      <c r="K105" s="269"/>
      <c r="L105" s="269"/>
      <c r="M105" s="269"/>
      <c r="N105" s="269"/>
      <c r="O105" s="269"/>
      <c r="P105" s="269"/>
      <c r="Q105" s="269"/>
      <c r="R105" s="269"/>
      <c r="S105" s="269"/>
      <c r="T105" s="269"/>
      <c r="V105" s="269"/>
      <c r="W105" s="269"/>
      <c r="X105" s="269"/>
      <c r="Y105" s="269"/>
      <c r="Z105" s="269"/>
      <c r="AA105" s="269"/>
      <c r="AB105" s="269"/>
      <c r="AC105" s="269"/>
      <c r="AD105" s="269"/>
      <c r="AE105" s="269"/>
      <c r="AF105" s="269"/>
      <c r="AG105" s="269"/>
      <c r="AH105" s="269"/>
      <c r="AI105" s="269"/>
      <c r="AJ105" s="269"/>
      <c r="AK105" s="269"/>
      <c r="AL105" s="269"/>
    </row>
    <row r="106" spans="3:38" ht="9.9499999999999993" customHeight="1" x14ac:dyDescent="0.2">
      <c r="C106" s="269"/>
      <c r="D106" s="269"/>
      <c r="E106" s="269"/>
      <c r="F106" s="269"/>
      <c r="G106" s="269"/>
      <c r="H106" s="269"/>
      <c r="I106" s="269"/>
      <c r="J106" s="269"/>
      <c r="K106" s="269"/>
      <c r="L106" s="269"/>
      <c r="M106" s="269"/>
      <c r="N106" s="269"/>
      <c r="O106" s="269"/>
      <c r="P106" s="269"/>
      <c r="Q106" s="269"/>
      <c r="R106" s="269"/>
      <c r="S106" s="269"/>
      <c r="T106" s="269"/>
      <c r="V106" s="269"/>
      <c r="W106" s="269"/>
      <c r="X106" s="269"/>
      <c r="Y106" s="269"/>
      <c r="Z106" s="269"/>
      <c r="AA106" s="269"/>
      <c r="AB106" s="269"/>
      <c r="AC106" s="269"/>
      <c r="AD106" s="269"/>
      <c r="AE106" s="269"/>
      <c r="AF106" s="269"/>
      <c r="AG106" s="269"/>
      <c r="AH106" s="269"/>
      <c r="AI106" s="269"/>
      <c r="AJ106" s="269"/>
      <c r="AK106" s="269"/>
      <c r="AL106" s="269"/>
    </row>
    <row r="107" spans="3:38" ht="9.9499999999999993" customHeight="1" x14ac:dyDescent="0.2">
      <c r="C107" s="269"/>
      <c r="D107" s="269"/>
      <c r="E107" s="269"/>
      <c r="F107" s="269"/>
      <c r="G107" s="269"/>
      <c r="H107" s="269"/>
      <c r="I107" s="269"/>
      <c r="J107" s="269"/>
      <c r="K107" s="269"/>
      <c r="L107" s="269"/>
      <c r="M107" s="269"/>
      <c r="N107" s="269"/>
      <c r="O107" s="269"/>
      <c r="P107" s="269"/>
      <c r="Q107" s="269"/>
      <c r="R107" s="269"/>
      <c r="S107" s="269"/>
      <c r="T107" s="269"/>
      <c r="V107" s="269"/>
      <c r="W107" s="269"/>
      <c r="X107" s="269"/>
      <c r="Y107" s="269"/>
      <c r="Z107" s="269"/>
      <c r="AA107" s="269"/>
      <c r="AB107" s="269"/>
      <c r="AC107" s="269"/>
      <c r="AD107" s="269"/>
      <c r="AE107" s="269"/>
      <c r="AF107" s="269"/>
      <c r="AG107" s="269"/>
      <c r="AH107" s="269"/>
      <c r="AI107" s="269"/>
      <c r="AJ107" s="269"/>
      <c r="AK107" s="269"/>
      <c r="AL107" s="269"/>
    </row>
    <row r="108" spans="3:38" ht="9.9499999999999993" customHeight="1" x14ac:dyDescent="0.2">
      <c r="C108" s="269"/>
      <c r="D108" s="269"/>
      <c r="E108" s="269"/>
      <c r="F108" s="269"/>
      <c r="G108" s="269"/>
      <c r="H108" s="269"/>
      <c r="I108" s="269"/>
      <c r="J108" s="269"/>
      <c r="K108" s="269"/>
      <c r="L108" s="269"/>
      <c r="M108" s="269"/>
      <c r="N108" s="269"/>
      <c r="O108" s="269"/>
      <c r="P108" s="269"/>
      <c r="Q108" s="269"/>
      <c r="R108" s="269"/>
      <c r="S108" s="269"/>
      <c r="T108" s="269"/>
      <c r="V108" s="269"/>
      <c r="W108" s="269"/>
      <c r="X108" s="269"/>
      <c r="Y108" s="269"/>
      <c r="Z108" s="269"/>
      <c r="AA108" s="269"/>
      <c r="AB108" s="269"/>
      <c r="AC108" s="269"/>
      <c r="AD108" s="269"/>
      <c r="AE108" s="269"/>
      <c r="AF108" s="269"/>
      <c r="AG108" s="269"/>
      <c r="AH108" s="269"/>
      <c r="AI108" s="269"/>
      <c r="AJ108" s="269"/>
      <c r="AK108" s="269"/>
      <c r="AL108" s="269"/>
    </row>
    <row r="109" spans="3:38" ht="9.9499999999999993" customHeight="1" x14ac:dyDescent="0.2">
      <c r="H109" s="277"/>
      <c r="I109" s="277"/>
      <c r="J109" s="277"/>
      <c r="L109" s="277"/>
    </row>
    <row r="132" spans="7:7" ht="9.9499999999999993" customHeight="1" x14ac:dyDescent="0.2">
      <c r="G132" s="265">
        <v>21</v>
      </c>
    </row>
  </sheetData>
  <mergeCells count="29">
    <mergeCell ref="N7:R7"/>
    <mergeCell ref="N8:R8"/>
    <mergeCell ref="H8:L8"/>
    <mergeCell ref="A4:H4"/>
    <mergeCell ref="A1:T1"/>
    <mergeCell ref="AH11:AI11"/>
    <mergeCell ref="AK9:AL9"/>
    <mergeCell ref="AK10:AL10"/>
    <mergeCell ref="AK11:AL11"/>
    <mergeCell ref="V9:W9"/>
    <mergeCell ref="V10:W10"/>
    <mergeCell ref="V11:W11"/>
    <mergeCell ref="AB9:AC9"/>
    <mergeCell ref="AN8:AO8"/>
    <mergeCell ref="AN9:AO9"/>
    <mergeCell ref="AN10:AO10"/>
    <mergeCell ref="AN11:AO11"/>
    <mergeCell ref="Y8:Z8"/>
    <mergeCell ref="AB10:AC10"/>
    <mergeCell ref="AB11:AC11"/>
    <mergeCell ref="Y9:Z9"/>
    <mergeCell ref="Y10:Z10"/>
    <mergeCell ref="Y11:Z11"/>
    <mergeCell ref="AE8:AF8"/>
    <mergeCell ref="AE10:AF10"/>
    <mergeCell ref="AE11:AF11"/>
    <mergeCell ref="AH8:AI8"/>
    <mergeCell ref="AH9:AI9"/>
    <mergeCell ref="AH10:AI10"/>
  </mergeCells>
  <phoneticPr fontId="9" type="noConversion"/>
  <printOptions horizontalCentered="1"/>
  <pageMargins left="0.5" right="0.5" top="0.5" bottom="0.625" header="0.5" footer="0.5"/>
  <pageSetup scale="74" orientation="landscape" r:id="rId1"/>
  <headerFooter alignWithMargins="0">
    <oddFooter>&amp;C&amp;"Calibri,Regular"&amp;9The accompanying notes are an integral part of these basic financial statements.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theme="6" tint="0.39997558519241921"/>
    <pageSetUpPr fitToPage="1"/>
  </sheetPr>
  <dimension ref="A1:P813"/>
  <sheetViews>
    <sheetView view="pageBreakPreview" topLeftCell="A9" zoomScaleNormal="100" workbookViewId="0">
      <selection activeCell="Z13" activeCellId="3" sqref="Z18 Z17 Z15 Z13"/>
    </sheetView>
  </sheetViews>
  <sheetFormatPr defaultColWidth="9.140625" defaultRowHeight="9.9499999999999993" customHeight="1" x14ac:dyDescent="0.2"/>
  <cols>
    <col min="1" max="1" width="38.140625" style="314" customWidth="1"/>
    <col min="2" max="2" width="13" style="314" customWidth="1"/>
    <col min="3" max="3" width="1.42578125" style="329" customWidth="1"/>
    <col min="4" max="4" width="13" style="314" customWidth="1"/>
    <col min="5" max="5" width="1.42578125" style="329" customWidth="1"/>
    <col min="6" max="6" width="13" style="314" customWidth="1"/>
    <col min="7" max="7" width="1.42578125" style="329" customWidth="1"/>
    <col min="8" max="8" width="13.5703125" style="314" customWidth="1"/>
    <col min="9" max="9" width="13.42578125" style="699" customWidth="1"/>
    <col min="10" max="11" width="9.140625" style="314"/>
    <col min="12" max="12" width="35.5703125" style="247" customWidth="1"/>
    <col min="13" max="16384" width="9.140625" style="314"/>
  </cols>
  <sheetData>
    <row r="1" spans="1:16" s="406" customFormat="1" ht="17.100000000000001" customHeight="1" thickBot="1" x14ac:dyDescent="0.25">
      <c r="A1" s="1582" t="s">
        <v>1033</v>
      </c>
      <c r="B1" s="1582"/>
      <c r="C1" s="1582"/>
      <c r="D1" s="1582"/>
      <c r="E1" s="1582"/>
      <c r="F1" s="1582"/>
      <c r="G1" s="1582"/>
      <c r="H1" s="1582"/>
      <c r="I1" s="692"/>
    </row>
    <row r="2" spans="1:16" s="409" customFormat="1" ht="15.6" customHeight="1" x14ac:dyDescent="0.2">
      <c r="A2" s="700" t="s">
        <v>461</v>
      </c>
      <c r="B2" s="407"/>
      <c r="C2" s="407"/>
      <c r="D2" s="407"/>
      <c r="E2" s="407"/>
      <c r="F2" s="407"/>
      <c r="G2" s="407"/>
      <c r="H2" s="408"/>
      <c r="I2" s="693"/>
      <c r="L2" s="286" t="s">
        <v>1061</v>
      </c>
    </row>
    <row r="3" spans="1:16" s="409" customFormat="1" ht="15.6" customHeight="1" x14ac:dyDescent="0.2">
      <c r="A3" s="700" t="s">
        <v>462</v>
      </c>
      <c r="B3" s="407"/>
      <c r="C3" s="407"/>
      <c r="D3" s="407"/>
      <c r="E3" s="407"/>
      <c r="F3" s="407"/>
      <c r="G3" s="407"/>
      <c r="H3" s="408"/>
      <c r="I3" s="693"/>
      <c r="L3" s="286" t="s">
        <v>1062</v>
      </c>
    </row>
    <row r="4" spans="1:16" s="411" customFormat="1" ht="13.35" customHeight="1" x14ac:dyDescent="0.2">
      <c r="A4" s="1579" t="s">
        <v>1724</v>
      </c>
      <c r="B4" s="1579"/>
      <c r="C4" s="1579"/>
      <c r="D4" s="1579"/>
      <c r="E4" s="1579"/>
      <c r="F4" s="1579"/>
      <c r="G4" s="1579"/>
      <c r="H4" s="410"/>
      <c r="I4" s="694"/>
      <c r="L4" s="918" t="s">
        <v>1724</v>
      </c>
    </row>
    <row r="5" spans="1:16" s="412" customFormat="1" ht="12.6" customHeight="1" x14ac:dyDescent="0.2">
      <c r="A5" s="253" t="s">
        <v>972</v>
      </c>
      <c r="B5" s="413"/>
      <c r="C5" s="413"/>
      <c r="D5" s="413"/>
      <c r="E5" s="413"/>
      <c r="F5" s="413"/>
      <c r="G5" s="413"/>
      <c r="H5" s="414"/>
      <c r="I5" s="695"/>
      <c r="L5" s="296" t="s">
        <v>972</v>
      </c>
    </row>
    <row r="6" spans="1:16" s="412" customFormat="1" ht="12.6" customHeight="1" x14ac:dyDescent="0.2">
      <c r="A6" s="253"/>
      <c r="B6" s="413"/>
      <c r="C6" s="413"/>
      <c r="D6" s="413"/>
      <c r="E6" s="413"/>
      <c r="F6" s="413"/>
      <c r="G6" s="413"/>
      <c r="H6" s="414"/>
      <c r="I6" s="695"/>
      <c r="L6" s="336"/>
    </row>
    <row r="7" spans="1:16" s="247" customFormat="1" ht="12.6" customHeight="1" x14ac:dyDescent="0.2">
      <c r="A7" s="310"/>
      <c r="B7" s="415"/>
      <c r="C7" s="310"/>
      <c r="D7" s="415"/>
      <c r="E7" s="310"/>
      <c r="F7" s="310"/>
      <c r="G7" s="310"/>
      <c r="H7" s="310" t="s">
        <v>671</v>
      </c>
      <c r="I7" s="267"/>
      <c r="L7" s="336"/>
    </row>
    <row r="8" spans="1:16" s="247" customFormat="1" ht="12.6" customHeight="1" x14ac:dyDescent="0.2">
      <c r="A8" s="310"/>
      <c r="B8" s="310" t="s">
        <v>866</v>
      </c>
      <c r="C8" s="310"/>
      <c r="D8" s="310" t="s">
        <v>861</v>
      </c>
      <c r="E8" s="310"/>
      <c r="F8" s="310"/>
      <c r="G8" s="310"/>
      <c r="H8" s="310" t="s">
        <v>1064</v>
      </c>
      <c r="I8" s="267"/>
      <c r="L8" s="336"/>
    </row>
    <row r="9" spans="1:16" s="284" customFormat="1" ht="12.6" customHeight="1" x14ac:dyDescent="0.2">
      <c r="A9" s="310"/>
      <c r="B9" s="310" t="s">
        <v>867</v>
      </c>
      <c r="C9" s="310"/>
      <c r="D9" s="310" t="s">
        <v>862</v>
      </c>
      <c r="E9" s="310"/>
      <c r="F9" s="310" t="s">
        <v>863</v>
      </c>
      <c r="G9" s="310"/>
      <c r="H9" s="310" t="s">
        <v>669</v>
      </c>
      <c r="I9" s="517" t="s">
        <v>1065</v>
      </c>
      <c r="L9" s="336"/>
    </row>
    <row r="10" spans="1:16" s="284" customFormat="1" ht="12.6" customHeight="1" x14ac:dyDescent="0.2">
      <c r="A10" s="310"/>
      <c r="B10" s="574" t="s">
        <v>864</v>
      </c>
      <c r="C10" s="360"/>
      <c r="D10" s="574" t="s">
        <v>864</v>
      </c>
      <c r="E10" s="360"/>
      <c r="F10" s="574" t="s">
        <v>864</v>
      </c>
      <c r="G10" s="360"/>
      <c r="H10" s="574" t="s">
        <v>864</v>
      </c>
      <c r="I10" s="381"/>
      <c r="L10" s="336"/>
    </row>
    <row r="11" spans="1:16" s="253" customFormat="1" ht="9.9499999999999993" customHeight="1" x14ac:dyDescent="0.2">
      <c r="A11" s="417" t="s">
        <v>672</v>
      </c>
      <c r="C11" s="361"/>
      <c r="E11" s="361"/>
      <c r="G11" s="361"/>
      <c r="I11" s="381"/>
      <c r="L11" s="353" t="s">
        <v>672</v>
      </c>
    </row>
    <row r="12" spans="1:16" s="253" customFormat="1" ht="9.9499999999999993" customHeight="1" x14ac:dyDescent="0.2">
      <c r="A12" s="425" t="s">
        <v>673</v>
      </c>
      <c r="B12" s="339">
        <f>SUM('SR Tie BS'!H12)</f>
        <v>53433</v>
      </c>
      <c r="C12" s="301"/>
      <c r="D12" s="339">
        <f>+'Cap Tie BS'!I11</f>
        <v>74</v>
      </c>
      <c r="E12" s="301"/>
      <c r="F12" s="339">
        <f>+'BS Perm'!O12</f>
        <v>0</v>
      </c>
      <c r="G12" s="301"/>
      <c r="H12" s="339">
        <f>SUM(B12:F12)</f>
        <v>53507</v>
      </c>
      <c r="I12" s="381">
        <f>SUM(B12:G12)-H12</f>
        <v>0</v>
      </c>
      <c r="L12" s="349" t="s">
        <v>673</v>
      </c>
    </row>
    <row r="13" spans="1:16" s="253" customFormat="1" ht="9.9499999999999993" customHeight="1" x14ac:dyDescent="0.2">
      <c r="A13" s="425" t="s">
        <v>674</v>
      </c>
      <c r="B13" s="273">
        <f>SUM('SR Tie BS'!H13)</f>
        <v>118252</v>
      </c>
      <c r="C13" s="342"/>
      <c r="D13" s="273">
        <f>+'Cap Tie BS'!I12</f>
        <v>251</v>
      </c>
      <c r="E13" s="342"/>
      <c r="F13" s="273">
        <f>+'BS Perm'!O13</f>
        <v>0</v>
      </c>
      <c r="G13" s="342"/>
      <c r="H13" s="273">
        <f t="shared" ref="H13:H30" si="0">SUM(B13:F13)</f>
        <v>118503</v>
      </c>
      <c r="I13" s="381">
        <f t="shared" ref="I13:I22" si="1">SUM(B13:G13)-H13</f>
        <v>0</v>
      </c>
      <c r="L13" s="349" t="s">
        <v>674</v>
      </c>
      <c r="P13" s="253">
        <v>0</v>
      </c>
    </row>
    <row r="14" spans="1:16" s="253" customFormat="1" ht="9.9499999999999993" customHeight="1" x14ac:dyDescent="0.2">
      <c r="A14" s="425" t="s">
        <v>252</v>
      </c>
      <c r="B14" s="273">
        <f>SUM('SR Tie BS'!H14)</f>
        <v>1323</v>
      </c>
      <c r="C14" s="342"/>
      <c r="D14" s="273">
        <f>+'Cap Tie BS'!I13</f>
        <v>2</v>
      </c>
      <c r="E14" s="342"/>
      <c r="F14" s="273">
        <f>+'BS Perm'!O14</f>
        <v>0</v>
      </c>
      <c r="G14" s="342"/>
      <c r="H14" s="273">
        <f t="shared" si="0"/>
        <v>1325</v>
      </c>
      <c r="I14" s="381">
        <f t="shared" si="1"/>
        <v>0</v>
      </c>
      <c r="L14" s="349" t="s">
        <v>252</v>
      </c>
    </row>
    <row r="15" spans="1:16" s="253" customFormat="1" ht="9.9499999999999993" customHeight="1" x14ac:dyDescent="0.2">
      <c r="A15" s="425" t="s">
        <v>763</v>
      </c>
      <c r="B15" s="273">
        <f>SUM('SR Tie BS'!H15)</f>
        <v>394</v>
      </c>
      <c r="C15" s="342"/>
      <c r="D15" s="273">
        <f>+'Cap Tie BS'!I14</f>
        <v>0</v>
      </c>
      <c r="E15" s="342"/>
      <c r="F15" s="273">
        <f>+'BS Perm'!O15</f>
        <v>0</v>
      </c>
      <c r="G15" s="342"/>
      <c r="H15" s="273">
        <f t="shared" si="0"/>
        <v>394</v>
      </c>
      <c r="I15" s="381">
        <f t="shared" si="1"/>
        <v>0</v>
      </c>
      <c r="L15" s="349" t="s">
        <v>763</v>
      </c>
    </row>
    <row r="16" spans="1:16" s="253" customFormat="1" ht="9.9499999999999993" hidden="1" customHeight="1" x14ac:dyDescent="0.2">
      <c r="A16" s="425" t="s">
        <v>683</v>
      </c>
      <c r="B16" s="273">
        <f>SUM('SR Tie BS'!H16)</f>
        <v>0</v>
      </c>
      <c r="C16" s="342"/>
      <c r="D16" s="273">
        <f>+'Cap Tie BS'!I15</f>
        <v>0</v>
      </c>
      <c r="E16" s="342"/>
      <c r="F16" s="273">
        <f>+'BS Perm'!O16</f>
        <v>0</v>
      </c>
      <c r="G16" s="342"/>
      <c r="H16" s="273">
        <f t="shared" si="0"/>
        <v>0</v>
      </c>
      <c r="I16" s="381">
        <f t="shared" si="1"/>
        <v>0</v>
      </c>
      <c r="L16" s="349" t="s">
        <v>683</v>
      </c>
    </row>
    <row r="17" spans="1:12" s="253" customFormat="1" ht="9.9499999999999993" customHeight="1" x14ac:dyDescent="0.2">
      <c r="A17" s="425" t="s">
        <v>840</v>
      </c>
      <c r="B17" s="273">
        <f>SUM('SR Tie BS'!H17)</f>
        <v>668</v>
      </c>
      <c r="C17" s="342"/>
      <c r="D17" s="273">
        <f>+'Cap Tie BS'!I16</f>
        <v>0</v>
      </c>
      <c r="E17" s="342"/>
      <c r="F17" s="273">
        <f>+'BS Perm'!O17</f>
        <v>0</v>
      </c>
      <c r="G17" s="342"/>
      <c r="H17" s="273">
        <f t="shared" si="0"/>
        <v>668</v>
      </c>
      <c r="I17" s="381">
        <f t="shared" si="1"/>
        <v>0</v>
      </c>
      <c r="L17" s="349" t="s">
        <v>840</v>
      </c>
    </row>
    <row r="18" spans="1:12" s="253" customFormat="1" ht="9.9499999999999993" customHeight="1" x14ac:dyDescent="0.2">
      <c r="A18" s="425" t="s">
        <v>1773</v>
      </c>
      <c r="B18" s="273">
        <f>SUM('SR Tie BS'!H18)</f>
        <v>7406</v>
      </c>
      <c r="C18" s="342"/>
      <c r="D18" s="273">
        <f>+'Cap Tie BS'!I17</f>
        <v>0</v>
      </c>
      <c r="E18" s="342"/>
      <c r="F18" s="273">
        <f>+'BS Perm'!O18</f>
        <v>0</v>
      </c>
      <c r="G18" s="342"/>
      <c r="H18" s="273">
        <f t="shared" si="0"/>
        <v>7406</v>
      </c>
      <c r="I18" s="381"/>
      <c r="L18" s="349"/>
    </row>
    <row r="19" spans="1:12" s="253" customFormat="1" ht="9.9499999999999993" customHeight="1" x14ac:dyDescent="0.2">
      <c r="A19" s="425" t="s">
        <v>63</v>
      </c>
      <c r="B19" s="273">
        <f>SUM('SR Tie BS'!H19)</f>
        <v>1800</v>
      </c>
      <c r="C19" s="342"/>
      <c r="D19" s="273">
        <f>+'Cap Tie BS'!I18</f>
        <v>0</v>
      </c>
      <c r="E19" s="342"/>
      <c r="F19" s="273">
        <f>+'BS Perm'!O18</f>
        <v>0</v>
      </c>
      <c r="G19" s="342"/>
      <c r="H19" s="273">
        <f t="shared" si="0"/>
        <v>1800</v>
      </c>
      <c r="I19" s="381">
        <f t="shared" si="1"/>
        <v>0</v>
      </c>
      <c r="L19" s="349" t="s">
        <v>1575</v>
      </c>
    </row>
    <row r="20" spans="1:12" s="253" customFormat="1" ht="9.9499999999999993" customHeight="1" x14ac:dyDescent="0.2">
      <c r="A20" s="425" t="s">
        <v>1216</v>
      </c>
      <c r="B20" s="273">
        <f>SUM('SR Tie BS'!H20)</f>
        <v>1455</v>
      </c>
      <c r="C20" s="342"/>
      <c r="D20" s="273">
        <f>+'Cap Tie BS'!I19</f>
        <v>0</v>
      </c>
      <c r="E20" s="342"/>
      <c r="F20" s="273">
        <f>+'BS Perm'!O19</f>
        <v>0</v>
      </c>
      <c r="G20" s="342"/>
      <c r="H20" s="273">
        <f t="shared" si="0"/>
        <v>1455</v>
      </c>
      <c r="I20" s="381">
        <f t="shared" si="1"/>
        <v>0</v>
      </c>
      <c r="L20" s="349" t="s">
        <v>63</v>
      </c>
    </row>
    <row r="21" spans="1:12" s="253" customFormat="1" ht="9.9499999999999993" customHeight="1" x14ac:dyDescent="0.2">
      <c r="A21" s="425" t="s">
        <v>685</v>
      </c>
      <c r="B21" s="273">
        <f>SUM('SR Tie BS'!H21)</f>
        <v>0</v>
      </c>
      <c r="C21" s="342"/>
      <c r="D21" s="273">
        <f>+'Cap Tie BS'!I20</f>
        <v>0</v>
      </c>
      <c r="E21" s="342"/>
      <c r="F21" s="273">
        <f>+'BS Perm'!O20</f>
        <v>0</v>
      </c>
      <c r="G21" s="342"/>
      <c r="H21" s="273">
        <f t="shared" si="0"/>
        <v>0</v>
      </c>
      <c r="I21" s="381">
        <f t="shared" si="1"/>
        <v>0</v>
      </c>
      <c r="L21" s="349" t="s">
        <v>1216</v>
      </c>
    </row>
    <row r="22" spans="1:12" s="253" customFormat="1" ht="9.9499999999999993" customHeight="1" x14ac:dyDescent="0.2">
      <c r="A22" s="426" t="s">
        <v>673</v>
      </c>
      <c r="B22" s="273">
        <f>SUM('SR Tie BS'!H22)</f>
        <v>261725</v>
      </c>
      <c r="C22" s="342"/>
      <c r="D22" s="273">
        <f>+'Cap Tie BS'!I21</f>
        <v>142388</v>
      </c>
      <c r="E22" s="342"/>
      <c r="F22" s="273">
        <f>+'BS Perm'!O21</f>
        <v>1776</v>
      </c>
      <c r="G22" s="342"/>
      <c r="H22" s="273">
        <f t="shared" si="0"/>
        <v>405889</v>
      </c>
      <c r="I22" s="381">
        <f t="shared" si="1"/>
        <v>0</v>
      </c>
      <c r="L22" s="349" t="s">
        <v>685</v>
      </c>
    </row>
    <row r="23" spans="1:12" s="253" customFormat="1" ht="11.1" customHeight="1" x14ac:dyDescent="0.2">
      <c r="A23" s="426" t="s">
        <v>674</v>
      </c>
      <c r="B23" s="273">
        <f>SUM('SR Tie BS'!H23)</f>
        <v>230848</v>
      </c>
      <c r="C23" s="342"/>
      <c r="D23" s="273">
        <f>+'Cap Tie BS'!I22</f>
        <v>305101</v>
      </c>
      <c r="E23" s="342"/>
      <c r="F23" s="273">
        <f>+'BS Perm'!O22</f>
        <v>6025</v>
      </c>
      <c r="G23" s="342"/>
      <c r="H23" s="273">
        <f t="shared" si="0"/>
        <v>541974</v>
      </c>
      <c r="I23" s="381"/>
      <c r="L23" s="351" t="s">
        <v>673</v>
      </c>
    </row>
    <row r="24" spans="1:12" s="253" customFormat="1" ht="9.9499999999999993" customHeight="1" x14ac:dyDescent="0.2">
      <c r="A24" s="426" t="s">
        <v>252</v>
      </c>
      <c r="B24" s="273">
        <f>SUM('SR Tie BS'!H24)</f>
        <v>122229</v>
      </c>
      <c r="C24" s="342"/>
      <c r="D24" s="273">
        <f>+'Cap Tie BS'!I23</f>
        <v>6647</v>
      </c>
      <c r="E24" s="342"/>
      <c r="F24" s="273">
        <f>+'BS Perm'!O23</f>
        <v>224</v>
      </c>
      <c r="G24" s="342"/>
      <c r="H24" s="273">
        <f t="shared" si="0"/>
        <v>129100</v>
      </c>
      <c r="I24" s="381"/>
      <c r="L24" s="351" t="s">
        <v>674</v>
      </c>
    </row>
    <row r="25" spans="1:12" s="253" customFormat="1" ht="9.9499999999999993" customHeight="1" x14ac:dyDescent="0.2">
      <c r="A25" s="426" t="s">
        <v>763</v>
      </c>
      <c r="B25" s="273">
        <f>SUM('SR Tie BS'!H25)</f>
        <v>777</v>
      </c>
      <c r="C25" s="342"/>
      <c r="D25" s="273">
        <f>+'Cap Tie BS'!I24</f>
        <v>0</v>
      </c>
      <c r="E25" s="342"/>
      <c r="F25" s="273">
        <f>+'BS Perm'!O24</f>
        <v>0</v>
      </c>
      <c r="G25" s="342"/>
      <c r="H25" s="273">
        <f t="shared" si="0"/>
        <v>777</v>
      </c>
      <c r="I25" s="381">
        <f>SUM(B25:G25)-H25</f>
        <v>0</v>
      </c>
      <c r="L25" s="351" t="s">
        <v>252</v>
      </c>
    </row>
    <row r="26" spans="1:12" s="253" customFormat="1" ht="9.9499999999999993" customHeight="1" x14ac:dyDescent="0.2">
      <c r="A26" s="426" t="s">
        <v>683</v>
      </c>
      <c r="B26" s="273">
        <f>SUM('SR Tie BS'!H26)</f>
        <v>15</v>
      </c>
      <c r="C26" s="342"/>
      <c r="D26" s="273">
        <f>+'Cap Tie BS'!I25</f>
        <v>0</v>
      </c>
      <c r="E26" s="342"/>
      <c r="F26" s="273">
        <f>+'BS Perm'!O25</f>
        <v>0</v>
      </c>
      <c r="G26" s="342"/>
      <c r="H26" s="273">
        <f t="shared" si="0"/>
        <v>15</v>
      </c>
      <c r="I26" s="381"/>
      <c r="L26" s="351" t="s">
        <v>763</v>
      </c>
    </row>
    <row r="27" spans="1:12" s="253" customFormat="1" ht="9.9499999999999993" customHeight="1" x14ac:dyDescent="0.2">
      <c r="A27" s="426" t="s">
        <v>840</v>
      </c>
      <c r="B27" s="273">
        <f>SUM('SR Tie BS'!H27)</f>
        <v>4426</v>
      </c>
      <c r="C27" s="342"/>
      <c r="D27" s="273">
        <f>+'Cap Tie BS'!I26</f>
        <v>0</v>
      </c>
      <c r="E27" s="342"/>
      <c r="F27" s="273">
        <f>+'BS Perm'!O26</f>
        <v>0</v>
      </c>
      <c r="G27" s="342"/>
      <c r="H27" s="273">
        <f t="shared" si="0"/>
        <v>4426</v>
      </c>
      <c r="I27" s="381">
        <f>SUM(B27:G27)-H27</f>
        <v>0</v>
      </c>
      <c r="L27" s="351" t="s">
        <v>683</v>
      </c>
    </row>
    <row r="28" spans="1:12" s="253" customFormat="1" ht="9.9499999999999993" customHeight="1" x14ac:dyDescent="0.2">
      <c r="A28" s="426" t="s">
        <v>1773</v>
      </c>
      <c r="B28" s="273">
        <f>SUM('SR Tie BS'!H28)</f>
        <v>38416</v>
      </c>
      <c r="C28" s="342"/>
      <c r="D28" s="273">
        <f>+'Cap Tie BS'!I27</f>
        <v>0</v>
      </c>
      <c r="E28" s="342"/>
      <c r="F28" s="273">
        <f>+'BS Perm'!O27</f>
        <v>0</v>
      </c>
      <c r="G28" s="342"/>
      <c r="H28" s="273">
        <f t="shared" si="0"/>
        <v>38416</v>
      </c>
      <c r="I28" s="381"/>
      <c r="L28" s="351"/>
    </row>
    <row r="29" spans="1:12" s="253" customFormat="1" ht="11.1" customHeight="1" x14ac:dyDescent="0.2">
      <c r="A29" s="426" t="s">
        <v>63</v>
      </c>
      <c r="B29" s="273">
        <f>SUM('SR Tie BS'!H29)</f>
        <v>8990</v>
      </c>
      <c r="C29" s="342"/>
      <c r="D29" s="273">
        <f>+'Cap Tie BS'!I28</f>
        <v>0</v>
      </c>
      <c r="E29" s="342"/>
      <c r="F29" s="273">
        <f>+'BS Perm'!O28</f>
        <v>0</v>
      </c>
      <c r="G29" s="342"/>
      <c r="H29" s="273">
        <f t="shared" si="0"/>
        <v>8990</v>
      </c>
      <c r="I29" s="381">
        <f>SUM(B29:G29)-H29</f>
        <v>0</v>
      </c>
      <c r="L29" s="351" t="s">
        <v>840</v>
      </c>
    </row>
    <row r="30" spans="1:12" s="253" customFormat="1" ht="9.9499999999999993" customHeight="1" x14ac:dyDescent="0.2">
      <c r="A30" s="426" t="s">
        <v>1216</v>
      </c>
      <c r="B30" s="273">
        <f>SUM('SR Tie BS'!H30)</f>
        <v>4273</v>
      </c>
      <c r="C30" s="342"/>
      <c r="D30" s="273">
        <f>+'Cap Tie BS'!I29</f>
        <v>5551</v>
      </c>
      <c r="E30" s="342"/>
      <c r="F30" s="273">
        <f>+'BS Perm'!O29</f>
        <v>0</v>
      </c>
      <c r="G30" s="342"/>
      <c r="H30" s="273">
        <f t="shared" si="0"/>
        <v>9824</v>
      </c>
      <c r="I30" s="381">
        <f>SUM(B30:G30)-H30</f>
        <v>0</v>
      </c>
      <c r="L30" s="351" t="s">
        <v>1575</v>
      </c>
    </row>
    <row r="31" spans="1:12" s="253" customFormat="1" ht="5.0999999999999996" customHeight="1" x14ac:dyDescent="0.2">
      <c r="A31" s="418"/>
      <c r="B31" s="366"/>
      <c r="C31" s="301"/>
      <c r="D31" s="366"/>
      <c r="E31" s="301"/>
      <c r="F31" s="366"/>
      <c r="G31" s="301"/>
      <c r="H31" s="419"/>
      <c r="I31" s="381"/>
      <c r="L31" s="351" t="s">
        <v>63</v>
      </c>
    </row>
    <row r="32" spans="1:12" s="253" customFormat="1" ht="11.1" customHeight="1" thickBot="1" x14ac:dyDescent="0.25">
      <c r="A32" s="417" t="s">
        <v>687</v>
      </c>
      <c r="B32" s="344">
        <f>SUM(B12:B30)</f>
        <v>856430</v>
      </c>
      <c r="C32" s="301"/>
      <c r="D32" s="344">
        <f>SUM(D12:D30)</f>
        <v>460014</v>
      </c>
      <c r="E32" s="301"/>
      <c r="F32" s="344">
        <f>SUM(F12:F30)</f>
        <v>8025</v>
      </c>
      <c r="G32" s="301"/>
      <c r="H32" s="344">
        <f>SUM(H12:H30)</f>
        <v>1324469</v>
      </c>
      <c r="I32" s="678"/>
      <c r="L32" s="351" t="s">
        <v>1216</v>
      </c>
    </row>
    <row r="33" spans="1:12" s="253" customFormat="1" ht="5.0999999999999996" customHeight="1" thickTop="1" x14ac:dyDescent="0.2">
      <c r="A33" s="418"/>
      <c r="B33" s="254"/>
      <c r="C33" s="301"/>
      <c r="D33" s="254"/>
      <c r="E33" s="301"/>
      <c r="F33" s="254"/>
      <c r="G33" s="301"/>
      <c r="H33" s="254"/>
      <c r="I33" s="381"/>
    </row>
    <row r="34" spans="1:12" s="253" customFormat="1" ht="24" x14ac:dyDescent="0.2">
      <c r="A34" s="1241" t="s">
        <v>1698</v>
      </c>
      <c r="B34" s="273"/>
      <c r="C34" s="342"/>
      <c r="D34" s="254"/>
      <c r="E34" s="364"/>
      <c r="F34" s="347"/>
      <c r="G34" s="364"/>
      <c r="H34" s="254"/>
      <c r="I34" s="381"/>
      <c r="L34" s="353" t="s">
        <v>687</v>
      </c>
    </row>
    <row r="35" spans="1:12" s="253" customFormat="1" ht="9.9499999999999993" customHeight="1" x14ac:dyDescent="0.2">
      <c r="A35" s="428" t="s">
        <v>751</v>
      </c>
      <c r="B35" s="273"/>
      <c r="C35" s="342"/>
      <c r="D35" s="273"/>
      <c r="E35" s="342"/>
      <c r="F35" s="273"/>
      <c r="G35" s="342"/>
      <c r="H35" s="273"/>
      <c r="I35" s="273"/>
    </row>
    <row r="36" spans="1:12" s="253" customFormat="1" ht="9.9499999999999993" customHeight="1" x14ac:dyDescent="0.2">
      <c r="A36" s="426" t="s">
        <v>688</v>
      </c>
      <c r="B36" s="339">
        <f>SUM('SR Tie BS'!H36)</f>
        <v>2357</v>
      </c>
      <c r="C36" s="342"/>
      <c r="D36" s="339">
        <f>+'Cap Tie BS'!I35</f>
        <v>0</v>
      </c>
      <c r="E36" s="342"/>
      <c r="F36" s="339">
        <f>+'BS Perm'!O35</f>
        <v>0</v>
      </c>
      <c r="G36" s="342"/>
      <c r="H36" s="339">
        <f t="shared" ref="H36:H52" si="2">SUM(B36:F36)</f>
        <v>2357</v>
      </c>
      <c r="I36" s="381">
        <f>SUM(B36:G36)-H36</f>
        <v>0</v>
      </c>
    </row>
    <row r="37" spans="1:12" s="253" customFormat="1" ht="9.9499999999999993" customHeight="1" x14ac:dyDescent="0.2">
      <c r="A37" s="426" t="s">
        <v>847</v>
      </c>
      <c r="B37" s="273">
        <f>SUM('SR Tie BS'!H37)</f>
        <v>9398</v>
      </c>
      <c r="C37" s="342"/>
      <c r="D37" s="273">
        <f>+'Cap Tie BS'!I36</f>
        <v>0</v>
      </c>
      <c r="E37" s="342"/>
      <c r="F37" s="273">
        <f>+'BS Perm'!O36</f>
        <v>0</v>
      </c>
      <c r="G37" s="342"/>
      <c r="H37" s="273">
        <f t="shared" si="2"/>
        <v>9398</v>
      </c>
      <c r="I37" s="381">
        <f>SUM(B37:G37)-H37</f>
        <v>0</v>
      </c>
      <c r="L37" s="353" t="s">
        <v>1478</v>
      </c>
    </row>
    <row r="38" spans="1:12" s="253" customFormat="1" ht="9.9499999999999993" customHeight="1" x14ac:dyDescent="0.2">
      <c r="A38" s="426" t="s">
        <v>690</v>
      </c>
      <c r="B38" s="273">
        <f>SUM('SR Tie BS'!H38)</f>
        <v>133</v>
      </c>
      <c r="C38" s="342"/>
      <c r="D38" s="273">
        <f>+'Cap Tie BS'!I37</f>
        <v>0</v>
      </c>
      <c r="E38" s="342"/>
      <c r="F38" s="273">
        <f>+'BS Perm'!O37</f>
        <v>0</v>
      </c>
      <c r="G38" s="342"/>
      <c r="H38" s="273">
        <f t="shared" si="2"/>
        <v>133</v>
      </c>
      <c r="I38" s="381">
        <f>SUM(B38:G38)-H38</f>
        <v>0</v>
      </c>
      <c r="L38" s="707" t="s">
        <v>751</v>
      </c>
    </row>
    <row r="39" spans="1:12" s="253" customFormat="1" ht="9.9499999999999993" hidden="1" customHeight="1" x14ac:dyDescent="0.2">
      <c r="A39" s="426" t="s">
        <v>691</v>
      </c>
      <c r="B39" s="273">
        <f>SUM('SR Tie BS'!H39)</f>
        <v>0</v>
      </c>
      <c r="C39" s="342"/>
      <c r="D39" s="273">
        <f>+'Cap Tie BS'!I38</f>
        <v>0</v>
      </c>
      <c r="E39" s="342"/>
      <c r="F39" s="273">
        <f>+'BS Perm'!O38</f>
        <v>0</v>
      </c>
      <c r="G39" s="342"/>
      <c r="H39" s="273">
        <f t="shared" si="2"/>
        <v>0</v>
      </c>
      <c r="I39" s="381">
        <f>SUM(B39:G39)-H39</f>
        <v>0</v>
      </c>
      <c r="L39" s="351" t="s">
        <v>688</v>
      </c>
    </row>
    <row r="40" spans="1:12" s="253" customFormat="1" ht="9.9499999999999993" customHeight="1" x14ac:dyDescent="0.2">
      <c r="A40" s="426" t="s">
        <v>692</v>
      </c>
      <c r="B40" s="273">
        <f>SUM('SR Tie BS'!H40)</f>
        <v>267</v>
      </c>
      <c r="C40" s="342"/>
      <c r="D40" s="273">
        <f>+'Cap Tie BS'!I39</f>
        <v>0</v>
      </c>
      <c r="E40" s="342"/>
      <c r="F40" s="273">
        <f>+'BS Perm'!O39</f>
        <v>0</v>
      </c>
      <c r="G40" s="342"/>
      <c r="H40" s="273">
        <f t="shared" si="2"/>
        <v>267</v>
      </c>
      <c r="I40" s="381">
        <f>SUM(B40:G40)-H40</f>
        <v>0</v>
      </c>
      <c r="L40" s="351" t="s">
        <v>847</v>
      </c>
    </row>
    <row r="41" spans="1:12" s="253" customFormat="1" ht="9.9499999999999993" hidden="1" customHeight="1" x14ac:dyDescent="0.2">
      <c r="A41" s="426" t="s">
        <v>848</v>
      </c>
      <c r="B41" s="273">
        <f>SUM('SR Tie BS'!H41)</f>
        <v>0</v>
      </c>
      <c r="C41" s="342"/>
      <c r="D41" s="273">
        <f>+'Cap Tie BS'!I40</f>
        <v>0</v>
      </c>
      <c r="E41" s="342"/>
      <c r="F41" s="273">
        <f>+'BS Perm'!O40</f>
        <v>0</v>
      </c>
      <c r="G41" s="342"/>
      <c r="H41" s="273">
        <f t="shared" si="2"/>
        <v>0</v>
      </c>
      <c r="I41" s="381"/>
      <c r="L41" s="351" t="s">
        <v>690</v>
      </c>
    </row>
    <row r="42" spans="1:12" s="253" customFormat="1" ht="9.9499999999999993" hidden="1" customHeight="1" x14ac:dyDescent="0.2">
      <c r="A42" s="426" t="s">
        <v>604</v>
      </c>
      <c r="B42" s="273">
        <f>SUM('SR Tie BS'!H42)</f>
        <v>0</v>
      </c>
      <c r="C42" s="342"/>
      <c r="D42" s="273">
        <f>+'Cap Tie BS'!I41</f>
        <v>0</v>
      </c>
      <c r="E42" s="342"/>
      <c r="F42" s="273">
        <f>+'BS Perm'!O41</f>
        <v>0</v>
      </c>
      <c r="G42" s="342"/>
      <c r="H42" s="273">
        <f t="shared" si="2"/>
        <v>0</v>
      </c>
      <c r="I42" s="381">
        <f>SUM(B42:G42)-H42</f>
        <v>0</v>
      </c>
      <c r="L42" s="351" t="s">
        <v>691</v>
      </c>
    </row>
    <row r="43" spans="1:12" s="253" customFormat="1" ht="9.9499999999999993" hidden="1" customHeight="1" x14ac:dyDescent="0.2">
      <c r="A43" s="426" t="s">
        <v>593</v>
      </c>
      <c r="B43" s="273">
        <f>SUM('SR Tie BS'!H43)</f>
        <v>0</v>
      </c>
      <c r="C43" s="342"/>
      <c r="D43" s="273">
        <f>+'Cap Tie BS'!I42</f>
        <v>0</v>
      </c>
      <c r="E43" s="342"/>
      <c r="F43" s="273">
        <f>+'BS Perm'!O42</f>
        <v>0</v>
      </c>
      <c r="G43" s="342"/>
      <c r="H43" s="273">
        <f t="shared" si="2"/>
        <v>0</v>
      </c>
      <c r="I43" s="381"/>
      <c r="L43" s="351" t="s">
        <v>692</v>
      </c>
    </row>
    <row r="44" spans="1:12" s="253" customFormat="1" ht="9.9499999999999993" customHeight="1" x14ac:dyDescent="0.2">
      <c r="A44" s="426" t="s">
        <v>1304</v>
      </c>
      <c r="B44" s="273">
        <f>SUM('SR Tie BS'!H44)</f>
        <v>0</v>
      </c>
      <c r="C44" s="342"/>
      <c r="D44" s="273">
        <f>+'Cap Tie BS'!I43</f>
        <v>0</v>
      </c>
      <c r="E44" s="342"/>
      <c r="F44" s="273">
        <f>+'BS Perm'!O43</f>
        <v>0</v>
      </c>
      <c r="G44" s="342"/>
      <c r="H44" s="273">
        <f t="shared" si="2"/>
        <v>0</v>
      </c>
      <c r="I44" s="381">
        <f>SUM(B44:G44)-H44</f>
        <v>0</v>
      </c>
      <c r="L44" s="351" t="s">
        <v>848</v>
      </c>
    </row>
    <row r="45" spans="1:12" s="253" customFormat="1" ht="9.9499999999999993" customHeight="1" x14ac:dyDescent="0.2">
      <c r="A45" s="427" t="s">
        <v>688</v>
      </c>
      <c r="B45" s="273">
        <f>SUM('SR Tie BS'!H45)</f>
        <v>15900</v>
      </c>
      <c r="C45" s="342"/>
      <c r="D45" s="273">
        <f>+'Cap Tie BS'!I44</f>
        <v>50907</v>
      </c>
      <c r="E45" s="342"/>
      <c r="F45" s="273">
        <f>+'BS Perm'!O44</f>
        <v>0</v>
      </c>
      <c r="G45" s="342"/>
      <c r="H45" s="273">
        <f t="shared" si="2"/>
        <v>66807</v>
      </c>
      <c r="I45" s="381">
        <f>SUM(B45:G45)-H45</f>
        <v>0</v>
      </c>
      <c r="L45" s="351" t="s">
        <v>604</v>
      </c>
    </row>
    <row r="46" spans="1:12" s="253" customFormat="1" ht="9.9499999999999993" customHeight="1" x14ac:dyDescent="0.2">
      <c r="A46" s="427" t="s">
        <v>847</v>
      </c>
      <c r="B46" s="273">
        <f>SUM('SR Tie BS'!H46)</f>
        <v>35048</v>
      </c>
      <c r="C46" s="342"/>
      <c r="D46" s="273">
        <f>+'Cap Tie BS'!I45</f>
        <v>22760</v>
      </c>
      <c r="E46" s="342"/>
      <c r="F46" s="273">
        <f>+'BS Perm'!O45</f>
        <v>1</v>
      </c>
      <c r="G46" s="342"/>
      <c r="H46" s="273">
        <f t="shared" si="2"/>
        <v>57809</v>
      </c>
      <c r="I46" s="381">
        <f>SUM(B46:G46)-H46</f>
        <v>0</v>
      </c>
      <c r="L46" s="351" t="s">
        <v>593</v>
      </c>
    </row>
    <row r="47" spans="1:12" s="253" customFormat="1" ht="9.9499999999999993" customHeight="1" x14ac:dyDescent="0.2">
      <c r="A47" s="427" t="s">
        <v>690</v>
      </c>
      <c r="B47" s="273">
        <f>SUM('SR Tie BS'!H47)</f>
        <v>2607</v>
      </c>
      <c r="C47" s="342"/>
      <c r="D47" s="273">
        <f>+'Cap Tie BS'!I46</f>
        <v>10</v>
      </c>
      <c r="E47" s="342"/>
      <c r="F47" s="273">
        <f>+'BS Perm'!O46</f>
        <v>2</v>
      </c>
      <c r="G47" s="342"/>
      <c r="H47" s="273">
        <f t="shared" si="2"/>
        <v>2619</v>
      </c>
      <c r="I47" s="381"/>
      <c r="L47" s="351" t="s">
        <v>1304</v>
      </c>
    </row>
    <row r="48" spans="1:12" s="253" customFormat="1" ht="9.9499999999999993" customHeight="1" x14ac:dyDescent="0.2">
      <c r="A48" s="427" t="s">
        <v>691</v>
      </c>
      <c r="B48" s="273">
        <f>SUM('SR Tie BS'!H48)</f>
        <v>253</v>
      </c>
      <c r="C48" s="342"/>
      <c r="D48" s="273">
        <f>+'Cap Tie BS'!I47</f>
        <v>0</v>
      </c>
      <c r="E48" s="342"/>
      <c r="F48" s="273">
        <f>+'BS Perm'!O47</f>
        <v>0</v>
      </c>
      <c r="G48" s="342"/>
      <c r="H48" s="273">
        <f t="shared" si="2"/>
        <v>253</v>
      </c>
      <c r="I48" s="381">
        <f>SUM(B48:G48)-H48</f>
        <v>0</v>
      </c>
      <c r="L48" s="705" t="s">
        <v>688</v>
      </c>
    </row>
    <row r="49" spans="1:12" s="253" customFormat="1" ht="9.9499999999999993" customHeight="1" x14ac:dyDescent="0.2">
      <c r="A49" s="427" t="s">
        <v>692</v>
      </c>
      <c r="B49" s="273">
        <f>SUM('SR Tie BS'!H49)</f>
        <v>4013</v>
      </c>
      <c r="C49" s="342"/>
      <c r="D49" s="273">
        <f>+'Cap Tie BS'!I48</f>
        <v>6874</v>
      </c>
      <c r="E49" s="342"/>
      <c r="F49" s="273">
        <f>+'BS Perm'!O48</f>
        <v>0</v>
      </c>
      <c r="G49" s="342"/>
      <c r="H49" s="273">
        <f t="shared" si="2"/>
        <v>10887</v>
      </c>
      <c r="I49" s="381"/>
      <c r="L49" s="705" t="s">
        <v>847</v>
      </c>
    </row>
    <row r="50" spans="1:12" s="253" customFormat="1" ht="9.9499999999999993" hidden="1" customHeight="1" x14ac:dyDescent="0.2">
      <c r="A50" s="427" t="s">
        <v>848</v>
      </c>
      <c r="B50" s="273">
        <f>SUM('SR Tie BS'!H50)</f>
        <v>0</v>
      </c>
      <c r="C50" s="342"/>
      <c r="D50" s="273">
        <f>+'Cap Tie BS'!I49</f>
        <v>0</v>
      </c>
      <c r="E50" s="342"/>
      <c r="F50" s="273">
        <f>+'BS Perm'!O49</f>
        <v>0</v>
      </c>
      <c r="G50" s="342"/>
      <c r="H50" s="273">
        <f t="shared" si="2"/>
        <v>0</v>
      </c>
      <c r="I50" s="381"/>
      <c r="L50" s="705" t="s">
        <v>690</v>
      </c>
    </row>
    <row r="51" spans="1:12" s="253" customFormat="1" ht="9.9499999999999993" customHeight="1" x14ac:dyDescent="0.2">
      <c r="A51" s="427" t="s">
        <v>604</v>
      </c>
      <c r="B51" s="273">
        <f>SUM('SR Tie BS'!H51)</f>
        <v>18029</v>
      </c>
      <c r="C51" s="342"/>
      <c r="D51" s="273">
        <f>+'Cap Tie BS'!I50</f>
        <v>41</v>
      </c>
      <c r="E51" s="342"/>
      <c r="F51" s="273">
        <f>+'BS Perm'!O50</f>
        <v>0</v>
      </c>
      <c r="G51" s="342"/>
      <c r="H51" s="273">
        <f t="shared" si="2"/>
        <v>18070</v>
      </c>
      <c r="I51" s="381">
        <f>SUM(B51:G51)-H51</f>
        <v>0</v>
      </c>
      <c r="L51" s="705" t="s">
        <v>691</v>
      </c>
    </row>
    <row r="52" spans="1:12" s="253" customFormat="1" ht="9.9499999999999993" customHeight="1" x14ac:dyDescent="0.2">
      <c r="A52" s="427" t="s">
        <v>593</v>
      </c>
      <c r="B52" s="273">
        <f>SUM('SR Tie BS'!H52)</f>
        <v>0</v>
      </c>
      <c r="C52" s="301"/>
      <c r="D52" s="273">
        <f>+'Cap Tie BS'!I51</f>
        <v>0</v>
      </c>
      <c r="E52" s="301"/>
      <c r="F52" s="273">
        <f>+'BS Perm'!O51</f>
        <v>0</v>
      </c>
      <c r="G52" s="301"/>
      <c r="H52" s="254">
        <f t="shared" si="2"/>
        <v>0</v>
      </c>
      <c r="I52" s="381"/>
      <c r="L52" s="705" t="s">
        <v>692</v>
      </c>
    </row>
    <row r="53" spans="1:12" s="253" customFormat="1" ht="5.0999999999999996" customHeight="1" x14ac:dyDescent="0.2">
      <c r="A53" s="425"/>
      <c r="B53" s="366"/>
      <c r="C53" s="301"/>
      <c r="D53" s="366"/>
      <c r="E53" s="301"/>
      <c r="F53" s="366"/>
      <c r="G53" s="301"/>
      <c r="H53" s="419"/>
      <c r="I53" s="381"/>
      <c r="L53" s="705" t="s">
        <v>848</v>
      </c>
    </row>
    <row r="54" spans="1:12" s="253" customFormat="1" ht="11.1" customHeight="1" x14ac:dyDescent="0.2">
      <c r="A54" s="428" t="s">
        <v>702</v>
      </c>
      <c r="B54" s="345">
        <f>SUM(B36:B52)</f>
        <v>88005</v>
      </c>
      <c r="C54" s="301"/>
      <c r="D54" s="345">
        <f>SUM(D36:D52)</f>
        <v>80592</v>
      </c>
      <c r="E54" s="301"/>
      <c r="F54" s="345">
        <f>SUM(F36:F52)</f>
        <v>3</v>
      </c>
      <c r="G54" s="301"/>
      <c r="H54" s="345">
        <f>SUM(H36:H52)</f>
        <v>168600</v>
      </c>
      <c r="I54" s="402"/>
      <c r="L54" s="705" t="s">
        <v>604</v>
      </c>
    </row>
    <row r="55" spans="1:12" s="253" customFormat="1" ht="5.0999999999999996" customHeight="1" x14ac:dyDescent="0.2">
      <c r="A55" s="428"/>
      <c r="B55" s="254"/>
      <c r="C55" s="301"/>
      <c r="D55" s="254"/>
      <c r="E55" s="301"/>
      <c r="F55" s="254"/>
      <c r="G55" s="301"/>
      <c r="H55" s="254"/>
      <c r="I55" s="678"/>
      <c r="L55" s="705" t="s">
        <v>593</v>
      </c>
    </row>
    <row r="56" spans="1:12" s="253" customFormat="1" ht="9.9499999999999993" customHeight="1" x14ac:dyDescent="0.2">
      <c r="A56" s="707" t="s">
        <v>1206</v>
      </c>
      <c r="B56" s="273">
        <f>'SR Tie BS'!H56</f>
        <v>124162</v>
      </c>
      <c r="C56" s="273"/>
      <c r="D56" s="273">
        <f>'Cap Tie BS'!I56</f>
        <v>5616</v>
      </c>
      <c r="E56" s="273"/>
      <c r="F56" s="273">
        <f>'BS Perm'!O56</f>
        <v>0</v>
      </c>
      <c r="G56" s="301"/>
      <c r="H56" s="273">
        <f>SUM(B56:F56)</f>
        <v>129778</v>
      </c>
      <c r="I56" s="678"/>
      <c r="L56" s="349"/>
    </row>
    <row r="57" spans="1:12" s="253" customFormat="1" ht="5.0999999999999996" customHeight="1" x14ac:dyDescent="0.2">
      <c r="A57" s="428"/>
      <c r="B57" s="366"/>
      <c r="C57" s="301"/>
      <c r="D57" s="366"/>
      <c r="E57" s="301"/>
      <c r="F57" s="366"/>
      <c r="G57" s="301"/>
      <c r="H57" s="366"/>
      <c r="I57" s="678"/>
      <c r="L57" s="707" t="s">
        <v>702</v>
      </c>
    </row>
    <row r="58" spans="1:12" s="253" customFormat="1" ht="9.9499999999999993" customHeight="1" x14ac:dyDescent="0.2">
      <c r="A58" s="428" t="s">
        <v>849</v>
      </c>
      <c r="B58" s="254"/>
      <c r="C58" s="301"/>
      <c r="D58" s="254"/>
      <c r="E58" s="301"/>
      <c r="F58" s="254"/>
      <c r="G58" s="301"/>
      <c r="H58" s="254"/>
      <c r="I58" s="381"/>
      <c r="L58" s="349"/>
    </row>
    <row r="59" spans="1:12" s="253" customFormat="1" ht="9.9499999999999993" customHeight="1" x14ac:dyDescent="0.2">
      <c r="A59" s="776" t="s">
        <v>392</v>
      </c>
      <c r="B59" s="273">
        <f>'SR Tie BS'!H59</f>
        <v>6280</v>
      </c>
      <c r="C59" s="301"/>
      <c r="D59" s="273">
        <f>'Cap Tie BS'!I60</f>
        <v>0</v>
      </c>
      <c r="E59" s="301"/>
      <c r="F59" s="273">
        <f>+'BS Perm'!O60</f>
        <v>6911</v>
      </c>
      <c r="G59" s="301"/>
      <c r="H59" s="273">
        <f>SUM(B59:F59)</f>
        <v>13191</v>
      </c>
      <c r="I59" s="381"/>
    </row>
    <row r="60" spans="1:12" s="253" customFormat="1" ht="9.9499999999999993" customHeight="1" x14ac:dyDescent="0.2">
      <c r="A60" s="776" t="s">
        <v>789</v>
      </c>
      <c r="B60" s="273">
        <f>'SR Tie BS'!H60</f>
        <v>413101</v>
      </c>
      <c r="C60" s="342"/>
      <c r="D60" s="273">
        <f>'Cap Tie BS'!I61</f>
        <v>393375</v>
      </c>
      <c r="E60" s="342"/>
      <c r="F60" s="273">
        <f>+'BS Perm'!O61</f>
        <v>1111</v>
      </c>
      <c r="G60" s="342"/>
      <c r="H60" s="273">
        <f>SUM(B60:F60)</f>
        <v>807587</v>
      </c>
      <c r="I60" s="381">
        <f>SUM(B60:G60)-H60</f>
        <v>0</v>
      </c>
      <c r="L60" s="707" t="s">
        <v>1206</v>
      </c>
    </row>
    <row r="61" spans="1:12" s="253" customFormat="1" ht="9.9499999999999993" customHeight="1" x14ac:dyDescent="0.2">
      <c r="A61" s="776" t="s">
        <v>393</v>
      </c>
      <c r="B61" s="273">
        <f>'SR Tie BS'!H61</f>
        <v>211996</v>
      </c>
      <c r="C61" s="342"/>
      <c r="D61" s="273">
        <f>'Cap Tie BS'!I62</f>
        <v>327</v>
      </c>
      <c r="E61" s="342"/>
      <c r="F61" s="273">
        <f>+'BS Perm'!O62</f>
        <v>0</v>
      </c>
      <c r="G61" s="342"/>
      <c r="H61" s="273">
        <f>SUM(B61:F61)</f>
        <v>212323</v>
      </c>
      <c r="I61" s="381"/>
      <c r="L61" s="349"/>
    </row>
    <row r="62" spans="1:12" s="253" customFormat="1" ht="9.9499999999999993" customHeight="1" x14ac:dyDescent="0.2">
      <c r="A62" s="776" t="s">
        <v>394</v>
      </c>
      <c r="B62" s="273">
        <f>'SR Tie BS'!H62</f>
        <v>14891</v>
      </c>
      <c r="C62" s="342"/>
      <c r="D62" s="273">
        <f>'Cap Tie BS'!I63</f>
        <v>0</v>
      </c>
      <c r="E62" s="342"/>
      <c r="F62" s="273">
        <f>+'BS Perm'!O63</f>
        <v>0</v>
      </c>
      <c r="G62" s="342"/>
      <c r="H62" s="273">
        <f>SUM(B62:F62)</f>
        <v>14891</v>
      </c>
      <c r="I62" s="381">
        <f>SUM(B62:G62)-H62</f>
        <v>0</v>
      </c>
    </row>
    <row r="63" spans="1:12" s="253" customFormat="1" ht="9.9499999999999993" customHeight="1" x14ac:dyDescent="0.2">
      <c r="A63" s="776" t="s">
        <v>395</v>
      </c>
      <c r="B63" s="273">
        <f>'SR Tie BS'!H63</f>
        <v>-2005</v>
      </c>
      <c r="C63" s="342"/>
      <c r="D63" s="273">
        <f>'Cap Tie BS'!I64</f>
        <v>-19896</v>
      </c>
      <c r="E63" s="342"/>
      <c r="F63" s="273">
        <f>+'BS Perm'!O64</f>
        <v>0</v>
      </c>
      <c r="G63" s="342"/>
      <c r="H63" s="273">
        <f>SUM(B63:F63)</f>
        <v>-21901</v>
      </c>
      <c r="I63" s="381"/>
      <c r="L63" s="707" t="s">
        <v>1480</v>
      </c>
    </row>
    <row r="64" spans="1:12" s="253" customFormat="1" ht="5.0999999999999996" customHeight="1" x14ac:dyDescent="0.2">
      <c r="A64" s="425"/>
      <c r="B64" s="366"/>
      <c r="C64" s="301"/>
      <c r="D64" s="366"/>
      <c r="E64" s="301"/>
      <c r="F64" s="366"/>
      <c r="G64" s="301"/>
      <c r="H64" s="419"/>
      <c r="I64" s="381"/>
      <c r="L64" s="776" t="s">
        <v>392</v>
      </c>
    </row>
    <row r="65" spans="1:12" s="253" customFormat="1" ht="9.9499999999999993" customHeight="1" x14ac:dyDescent="0.2">
      <c r="A65" s="428" t="s">
        <v>855</v>
      </c>
      <c r="B65" s="273">
        <f>SUM(B59:B64)</f>
        <v>644263</v>
      </c>
      <c r="C65" s="342"/>
      <c r="D65" s="273">
        <f>SUM(D59:D64)</f>
        <v>373806</v>
      </c>
      <c r="E65" s="342"/>
      <c r="F65" s="273">
        <f>SUM(F59:F64)</f>
        <v>8022</v>
      </c>
      <c r="G65" s="342"/>
      <c r="H65" s="273">
        <f>SUM(H59:H64)</f>
        <v>1026091</v>
      </c>
      <c r="I65" s="696">
        <f>SUM(I60:I63)</f>
        <v>0</v>
      </c>
      <c r="L65" s="776" t="s">
        <v>789</v>
      </c>
    </row>
    <row r="66" spans="1:12" s="253" customFormat="1" ht="5.0999999999999996" customHeight="1" x14ac:dyDescent="0.2">
      <c r="A66" s="418"/>
      <c r="B66" s="366"/>
      <c r="C66" s="301"/>
      <c r="D66" s="366"/>
      <c r="E66" s="301"/>
      <c r="F66" s="366"/>
      <c r="G66" s="301"/>
      <c r="H66" s="419"/>
      <c r="I66" s="381"/>
      <c r="L66" s="776" t="s">
        <v>393</v>
      </c>
    </row>
    <row r="67" spans="1:12" s="253" customFormat="1" ht="24.75" thickBot="1" x14ac:dyDescent="0.25">
      <c r="A67" s="1241" t="s">
        <v>1330</v>
      </c>
      <c r="B67" s="1242">
        <f>SUM(B54+B65+B56)</f>
        <v>856430</v>
      </c>
      <c r="C67" s="1243"/>
      <c r="D67" s="1242">
        <f>SUM(D54+D65+D56)</f>
        <v>460014</v>
      </c>
      <c r="E67" s="1243"/>
      <c r="F67" s="1242">
        <f>SUM(F54+F65+F56)</f>
        <v>8025</v>
      </c>
      <c r="G67" s="1243"/>
      <c r="H67" s="1242">
        <f>SUM(H54+H65+H56)</f>
        <v>1324469</v>
      </c>
      <c r="I67" s="696">
        <f>SUM(I54+I65)</f>
        <v>0</v>
      </c>
      <c r="L67" s="776" t="s">
        <v>394</v>
      </c>
    </row>
    <row r="68" spans="1:12" s="253" customFormat="1" ht="9.9499999999999993" customHeight="1" thickTop="1" x14ac:dyDescent="0.2">
      <c r="C68" s="362"/>
      <c r="E68" s="362"/>
      <c r="G68" s="362"/>
      <c r="I68" s="381"/>
      <c r="L68" s="776" t="s">
        <v>395</v>
      </c>
    </row>
    <row r="69" spans="1:12" s="381" customFormat="1" ht="9.9499999999999993" customHeight="1" x14ac:dyDescent="0.2">
      <c r="B69" s="420">
        <f>B32-B67</f>
        <v>0</v>
      </c>
      <c r="C69" s="421"/>
      <c r="D69" s="420">
        <f>D32-D67</f>
        <v>0</v>
      </c>
      <c r="E69" s="421"/>
      <c r="F69" s="420">
        <f>F32-F67</f>
        <v>0</v>
      </c>
      <c r="G69" s="421"/>
      <c r="H69" s="420">
        <f>H32-H67</f>
        <v>0</v>
      </c>
      <c r="I69" s="420">
        <f>I32-I67</f>
        <v>0</v>
      </c>
      <c r="L69" s="349"/>
    </row>
    <row r="70" spans="1:12" s="253" customFormat="1" ht="9.9499999999999993" customHeight="1" x14ac:dyDescent="0.2">
      <c r="C70" s="362"/>
      <c r="E70" s="362"/>
      <c r="G70" s="362"/>
      <c r="I70" s="381"/>
      <c r="L70" s="707" t="s">
        <v>1479</v>
      </c>
    </row>
    <row r="71" spans="1:12" s="420" customFormat="1" ht="9.9499999999999993" customHeight="1" x14ac:dyDescent="0.2">
      <c r="L71" s="253"/>
    </row>
    <row r="72" spans="1:12" s="420" customFormat="1" ht="9.9499999999999993" customHeight="1" x14ac:dyDescent="0.2">
      <c r="B72" s="1260">
        <f>+B15+B17+B25+B26+B27-B59</f>
        <v>0</v>
      </c>
      <c r="D72" s="420">
        <f>+D15+D17+D25+D26+D27-D59</f>
        <v>0</v>
      </c>
      <c r="F72" s="1260">
        <f>+F15+F17+F25+F26+F27-F59</f>
        <v>-6911</v>
      </c>
      <c r="L72" s="1241" t="s">
        <v>1330</v>
      </c>
    </row>
    <row r="73" spans="1:12" s="420" customFormat="1" ht="9.9499999999999993" customHeight="1" x14ac:dyDescent="0.2">
      <c r="L73" s="253"/>
    </row>
    <row r="74" spans="1:12" s="253" customFormat="1" ht="9.9499999999999993" customHeight="1" x14ac:dyDescent="0.2">
      <c r="C74" s="362"/>
      <c r="E74" s="362"/>
      <c r="G74" s="362"/>
      <c r="I74" s="381"/>
    </row>
    <row r="75" spans="1:12" s="253" customFormat="1" ht="9.9499999999999993" customHeight="1" x14ac:dyDescent="0.2">
      <c r="C75" s="362"/>
      <c r="E75" s="362"/>
      <c r="G75" s="362"/>
      <c r="H75" s="253">
        <f>368989-368661</f>
        <v>328</v>
      </c>
      <c r="I75" s="381"/>
      <c r="L75" s="381"/>
    </row>
    <row r="76" spans="1:12" s="253" customFormat="1" ht="9.9499999999999993" customHeight="1" x14ac:dyDescent="0.2">
      <c r="C76" s="362"/>
      <c r="E76" s="362"/>
      <c r="G76" s="362"/>
      <c r="I76" s="381"/>
    </row>
    <row r="77" spans="1:12" s="422" customFormat="1" ht="9.9499999999999993" customHeight="1" x14ac:dyDescent="0.2">
      <c r="C77" s="423"/>
      <c r="E77" s="423"/>
      <c r="G77" s="423"/>
      <c r="I77" s="697"/>
      <c r="L77" s="253"/>
    </row>
    <row r="78" spans="1:12" s="422" customFormat="1" ht="9.9499999999999993" customHeight="1" x14ac:dyDescent="0.2">
      <c r="C78" s="423"/>
      <c r="E78" s="423"/>
      <c r="G78" s="423"/>
      <c r="I78" s="697"/>
      <c r="L78" s="381"/>
    </row>
    <row r="79" spans="1:12" s="422" customFormat="1" ht="9.9499999999999993" customHeight="1" x14ac:dyDescent="0.2">
      <c r="C79" s="423"/>
      <c r="E79" s="423"/>
      <c r="G79" s="423"/>
      <c r="I79" s="697"/>
      <c r="L79" s="253"/>
    </row>
    <row r="80" spans="1:12" s="422" customFormat="1" ht="9.9499999999999993" customHeight="1" x14ac:dyDescent="0.2">
      <c r="C80" s="423"/>
      <c r="E80" s="423"/>
      <c r="G80" s="423"/>
      <c r="I80" s="697"/>
      <c r="L80" s="253"/>
    </row>
    <row r="81" spans="3:12" s="422" customFormat="1" ht="9.9499999999999993" customHeight="1" x14ac:dyDescent="0.2">
      <c r="C81" s="423"/>
      <c r="E81" s="423"/>
      <c r="G81" s="423"/>
      <c r="I81" s="697"/>
      <c r="L81" s="253"/>
    </row>
    <row r="82" spans="3:12" s="422" customFormat="1" ht="9.9499999999999993" customHeight="1" x14ac:dyDescent="0.2">
      <c r="C82" s="423"/>
      <c r="E82" s="423"/>
      <c r="G82" s="423"/>
      <c r="I82" s="697"/>
      <c r="L82" s="253"/>
    </row>
    <row r="83" spans="3:12" s="422" customFormat="1" ht="9.9499999999999993" customHeight="1" x14ac:dyDescent="0.2">
      <c r="C83" s="423"/>
      <c r="E83" s="423"/>
      <c r="G83" s="423"/>
      <c r="I83" s="697"/>
      <c r="L83" s="253"/>
    </row>
    <row r="84" spans="3:12" s="422" customFormat="1" ht="9.9499999999999993" customHeight="1" x14ac:dyDescent="0.2">
      <c r="C84" s="423"/>
      <c r="E84" s="423"/>
      <c r="G84" s="423"/>
      <c r="I84" s="697"/>
      <c r="L84" s="253"/>
    </row>
    <row r="85" spans="3:12" s="422" customFormat="1" ht="9.9499999999999993" customHeight="1" x14ac:dyDescent="0.2">
      <c r="C85" s="423"/>
      <c r="E85" s="423"/>
      <c r="G85" s="423"/>
      <c r="I85" s="697"/>
      <c r="L85" s="253"/>
    </row>
    <row r="86" spans="3:12" s="422" customFormat="1" ht="9.9499999999999993" customHeight="1" x14ac:dyDescent="0.2">
      <c r="C86" s="423"/>
      <c r="E86" s="423"/>
      <c r="G86" s="423"/>
      <c r="I86" s="697"/>
      <c r="L86" s="247"/>
    </row>
    <row r="87" spans="3:12" s="422" customFormat="1" ht="9.9499999999999993" customHeight="1" x14ac:dyDescent="0.2">
      <c r="C87" s="423"/>
      <c r="E87" s="423"/>
      <c r="G87" s="423"/>
      <c r="I87" s="697"/>
      <c r="L87" s="247"/>
    </row>
    <row r="88" spans="3:12" s="422" customFormat="1" ht="9.9499999999999993" customHeight="1" x14ac:dyDescent="0.2">
      <c r="C88" s="423"/>
      <c r="E88" s="423"/>
      <c r="G88" s="423"/>
      <c r="I88" s="697"/>
      <c r="L88" s="247"/>
    </row>
    <row r="89" spans="3:12" s="422" customFormat="1" ht="9.9499999999999993" customHeight="1" x14ac:dyDescent="0.2">
      <c r="C89" s="423"/>
      <c r="E89" s="423"/>
      <c r="G89" s="423"/>
      <c r="I89" s="697"/>
      <c r="L89" s="247"/>
    </row>
    <row r="90" spans="3:12" s="422" customFormat="1" ht="9.9499999999999993" customHeight="1" x14ac:dyDescent="0.2">
      <c r="C90" s="423"/>
      <c r="E90" s="423"/>
      <c r="G90" s="423"/>
      <c r="I90" s="697"/>
      <c r="L90" s="247"/>
    </row>
    <row r="91" spans="3:12" s="422" customFormat="1" ht="9.9499999999999993" customHeight="1" x14ac:dyDescent="0.2">
      <c r="C91" s="423"/>
      <c r="E91" s="423"/>
      <c r="G91" s="423"/>
      <c r="I91" s="697"/>
      <c r="L91" s="247"/>
    </row>
    <row r="92" spans="3:12" s="422" customFormat="1" ht="9.9499999999999993" customHeight="1" x14ac:dyDescent="0.2">
      <c r="C92" s="423"/>
      <c r="E92" s="423"/>
      <c r="G92" s="423"/>
      <c r="I92" s="697"/>
      <c r="L92" s="247"/>
    </row>
    <row r="93" spans="3:12" s="422" customFormat="1" ht="9.9499999999999993" customHeight="1" x14ac:dyDescent="0.2">
      <c r="C93" s="423"/>
      <c r="E93" s="423"/>
      <c r="G93" s="423"/>
      <c r="I93" s="697"/>
      <c r="L93" s="247"/>
    </row>
    <row r="94" spans="3:12" s="422" customFormat="1" ht="9.9499999999999993" customHeight="1" x14ac:dyDescent="0.2">
      <c r="C94" s="423"/>
      <c r="E94" s="423"/>
      <c r="G94" s="423"/>
      <c r="I94" s="697"/>
      <c r="L94" s="247"/>
    </row>
    <row r="95" spans="3:12" s="422" customFormat="1" ht="9.9499999999999993" customHeight="1" x14ac:dyDescent="0.2">
      <c r="C95" s="423"/>
      <c r="E95" s="423"/>
      <c r="G95" s="423"/>
      <c r="I95" s="697"/>
      <c r="L95" s="247"/>
    </row>
    <row r="96" spans="3:12" s="422" customFormat="1" ht="9.9499999999999993" customHeight="1" x14ac:dyDescent="0.2">
      <c r="C96" s="423"/>
      <c r="E96" s="423"/>
      <c r="G96" s="423"/>
      <c r="I96" s="697"/>
      <c r="L96" s="247"/>
    </row>
    <row r="97" spans="3:12" s="422" customFormat="1" ht="9.9499999999999993" customHeight="1" x14ac:dyDescent="0.2">
      <c r="C97" s="423"/>
      <c r="E97" s="423"/>
      <c r="G97" s="423"/>
      <c r="I97" s="697"/>
      <c r="L97" s="247"/>
    </row>
    <row r="98" spans="3:12" s="422" customFormat="1" ht="9.9499999999999993" customHeight="1" x14ac:dyDescent="0.2">
      <c r="C98" s="423"/>
      <c r="E98" s="423"/>
      <c r="G98" s="423"/>
      <c r="I98" s="697"/>
      <c r="L98" s="247"/>
    </row>
    <row r="99" spans="3:12" s="422" customFormat="1" ht="9.9499999999999993" customHeight="1" x14ac:dyDescent="0.2">
      <c r="C99" s="423"/>
      <c r="E99" s="423"/>
      <c r="G99" s="423"/>
      <c r="I99" s="697"/>
      <c r="L99" s="247"/>
    </row>
    <row r="100" spans="3:12" s="422" customFormat="1" ht="9.9499999999999993" customHeight="1" x14ac:dyDescent="0.2">
      <c r="C100" s="423"/>
      <c r="E100" s="423"/>
      <c r="G100" s="423"/>
      <c r="I100" s="697"/>
      <c r="L100" s="247"/>
    </row>
    <row r="101" spans="3:12" s="422" customFormat="1" ht="9.9499999999999993" customHeight="1" x14ac:dyDescent="0.2">
      <c r="C101" s="423"/>
      <c r="E101" s="423"/>
      <c r="G101" s="423"/>
      <c r="I101" s="697"/>
      <c r="L101" s="247"/>
    </row>
    <row r="102" spans="3:12" s="422" customFormat="1" ht="9.9499999999999993" customHeight="1" x14ac:dyDescent="0.2">
      <c r="C102" s="423"/>
      <c r="E102" s="423"/>
      <c r="G102" s="423"/>
      <c r="I102" s="697"/>
      <c r="L102" s="247"/>
    </row>
    <row r="103" spans="3:12" s="422" customFormat="1" ht="9.9499999999999993" customHeight="1" x14ac:dyDescent="0.2">
      <c r="C103" s="423"/>
      <c r="E103" s="423"/>
      <c r="G103" s="423"/>
      <c r="I103" s="697"/>
      <c r="L103" s="247"/>
    </row>
    <row r="104" spans="3:12" s="422" customFormat="1" ht="9.9499999999999993" customHeight="1" x14ac:dyDescent="0.2">
      <c r="C104" s="423"/>
      <c r="E104" s="423"/>
      <c r="G104" s="423"/>
      <c r="I104" s="697"/>
      <c r="L104" s="247"/>
    </row>
    <row r="105" spans="3:12" s="422" customFormat="1" ht="9.9499999999999993" customHeight="1" x14ac:dyDescent="0.2">
      <c r="C105" s="423"/>
      <c r="E105" s="423"/>
      <c r="G105" s="423"/>
      <c r="I105" s="697"/>
      <c r="L105" s="247"/>
    </row>
    <row r="106" spans="3:12" s="422" customFormat="1" ht="9.9499999999999993" customHeight="1" x14ac:dyDescent="0.2">
      <c r="C106" s="423"/>
      <c r="E106" s="423"/>
      <c r="G106" s="423"/>
      <c r="I106" s="697"/>
      <c r="L106" s="247"/>
    </row>
    <row r="107" spans="3:12" s="422" customFormat="1" ht="9.9499999999999993" customHeight="1" x14ac:dyDescent="0.2">
      <c r="C107" s="423"/>
      <c r="E107" s="423"/>
      <c r="G107" s="423"/>
      <c r="I107" s="697"/>
      <c r="L107" s="247"/>
    </row>
    <row r="108" spans="3:12" s="422" customFormat="1" ht="9.9499999999999993" customHeight="1" x14ac:dyDescent="0.2">
      <c r="C108" s="423"/>
      <c r="E108" s="423"/>
      <c r="G108" s="423"/>
      <c r="I108" s="697"/>
      <c r="L108" s="247"/>
    </row>
    <row r="109" spans="3:12" s="422" customFormat="1" ht="9.9499999999999993" customHeight="1" x14ac:dyDescent="0.2">
      <c r="C109" s="423"/>
      <c r="E109" s="423"/>
      <c r="G109" s="423"/>
      <c r="I109" s="697"/>
      <c r="L109" s="247"/>
    </row>
    <row r="110" spans="3:12" s="422" customFormat="1" ht="9.9499999999999993" customHeight="1" x14ac:dyDescent="0.2">
      <c r="C110" s="423"/>
      <c r="E110" s="423"/>
      <c r="G110" s="423"/>
      <c r="I110" s="697"/>
      <c r="L110" s="247"/>
    </row>
    <row r="111" spans="3:12" s="422" customFormat="1" ht="9.9499999999999993" customHeight="1" x14ac:dyDescent="0.2">
      <c r="C111" s="423"/>
      <c r="E111" s="423"/>
      <c r="G111" s="423"/>
      <c r="I111" s="697"/>
      <c r="L111" s="247"/>
    </row>
    <row r="112" spans="3:12" s="422" customFormat="1" ht="9.9499999999999993" customHeight="1" x14ac:dyDescent="0.2">
      <c r="C112" s="423"/>
      <c r="E112" s="423"/>
      <c r="G112" s="423"/>
      <c r="I112" s="697"/>
      <c r="L112" s="247"/>
    </row>
    <row r="113" spans="3:12" s="422" customFormat="1" ht="9.9499999999999993" customHeight="1" x14ac:dyDescent="0.2">
      <c r="C113" s="423"/>
      <c r="E113" s="423"/>
      <c r="G113" s="423"/>
      <c r="I113" s="697"/>
      <c r="L113" s="247"/>
    </row>
    <row r="114" spans="3:12" s="422" customFormat="1" ht="9.9499999999999993" customHeight="1" x14ac:dyDescent="0.2">
      <c r="C114" s="423"/>
      <c r="E114" s="423"/>
      <c r="G114" s="423"/>
      <c r="I114" s="697"/>
      <c r="L114" s="247"/>
    </row>
    <row r="115" spans="3:12" s="422" customFormat="1" ht="9.9499999999999993" customHeight="1" x14ac:dyDescent="0.2">
      <c r="C115" s="423"/>
      <c r="E115" s="423"/>
      <c r="G115" s="423"/>
      <c r="I115" s="697"/>
      <c r="L115" s="247"/>
    </row>
    <row r="116" spans="3:12" s="422" customFormat="1" ht="9.9499999999999993" customHeight="1" x14ac:dyDescent="0.2">
      <c r="C116" s="423"/>
      <c r="E116" s="423"/>
      <c r="G116" s="423"/>
      <c r="I116" s="697"/>
      <c r="L116" s="247"/>
    </row>
    <row r="117" spans="3:12" s="422" customFormat="1" ht="9.9499999999999993" customHeight="1" x14ac:dyDescent="0.2">
      <c r="C117" s="423"/>
      <c r="E117" s="423"/>
      <c r="G117" s="423"/>
      <c r="I117" s="697"/>
      <c r="L117" s="247"/>
    </row>
    <row r="118" spans="3:12" s="422" customFormat="1" ht="9.9499999999999993" customHeight="1" x14ac:dyDescent="0.2">
      <c r="C118" s="423"/>
      <c r="E118" s="423"/>
      <c r="G118" s="423"/>
      <c r="I118" s="697"/>
      <c r="L118" s="247"/>
    </row>
    <row r="119" spans="3:12" s="422" customFormat="1" ht="9.9499999999999993" customHeight="1" x14ac:dyDescent="0.2">
      <c r="C119" s="423"/>
      <c r="E119" s="423"/>
      <c r="G119" s="423"/>
      <c r="I119" s="697"/>
      <c r="L119" s="247"/>
    </row>
    <row r="120" spans="3:12" s="422" customFormat="1" ht="9.9499999999999993" customHeight="1" x14ac:dyDescent="0.2">
      <c r="C120" s="423"/>
      <c r="E120" s="423"/>
      <c r="G120" s="423"/>
      <c r="I120" s="697"/>
      <c r="L120" s="247"/>
    </row>
    <row r="121" spans="3:12" s="422" customFormat="1" ht="9.9499999999999993" customHeight="1" x14ac:dyDescent="0.2">
      <c r="C121" s="423"/>
      <c r="E121" s="423"/>
      <c r="G121" s="423"/>
      <c r="I121" s="697"/>
      <c r="L121" s="247"/>
    </row>
    <row r="122" spans="3:12" s="422" customFormat="1" ht="9.9499999999999993" customHeight="1" x14ac:dyDescent="0.2">
      <c r="C122" s="423"/>
      <c r="E122" s="423"/>
      <c r="G122" s="423"/>
      <c r="I122" s="697"/>
      <c r="L122" s="247"/>
    </row>
    <row r="123" spans="3:12" s="422" customFormat="1" ht="9.9499999999999993" customHeight="1" x14ac:dyDescent="0.2">
      <c r="C123" s="423"/>
      <c r="E123" s="423"/>
      <c r="G123" s="423"/>
      <c r="I123" s="697"/>
      <c r="L123" s="247"/>
    </row>
    <row r="124" spans="3:12" s="422" customFormat="1" ht="9.9499999999999993" customHeight="1" x14ac:dyDescent="0.2">
      <c r="C124" s="423"/>
      <c r="E124" s="423"/>
      <c r="G124" s="423"/>
      <c r="I124" s="697"/>
      <c r="L124" s="247"/>
    </row>
    <row r="125" spans="3:12" s="422" customFormat="1" ht="9.9499999999999993" customHeight="1" x14ac:dyDescent="0.2">
      <c r="C125" s="423"/>
      <c r="E125" s="423"/>
      <c r="G125" s="423"/>
      <c r="I125" s="697"/>
      <c r="L125" s="247"/>
    </row>
    <row r="126" spans="3:12" s="422" customFormat="1" ht="9.9499999999999993" customHeight="1" x14ac:dyDescent="0.2">
      <c r="C126" s="423"/>
      <c r="E126" s="423"/>
      <c r="G126" s="423"/>
      <c r="I126" s="697"/>
      <c r="L126" s="247"/>
    </row>
    <row r="127" spans="3:12" s="422" customFormat="1" ht="9.9499999999999993" customHeight="1" x14ac:dyDescent="0.2">
      <c r="C127" s="423"/>
      <c r="E127" s="423"/>
      <c r="G127" s="423"/>
      <c r="I127" s="697"/>
      <c r="L127" s="247"/>
    </row>
    <row r="128" spans="3:12" s="422" customFormat="1" ht="9.9499999999999993" customHeight="1" x14ac:dyDescent="0.2">
      <c r="C128" s="423"/>
      <c r="E128" s="423"/>
      <c r="G128" s="423"/>
      <c r="I128" s="697"/>
      <c r="L128" s="247"/>
    </row>
    <row r="129" spans="3:12" s="422" customFormat="1" ht="9.9499999999999993" customHeight="1" x14ac:dyDescent="0.2">
      <c r="C129" s="423"/>
      <c r="E129" s="423"/>
      <c r="G129" s="423"/>
      <c r="I129" s="697"/>
      <c r="L129" s="247"/>
    </row>
    <row r="130" spans="3:12" s="422" customFormat="1" ht="9.9499999999999993" customHeight="1" x14ac:dyDescent="0.2">
      <c r="C130" s="423"/>
      <c r="E130" s="423"/>
      <c r="G130" s="423"/>
      <c r="I130" s="697"/>
      <c r="L130" s="247"/>
    </row>
    <row r="131" spans="3:12" s="422" customFormat="1" ht="9.9499999999999993" customHeight="1" x14ac:dyDescent="0.2">
      <c r="C131" s="423"/>
      <c r="E131" s="423"/>
      <c r="G131" s="423"/>
      <c r="I131" s="697"/>
      <c r="L131" s="247"/>
    </row>
    <row r="132" spans="3:12" s="422" customFormat="1" ht="9.9499999999999993" customHeight="1" x14ac:dyDescent="0.2">
      <c r="C132" s="423"/>
      <c r="E132" s="423"/>
      <c r="G132" s="423"/>
      <c r="I132" s="697"/>
      <c r="L132" s="247"/>
    </row>
    <row r="133" spans="3:12" s="422" customFormat="1" ht="9.9499999999999993" customHeight="1" x14ac:dyDescent="0.2">
      <c r="C133" s="423"/>
      <c r="E133" s="423"/>
      <c r="G133" s="423"/>
      <c r="I133" s="697"/>
      <c r="L133" s="247"/>
    </row>
    <row r="134" spans="3:12" s="422" customFormat="1" ht="9.9499999999999993" customHeight="1" x14ac:dyDescent="0.2">
      <c r="C134" s="423"/>
      <c r="E134" s="423"/>
      <c r="G134" s="423"/>
      <c r="I134" s="697"/>
      <c r="L134" s="247"/>
    </row>
    <row r="135" spans="3:12" s="422" customFormat="1" ht="9.9499999999999993" customHeight="1" x14ac:dyDescent="0.2">
      <c r="C135" s="423"/>
      <c r="E135" s="423"/>
      <c r="G135" s="423"/>
      <c r="I135" s="697"/>
      <c r="L135" s="247"/>
    </row>
    <row r="136" spans="3:12" s="422" customFormat="1" ht="9.9499999999999993" customHeight="1" x14ac:dyDescent="0.2">
      <c r="C136" s="423"/>
      <c r="E136" s="423"/>
      <c r="G136" s="423"/>
      <c r="I136" s="697"/>
      <c r="L136" s="247"/>
    </row>
    <row r="137" spans="3:12" s="422" customFormat="1" ht="9.9499999999999993" customHeight="1" x14ac:dyDescent="0.2">
      <c r="C137" s="423"/>
      <c r="E137" s="423"/>
      <c r="G137" s="423"/>
      <c r="I137" s="697"/>
      <c r="L137" s="247"/>
    </row>
    <row r="138" spans="3:12" s="422" customFormat="1" ht="9.9499999999999993" customHeight="1" x14ac:dyDescent="0.2">
      <c r="C138" s="423"/>
      <c r="E138" s="423"/>
      <c r="G138" s="423"/>
      <c r="I138" s="697"/>
      <c r="L138" s="247"/>
    </row>
    <row r="139" spans="3:12" s="422" customFormat="1" ht="9.9499999999999993" customHeight="1" x14ac:dyDescent="0.2">
      <c r="C139" s="423"/>
      <c r="E139" s="423"/>
      <c r="G139" s="423"/>
      <c r="I139" s="697"/>
      <c r="L139" s="247"/>
    </row>
    <row r="140" spans="3:12" s="422" customFormat="1" ht="9.9499999999999993" customHeight="1" x14ac:dyDescent="0.2">
      <c r="C140" s="423"/>
      <c r="E140" s="423"/>
      <c r="G140" s="423"/>
      <c r="I140" s="697"/>
      <c r="L140" s="247"/>
    </row>
    <row r="141" spans="3:12" s="422" customFormat="1" ht="9.9499999999999993" customHeight="1" x14ac:dyDescent="0.2">
      <c r="C141" s="423"/>
      <c r="E141" s="423"/>
      <c r="G141" s="423"/>
      <c r="I141" s="697"/>
      <c r="L141" s="247"/>
    </row>
    <row r="142" spans="3:12" s="422" customFormat="1" ht="9.9499999999999993" customHeight="1" x14ac:dyDescent="0.2">
      <c r="C142" s="423"/>
      <c r="E142" s="423"/>
      <c r="G142" s="423"/>
      <c r="I142" s="697"/>
      <c r="L142" s="247"/>
    </row>
    <row r="143" spans="3:12" s="422" customFormat="1" ht="9.9499999999999993" customHeight="1" x14ac:dyDescent="0.2">
      <c r="C143" s="423"/>
      <c r="E143" s="423"/>
      <c r="G143" s="423"/>
      <c r="I143" s="697"/>
      <c r="L143" s="247"/>
    </row>
    <row r="144" spans="3:12" s="422" customFormat="1" ht="9.9499999999999993" customHeight="1" x14ac:dyDescent="0.2">
      <c r="C144" s="423"/>
      <c r="E144" s="423"/>
      <c r="G144" s="423"/>
      <c r="I144" s="697"/>
      <c r="L144" s="247"/>
    </row>
    <row r="145" spans="3:12" s="422" customFormat="1" ht="9.9499999999999993" customHeight="1" x14ac:dyDescent="0.2">
      <c r="C145" s="423"/>
      <c r="E145" s="423"/>
      <c r="G145" s="423"/>
      <c r="I145" s="697"/>
      <c r="L145" s="247"/>
    </row>
    <row r="146" spans="3:12" s="422" customFormat="1" ht="9.9499999999999993" customHeight="1" x14ac:dyDescent="0.2">
      <c r="C146" s="423"/>
      <c r="E146" s="423"/>
      <c r="G146" s="423"/>
      <c r="I146" s="697"/>
      <c r="L146" s="247"/>
    </row>
    <row r="147" spans="3:12" s="422" customFormat="1" ht="9.9499999999999993" customHeight="1" x14ac:dyDescent="0.2">
      <c r="C147" s="423"/>
      <c r="E147" s="423"/>
      <c r="G147" s="423"/>
      <c r="I147" s="697"/>
      <c r="L147" s="247"/>
    </row>
    <row r="148" spans="3:12" s="422" customFormat="1" ht="9.9499999999999993" customHeight="1" x14ac:dyDescent="0.2">
      <c r="C148" s="423"/>
      <c r="E148" s="423"/>
      <c r="G148" s="423"/>
      <c r="I148" s="697"/>
      <c r="L148" s="247"/>
    </row>
    <row r="149" spans="3:12" s="422" customFormat="1" ht="9.9499999999999993" customHeight="1" x14ac:dyDescent="0.2">
      <c r="C149" s="423"/>
      <c r="E149" s="423"/>
      <c r="G149" s="423"/>
      <c r="I149" s="697"/>
      <c r="L149" s="247"/>
    </row>
    <row r="150" spans="3:12" s="422" customFormat="1" ht="9.9499999999999993" customHeight="1" x14ac:dyDescent="0.2">
      <c r="C150" s="423"/>
      <c r="E150" s="423"/>
      <c r="G150" s="423"/>
      <c r="I150" s="697"/>
      <c r="L150" s="247"/>
    </row>
    <row r="151" spans="3:12" s="422" customFormat="1" ht="9.9499999999999993" customHeight="1" x14ac:dyDescent="0.2">
      <c r="C151" s="423"/>
      <c r="E151" s="423"/>
      <c r="G151" s="423"/>
      <c r="I151" s="697"/>
      <c r="L151" s="247"/>
    </row>
    <row r="152" spans="3:12" s="422" customFormat="1" ht="9.9499999999999993" customHeight="1" x14ac:dyDescent="0.2">
      <c r="C152" s="423"/>
      <c r="E152" s="423"/>
      <c r="G152" s="423"/>
      <c r="I152" s="697"/>
      <c r="L152" s="247"/>
    </row>
    <row r="153" spans="3:12" s="422" customFormat="1" ht="9.9499999999999993" customHeight="1" x14ac:dyDescent="0.2">
      <c r="C153" s="423"/>
      <c r="E153" s="423"/>
      <c r="G153" s="423"/>
      <c r="I153" s="697"/>
      <c r="L153" s="247"/>
    </row>
    <row r="154" spans="3:12" s="422" customFormat="1" ht="9.9499999999999993" customHeight="1" x14ac:dyDescent="0.2">
      <c r="C154" s="423"/>
      <c r="E154" s="423"/>
      <c r="G154" s="423"/>
      <c r="I154" s="697"/>
      <c r="L154" s="247"/>
    </row>
    <row r="155" spans="3:12" s="422" customFormat="1" ht="9.9499999999999993" customHeight="1" x14ac:dyDescent="0.2">
      <c r="C155" s="423"/>
      <c r="E155" s="423"/>
      <c r="G155" s="423"/>
      <c r="I155" s="697"/>
      <c r="L155" s="247"/>
    </row>
    <row r="156" spans="3:12" s="422" customFormat="1" ht="9.9499999999999993" customHeight="1" x14ac:dyDescent="0.2">
      <c r="C156" s="423"/>
      <c r="E156" s="423"/>
      <c r="G156" s="423"/>
      <c r="I156" s="697"/>
      <c r="L156" s="247"/>
    </row>
    <row r="157" spans="3:12" s="422" customFormat="1" ht="9.9499999999999993" customHeight="1" x14ac:dyDescent="0.2">
      <c r="C157" s="423"/>
      <c r="E157" s="423"/>
      <c r="G157" s="423"/>
      <c r="I157" s="697"/>
      <c r="L157" s="247"/>
    </row>
    <row r="158" spans="3:12" s="422" customFormat="1" ht="9.9499999999999993" customHeight="1" x14ac:dyDescent="0.2">
      <c r="C158" s="423"/>
      <c r="E158" s="423"/>
      <c r="G158" s="423"/>
      <c r="I158" s="697"/>
      <c r="L158" s="247"/>
    </row>
    <row r="159" spans="3:12" s="422" customFormat="1" ht="9.9499999999999993" customHeight="1" x14ac:dyDescent="0.2">
      <c r="C159" s="423"/>
      <c r="E159" s="423"/>
      <c r="G159" s="423"/>
      <c r="I159" s="697"/>
      <c r="L159" s="247"/>
    </row>
    <row r="160" spans="3:12" s="422" customFormat="1" ht="9.9499999999999993" customHeight="1" x14ac:dyDescent="0.2">
      <c r="C160" s="423"/>
      <c r="E160" s="423"/>
      <c r="G160" s="423"/>
      <c r="I160" s="697"/>
      <c r="L160" s="247"/>
    </row>
    <row r="161" spans="3:12" s="422" customFormat="1" ht="9.9499999999999993" customHeight="1" x14ac:dyDescent="0.2">
      <c r="C161" s="423"/>
      <c r="E161" s="423"/>
      <c r="G161" s="423"/>
      <c r="I161" s="697"/>
      <c r="L161" s="247"/>
    </row>
    <row r="162" spans="3:12" s="422" customFormat="1" ht="9.9499999999999993" customHeight="1" x14ac:dyDescent="0.2">
      <c r="C162" s="423"/>
      <c r="E162" s="423"/>
      <c r="G162" s="423"/>
      <c r="I162" s="697"/>
      <c r="L162" s="247"/>
    </row>
    <row r="163" spans="3:12" s="422" customFormat="1" ht="9.9499999999999993" customHeight="1" x14ac:dyDescent="0.2">
      <c r="C163" s="423"/>
      <c r="E163" s="423"/>
      <c r="G163" s="423"/>
      <c r="I163" s="697"/>
      <c r="L163" s="247"/>
    </row>
    <row r="164" spans="3:12" s="422" customFormat="1" ht="9.9499999999999993" customHeight="1" x14ac:dyDescent="0.2">
      <c r="C164" s="423"/>
      <c r="E164" s="423"/>
      <c r="G164" s="423"/>
      <c r="I164" s="697"/>
      <c r="L164" s="247"/>
    </row>
    <row r="165" spans="3:12" s="422" customFormat="1" ht="9.9499999999999993" customHeight="1" x14ac:dyDescent="0.2">
      <c r="C165" s="423"/>
      <c r="E165" s="423"/>
      <c r="G165" s="423"/>
      <c r="I165" s="697"/>
      <c r="L165" s="247"/>
    </row>
    <row r="166" spans="3:12" s="422" customFormat="1" ht="9.9499999999999993" customHeight="1" x14ac:dyDescent="0.2">
      <c r="C166" s="423"/>
      <c r="E166" s="423"/>
      <c r="G166" s="423"/>
      <c r="I166" s="697"/>
      <c r="L166" s="247"/>
    </row>
    <row r="167" spans="3:12" s="422" customFormat="1" ht="9.9499999999999993" customHeight="1" x14ac:dyDescent="0.2">
      <c r="C167" s="423"/>
      <c r="E167" s="423"/>
      <c r="G167" s="423"/>
      <c r="I167" s="697"/>
      <c r="L167" s="247"/>
    </row>
    <row r="168" spans="3:12" s="422" customFormat="1" ht="9.9499999999999993" customHeight="1" x14ac:dyDescent="0.2">
      <c r="C168" s="423"/>
      <c r="E168" s="423"/>
      <c r="G168" s="423"/>
      <c r="I168" s="697"/>
      <c r="L168" s="247"/>
    </row>
    <row r="169" spans="3:12" s="422" customFormat="1" ht="9.9499999999999993" customHeight="1" x14ac:dyDescent="0.2">
      <c r="C169" s="423"/>
      <c r="E169" s="423"/>
      <c r="G169" s="423"/>
      <c r="I169" s="697"/>
      <c r="L169" s="247"/>
    </row>
    <row r="170" spans="3:12" s="422" customFormat="1" ht="9.9499999999999993" customHeight="1" x14ac:dyDescent="0.2">
      <c r="C170" s="423"/>
      <c r="E170" s="423"/>
      <c r="G170" s="423"/>
      <c r="I170" s="697"/>
      <c r="L170" s="247"/>
    </row>
    <row r="171" spans="3:12" s="422" customFormat="1" ht="9.9499999999999993" customHeight="1" x14ac:dyDescent="0.2">
      <c r="C171" s="423"/>
      <c r="E171" s="423"/>
      <c r="G171" s="423"/>
      <c r="I171" s="697"/>
      <c r="L171" s="247"/>
    </row>
    <row r="172" spans="3:12" s="422" customFormat="1" ht="9.9499999999999993" customHeight="1" x14ac:dyDescent="0.2">
      <c r="C172" s="423"/>
      <c r="E172" s="423"/>
      <c r="G172" s="423"/>
      <c r="I172" s="697"/>
      <c r="L172" s="247"/>
    </row>
    <row r="173" spans="3:12" s="422" customFormat="1" ht="9.9499999999999993" customHeight="1" x14ac:dyDescent="0.2">
      <c r="C173" s="423"/>
      <c r="E173" s="423"/>
      <c r="G173" s="423"/>
      <c r="I173" s="697"/>
      <c r="L173" s="247"/>
    </row>
    <row r="174" spans="3:12" s="422" customFormat="1" ht="9.9499999999999993" customHeight="1" x14ac:dyDescent="0.2">
      <c r="C174" s="423"/>
      <c r="E174" s="423"/>
      <c r="G174" s="423"/>
      <c r="I174" s="697"/>
      <c r="L174" s="247"/>
    </row>
    <row r="175" spans="3:12" s="422" customFormat="1" ht="9.9499999999999993" customHeight="1" x14ac:dyDescent="0.2">
      <c r="C175" s="423"/>
      <c r="E175" s="423"/>
      <c r="G175" s="423"/>
      <c r="I175" s="697"/>
      <c r="L175" s="247"/>
    </row>
    <row r="176" spans="3:12" s="422" customFormat="1" ht="9.9499999999999993" customHeight="1" x14ac:dyDescent="0.2">
      <c r="C176" s="423"/>
      <c r="E176" s="423"/>
      <c r="G176" s="423"/>
      <c r="I176" s="697"/>
      <c r="L176" s="247"/>
    </row>
    <row r="177" spans="3:12" s="422" customFormat="1" ht="9.9499999999999993" customHeight="1" x14ac:dyDescent="0.2">
      <c r="C177" s="423"/>
      <c r="E177" s="423"/>
      <c r="G177" s="423"/>
      <c r="I177" s="697"/>
      <c r="L177" s="247"/>
    </row>
    <row r="178" spans="3:12" s="422" customFormat="1" ht="9.9499999999999993" customHeight="1" x14ac:dyDescent="0.2">
      <c r="C178" s="423"/>
      <c r="E178" s="423"/>
      <c r="G178" s="423"/>
      <c r="I178" s="697"/>
      <c r="L178" s="247"/>
    </row>
    <row r="179" spans="3:12" s="422" customFormat="1" ht="9.9499999999999993" customHeight="1" x14ac:dyDescent="0.2">
      <c r="C179" s="423"/>
      <c r="E179" s="423"/>
      <c r="G179" s="423"/>
      <c r="I179" s="697"/>
      <c r="L179" s="247"/>
    </row>
    <row r="180" spans="3:12" s="422" customFormat="1" ht="9.9499999999999993" customHeight="1" x14ac:dyDescent="0.2">
      <c r="C180" s="423"/>
      <c r="E180" s="423"/>
      <c r="G180" s="423"/>
      <c r="I180" s="697"/>
      <c r="L180" s="247"/>
    </row>
    <row r="181" spans="3:12" s="422" customFormat="1" ht="9.9499999999999993" customHeight="1" x14ac:dyDescent="0.2">
      <c r="C181" s="423"/>
      <c r="E181" s="423"/>
      <c r="G181" s="423"/>
      <c r="I181" s="697"/>
      <c r="L181" s="247"/>
    </row>
    <row r="182" spans="3:12" s="422" customFormat="1" ht="9.9499999999999993" customHeight="1" x14ac:dyDescent="0.2">
      <c r="C182" s="423"/>
      <c r="E182" s="423"/>
      <c r="G182" s="423"/>
      <c r="I182" s="697"/>
      <c r="L182" s="247"/>
    </row>
    <row r="183" spans="3:12" s="422" customFormat="1" ht="9.9499999999999993" customHeight="1" x14ac:dyDescent="0.2">
      <c r="C183" s="423"/>
      <c r="E183" s="423"/>
      <c r="G183" s="423"/>
      <c r="I183" s="697"/>
      <c r="L183" s="247"/>
    </row>
    <row r="184" spans="3:12" s="422" customFormat="1" ht="9.9499999999999993" customHeight="1" x14ac:dyDescent="0.2">
      <c r="C184" s="423"/>
      <c r="E184" s="423"/>
      <c r="G184" s="423"/>
      <c r="I184" s="697"/>
      <c r="L184" s="247"/>
    </row>
    <row r="185" spans="3:12" s="422" customFormat="1" ht="9.9499999999999993" customHeight="1" x14ac:dyDescent="0.2">
      <c r="C185" s="423"/>
      <c r="E185" s="423"/>
      <c r="G185" s="423"/>
      <c r="I185" s="697"/>
      <c r="L185" s="247"/>
    </row>
    <row r="186" spans="3:12" s="422" customFormat="1" ht="9.9499999999999993" customHeight="1" x14ac:dyDescent="0.2">
      <c r="C186" s="423"/>
      <c r="E186" s="423"/>
      <c r="G186" s="423"/>
      <c r="I186" s="697"/>
      <c r="L186" s="247"/>
    </row>
    <row r="187" spans="3:12" s="422" customFormat="1" ht="9.9499999999999993" customHeight="1" x14ac:dyDescent="0.2">
      <c r="C187" s="423"/>
      <c r="E187" s="423"/>
      <c r="G187" s="423"/>
      <c r="I187" s="697"/>
      <c r="L187" s="247"/>
    </row>
    <row r="188" spans="3:12" s="422" customFormat="1" ht="9.9499999999999993" customHeight="1" x14ac:dyDescent="0.2">
      <c r="C188" s="423"/>
      <c r="E188" s="423"/>
      <c r="G188" s="423"/>
      <c r="I188" s="697"/>
      <c r="L188" s="247"/>
    </row>
    <row r="189" spans="3:12" s="422" customFormat="1" ht="9.9499999999999993" customHeight="1" x14ac:dyDescent="0.2">
      <c r="C189" s="423"/>
      <c r="E189" s="423"/>
      <c r="G189" s="423"/>
      <c r="I189" s="697"/>
      <c r="L189" s="247"/>
    </row>
    <row r="190" spans="3:12" s="326" customFormat="1" ht="9.9499999999999993" customHeight="1" x14ac:dyDescent="0.2">
      <c r="C190" s="327"/>
      <c r="E190" s="327"/>
      <c r="G190" s="327"/>
      <c r="I190" s="698"/>
      <c r="L190" s="247"/>
    </row>
    <row r="191" spans="3:12" s="326" customFormat="1" ht="9.9499999999999993" customHeight="1" x14ac:dyDescent="0.2">
      <c r="C191" s="327"/>
      <c r="E191" s="327"/>
      <c r="G191" s="327"/>
      <c r="I191" s="698"/>
      <c r="L191" s="247"/>
    </row>
    <row r="192" spans="3:12" s="326" customFormat="1" ht="9.9499999999999993" customHeight="1" x14ac:dyDescent="0.2">
      <c r="C192" s="327"/>
      <c r="E192" s="327"/>
      <c r="G192" s="327"/>
      <c r="I192" s="698"/>
      <c r="L192" s="247"/>
    </row>
    <row r="193" spans="3:12" s="326" customFormat="1" ht="9.9499999999999993" customHeight="1" x14ac:dyDescent="0.2">
      <c r="C193" s="327"/>
      <c r="E193" s="327"/>
      <c r="G193" s="327"/>
      <c r="I193" s="698"/>
      <c r="L193" s="247"/>
    </row>
    <row r="194" spans="3:12" s="326" customFormat="1" ht="9.9499999999999993" customHeight="1" x14ac:dyDescent="0.2">
      <c r="C194" s="327"/>
      <c r="E194" s="327"/>
      <c r="G194" s="327"/>
      <c r="I194" s="698"/>
      <c r="L194" s="247"/>
    </row>
    <row r="195" spans="3:12" s="326" customFormat="1" ht="9.9499999999999993" customHeight="1" x14ac:dyDescent="0.2">
      <c r="C195" s="327"/>
      <c r="E195" s="327"/>
      <c r="G195" s="327"/>
      <c r="I195" s="698"/>
      <c r="L195" s="247"/>
    </row>
    <row r="196" spans="3:12" s="326" customFormat="1" ht="9.9499999999999993" customHeight="1" x14ac:dyDescent="0.2">
      <c r="C196" s="327"/>
      <c r="E196" s="327"/>
      <c r="G196" s="327"/>
      <c r="I196" s="698"/>
      <c r="L196" s="247"/>
    </row>
    <row r="197" spans="3:12" s="326" customFormat="1" ht="9.9499999999999993" customHeight="1" x14ac:dyDescent="0.2">
      <c r="C197" s="327"/>
      <c r="E197" s="327"/>
      <c r="G197" s="327"/>
      <c r="I197" s="698"/>
      <c r="L197" s="247"/>
    </row>
    <row r="198" spans="3:12" s="326" customFormat="1" ht="9.9499999999999993" customHeight="1" x14ac:dyDescent="0.2">
      <c r="C198" s="327"/>
      <c r="E198" s="327"/>
      <c r="G198" s="327"/>
      <c r="I198" s="698"/>
      <c r="L198" s="247"/>
    </row>
    <row r="199" spans="3:12" s="326" customFormat="1" ht="9.9499999999999993" customHeight="1" x14ac:dyDescent="0.2">
      <c r="C199" s="327"/>
      <c r="E199" s="327"/>
      <c r="G199" s="327"/>
      <c r="I199" s="698"/>
      <c r="L199" s="247"/>
    </row>
    <row r="200" spans="3:12" s="326" customFormat="1" ht="9.9499999999999993" customHeight="1" x14ac:dyDescent="0.2">
      <c r="C200" s="327"/>
      <c r="E200" s="327"/>
      <c r="G200" s="327"/>
      <c r="I200" s="698"/>
      <c r="L200" s="247"/>
    </row>
    <row r="201" spans="3:12" s="326" customFormat="1" ht="9.9499999999999993" customHeight="1" x14ac:dyDescent="0.2">
      <c r="C201" s="327"/>
      <c r="E201" s="327"/>
      <c r="G201" s="327"/>
      <c r="I201" s="698"/>
      <c r="L201" s="247"/>
    </row>
    <row r="202" spans="3:12" s="326" customFormat="1" ht="9.9499999999999993" customHeight="1" x14ac:dyDescent="0.2">
      <c r="C202" s="327"/>
      <c r="E202" s="327"/>
      <c r="G202" s="327"/>
      <c r="I202" s="698"/>
      <c r="L202" s="247"/>
    </row>
    <row r="203" spans="3:12" s="326" customFormat="1" ht="9.9499999999999993" customHeight="1" x14ac:dyDescent="0.2">
      <c r="C203" s="327"/>
      <c r="E203" s="327"/>
      <c r="G203" s="327"/>
      <c r="I203" s="698"/>
      <c r="L203" s="247"/>
    </row>
    <row r="204" spans="3:12" s="326" customFormat="1" ht="9.9499999999999993" customHeight="1" x14ac:dyDescent="0.2">
      <c r="C204" s="327"/>
      <c r="E204" s="327"/>
      <c r="G204" s="327"/>
      <c r="I204" s="698"/>
      <c r="L204" s="247"/>
    </row>
    <row r="205" spans="3:12" s="326" customFormat="1" ht="9.9499999999999993" customHeight="1" x14ac:dyDescent="0.2">
      <c r="C205" s="327"/>
      <c r="E205" s="327"/>
      <c r="G205" s="327"/>
      <c r="I205" s="698"/>
      <c r="L205" s="247"/>
    </row>
    <row r="206" spans="3:12" s="326" customFormat="1" ht="9.9499999999999993" customHeight="1" x14ac:dyDescent="0.2">
      <c r="C206" s="327"/>
      <c r="E206" s="327"/>
      <c r="G206" s="327"/>
      <c r="I206" s="698"/>
      <c r="L206" s="247"/>
    </row>
    <row r="207" spans="3:12" s="326" customFormat="1" ht="9.9499999999999993" customHeight="1" x14ac:dyDescent="0.2">
      <c r="C207" s="327"/>
      <c r="E207" s="327"/>
      <c r="G207" s="327"/>
      <c r="I207" s="698"/>
      <c r="L207" s="247"/>
    </row>
    <row r="208" spans="3:12" s="326" customFormat="1" ht="9.9499999999999993" customHeight="1" x14ac:dyDescent="0.2">
      <c r="C208" s="327"/>
      <c r="E208" s="327"/>
      <c r="G208" s="327"/>
      <c r="I208" s="698"/>
      <c r="L208" s="247"/>
    </row>
    <row r="209" spans="3:12" s="326" customFormat="1" ht="9.9499999999999993" customHeight="1" x14ac:dyDescent="0.2">
      <c r="C209" s="327"/>
      <c r="E209" s="327"/>
      <c r="G209" s="327"/>
      <c r="I209" s="698"/>
      <c r="L209" s="247"/>
    </row>
    <row r="210" spans="3:12" s="326" customFormat="1" ht="9.9499999999999993" customHeight="1" x14ac:dyDescent="0.2">
      <c r="C210" s="327"/>
      <c r="E210" s="327"/>
      <c r="G210" s="327"/>
      <c r="I210" s="698"/>
      <c r="L210" s="247"/>
    </row>
    <row r="211" spans="3:12" s="326" customFormat="1" ht="9.9499999999999993" customHeight="1" x14ac:dyDescent="0.2">
      <c r="C211" s="327"/>
      <c r="E211" s="327"/>
      <c r="G211" s="327"/>
      <c r="I211" s="698"/>
      <c r="L211" s="247"/>
    </row>
    <row r="212" spans="3:12" s="326" customFormat="1" ht="9.9499999999999993" customHeight="1" x14ac:dyDescent="0.2">
      <c r="C212" s="327"/>
      <c r="E212" s="327"/>
      <c r="G212" s="327"/>
      <c r="I212" s="698"/>
      <c r="L212" s="247"/>
    </row>
    <row r="213" spans="3:12" s="326" customFormat="1" ht="9.9499999999999993" customHeight="1" x14ac:dyDescent="0.2">
      <c r="C213" s="327"/>
      <c r="E213" s="327"/>
      <c r="G213" s="327"/>
      <c r="I213" s="698"/>
      <c r="L213" s="247"/>
    </row>
    <row r="214" spans="3:12" s="326" customFormat="1" ht="9.9499999999999993" customHeight="1" x14ac:dyDescent="0.2">
      <c r="C214" s="327"/>
      <c r="E214" s="327"/>
      <c r="G214" s="327"/>
      <c r="I214" s="698"/>
      <c r="L214" s="247"/>
    </row>
    <row r="215" spans="3:12" s="326" customFormat="1" ht="9.9499999999999993" customHeight="1" x14ac:dyDescent="0.2">
      <c r="C215" s="327"/>
      <c r="E215" s="327"/>
      <c r="G215" s="327"/>
      <c r="I215" s="698"/>
      <c r="L215" s="247"/>
    </row>
    <row r="216" spans="3:12" s="326" customFormat="1" ht="9.9499999999999993" customHeight="1" x14ac:dyDescent="0.2">
      <c r="C216" s="327"/>
      <c r="E216" s="327"/>
      <c r="G216" s="327"/>
      <c r="I216" s="698"/>
      <c r="L216" s="247"/>
    </row>
    <row r="217" spans="3:12" s="326" customFormat="1" ht="9.9499999999999993" customHeight="1" x14ac:dyDescent="0.2">
      <c r="C217" s="327"/>
      <c r="E217" s="327"/>
      <c r="G217" s="327"/>
      <c r="I217" s="698"/>
      <c r="L217" s="247"/>
    </row>
    <row r="218" spans="3:12" s="326" customFormat="1" ht="9.9499999999999993" customHeight="1" x14ac:dyDescent="0.2">
      <c r="C218" s="327"/>
      <c r="E218" s="327"/>
      <c r="G218" s="327"/>
      <c r="I218" s="698"/>
      <c r="L218" s="247"/>
    </row>
    <row r="219" spans="3:12" s="326" customFormat="1" ht="9.9499999999999993" customHeight="1" x14ac:dyDescent="0.2">
      <c r="C219" s="327"/>
      <c r="E219" s="327"/>
      <c r="G219" s="327"/>
      <c r="I219" s="698"/>
      <c r="L219" s="247"/>
    </row>
    <row r="220" spans="3:12" s="326" customFormat="1" ht="9.9499999999999993" customHeight="1" x14ac:dyDescent="0.2">
      <c r="C220" s="327"/>
      <c r="E220" s="327"/>
      <c r="G220" s="327"/>
      <c r="I220" s="698"/>
      <c r="L220" s="247"/>
    </row>
    <row r="221" spans="3:12" s="326" customFormat="1" ht="9.9499999999999993" customHeight="1" x14ac:dyDescent="0.2">
      <c r="C221" s="327"/>
      <c r="E221" s="327"/>
      <c r="G221" s="327"/>
      <c r="I221" s="698"/>
      <c r="L221" s="247"/>
    </row>
    <row r="222" spans="3:12" s="326" customFormat="1" ht="9.9499999999999993" customHeight="1" x14ac:dyDescent="0.2">
      <c r="C222" s="327"/>
      <c r="E222" s="327"/>
      <c r="G222" s="327"/>
      <c r="I222" s="698"/>
      <c r="L222" s="247"/>
    </row>
    <row r="223" spans="3:12" s="326" customFormat="1" ht="9.9499999999999993" customHeight="1" x14ac:dyDescent="0.2">
      <c r="C223" s="327"/>
      <c r="E223" s="327"/>
      <c r="G223" s="327"/>
      <c r="I223" s="698"/>
      <c r="L223" s="247"/>
    </row>
    <row r="224" spans="3:12" s="326" customFormat="1" ht="9.9499999999999993" customHeight="1" x14ac:dyDescent="0.2">
      <c r="C224" s="327"/>
      <c r="E224" s="327"/>
      <c r="G224" s="327"/>
      <c r="I224" s="698"/>
      <c r="L224" s="247"/>
    </row>
    <row r="225" spans="3:12" s="326" customFormat="1" ht="9.9499999999999993" customHeight="1" x14ac:dyDescent="0.2">
      <c r="C225" s="327"/>
      <c r="E225" s="327"/>
      <c r="G225" s="327"/>
      <c r="I225" s="698"/>
      <c r="L225" s="247"/>
    </row>
    <row r="226" spans="3:12" s="326" customFormat="1" ht="9.9499999999999993" customHeight="1" x14ac:dyDescent="0.2">
      <c r="C226" s="327"/>
      <c r="E226" s="327"/>
      <c r="G226" s="327"/>
      <c r="I226" s="698"/>
      <c r="L226" s="247"/>
    </row>
    <row r="227" spans="3:12" s="326" customFormat="1" ht="9.9499999999999993" customHeight="1" x14ac:dyDescent="0.2">
      <c r="C227" s="327"/>
      <c r="E227" s="327"/>
      <c r="G227" s="327"/>
      <c r="I227" s="698"/>
      <c r="L227" s="247"/>
    </row>
    <row r="228" spans="3:12" s="326" customFormat="1" ht="9.9499999999999993" customHeight="1" x14ac:dyDescent="0.2">
      <c r="C228" s="327"/>
      <c r="E228" s="327"/>
      <c r="G228" s="327"/>
      <c r="I228" s="698"/>
      <c r="L228" s="247"/>
    </row>
    <row r="229" spans="3:12" s="326" customFormat="1" ht="9.9499999999999993" customHeight="1" x14ac:dyDescent="0.2">
      <c r="C229" s="327"/>
      <c r="E229" s="327"/>
      <c r="G229" s="327"/>
      <c r="I229" s="698"/>
      <c r="L229" s="247"/>
    </row>
    <row r="230" spans="3:12" s="326" customFormat="1" ht="9.9499999999999993" customHeight="1" x14ac:dyDescent="0.2">
      <c r="C230" s="327"/>
      <c r="E230" s="327"/>
      <c r="G230" s="327"/>
      <c r="I230" s="698"/>
      <c r="L230" s="247"/>
    </row>
    <row r="231" spans="3:12" s="326" customFormat="1" ht="9.9499999999999993" customHeight="1" x14ac:dyDescent="0.2">
      <c r="C231" s="327"/>
      <c r="E231" s="327"/>
      <c r="G231" s="327"/>
      <c r="I231" s="698"/>
      <c r="L231" s="247"/>
    </row>
    <row r="232" spans="3:12" s="326" customFormat="1" ht="9.9499999999999993" customHeight="1" x14ac:dyDescent="0.2">
      <c r="C232" s="327"/>
      <c r="E232" s="327"/>
      <c r="G232" s="327"/>
      <c r="I232" s="698"/>
      <c r="L232" s="247"/>
    </row>
    <row r="233" spans="3:12" s="326" customFormat="1" ht="9.9499999999999993" customHeight="1" x14ac:dyDescent="0.2">
      <c r="C233" s="327"/>
      <c r="E233" s="327"/>
      <c r="G233" s="327"/>
      <c r="I233" s="698"/>
      <c r="L233" s="247"/>
    </row>
    <row r="234" spans="3:12" s="326" customFormat="1" ht="9.9499999999999993" customHeight="1" x14ac:dyDescent="0.2">
      <c r="C234" s="327"/>
      <c r="E234" s="327"/>
      <c r="G234" s="327"/>
      <c r="I234" s="698"/>
      <c r="L234" s="247"/>
    </row>
    <row r="235" spans="3:12" s="326" customFormat="1" ht="9.9499999999999993" customHeight="1" x14ac:dyDescent="0.2">
      <c r="C235" s="327"/>
      <c r="E235" s="327"/>
      <c r="G235" s="327"/>
      <c r="I235" s="698"/>
      <c r="L235" s="247"/>
    </row>
    <row r="236" spans="3:12" s="326" customFormat="1" ht="9.9499999999999993" customHeight="1" x14ac:dyDescent="0.2">
      <c r="C236" s="327"/>
      <c r="E236" s="327"/>
      <c r="G236" s="327"/>
      <c r="I236" s="698"/>
      <c r="L236" s="247"/>
    </row>
    <row r="237" spans="3:12" s="326" customFormat="1" ht="9.9499999999999993" customHeight="1" x14ac:dyDescent="0.2">
      <c r="C237" s="327"/>
      <c r="E237" s="327"/>
      <c r="G237" s="327"/>
      <c r="I237" s="698"/>
      <c r="L237" s="247"/>
    </row>
    <row r="238" spans="3:12" s="326" customFormat="1" ht="9.9499999999999993" customHeight="1" x14ac:dyDescent="0.2">
      <c r="C238" s="327"/>
      <c r="E238" s="327"/>
      <c r="G238" s="327"/>
      <c r="I238" s="698"/>
      <c r="L238" s="247"/>
    </row>
    <row r="239" spans="3:12" s="326" customFormat="1" ht="9.9499999999999993" customHeight="1" x14ac:dyDescent="0.2">
      <c r="C239" s="327"/>
      <c r="E239" s="327"/>
      <c r="G239" s="327"/>
      <c r="I239" s="698"/>
      <c r="L239" s="247"/>
    </row>
    <row r="240" spans="3:12" s="326" customFormat="1" ht="9.9499999999999993" customHeight="1" x14ac:dyDescent="0.2">
      <c r="C240" s="327"/>
      <c r="E240" s="327"/>
      <c r="G240" s="327"/>
      <c r="I240" s="698"/>
      <c r="L240" s="247"/>
    </row>
    <row r="241" spans="3:12" s="326" customFormat="1" ht="9.9499999999999993" customHeight="1" x14ac:dyDescent="0.2">
      <c r="C241" s="327"/>
      <c r="E241" s="327"/>
      <c r="G241" s="327"/>
      <c r="I241" s="698"/>
      <c r="L241" s="247"/>
    </row>
    <row r="242" spans="3:12" s="326" customFormat="1" ht="9.9499999999999993" customHeight="1" x14ac:dyDescent="0.2">
      <c r="C242" s="327"/>
      <c r="E242" s="327"/>
      <c r="G242" s="327"/>
      <c r="I242" s="698"/>
      <c r="L242" s="247"/>
    </row>
    <row r="243" spans="3:12" s="326" customFormat="1" ht="9.9499999999999993" customHeight="1" x14ac:dyDescent="0.2">
      <c r="C243" s="327"/>
      <c r="E243" s="327"/>
      <c r="G243" s="327"/>
      <c r="I243" s="698"/>
      <c r="L243" s="247"/>
    </row>
    <row r="244" spans="3:12" s="326" customFormat="1" ht="9.9499999999999993" customHeight="1" x14ac:dyDescent="0.2">
      <c r="C244" s="327"/>
      <c r="E244" s="327"/>
      <c r="G244" s="327"/>
      <c r="I244" s="698"/>
      <c r="L244" s="247"/>
    </row>
    <row r="245" spans="3:12" s="326" customFormat="1" ht="9.9499999999999993" customHeight="1" x14ac:dyDescent="0.2">
      <c r="C245" s="327"/>
      <c r="E245" s="327"/>
      <c r="G245" s="327"/>
      <c r="I245" s="698"/>
      <c r="L245" s="247"/>
    </row>
    <row r="246" spans="3:12" s="326" customFormat="1" ht="9.9499999999999993" customHeight="1" x14ac:dyDescent="0.2">
      <c r="C246" s="327"/>
      <c r="E246" s="327"/>
      <c r="G246" s="327"/>
      <c r="I246" s="698"/>
      <c r="L246" s="247"/>
    </row>
    <row r="247" spans="3:12" s="326" customFormat="1" ht="9.9499999999999993" customHeight="1" x14ac:dyDescent="0.2">
      <c r="C247" s="327"/>
      <c r="E247" s="327"/>
      <c r="G247" s="327"/>
      <c r="I247" s="698"/>
      <c r="L247" s="247"/>
    </row>
    <row r="248" spans="3:12" s="326" customFormat="1" ht="9.9499999999999993" customHeight="1" x14ac:dyDescent="0.2">
      <c r="C248" s="327"/>
      <c r="E248" s="327"/>
      <c r="G248" s="327"/>
      <c r="I248" s="698"/>
      <c r="L248" s="247"/>
    </row>
    <row r="249" spans="3:12" s="326" customFormat="1" ht="9.9499999999999993" customHeight="1" x14ac:dyDescent="0.2">
      <c r="C249" s="327"/>
      <c r="E249" s="327"/>
      <c r="G249" s="327"/>
      <c r="I249" s="698"/>
      <c r="L249" s="247"/>
    </row>
    <row r="250" spans="3:12" s="326" customFormat="1" ht="9.9499999999999993" customHeight="1" x14ac:dyDescent="0.2">
      <c r="C250" s="327"/>
      <c r="E250" s="327"/>
      <c r="G250" s="327"/>
      <c r="I250" s="698"/>
      <c r="L250" s="247"/>
    </row>
    <row r="251" spans="3:12" s="326" customFormat="1" ht="9.9499999999999993" customHeight="1" x14ac:dyDescent="0.2">
      <c r="C251" s="327"/>
      <c r="E251" s="327"/>
      <c r="G251" s="327"/>
      <c r="I251" s="698"/>
      <c r="L251" s="247"/>
    </row>
    <row r="252" spans="3:12" s="326" customFormat="1" ht="9.9499999999999993" customHeight="1" x14ac:dyDescent="0.2">
      <c r="C252" s="327"/>
      <c r="E252" s="327"/>
      <c r="G252" s="327"/>
      <c r="I252" s="698"/>
      <c r="L252" s="247"/>
    </row>
    <row r="253" spans="3:12" s="326" customFormat="1" ht="9.9499999999999993" customHeight="1" x14ac:dyDescent="0.2">
      <c r="C253" s="327"/>
      <c r="E253" s="327"/>
      <c r="G253" s="327"/>
      <c r="I253" s="698"/>
      <c r="L253" s="247"/>
    </row>
    <row r="254" spans="3:12" s="326" customFormat="1" ht="9.9499999999999993" customHeight="1" x14ac:dyDescent="0.2">
      <c r="C254" s="327"/>
      <c r="E254" s="327"/>
      <c r="G254" s="327"/>
      <c r="I254" s="698"/>
      <c r="L254" s="247"/>
    </row>
    <row r="255" spans="3:12" s="326" customFormat="1" ht="9.9499999999999993" customHeight="1" x14ac:dyDescent="0.2">
      <c r="C255" s="327"/>
      <c r="E255" s="327"/>
      <c r="G255" s="327"/>
      <c r="I255" s="698"/>
      <c r="L255" s="247"/>
    </row>
    <row r="256" spans="3:12" s="326" customFormat="1" ht="9.9499999999999993" customHeight="1" x14ac:dyDescent="0.2">
      <c r="C256" s="327"/>
      <c r="E256" s="327"/>
      <c r="G256" s="327"/>
      <c r="I256" s="698"/>
      <c r="L256" s="247"/>
    </row>
    <row r="257" spans="3:12" s="326" customFormat="1" ht="9.9499999999999993" customHeight="1" x14ac:dyDescent="0.2">
      <c r="C257" s="327"/>
      <c r="E257" s="327"/>
      <c r="G257" s="327"/>
      <c r="I257" s="698"/>
      <c r="L257" s="247"/>
    </row>
    <row r="258" spans="3:12" s="326" customFormat="1" ht="9.9499999999999993" customHeight="1" x14ac:dyDescent="0.2">
      <c r="C258" s="327"/>
      <c r="E258" s="327"/>
      <c r="G258" s="327"/>
      <c r="I258" s="698"/>
      <c r="L258" s="247"/>
    </row>
    <row r="259" spans="3:12" s="326" customFormat="1" ht="9.9499999999999993" customHeight="1" x14ac:dyDescent="0.2">
      <c r="C259" s="327"/>
      <c r="E259" s="327"/>
      <c r="G259" s="327"/>
      <c r="I259" s="698"/>
      <c r="L259" s="247"/>
    </row>
    <row r="260" spans="3:12" s="326" customFormat="1" ht="9.9499999999999993" customHeight="1" x14ac:dyDescent="0.2">
      <c r="C260" s="327"/>
      <c r="E260" s="327"/>
      <c r="G260" s="327"/>
      <c r="I260" s="698"/>
      <c r="L260" s="247"/>
    </row>
    <row r="261" spans="3:12" s="326" customFormat="1" ht="9.9499999999999993" customHeight="1" x14ac:dyDescent="0.2">
      <c r="C261" s="327"/>
      <c r="E261" s="327"/>
      <c r="G261" s="327"/>
      <c r="I261" s="698"/>
      <c r="L261" s="247"/>
    </row>
    <row r="262" spans="3:12" s="326" customFormat="1" ht="9.9499999999999993" customHeight="1" x14ac:dyDescent="0.2">
      <c r="C262" s="327"/>
      <c r="E262" s="327"/>
      <c r="G262" s="327"/>
      <c r="I262" s="698"/>
      <c r="L262" s="247"/>
    </row>
    <row r="263" spans="3:12" s="326" customFormat="1" ht="9.9499999999999993" customHeight="1" x14ac:dyDescent="0.2">
      <c r="C263" s="327"/>
      <c r="E263" s="327"/>
      <c r="G263" s="327"/>
      <c r="I263" s="698"/>
      <c r="L263" s="247"/>
    </row>
    <row r="264" spans="3:12" s="326" customFormat="1" ht="9.9499999999999993" customHeight="1" x14ac:dyDescent="0.2">
      <c r="C264" s="327"/>
      <c r="E264" s="327"/>
      <c r="G264" s="327"/>
      <c r="I264" s="698"/>
      <c r="L264" s="247"/>
    </row>
    <row r="265" spans="3:12" s="326" customFormat="1" ht="9.9499999999999993" customHeight="1" x14ac:dyDescent="0.2">
      <c r="C265" s="327"/>
      <c r="E265" s="327"/>
      <c r="G265" s="327"/>
      <c r="I265" s="698"/>
      <c r="L265" s="247"/>
    </row>
    <row r="266" spans="3:12" s="326" customFormat="1" ht="9.9499999999999993" customHeight="1" x14ac:dyDescent="0.2">
      <c r="C266" s="327"/>
      <c r="E266" s="327"/>
      <c r="G266" s="327"/>
      <c r="I266" s="698"/>
      <c r="L266" s="247"/>
    </row>
    <row r="267" spans="3:12" s="326" customFormat="1" ht="9.9499999999999993" customHeight="1" x14ac:dyDescent="0.2">
      <c r="C267" s="327"/>
      <c r="E267" s="327"/>
      <c r="G267" s="327"/>
      <c r="I267" s="698"/>
      <c r="L267" s="247"/>
    </row>
    <row r="268" spans="3:12" s="326" customFormat="1" ht="9.9499999999999993" customHeight="1" x14ac:dyDescent="0.2">
      <c r="C268" s="327"/>
      <c r="E268" s="327"/>
      <c r="G268" s="327"/>
      <c r="I268" s="698"/>
      <c r="L268" s="247"/>
    </row>
    <row r="269" spans="3:12" s="326" customFormat="1" ht="9.9499999999999993" customHeight="1" x14ac:dyDescent="0.2">
      <c r="C269" s="327"/>
      <c r="E269" s="327"/>
      <c r="G269" s="327"/>
      <c r="I269" s="698"/>
      <c r="L269" s="247"/>
    </row>
    <row r="270" spans="3:12" s="326" customFormat="1" ht="9.9499999999999993" customHeight="1" x14ac:dyDescent="0.2">
      <c r="C270" s="327"/>
      <c r="E270" s="327"/>
      <c r="G270" s="327"/>
      <c r="I270" s="698"/>
      <c r="L270" s="247"/>
    </row>
    <row r="271" spans="3:12" s="326" customFormat="1" ht="9.9499999999999993" customHeight="1" x14ac:dyDescent="0.2">
      <c r="C271" s="327"/>
      <c r="E271" s="327"/>
      <c r="G271" s="327"/>
      <c r="I271" s="698"/>
      <c r="L271" s="247"/>
    </row>
    <row r="272" spans="3:12" s="326" customFormat="1" ht="9.9499999999999993" customHeight="1" x14ac:dyDescent="0.2">
      <c r="C272" s="327"/>
      <c r="E272" s="327"/>
      <c r="G272" s="327"/>
      <c r="I272" s="698"/>
      <c r="L272" s="247"/>
    </row>
    <row r="273" spans="3:12" s="326" customFormat="1" ht="9.9499999999999993" customHeight="1" x14ac:dyDescent="0.2">
      <c r="C273" s="327"/>
      <c r="E273" s="327"/>
      <c r="G273" s="327"/>
      <c r="I273" s="698"/>
      <c r="L273" s="247"/>
    </row>
    <row r="274" spans="3:12" s="326" customFormat="1" ht="9.9499999999999993" customHeight="1" x14ac:dyDescent="0.2">
      <c r="C274" s="327"/>
      <c r="E274" s="327"/>
      <c r="G274" s="327"/>
      <c r="I274" s="698"/>
      <c r="L274" s="247"/>
    </row>
    <row r="275" spans="3:12" s="326" customFormat="1" ht="9.9499999999999993" customHeight="1" x14ac:dyDescent="0.2">
      <c r="C275" s="327"/>
      <c r="E275" s="327"/>
      <c r="G275" s="327"/>
      <c r="I275" s="698"/>
      <c r="L275" s="247"/>
    </row>
    <row r="276" spans="3:12" s="326" customFormat="1" ht="9.9499999999999993" customHeight="1" x14ac:dyDescent="0.2">
      <c r="C276" s="327"/>
      <c r="E276" s="327"/>
      <c r="G276" s="327"/>
      <c r="I276" s="698"/>
      <c r="L276" s="247"/>
    </row>
    <row r="277" spans="3:12" s="326" customFormat="1" ht="9.9499999999999993" customHeight="1" x14ac:dyDescent="0.2">
      <c r="C277" s="327"/>
      <c r="E277" s="327"/>
      <c r="G277" s="327"/>
      <c r="I277" s="698"/>
      <c r="L277" s="247"/>
    </row>
    <row r="278" spans="3:12" s="326" customFormat="1" ht="9.9499999999999993" customHeight="1" x14ac:dyDescent="0.2">
      <c r="C278" s="327"/>
      <c r="E278" s="327"/>
      <c r="G278" s="327"/>
      <c r="I278" s="698"/>
      <c r="L278" s="247"/>
    </row>
    <row r="279" spans="3:12" s="326" customFormat="1" ht="9.9499999999999993" customHeight="1" x14ac:dyDescent="0.2">
      <c r="C279" s="327"/>
      <c r="E279" s="327"/>
      <c r="G279" s="327"/>
      <c r="I279" s="698"/>
      <c r="L279" s="247"/>
    </row>
    <row r="280" spans="3:12" s="326" customFormat="1" ht="9.9499999999999993" customHeight="1" x14ac:dyDescent="0.2">
      <c r="C280" s="327"/>
      <c r="E280" s="327"/>
      <c r="G280" s="327"/>
      <c r="I280" s="698"/>
      <c r="L280" s="247"/>
    </row>
    <row r="281" spans="3:12" s="326" customFormat="1" ht="9.9499999999999993" customHeight="1" x14ac:dyDescent="0.2">
      <c r="C281" s="327"/>
      <c r="E281" s="327"/>
      <c r="G281" s="327"/>
      <c r="I281" s="698"/>
      <c r="L281" s="247"/>
    </row>
    <row r="282" spans="3:12" s="326" customFormat="1" ht="9.9499999999999993" customHeight="1" x14ac:dyDescent="0.2">
      <c r="C282" s="327"/>
      <c r="E282" s="327"/>
      <c r="G282" s="327"/>
      <c r="I282" s="698"/>
      <c r="L282" s="247"/>
    </row>
    <row r="283" spans="3:12" s="326" customFormat="1" ht="9.9499999999999993" customHeight="1" x14ac:dyDescent="0.2">
      <c r="C283" s="327"/>
      <c r="E283" s="327"/>
      <c r="G283" s="327"/>
      <c r="I283" s="698"/>
      <c r="L283" s="247"/>
    </row>
    <row r="284" spans="3:12" s="326" customFormat="1" ht="9.9499999999999993" customHeight="1" x14ac:dyDescent="0.2">
      <c r="C284" s="327"/>
      <c r="E284" s="327"/>
      <c r="G284" s="327"/>
      <c r="I284" s="698"/>
      <c r="L284" s="247"/>
    </row>
    <row r="285" spans="3:12" s="326" customFormat="1" ht="9.9499999999999993" customHeight="1" x14ac:dyDescent="0.2">
      <c r="C285" s="327"/>
      <c r="E285" s="327"/>
      <c r="G285" s="327"/>
      <c r="I285" s="698"/>
      <c r="L285" s="247"/>
    </row>
    <row r="286" spans="3:12" s="326" customFormat="1" ht="9.9499999999999993" customHeight="1" x14ac:dyDescent="0.2">
      <c r="C286" s="327"/>
      <c r="E286" s="327"/>
      <c r="G286" s="327"/>
      <c r="I286" s="698"/>
      <c r="L286" s="247"/>
    </row>
    <row r="287" spans="3:12" s="326" customFormat="1" ht="9.9499999999999993" customHeight="1" x14ac:dyDescent="0.2">
      <c r="C287" s="327"/>
      <c r="E287" s="327"/>
      <c r="G287" s="327"/>
      <c r="I287" s="698"/>
      <c r="L287" s="247"/>
    </row>
    <row r="288" spans="3:12" s="326" customFormat="1" ht="9.9499999999999993" customHeight="1" x14ac:dyDescent="0.2">
      <c r="C288" s="327"/>
      <c r="E288" s="327"/>
      <c r="G288" s="327"/>
      <c r="I288" s="698"/>
      <c r="L288" s="247"/>
    </row>
    <row r="289" spans="3:12" s="326" customFormat="1" ht="9.9499999999999993" customHeight="1" x14ac:dyDescent="0.2">
      <c r="C289" s="327"/>
      <c r="E289" s="327"/>
      <c r="G289" s="327"/>
      <c r="I289" s="698"/>
      <c r="L289" s="247"/>
    </row>
    <row r="290" spans="3:12" s="326" customFormat="1" ht="9.9499999999999993" customHeight="1" x14ac:dyDescent="0.2">
      <c r="C290" s="327"/>
      <c r="E290" s="327"/>
      <c r="G290" s="327"/>
      <c r="I290" s="698"/>
      <c r="L290" s="247"/>
    </row>
    <row r="291" spans="3:12" s="326" customFormat="1" ht="9.9499999999999993" customHeight="1" x14ac:dyDescent="0.2">
      <c r="C291" s="327"/>
      <c r="E291" s="327"/>
      <c r="G291" s="327"/>
      <c r="I291" s="698"/>
      <c r="L291" s="247"/>
    </row>
    <row r="292" spans="3:12" s="326" customFormat="1" ht="9.9499999999999993" customHeight="1" x14ac:dyDescent="0.2">
      <c r="C292" s="327"/>
      <c r="E292" s="327"/>
      <c r="G292" s="327"/>
      <c r="I292" s="698"/>
      <c r="L292" s="247"/>
    </row>
    <row r="293" spans="3:12" s="326" customFormat="1" ht="9.9499999999999993" customHeight="1" x14ac:dyDescent="0.2">
      <c r="C293" s="327"/>
      <c r="E293" s="327"/>
      <c r="G293" s="327"/>
      <c r="I293" s="698"/>
      <c r="L293" s="247"/>
    </row>
    <row r="294" spans="3:12" s="326" customFormat="1" ht="9.9499999999999993" customHeight="1" x14ac:dyDescent="0.2">
      <c r="C294" s="327"/>
      <c r="E294" s="327"/>
      <c r="G294" s="327"/>
      <c r="I294" s="698"/>
      <c r="L294" s="247"/>
    </row>
    <row r="295" spans="3:12" s="326" customFormat="1" ht="9.9499999999999993" customHeight="1" x14ac:dyDescent="0.2">
      <c r="C295" s="327"/>
      <c r="E295" s="327"/>
      <c r="G295" s="327"/>
      <c r="I295" s="698"/>
      <c r="L295" s="247"/>
    </row>
    <row r="296" spans="3:12" s="326" customFormat="1" ht="9.9499999999999993" customHeight="1" x14ac:dyDescent="0.2">
      <c r="C296" s="327"/>
      <c r="E296" s="327"/>
      <c r="G296" s="327"/>
      <c r="I296" s="698"/>
      <c r="L296" s="247"/>
    </row>
    <row r="297" spans="3:12" s="326" customFormat="1" ht="9.9499999999999993" customHeight="1" x14ac:dyDescent="0.2">
      <c r="C297" s="327"/>
      <c r="E297" s="327"/>
      <c r="G297" s="327"/>
      <c r="I297" s="698"/>
      <c r="L297" s="247"/>
    </row>
    <row r="298" spans="3:12" s="326" customFormat="1" ht="9.9499999999999993" customHeight="1" x14ac:dyDescent="0.2">
      <c r="C298" s="327"/>
      <c r="E298" s="327"/>
      <c r="G298" s="327"/>
      <c r="I298" s="698"/>
      <c r="L298" s="247"/>
    </row>
    <row r="299" spans="3:12" s="326" customFormat="1" ht="9.9499999999999993" customHeight="1" x14ac:dyDescent="0.2">
      <c r="C299" s="327"/>
      <c r="E299" s="327"/>
      <c r="G299" s="327"/>
      <c r="I299" s="698"/>
      <c r="L299" s="247"/>
    </row>
    <row r="300" spans="3:12" s="326" customFormat="1" ht="9.9499999999999993" customHeight="1" x14ac:dyDescent="0.2">
      <c r="C300" s="327"/>
      <c r="E300" s="327"/>
      <c r="G300" s="327"/>
      <c r="I300" s="698"/>
      <c r="L300" s="247"/>
    </row>
    <row r="301" spans="3:12" s="326" customFormat="1" ht="9.9499999999999993" customHeight="1" x14ac:dyDescent="0.2">
      <c r="C301" s="327"/>
      <c r="E301" s="327"/>
      <c r="G301" s="327"/>
      <c r="I301" s="698"/>
      <c r="L301" s="247"/>
    </row>
    <row r="302" spans="3:12" s="326" customFormat="1" ht="9.9499999999999993" customHeight="1" x14ac:dyDescent="0.2">
      <c r="C302" s="327"/>
      <c r="E302" s="327"/>
      <c r="G302" s="327"/>
      <c r="I302" s="698"/>
      <c r="L302" s="247"/>
    </row>
    <row r="303" spans="3:12" s="326" customFormat="1" ht="9.9499999999999993" customHeight="1" x14ac:dyDescent="0.2">
      <c r="C303" s="327"/>
      <c r="E303" s="327"/>
      <c r="G303" s="327"/>
      <c r="I303" s="698"/>
      <c r="L303" s="247"/>
    </row>
    <row r="304" spans="3:12" s="326" customFormat="1" ht="9.9499999999999993" customHeight="1" x14ac:dyDescent="0.2">
      <c r="C304" s="327"/>
      <c r="E304" s="327"/>
      <c r="G304" s="327"/>
      <c r="I304" s="698"/>
      <c r="L304" s="247"/>
    </row>
    <row r="305" spans="3:12" s="326" customFormat="1" ht="9.9499999999999993" customHeight="1" x14ac:dyDescent="0.2">
      <c r="C305" s="327"/>
      <c r="E305" s="327"/>
      <c r="G305" s="327"/>
      <c r="I305" s="698"/>
      <c r="L305" s="247"/>
    </row>
    <row r="306" spans="3:12" s="326" customFormat="1" ht="9.9499999999999993" customHeight="1" x14ac:dyDescent="0.2">
      <c r="C306" s="327"/>
      <c r="E306" s="327"/>
      <c r="G306" s="327"/>
      <c r="I306" s="698"/>
      <c r="L306" s="247"/>
    </row>
    <row r="307" spans="3:12" s="326" customFormat="1" ht="9.9499999999999993" customHeight="1" x14ac:dyDescent="0.2">
      <c r="C307" s="327"/>
      <c r="E307" s="327"/>
      <c r="G307" s="327"/>
      <c r="I307" s="698"/>
      <c r="L307" s="247"/>
    </row>
    <row r="308" spans="3:12" s="326" customFormat="1" ht="9.9499999999999993" customHeight="1" x14ac:dyDescent="0.2">
      <c r="C308" s="327"/>
      <c r="E308" s="327"/>
      <c r="G308" s="327"/>
      <c r="I308" s="698"/>
      <c r="L308" s="247"/>
    </row>
    <row r="309" spans="3:12" s="326" customFormat="1" ht="9.9499999999999993" customHeight="1" x14ac:dyDescent="0.2">
      <c r="C309" s="327"/>
      <c r="E309" s="327"/>
      <c r="G309" s="327"/>
      <c r="I309" s="698"/>
      <c r="L309" s="247"/>
    </row>
    <row r="310" spans="3:12" s="326" customFormat="1" ht="9.9499999999999993" customHeight="1" x14ac:dyDescent="0.2">
      <c r="C310" s="327"/>
      <c r="E310" s="327"/>
      <c r="G310" s="327"/>
      <c r="I310" s="698"/>
      <c r="L310" s="247"/>
    </row>
    <row r="311" spans="3:12" s="326" customFormat="1" ht="9.9499999999999993" customHeight="1" x14ac:dyDescent="0.2">
      <c r="C311" s="327"/>
      <c r="E311" s="327"/>
      <c r="G311" s="327"/>
      <c r="I311" s="698"/>
      <c r="L311" s="247"/>
    </row>
    <row r="312" spans="3:12" s="326" customFormat="1" ht="9.9499999999999993" customHeight="1" x14ac:dyDescent="0.2">
      <c r="C312" s="327"/>
      <c r="E312" s="327"/>
      <c r="G312" s="327"/>
      <c r="I312" s="698"/>
      <c r="L312" s="247"/>
    </row>
    <row r="313" spans="3:12" s="326" customFormat="1" ht="9.9499999999999993" customHeight="1" x14ac:dyDescent="0.2">
      <c r="C313" s="327"/>
      <c r="E313" s="327"/>
      <c r="G313" s="327"/>
      <c r="I313" s="698"/>
      <c r="L313" s="247"/>
    </row>
    <row r="314" spans="3:12" s="326" customFormat="1" ht="9.9499999999999993" customHeight="1" x14ac:dyDescent="0.2">
      <c r="C314" s="327"/>
      <c r="E314" s="327"/>
      <c r="G314" s="327"/>
      <c r="I314" s="698"/>
      <c r="L314" s="247"/>
    </row>
    <row r="315" spans="3:12" s="326" customFormat="1" ht="9.9499999999999993" customHeight="1" x14ac:dyDescent="0.2">
      <c r="C315" s="327"/>
      <c r="E315" s="327"/>
      <c r="G315" s="327"/>
      <c r="I315" s="698"/>
      <c r="L315" s="247"/>
    </row>
    <row r="316" spans="3:12" s="326" customFormat="1" ht="9.9499999999999993" customHeight="1" x14ac:dyDescent="0.2">
      <c r="C316" s="327"/>
      <c r="E316" s="327"/>
      <c r="G316" s="327"/>
      <c r="I316" s="698"/>
      <c r="L316" s="247"/>
    </row>
    <row r="317" spans="3:12" s="326" customFormat="1" ht="9.9499999999999993" customHeight="1" x14ac:dyDescent="0.2">
      <c r="C317" s="327"/>
      <c r="E317" s="327"/>
      <c r="G317" s="327"/>
      <c r="I317" s="698"/>
      <c r="L317" s="247"/>
    </row>
    <row r="318" spans="3:12" s="326" customFormat="1" ht="9.9499999999999993" customHeight="1" x14ac:dyDescent="0.2">
      <c r="C318" s="327"/>
      <c r="E318" s="327"/>
      <c r="G318" s="327"/>
      <c r="I318" s="698"/>
      <c r="L318" s="247"/>
    </row>
    <row r="319" spans="3:12" s="326" customFormat="1" ht="9.9499999999999993" customHeight="1" x14ac:dyDescent="0.2">
      <c r="C319" s="327"/>
      <c r="E319" s="327"/>
      <c r="G319" s="327"/>
      <c r="I319" s="698"/>
      <c r="L319" s="247"/>
    </row>
    <row r="320" spans="3:12" s="326" customFormat="1" ht="9.9499999999999993" customHeight="1" x14ac:dyDescent="0.2">
      <c r="C320" s="327"/>
      <c r="E320" s="327"/>
      <c r="G320" s="327"/>
      <c r="I320" s="698"/>
      <c r="L320" s="247"/>
    </row>
    <row r="321" spans="3:12" s="326" customFormat="1" ht="9.9499999999999993" customHeight="1" x14ac:dyDescent="0.2">
      <c r="C321" s="327"/>
      <c r="E321" s="327"/>
      <c r="G321" s="327"/>
      <c r="I321" s="698"/>
      <c r="L321" s="247"/>
    </row>
    <row r="322" spans="3:12" s="326" customFormat="1" ht="9.9499999999999993" customHeight="1" x14ac:dyDescent="0.2">
      <c r="C322" s="327"/>
      <c r="E322" s="327"/>
      <c r="G322" s="327"/>
      <c r="I322" s="698"/>
      <c r="L322" s="247"/>
    </row>
    <row r="323" spans="3:12" s="326" customFormat="1" ht="9.9499999999999993" customHeight="1" x14ac:dyDescent="0.2">
      <c r="C323" s="327"/>
      <c r="E323" s="327"/>
      <c r="G323" s="327"/>
      <c r="I323" s="698"/>
      <c r="L323" s="247"/>
    </row>
    <row r="324" spans="3:12" s="326" customFormat="1" ht="9.9499999999999993" customHeight="1" x14ac:dyDescent="0.2">
      <c r="C324" s="327"/>
      <c r="E324" s="327"/>
      <c r="G324" s="327"/>
      <c r="I324" s="698"/>
      <c r="L324" s="247"/>
    </row>
    <row r="325" spans="3:12" s="326" customFormat="1" ht="9.9499999999999993" customHeight="1" x14ac:dyDescent="0.2">
      <c r="C325" s="327"/>
      <c r="E325" s="327"/>
      <c r="G325" s="327"/>
      <c r="I325" s="698"/>
      <c r="L325" s="247"/>
    </row>
    <row r="326" spans="3:12" s="326" customFormat="1" ht="9.9499999999999993" customHeight="1" x14ac:dyDescent="0.2">
      <c r="C326" s="327"/>
      <c r="E326" s="327"/>
      <c r="G326" s="327"/>
      <c r="I326" s="698"/>
      <c r="L326" s="247"/>
    </row>
    <row r="327" spans="3:12" s="326" customFormat="1" ht="9.9499999999999993" customHeight="1" x14ac:dyDescent="0.2">
      <c r="C327" s="327"/>
      <c r="E327" s="327"/>
      <c r="G327" s="327"/>
      <c r="I327" s="698"/>
      <c r="L327" s="247"/>
    </row>
    <row r="328" spans="3:12" s="326" customFormat="1" ht="9.9499999999999993" customHeight="1" x14ac:dyDescent="0.2">
      <c r="C328" s="327"/>
      <c r="E328" s="327"/>
      <c r="G328" s="327"/>
      <c r="I328" s="698"/>
      <c r="L328" s="247"/>
    </row>
    <row r="329" spans="3:12" s="326" customFormat="1" ht="9.9499999999999993" customHeight="1" x14ac:dyDescent="0.2">
      <c r="C329" s="327"/>
      <c r="E329" s="327"/>
      <c r="G329" s="327"/>
      <c r="I329" s="698"/>
      <c r="L329" s="247"/>
    </row>
    <row r="330" spans="3:12" s="326" customFormat="1" ht="9.9499999999999993" customHeight="1" x14ac:dyDescent="0.2">
      <c r="C330" s="327"/>
      <c r="E330" s="327"/>
      <c r="G330" s="327"/>
      <c r="I330" s="698"/>
      <c r="L330" s="247"/>
    </row>
    <row r="331" spans="3:12" s="326" customFormat="1" ht="9.9499999999999993" customHeight="1" x14ac:dyDescent="0.2">
      <c r="C331" s="327"/>
      <c r="E331" s="327"/>
      <c r="G331" s="327"/>
      <c r="I331" s="698"/>
      <c r="L331" s="247"/>
    </row>
    <row r="332" spans="3:12" s="326" customFormat="1" ht="9.9499999999999993" customHeight="1" x14ac:dyDescent="0.2">
      <c r="C332" s="327"/>
      <c r="E332" s="327"/>
      <c r="G332" s="327"/>
      <c r="I332" s="698"/>
      <c r="L332" s="247"/>
    </row>
    <row r="333" spans="3:12" s="326" customFormat="1" ht="9.9499999999999993" customHeight="1" x14ac:dyDescent="0.2">
      <c r="C333" s="327"/>
      <c r="E333" s="327"/>
      <c r="G333" s="327"/>
      <c r="I333" s="698"/>
      <c r="L333" s="247"/>
    </row>
    <row r="334" spans="3:12" s="326" customFormat="1" ht="9.9499999999999993" customHeight="1" x14ac:dyDescent="0.2">
      <c r="C334" s="327"/>
      <c r="E334" s="327"/>
      <c r="G334" s="327"/>
      <c r="I334" s="698"/>
      <c r="L334" s="247"/>
    </row>
    <row r="335" spans="3:12" s="326" customFormat="1" ht="9.9499999999999993" customHeight="1" x14ac:dyDescent="0.2">
      <c r="C335" s="327"/>
      <c r="E335" s="327"/>
      <c r="G335" s="327"/>
      <c r="I335" s="698"/>
      <c r="L335" s="247"/>
    </row>
    <row r="336" spans="3:12" s="326" customFormat="1" ht="9.9499999999999993" customHeight="1" x14ac:dyDescent="0.2">
      <c r="C336" s="327"/>
      <c r="E336" s="327"/>
      <c r="G336" s="327"/>
      <c r="I336" s="698"/>
      <c r="L336" s="247"/>
    </row>
    <row r="337" spans="3:12" s="326" customFormat="1" ht="9.9499999999999993" customHeight="1" x14ac:dyDescent="0.2">
      <c r="C337" s="327"/>
      <c r="E337" s="327"/>
      <c r="G337" s="327"/>
      <c r="I337" s="698"/>
      <c r="L337" s="247"/>
    </row>
    <row r="338" spans="3:12" s="326" customFormat="1" ht="9.9499999999999993" customHeight="1" x14ac:dyDescent="0.2">
      <c r="C338" s="327"/>
      <c r="E338" s="327"/>
      <c r="G338" s="327"/>
      <c r="I338" s="698"/>
      <c r="L338" s="247"/>
    </row>
    <row r="339" spans="3:12" s="326" customFormat="1" ht="9.9499999999999993" customHeight="1" x14ac:dyDescent="0.2">
      <c r="C339" s="327"/>
      <c r="E339" s="327"/>
      <c r="G339" s="327"/>
      <c r="I339" s="698"/>
      <c r="L339" s="247"/>
    </row>
    <row r="340" spans="3:12" s="326" customFormat="1" ht="9.9499999999999993" customHeight="1" x14ac:dyDescent="0.2">
      <c r="C340" s="327"/>
      <c r="E340" s="327"/>
      <c r="G340" s="327"/>
      <c r="I340" s="698"/>
      <c r="L340" s="247"/>
    </row>
    <row r="341" spans="3:12" s="326" customFormat="1" ht="9.9499999999999993" customHeight="1" x14ac:dyDescent="0.2">
      <c r="C341" s="327"/>
      <c r="E341" s="327"/>
      <c r="G341" s="327"/>
      <c r="I341" s="698"/>
      <c r="L341" s="247"/>
    </row>
    <row r="342" spans="3:12" s="326" customFormat="1" ht="9.9499999999999993" customHeight="1" x14ac:dyDescent="0.2">
      <c r="C342" s="327"/>
      <c r="E342" s="327"/>
      <c r="G342" s="327"/>
      <c r="I342" s="698"/>
      <c r="L342" s="247"/>
    </row>
    <row r="343" spans="3:12" s="326" customFormat="1" ht="9.9499999999999993" customHeight="1" x14ac:dyDescent="0.2">
      <c r="C343" s="327"/>
      <c r="E343" s="327"/>
      <c r="G343" s="327"/>
      <c r="I343" s="698"/>
      <c r="L343" s="247"/>
    </row>
    <row r="344" spans="3:12" s="326" customFormat="1" ht="9.9499999999999993" customHeight="1" x14ac:dyDescent="0.2">
      <c r="C344" s="327"/>
      <c r="E344" s="327"/>
      <c r="G344" s="327"/>
      <c r="I344" s="698"/>
      <c r="L344" s="247"/>
    </row>
    <row r="345" spans="3:12" s="326" customFormat="1" ht="9.9499999999999993" customHeight="1" x14ac:dyDescent="0.2">
      <c r="C345" s="327"/>
      <c r="E345" s="327"/>
      <c r="G345" s="327"/>
      <c r="I345" s="698"/>
      <c r="L345" s="247"/>
    </row>
    <row r="346" spans="3:12" s="326" customFormat="1" ht="9.9499999999999993" customHeight="1" x14ac:dyDescent="0.2">
      <c r="C346" s="327"/>
      <c r="E346" s="327"/>
      <c r="G346" s="327"/>
      <c r="I346" s="698"/>
      <c r="L346" s="247"/>
    </row>
    <row r="347" spans="3:12" s="326" customFormat="1" ht="9.9499999999999993" customHeight="1" x14ac:dyDescent="0.2">
      <c r="C347" s="327"/>
      <c r="E347" s="327"/>
      <c r="G347" s="327"/>
      <c r="I347" s="698"/>
      <c r="L347" s="247"/>
    </row>
    <row r="348" spans="3:12" s="326" customFormat="1" ht="9.9499999999999993" customHeight="1" x14ac:dyDescent="0.2">
      <c r="C348" s="327"/>
      <c r="E348" s="327"/>
      <c r="G348" s="327"/>
      <c r="I348" s="698"/>
      <c r="L348" s="247"/>
    </row>
    <row r="349" spans="3:12" s="326" customFormat="1" ht="9.9499999999999993" customHeight="1" x14ac:dyDescent="0.2">
      <c r="C349" s="327"/>
      <c r="E349" s="327"/>
      <c r="G349" s="327"/>
      <c r="I349" s="698"/>
      <c r="L349" s="247"/>
    </row>
    <row r="350" spans="3:12" s="326" customFormat="1" ht="9.9499999999999993" customHeight="1" x14ac:dyDescent="0.2">
      <c r="C350" s="327"/>
      <c r="E350" s="327"/>
      <c r="G350" s="327"/>
      <c r="I350" s="698"/>
      <c r="L350" s="247"/>
    </row>
    <row r="351" spans="3:12" s="326" customFormat="1" ht="9.9499999999999993" customHeight="1" x14ac:dyDescent="0.2">
      <c r="C351" s="327"/>
      <c r="E351" s="327"/>
      <c r="G351" s="327"/>
      <c r="I351" s="698"/>
      <c r="L351" s="247"/>
    </row>
    <row r="352" spans="3:12" s="326" customFormat="1" ht="9.9499999999999993" customHeight="1" x14ac:dyDescent="0.2">
      <c r="C352" s="327"/>
      <c r="E352" s="327"/>
      <c r="G352" s="327"/>
      <c r="I352" s="698"/>
      <c r="L352" s="247"/>
    </row>
    <row r="353" spans="3:12" s="326" customFormat="1" ht="9.9499999999999993" customHeight="1" x14ac:dyDescent="0.2">
      <c r="C353" s="327"/>
      <c r="E353" s="327"/>
      <c r="G353" s="327"/>
      <c r="I353" s="698"/>
      <c r="L353" s="247"/>
    </row>
    <row r="354" spans="3:12" s="326" customFormat="1" ht="9.9499999999999993" customHeight="1" x14ac:dyDescent="0.2">
      <c r="C354" s="327"/>
      <c r="E354" s="327"/>
      <c r="G354" s="327"/>
      <c r="I354" s="698"/>
      <c r="L354" s="247"/>
    </row>
    <row r="355" spans="3:12" s="326" customFormat="1" ht="9.9499999999999993" customHeight="1" x14ac:dyDescent="0.2">
      <c r="C355" s="327"/>
      <c r="E355" s="327"/>
      <c r="G355" s="327"/>
      <c r="I355" s="698"/>
      <c r="L355" s="247"/>
    </row>
    <row r="356" spans="3:12" s="326" customFormat="1" ht="9.9499999999999993" customHeight="1" x14ac:dyDescent="0.2">
      <c r="C356" s="327"/>
      <c r="E356" s="327"/>
      <c r="G356" s="327"/>
      <c r="I356" s="698"/>
      <c r="L356" s="247"/>
    </row>
    <row r="357" spans="3:12" s="326" customFormat="1" ht="9.9499999999999993" customHeight="1" x14ac:dyDescent="0.2">
      <c r="C357" s="327"/>
      <c r="E357" s="327"/>
      <c r="G357" s="327"/>
      <c r="I357" s="698"/>
      <c r="L357" s="247"/>
    </row>
    <row r="358" spans="3:12" s="326" customFormat="1" ht="9.9499999999999993" customHeight="1" x14ac:dyDescent="0.2">
      <c r="C358" s="327"/>
      <c r="E358" s="327"/>
      <c r="G358" s="327"/>
      <c r="I358" s="698"/>
      <c r="L358" s="247"/>
    </row>
    <row r="359" spans="3:12" s="326" customFormat="1" ht="9.9499999999999993" customHeight="1" x14ac:dyDescent="0.2">
      <c r="C359" s="327"/>
      <c r="E359" s="327"/>
      <c r="G359" s="327"/>
      <c r="I359" s="698"/>
      <c r="L359" s="247"/>
    </row>
    <row r="360" spans="3:12" s="326" customFormat="1" ht="9.9499999999999993" customHeight="1" x14ac:dyDescent="0.2">
      <c r="C360" s="327"/>
      <c r="E360" s="327"/>
      <c r="G360" s="327"/>
      <c r="I360" s="698"/>
      <c r="L360" s="247"/>
    </row>
    <row r="361" spans="3:12" s="326" customFormat="1" ht="9.9499999999999993" customHeight="1" x14ac:dyDescent="0.2">
      <c r="C361" s="327"/>
      <c r="E361" s="327"/>
      <c r="G361" s="327"/>
      <c r="I361" s="698"/>
      <c r="L361" s="247"/>
    </row>
    <row r="362" spans="3:12" s="326" customFormat="1" ht="9.9499999999999993" customHeight="1" x14ac:dyDescent="0.2">
      <c r="C362" s="327"/>
      <c r="E362" s="327"/>
      <c r="G362" s="327"/>
      <c r="I362" s="698"/>
      <c r="L362" s="247"/>
    </row>
    <row r="363" spans="3:12" s="326" customFormat="1" ht="9.9499999999999993" customHeight="1" x14ac:dyDescent="0.2">
      <c r="C363" s="327"/>
      <c r="E363" s="327"/>
      <c r="G363" s="327"/>
      <c r="I363" s="698"/>
      <c r="L363" s="247"/>
    </row>
    <row r="364" spans="3:12" s="326" customFormat="1" ht="9.9499999999999993" customHeight="1" x14ac:dyDescent="0.2">
      <c r="C364" s="327"/>
      <c r="E364" s="327"/>
      <c r="G364" s="327"/>
      <c r="I364" s="698"/>
      <c r="L364" s="247"/>
    </row>
    <row r="365" spans="3:12" s="326" customFormat="1" ht="9.9499999999999993" customHeight="1" x14ac:dyDescent="0.2">
      <c r="C365" s="327"/>
      <c r="E365" s="327"/>
      <c r="G365" s="327"/>
      <c r="I365" s="698"/>
      <c r="L365" s="247"/>
    </row>
    <row r="366" spans="3:12" s="326" customFormat="1" ht="9.9499999999999993" customHeight="1" x14ac:dyDescent="0.2">
      <c r="C366" s="327"/>
      <c r="E366" s="327"/>
      <c r="G366" s="327"/>
      <c r="I366" s="698"/>
      <c r="L366" s="247"/>
    </row>
    <row r="367" spans="3:12" s="326" customFormat="1" ht="9.9499999999999993" customHeight="1" x14ac:dyDescent="0.2">
      <c r="C367" s="327"/>
      <c r="E367" s="327"/>
      <c r="G367" s="327"/>
      <c r="I367" s="698"/>
      <c r="L367" s="247"/>
    </row>
    <row r="368" spans="3:12" s="326" customFormat="1" ht="9.9499999999999993" customHeight="1" x14ac:dyDescent="0.2">
      <c r="C368" s="327"/>
      <c r="E368" s="327"/>
      <c r="G368" s="327"/>
      <c r="I368" s="698"/>
      <c r="L368" s="247"/>
    </row>
    <row r="369" spans="3:12" s="326" customFormat="1" ht="9.9499999999999993" customHeight="1" x14ac:dyDescent="0.2">
      <c r="C369" s="327"/>
      <c r="E369" s="327"/>
      <c r="G369" s="327"/>
      <c r="I369" s="698"/>
      <c r="L369" s="247"/>
    </row>
    <row r="370" spans="3:12" s="326" customFormat="1" ht="9.9499999999999993" customHeight="1" x14ac:dyDescent="0.2">
      <c r="C370" s="327"/>
      <c r="E370" s="327"/>
      <c r="G370" s="327"/>
      <c r="I370" s="698"/>
      <c r="L370" s="247"/>
    </row>
    <row r="371" spans="3:12" s="326" customFormat="1" ht="9.9499999999999993" customHeight="1" x14ac:dyDescent="0.2">
      <c r="C371" s="327"/>
      <c r="E371" s="327"/>
      <c r="G371" s="327"/>
      <c r="I371" s="698"/>
      <c r="L371" s="247"/>
    </row>
    <row r="372" spans="3:12" s="326" customFormat="1" ht="9.9499999999999993" customHeight="1" x14ac:dyDescent="0.2">
      <c r="C372" s="327"/>
      <c r="E372" s="327"/>
      <c r="G372" s="327"/>
      <c r="I372" s="698"/>
      <c r="L372" s="247"/>
    </row>
    <row r="373" spans="3:12" s="326" customFormat="1" ht="9.9499999999999993" customHeight="1" x14ac:dyDescent="0.2">
      <c r="C373" s="327"/>
      <c r="E373" s="327"/>
      <c r="G373" s="327"/>
      <c r="I373" s="698"/>
      <c r="L373" s="247"/>
    </row>
    <row r="374" spans="3:12" s="326" customFormat="1" ht="9.9499999999999993" customHeight="1" x14ac:dyDescent="0.2">
      <c r="C374" s="327"/>
      <c r="E374" s="327"/>
      <c r="G374" s="327"/>
      <c r="I374" s="698"/>
      <c r="L374" s="247"/>
    </row>
    <row r="375" spans="3:12" s="326" customFormat="1" ht="9.9499999999999993" customHeight="1" x14ac:dyDescent="0.2">
      <c r="C375" s="327"/>
      <c r="E375" s="327"/>
      <c r="G375" s="327"/>
      <c r="I375" s="698"/>
      <c r="L375" s="247"/>
    </row>
    <row r="376" spans="3:12" s="326" customFormat="1" ht="9.9499999999999993" customHeight="1" x14ac:dyDescent="0.2">
      <c r="C376" s="327"/>
      <c r="E376" s="327"/>
      <c r="G376" s="327"/>
      <c r="I376" s="698"/>
      <c r="L376" s="247"/>
    </row>
    <row r="377" spans="3:12" s="326" customFormat="1" ht="9.9499999999999993" customHeight="1" x14ac:dyDescent="0.2">
      <c r="C377" s="327"/>
      <c r="E377" s="327"/>
      <c r="G377" s="327"/>
      <c r="I377" s="698"/>
      <c r="L377" s="247"/>
    </row>
    <row r="378" spans="3:12" s="326" customFormat="1" ht="9.9499999999999993" customHeight="1" x14ac:dyDescent="0.2">
      <c r="C378" s="327"/>
      <c r="E378" s="327"/>
      <c r="G378" s="327"/>
      <c r="I378" s="698"/>
      <c r="L378" s="247"/>
    </row>
    <row r="379" spans="3:12" s="326" customFormat="1" ht="9.9499999999999993" customHeight="1" x14ac:dyDescent="0.2">
      <c r="C379" s="327"/>
      <c r="E379" s="327"/>
      <c r="G379" s="327"/>
      <c r="I379" s="698"/>
      <c r="L379" s="247"/>
    </row>
    <row r="380" spans="3:12" s="326" customFormat="1" ht="9.9499999999999993" customHeight="1" x14ac:dyDescent="0.2">
      <c r="C380" s="327"/>
      <c r="E380" s="327"/>
      <c r="G380" s="327"/>
      <c r="I380" s="698"/>
      <c r="L380" s="247"/>
    </row>
    <row r="381" spans="3:12" s="326" customFormat="1" ht="9.9499999999999993" customHeight="1" x14ac:dyDescent="0.2">
      <c r="C381" s="327"/>
      <c r="E381" s="327"/>
      <c r="G381" s="327"/>
      <c r="I381" s="698"/>
      <c r="L381" s="247"/>
    </row>
    <row r="382" spans="3:12" s="326" customFormat="1" ht="9.9499999999999993" customHeight="1" x14ac:dyDescent="0.2">
      <c r="C382" s="327"/>
      <c r="E382" s="327"/>
      <c r="G382" s="327"/>
      <c r="I382" s="698"/>
      <c r="L382" s="247"/>
    </row>
    <row r="383" spans="3:12" s="326" customFormat="1" ht="9.9499999999999993" customHeight="1" x14ac:dyDescent="0.2">
      <c r="C383" s="327"/>
      <c r="E383" s="327"/>
      <c r="G383" s="327"/>
      <c r="I383" s="698"/>
      <c r="L383" s="247"/>
    </row>
    <row r="384" spans="3:12" s="326" customFormat="1" ht="9.9499999999999993" customHeight="1" x14ac:dyDescent="0.2">
      <c r="C384" s="327"/>
      <c r="E384" s="327"/>
      <c r="G384" s="327"/>
      <c r="I384" s="698"/>
      <c r="L384" s="247"/>
    </row>
    <row r="385" spans="3:12" s="326" customFormat="1" ht="9.9499999999999993" customHeight="1" x14ac:dyDescent="0.2">
      <c r="C385" s="327"/>
      <c r="E385" s="327"/>
      <c r="G385" s="327"/>
      <c r="I385" s="698"/>
      <c r="L385" s="247"/>
    </row>
    <row r="386" spans="3:12" s="326" customFormat="1" ht="9.9499999999999993" customHeight="1" x14ac:dyDescent="0.2">
      <c r="C386" s="327"/>
      <c r="E386" s="327"/>
      <c r="G386" s="327"/>
      <c r="I386" s="698"/>
      <c r="L386" s="247"/>
    </row>
    <row r="387" spans="3:12" s="326" customFormat="1" ht="9.9499999999999993" customHeight="1" x14ac:dyDescent="0.2">
      <c r="C387" s="327"/>
      <c r="E387" s="327"/>
      <c r="G387" s="327"/>
      <c r="I387" s="698"/>
      <c r="L387" s="247"/>
    </row>
    <row r="388" spans="3:12" s="326" customFormat="1" ht="9.9499999999999993" customHeight="1" x14ac:dyDescent="0.2">
      <c r="C388" s="327"/>
      <c r="E388" s="327"/>
      <c r="G388" s="327"/>
      <c r="I388" s="698"/>
      <c r="L388" s="247"/>
    </row>
    <row r="389" spans="3:12" s="326" customFormat="1" ht="9.9499999999999993" customHeight="1" x14ac:dyDescent="0.2">
      <c r="C389" s="327"/>
      <c r="E389" s="327"/>
      <c r="G389" s="327"/>
      <c r="I389" s="698"/>
      <c r="L389" s="247"/>
    </row>
    <row r="390" spans="3:12" s="326" customFormat="1" ht="9.9499999999999993" customHeight="1" x14ac:dyDescent="0.2">
      <c r="C390" s="327"/>
      <c r="E390" s="327"/>
      <c r="G390" s="327"/>
      <c r="I390" s="698"/>
      <c r="L390" s="247"/>
    </row>
    <row r="391" spans="3:12" s="326" customFormat="1" ht="9.9499999999999993" customHeight="1" x14ac:dyDescent="0.2">
      <c r="C391" s="327"/>
      <c r="E391" s="327"/>
      <c r="G391" s="327"/>
      <c r="I391" s="698"/>
      <c r="L391" s="247"/>
    </row>
    <row r="392" spans="3:12" s="326" customFormat="1" ht="9.9499999999999993" customHeight="1" x14ac:dyDescent="0.2">
      <c r="C392" s="327"/>
      <c r="E392" s="327"/>
      <c r="G392" s="327"/>
      <c r="I392" s="698"/>
      <c r="L392" s="247"/>
    </row>
    <row r="393" spans="3:12" s="326" customFormat="1" ht="9.9499999999999993" customHeight="1" x14ac:dyDescent="0.2">
      <c r="C393" s="327"/>
      <c r="E393" s="327"/>
      <c r="G393" s="327"/>
      <c r="I393" s="698"/>
      <c r="L393" s="247"/>
    </row>
    <row r="394" spans="3:12" s="326" customFormat="1" ht="9.9499999999999993" customHeight="1" x14ac:dyDescent="0.2">
      <c r="C394" s="327"/>
      <c r="E394" s="327"/>
      <c r="G394" s="327"/>
      <c r="I394" s="698"/>
      <c r="L394" s="247"/>
    </row>
    <row r="395" spans="3:12" s="326" customFormat="1" ht="9.9499999999999993" customHeight="1" x14ac:dyDescent="0.2">
      <c r="C395" s="327"/>
      <c r="E395" s="327"/>
      <c r="G395" s="327"/>
      <c r="I395" s="698"/>
      <c r="L395" s="247"/>
    </row>
    <row r="396" spans="3:12" s="326" customFormat="1" ht="9.9499999999999993" customHeight="1" x14ac:dyDescent="0.2">
      <c r="C396" s="327"/>
      <c r="E396" s="327"/>
      <c r="G396" s="327"/>
      <c r="I396" s="698"/>
      <c r="L396" s="247"/>
    </row>
    <row r="397" spans="3:12" s="326" customFormat="1" ht="9.9499999999999993" customHeight="1" x14ac:dyDescent="0.2">
      <c r="C397" s="327"/>
      <c r="E397" s="327"/>
      <c r="G397" s="327"/>
      <c r="I397" s="698"/>
      <c r="L397" s="247"/>
    </row>
    <row r="398" spans="3:12" s="326" customFormat="1" ht="9.9499999999999993" customHeight="1" x14ac:dyDescent="0.2">
      <c r="C398" s="327"/>
      <c r="E398" s="327"/>
      <c r="G398" s="327"/>
      <c r="I398" s="698"/>
      <c r="L398" s="247"/>
    </row>
    <row r="399" spans="3:12" s="326" customFormat="1" ht="9.9499999999999993" customHeight="1" x14ac:dyDescent="0.2">
      <c r="C399" s="327"/>
      <c r="E399" s="327"/>
      <c r="G399" s="327"/>
      <c r="I399" s="698"/>
      <c r="L399" s="247"/>
    </row>
    <row r="400" spans="3:12" s="326" customFormat="1" ht="9.9499999999999993" customHeight="1" x14ac:dyDescent="0.2">
      <c r="C400" s="327"/>
      <c r="E400" s="327"/>
      <c r="G400" s="327"/>
      <c r="I400" s="698"/>
      <c r="L400" s="247"/>
    </row>
    <row r="401" spans="3:12" s="326" customFormat="1" ht="9.9499999999999993" customHeight="1" x14ac:dyDescent="0.2">
      <c r="C401" s="327"/>
      <c r="E401" s="327"/>
      <c r="G401" s="327"/>
      <c r="I401" s="698"/>
      <c r="L401" s="247"/>
    </row>
    <row r="402" spans="3:12" s="326" customFormat="1" ht="9.9499999999999993" customHeight="1" x14ac:dyDescent="0.2">
      <c r="C402" s="327"/>
      <c r="E402" s="327"/>
      <c r="G402" s="327"/>
      <c r="I402" s="698"/>
      <c r="L402" s="247"/>
    </row>
    <row r="403" spans="3:12" s="326" customFormat="1" ht="9.9499999999999993" customHeight="1" x14ac:dyDescent="0.2">
      <c r="C403" s="327"/>
      <c r="E403" s="327"/>
      <c r="G403" s="327"/>
      <c r="I403" s="698"/>
      <c r="L403" s="247"/>
    </row>
    <row r="404" spans="3:12" s="326" customFormat="1" ht="9.9499999999999993" customHeight="1" x14ac:dyDescent="0.2">
      <c r="C404" s="327"/>
      <c r="E404" s="327"/>
      <c r="G404" s="327"/>
      <c r="I404" s="698"/>
      <c r="L404" s="247"/>
    </row>
    <row r="405" spans="3:12" s="326" customFormat="1" ht="9.9499999999999993" customHeight="1" x14ac:dyDescent="0.2">
      <c r="C405" s="327"/>
      <c r="E405" s="327"/>
      <c r="G405" s="327"/>
      <c r="I405" s="698"/>
      <c r="L405" s="247"/>
    </row>
    <row r="406" spans="3:12" s="326" customFormat="1" ht="9.9499999999999993" customHeight="1" x14ac:dyDescent="0.2">
      <c r="C406" s="327"/>
      <c r="E406" s="327"/>
      <c r="G406" s="327"/>
      <c r="I406" s="698"/>
      <c r="L406" s="247"/>
    </row>
    <row r="407" spans="3:12" s="326" customFormat="1" ht="9.9499999999999993" customHeight="1" x14ac:dyDescent="0.2">
      <c r="C407" s="327"/>
      <c r="E407" s="327"/>
      <c r="G407" s="327"/>
      <c r="I407" s="698"/>
      <c r="L407" s="247"/>
    </row>
    <row r="408" spans="3:12" s="326" customFormat="1" ht="9.9499999999999993" customHeight="1" x14ac:dyDescent="0.2">
      <c r="C408" s="327"/>
      <c r="E408" s="327"/>
      <c r="G408" s="327"/>
      <c r="I408" s="698"/>
      <c r="L408" s="247"/>
    </row>
    <row r="409" spans="3:12" s="326" customFormat="1" ht="9.9499999999999993" customHeight="1" x14ac:dyDescent="0.2">
      <c r="C409" s="327"/>
      <c r="E409" s="327"/>
      <c r="G409" s="327"/>
      <c r="I409" s="698"/>
      <c r="L409" s="247"/>
    </row>
    <row r="410" spans="3:12" s="326" customFormat="1" ht="9.9499999999999993" customHeight="1" x14ac:dyDescent="0.2">
      <c r="C410" s="327"/>
      <c r="E410" s="327"/>
      <c r="G410" s="327"/>
      <c r="I410" s="698"/>
      <c r="L410" s="247"/>
    </row>
    <row r="411" spans="3:12" s="326" customFormat="1" ht="9.9499999999999993" customHeight="1" x14ac:dyDescent="0.2">
      <c r="C411" s="327"/>
      <c r="E411" s="327"/>
      <c r="G411" s="327"/>
      <c r="I411" s="698"/>
      <c r="L411" s="247"/>
    </row>
    <row r="412" spans="3:12" s="326" customFormat="1" ht="9.9499999999999993" customHeight="1" x14ac:dyDescent="0.2">
      <c r="C412" s="327"/>
      <c r="E412" s="327"/>
      <c r="G412" s="327"/>
      <c r="I412" s="698"/>
      <c r="L412" s="247"/>
    </row>
    <row r="413" spans="3:12" s="326" customFormat="1" ht="9.9499999999999993" customHeight="1" x14ac:dyDescent="0.2">
      <c r="C413" s="327"/>
      <c r="E413" s="327"/>
      <c r="G413" s="327"/>
      <c r="I413" s="698"/>
      <c r="L413" s="247"/>
    </row>
    <row r="414" spans="3:12" s="326" customFormat="1" ht="9.9499999999999993" customHeight="1" x14ac:dyDescent="0.2">
      <c r="C414" s="327"/>
      <c r="E414" s="327"/>
      <c r="G414" s="327"/>
      <c r="I414" s="698"/>
      <c r="L414" s="247"/>
    </row>
    <row r="415" spans="3:12" s="326" customFormat="1" ht="9.9499999999999993" customHeight="1" x14ac:dyDescent="0.2">
      <c r="C415" s="327"/>
      <c r="E415" s="327"/>
      <c r="G415" s="327"/>
      <c r="I415" s="698"/>
      <c r="L415" s="247"/>
    </row>
    <row r="416" spans="3:12" s="326" customFormat="1" ht="9.9499999999999993" customHeight="1" x14ac:dyDescent="0.2">
      <c r="C416" s="327"/>
      <c r="E416" s="327"/>
      <c r="G416" s="327"/>
      <c r="I416" s="698"/>
      <c r="L416" s="247"/>
    </row>
    <row r="417" spans="3:12" s="326" customFormat="1" ht="9.9499999999999993" customHeight="1" x14ac:dyDescent="0.2">
      <c r="C417" s="327"/>
      <c r="E417" s="327"/>
      <c r="G417" s="327"/>
      <c r="I417" s="698"/>
      <c r="L417" s="247"/>
    </row>
    <row r="418" spans="3:12" s="326" customFormat="1" ht="9.9499999999999993" customHeight="1" x14ac:dyDescent="0.2">
      <c r="C418" s="327"/>
      <c r="E418" s="327"/>
      <c r="G418" s="327"/>
      <c r="I418" s="698"/>
      <c r="L418" s="247"/>
    </row>
    <row r="419" spans="3:12" s="326" customFormat="1" ht="9.9499999999999993" customHeight="1" x14ac:dyDescent="0.2">
      <c r="C419" s="327"/>
      <c r="E419" s="327"/>
      <c r="G419" s="327"/>
      <c r="I419" s="698"/>
      <c r="L419" s="247"/>
    </row>
    <row r="420" spans="3:12" s="326" customFormat="1" ht="9.9499999999999993" customHeight="1" x14ac:dyDescent="0.2">
      <c r="C420" s="327"/>
      <c r="E420" s="327"/>
      <c r="G420" s="327"/>
      <c r="I420" s="698"/>
      <c r="L420" s="247"/>
    </row>
    <row r="421" spans="3:12" s="326" customFormat="1" ht="9.9499999999999993" customHeight="1" x14ac:dyDescent="0.2">
      <c r="C421" s="327"/>
      <c r="E421" s="327"/>
      <c r="G421" s="327"/>
      <c r="I421" s="698"/>
      <c r="L421" s="247"/>
    </row>
    <row r="422" spans="3:12" s="326" customFormat="1" ht="9.9499999999999993" customHeight="1" x14ac:dyDescent="0.2">
      <c r="C422" s="327"/>
      <c r="E422" s="327"/>
      <c r="G422" s="327"/>
      <c r="I422" s="698"/>
      <c r="L422" s="247"/>
    </row>
    <row r="423" spans="3:12" s="326" customFormat="1" ht="9.9499999999999993" customHeight="1" x14ac:dyDescent="0.2">
      <c r="C423" s="327"/>
      <c r="E423" s="327"/>
      <c r="G423" s="327"/>
      <c r="I423" s="698"/>
      <c r="L423" s="247"/>
    </row>
    <row r="424" spans="3:12" s="326" customFormat="1" ht="9.9499999999999993" customHeight="1" x14ac:dyDescent="0.2">
      <c r="C424" s="327"/>
      <c r="E424" s="327"/>
      <c r="G424" s="327"/>
      <c r="I424" s="698"/>
      <c r="L424" s="247"/>
    </row>
    <row r="425" spans="3:12" s="326" customFormat="1" ht="9.9499999999999993" customHeight="1" x14ac:dyDescent="0.2">
      <c r="C425" s="327"/>
      <c r="E425" s="327"/>
      <c r="G425" s="327"/>
      <c r="I425" s="698"/>
      <c r="L425" s="247"/>
    </row>
    <row r="426" spans="3:12" s="326" customFormat="1" ht="9.9499999999999993" customHeight="1" x14ac:dyDescent="0.2">
      <c r="C426" s="327"/>
      <c r="E426" s="327"/>
      <c r="G426" s="327"/>
      <c r="I426" s="698"/>
      <c r="L426" s="247"/>
    </row>
    <row r="427" spans="3:12" s="326" customFormat="1" ht="9.9499999999999993" customHeight="1" x14ac:dyDescent="0.2">
      <c r="C427" s="327"/>
      <c r="E427" s="327"/>
      <c r="G427" s="327"/>
      <c r="I427" s="698"/>
      <c r="L427" s="247"/>
    </row>
    <row r="428" spans="3:12" s="326" customFormat="1" ht="9.9499999999999993" customHeight="1" x14ac:dyDescent="0.2">
      <c r="C428" s="327"/>
      <c r="E428" s="327"/>
      <c r="G428" s="327"/>
      <c r="I428" s="698"/>
      <c r="L428" s="247"/>
    </row>
    <row r="429" spans="3:12" s="326" customFormat="1" ht="9.9499999999999993" customHeight="1" x14ac:dyDescent="0.2">
      <c r="C429" s="327"/>
      <c r="E429" s="327"/>
      <c r="G429" s="327"/>
      <c r="I429" s="698"/>
      <c r="L429" s="247"/>
    </row>
    <row r="430" spans="3:12" s="326" customFormat="1" ht="9.9499999999999993" customHeight="1" x14ac:dyDescent="0.2">
      <c r="C430" s="327"/>
      <c r="E430" s="327"/>
      <c r="G430" s="327"/>
      <c r="I430" s="698"/>
      <c r="L430" s="247"/>
    </row>
    <row r="431" spans="3:12" s="326" customFormat="1" ht="9.9499999999999993" customHeight="1" x14ac:dyDescent="0.2">
      <c r="C431" s="327"/>
      <c r="E431" s="327"/>
      <c r="G431" s="327"/>
      <c r="I431" s="698"/>
      <c r="L431" s="247"/>
    </row>
    <row r="432" spans="3:12" s="326" customFormat="1" ht="9.9499999999999993" customHeight="1" x14ac:dyDescent="0.2">
      <c r="C432" s="327"/>
      <c r="E432" s="327"/>
      <c r="G432" s="327"/>
      <c r="I432" s="698"/>
      <c r="L432" s="247"/>
    </row>
    <row r="433" spans="3:12" s="326" customFormat="1" ht="9.9499999999999993" customHeight="1" x14ac:dyDescent="0.2">
      <c r="C433" s="327"/>
      <c r="E433" s="327"/>
      <c r="G433" s="327"/>
      <c r="I433" s="698"/>
      <c r="L433" s="247"/>
    </row>
    <row r="434" spans="3:12" s="326" customFormat="1" ht="9.9499999999999993" customHeight="1" x14ac:dyDescent="0.2">
      <c r="C434" s="327"/>
      <c r="E434" s="327"/>
      <c r="G434" s="327"/>
      <c r="I434" s="698"/>
      <c r="L434" s="247"/>
    </row>
    <row r="435" spans="3:12" s="326" customFormat="1" ht="9.9499999999999993" customHeight="1" x14ac:dyDescent="0.2">
      <c r="C435" s="327"/>
      <c r="E435" s="327"/>
      <c r="G435" s="327"/>
      <c r="I435" s="698"/>
      <c r="L435" s="247"/>
    </row>
    <row r="436" spans="3:12" s="326" customFormat="1" ht="9.9499999999999993" customHeight="1" x14ac:dyDescent="0.2">
      <c r="C436" s="327"/>
      <c r="E436" s="327"/>
      <c r="G436" s="327"/>
      <c r="I436" s="698"/>
      <c r="L436" s="247"/>
    </row>
    <row r="437" spans="3:12" s="326" customFormat="1" ht="9.9499999999999993" customHeight="1" x14ac:dyDescent="0.2">
      <c r="C437" s="327"/>
      <c r="E437" s="327"/>
      <c r="G437" s="327"/>
      <c r="I437" s="698"/>
      <c r="L437" s="247"/>
    </row>
    <row r="438" spans="3:12" s="326" customFormat="1" ht="9.9499999999999993" customHeight="1" x14ac:dyDescent="0.2">
      <c r="C438" s="327"/>
      <c r="E438" s="327"/>
      <c r="G438" s="327"/>
      <c r="I438" s="698"/>
      <c r="L438" s="247"/>
    </row>
    <row r="439" spans="3:12" s="326" customFormat="1" ht="9.9499999999999993" customHeight="1" x14ac:dyDescent="0.2">
      <c r="C439" s="327"/>
      <c r="E439" s="327"/>
      <c r="G439" s="327"/>
      <c r="I439" s="698"/>
      <c r="L439" s="247"/>
    </row>
    <row r="440" spans="3:12" s="326" customFormat="1" ht="9.9499999999999993" customHeight="1" x14ac:dyDescent="0.2">
      <c r="C440" s="327"/>
      <c r="E440" s="327"/>
      <c r="G440" s="327"/>
      <c r="I440" s="698"/>
      <c r="L440" s="247"/>
    </row>
    <row r="441" spans="3:12" s="326" customFormat="1" ht="9.9499999999999993" customHeight="1" x14ac:dyDescent="0.2">
      <c r="C441" s="327"/>
      <c r="E441" s="327"/>
      <c r="G441" s="327"/>
      <c r="I441" s="698"/>
      <c r="L441" s="247"/>
    </row>
    <row r="442" spans="3:12" s="326" customFormat="1" ht="9.9499999999999993" customHeight="1" x14ac:dyDescent="0.2">
      <c r="C442" s="327"/>
      <c r="E442" s="327"/>
      <c r="G442" s="327"/>
      <c r="I442" s="698"/>
      <c r="L442" s="247"/>
    </row>
    <row r="443" spans="3:12" s="326" customFormat="1" ht="9.9499999999999993" customHeight="1" x14ac:dyDescent="0.2">
      <c r="C443" s="327"/>
      <c r="E443" s="327"/>
      <c r="G443" s="327"/>
      <c r="I443" s="698"/>
      <c r="L443" s="247"/>
    </row>
    <row r="444" spans="3:12" s="326" customFormat="1" ht="9.9499999999999993" customHeight="1" x14ac:dyDescent="0.2">
      <c r="C444" s="327"/>
      <c r="E444" s="327"/>
      <c r="G444" s="327"/>
      <c r="I444" s="698"/>
      <c r="L444" s="247"/>
    </row>
    <row r="445" spans="3:12" s="326" customFormat="1" ht="9.9499999999999993" customHeight="1" x14ac:dyDescent="0.2">
      <c r="C445" s="327"/>
      <c r="E445" s="327"/>
      <c r="G445" s="327"/>
      <c r="I445" s="698"/>
      <c r="L445" s="247"/>
    </row>
    <row r="446" spans="3:12" s="326" customFormat="1" ht="9.9499999999999993" customHeight="1" x14ac:dyDescent="0.2">
      <c r="C446" s="327"/>
      <c r="E446" s="327"/>
      <c r="G446" s="327"/>
      <c r="I446" s="698"/>
      <c r="L446" s="247"/>
    </row>
    <row r="447" spans="3:12" s="326" customFormat="1" ht="9.9499999999999993" customHeight="1" x14ac:dyDescent="0.2">
      <c r="C447" s="327"/>
      <c r="E447" s="327"/>
      <c r="G447" s="327"/>
      <c r="I447" s="698"/>
      <c r="L447" s="247"/>
    </row>
    <row r="448" spans="3:12" s="326" customFormat="1" ht="9.9499999999999993" customHeight="1" x14ac:dyDescent="0.2">
      <c r="C448" s="327"/>
      <c r="E448" s="327"/>
      <c r="G448" s="327"/>
      <c r="I448" s="698"/>
      <c r="L448" s="247"/>
    </row>
    <row r="449" spans="3:12" s="326" customFormat="1" ht="9.9499999999999993" customHeight="1" x14ac:dyDescent="0.2">
      <c r="C449" s="327"/>
      <c r="E449" s="327"/>
      <c r="G449" s="327"/>
      <c r="I449" s="698"/>
      <c r="L449" s="247"/>
    </row>
    <row r="450" spans="3:12" s="326" customFormat="1" ht="9.9499999999999993" customHeight="1" x14ac:dyDescent="0.2">
      <c r="C450" s="327"/>
      <c r="E450" s="327"/>
      <c r="G450" s="327"/>
      <c r="I450" s="698"/>
      <c r="L450" s="247"/>
    </row>
    <row r="451" spans="3:12" s="326" customFormat="1" ht="9.9499999999999993" customHeight="1" x14ac:dyDescent="0.2">
      <c r="C451" s="327"/>
      <c r="E451" s="327"/>
      <c r="G451" s="327"/>
      <c r="I451" s="698"/>
      <c r="L451" s="247"/>
    </row>
    <row r="452" spans="3:12" s="326" customFormat="1" ht="9.9499999999999993" customHeight="1" x14ac:dyDescent="0.2">
      <c r="C452" s="327"/>
      <c r="E452" s="327"/>
      <c r="G452" s="327"/>
      <c r="I452" s="698"/>
      <c r="L452" s="247"/>
    </row>
    <row r="453" spans="3:12" s="326" customFormat="1" ht="9.9499999999999993" customHeight="1" x14ac:dyDescent="0.2">
      <c r="C453" s="327"/>
      <c r="E453" s="327"/>
      <c r="G453" s="327"/>
      <c r="I453" s="698"/>
      <c r="L453" s="247"/>
    </row>
    <row r="454" spans="3:12" s="326" customFormat="1" ht="9.9499999999999993" customHeight="1" x14ac:dyDescent="0.2">
      <c r="C454" s="327"/>
      <c r="E454" s="327"/>
      <c r="G454" s="327"/>
      <c r="I454" s="698"/>
      <c r="L454" s="247"/>
    </row>
    <row r="455" spans="3:12" s="326" customFormat="1" ht="9.9499999999999993" customHeight="1" x14ac:dyDescent="0.2">
      <c r="C455" s="327"/>
      <c r="E455" s="327"/>
      <c r="G455" s="327"/>
      <c r="I455" s="698"/>
      <c r="L455" s="247"/>
    </row>
    <row r="456" spans="3:12" s="326" customFormat="1" ht="9.9499999999999993" customHeight="1" x14ac:dyDescent="0.2">
      <c r="C456" s="327"/>
      <c r="E456" s="327"/>
      <c r="G456" s="327"/>
      <c r="I456" s="698"/>
      <c r="L456" s="247"/>
    </row>
    <row r="457" spans="3:12" s="326" customFormat="1" ht="9.9499999999999993" customHeight="1" x14ac:dyDescent="0.2">
      <c r="C457" s="327"/>
      <c r="E457" s="327"/>
      <c r="G457" s="327"/>
      <c r="I457" s="698"/>
      <c r="L457" s="247"/>
    </row>
    <row r="458" spans="3:12" s="326" customFormat="1" ht="9.9499999999999993" customHeight="1" x14ac:dyDescent="0.2">
      <c r="C458" s="327"/>
      <c r="E458" s="327"/>
      <c r="G458" s="327"/>
      <c r="I458" s="698"/>
      <c r="L458" s="247"/>
    </row>
    <row r="459" spans="3:12" s="326" customFormat="1" ht="9.9499999999999993" customHeight="1" x14ac:dyDescent="0.2">
      <c r="C459" s="327"/>
      <c r="E459" s="327"/>
      <c r="G459" s="327"/>
      <c r="I459" s="698"/>
      <c r="L459" s="247"/>
    </row>
    <row r="460" spans="3:12" s="326" customFormat="1" ht="9.9499999999999993" customHeight="1" x14ac:dyDescent="0.2">
      <c r="C460" s="327"/>
      <c r="E460" s="327"/>
      <c r="G460" s="327"/>
      <c r="I460" s="698"/>
      <c r="L460" s="247"/>
    </row>
    <row r="461" spans="3:12" s="326" customFormat="1" ht="9.9499999999999993" customHeight="1" x14ac:dyDescent="0.2">
      <c r="C461" s="327"/>
      <c r="E461" s="327"/>
      <c r="G461" s="327"/>
      <c r="I461" s="698"/>
      <c r="L461" s="247"/>
    </row>
    <row r="462" spans="3:12" s="326" customFormat="1" ht="9.9499999999999993" customHeight="1" x14ac:dyDescent="0.2">
      <c r="C462" s="327"/>
      <c r="E462" s="327"/>
      <c r="G462" s="327"/>
      <c r="I462" s="698"/>
      <c r="L462" s="247"/>
    </row>
    <row r="463" spans="3:12" s="326" customFormat="1" ht="9.9499999999999993" customHeight="1" x14ac:dyDescent="0.2">
      <c r="C463" s="327"/>
      <c r="E463" s="327"/>
      <c r="G463" s="327"/>
      <c r="I463" s="698"/>
      <c r="L463" s="247"/>
    </row>
    <row r="464" spans="3:12" s="326" customFormat="1" ht="9.9499999999999993" customHeight="1" x14ac:dyDescent="0.2">
      <c r="C464" s="327"/>
      <c r="E464" s="327"/>
      <c r="G464" s="327"/>
      <c r="I464" s="698"/>
      <c r="L464" s="247"/>
    </row>
    <row r="465" spans="3:12" s="326" customFormat="1" ht="9.9499999999999993" customHeight="1" x14ac:dyDescent="0.2">
      <c r="C465" s="327"/>
      <c r="E465" s="327"/>
      <c r="G465" s="327"/>
      <c r="I465" s="698"/>
      <c r="L465" s="247"/>
    </row>
    <row r="466" spans="3:12" s="326" customFormat="1" ht="9.9499999999999993" customHeight="1" x14ac:dyDescent="0.2">
      <c r="C466" s="327"/>
      <c r="E466" s="327"/>
      <c r="G466" s="327"/>
      <c r="I466" s="698"/>
      <c r="L466" s="247"/>
    </row>
    <row r="467" spans="3:12" s="326" customFormat="1" ht="9.9499999999999993" customHeight="1" x14ac:dyDescent="0.2">
      <c r="C467" s="327"/>
      <c r="E467" s="327"/>
      <c r="G467" s="327"/>
      <c r="I467" s="698"/>
      <c r="L467" s="247"/>
    </row>
    <row r="468" spans="3:12" s="326" customFormat="1" ht="9.9499999999999993" customHeight="1" x14ac:dyDescent="0.2">
      <c r="C468" s="327"/>
      <c r="E468" s="327"/>
      <c r="G468" s="327"/>
      <c r="I468" s="698"/>
      <c r="L468" s="247"/>
    </row>
    <row r="469" spans="3:12" s="326" customFormat="1" ht="9.9499999999999993" customHeight="1" x14ac:dyDescent="0.2">
      <c r="C469" s="327"/>
      <c r="E469" s="327"/>
      <c r="G469" s="327"/>
      <c r="I469" s="698"/>
      <c r="L469" s="247"/>
    </row>
    <row r="470" spans="3:12" s="326" customFormat="1" ht="9.9499999999999993" customHeight="1" x14ac:dyDescent="0.2">
      <c r="C470" s="327"/>
      <c r="E470" s="327"/>
      <c r="G470" s="327"/>
      <c r="I470" s="698"/>
      <c r="L470" s="247"/>
    </row>
    <row r="471" spans="3:12" s="326" customFormat="1" ht="9.9499999999999993" customHeight="1" x14ac:dyDescent="0.2">
      <c r="C471" s="327"/>
      <c r="E471" s="327"/>
      <c r="G471" s="327"/>
      <c r="I471" s="698"/>
      <c r="L471" s="247"/>
    </row>
    <row r="472" spans="3:12" s="326" customFormat="1" ht="9.9499999999999993" customHeight="1" x14ac:dyDescent="0.2">
      <c r="C472" s="327"/>
      <c r="E472" s="327"/>
      <c r="G472" s="327"/>
      <c r="I472" s="698"/>
      <c r="L472" s="247"/>
    </row>
    <row r="473" spans="3:12" s="326" customFormat="1" ht="9.9499999999999993" customHeight="1" x14ac:dyDescent="0.2">
      <c r="C473" s="327"/>
      <c r="E473" s="327"/>
      <c r="G473" s="327"/>
      <c r="I473" s="698"/>
      <c r="L473" s="247"/>
    </row>
    <row r="474" spans="3:12" s="326" customFormat="1" ht="9.9499999999999993" customHeight="1" x14ac:dyDescent="0.2">
      <c r="C474" s="327"/>
      <c r="E474" s="327"/>
      <c r="G474" s="327"/>
      <c r="I474" s="698"/>
      <c r="L474" s="247"/>
    </row>
    <row r="475" spans="3:12" s="326" customFormat="1" ht="9.9499999999999993" customHeight="1" x14ac:dyDescent="0.2">
      <c r="C475" s="327"/>
      <c r="E475" s="327"/>
      <c r="G475" s="327"/>
      <c r="I475" s="698"/>
      <c r="L475" s="247"/>
    </row>
    <row r="476" spans="3:12" s="326" customFormat="1" ht="9.9499999999999993" customHeight="1" x14ac:dyDescent="0.2">
      <c r="C476" s="327"/>
      <c r="E476" s="327"/>
      <c r="G476" s="327"/>
      <c r="I476" s="698"/>
      <c r="L476" s="247"/>
    </row>
    <row r="477" spans="3:12" s="326" customFormat="1" ht="9.9499999999999993" customHeight="1" x14ac:dyDescent="0.2">
      <c r="C477" s="327"/>
      <c r="E477" s="327"/>
      <c r="G477" s="327"/>
      <c r="I477" s="698"/>
      <c r="L477" s="247"/>
    </row>
    <row r="478" spans="3:12" s="326" customFormat="1" ht="9.9499999999999993" customHeight="1" x14ac:dyDescent="0.2">
      <c r="C478" s="327"/>
      <c r="E478" s="327"/>
      <c r="G478" s="327"/>
      <c r="I478" s="698"/>
      <c r="L478" s="247"/>
    </row>
    <row r="479" spans="3:12" s="326" customFormat="1" ht="9.9499999999999993" customHeight="1" x14ac:dyDescent="0.2">
      <c r="C479" s="327"/>
      <c r="E479" s="327"/>
      <c r="G479" s="327"/>
      <c r="I479" s="698"/>
      <c r="L479" s="247"/>
    </row>
    <row r="480" spans="3:12" s="326" customFormat="1" ht="9.9499999999999993" customHeight="1" x14ac:dyDescent="0.2">
      <c r="C480" s="327"/>
      <c r="E480" s="327"/>
      <c r="G480" s="327"/>
      <c r="I480" s="698"/>
      <c r="L480" s="247"/>
    </row>
    <row r="481" spans="3:12" s="326" customFormat="1" ht="9.9499999999999993" customHeight="1" x14ac:dyDescent="0.2">
      <c r="C481" s="327"/>
      <c r="E481" s="327"/>
      <c r="G481" s="327"/>
      <c r="I481" s="698"/>
      <c r="L481" s="247"/>
    </row>
    <row r="482" spans="3:12" s="326" customFormat="1" ht="9.9499999999999993" customHeight="1" x14ac:dyDescent="0.2">
      <c r="C482" s="327"/>
      <c r="E482" s="327"/>
      <c r="G482" s="327"/>
      <c r="I482" s="698"/>
      <c r="L482" s="247"/>
    </row>
    <row r="483" spans="3:12" s="326" customFormat="1" ht="9.9499999999999993" customHeight="1" x14ac:dyDescent="0.2">
      <c r="C483" s="327"/>
      <c r="E483" s="327"/>
      <c r="G483" s="327"/>
      <c r="I483" s="698"/>
      <c r="L483" s="247"/>
    </row>
    <row r="484" spans="3:12" s="326" customFormat="1" ht="9.9499999999999993" customHeight="1" x14ac:dyDescent="0.2">
      <c r="C484" s="327"/>
      <c r="E484" s="327"/>
      <c r="G484" s="327"/>
      <c r="I484" s="698"/>
      <c r="L484" s="247"/>
    </row>
    <row r="485" spans="3:12" s="326" customFormat="1" ht="9.9499999999999993" customHeight="1" x14ac:dyDescent="0.2">
      <c r="C485" s="327"/>
      <c r="E485" s="327"/>
      <c r="G485" s="327"/>
      <c r="I485" s="698"/>
      <c r="L485" s="247"/>
    </row>
    <row r="486" spans="3:12" s="326" customFormat="1" ht="9.9499999999999993" customHeight="1" x14ac:dyDescent="0.2">
      <c r="C486" s="327"/>
      <c r="E486" s="327"/>
      <c r="G486" s="327"/>
      <c r="I486" s="698"/>
      <c r="L486" s="247"/>
    </row>
    <row r="487" spans="3:12" s="326" customFormat="1" ht="9.9499999999999993" customHeight="1" x14ac:dyDescent="0.2">
      <c r="C487" s="327"/>
      <c r="E487" s="327"/>
      <c r="G487" s="327"/>
      <c r="I487" s="698"/>
      <c r="L487" s="247"/>
    </row>
    <row r="488" spans="3:12" s="326" customFormat="1" ht="9.9499999999999993" customHeight="1" x14ac:dyDescent="0.2">
      <c r="C488" s="327"/>
      <c r="E488" s="327"/>
      <c r="G488" s="327"/>
      <c r="I488" s="698"/>
      <c r="L488" s="247"/>
    </row>
    <row r="489" spans="3:12" s="326" customFormat="1" ht="9.9499999999999993" customHeight="1" x14ac:dyDescent="0.2">
      <c r="C489" s="327"/>
      <c r="E489" s="327"/>
      <c r="G489" s="327"/>
      <c r="I489" s="698"/>
      <c r="L489" s="247"/>
    </row>
    <row r="490" spans="3:12" s="326" customFormat="1" ht="9.9499999999999993" customHeight="1" x14ac:dyDescent="0.2">
      <c r="C490" s="327"/>
      <c r="E490" s="327"/>
      <c r="G490" s="327"/>
      <c r="I490" s="698"/>
      <c r="L490" s="247"/>
    </row>
    <row r="491" spans="3:12" s="326" customFormat="1" ht="9.9499999999999993" customHeight="1" x14ac:dyDescent="0.2">
      <c r="C491" s="327"/>
      <c r="E491" s="327"/>
      <c r="G491" s="327"/>
      <c r="I491" s="698"/>
      <c r="L491" s="247"/>
    </row>
    <row r="492" spans="3:12" s="326" customFormat="1" ht="9.9499999999999993" customHeight="1" x14ac:dyDescent="0.2">
      <c r="C492" s="327"/>
      <c r="E492" s="327"/>
      <c r="G492" s="327"/>
      <c r="I492" s="698"/>
      <c r="L492" s="247"/>
    </row>
    <row r="493" spans="3:12" s="326" customFormat="1" ht="9.9499999999999993" customHeight="1" x14ac:dyDescent="0.2">
      <c r="C493" s="327"/>
      <c r="E493" s="327"/>
      <c r="G493" s="327"/>
      <c r="I493" s="698"/>
      <c r="L493" s="247"/>
    </row>
    <row r="494" spans="3:12" s="326" customFormat="1" ht="9.9499999999999993" customHeight="1" x14ac:dyDescent="0.2">
      <c r="C494" s="327"/>
      <c r="E494" s="327"/>
      <c r="G494" s="327"/>
      <c r="I494" s="698"/>
      <c r="L494" s="247"/>
    </row>
    <row r="495" spans="3:12" s="326" customFormat="1" ht="9.9499999999999993" customHeight="1" x14ac:dyDescent="0.2">
      <c r="C495" s="327"/>
      <c r="E495" s="327"/>
      <c r="G495" s="327"/>
      <c r="I495" s="698"/>
      <c r="L495" s="247"/>
    </row>
    <row r="496" spans="3:12" s="326" customFormat="1" ht="9.9499999999999993" customHeight="1" x14ac:dyDescent="0.2">
      <c r="C496" s="327"/>
      <c r="E496" s="327"/>
      <c r="G496" s="327"/>
      <c r="I496" s="698"/>
      <c r="L496" s="247"/>
    </row>
    <row r="497" spans="3:12" s="326" customFormat="1" ht="9.9499999999999993" customHeight="1" x14ac:dyDescent="0.2">
      <c r="C497" s="327"/>
      <c r="E497" s="327"/>
      <c r="G497" s="327"/>
      <c r="I497" s="698"/>
      <c r="L497" s="247"/>
    </row>
    <row r="498" spans="3:12" s="326" customFormat="1" ht="9.9499999999999993" customHeight="1" x14ac:dyDescent="0.2">
      <c r="C498" s="327"/>
      <c r="E498" s="327"/>
      <c r="G498" s="327"/>
      <c r="I498" s="698"/>
      <c r="L498" s="247"/>
    </row>
    <row r="499" spans="3:12" s="326" customFormat="1" ht="9.9499999999999993" customHeight="1" x14ac:dyDescent="0.2">
      <c r="C499" s="327"/>
      <c r="E499" s="327"/>
      <c r="G499" s="327"/>
      <c r="I499" s="698"/>
      <c r="L499" s="247"/>
    </row>
    <row r="500" spans="3:12" s="326" customFormat="1" ht="9.9499999999999993" customHeight="1" x14ac:dyDescent="0.2">
      <c r="C500" s="327"/>
      <c r="E500" s="327"/>
      <c r="G500" s="327"/>
      <c r="I500" s="698"/>
      <c r="L500" s="247"/>
    </row>
    <row r="501" spans="3:12" s="326" customFormat="1" ht="9.9499999999999993" customHeight="1" x14ac:dyDescent="0.2">
      <c r="C501" s="327"/>
      <c r="E501" s="327"/>
      <c r="G501" s="327"/>
      <c r="I501" s="698"/>
      <c r="L501" s="247"/>
    </row>
    <row r="502" spans="3:12" s="326" customFormat="1" ht="9.9499999999999993" customHeight="1" x14ac:dyDescent="0.2">
      <c r="C502" s="327"/>
      <c r="E502" s="327"/>
      <c r="G502" s="327"/>
      <c r="I502" s="698"/>
      <c r="L502" s="247"/>
    </row>
    <row r="503" spans="3:12" s="326" customFormat="1" ht="9.9499999999999993" customHeight="1" x14ac:dyDescent="0.2">
      <c r="C503" s="327"/>
      <c r="E503" s="327"/>
      <c r="G503" s="327"/>
      <c r="I503" s="698"/>
      <c r="L503" s="247"/>
    </row>
    <row r="504" spans="3:12" s="326" customFormat="1" ht="9.9499999999999993" customHeight="1" x14ac:dyDescent="0.2">
      <c r="C504" s="327"/>
      <c r="E504" s="327"/>
      <c r="G504" s="327"/>
      <c r="I504" s="698"/>
      <c r="L504" s="247"/>
    </row>
    <row r="505" spans="3:12" s="326" customFormat="1" ht="9.9499999999999993" customHeight="1" x14ac:dyDescent="0.2">
      <c r="C505" s="327"/>
      <c r="E505" s="327"/>
      <c r="G505" s="327"/>
      <c r="I505" s="698"/>
      <c r="L505" s="247"/>
    </row>
    <row r="506" spans="3:12" s="326" customFormat="1" ht="9.9499999999999993" customHeight="1" x14ac:dyDescent="0.2">
      <c r="C506" s="327"/>
      <c r="E506" s="327"/>
      <c r="G506" s="327"/>
      <c r="I506" s="698"/>
      <c r="L506" s="247"/>
    </row>
    <row r="507" spans="3:12" s="326" customFormat="1" ht="9.9499999999999993" customHeight="1" x14ac:dyDescent="0.2">
      <c r="C507" s="327"/>
      <c r="E507" s="327"/>
      <c r="G507" s="327"/>
      <c r="I507" s="698"/>
      <c r="L507" s="247"/>
    </row>
    <row r="508" spans="3:12" s="326" customFormat="1" ht="9.9499999999999993" customHeight="1" x14ac:dyDescent="0.2">
      <c r="C508" s="327"/>
      <c r="E508" s="327"/>
      <c r="G508" s="327"/>
      <c r="I508" s="698"/>
      <c r="L508" s="247"/>
    </row>
    <row r="509" spans="3:12" s="326" customFormat="1" ht="9.9499999999999993" customHeight="1" x14ac:dyDescent="0.2">
      <c r="C509" s="327"/>
      <c r="E509" s="327"/>
      <c r="G509" s="327"/>
      <c r="I509" s="698"/>
      <c r="L509" s="247"/>
    </row>
    <row r="510" spans="3:12" s="326" customFormat="1" ht="9.9499999999999993" customHeight="1" x14ac:dyDescent="0.2">
      <c r="C510" s="327"/>
      <c r="E510" s="327"/>
      <c r="G510" s="327"/>
      <c r="I510" s="698"/>
      <c r="L510" s="247"/>
    </row>
    <row r="511" spans="3:12" s="326" customFormat="1" ht="9.9499999999999993" customHeight="1" x14ac:dyDescent="0.2">
      <c r="C511" s="327"/>
      <c r="E511" s="327"/>
      <c r="G511" s="327"/>
      <c r="I511" s="698"/>
      <c r="L511" s="247"/>
    </row>
    <row r="512" spans="3:12" s="326" customFormat="1" ht="9.9499999999999993" customHeight="1" x14ac:dyDescent="0.2">
      <c r="C512" s="327"/>
      <c r="E512" s="327"/>
      <c r="G512" s="327"/>
      <c r="I512" s="698"/>
      <c r="L512" s="247"/>
    </row>
    <row r="513" spans="3:12" s="326" customFormat="1" ht="9.9499999999999993" customHeight="1" x14ac:dyDescent="0.2">
      <c r="C513" s="327"/>
      <c r="E513" s="327"/>
      <c r="G513" s="327"/>
      <c r="I513" s="698"/>
      <c r="L513" s="247"/>
    </row>
    <row r="514" spans="3:12" s="326" customFormat="1" ht="9.9499999999999993" customHeight="1" x14ac:dyDescent="0.2">
      <c r="C514" s="327"/>
      <c r="E514" s="327"/>
      <c r="G514" s="327"/>
      <c r="I514" s="698"/>
      <c r="L514" s="247"/>
    </row>
    <row r="515" spans="3:12" s="326" customFormat="1" ht="9.9499999999999993" customHeight="1" x14ac:dyDescent="0.2">
      <c r="C515" s="327"/>
      <c r="E515" s="327"/>
      <c r="G515" s="327"/>
      <c r="I515" s="698"/>
      <c r="L515" s="247"/>
    </row>
    <row r="516" spans="3:12" s="326" customFormat="1" ht="9.9499999999999993" customHeight="1" x14ac:dyDescent="0.2">
      <c r="C516" s="327"/>
      <c r="E516" s="327"/>
      <c r="G516" s="327"/>
      <c r="I516" s="698"/>
      <c r="L516" s="247"/>
    </row>
    <row r="517" spans="3:12" s="326" customFormat="1" ht="9.9499999999999993" customHeight="1" x14ac:dyDescent="0.2">
      <c r="C517" s="327"/>
      <c r="E517" s="327"/>
      <c r="G517" s="327"/>
      <c r="I517" s="698"/>
      <c r="L517" s="247"/>
    </row>
    <row r="518" spans="3:12" s="326" customFormat="1" ht="9.9499999999999993" customHeight="1" x14ac:dyDescent="0.2">
      <c r="C518" s="327"/>
      <c r="E518" s="327"/>
      <c r="G518" s="327"/>
      <c r="I518" s="698"/>
      <c r="L518" s="247"/>
    </row>
    <row r="519" spans="3:12" s="326" customFormat="1" ht="9.9499999999999993" customHeight="1" x14ac:dyDescent="0.2">
      <c r="C519" s="327"/>
      <c r="E519" s="327"/>
      <c r="G519" s="327"/>
      <c r="I519" s="698"/>
      <c r="L519" s="247"/>
    </row>
    <row r="520" spans="3:12" s="326" customFormat="1" ht="9.9499999999999993" customHeight="1" x14ac:dyDescent="0.2">
      <c r="C520" s="327"/>
      <c r="E520" s="327"/>
      <c r="G520" s="327"/>
      <c r="I520" s="698"/>
      <c r="L520" s="247"/>
    </row>
    <row r="521" spans="3:12" s="326" customFormat="1" ht="9.9499999999999993" customHeight="1" x14ac:dyDescent="0.2">
      <c r="C521" s="327"/>
      <c r="E521" s="327"/>
      <c r="G521" s="327"/>
      <c r="I521" s="698"/>
      <c r="L521" s="247"/>
    </row>
    <row r="522" spans="3:12" s="326" customFormat="1" ht="9.9499999999999993" customHeight="1" x14ac:dyDescent="0.2">
      <c r="C522" s="327"/>
      <c r="E522" s="327"/>
      <c r="G522" s="327"/>
      <c r="I522" s="698"/>
      <c r="L522" s="247"/>
    </row>
    <row r="523" spans="3:12" s="326" customFormat="1" ht="9.9499999999999993" customHeight="1" x14ac:dyDescent="0.2">
      <c r="C523" s="327"/>
      <c r="E523" s="327"/>
      <c r="G523" s="327"/>
      <c r="I523" s="698"/>
      <c r="L523" s="247"/>
    </row>
    <row r="524" spans="3:12" s="326" customFormat="1" ht="9.9499999999999993" customHeight="1" x14ac:dyDescent="0.2">
      <c r="C524" s="327"/>
      <c r="E524" s="327"/>
      <c r="G524" s="327"/>
      <c r="I524" s="698"/>
      <c r="L524" s="247"/>
    </row>
    <row r="525" spans="3:12" s="326" customFormat="1" ht="9.9499999999999993" customHeight="1" x14ac:dyDescent="0.2">
      <c r="C525" s="327"/>
      <c r="E525" s="327"/>
      <c r="G525" s="327"/>
      <c r="I525" s="698"/>
      <c r="L525" s="247"/>
    </row>
    <row r="526" spans="3:12" s="326" customFormat="1" ht="9.9499999999999993" customHeight="1" x14ac:dyDescent="0.2">
      <c r="C526" s="327"/>
      <c r="E526" s="327"/>
      <c r="G526" s="327"/>
      <c r="I526" s="698"/>
      <c r="L526" s="247"/>
    </row>
    <row r="527" spans="3:12" s="326" customFormat="1" ht="9.9499999999999993" customHeight="1" x14ac:dyDescent="0.2">
      <c r="C527" s="327"/>
      <c r="E527" s="327"/>
      <c r="G527" s="327"/>
      <c r="I527" s="698"/>
      <c r="L527" s="247"/>
    </row>
    <row r="528" spans="3:12" s="326" customFormat="1" ht="9.9499999999999993" customHeight="1" x14ac:dyDescent="0.2">
      <c r="C528" s="327"/>
      <c r="E528" s="327"/>
      <c r="G528" s="327"/>
      <c r="I528" s="698"/>
      <c r="L528" s="247"/>
    </row>
    <row r="529" spans="3:12" s="326" customFormat="1" ht="9.9499999999999993" customHeight="1" x14ac:dyDescent="0.2">
      <c r="C529" s="327"/>
      <c r="E529" s="327"/>
      <c r="G529" s="327"/>
      <c r="I529" s="698"/>
      <c r="L529" s="247"/>
    </row>
    <row r="530" spans="3:12" s="326" customFormat="1" ht="9.9499999999999993" customHeight="1" x14ac:dyDescent="0.2">
      <c r="C530" s="327"/>
      <c r="E530" s="327"/>
      <c r="G530" s="327"/>
      <c r="I530" s="698"/>
      <c r="L530" s="247"/>
    </row>
    <row r="531" spans="3:12" s="326" customFormat="1" ht="9.9499999999999993" customHeight="1" x14ac:dyDescent="0.2">
      <c r="C531" s="327"/>
      <c r="E531" s="327"/>
      <c r="G531" s="327"/>
      <c r="I531" s="698"/>
      <c r="L531" s="247"/>
    </row>
    <row r="532" spans="3:12" s="326" customFormat="1" ht="9.9499999999999993" customHeight="1" x14ac:dyDescent="0.2">
      <c r="C532" s="327"/>
      <c r="E532" s="327"/>
      <c r="G532" s="327"/>
      <c r="I532" s="698"/>
      <c r="L532" s="247"/>
    </row>
    <row r="533" spans="3:12" s="326" customFormat="1" ht="9.9499999999999993" customHeight="1" x14ac:dyDescent="0.2">
      <c r="C533" s="327"/>
      <c r="E533" s="327"/>
      <c r="G533" s="327"/>
      <c r="I533" s="698"/>
      <c r="L533" s="247"/>
    </row>
    <row r="534" spans="3:12" s="326" customFormat="1" ht="9.9499999999999993" customHeight="1" x14ac:dyDescent="0.2">
      <c r="C534" s="327"/>
      <c r="E534" s="327"/>
      <c r="G534" s="327"/>
      <c r="I534" s="698"/>
      <c r="L534" s="247"/>
    </row>
    <row r="535" spans="3:12" s="326" customFormat="1" ht="9.9499999999999993" customHeight="1" x14ac:dyDescent="0.2">
      <c r="C535" s="327"/>
      <c r="E535" s="327"/>
      <c r="G535" s="327"/>
      <c r="I535" s="698"/>
      <c r="L535" s="247"/>
    </row>
    <row r="536" spans="3:12" s="326" customFormat="1" ht="9.9499999999999993" customHeight="1" x14ac:dyDescent="0.2">
      <c r="C536" s="327"/>
      <c r="E536" s="327"/>
      <c r="G536" s="327"/>
      <c r="I536" s="698"/>
      <c r="L536" s="247"/>
    </row>
    <row r="537" spans="3:12" s="326" customFormat="1" ht="9.9499999999999993" customHeight="1" x14ac:dyDescent="0.2">
      <c r="C537" s="327"/>
      <c r="E537" s="327"/>
      <c r="G537" s="327"/>
      <c r="I537" s="698"/>
      <c r="L537" s="247"/>
    </row>
    <row r="538" spans="3:12" s="326" customFormat="1" ht="9.9499999999999993" customHeight="1" x14ac:dyDescent="0.2">
      <c r="C538" s="327"/>
      <c r="E538" s="327"/>
      <c r="G538" s="327"/>
      <c r="I538" s="698"/>
      <c r="L538" s="247"/>
    </row>
    <row r="539" spans="3:12" s="326" customFormat="1" ht="9.9499999999999993" customHeight="1" x14ac:dyDescent="0.2">
      <c r="C539" s="327"/>
      <c r="E539" s="327"/>
      <c r="G539" s="327"/>
      <c r="I539" s="698"/>
      <c r="L539" s="247"/>
    </row>
    <row r="540" spans="3:12" s="326" customFormat="1" ht="9.9499999999999993" customHeight="1" x14ac:dyDescent="0.2">
      <c r="C540" s="327"/>
      <c r="E540" s="327"/>
      <c r="G540" s="327"/>
      <c r="I540" s="698"/>
      <c r="L540" s="247"/>
    </row>
    <row r="541" spans="3:12" s="326" customFormat="1" ht="9.9499999999999993" customHeight="1" x14ac:dyDescent="0.2">
      <c r="C541" s="327"/>
      <c r="E541" s="327"/>
      <c r="G541" s="327"/>
      <c r="I541" s="698"/>
      <c r="L541" s="247"/>
    </row>
    <row r="542" spans="3:12" s="326" customFormat="1" ht="9.9499999999999993" customHeight="1" x14ac:dyDescent="0.2">
      <c r="C542" s="327"/>
      <c r="E542" s="327"/>
      <c r="G542" s="327"/>
      <c r="I542" s="698"/>
      <c r="L542" s="247"/>
    </row>
    <row r="543" spans="3:12" s="326" customFormat="1" ht="9.9499999999999993" customHeight="1" x14ac:dyDescent="0.2">
      <c r="C543" s="327"/>
      <c r="E543" s="327"/>
      <c r="G543" s="327"/>
      <c r="I543" s="698"/>
      <c r="L543" s="247"/>
    </row>
    <row r="544" spans="3:12" s="326" customFormat="1" ht="9.9499999999999993" customHeight="1" x14ac:dyDescent="0.2">
      <c r="C544" s="327"/>
      <c r="E544" s="327"/>
      <c r="G544" s="327"/>
      <c r="I544" s="698"/>
      <c r="L544" s="247"/>
    </row>
    <row r="545" spans="3:12" s="326" customFormat="1" ht="9.9499999999999993" customHeight="1" x14ac:dyDescent="0.2">
      <c r="C545" s="327"/>
      <c r="E545" s="327"/>
      <c r="G545" s="327"/>
      <c r="I545" s="698"/>
      <c r="L545" s="247"/>
    </row>
    <row r="546" spans="3:12" s="326" customFormat="1" ht="9.9499999999999993" customHeight="1" x14ac:dyDescent="0.2">
      <c r="C546" s="327"/>
      <c r="E546" s="327"/>
      <c r="G546" s="327"/>
      <c r="I546" s="698"/>
      <c r="L546" s="247"/>
    </row>
    <row r="547" spans="3:12" s="326" customFormat="1" ht="9.9499999999999993" customHeight="1" x14ac:dyDescent="0.2">
      <c r="C547" s="327"/>
      <c r="E547" s="327"/>
      <c r="G547" s="327"/>
      <c r="I547" s="698"/>
      <c r="L547" s="247"/>
    </row>
    <row r="548" spans="3:12" s="326" customFormat="1" ht="9.9499999999999993" customHeight="1" x14ac:dyDescent="0.2">
      <c r="C548" s="327"/>
      <c r="E548" s="327"/>
      <c r="G548" s="327"/>
      <c r="I548" s="698"/>
      <c r="L548" s="247"/>
    </row>
    <row r="549" spans="3:12" s="326" customFormat="1" ht="9.9499999999999993" customHeight="1" x14ac:dyDescent="0.2">
      <c r="C549" s="327"/>
      <c r="E549" s="327"/>
      <c r="G549" s="327"/>
      <c r="I549" s="698"/>
      <c r="L549" s="247"/>
    </row>
    <row r="550" spans="3:12" s="326" customFormat="1" ht="9.9499999999999993" customHeight="1" x14ac:dyDescent="0.2">
      <c r="C550" s="327"/>
      <c r="E550" s="327"/>
      <c r="G550" s="327"/>
      <c r="I550" s="698"/>
      <c r="L550" s="247"/>
    </row>
    <row r="551" spans="3:12" s="326" customFormat="1" ht="9.9499999999999993" customHeight="1" x14ac:dyDescent="0.2">
      <c r="C551" s="327"/>
      <c r="E551" s="327"/>
      <c r="G551" s="327"/>
      <c r="I551" s="698"/>
      <c r="L551" s="247"/>
    </row>
    <row r="552" spans="3:12" s="326" customFormat="1" ht="9.9499999999999993" customHeight="1" x14ac:dyDescent="0.2">
      <c r="C552" s="327"/>
      <c r="E552" s="327"/>
      <c r="G552" s="327"/>
      <c r="I552" s="698"/>
      <c r="L552" s="247"/>
    </row>
    <row r="553" spans="3:12" s="326" customFormat="1" ht="9.9499999999999993" customHeight="1" x14ac:dyDescent="0.2">
      <c r="C553" s="327"/>
      <c r="E553" s="327"/>
      <c r="G553" s="327"/>
      <c r="I553" s="698"/>
      <c r="L553" s="247"/>
    </row>
    <row r="554" spans="3:12" s="326" customFormat="1" ht="9.9499999999999993" customHeight="1" x14ac:dyDescent="0.2">
      <c r="C554" s="327"/>
      <c r="E554" s="327"/>
      <c r="G554" s="327"/>
      <c r="I554" s="698"/>
      <c r="L554" s="247"/>
    </row>
    <row r="555" spans="3:12" s="326" customFormat="1" ht="9.9499999999999993" customHeight="1" x14ac:dyDescent="0.2">
      <c r="C555" s="327"/>
      <c r="E555" s="327"/>
      <c r="G555" s="327"/>
      <c r="I555" s="698"/>
      <c r="L555" s="247"/>
    </row>
    <row r="556" spans="3:12" s="326" customFormat="1" ht="9.9499999999999993" customHeight="1" x14ac:dyDescent="0.2">
      <c r="C556" s="327"/>
      <c r="E556" s="327"/>
      <c r="G556" s="327"/>
      <c r="I556" s="698"/>
      <c r="L556" s="247"/>
    </row>
    <row r="557" spans="3:12" s="326" customFormat="1" ht="9.9499999999999993" customHeight="1" x14ac:dyDescent="0.2">
      <c r="C557" s="327"/>
      <c r="E557" s="327"/>
      <c r="G557" s="327"/>
      <c r="I557" s="698"/>
      <c r="L557" s="247"/>
    </row>
    <row r="558" spans="3:12" s="326" customFormat="1" ht="9.9499999999999993" customHeight="1" x14ac:dyDescent="0.2">
      <c r="C558" s="327"/>
      <c r="E558" s="327"/>
      <c r="G558" s="327"/>
      <c r="I558" s="698"/>
      <c r="L558" s="247"/>
    </row>
    <row r="559" spans="3:12" s="326" customFormat="1" ht="9.9499999999999993" customHeight="1" x14ac:dyDescent="0.2">
      <c r="C559" s="327"/>
      <c r="E559" s="327"/>
      <c r="G559" s="327"/>
      <c r="I559" s="698"/>
      <c r="L559" s="247"/>
    </row>
    <row r="560" spans="3:12" s="326" customFormat="1" ht="9.9499999999999993" customHeight="1" x14ac:dyDescent="0.2">
      <c r="C560" s="327"/>
      <c r="E560" s="327"/>
      <c r="G560" s="327"/>
      <c r="I560" s="698"/>
      <c r="L560" s="247"/>
    </row>
    <row r="561" spans="3:12" s="326" customFormat="1" ht="9.9499999999999993" customHeight="1" x14ac:dyDescent="0.2">
      <c r="C561" s="327"/>
      <c r="E561" s="327"/>
      <c r="G561" s="327"/>
      <c r="I561" s="698"/>
      <c r="L561" s="247"/>
    </row>
    <row r="562" spans="3:12" s="326" customFormat="1" ht="9.9499999999999993" customHeight="1" x14ac:dyDescent="0.2">
      <c r="C562" s="327"/>
      <c r="E562" s="327"/>
      <c r="G562" s="327"/>
      <c r="I562" s="698"/>
      <c r="L562" s="247"/>
    </row>
    <row r="563" spans="3:12" s="326" customFormat="1" ht="9.9499999999999993" customHeight="1" x14ac:dyDescent="0.2">
      <c r="C563" s="327"/>
      <c r="E563" s="327"/>
      <c r="G563" s="327"/>
      <c r="I563" s="698"/>
      <c r="L563" s="247"/>
    </row>
    <row r="564" spans="3:12" s="326" customFormat="1" ht="9.9499999999999993" customHeight="1" x14ac:dyDescent="0.2">
      <c r="C564" s="327"/>
      <c r="E564" s="327"/>
      <c r="G564" s="327"/>
      <c r="I564" s="698"/>
      <c r="L564" s="247"/>
    </row>
    <row r="565" spans="3:12" s="326" customFormat="1" ht="9.9499999999999993" customHeight="1" x14ac:dyDescent="0.2">
      <c r="C565" s="327"/>
      <c r="E565" s="327"/>
      <c r="G565" s="327"/>
      <c r="I565" s="698"/>
      <c r="L565" s="247"/>
    </row>
    <row r="566" spans="3:12" s="326" customFormat="1" ht="9.9499999999999993" customHeight="1" x14ac:dyDescent="0.2">
      <c r="C566" s="327"/>
      <c r="E566" s="327"/>
      <c r="G566" s="327"/>
      <c r="I566" s="698"/>
      <c r="L566" s="247"/>
    </row>
    <row r="567" spans="3:12" s="326" customFormat="1" ht="9.9499999999999993" customHeight="1" x14ac:dyDescent="0.2">
      <c r="C567" s="327"/>
      <c r="E567" s="327"/>
      <c r="G567" s="327"/>
      <c r="I567" s="698"/>
      <c r="L567" s="247"/>
    </row>
    <row r="568" spans="3:12" s="326" customFormat="1" ht="9.9499999999999993" customHeight="1" x14ac:dyDescent="0.2">
      <c r="C568" s="327"/>
      <c r="E568" s="327"/>
      <c r="G568" s="327"/>
      <c r="I568" s="698"/>
      <c r="L568" s="247"/>
    </row>
    <row r="569" spans="3:12" s="326" customFormat="1" ht="9.9499999999999993" customHeight="1" x14ac:dyDescent="0.2">
      <c r="C569" s="327"/>
      <c r="E569" s="327"/>
      <c r="G569" s="327"/>
      <c r="I569" s="698"/>
      <c r="L569" s="247"/>
    </row>
    <row r="570" spans="3:12" s="326" customFormat="1" ht="9.9499999999999993" customHeight="1" x14ac:dyDescent="0.2">
      <c r="C570" s="327"/>
      <c r="E570" s="327"/>
      <c r="G570" s="327"/>
      <c r="I570" s="698"/>
      <c r="L570" s="247"/>
    </row>
    <row r="571" spans="3:12" s="326" customFormat="1" ht="9.9499999999999993" customHeight="1" x14ac:dyDescent="0.2">
      <c r="C571" s="327"/>
      <c r="E571" s="327"/>
      <c r="G571" s="327"/>
      <c r="I571" s="698"/>
      <c r="L571" s="247"/>
    </row>
    <row r="572" spans="3:12" s="326" customFormat="1" ht="9.9499999999999993" customHeight="1" x14ac:dyDescent="0.2">
      <c r="C572" s="327"/>
      <c r="E572" s="327"/>
      <c r="G572" s="327"/>
      <c r="I572" s="698"/>
      <c r="L572" s="247"/>
    </row>
    <row r="573" spans="3:12" s="326" customFormat="1" ht="9.9499999999999993" customHeight="1" x14ac:dyDescent="0.2">
      <c r="C573" s="327"/>
      <c r="E573" s="327"/>
      <c r="G573" s="327"/>
      <c r="I573" s="698"/>
      <c r="L573" s="247"/>
    </row>
    <row r="574" spans="3:12" s="326" customFormat="1" ht="9.9499999999999993" customHeight="1" x14ac:dyDescent="0.2">
      <c r="C574" s="327"/>
      <c r="E574" s="327"/>
      <c r="G574" s="327"/>
      <c r="I574" s="698"/>
      <c r="L574" s="247"/>
    </row>
    <row r="575" spans="3:12" s="326" customFormat="1" ht="9.9499999999999993" customHeight="1" x14ac:dyDescent="0.2">
      <c r="C575" s="327"/>
      <c r="E575" s="327"/>
      <c r="G575" s="327"/>
      <c r="I575" s="698"/>
      <c r="L575" s="247"/>
    </row>
    <row r="576" spans="3:12" s="326" customFormat="1" ht="9.9499999999999993" customHeight="1" x14ac:dyDescent="0.2">
      <c r="C576" s="327"/>
      <c r="E576" s="327"/>
      <c r="G576" s="327"/>
      <c r="I576" s="698"/>
      <c r="L576" s="247"/>
    </row>
    <row r="577" spans="3:12" s="326" customFormat="1" ht="9.9499999999999993" customHeight="1" x14ac:dyDescent="0.2">
      <c r="C577" s="327"/>
      <c r="E577" s="327"/>
      <c r="G577" s="327"/>
      <c r="I577" s="698"/>
      <c r="L577" s="247"/>
    </row>
    <row r="578" spans="3:12" s="326" customFormat="1" ht="9.9499999999999993" customHeight="1" x14ac:dyDescent="0.2">
      <c r="C578" s="327"/>
      <c r="E578" s="327"/>
      <c r="G578" s="327"/>
      <c r="I578" s="698"/>
      <c r="L578" s="247"/>
    </row>
    <row r="579" spans="3:12" s="326" customFormat="1" ht="9.9499999999999993" customHeight="1" x14ac:dyDescent="0.2">
      <c r="C579" s="327"/>
      <c r="E579" s="327"/>
      <c r="G579" s="327"/>
      <c r="I579" s="698"/>
      <c r="L579" s="247"/>
    </row>
    <row r="580" spans="3:12" s="326" customFormat="1" ht="9.9499999999999993" customHeight="1" x14ac:dyDescent="0.2">
      <c r="C580" s="327"/>
      <c r="E580" s="327"/>
      <c r="G580" s="327"/>
      <c r="I580" s="698"/>
      <c r="L580" s="247"/>
    </row>
    <row r="581" spans="3:12" s="326" customFormat="1" ht="9.9499999999999993" customHeight="1" x14ac:dyDescent="0.2">
      <c r="C581" s="327"/>
      <c r="E581" s="327"/>
      <c r="G581" s="327"/>
      <c r="I581" s="698"/>
      <c r="L581" s="247"/>
    </row>
    <row r="582" spans="3:12" s="326" customFormat="1" ht="9.9499999999999993" customHeight="1" x14ac:dyDescent="0.2">
      <c r="C582" s="327"/>
      <c r="E582" s="327"/>
      <c r="G582" s="327"/>
      <c r="I582" s="698"/>
      <c r="L582" s="247"/>
    </row>
    <row r="583" spans="3:12" s="326" customFormat="1" ht="9.9499999999999993" customHeight="1" x14ac:dyDescent="0.2">
      <c r="C583" s="327"/>
      <c r="E583" s="327"/>
      <c r="G583" s="327"/>
      <c r="I583" s="698"/>
      <c r="L583" s="247"/>
    </row>
    <row r="584" spans="3:12" s="326" customFormat="1" ht="9.9499999999999993" customHeight="1" x14ac:dyDescent="0.2">
      <c r="C584" s="327"/>
      <c r="E584" s="327"/>
      <c r="G584" s="327"/>
      <c r="I584" s="698"/>
      <c r="L584" s="247"/>
    </row>
    <row r="585" spans="3:12" s="326" customFormat="1" ht="9.9499999999999993" customHeight="1" x14ac:dyDescent="0.2">
      <c r="C585" s="327"/>
      <c r="E585" s="327"/>
      <c r="G585" s="327"/>
      <c r="I585" s="698"/>
      <c r="L585" s="247"/>
    </row>
    <row r="586" spans="3:12" s="326" customFormat="1" ht="9.9499999999999993" customHeight="1" x14ac:dyDescent="0.2">
      <c r="C586" s="327"/>
      <c r="E586" s="327"/>
      <c r="G586" s="327"/>
      <c r="I586" s="698"/>
      <c r="L586" s="247"/>
    </row>
    <row r="587" spans="3:12" s="326" customFormat="1" ht="9.9499999999999993" customHeight="1" x14ac:dyDescent="0.2">
      <c r="C587" s="327"/>
      <c r="E587" s="327"/>
      <c r="G587" s="327"/>
      <c r="I587" s="698"/>
      <c r="L587" s="247"/>
    </row>
    <row r="588" spans="3:12" s="326" customFormat="1" ht="9.9499999999999993" customHeight="1" x14ac:dyDescent="0.2">
      <c r="C588" s="327"/>
      <c r="E588" s="327"/>
      <c r="G588" s="327"/>
      <c r="I588" s="698"/>
      <c r="L588" s="247"/>
    </row>
    <row r="589" spans="3:12" s="326" customFormat="1" ht="9.9499999999999993" customHeight="1" x14ac:dyDescent="0.2">
      <c r="C589" s="327"/>
      <c r="E589" s="327"/>
      <c r="G589" s="327"/>
      <c r="I589" s="698"/>
      <c r="L589" s="247"/>
    </row>
    <row r="590" spans="3:12" s="326" customFormat="1" ht="9.9499999999999993" customHeight="1" x14ac:dyDescent="0.2">
      <c r="C590" s="327"/>
      <c r="E590" s="327"/>
      <c r="G590" s="327"/>
      <c r="I590" s="698"/>
      <c r="L590" s="247"/>
    </row>
    <row r="591" spans="3:12" s="326" customFormat="1" ht="9.9499999999999993" customHeight="1" x14ac:dyDescent="0.2">
      <c r="C591" s="327"/>
      <c r="E591" s="327"/>
      <c r="G591" s="327"/>
      <c r="I591" s="698"/>
      <c r="L591" s="247"/>
    </row>
    <row r="592" spans="3:12" s="326" customFormat="1" ht="9.9499999999999993" customHeight="1" x14ac:dyDescent="0.2">
      <c r="C592" s="327"/>
      <c r="E592" s="327"/>
      <c r="G592" s="327"/>
      <c r="I592" s="698"/>
      <c r="L592" s="247"/>
    </row>
    <row r="593" spans="3:12" s="326" customFormat="1" ht="9.9499999999999993" customHeight="1" x14ac:dyDescent="0.2">
      <c r="C593" s="327"/>
      <c r="E593" s="327"/>
      <c r="G593" s="327"/>
      <c r="I593" s="698"/>
      <c r="L593" s="247"/>
    </row>
    <row r="594" spans="3:12" s="326" customFormat="1" ht="9.9499999999999993" customHeight="1" x14ac:dyDescent="0.2">
      <c r="C594" s="327"/>
      <c r="E594" s="327"/>
      <c r="G594" s="327"/>
      <c r="I594" s="698"/>
      <c r="L594" s="247"/>
    </row>
    <row r="595" spans="3:12" s="326" customFormat="1" ht="9.9499999999999993" customHeight="1" x14ac:dyDescent="0.2">
      <c r="C595" s="327"/>
      <c r="E595" s="327"/>
      <c r="G595" s="327"/>
      <c r="I595" s="698"/>
      <c r="L595" s="247"/>
    </row>
    <row r="596" spans="3:12" s="326" customFormat="1" ht="9.9499999999999993" customHeight="1" x14ac:dyDescent="0.2">
      <c r="C596" s="327"/>
      <c r="E596" s="327"/>
      <c r="G596" s="327"/>
      <c r="I596" s="698"/>
      <c r="L596" s="247"/>
    </row>
    <row r="597" spans="3:12" s="326" customFormat="1" ht="9.9499999999999993" customHeight="1" x14ac:dyDescent="0.2">
      <c r="C597" s="327"/>
      <c r="E597" s="327"/>
      <c r="G597" s="327"/>
      <c r="I597" s="698"/>
      <c r="L597" s="247"/>
    </row>
    <row r="598" spans="3:12" s="326" customFormat="1" ht="9.9499999999999993" customHeight="1" x14ac:dyDescent="0.2">
      <c r="C598" s="327"/>
      <c r="E598" s="327"/>
      <c r="G598" s="327"/>
      <c r="I598" s="698"/>
      <c r="L598" s="247"/>
    </row>
    <row r="599" spans="3:12" s="326" customFormat="1" ht="9.9499999999999993" customHeight="1" x14ac:dyDescent="0.2">
      <c r="C599" s="327"/>
      <c r="E599" s="327"/>
      <c r="G599" s="327"/>
      <c r="I599" s="698"/>
      <c r="L599" s="247"/>
    </row>
    <row r="600" spans="3:12" s="326" customFormat="1" ht="9.9499999999999993" customHeight="1" x14ac:dyDescent="0.2">
      <c r="C600" s="327"/>
      <c r="E600" s="327"/>
      <c r="G600" s="327"/>
      <c r="I600" s="698"/>
      <c r="L600" s="247"/>
    </row>
    <row r="601" spans="3:12" s="326" customFormat="1" ht="9.9499999999999993" customHeight="1" x14ac:dyDescent="0.2">
      <c r="C601" s="327"/>
      <c r="E601" s="327"/>
      <c r="G601" s="327"/>
      <c r="I601" s="698"/>
      <c r="L601" s="247"/>
    </row>
    <row r="602" spans="3:12" s="326" customFormat="1" ht="9.9499999999999993" customHeight="1" x14ac:dyDescent="0.2">
      <c r="C602" s="327"/>
      <c r="E602" s="327"/>
      <c r="G602" s="327"/>
      <c r="I602" s="698"/>
      <c r="L602" s="247"/>
    </row>
    <row r="603" spans="3:12" s="326" customFormat="1" ht="9.9499999999999993" customHeight="1" x14ac:dyDescent="0.2">
      <c r="C603" s="327"/>
      <c r="E603" s="327"/>
      <c r="G603" s="327"/>
      <c r="I603" s="698"/>
      <c r="L603" s="247"/>
    </row>
    <row r="604" spans="3:12" s="326" customFormat="1" ht="9.9499999999999993" customHeight="1" x14ac:dyDescent="0.2">
      <c r="C604" s="327"/>
      <c r="E604" s="327"/>
      <c r="G604" s="327"/>
      <c r="I604" s="698"/>
      <c r="L604" s="247"/>
    </row>
    <row r="605" spans="3:12" s="326" customFormat="1" ht="9.9499999999999993" customHeight="1" x14ac:dyDescent="0.2">
      <c r="C605" s="327"/>
      <c r="E605" s="327"/>
      <c r="G605" s="327"/>
      <c r="I605" s="698"/>
      <c r="L605" s="247"/>
    </row>
    <row r="606" spans="3:12" s="326" customFormat="1" ht="9.9499999999999993" customHeight="1" x14ac:dyDescent="0.2">
      <c r="C606" s="327"/>
      <c r="E606" s="327"/>
      <c r="G606" s="327"/>
      <c r="I606" s="698"/>
      <c r="L606" s="247"/>
    </row>
    <row r="607" spans="3:12" s="326" customFormat="1" ht="9.9499999999999993" customHeight="1" x14ac:dyDescent="0.2">
      <c r="C607" s="327"/>
      <c r="E607" s="327"/>
      <c r="G607" s="327"/>
      <c r="I607" s="698"/>
      <c r="L607" s="247"/>
    </row>
    <row r="608" spans="3:12" s="326" customFormat="1" ht="9.9499999999999993" customHeight="1" x14ac:dyDescent="0.2">
      <c r="C608" s="327"/>
      <c r="E608" s="327"/>
      <c r="G608" s="327"/>
      <c r="I608" s="698"/>
      <c r="L608" s="247"/>
    </row>
    <row r="609" spans="3:12" s="326" customFormat="1" ht="9.9499999999999993" customHeight="1" x14ac:dyDescent="0.2">
      <c r="C609" s="327"/>
      <c r="E609" s="327"/>
      <c r="G609" s="327"/>
      <c r="I609" s="698"/>
      <c r="L609" s="247"/>
    </row>
    <row r="610" spans="3:12" s="326" customFormat="1" ht="9.9499999999999993" customHeight="1" x14ac:dyDescent="0.2">
      <c r="C610" s="327"/>
      <c r="E610" s="327"/>
      <c r="G610" s="327"/>
      <c r="I610" s="698"/>
      <c r="L610" s="247"/>
    </row>
    <row r="611" spans="3:12" s="326" customFormat="1" ht="9.9499999999999993" customHeight="1" x14ac:dyDescent="0.2">
      <c r="C611" s="327"/>
      <c r="E611" s="327"/>
      <c r="G611" s="327"/>
      <c r="I611" s="698"/>
      <c r="L611" s="247"/>
    </row>
    <row r="612" spans="3:12" s="326" customFormat="1" ht="9.9499999999999993" customHeight="1" x14ac:dyDescent="0.2">
      <c r="C612" s="327"/>
      <c r="E612" s="327"/>
      <c r="G612" s="327"/>
      <c r="I612" s="698"/>
      <c r="L612" s="247"/>
    </row>
    <row r="613" spans="3:12" s="326" customFormat="1" ht="9.9499999999999993" customHeight="1" x14ac:dyDescent="0.2">
      <c r="C613" s="327"/>
      <c r="E613" s="327"/>
      <c r="G613" s="327"/>
      <c r="I613" s="698"/>
      <c r="L613" s="247"/>
    </row>
    <row r="614" spans="3:12" s="326" customFormat="1" ht="9.9499999999999993" customHeight="1" x14ac:dyDescent="0.2">
      <c r="C614" s="327"/>
      <c r="E614" s="327"/>
      <c r="G614" s="327"/>
      <c r="I614" s="698"/>
      <c r="L614" s="247"/>
    </row>
    <row r="615" spans="3:12" s="326" customFormat="1" ht="9.9499999999999993" customHeight="1" x14ac:dyDescent="0.2">
      <c r="C615" s="327"/>
      <c r="E615" s="327"/>
      <c r="G615" s="327"/>
      <c r="I615" s="698"/>
      <c r="L615" s="247"/>
    </row>
    <row r="616" spans="3:12" s="326" customFormat="1" ht="9.9499999999999993" customHeight="1" x14ac:dyDescent="0.2">
      <c r="C616" s="327"/>
      <c r="E616" s="327"/>
      <c r="G616" s="327"/>
      <c r="I616" s="698"/>
      <c r="L616" s="247"/>
    </row>
    <row r="617" spans="3:12" s="326" customFormat="1" ht="9.9499999999999993" customHeight="1" x14ac:dyDescent="0.2">
      <c r="C617" s="327"/>
      <c r="E617" s="327"/>
      <c r="G617" s="327"/>
      <c r="I617" s="698"/>
      <c r="L617" s="247"/>
    </row>
    <row r="618" spans="3:12" s="326" customFormat="1" ht="9.9499999999999993" customHeight="1" x14ac:dyDescent="0.2">
      <c r="C618" s="327"/>
      <c r="E618" s="327"/>
      <c r="G618" s="327"/>
      <c r="I618" s="698"/>
      <c r="L618" s="247"/>
    </row>
    <row r="619" spans="3:12" s="326" customFormat="1" ht="9.9499999999999993" customHeight="1" x14ac:dyDescent="0.2">
      <c r="C619" s="327"/>
      <c r="E619" s="327"/>
      <c r="G619" s="327"/>
      <c r="I619" s="698"/>
      <c r="L619" s="247"/>
    </row>
    <row r="620" spans="3:12" s="326" customFormat="1" ht="9.9499999999999993" customHeight="1" x14ac:dyDescent="0.2">
      <c r="C620" s="327"/>
      <c r="E620" s="327"/>
      <c r="G620" s="327"/>
      <c r="I620" s="698"/>
      <c r="L620" s="247"/>
    </row>
    <row r="621" spans="3:12" s="326" customFormat="1" ht="9.9499999999999993" customHeight="1" x14ac:dyDescent="0.2">
      <c r="C621" s="327"/>
      <c r="E621" s="327"/>
      <c r="G621" s="327"/>
      <c r="I621" s="698"/>
      <c r="L621" s="247"/>
    </row>
    <row r="622" spans="3:12" s="326" customFormat="1" ht="9.9499999999999993" customHeight="1" x14ac:dyDescent="0.2">
      <c r="C622" s="327"/>
      <c r="E622" s="327"/>
      <c r="G622" s="327"/>
      <c r="I622" s="698"/>
      <c r="L622" s="247"/>
    </row>
    <row r="623" spans="3:12" s="326" customFormat="1" ht="9.9499999999999993" customHeight="1" x14ac:dyDescent="0.2">
      <c r="C623" s="327"/>
      <c r="E623" s="327"/>
      <c r="G623" s="327"/>
      <c r="I623" s="698"/>
      <c r="L623" s="247"/>
    </row>
    <row r="624" spans="3:12" s="326" customFormat="1" ht="9.9499999999999993" customHeight="1" x14ac:dyDescent="0.2">
      <c r="C624" s="327"/>
      <c r="E624" s="327"/>
      <c r="G624" s="327"/>
      <c r="I624" s="698"/>
      <c r="L624" s="247"/>
    </row>
    <row r="625" spans="3:12" s="326" customFormat="1" ht="9.9499999999999993" customHeight="1" x14ac:dyDescent="0.2">
      <c r="C625" s="327"/>
      <c r="E625" s="327"/>
      <c r="G625" s="327"/>
      <c r="I625" s="698"/>
      <c r="L625" s="247"/>
    </row>
    <row r="626" spans="3:12" s="326" customFormat="1" ht="9.9499999999999993" customHeight="1" x14ac:dyDescent="0.2">
      <c r="C626" s="327"/>
      <c r="E626" s="327"/>
      <c r="G626" s="327"/>
      <c r="I626" s="698"/>
      <c r="L626" s="247"/>
    </row>
    <row r="627" spans="3:12" s="326" customFormat="1" ht="9.9499999999999993" customHeight="1" x14ac:dyDescent="0.2">
      <c r="C627" s="327"/>
      <c r="E627" s="327"/>
      <c r="G627" s="327"/>
      <c r="I627" s="698"/>
      <c r="L627" s="247"/>
    </row>
    <row r="628" spans="3:12" s="326" customFormat="1" ht="9.9499999999999993" customHeight="1" x14ac:dyDescent="0.2">
      <c r="C628" s="327"/>
      <c r="E628" s="327"/>
      <c r="G628" s="327"/>
      <c r="I628" s="698"/>
      <c r="L628" s="247"/>
    </row>
    <row r="629" spans="3:12" s="326" customFormat="1" ht="9.9499999999999993" customHeight="1" x14ac:dyDescent="0.2">
      <c r="C629" s="327"/>
      <c r="E629" s="327"/>
      <c r="G629" s="327"/>
      <c r="I629" s="698"/>
      <c r="L629" s="247"/>
    </row>
    <row r="630" spans="3:12" s="326" customFormat="1" ht="9.9499999999999993" customHeight="1" x14ac:dyDescent="0.2">
      <c r="C630" s="327"/>
      <c r="E630" s="327"/>
      <c r="G630" s="327"/>
      <c r="I630" s="698"/>
      <c r="L630" s="247"/>
    </row>
    <row r="631" spans="3:12" s="326" customFormat="1" ht="9.9499999999999993" customHeight="1" x14ac:dyDescent="0.2">
      <c r="C631" s="327"/>
      <c r="E631" s="327"/>
      <c r="G631" s="327"/>
      <c r="I631" s="698"/>
      <c r="L631" s="247"/>
    </row>
    <row r="632" spans="3:12" s="326" customFormat="1" ht="9.9499999999999993" customHeight="1" x14ac:dyDescent="0.2">
      <c r="C632" s="327"/>
      <c r="E632" s="327"/>
      <c r="G632" s="327"/>
      <c r="I632" s="698"/>
      <c r="L632" s="247"/>
    </row>
    <row r="633" spans="3:12" s="326" customFormat="1" ht="9.9499999999999993" customHeight="1" x14ac:dyDescent="0.2">
      <c r="C633" s="327"/>
      <c r="E633" s="327"/>
      <c r="G633" s="327"/>
      <c r="I633" s="698"/>
      <c r="L633" s="247"/>
    </row>
    <row r="634" spans="3:12" s="326" customFormat="1" ht="9.9499999999999993" customHeight="1" x14ac:dyDescent="0.2">
      <c r="C634" s="327"/>
      <c r="E634" s="327"/>
      <c r="G634" s="327"/>
      <c r="I634" s="698"/>
      <c r="L634" s="247"/>
    </row>
    <row r="635" spans="3:12" s="326" customFormat="1" ht="9.9499999999999993" customHeight="1" x14ac:dyDescent="0.2">
      <c r="C635" s="327"/>
      <c r="E635" s="327"/>
      <c r="G635" s="327"/>
      <c r="I635" s="698"/>
      <c r="L635" s="247"/>
    </row>
    <row r="636" spans="3:12" s="326" customFormat="1" ht="9.9499999999999993" customHeight="1" x14ac:dyDescent="0.2">
      <c r="C636" s="327"/>
      <c r="E636" s="327"/>
      <c r="G636" s="327"/>
      <c r="I636" s="698"/>
      <c r="L636" s="247"/>
    </row>
    <row r="637" spans="3:12" s="326" customFormat="1" ht="9.9499999999999993" customHeight="1" x14ac:dyDescent="0.2">
      <c r="C637" s="327"/>
      <c r="E637" s="327"/>
      <c r="G637" s="327"/>
      <c r="I637" s="698"/>
      <c r="L637" s="247"/>
    </row>
    <row r="638" spans="3:12" s="326" customFormat="1" ht="9.9499999999999993" customHeight="1" x14ac:dyDescent="0.2">
      <c r="C638" s="327"/>
      <c r="E638" s="327"/>
      <c r="G638" s="327"/>
      <c r="I638" s="698"/>
      <c r="L638" s="247"/>
    </row>
    <row r="639" spans="3:12" s="326" customFormat="1" ht="9.9499999999999993" customHeight="1" x14ac:dyDescent="0.2">
      <c r="C639" s="327"/>
      <c r="E639" s="327"/>
      <c r="G639" s="327"/>
      <c r="I639" s="698"/>
      <c r="L639" s="247"/>
    </row>
    <row r="640" spans="3:12" s="326" customFormat="1" ht="9.9499999999999993" customHeight="1" x14ac:dyDescent="0.2">
      <c r="C640" s="327"/>
      <c r="E640" s="327"/>
      <c r="G640" s="327"/>
      <c r="I640" s="698"/>
      <c r="L640" s="247"/>
    </row>
    <row r="641" spans="3:12" s="326" customFormat="1" ht="9.9499999999999993" customHeight="1" x14ac:dyDescent="0.2">
      <c r="C641" s="327"/>
      <c r="E641" s="327"/>
      <c r="G641" s="327"/>
      <c r="I641" s="698"/>
      <c r="L641" s="247"/>
    </row>
    <row r="642" spans="3:12" s="326" customFormat="1" ht="9.9499999999999993" customHeight="1" x14ac:dyDescent="0.2">
      <c r="C642" s="327"/>
      <c r="E642" s="327"/>
      <c r="G642" s="327"/>
      <c r="I642" s="698"/>
      <c r="L642" s="247"/>
    </row>
    <row r="643" spans="3:12" s="326" customFormat="1" ht="9.9499999999999993" customHeight="1" x14ac:dyDescent="0.2">
      <c r="C643" s="327"/>
      <c r="E643" s="327"/>
      <c r="G643" s="327"/>
      <c r="I643" s="698"/>
      <c r="L643" s="247"/>
    </row>
    <row r="644" spans="3:12" s="326" customFormat="1" ht="9.9499999999999993" customHeight="1" x14ac:dyDescent="0.2">
      <c r="C644" s="327"/>
      <c r="E644" s="327"/>
      <c r="G644" s="327"/>
      <c r="I644" s="698"/>
      <c r="L644" s="247"/>
    </row>
    <row r="645" spans="3:12" s="326" customFormat="1" ht="9.9499999999999993" customHeight="1" x14ac:dyDescent="0.2">
      <c r="C645" s="327"/>
      <c r="E645" s="327"/>
      <c r="G645" s="327"/>
      <c r="I645" s="698"/>
      <c r="L645" s="247"/>
    </row>
    <row r="646" spans="3:12" s="326" customFormat="1" ht="9.9499999999999993" customHeight="1" x14ac:dyDescent="0.2">
      <c r="C646" s="327"/>
      <c r="E646" s="327"/>
      <c r="G646" s="327"/>
      <c r="I646" s="698"/>
      <c r="L646" s="247"/>
    </row>
    <row r="647" spans="3:12" s="326" customFormat="1" ht="9.9499999999999993" customHeight="1" x14ac:dyDescent="0.2">
      <c r="C647" s="327"/>
      <c r="E647" s="327"/>
      <c r="G647" s="327"/>
      <c r="I647" s="698"/>
      <c r="L647" s="247"/>
    </row>
    <row r="648" spans="3:12" s="326" customFormat="1" ht="9.9499999999999993" customHeight="1" x14ac:dyDescent="0.2">
      <c r="C648" s="327"/>
      <c r="E648" s="327"/>
      <c r="G648" s="327"/>
      <c r="I648" s="698"/>
      <c r="L648" s="247"/>
    </row>
    <row r="649" spans="3:12" s="326" customFormat="1" ht="9.9499999999999993" customHeight="1" x14ac:dyDescent="0.2">
      <c r="C649" s="327"/>
      <c r="E649" s="327"/>
      <c r="G649" s="327"/>
      <c r="I649" s="698"/>
      <c r="L649" s="247"/>
    </row>
    <row r="650" spans="3:12" s="326" customFormat="1" ht="9.9499999999999993" customHeight="1" x14ac:dyDescent="0.2">
      <c r="C650" s="327"/>
      <c r="E650" s="327"/>
      <c r="G650" s="327"/>
      <c r="I650" s="698"/>
      <c r="L650" s="247"/>
    </row>
    <row r="651" spans="3:12" s="326" customFormat="1" ht="9.9499999999999993" customHeight="1" x14ac:dyDescent="0.2">
      <c r="C651" s="327"/>
      <c r="E651" s="327"/>
      <c r="G651" s="327"/>
      <c r="I651" s="698"/>
      <c r="L651" s="247"/>
    </row>
    <row r="652" spans="3:12" s="326" customFormat="1" ht="9.9499999999999993" customHeight="1" x14ac:dyDescent="0.2">
      <c r="C652" s="327"/>
      <c r="E652" s="327"/>
      <c r="G652" s="327"/>
      <c r="I652" s="698"/>
      <c r="L652" s="247"/>
    </row>
    <row r="653" spans="3:12" s="326" customFormat="1" ht="9.9499999999999993" customHeight="1" x14ac:dyDescent="0.2">
      <c r="C653" s="327"/>
      <c r="E653" s="327"/>
      <c r="G653" s="327"/>
      <c r="I653" s="698"/>
      <c r="L653" s="247"/>
    </row>
    <row r="654" spans="3:12" s="326" customFormat="1" ht="9.9499999999999993" customHeight="1" x14ac:dyDescent="0.2">
      <c r="C654" s="327"/>
      <c r="E654" s="327"/>
      <c r="G654" s="327"/>
      <c r="I654" s="698"/>
      <c r="L654" s="247"/>
    </row>
    <row r="655" spans="3:12" s="326" customFormat="1" ht="9.9499999999999993" customHeight="1" x14ac:dyDescent="0.2">
      <c r="C655" s="327"/>
      <c r="E655" s="327"/>
      <c r="G655" s="327"/>
      <c r="I655" s="698"/>
      <c r="L655" s="247"/>
    </row>
    <row r="656" spans="3:12" s="326" customFormat="1" ht="9.9499999999999993" customHeight="1" x14ac:dyDescent="0.2">
      <c r="C656" s="327"/>
      <c r="E656" s="327"/>
      <c r="G656" s="327"/>
      <c r="I656" s="698"/>
      <c r="L656" s="247"/>
    </row>
    <row r="657" spans="3:12" s="326" customFormat="1" ht="9.9499999999999993" customHeight="1" x14ac:dyDescent="0.2">
      <c r="C657" s="327"/>
      <c r="E657" s="327"/>
      <c r="G657" s="327"/>
      <c r="I657" s="698"/>
      <c r="L657" s="247"/>
    </row>
    <row r="658" spans="3:12" s="326" customFormat="1" ht="9.9499999999999993" customHeight="1" x14ac:dyDescent="0.2">
      <c r="C658" s="327"/>
      <c r="E658" s="327"/>
      <c r="G658" s="327"/>
      <c r="I658" s="698"/>
      <c r="L658" s="247"/>
    </row>
    <row r="659" spans="3:12" s="326" customFormat="1" ht="9.9499999999999993" customHeight="1" x14ac:dyDescent="0.2">
      <c r="C659" s="327"/>
      <c r="E659" s="327"/>
      <c r="G659" s="327"/>
      <c r="I659" s="698"/>
      <c r="L659" s="247"/>
    </row>
    <row r="660" spans="3:12" s="326" customFormat="1" ht="9.9499999999999993" customHeight="1" x14ac:dyDescent="0.2">
      <c r="C660" s="327"/>
      <c r="E660" s="327"/>
      <c r="G660" s="327"/>
      <c r="I660" s="698"/>
      <c r="L660" s="247"/>
    </row>
    <row r="661" spans="3:12" s="326" customFormat="1" ht="9.9499999999999993" customHeight="1" x14ac:dyDescent="0.2">
      <c r="C661" s="327"/>
      <c r="E661" s="327"/>
      <c r="G661" s="327"/>
      <c r="I661" s="698"/>
      <c r="L661" s="247"/>
    </row>
    <row r="662" spans="3:12" s="326" customFormat="1" ht="9.9499999999999993" customHeight="1" x14ac:dyDescent="0.2">
      <c r="C662" s="327"/>
      <c r="E662" s="327"/>
      <c r="G662" s="327"/>
      <c r="I662" s="698"/>
      <c r="L662" s="247"/>
    </row>
    <row r="663" spans="3:12" s="326" customFormat="1" ht="9.9499999999999993" customHeight="1" x14ac:dyDescent="0.2">
      <c r="C663" s="327"/>
      <c r="E663" s="327"/>
      <c r="G663" s="327"/>
      <c r="I663" s="698"/>
      <c r="L663" s="247"/>
    </row>
    <row r="664" spans="3:12" s="326" customFormat="1" ht="9.9499999999999993" customHeight="1" x14ac:dyDescent="0.2">
      <c r="C664" s="327"/>
      <c r="E664" s="327"/>
      <c r="G664" s="327"/>
      <c r="I664" s="698"/>
      <c r="L664" s="247"/>
    </row>
    <row r="665" spans="3:12" s="326" customFormat="1" ht="9.9499999999999993" customHeight="1" x14ac:dyDescent="0.2">
      <c r="C665" s="327"/>
      <c r="E665" s="327"/>
      <c r="G665" s="327"/>
      <c r="I665" s="698"/>
      <c r="L665" s="247"/>
    </row>
    <row r="666" spans="3:12" s="326" customFormat="1" ht="9.9499999999999993" customHeight="1" x14ac:dyDescent="0.2">
      <c r="C666" s="327"/>
      <c r="E666" s="327"/>
      <c r="G666" s="327"/>
      <c r="I666" s="698"/>
      <c r="L666" s="247"/>
    </row>
    <row r="667" spans="3:12" s="326" customFormat="1" ht="9.9499999999999993" customHeight="1" x14ac:dyDescent="0.2">
      <c r="C667" s="327"/>
      <c r="E667" s="327"/>
      <c r="G667" s="327"/>
      <c r="I667" s="698"/>
      <c r="L667" s="247"/>
    </row>
    <row r="668" spans="3:12" s="326" customFormat="1" ht="9.9499999999999993" customHeight="1" x14ac:dyDescent="0.2">
      <c r="C668" s="327"/>
      <c r="E668" s="327"/>
      <c r="G668" s="327"/>
      <c r="I668" s="698"/>
      <c r="L668" s="247"/>
    </row>
    <row r="669" spans="3:12" s="326" customFormat="1" ht="9.9499999999999993" customHeight="1" x14ac:dyDescent="0.2">
      <c r="C669" s="327"/>
      <c r="E669" s="327"/>
      <c r="G669" s="327"/>
      <c r="I669" s="698"/>
      <c r="L669" s="247"/>
    </row>
    <row r="670" spans="3:12" s="326" customFormat="1" ht="9.9499999999999993" customHeight="1" x14ac:dyDescent="0.2">
      <c r="C670" s="327"/>
      <c r="E670" s="327"/>
      <c r="G670" s="327"/>
      <c r="I670" s="698"/>
      <c r="L670" s="247"/>
    </row>
    <row r="671" spans="3:12" s="326" customFormat="1" ht="9.9499999999999993" customHeight="1" x14ac:dyDescent="0.2">
      <c r="C671" s="327"/>
      <c r="E671" s="327"/>
      <c r="G671" s="327"/>
      <c r="I671" s="698"/>
      <c r="L671" s="247"/>
    </row>
    <row r="672" spans="3:12" s="326" customFormat="1" ht="9.9499999999999993" customHeight="1" x14ac:dyDescent="0.2">
      <c r="C672" s="327"/>
      <c r="E672" s="327"/>
      <c r="G672" s="327"/>
      <c r="I672" s="698"/>
      <c r="L672" s="247"/>
    </row>
    <row r="673" spans="3:12" s="326" customFormat="1" ht="9.9499999999999993" customHeight="1" x14ac:dyDescent="0.2">
      <c r="C673" s="327"/>
      <c r="E673" s="327"/>
      <c r="G673" s="327"/>
      <c r="I673" s="698"/>
      <c r="L673" s="247"/>
    </row>
    <row r="674" spans="3:12" s="326" customFormat="1" ht="9.9499999999999993" customHeight="1" x14ac:dyDescent="0.2">
      <c r="C674" s="327"/>
      <c r="E674" s="327"/>
      <c r="G674" s="327"/>
      <c r="I674" s="698"/>
      <c r="L674" s="247"/>
    </row>
    <row r="675" spans="3:12" s="326" customFormat="1" ht="9.9499999999999993" customHeight="1" x14ac:dyDescent="0.2">
      <c r="C675" s="327"/>
      <c r="E675" s="327"/>
      <c r="G675" s="327"/>
      <c r="I675" s="698"/>
      <c r="L675" s="247"/>
    </row>
    <row r="676" spans="3:12" s="326" customFormat="1" ht="9.9499999999999993" customHeight="1" x14ac:dyDescent="0.2">
      <c r="C676" s="327"/>
      <c r="E676" s="327"/>
      <c r="G676" s="327"/>
      <c r="I676" s="698"/>
      <c r="L676" s="247"/>
    </row>
    <row r="677" spans="3:12" s="326" customFormat="1" ht="9.9499999999999993" customHeight="1" x14ac:dyDescent="0.2">
      <c r="C677" s="327"/>
      <c r="E677" s="327"/>
      <c r="G677" s="327"/>
      <c r="I677" s="698"/>
      <c r="L677" s="247"/>
    </row>
    <row r="678" spans="3:12" s="326" customFormat="1" ht="9.9499999999999993" customHeight="1" x14ac:dyDescent="0.2">
      <c r="C678" s="327"/>
      <c r="E678" s="327"/>
      <c r="G678" s="327"/>
      <c r="I678" s="698"/>
      <c r="L678" s="247"/>
    </row>
    <row r="679" spans="3:12" s="326" customFormat="1" ht="9.9499999999999993" customHeight="1" x14ac:dyDescent="0.2">
      <c r="C679" s="327"/>
      <c r="E679" s="327"/>
      <c r="G679" s="327"/>
      <c r="I679" s="698"/>
      <c r="L679" s="247"/>
    </row>
    <row r="680" spans="3:12" s="326" customFormat="1" ht="9.9499999999999993" customHeight="1" x14ac:dyDescent="0.2">
      <c r="C680" s="327"/>
      <c r="E680" s="327"/>
      <c r="G680" s="327"/>
      <c r="I680" s="698"/>
      <c r="L680" s="247"/>
    </row>
    <row r="681" spans="3:12" s="326" customFormat="1" ht="9.9499999999999993" customHeight="1" x14ac:dyDescent="0.2">
      <c r="C681" s="327"/>
      <c r="E681" s="327"/>
      <c r="G681" s="327"/>
      <c r="I681" s="698"/>
      <c r="L681" s="247"/>
    </row>
    <row r="682" spans="3:12" s="326" customFormat="1" ht="9.9499999999999993" customHeight="1" x14ac:dyDescent="0.2">
      <c r="C682" s="327"/>
      <c r="E682" s="327"/>
      <c r="G682" s="327"/>
      <c r="I682" s="698"/>
      <c r="L682" s="247"/>
    </row>
    <row r="683" spans="3:12" s="326" customFormat="1" ht="9.9499999999999993" customHeight="1" x14ac:dyDescent="0.2">
      <c r="C683" s="327"/>
      <c r="E683" s="327"/>
      <c r="G683" s="327"/>
      <c r="I683" s="698"/>
      <c r="L683" s="247"/>
    </row>
    <row r="684" spans="3:12" s="326" customFormat="1" ht="9.9499999999999993" customHeight="1" x14ac:dyDescent="0.2">
      <c r="C684" s="327"/>
      <c r="E684" s="327"/>
      <c r="G684" s="327"/>
      <c r="I684" s="698"/>
      <c r="L684" s="247"/>
    </row>
    <row r="685" spans="3:12" s="326" customFormat="1" ht="9.9499999999999993" customHeight="1" x14ac:dyDescent="0.2">
      <c r="C685" s="327"/>
      <c r="E685" s="327"/>
      <c r="G685" s="327"/>
      <c r="I685" s="698"/>
      <c r="L685" s="247"/>
    </row>
    <row r="686" spans="3:12" s="326" customFormat="1" ht="9.9499999999999993" customHeight="1" x14ac:dyDescent="0.2">
      <c r="C686" s="327"/>
      <c r="E686" s="327"/>
      <c r="G686" s="327"/>
      <c r="I686" s="698"/>
      <c r="L686" s="247"/>
    </row>
    <row r="687" spans="3:12" s="326" customFormat="1" ht="9.9499999999999993" customHeight="1" x14ac:dyDescent="0.2">
      <c r="C687" s="327"/>
      <c r="E687" s="327"/>
      <c r="G687" s="327"/>
      <c r="I687" s="698"/>
      <c r="L687" s="247"/>
    </row>
    <row r="688" spans="3:12" s="326" customFormat="1" ht="9.9499999999999993" customHeight="1" x14ac:dyDescent="0.2">
      <c r="C688" s="327"/>
      <c r="E688" s="327"/>
      <c r="G688" s="327"/>
      <c r="I688" s="698"/>
      <c r="L688" s="247"/>
    </row>
    <row r="689" spans="3:12" s="326" customFormat="1" ht="9.9499999999999993" customHeight="1" x14ac:dyDescent="0.2">
      <c r="C689" s="327"/>
      <c r="E689" s="327"/>
      <c r="G689" s="327"/>
      <c r="I689" s="698"/>
      <c r="L689" s="247"/>
    </row>
    <row r="690" spans="3:12" s="326" customFormat="1" ht="9.9499999999999993" customHeight="1" x14ac:dyDescent="0.2">
      <c r="C690" s="327"/>
      <c r="E690" s="327"/>
      <c r="G690" s="327"/>
      <c r="I690" s="698"/>
      <c r="L690" s="247"/>
    </row>
    <row r="691" spans="3:12" s="326" customFormat="1" ht="9.9499999999999993" customHeight="1" x14ac:dyDescent="0.2">
      <c r="C691" s="327"/>
      <c r="E691" s="327"/>
      <c r="G691" s="327"/>
      <c r="I691" s="698"/>
      <c r="L691" s="247"/>
    </row>
    <row r="692" spans="3:12" s="326" customFormat="1" ht="9.9499999999999993" customHeight="1" x14ac:dyDescent="0.2">
      <c r="C692" s="327"/>
      <c r="E692" s="327"/>
      <c r="G692" s="327"/>
      <c r="I692" s="698"/>
      <c r="L692" s="247"/>
    </row>
    <row r="693" spans="3:12" s="326" customFormat="1" ht="9.9499999999999993" customHeight="1" x14ac:dyDescent="0.2">
      <c r="C693" s="327"/>
      <c r="E693" s="327"/>
      <c r="G693" s="327"/>
      <c r="I693" s="698"/>
      <c r="L693" s="247"/>
    </row>
    <row r="694" spans="3:12" s="326" customFormat="1" ht="9.9499999999999993" customHeight="1" x14ac:dyDescent="0.2">
      <c r="C694" s="327"/>
      <c r="E694" s="327"/>
      <c r="G694" s="327"/>
      <c r="I694" s="698"/>
      <c r="L694" s="247"/>
    </row>
    <row r="695" spans="3:12" s="326" customFormat="1" ht="9.9499999999999993" customHeight="1" x14ac:dyDescent="0.2">
      <c r="C695" s="327"/>
      <c r="E695" s="327"/>
      <c r="G695" s="327"/>
      <c r="I695" s="698"/>
      <c r="L695" s="247"/>
    </row>
    <row r="696" spans="3:12" s="326" customFormat="1" ht="9.9499999999999993" customHeight="1" x14ac:dyDescent="0.2">
      <c r="C696" s="327"/>
      <c r="E696" s="327"/>
      <c r="G696" s="327"/>
      <c r="I696" s="698"/>
      <c r="L696" s="247"/>
    </row>
    <row r="697" spans="3:12" s="326" customFormat="1" ht="9.9499999999999993" customHeight="1" x14ac:dyDescent="0.2">
      <c r="C697" s="327"/>
      <c r="E697" s="327"/>
      <c r="G697" s="327"/>
      <c r="I697" s="698"/>
      <c r="L697" s="247"/>
    </row>
    <row r="698" spans="3:12" s="326" customFormat="1" ht="9.9499999999999993" customHeight="1" x14ac:dyDescent="0.2">
      <c r="C698" s="327"/>
      <c r="E698" s="327"/>
      <c r="G698" s="327"/>
      <c r="I698" s="698"/>
      <c r="L698" s="247"/>
    </row>
    <row r="699" spans="3:12" s="326" customFormat="1" ht="9.9499999999999993" customHeight="1" x14ac:dyDescent="0.2">
      <c r="C699" s="327"/>
      <c r="E699" s="327"/>
      <c r="G699" s="327"/>
      <c r="I699" s="698"/>
      <c r="L699" s="247"/>
    </row>
    <row r="700" spans="3:12" s="326" customFormat="1" ht="9.9499999999999993" customHeight="1" x14ac:dyDescent="0.2">
      <c r="C700" s="327"/>
      <c r="E700" s="327"/>
      <c r="G700" s="327"/>
      <c r="I700" s="698"/>
      <c r="L700" s="247"/>
    </row>
    <row r="701" spans="3:12" s="326" customFormat="1" ht="9.9499999999999993" customHeight="1" x14ac:dyDescent="0.2">
      <c r="C701" s="327"/>
      <c r="E701" s="327"/>
      <c r="G701" s="327"/>
      <c r="I701" s="698"/>
      <c r="L701" s="247"/>
    </row>
    <row r="702" spans="3:12" s="326" customFormat="1" ht="9.9499999999999993" customHeight="1" x14ac:dyDescent="0.2">
      <c r="C702" s="327"/>
      <c r="E702" s="327"/>
      <c r="G702" s="327"/>
      <c r="I702" s="698"/>
      <c r="L702" s="247"/>
    </row>
    <row r="703" spans="3:12" s="326" customFormat="1" ht="9.9499999999999993" customHeight="1" x14ac:dyDescent="0.2">
      <c r="C703" s="327"/>
      <c r="E703" s="327"/>
      <c r="G703" s="327"/>
      <c r="I703" s="698"/>
      <c r="L703" s="247"/>
    </row>
    <row r="704" spans="3:12" s="326" customFormat="1" ht="9.9499999999999993" customHeight="1" x14ac:dyDescent="0.2">
      <c r="C704" s="327"/>
      <c r="E704" s="327"/>
      <c r="G704" s="327"/>
      <c r="I704" s="698"/>
      <c r="L704" s="247"/>
    </row>
    <row r="705" spans="3:12" s="326" customFormat="1" ht="9.9499999999999993" customHeight="1" x14ac:dyDescent="0.2">
      <c r="C705" s="327"/>
      <c r="E705" s="327"/>
      <c r="G705" s="327"/>
      <c r="I705" s="698"/>
      <c r="L705" s="247"/>
    </row>
    <row r="706" spans="3:12" s="326" customFormat="1" ht="9.9499999999999993" customHeight="1" x14ac:dyDescent="0.2">
      <c r="C706" s="327"/>
      <c r="E706" s="327"/>
      <c r="G706" s="327"/>
      <c r="I706" s="698"/>
      <c r="L706" s="247"/>
    </row>
    <row r="707" spans="3:12" s="326" customFormat="1" ht="9.9499999999999993" customHeight="1" x14ac:dyDescent="0.2">
      <c r="C707" s="327"/>
      <c r="E707" s="327"/>
      <c r="G707" s="327"/>
      <c r="I707" s="698"/>
      <c r="L707" s="247"/>
    </row>
    <row r="708" spans="3:12" s="326" customFormat="1" ht="9.9499999999999993" customHeight="1" x14ac:dyDescent="0.2">
      <c r="C708" s="327"/>
      <c r="E708" s="327"/>
      <c r="G708" s="327"/>
      <c r="I708" s="698"/>
      <c r="L708" s="247"/>
    </row>
    <row r="709" spans="3:12" s="326" customFormat="1" ht="9.9499999999999993" customHeight="1" x14ac:dyDescent="0.2">
      <c r="C709" s="327"/>
      <c r="E709" s="327"/>
      <c r="G709" s="327"/>
      <c r="I709" s="698"/>
      <c r="L709" s="247"/>
    </row>
    <row r="710" spans="3:12" s="326" customFormat="1" ht="9.9499999999999993" customHeight="1" x14ac:dyDescent="0.2">
      <c r="C710" s="327"/>
      <c r="E710" s="327"/>
      <c r="G710" s="327"/>
      <c r="I710" s="698"/>
      <c r="L710" s="247"/>
    </row>
    <row r="711" spans="3:12" s="326" customFormat="1" ht="9.9499999999999993" customHeight="1" x14ac:dyDescent="0.2">
      <c r="C711" s="327"/>
      <c r="E711" s="327"/>
      <c r="G711" s="327"/>
      <c r="I711" s="698"/>
      <c r="L711" s="247"/>
    </row>
    <row r="712" spans="3:12" s="326" customFormat="1" ht="9.9499999999999993" customHeight="1" x14ac:dyDescent="0.2">
      <c r="C712" s="327"/>
      <c r="E712" s="327"/>
      <c r="G712" s="327"/>
      <c r="I712" s="698"/>
      <c r="L712" s="247"/>
    </row>
    <row r="713" spans="3:12" s="326" customFormat="1" ht="9.9499999999999993" customHeight="1" x14ac:dyDescent="0.2">
      <c r="C713" s="327"/>
      <c r="E713" s="327"/>
      <c r="G713" s="327"/>
      <c r="I713" s="698"/>
      <c r="L713" s="247"/>
    </row>
    <row r="714" spans="3:12" s="326" customFormat="1" ht="9.9499999999999993" customHeight="1" x14ac:dyDescent="0.2">
      <c r="C714" s="327"/>
      <c r="E714" s="327"/>
      <c r="G714" s="327"/>
      <c r="I714" s="698"/>
      <c r="L714" s="247"/>
    </row>
    <row r="715" spans="3:12" s="326" customFormat="1" ht="9.9499999999999993" customHeight="1" x14ac:dyDescent="0.2">
      <c r="C715" s="327"/>
      <c r="E715" s="327"/>
      <c r="G715" s="327"/>
      <c r="I715" s="698"/>
      <c r="L715" s="247"/>
    </row>
    <row r="716" spans="3:12" s="326" customFormat="1" ht="9.9499999999999993" customHeight="1" x14ac:dyDescent="0.2">
      <c r="C716" s="327"/>
      <c r="E716" s="327"/>
      <c r="G716" s="327"/>
      <c r="I716" s="698"/>
      <c r="L716" s="247"/>
    </row>
    <row r="717" spans="3:12" s="326" customFormat="1" ht="9.9499999999999993" customHeight="1" x14ac:dyDescent="0.2">
      <c r="C717" s="327"/>
      <c r="E717" s="327"/>
      <c r="G717" s="327"/>
      <c r="I717" s="698"/>
      <c r="L717" s="247"/>
    </row>
    <row r="718" spans="3:12" s="326" customFormat="1" ht="9.9499999999999993" customHeight="1" x14ac:dyDescent="0.2">
      <c r="C718" s="327"/>
      <c r="E718" s="327"/>
      <c r="G718" s="327"/>
      <c r="I718" s="698"/>
      <c r="L718" s="247"/>
    </row>
    <row r="719" spans="3:12" s="326" customFormat="1" ht="9.9499999999999993" customHeight="1" x14ac:dyDescent="0.2">
      <c r="C719" s="327"/>
      <c r="E719" s="327"/>
      <c r="G719" s="327"/>
      <c r="I719" s="698"/>
      <c r="L719" s="247"/>
    </row>
    <row r="720" spans="3:12" s="326" customFormat="1" ht="9.9499999999999993" customHeight="1" x14ac:dyDescent="0.2">
      <c r="C720" s="327"/>
      <c r="E720" s="327"/>
      <c r="G720" s="327"/>
      <c r="I720" s="698"/>
      <c r="L720" s="247"/>
    </row>
    <row r="721" spans="3:12" s="326" customFormat="1" ht="9.9499999999999993" customHeight="1" x14ac:dyDescent="0.2">
      <c r="C721" s="327"/>
      <c r="E721" s="327"/>
      <c r="G721" s="327"/>
      <c r="I721" s="698"/>
      <c r="L721" s="247"/>
    </row>
    <row r="722" spans="3:12" s="326" customFormat="1" ht="9.9499999999999993" customHeight="1" x14ac:dyDescent="0.2">
      <c r="C722" s="327"/>
      <c r="E722" s="327"/>
      <c r="G722" s="327"/>
      <c r="I722" s="698"/>
      <c r="L722" s="247"/>
    </row>
    <row r="723" spans="3:12" s="326" customFormat="1" ht="9.9499999999999993" customHeight="1" x14ac:dyDescent="0.2">
      <c r="C723" s="327"/>
      <c r="E723" s="327"/>
      <c r="G723" s="327"/>
      <c r="I723" s="698"/>
      <c r="L723" s="247"/>
    </row>
    <row r="724" spans="3:12" s="326" customFormat="1" ht="9.9499999999999993" customHeight="1" x14ac:dyDescent="0.2">
      <c r="C724" s="327"/>
      <c r="E724" s="327"/>
      <c r="G724" s="327"/>
      <c r="I724" s="698"/>
      <c r="L724" s="247"/>
    </row>
    <row r="725" spans="3:12" s="326" customFormat="1" ht="9.9499999999999993" customHeight="1" x14ac:dyDescent="0.2">
      <c r="C725" s="327"/>
      <c r="E725" s="327"/>
      <c r="G725" s="327"/>
      <c r="I725" s="698"/>
      <c r="L725" s="247"/>
    </row>
    <row r="726" spans="3:12" s="326" customFormat="1" ht="9.9499999999999993" customHeight="1" x14ac:dyDescent="0.2">
      <c r="C726" s="327"/>
      <c r="E726" s="327"/>
      <c r="G726" s="327"/>
      <c r="I726" s="698"/>
      <c r="L726" s="247"/>
    </row>
    <row r="727" spans="3:12" s="326" customFormat="1" ht="9.9499999999999993" customHeight="1" x14ac:dyDescent="0.2">
      <c r="C727" s="327"/>
      <c r="E727" s="327"/>
      <c r="G727" s="327"/>
      <c r="I727" s="698"/>
      <c r="L727" s="247"/>
    </row>
    <row r="728" spans="3:12" s="326" customFormat="1" ht="9.9499999999999993" customHeight="1" x14ac:dyDescent="0.2">
      <c r="C728" s="327"/>
      <c r="E728" s="327"/>
      <c r="G728" s="327"/>
      <c r="I728" s="698"/>
      <c r="L728" s="247"/>
    </row>
    <row r="729" spans="3:12" s="326" customFormat="1" ht="9.9499999999999993" customHeight="1" x14ac:dyDescent="0.2">
      <c r="C729" s="327"/>
      <c r="E729" s="327"/>
      <c r="G729" s="327"/>
      <c r="I729" s="698"/>
      <c r="L729" s="247"/>
    </row>
    <row r="730" spans="3:12" s="326" customFormat="1" ht="9.9499999999999993" customHeight="1" x14ac:dyDescent="0.2">
      <c r="C730" s="327"/>
      <c r="E730" s="327"/>
      <c r="G730" s="327"/>
      <c r="I730" s="698"/>
      <c r="L730" s="247"/>
    </row>
    <row r="731" spans="3:12" s="326" customFormat="1" ht="9.9499999999999993" customHeight="1" x14ac:dyDescent="0.2">
      <c r="C731" s="327"/>
      <c r="E731" s="327"/>
      <c r="G731" s="327"/>
      <c r="I731" s="698"/>
      <c r="L731" s="247"/>
    </row>
    <row r="732" spans="3:12" s="326" customFormat="1" ht="9.9499999999999993" customHeight="1" x14ac:dyDescent="0.2">
      <c r="C732" s="327"/>
      <c r="E732" s="327"/>
      <c r="G732" s="327"/>
      <c r="I732" s="698"/>
      <c r="L732" s="247"/>
    </row>
    <row r="733" spans="3:12" s="326" customFormat="1" ht="9.9499999999999993" customHeight="1" x14ac:dyDescent="0.2">
      <c r="C733" s="327"/>
      <c r="E733" s="327"/>
      <c r="G733" s="327"/>
      <c r="I733" s="698"/>
      <c r="L733" s="247"/>
    </row>
    <row r="734" spans="3:12" s="326" customFormat="1" ht="9.9499999999999993" customHeight="1" x14ac:dyDescent="0.2">
      <c r="C734" s="327"/>
      <c r="E734" s="327"/>
      <c r="G734" s="327"/>
      <c r="I734" s="698"/>
      <c r="L734" s="247"/>
    </row>
    <row r="735" spans="3:12" s="326" customFormat="1" ht="9.9499999999999993" customHeight="1" x14ac:dyDescent="0.2">
      <c r="C735" s="327"/>
      <c r="E735" s="327"/>
      <c r="G735" s="327"/>
      <c r="I735" s="698"/>
      <c r="L735" s="247"/>
    </row>
    <row r="736" spans="3:12" s="326" customFormat="1" ht="9.9499999999999993" customHeight="1" x14ac:dyDescent="0.2">
      <c r="C736" s="327"/>
      <c r="E736" s="327"/>
      <c r="G736" s="327"/>
      <c r="I736" s="698"/>
      <c r="L736" s="247"/>
    </row>
    <row r="737" spans="3:12" s="326" customFormat="1" ht="9.9499999999999993" customHeight="1" x14ac:dyDescent="0.2">
      <c r="C737" s="327"/>
      <c r="E737" s="327"/>
      <c r="G737" s="327"/>
      <c r="I737" s="698"/>
      <c r="L737" s="247"/>
    </row>
    <row r="738" spans="3:12" s="326" customFormat="1" ht="9.9499999999999993" customHeight="1" x14ac:dyDescent="0.2">
      <c r="C738" s="327"/>
      <c r="E738" s="327"/>
      <c r="G738" s="327"/>
      <c r="I738" s="698"/>
      <c r="L738" s="247"/>
    </row>
    <row r="739" spans="3:12" s="326" customFormat="1" ht="9.9499999999999993" customHeight="1" x14ac:dyDescent="0.2">
      <c r="C739" s="327"/>
      <c r="E739" s="327"/>
      <c r="G739" s="327"/>
      <c r="I739" s="698"/>
      <c r="L739" s="247"/>
    </row>
    <row r="740" spans="3:12" s="326" customFormat="1" ht="9.9499999999999993" customHeight="1" x14ac:dyDescent="0.2">
      <c r="C740" s="327"/>
      <c r="E740" s="327"/>
      <c r="G740" s="327"/>
      <c r="I740" s="698"/>
      <c r="L740" s="247"/>
    </row>
    <row r="741" spans="3:12" s="326" customFormat="1" ht="9.9499999999999993" customHeight="1" x14ac:dyDescent="0.2">
      <c r="C741" s="327"/>
      <c r="E741" s="327"/>
      <c r="G741" s="327"/>
      <c r="I741" s="698"/>
      <c r="L741" s="247"/>
    </row>
    <row r="742" spans="3:12" s="326" customFormat="1" ht="9.9499999999999993" customHeight="1" x14ac:dyDescent="0.2">
      <c r="C742" s="327"/>
      <c r="E742" s="327"/>
      <c r="G742" s="327"/>
      <c r="I742" s="698"/>
      <c r="L742" s="247"/>
    </row>
    <row r="743" spans="3:12" s="326" customFormat="1" ht="9.9499999999999993" customHeight="1" x14ac:dyDescent="0.2">
      <c r="C743" s="327"/>
      <c r="E743" s="327"/>
      <c r="G743" s="327"/>
      <c r="I743" s="698"/>
      <c r="L743" s="247"/>
    </row>
    <row r="744" spans="3:12" s="326" customFormat="1" ht="9.9499999999999993" customHeight="1" x14ac:dyDescent="0.2">
      <c r="C744" s="327"/>
      <c r="E744" s="327"/>
      <c r="G744" s="327"/>
      <c r="I744" s="698"/>
      <c r="L744" s="247"/>
    </row>
    <row r="745" spans="3:12" s="326" customFormat="1" ht="9.9499999999999993" customHeight="1" x14ac:dyDescent="0.2">
      <c r="C745" s="327"/>
      <c r="E745" s="327"/>
      <c r="G745" s="327"/>
      <c r="I745" s="698"/>
      <c r="L745" s="247"/>
    </row>
    <row r="746" spans="3:12" s="326" customFormat="1" ht="9.9499999999999993" customHeight="1" x14ac:dyDescent="0.2">
      <c r="C746" s="327"/>
      <c r="E746" s="327"/>
      <c r="G746" s="327"/>
      <c r="I746" s="698"/>
      <c r="L746" s="247"/>
    </row>
    <row r="747" spans="3:12" s="326" customFormat="1" ht="9.9499999999999993" customHeight="1" x14ac:dyDescent="0.2">
      <c r="C747" s="327"/>
      <c r="E747" s="327"/>
      <c r="G747" s="327"/>
      <c r="I747" s="698"/>
      <c r="L747" s="247"/>
    </row>
    <row r="748" spans="3:12" s="326" customFormat="1" ht="9.9499999999999993" customHeight="1" x14ac:dyDescent="0.2">
      <c r="C748" s="327"/>
      <c r="E748" s="327"/>
      <c r="G748" s="327"/>
      <c r="I748" s="698"/>
      <c r="L748" s="247"/>
    </row>
    <row r="749" spans="3:12" s="326" customFormat="1" ht="9.9499999999999993" customHeight="1" x14ac:dyDescent="0.2">
      <c r="C749" s="327"/>
      <c r="E749" s="327"/>
      <c r="G749" s="327"/>
      <c r="I749" s="698"/>
      <c r="L749" s="247"/>
    </row>
    <row r="750" spans="3:12" s="326" customFormat="1" ht="9.9499999999999993" customHeight="1" x14ac:dyDescent="0.2">
      <c r="C750" s="327"/>
      <c r="E750" s="327"/>
      <c r="G750" s="327"/>
      <c r="I750" s="698"/>
      <c r="L750" s="247"/>
    </row>
    <row r="751" spans="3:12" s="326" customFormat="1" ht="9.9499999999999993" customHeight="1" x14ac:dyDescent="0.2">
      <c r="C751" s="327"/>
      <c r="E751" s="327"/>
      <c r="G751" s="327"/>
      <c r="I751" s="698"/>
      <c r="L751" s="247"/>
    </row>
    <row r="752" spans="3:12" s="326" customFormat="1" ht="9.9499999999999993" customHeight="1" x14ac:dyDescent="0.2">
      <c r="C752" s="327"/>
      <c r="E752" s="327"/>
      <c r="G752" s="327"/>
      <c r="I752" s="698"/>
      <c r="L752" s="247"/>
    </row>
    <row r="753" spans="3:12" s="326" customFormat="1" ht="9.9499999999999993" customHeight="1" x14ac:dyDescent="0.2">
      <c r="C753" s="327"/>
      <c r="E753" s="327"/>
      <c r="G753" s="327"/>
      <c r="I753" s="698"/>
      <c r="L753" s="247"/>
    </row>
    <row r="754" spans="3:12" s="326" customFormat="1" ht="9.9499999999999993" customHeight="1" x14ac:dyDescent="0.2">
      <c r="C754" s="327"/>
      <c r="E754" s="327"/>
      <c r="G754" s="327"/>
      <c r="I754" s="698"/>
      <c r="L754" s="247"/>
    </row>
    <row r="755" spans="3:12" s="326" customFormat="1" ht="9.9499999999999993" customHeight="1" x14ac:dyDescent="0.2">
      <c r="C755" s="327"/>
      <c r="E755" s="327"/>
      <c r="G755" s="327"/>
      <c r="I755" s="698"/>
      <c r="L755" s="247"/>
    </row>
    <row r="756" spans="3:12" s="326" customFormat="1" ht="9.9499999999999993" customHeight="1" x14ac:dyDescent="0.2">
      <c r="C756" s="327"/>
      <c r="E756" s="327"/>
      <c r="G756" s="327"/>
      <c r="I756" s="698"/>
      <c r="L756" s="247"/>
    </row>
    <row r="757" spans="3:12" s="326" customFormat="1" ht="9.9499999999999993" customHeight="1" x14ac:dyDescent="0.2">
      <c r="C757" s="327"/>
      <c r="E757" s="327"/>
      <c r="G757" s="327"/>
      <c r="I757" s="698"/>
      <c r="L757" s="247"/>
    </row>
    <row r="758" spans="3:12" s="326" customFormat="1" ht="9.9499999999999993" customHeight="1" x14ac:dyDescent="0.2">
      <c r="C758" s="327"/>
      <c r="E758" s="327"/>
      <c r="G758" s="327"/>
      <c r="I758" s="698"/>
      <c r="L758" s="247"/>
    </row>
    <row r="759" spans="3:12" s="326" customFormat="1" ht="9.9499999999999993" customHeight="1" x14ac:dyDescent="0.2">
      <c r="C759" s="327"/>
      <c r="E759" s="327"/>
      <c r="G759" s="327"/>
      <c r="I759" s="698"/>
      <c r="L759" s="247"/>
    </row>
    <row r="760" spans="3:12" s="326" customFormat="1" ht="9.9499999999999993" customHeight="1" x14ac:dyDescent="0.2">
      <c r="C760" s="327"/>
      <c r="E760" s="327"/>
      <c r="G760" s="327"/>
      <c r="I760" s="698"/>
      <c r="L760" s="247"/>
    </row>
    <row r="761" spans="3:12" s="326" customFormat="1" ht="9.9499999999999993" customHeight="1" x14ac:dyDescent="0.2">
      <c r="C761" s="327"/>
      <c r="E761" s="327"/>
      <c r="G761" s="327"/>
      <c r="I761" s="698"/>
      <c r="L761" s="247"/>
    </row>
    <row r="762" spans="3:12" s="326" customFormat="1" ht="9.9499999999999993" customHeight="1" x14ac:dyDescent="0.2">
      <c r="C762" s="327"/>
      <c r="E762" s="327"/>
      <c r="G762" s="327"/>
      <c r="I762" s="698"/>
      <c r="L762" s="247"/>
    </row>
    <row r="763" spans="3:12" s="326" customFormat="1" ht="9.9499999999999993" customHeight="1" x14ac:dyDescent="0.2">
      <c r="C763" s="327"/>
      <c r="E763" s="327"/>
      <c r="G763" s="327"/>
      <c r="I763" s="698"/>
      <c r="L763" s="247"/>
    </row>
    <row r="764" spans="3:12" s="326" customFormat="1" ht="9.9499999999999993" customHeight="1" x14ac:dyDescent="0.2">
      <c r="C764" s="327"/>
      <c r="E764" s="327"/>
      <c r="G764" s="327"/>
      <c r="I764" s="698"/>
      <c r="L764" s="247"/>
    </row>
    <row r="765" spans="3:12" s="326" customFormat="1" ht="9.9499999999999993" customHeight="1" x14ac:dyDescent="0.2">
      <c r="C765" s="327"/>
      <c r="E765" s="327"/>
      <c r="G765" s="327"/>
      <c r="I765" s="698"/>
      <c r="L765" s="247"/>
    </row>
    <row r="766" spans="3:12" s="326" customFormat="1" ht="9.9499999999999993" customHeight="1" x14ac:dyDescent="0.2">
      <c r="C766" s="327"/>
      <c r="E766" s="327"/>
      <c r="G766" s="327"/>
      <c r="I766" s="698"/>
      <c r="L766" s="247"/>
    </row>
    <row r="767" spans="3:12" s="326" customFormat="1" ht="9.9499999999999993" customHeight="1" x14ac:dyDescent="0.2">
      <c r="C767" s="327"/>
      <c r="E767" s="327"/>
      <c r="G767" s="327"/>
      <c r="I767" s="698"/>
      <c r="L767" s="247"/>
    </row>
    <row r="768" spans="3:12" s="326" customFormat="1" ht="9.9499999999999993" customHeight="1" x14ac:dyDescent="0.2">
      <c r="C768" s="327"/>
      <c r="E768" s="327"/>
      <c r="G768" s="327"/>
      <c r="I768" s="698"/>
      <c r="L768" s="247"/>
    </row>
    <row r="769" spans="3:12" s="326" customFormat="1" ht="9.9499999999999993" customHeight="1" x14ac:dyDescent="0.2">
      <c r="C769" s="327"/>
      <c r="E769" s="327"/>
      <c r="G769" s="327"/>
      <c r="I769" s="698"/>
      <c r="L769" s="247"/>
    </row>
    <row r="770" spans="3:12" s="326" customFormat="1" ht="9.9499999999999993" customHeight="1" x14ac:dyDescent="0.2">
      <c r="C770" s="327"/>
      <c r="E770" s="327"/>
      <c r="G770" s="327"/>
      <c r="I770" s="698"/>
      <c r="L770" s="247"/>
    </row>
    <row r="771" spans="3:12" s="326" customFormat="1" ht="9.9499999999999993" customHeight="1" x14ac:dyDescent="0.2">
      <c r="C771" s="327"/>
      <c r="E771" s="327"/>
      <c r="G771" s="327"/>
      <c r="I771" s="698"/>
      <c r="L771" s="247"/>
    </row>
    <row r="772" spans="3:12" s="326" customFormat="1" ht="9.9499999999999993" customHeight="1" x14ac:dyDescent="0.2">
      <c r="C772" s="327"/>
      <c r="E772" s="327"/>
      <c r="G772" s="327"/>
      <c r="I772" s="698"/>
      <c r="L772" s="247"/>
    </row>
    <row r="773" spans="3:12" s="326" customFormat="1" ht="9.9499999999999993" customHeight="1" x14ac:dyDescent="0.2">
      <c r="C773" s="327"/>
      <c r="E773" s="327"/>
      <c r="G773" s="327"/>
      <c r="I773" s="698"/>
      <c r="L773" s="247"/>
    </row>
    <row r="774" spans="3:12" s="326" customFormat="1" ht="9.9499999999999993" customHeight="1" x14ac:dyDescent="0.2">
      <c r="C774" s="327"/>
      <c r="E774" s="327"/>
      <c r="G774" s="327"/>
      <c r="I774" s="698"/>
      <c r="L774" s="247"/>
    </row>
    <row r="775" spans="3:12" s="326" customFormat="1" ht="9.9499999999999993" customHeight="1" x14ac:dyDescent="0.2">
      <c r="C775" s="327"/>
      <c r="E775" s="327"/>
      <c r="G775" s="327"/>
      <c r="I775" s="698"/>
      <c r="L775" s="247"/>
    </row>
    <row r="776" spans="3:12" s="326" customFormat="1" ht="9.9499999999999993" customHeight="1" x14ac:dyDescent="0.2">
      <c r="C776" s="327"/>
      <c r="E776" s="327"/>
      <c r="G776" s="327"/>
      <c r="I776" s="698"/>
      <c r="L776" s="247"/>
    </row>
    <row r="777" spans="3:12" s="326" customFormat="1" ht="9.9499999999999993" customHeight="1" x14ac:dyDescent="0.2">
      <c r="C777" s="327"/>
      <c r="E777" s="327"/>
      <c r="G777" s="327"/>
      <c r="I777" s="698"/>
      <c r="L777" s="247"/>
    </row>
    <row r="778" spans="3:12" s="326" customFormat="1" ht="9.9499999999999993" customHeight="1" x14ac:dyDescent="0.2">
      <c r="C778" s="327"/>
      <c r="E778" s="327"/>
      <c r="G778" s="327"/>
      <c r="I778" s="698"/>
      <c r="L778" s="247"/>
    </row>
    <row r="779" spans="3:12" s="326" customFormat="1" ht="9.9499999999999993" customHeight="1" x14ac:dyDescent="0.2">
      <c r="C779" s="327"/>
      <c r="E779" s="327"/>
      <c r="G779" s="327"/>
      <c r="I779" s="698"/>
      <c r="L779" s="247"/>
    </row>
    <row r="780" spans="3:12" s="326" customFormat="1" ht="9.9499999999999993" customHeight="1" x14ac:dyDescent="0.2">
      <c r="C780" s="327"/>
      <c r="E780" s="327"/>
      <c r="G780" s="327"/>
      <c r="I780" s="698"/>
      <c r="L780" s="247"/>
    </row>
    <row r="781" spans="3:12" s="326" customFormat="1" ht="9.9499999999999993" customHeight="1" x14ac:dyDescent="0.2">
      <c r="C781" s="327"/>
      <c r="E781" s="327"/>
      <c r="G781" s="327"/>
      <c r="I781" s="698"/>
      <c r="L781" s="247"/>
    </row>
    <row r="782" spans="3:12" s="326" customFormat="1" ht="9.9499999999999993" customHeight="1" x14ac:dyDescent="0.2">
      <c r="C782" s="327"/>
      <c r="E782" s="327"/>
      <c r="G782" s="327"/>
      <c r="I782" s="698"/>
      <c r="L782" s="247"/>
    </row>
    <row r="783" spans="3:12" s="326" customFormat="1" ht="9.9499999999999993" customHeight="1" x14ac:dyDescent="0.2">
      <c r="C783" s="327"/>
      <c r="E783" s="327"/>
      <c r="G783" s="327"/>
      <c r="I783" s="698"/>
      <c r="L783" s="247"/>
    </row>
    <row r="784" spans="3:12" s="326" customFormat="1" ht="9.9499999999999993" customHeight="1" x14ac:dyDescent="0.2">
      <c r="C784" s="327"/>
      <c r="E784" s="327"/>
      <c r="G784" s="327"/>
      <c r="I784" s="698"/>
      <c r="L784" s="247"/>
    </row>
    <row r="785" spans="3:12" s="326" customFormat="1" ht="9.9499999999999993" customHeight="1" x14ac:dyDescent="0.2">
      <c r="C785" s="327"/>
      <c r="E785" s="327"/>
      <c r="G785" s="327"/>
      <c r="I785" s="698"/>
      <c r="L785" s="247"/>
    </row>
    <row r="786" spans="3:12" s="326" customFormat="1" ht="9.9499999999999993" customHeight="1" x14ac:dyDescent="0.2">
      <c r="C786" s="327"/>
      <c r="E786" s="327"/>
      <c r="G786" s="327"/>
      <c r="I786" s="698"/>
      <c r="L786" s="247"/>
    </row>
    <row r="787" spans="3:12" s="326" customFormat="1" ht="9.9499999999999993" customHeight="1" x14ac:dyDescent="0.2">
      <c r="C787" s="327"/>
      <c r="E787" s="327"/>
      <c r="G787" s="327"/>
      <c r="I787" s="698"/>
      <c r="L787" s="247"/>
    </row>
    <row r="788" spans="3:12" s="326" customFormat="1" ht="9.9499999999999993" customHeight="1" x14ac:dyDescent="0.2">
      <c r="C788" s="327"/>
      <c r="E788" s="327"/>
      <c r="G788" s="327"/>
      <c r="I788" s="698"/>
      <c r="L788" s="247"/>
    </row>
    <row r="789" spans="3:12" s="326" customFormat="1" ht="9.9499999999999993" customHeight="1" x14ac:dyDescent="0.2">
      <c r="C789" s="327"/>
      <c r="E789" s="327"/>
      <c r="G789" s="327"/>
      <c r="I789" s="698"/>
      <c r="L789" s="247"/>
    </row>
    <row r="790" spans="3:12" s="326" customFormat="1" ht="9.9499999999999993" customHeight="1" x14ac:dyDescent="0.2">
      <c r="C790" s="327"/>
      <c r="E790" s="327"/>
      <c r="G790" s="327"/>
      <c r="I790" s="698"/>
      <c r="L790" s="247"/>
    </row>
    <row r="791" spans="3:12" s="326" customFormat="1" ht="9.9499999999999993" customHeight="1" x14ac:dyDescent="0.2">
      <c r="C791" s="327"/>
      <c r="E791" s="327"/>
      <c r="G791" s="327"/>
      <c r="I791" s="698"/>
      <c r="L791" s="247"/>
    </row>
    <row r="792" spans="3:12" s="326" customFormat="1" ht="9.9499999999999993" customHeight="1" x14ac:dyDescent="0.2">
      <c r="C792" s="327"/>
      <c r="E792" s="327"/>
      <c r="G792" s="327"/>
      <c r="I792" s="698"/>
      <c r="L792" s="247"/>
    </row>
    <row r="793" spans="3:12" s="326" customFormat="1" ht="9.9499999999999993" customHeight="1" x14ac:dyDescent="0.2">
      <c r="C793" s="327"/>
      <c r="E793" s="327"/>
      <c r="G793" s="327"/>
      <c r="I793" s="698"/>
      <c r="L793" s="247"/>
    </row>
    <row r="794" spans="3:12" s="326" customFormat="1" ht="9.9499999999999993" customHeight="1" x14ac:dyDescent="0.2">
      <c r="C794" s="327"/>
      <c r="E794" s="327"/>
      <c r="G794" s="327"/>
      <c r="I794" s="698"/>
      <c r="L794" s="247"/>
    </row>
    <row r="795" spans="3:12" s="326" customFormat="1" ht="9.9499999999999993" customHeight="1" x14ac:dyDescent="0.2">
      <c r="C795" s="327"/>
      <c r="E795" s="327"/>
      <c r="G795" s="327"/>
      <c r="I795" s="698"/>
      <c r="L795" s="247"/>
    </row>
    <row r="796" spans="3:12" s="326" customFormat="1" ht="9.9499999999999993" customHeight="1" x14ac:dyDescent="0.2">
      <c r="C796" s="327"/>
      <c r="E796" s="327"/>
      <c r="G796" s="327"/>
      <c r="I796" s="698"/>
      <c r="L796" s="247"/>
    </row>
    <row r="797" spans="3:12" s="326" customFormat="1" ht="9.9499999999999993" customHeight="1" x14ac:dyDescent="0.2">
      <c r="C797" s="327"/>
      <c r="E797" s="327"/>
      <c r="G797" s="327"/>
      <c r="I797" s="698"/>
      <c r="L797" s="247"/>
    </row>
    <row r="798" spans="3:12" s="326" customFormat="1" ht="9.9499999999999993" customHeight="1" x14ac:dyDescent="0.2">
      <c r="C798" s="327"/>
      <c r="E798" s="327"/>
      <c r="G798" s="327"/>
      <c r="I798" s="698"/>
      <c r="L798" s="247"/>
    </row>
    <row r="799" spans="3:12" s="326" customFormat="1" ht="9.9499999999999993" customHeight="1" x14ac:dyDescent="0.2">
      <c r="C799" s="327"/>
      <c r="E799" s="327"/>
      <c r="G799" s="327"/>
      <c r="I799" s="698"/>
      <c r="L799" s="247"/>
    </row>
    <row r="800" spans="3:12" s="326" customFormat="1" ht="9.9499999999999993" customHeight="1" x14ac:dyDescent="0.2">
      <c r="C800" s="327"/>
      <c r="E800" s="327"/>
      <c r="G800" s="327"/>
      <c r="I800" s="698"/>
      <c r="L800" s="247"/>
    </row>
    <row r="801" spans="3:12" s="326" customFormat="1" ht="9.9499999999999993" customHeight="1" x14ac:dyDescent="0.2">
      <c r="C801" s="327"/>
      <c r="E801" s="327"/>
      <c r="G801" s="327"/>
      <c r="I801" s="698"/>
      <c r="L801" s="247"/>
    </row>
    <row r="802" spans="3:12" s="326" customFormat="1" ht="9.9499999999999993" customHeight="1" x14ac:dyDescent="0.2">
      <c r="C802" s="327"/>
      <c r="E802" s="327"/>
      <c r="G802" s="327"/>
      <c r="I802" s="698"/>
      <c r="L802" s="247"/>
    </row>
    <row r="803" spans="3:12" s="326" customFormat="1" ht="9.9499999999999993" customHeight="1" x14ac:dyDescent="0.2">
      <c r="C803" s="327"/>
      <c r="E803" s="327"/>
      <c r="G803" s="327"/>
      <c r="I803" s="698"/>
      <c r="L803" s="247"/>
    </row>
    <row r="804" spans="3:12" s="326" customFormat="1" ht="9.9499999999999993" customHeight="1" x14ac:dyDescent="0.2">
      <c r="C804" s="327"/>
      <c r="E804" s="327"/>
      <c r="G804" s="327"/>
      <c r="I804" s="698"/>
      <c r="L804" s="247"/>
    </row>
    <row r="805" spans="3:12" s="326" customFormat="1" ht="9.9499999999999993" customHeight="1" x14ac:dyDescent="0.2">
      <c r="C805" s="327"/>
      <c r="E805" s="327"/>
      <c r="G805" s="327"/>
      <c r="I805" s="698"/>
      <c r="L805" s="247"/>
    </row>
    <row r="806" spans="3:12" s="326" customFormat="1" ht="9.9499999999999993" customHeight="1" x14ac:dyDescent="0.2">
      <c r="C806" s="327"/>
      <c r="E806" s="327"/>
      <c r="G806" s="327"/>
      <c r="I806" s="698"/>
      <c r="L806" s="247"/>
    </row>
    <row r="807" spans="3:12" s="326" customFormat="1" ht="9.9499999999999993" customHeight="1" x14ac:dyDescent="0.2">
      <c r="C807" s="327"/>
      <c r="E807" s="327"/>
      <c r="G807" s="327"/>
      <c r="I807" s="698"/>
      <c r="L807" s="247"/>
    </row>
    <row r="808" spans="3:12" s="326" customFormat="1" ht="9.9499999999999993" customHeight="1" x14ac:dyDescent="0.2">
      <c r="C808" s="327"/>
      <c r="E808" s="327"/>
      <c r="G808" s="327"/>
      <c r="I808" s="698"/>
      <c r="L808" s="247"/>
    </row>
    <row r="809" spans="3:12" s="326" customFormat="1" ht="9.9499999999999993" customHeight="1" x14ac:dyDescent="0.2">
      <c r="C809" s="327"/>
      <c r="E809" s="327"/>
      <c r="G809" s="327"/>
      <c r="I809" s="698"/>
      <c r="L809" s="247"/>
    </row>
    <row r="810" spans="3:12" s="326" customFormat="1" ht="9.9499999999999993" customHeight="1" x14ac:dyDescent="0.2">
      <c r="C810" s="327"/>
      <c r="E810" s="327"/>
      <c r="G810" s="327"/>
      <c r="I810" s="698"/>
      <c r="L810" s="247"/>
    </row>
    <row r="811" spans="3:12" s="326" customFormat="1" ht="9.9499999999999993" customHeight="1" x14ac:dyDescent="0.2">
      <c r="C811" s="327"/>
      <c r="E811" s="327"/>
      <c r="G811" s="327"/>
      <c r="I811" s="698"/>
      <c r="L811" s="247"/>
    </row>
    <row r="812" spans="3:12" s="326" customFormat="1" ht="9.9499999999999993" customHeight="1" x14ac:dyDescent="0.2">
      <c r="C812" s="327"/>
      <c r="E812" s="327"/>
      <c r="G812" s="327"/>
      <c r="I812" s="698"/>
      <c r="L812" s="247"/>
    </row>
    <row r="813" spans="3:12" s="326" customFormat="1" ht="9.9499999999999993" customHeight="1" x14ac:dyDescent="0.2">
      <c r="C813" s="327"/>
      <c r="E813" s="327"/>
      <c r="G813" s="327"/>
      <c r="I813" s="698"/>
      <c r="L813" s="247"/>
    </row>
  </sheetData>
  <mergeCells count="2">
    <mergeCell ref="A1:H1"/>
    <mergeCell ref="A4:G4"/>
  </mergeCells>
  <phoneticPr fontId="9" type="noConversion"/>
  <printOptions horizontalCentered="1"/>
  <pageMargins left="0.5" right="0.5" top="0.5" bottom="0.625"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theme="6" tint="0.39997558519241921"/>
    <pageSetUpPr fitToPage="1"/>
  </sheetPr>
  <dimension ref="A1:P822"/>
  <sheetViews>
    <sheetView view="pageBreakPreview" topLeftCell="A28" zoomScaleNormal="100" workbookViewId="0">
      <selection activeCell="C81" sqref="C81"/>
    </sheetView>
  </sheetViews>
  <sheetFormatPr defaultColWidth="9.140625" defaultRowHeight="9.9499999999999993" customHeight="1" x14ac:dyDescent="0.2"/>
  <cols>
    <col min="1" max="1" width="37.5703125" style="314" customWidth="1"/>
    <col min="2" max="2" width="1.5703125" style="329" customWidth="1"/>
    <col min="3" max="3" width="13.42578125" style="314" customWidth="1"/>
    <col min="4" max="4" width="1.5703125" style="329" customWidth="1"/>
    <col min="5" max="5" width="13.5703125" style="314" customWidth="1"/>
    <col min="6" max="6" width="1.5703125" style="329" customWidth="1"/>
    <col min="7" max="7" width="13.5703125" style="314" customWidth="1"/>
    <col min="8" max="8" width="1.5703125" style="314" customWidth="1"/>
    <col min="9" max="9" width="14.42578125" style="314" bestFit="1" customWidth="1"/>
    <col min="10" max="16384" width="9.140625" style="314"/>
  </cols>
  <sheetData>
    <row r="1" spans="1:16" s="247" customFormat="1" ht="16.5" customHeight="1" thickBot="1" x14ac:dyDescent="0.25">
      <c r="A1" s="1582" t="s">
        <v>1033</v>
      </c>
      <c r="B1" s="1582"/>
      <c r="C1" s="1582"/>
      <c r="D1" s="1582"/>
      <c r="E1" s="1582"/>
      <c r="F1" s="1582"/>
      <c r="G1" s="1582"/>
      <c r="H1" s="1582"/>
      <c r="I1" s="1582"/>
    </row>
    <row r="2" spans="1:16" s="247" customFormat="1" ht="15" customHeight="1" x14ac:dyDescent="0.2">
      <c r="A2" s="700" t="s">
        <v>32</v>
      </c>
      <c r="B2" s="310"/>
      <c r="C2" s="310"/>
      <c r="D2" s="310"/>
      <c r="E2" s="310"/>
      <c r="F2" s="310"/>
      <c r="G2" s="310"/>
      <c r="H2" s="310"/>
      <c r="I2" s="302"/>
    </row>
    <row r="3" spans="1:16" s="247" customFormat="1" ht="15" customHeight="1" x14ac:dyDescent="0.2">
      <c r="A3" s="700" t="s">
        <v>462</v>
      </c>
      <c r="B3" s="310"/>
      <c r="C3" s="310"/>
      <c r="D3" s="310"/>
      <c r="E3" s="310"/>
      <c r="F3" s="310"/>
      <c r="G3" s="310"/>
      <c r="H3" s="310"/>
      <c r="I3" s="302"/>
    </row>
    <row r="4" spans="1:16" s="247" customFormat="1" ht="12.95" customHeight="1" x14ac:dyDescent="0.2">
      <c r="A4" s="1579" t="s">
        <v>1725</v>
      </c>
      <c r="B4" s="1579"/>
      <c r="C4" s="1579"/>
      <c r="D4" s="1579"/>
      <c r="E4" s="1579"/>
      <c r="F4" s="1579"/>
      <c r="G4" s="1579"/>
      <c r="H4" s="1579"/>
      <c r="I4" s="311"/>
    </row>
    <row r="5" spans="1:16" s="247" customFormat="1" ht="12" customHeight="1" x14ac:dyDescent="0.2">
      <c r="A5" s="253" t="s">
        <v>972</v>
      </c>
      <c r="B5" s="433"/>
      <c r="C5" s="433"/>
      <c r="D5" s="433"/>
      <c r="E5" s="433"/>
      <c r="F5" s="433"/>
      <c r="G5" s="433"/>
      <c r="H5" s="433"/>
      <c r="I5" s="311"/>
    </row>
    <row r="6" spans="1:16" ht="12.6" customHeight="1" x14ac:dyDescent="0.2">
      <c r="A6" s="1597"/>
      <c r="B6" s="1597"/>
      <c r="C6" s="1597"/>
      <c r="D6" s="1597"/>
      <c r="E6" s="1597"/>
      <c r="F6" s="1597"/>
      <c r="G6" s="1597"/>
      <c r="H6" s="1597"/>
    </row>
    <row r="7" spans="1:16" s="212" customFormat="1" ht="12.6" customHeight="1" x14ac:dyDescent="0.2">
      <c r="A7" s="458"/>
      <c r="B7" s="458"/>
      <c r="C7" s="458"/>
      <c r="D7" s="458"/>
      <c r="E7" s="458"/>
      <c r="F7" s="458"/>
      <c r="G7" s="458"/>
      <c r="H7" s="458"/>
      <c r="I7" s="310" t="s">
        <v>671</v>
      </c>
    </row>
    <row r="8" spans="1:16" s="212" customFormat="1" ht="12.6" customHeight="1" x14ac:dyDescent="0.2">
      <c r="A8" s="458"/>
      <c r="C8" s="310" t="s">
        <v>866</v>
      </c>
      <c r="D8" s="458"/>
      <c r="E8" s="310" t="s">
        <v>861</v>
      </c>
      <c r="F8" s="458"/>
      <c r="G8" s="458"/>
      <c r="H8" s="458"/>
      <c r="I8" s="310" t="s">
        <v>1064</v>
      </c>
    </row>
    <row r="9" spans="1:16" s="336" customFormat="1" ht="12.6" customHeight="1" x14ac:dyDescent="0.2">
      <c r="C9" s="310" t="s">
        <v>867</v>
      </c>
      <c r="D9" s="310"/>
      <c r="E9" s="310" t="s">
        <v>862</v>
      </c>
      <c r="F9" s="310"/>
      <c r="G9" s="310" t="s">
        <v>863</v>
      </c>
      <c r="H9" s="310"/>
      <c r="I9" s="310" t="s">
        <v>669</v>
      </c>
    </row>
    <row r="10" spans="1:16" s="336" customFormat="1" ht="12.6" customHeight="1" x14ac:dyDescent="0.2">
      <c r="C10" s="574" t="s">
        <v>864</v>
      </c>
      <c r="D10" s="360"/>
      <c r="E10" s="574" t="s">
        <v>864</v>
      </c>
      <c r="F10" s="360"/>
      <c r="G10" s="574" t="s">
        <v>864</v>
      </c>
      <c r="H10" s="310"/>
      <c r="I10" s="574" t="s">
        <v>864</v>
      </c>
    </row>
    <row r="11" spans="1:16" s="253" customFormat="1" ht="9.9499999999999993" customHeight="1" x14ac:dyDescent="0.2">
      <c r="A11" s="417" t="s">
        <v>868</v>
      </c>
      <c r="B11" s="362"/>
      <c r="D11" s="361"/>
      <c r="F11" s="361"/>
    </row>
    <row r="12" spans="1:16" s="253" customFormat="1" ht="9.9499999999999993" customHeight="1" x14ac:dyDescent="0.2">
      <c r="A12" s="425" t="s">
        <v>869</v>
      </c>
    </row>
    <row r="13" spans="1:16" s="253" customFormat="1" ht="9.9499999999999993" customHeight="1" x14ac:dyDescent="0.2">
      <c r="A13" s="426" t="s">
        <v>829</v>
      </c>
      <c r="B13" s="362"/>
      <c r="C13" s="339">
        <f>+'SR Tie SOREC'!I13</f>
        <v>50747</v>
      </c>
      <c r="D13" s="301"/>
      <c r="E13" s="339">
        <f>+'Cap Tie SOREC'!I12</f>
        <v>0</v>
      </c>
      <c r="F13" s="301"/>
      <c r="G13" s="339">
        <f>+'SORECGF Perm'!O13</f>
        <v>0</v>
      </c>
      <c r="H13" s="254"/>
      <c r="I13" s="339">
        <f t="shared" ref="I13:I26" si="0">SUM(C13:G13)</f>
        <v>50747</v>
      </c>
      <c r="P13" s="253">
        <v>0</v>
      </c>
    </row>
    <row r="14" spans="1:16" s="253" customFormat="1" ht="9.9499999999999993" customHeight="1" x14ac:dyDescent="0.2">
      <c r="A14" s="426" t="s">
        <v>830</v>
      </c>
      <c r="B14" s="342"/>
      <c r="C14" s="273">
        <f>+'SR Tie SOREC'!I14</f>
        <v>125211</v>
      </c>
      <c r="D14" s="342"/>
      <c r="E14" s="273">
        <f>+'Cap Tie SOREC'!I13</f>
        <v>0</v>
      </c>
      <c r="F14" s="342"/>
      <c r="G14" s="273">
        <f>+'SORECGF Perm'!O14</f>
        <v>0</v>
      </c>
      <c r="H14" s="273"/>
      <c r="I14" s="273">
        <f t="shared" si="0"/>
        <v>125211</v>
      </c>
    </row>
    <row r="15" spans="1:16" s="253" customFormat="1" ht="9.9499999999999993" hidden="1" customHeight="1" x14ac:dyDescent="0.2">
      <c r="A15" s="426" t="s">
        <v>831</v>
      </c>
      <c r="B15" s="342"/>
      <c r="C15" s="273">
        <f>+'SR Tie SOREC'!I15</f>
        <v>0</v>
      </c>
      <c r="D15" s="342"/>
      <c r="E15" s="273">
        <f>+'Cap Tie SOREC'!I14</f>
        <v>0</v>
      </c>
      <c r="F15" s="342"/>
      <c r="G15" s="273">
        <f>+'SORECGF Perm'!O15</f>
        <v>0</v>
      </c>
      <c r="H15" s="273"/>
      <c r="I15" s="273">
        <f t="shared" si="0"/>
        <v>0</v>
      </c>
    </row>
    <row r="16" spans="1:16" s="253" customFormat="1" ht="9.9499999999999993" customHeight="1" x14ac:dyDescent="0.2">
      <c r="A16" s="426" t="s">
        <v>827</v>
      </c>
      <c r="B16" s="342"/>
      <c r="C16" s="273">
        <f>+'SR Tie SOREC'!I16</f>
        <v>1718</v>
      </c>
      <c r="D16" s="342"/>
      <c r="E16" s="273">
        <f>+'Cap Tie SOREC'!I15</f>
        <v>0</v>
      </c>
      <c r="F16" s="342"/>
      <c r="G16" s="273">
        <f>+'SORECGF Perm'!O16</f>
        <v>0</v>
      </c>
      <c r="H16" s="273"/>
      <c r="I16" s="273">
        <f t="shared" si="0"/>
        <v>1718</v>
      </c>
    </row>
    <row r="17" spans="1:9" s="253" customFormat="1" ht="9.9499999999999993" customHeight="1" x14ac:dyDescent="0.2">
      <c r="A17" s="426" t="s">
        <v>832</v>
      </c>
      <c r="B17" s="342"/>
      <c r="C17" s="273">
        <f>+'SR Tie SOREC'!I17</f>
        <v>110048</v>
      </c>
      <c r="D17" s="342"/>
      <c r="E17" s="273">
        <f>+'Cap Tie SOREC'!I16</f>
        <v>0</v>
      </c>
      <c r="F17" s="342"/>
      <c r="G17" s="273">
        <f>+'SORECGF Perm'!O17</f>
        <v>0</v>
      </c>
      <c r="H17" s="273"/>
      <c r="I17" s="273">
        <f t="shared" si="0"/>
        <v>110048</v>
      </c>
    </row>
    <row r="18" spans="1:9" s="253" customFormat="1" ht="9.9499999999999993" customHeight="1" x14ac:dyDescent="0.2">
      <c r="A18" s="426" t="s">
        <v>944</v>
      </c>
      <c r="B18" s="342"/>
      <c r="C18" s="273">
        <f>+'SR Tie SOREC'!I18</f>
        <v>961</v>
      </c>
      <c r="D18" s="342"/>
      <c r="E18" s="273">
        <f>+'Cap Tie SOREC'!I17</f>
        <v>0</v>
      </c>
      <c r="F18" s="342"/>
      <c r="G18" s="273">
        <f>+'SORECGF Perm'!O18</f>
        <v>0</v>
      </c>
      <c r="H18" s="273"/>
      <c r="I18" s="273">
        <f t="shared" si="0"/>
        <v>961</v>
      </c>
    </row>
    <row r="19" spans="1:9" s="253" customFormat="1" ht="9.9499999999999993" hidden="1" customHeight="1" x14ac:dyDescent="0.2">
      <c r="A19" s="425" t="s">
        <v>945</v>
      </c>
      <c r="B19" s="342"/>
      <c r="C19" s="273">
        <f>+'SR Tie SOREC'!I19</f>
        <v>0</v>
      </c>
      <c r="D19" s="342"/>
      <c r="E19" s="273">
        <f>+'Cap Tie SOREC'!I18</f>
        <v>0</v>
      </c>
      <c r="F19" s="342"/>
      <c r="G19" s="273">
        <f>+'SORECGF Perm'!O19</f>
        <v>0</v>
      </c>
      <c r="H19" s="273"/>
      <c r="I19" s="273">
        <f t="shared" si="0"/>
        <v>0</v>
      </c>
    </row>
    <row r="20" spans="1:9" s="253" customFormat="1" ht="9.9499999999999993" customHeight="1" x14ac:dyDescent="0.2">
      <c r="A20" s="425" t="s">
        <v>946</v>
      </c>
      <c r="B20" s="342"/>
      <c r="C20" s="273">
        <f>+'SR Tie SOREC'!I20</f>
        <v>39407</v>
      </c>
      <c r="D20" s="342"/>
      <c r="E20" s="273">
        <f>+'Cap Tie SOREC'!I19</f>
        <v>27893</v>
      </c>
      <c r="F20" s="342"/>
      <c r="G20" s="273">
        <f>+'SORECGF Perm'!O20</f>
        <v>0</v>
      </c>
      <c r="H20" s="273"/>
      <c r="I20" s="273">
        <f t="shared" si="0"/>
        <v>67300</v>
      </c>
    </row>
    <row r="21" spans="1:9" s="253" customFormat="1" ht="9.9499999999999993" hidden="1" customHeight="1" x14ac:dyDescent="0.2">
      <c r="A21" s="425" t="s">
        <v>947</v>
      </c>
      <c r="B21" s="342"/>
      <c r="C21" s="273">
        <f>+'SR Tie SOREC'!I21</f>
        <v>0</v>
      </c>
      <c r="D21" s="342"/>
      <c r="E21" s="273">
        <f>+'Cap Tie SOREC'!I20</f>
        <v>0</v>
      </c>
      <c r="F21" s="342"/>
      <c r="G21" s="273">
        <f>+'SORECGF Perm'!O21</f>
        <v>0</v>
      </c>
      <c r="H21" s="273"/>
      <c r="I21" s="273">
        <f t="shared" si="0"/>
        <v>0</v>
      </c>
    </row>
    <row r="22" spans="1:9" s="253" customFormat="1" ht="9.9499999999999993" customHeight="1" x14ac:dyDescent="0.2">
      <c r="A22" s="425" t="s">
        <v>948</v>
      </c>
      <c r="B22" s="342"/>
      <c r="C22" s="273">
        <f>+'SR Tie SOREC'!I22</f>
        <v>158425</v>
      </c>
      <c r="D22" s="342"/>
      <c r="E22" s="273">
        <f>+'Cap Tie SOREC'!I21</f>
        <v>0</v>
      </c>
      <c r="F22" s="342"/>
      <c r="G22" s="273">
        <f>+'SORECGF Perm'!O22</f>
        <v>380</v>
      </c>
      <c r="H22" s="273"/>
      <c r="I22" s="273">
        <f t="shared" si="0"/>
        <v>158805</v>
      </c>
    </row>
    <row r="23" spans="1:9" s="253" customFormat="1" ht="9.9499999999999993" customHeight="1" x14ac:dyDescent="0.2">
      <c r="A23" s="425" t="s">
        <v>16</v>
      </c>
      <c r="B23" s="342"/>
      <c r="C23" s="273">
        <f>+'SR Tie SOREC'!I23</f>
        <v>304</v>
      </c>
      <c r="D23" s="342"/>
      <c r="E23" s="273">
        <f>+'Cap Tie SOREC'!I22</f>
        <v>0</v>
      </c>
      <c r="F23" s="342"/>
      <c r="G23" s="273">
        <f>+'SORECGF Perm'!O23</f>
        <v>0</v>
      </c>
      <c r="H23" s="273"/>
      <c r="I23" s="273">
        <f t="shared" si="0"/>
        <v>304</v>
      </c>
    </row>
    <row r="24" spans="1:9" s="253" customFormat="1" ht="9.9499999999999993" customHeight="1" x14ac:dyDescent="0.2">
      <c r="A24" s="425" t="s">
        <v>775</v>
      </c>
      <c r="C24" s="273">
        <f>+'SR Tie SOREC'!I24</f>
        <v>55593</v>
      </c>
      <c r="D24" s="301"/>
      <c r="E24" s="273">
        <f>+'Cap Tie SOREC'!I23</f>
        <v>42</v>
      </c>
      <c r="F24" s="301"/>
      <c r="G24" s="273">
        <f>+'SORECGF Perm'!O24</f>
        <v>0</v>
      </c>
      <c r="H24" s="254"/>
      <c r="I24" s="273">
        <f t="shared" si="0"/>
        <v>55635</v>
      </c>
    </row>
    <row r="25" spans="1:9" s="253" customFormat="1" ht="9.9499999999999993" customHeight="1" x14ac:dyDescent="0.2">
      <c r="A25" s="425" t="s">
        <v>1664</v>
      </c>
      <c r="B25" s="255"/>
      <c r="C25" s="254">
        <f>+'SR Tie SOREC'!I25</f>
        <v>36329</v>
      </c>
      <c r="D25" s="301"/>
      <c r="E25" s="254">
        <f>+'Cap Tie SOREC'!I24</f>
        <v>23207</v>
      </c>
      <c r="F25" s="301"/>
      <c r="G25" s="273">
        <f>+'SORECGF Perm'!O25</f>
        <v>450</v>
      </c>
      <c r="H25" s="254"/>
      <c r="I25" s="273">
        <f t="shared" si="0"/>
        <v>59986</v>
      </c>
    </row>
    <row r="26" spans="1:9" s="253" customFormat="1" ht="9.9499999999999993" customHeight="1" x14ac:dyDescent="0.2">
      <c r="A26" s="425" t="s">
        <v>766</v>
      </c>
      <c r="B26" s="362"/>
      <c r="C26" s="254">
        <f>+'SR Tie SOREC'!I26</f>
        <v>6876</v>
      </c>
      <c r="D26" s="301"/>
      <c r="E26" s="273">
        <f>+'Cap Tie SOREC'!I25</f>
        <v>0</v>
      </c>
      <c r="F26" s="301"/>
      <c r="G26" s="273">
        <f>+'SORECGF Perm'!O26</f>
        <v>0</v>
      </c>
      <c r="H26" s="254"/>
      <c r="I26" s="273">
        <f t="shared" si="0"/>
        <v>6876</v>
      </c>
    </row>
    <row r="27" spans="1:9" s="253" customFormat="1" ht="5.0999999999999996" customHeight="1" x14ac:dyDescent="0.2">
      <c r="A27" s="425"/>
      <c r="B27" s="362"/>
      <c r="C27" s="366"/>
      <c r="D27" s="301"/>
      <c r="E27" s="366"/>
      <c r="F27" s="301"/>
      <c r="G27" s="366"/>
      <c r="H27" s="301"/>
      <c r="I27" s="366"/>
    </row>
    <row r="28" spans="1:9" s="253" customFormat="1" ht="9.9499999999999993" customHeight="1" x14ac:dyDescent="0.2">
      <c r="A28" s="417" t="s">
        <v>950</v>
      </c>
      <c r="B28" s="362"/>
      <c r="C28" s="254">
        <f>SUM(C13:C26)</f>
        <v>585619</v>
      </c>
      <c r="D28" s="301"/>
      <c r="E28" s="254">
        <f>SUM(E13:E26)</f>
        <v>51142</v>
      </c>
      <c r="F28" s="301"/>
      <c r="G28" s="254">
        <f>SUM(G13:G26)</f>
        <v>830</v>
      </c>
      <c r="H28" s="301"/>
      <c r="I28" s="254">
        <f>SUM(I13:I26)</f>
        <v>637591</v>
      </c>
    </row>
    <row r="29" spans="1:9" s="253" customFormat="1" ht="5.0999999999999996" customHeight="1" x14ac:dyDescent="0.2">
      <c r="A29" s="425"/>
      <c r="B29" s="362"/>
      <c r="C29" s="366"/>
      <c r="D29" s="301"/>
      <c r="E29" s="366"/>
      <c r="F29" s="301"/>
      <c r="G29" s="366"/>
      <c r="H29" s="301"/>
      <c r="I29" s="366"/>
    </row>
    <row r="30" spans="1:9" s="253" customFormat="1" ht="9.9499999999999993" customHeight="1" x14ac:dyDescent="0.2">
      <c r="A30" s="417" t="s">
        <v>590</v>
      </c>
      <c r="B30" s="362"/>
      <c r="C30" s="273"/>
      <c r="D30" s="342"/>
      <c r="E30" s="273"/>
      <c r="F30" s="342"/>
      <c r="G30" s="273"/>
      <c r="H30" s="273"/>
      <c r="I30" s="273">
        <f>SUM(C30+E30+G30)</f>
        <v>0</v>
      </c>
    </row>
    <row r="31" spans="1:9" s="253" customFormat="1" ht="9.9499999999999993" customHeight="1" x14ac:dyDescent="0.2">
      <c r="A31" s="425" t="s">
        <v>952</v>
      </c>
      <c r="B31" s="362"/>
      <c r="C31" s="273"/>
      <c r="D31" s="342"/>
      <c r="E31" s="273"/>
      <c r="F31" s="342"/>
      <c r="G31" s="273"/>
      <c r="H31" s="273"/>
      <c r="I31" s="273">
        <f>SUM(C31+E31+G31)</f>
        <v>0</v>
      </c>
    </row>
    <row r="32" spans="1:9" s="253" customFormat="1" ht="9.9499999999999993" customHeight="1" x14ac:dyDescent="0.2">
      <c r="A32" s="426" t="s">
        <v>953</v>
      </c>
      <c r="B32" s="362"/>
      <c r="C32" s="273">
        <f>+'SR Tie SOREC'!I32</f>
        <v>14936</v>
      </c>
      <c r="D32" s="342"/>
      <c r="E32" s="273">
        <f>+'Cap Tie SOREC'!I31</f>
        <v>0</v>
      </c>
      <c r="F32" s="342"/>
      <c r="G32" s="273">
        <f>+'SORECGF Perm'!O32</f>
        <v>0</v>
      </c>
      <c r="H32" s="273"/>
      <c r="I32" s="273">
        <f t="shared" ref="I32:I55" si="1">SUM(C32:G32)</f>
        <v>14936</v>
      </c>
    </row>
    <row r="33" spans="1:9" s="253" customFormat="1" ht="9.9499999999999993" customHeight="1" x14ac:dyDescent="0.2">
      <c r="A33" s="426" t="s">
        <v>954</v>
      </c>
      <c r="B33" s="362"/>
      <c r="C33" s="273">
        <f>+'SR Tie SOREC'!I33</f>
        <v>10648</v>
      </c>
      <c r="D33" s="342"/>
      <c r="E33" s="273">
        <f>+'Cap Tie SOREC'!I32</f>
        <v>0</v>
      </c>
      <c r="F33" s="342"/>
      <c r="G33" s="273">
        <f>+'SORECGF Perm'!O33</f>
        <v>0</v>
      </c>
      <c r="H33" s="273"/>
      <c r="I33" s="273">
        <f t="shared" si="1"/>
        <v>10648</v>
      </c>
    </row>
    <row r="34" spans="1:9" s="253" customFormat="1" ht="9.9499999999999993" customHeight="1" x14ac:dyDescent="0.2">
      <c r="A34" s="426" t="s">
        <v>955</v>
      </c>
      <c r="B34" s="362"/>
      <c r="C34" s="273">
        <f>+'SR Tie SOREC'!I34</f>
        <v>63403</v>
      </c>
      <c r="D34" s="342"/>
      <c r="E34" s="273">
        <f>+'Cap Tie SOREC'!I33</f>
        <v>0</v>
      </c>
      <c r="F34" s="342"/>
      <c r="G34" s="273">
        <f>+'SORECGF Perm'!O34</f>
        <v>0</v>
      </c>
      <c r="H34" s="273"/>
      <c r="I34" s="273">
        <f t="shared" si="1"/>
        <v>63403</v>
      </c>
    </row>
    <row r="35" spans="1:9" s="253" customFormat="1" ht="9.9499999999999993" customHeight="1" x14ac:dyDescent="0.2">
      <c r="A35" s="426" t="s">
        <v>956</v>
      </c>
      <c r="B35" s="362"/>
      <c r="C35" s="273">
        <f>+'SR Tie SOREC'!I35</f>
        <v>9082</v>
      </c>
      <c r="D35" s="342"/>
      <c r="E35" s="273">
        <f>+'Cap Tie SOREC'!I34</f>
        <v>0</v>
      </c>
      <c r="F35" s="342"/>
      <c r="G35" s="273">
        <f>+'SORECGF Perm'!O35</f>
        <v>0</v>
      </c>
      <c r="H35" s="273"/>
      <c r="I35" s="273">
        <f t="shared" si="1"/>
        <v>9082</v>
      </c>
    </row>
    <row r="36" spans="1:9" s="253" customFormat="1" ht="9.9499999999999993" customHeight="1" x14ac:dyDescent="0.2">
      <c r="A36" s="426" t="s">
        <v>958</v>
      </c>
      <c r="B36" s="362"/>
      <c r="C36" s="273">
        <f>+'SR Tie SOREC'!I36</f>
        <v>12586</v>
      </c>
      <c r="D36" s="342"/>
      <c r="E36" s="273">
        <f>+'Cap Tie SOREC'!I35</f>
        <v>0</v>
      </c>
      <c r="F36" s="342"/>
      <c r="G36" s="273">
        <f>+'SORECGF Perm'!O36</f>
        <v>0</v>
      </c>
      <c r="H36" s="273"/>
      <c r="I36" s="273">
        <f t="shared" si="1"/>
        <v>12586</v>
      </c>
    </row>
    <row r="37" spans="1:9" s="253" customFormat="1" ht="9.9499999999999993" customHeight="1" x14ac:dyDescent="0.2">
      <c r="A37" s="426" t="s">
        <v>959</v>
      </c>
      <c r="B37" s="362"/>
      <c r="C37" s="273">
        <f>+'SR Tie SOREC'!I37</f>
        <v>1204</v>
      </c>
      <c r="D37" s="342"/>
      <c r="E37" s="273">
        <f>+'Cap Tie SOREC'!I36</f>
        <v>0</v>
      </c>
      <c r="F37" s="342"/>
      <c r="G37" s="273">
        <f>+'SORECGF Perm'!O37</f>
        <v>0</v>
      </c>
      <c r="H37" s="273"/>
      <c r="I37" s="273">
        <f t="shared" si="1"/>
        <v>1204</v>
      </c>
    </row>
    <row r="38" spans="1:9" s="253" customFormat="1" ht="9.9499999999999993" customHeight="1" x14ac:dyDescent="0.2">
      <c r="A38" s="426" t="s">
        <v>961</v>
      </c>
      <c r="B38" s="362"/>
      <c r="C38" s="273">
        <f>+'SR Tie SOREC'!I38</f>
        <v>73557</v>
      </c>
      <c r="D38" s="342"/>
      <c r="E38" s="273">
        <f>+'Cap Tie SOREC'!I37</f>
        <v>0</v>
      </c>
      <c r="F38" s="342"/>
      <c r="G38" s="273">
        <f>+'SORECGF Perm'!O38</f>
        <v>477</v>
      </c>
      <c r="H38" s="273"/>
      <c r="I38" s="273">
        <f t="shared" si="1"/>
        <v>74034</v>
      </c>
    </row>
    <row r="39" spans="1:9" s="253" customFormat="1" ht="9.9499999999999993" customHeight="1" x14ac:dyDescent="0.2">
      <c r="A39" s="426" t="s">
        <v>960</v>
      </c>
      <c r="B39" s="362"/>
      <c r="C39" s="273">
        <f>+'SR Tie SOREC'!I39</f>
        <v>77945</v>
      </c>
      <c r="D39" s="301"/>
      <c r="E39" s="273">
        <f>+'Cap Tie SOREC'!I38</f>
        <v>0</v>
      </c>
      <c r="F39" s="301"/>
      <c r="G39" s="273">
        <f>+'SORECGF Perm'!O39</f>
        <v>0</v>
      </c>
      <c r="H39" s="254"/>
      <c r="I39" s="273">
        <f t="shared" si="1"/>
        <v>77945</v>
      </c>
    </row>
    <row r="40" spans="1:9" s="253" customFormat="1" ht="9.9499999999999993" customHeight="1" x14ac:dyDescent="0.2">
      <c r="A40" s="426" t="s">
        <v>963</v>
      </c>
      <c r="B40" s="509"/>
      <c r="C40" s="273">
        <f>+'SR Tie SOREC'!I40</f>
        <v>32520</v>
      </c>
      <c r="D40" s="301"/>
      <c r="E40" s="273">
        <f>+'Cap Tie SOREC'!I39</f>
        <v>0</v>
      </c>
      <c r="F40" s="301"/>
      <c r="G40" s="273">
        <f>+'SORECGF Perm'!O40</f>
        <v>0</v>
      </c>
      <c r="H40" s="254"/>
      <c r="I40" s="273">
        <f t="shared" si="1"/>
        <v>32520</v>
      </c>
    </row>
    <row r="41" spans="1:9" s="253" customFormat="1" ht="9.9499999999999993" customHeight="1" x14ac:dyDescent="0.2">
      <c r="A41" s="426" t="s">
        <v>1191</v>
      </c>
      <c r="B41" s="509"/>
      <c r="C41" s="273">
        <f>+'SR Tie SOREC'!I41</f>
        <v>140161</v>
      </c>
      <c r="D41" s="301"/>
      <c r="E41" s="273">
        <f>+'Cap Tie SOREC'!I39</f>
        <v>0</v>
      </c>
      <c r="F41" s="301"/>
      <c r="G41" s="273">
        <f>+'SORECGF Perm'!O41</f>
        <v>0</v>
      </c>
      <c r="H41" s="254"/>
      <c r="I41" s="273">
        <f>SUM(C41:G41)</f>
        <v>140161</v>
      </c>
    </row>
    <row r="42" spans="1:9" s="253" customFormat="1" ht="9.9499999999999993" customHeight="1" x14ac:dyDescent="0.2">
      <c r="A42" s="426" t="s">
        <v>964</v>
      </c>
      <c r="B42" s="509"/>
      <c r="C42" s="273">
        <f>+'SR Tie SOREC'!I42</f>
        <v>41226</v>
      </c>
      <c r="D42" s="301"/>
      <c r="E42" s="273">
        <f>+'Cap Tie SOREC'!I40</f>
        <v>0</v>
      </c>
      <c r="F42" s="301"/>
      <c r="G42" s="273">
        <f>+'SORECGF Perm'!O42</f>
        <v>0</v>
      </c>
      <c r="H42" s="254"/>
      <c r="I42" s="273">
        <f>SUM(C42:G42)</f>
        <v>41226</v>
      </c>
    </row>
    <row r="43" spans="1:9" s="253" customFormat="1" ht="9.9499999999999993" customHeight="1" x14ac:dyDescent="0.2">
      <c r="A43" s="426" t="s">
        <v>1414</v>
      </c>
      <c r="B43" s="509"/>
      <c r="C43" s="273">
        <f>+'SR Tie SOREC'!I43</f>
        <v>114</v>
      </c>
      <c r="D43" s="301"/>
      <c r="E43" s="273">
        <f>+'Cap Tie SOREC'!I41</f>
        <v>0</v>
      </c>
      <c r="F43" s="301"/>
      <c r="G43" s="273">
        <f>+'SORECGF Perm'!O43</f>
        <v>0</v>
      </c>
      <c r="H43" s="254"/>
      <c r="I43" s="273">
        <f>SUM(C43:G43)</f>
        <v>114</v>
      </c>
    </row>
    <row r="44" spans="1:9" s="253" customFormat="1" ht="9.9499999999999993" customHeight="1" x14ac:dyDescent="0.2">
      <c r="A44" s="425" t="s">
        <v>888</v>
      </c>
      <c r="B44" s="509"/>
      <c r="C44" s="273">
        <f>+'SR Tie SOREC'!I44</f>
        <v>780</v>
      </c>
      <c r="D44" s="301"/>
      <c r="E44" s="273">
        <f>+'Cap Tie SOREC'!I43</f>
        <v>552377</v>
      </c>
      <c r="F44" s="301"/>
      <c r="G44" s="273">
        <f>+'SORECGF Perm'!O44</f>
        <v>0</v>
      </c>
      <c r="H44" s="254"/>
      <c r="I44" s="273">
        <f t="shared" si="1"/>
        <v>553157</v>
      </c>
    </row>
    <row r="45" spans="1:9" s="253" customFormat="1" ht="9.9499999999999993" customHeight="1" x14ac:dyDescent="0.2">
      <c r="A45" s="425" t="s">
        <v>965</v>
      </c>
      <c r="B45" s="509"/>
      <c r="C45" s="273">
        <f>+'SR Tie SOREC'!I45</f>
        <v>0</v>
      </c>
      <c r="D45" s="301"/>
      <c r="E45" s="273">
        <f>+'Cap Tie SOREC'!I44</f>
        <v>0</v>
      </c>
      <c r="F45" s="301"/>
      <c r="G45" s="273">
        <f>+'SORECGF Perm'!O45</f>
        <v>0</v>
      </c>
      <c r="H45" s="254"/>
      <c r="I45" s="273">
        <f t="shared" si="1"/>
        <v>0</v>
      </c>
    </row>
    <row r="46" spans="1:9" s="253" customFormat="1" ht="9.9499999999999993" customHeight="1" x14ac:dyDescent="0.2">
      <c r="A46" s="426" t="s">
        <v>966</v>
      </c>
      <c r="B46" s="509"/>
      <c r="C46" s="273">
        <f>+'SR Tie SOREC'!I46</f>
        <v>38349</v>
      </c>
      <c r="D46" s="301"/>
      <c r="E46" s="273">
        <f>+'Cap Tie SOREC'!I45</f>
        <v>0</v>
      </c>
      <c r="F46" s="301"/>
      <c r="G46" s="273">
        <f>+'SORECGF Perm'!O46</f>
        <v>0</v>
      </c>
      <c r="H46" s="254"/>
      <c r="I46" s="273">
        <f t="shared" si="1"/>
        <v>38349</v>
      </c>
    </row>
    <row r="47" spans="1:9" s="253" customFormat="1" ht="9.9499999999999993" customHeight="1" x14ac:dyDescent="0.2">
      <c r="A47" s="426" t="s">
        <v>949</v>
      </c>
      <c r="B47" s="509"/>
      <c r="C47" s="273">
        <f>+'SR Tie SOREC'!I47</f>
        <v>30340</v>
      </c>
      <c r="D47" s="301"/>
      <c r="E47" s="273">
        <f>+'Cap Tie SOREC'!I46</f>
        <v>0</v>
      </c>
      <c r="F47" s="301"/>
      <c r="G47" s="273">
        <f>+'SORECGF Perm'!O47</f>
        <v>0</v>
      </c>
      <c r="H47" s="254"/>
      <c r="I47" s="273">
        <f t="shared" si="1"/>
        <v>30340</v>
      </c>
    </row>
    <row r="48" spans="1:9" s="253" customFormat="1" ht="9.9499999999999993" customHeight="1" x14ac:dyDescent="0.2">
      <c r="A48" s="426" t="s">
        <v>91</v>
      </c>
      <c r="B48" s="509"/>
      <c r="C48" s="273">
        <f>+'SR Tie SOREC'!I48</f>
        <v>0</v>
      </c>
      <c r="D48" s="301"/>
      <c r="E48" s="273">
        <f>+'Cap Tie SOREC'!I47</f>
        <v>2731</v>
      </c>
      <c r="F48" s="301"/>
      <c r="G48" s="273">
        <f>+'SORECGF Perm'!O48</f>
        <v>0</v>
      </c>
      <c r="H48" s="254"/>
      <c r="I48" s="273">
        <f t="shared" si="1"/>
        <v>2731</v>
      </c>
    </row>
    <row r="49" spans="1:9" s="253" customFormat="1" ht="9.9499999999999993" customHeight="1" x14ac:dyDescent="0.2">
      <c r="A49" s="426" t="s">
        <v>968</v>
      </c>
      <c r="B49" s="509"/>
      <c r="C49" s="273">
        <f>+'SR Tie SOREC'!I49</f>
        <v>225</v>
      </c>
      <c r="D49" s="301"/>
      <c r="E49" s="273">
        <f>+'Cap Tie SOREC'!I48</f>
        <v>1326</v>
      </c>
      <c r="F49" s="301"/>
      <c r="G49" s="273">
        <f>+'SORECGF Perm'!O49</f>
        <v>0</v>
      </c>
      <c r="H49" s="254"/>
      <c r="I49" s="273">
        <f t="shared" si="1"/>
        <v>1551</v>
      </c>
    </row>
    <row r="50" spans="1:9" s="253" customFormat="1" ht="9.9499999999999993" customHeight="1" x14ac:dyDescent="0.2">
      <c r="A50" s="425" t="s">
        <v>1595</v>
      </c>
      <c r="B50" s="509"/>
      <c r="C50" s="273"/>
      <c r="D50" s="301"/>
      <c r="E50" s="273"/>
      <c r="F50" s="301"/>
      <c r="G50" s="273"/>
      <c r="H50" s="254"/>
      <c r="I50" s="273">
        <f t="shared" si="1"/>
        <v>0</v>
      </c>
    </row>
    <row r="51" spans="1:9" s="253" customFormat="1" ht="9.9499999999999993" customHeight="1" x14ac:dyDescent="0.2">
      <c r="A51" s="426" t="s">
        <v>966</v>
      </c>
      <c r="B51" s="509"/>
      <c r="C51" s="273">
        <f>+'SR Tie SOREC'!I51</f>
        <v>3033</v>
      </c>
      <c r="D51" s="301"/>
      <c r="E51" s="273">
        <f>+'Cap Tie SOREC'!I50</f>
        <v>0</v>
      </c>
      <c r="F51" s="301"/>
      <c r="G51" s="273">
        <f>+'SORECGF Perm'!O51</f>
        <v>0</v>
      </c>
      <c r="H51" s="254"/>
      <c r="I51" s="273">
        <f t="shared" si="1"/>
        <v>3033</v>
      </c>
    </row>
    <row r="52" spans="1:9" s="253" customFormat="1" ht="9.9499999999999993" customHeight="1" x14ac:dyDescent="0.2">
      <c r="A52" s="426" t="s">
        <v>949</v>
      </c>
      <c r="B52" s="509"/>
      <c r="C52" s="273">
        <f>+'SR Tie SOREC'!I52</f>
        <v>497</v>
      </c>
      <c r="D52" s="301"/>
      <c r="E52" s="273">
        <f>+'Cap Tie SOREC'!I51</f>
        <v>0</v>
      </c>
      <c r="F52" s="301"/>
      <c r="G52" s="273">
        <f>+'SORECGF Perm'!O52</f>
        <v>0</v>
      </c>
      <c r="H52" s="254"/>
      <c r="I52" s="273">
        <f t="shared" si="1"/>
        <v>497</v>
      </c>
    </row>
    <row r="53" spans="1:9" s="253" customFormat="1" ht="9.9499999999999993" customHeight="1" x14ac:dyDescent="0.2">
      <c r="A53" s="425" t="s">
        <v>1641</v>
      </c>
      <c r="B53" s="509"/>
      <c r="C53" s="273"/>
      <c r="D53" s="301"/>
      <c r="E53" s="273"/>
      <c r="F53" s="301"/>
      <c r="G53" s="273"/>
      <c r="H53" s="254"/>
      <c r="I53" s="273">
        <f t="shared" si="1"/>
        <v>0</v>
      </c>
    </row>
    <row r="54" spans="1:9" s="253" customFormat="1" ht="9.9499999999999993" customHeight="1" x14ac:dyDescent="0.2">
      <c r="A54" s="426" t="s">
        <v>966</v>
      </c>
      <c r="B54" s="509"/>
      <c r="C54" s="273">
        <f>'SR Tie SOREC'!I54</f>
        <v>702</v>
      </c>
      <c r="D54" s="301"/>
      <c r="E54" s="273">
        <f>'Cap Tie SOREC'!I53</f>
        <v>0</v>
      </c>
      <c r="F54" s="301"/>
      <c r="G54" s="273">
        <f>'SORECGF Perm'!O54</f>
        <v>0</v>
      </c>
      <c r="H54" s="254"/>
      <c r="I54" s="273">
        <f t="shared" si="1"/>
        <v>702</v>
      </c>
    </row>
    <row r="55" spans="1:9" s="253" customFormat="1" ht="9.9499999999999993" customHeight="1" x14ac:dyDescent="0.2">
      <c r="A55" s="426" t="s">
        <v>949</v>
      </c>
      <c r="B55" s="509"/>
      <c r="C55" s="273">
        <f>'SR Tie SOREC'!I55</f>
        <v>53</v>
      </c>
      <c r="D55" s="301"/>
      <c r="E55" s="273">
        <f>'Cap Tie SOREC'!I54</f>
        <v>0</v>
      </c>
      <c r="F55" s="301"/>
      <c r="G55" s="273">
        <f>'SORECGF Perm'!O55</f>
        <v>0</v>
      </c>
      <c r="H55" s="254"/>
      <c r="I55" s="273">
        <f t="shared" si="1"/>
        <v>53</v>
      </c>
    </row>
    <row r="56" spans="1:9" s="253" customFormat="1" ht="5.0999999999999996" customHeight="1" x14ac:dyDescent="0.2">
      <c r="A56" s="425"/>
      <c r="B56" s="362"/>
      <c r="C56" s="366"/>
      <c r="D56" s="301"/>
      <c r="E56" s="366"/>
      <c r="F56" s="301"/>
      <c r="G56" s="366"/>
      <c r="H56" s="301"/>
      <c r="I56" s="366"/>
    </row>
    <row r="57" spans="1:9" s="253" customFormat="1" ht="11.1" customHeight="1" x14ac:dyDescent="0.2">
      <c r="A57" s="417" t="s">
        <v>970</v>
      </c>
      <c r="B57" s="362"/>
      <c r="C57" s="345">
        <f>SUM(C30:C55)</f>
        <v>551361</v>
      </c>
      <c r="D57" s="301"/>
      <c r="E57" s="345">
        <f t="shared" ref="E57" si="2">SUM(E30:E55)</f>
        <v>556434</v>
      </c>
      <c r="F57" s="301"/>
      <c r="G57" s="345">
        <f t="shared" ref="G57" si="3">SUM(G30:G55)</f>
        <v>477</v>
      </c>
      <c r="H57" s="301"/>
      <c r="I57" s="345">
        <f t="shared" ref="I57" si="4">SUM(I30:I55)</f>
        <v>1108272</v>
      </c>
    </row>
    <row r="58" spans="1:9" s="253" customFormat="1" ht="5.0999999999999996" customHeight="1" x14ac:dyDescent="0.2">
      <c r="A58" s="425"/>
      <c r="B58" s="362"/>
      <c r="C58" s="366"/>
      <c r="D58" s="301"/>
      <c r="E58" s="366"/>
      <c r="F58" s="301"/>
      <c r="G58" s="366"/>
      <c r="H58" s="301"/>
      <c r="I58" s="366"/>
    </row>
    <row r="59" spans="1:9" s="253" customFormat="1" ht="9.9499999999999993" customHeight="1" x14ac:dyDescent="0.2">
      <c r="A59" s="417" t="s">
        <v>19</v>
      </c>
      <c r="B59" s="362"/>
      <c r="C59" s="273"/>
      <c r="D59" s="342"/>
      <c r="E59" s="273"/>
      <c r="F59" s="342"/>
      <c r="G59" s="273"/>
      <c r="H59" s="273"/>
      <c r="I59" s="273"/>
    </row>
    <row r="60" spans="1:9" s="253" customFormat="1" ht="11.1" customHeight="1" x14ac:dyDescent="0.2">
      <c r="A60" s="644" t="s">
        <v>20</v>
      </c>
      <c r="B60" s="362"/>
      <c r="C60" s="341">
        <f>+C28-C57</f>
        <v>34258</v>
      </c>
      <c r="D60" s="342"/>
      <c r="E60" s="341">
        <f>+E28-E57</f>
        <v>-505292</v>
      </c>
      <c r="F60" s="342"/>
      <c r="G60" s="341">
        <f>+G28-G57</f>
        <v>353</v>
      </c>
      <c r="H60" s="342"/>
      <c r="I60" s="341">
        <f>+I28-I57</f>
        <v>-470681</v>
      </c>
    </row>
    <row r="61" spans="1:9" s="253" customFormat="1" ht="5.0999999999999996" customHeight="1" x14ac:dyDescent="0.2">
      <c r="A61" s="425"/>
      <c r="B61" s="362"/>
      <c r="C61" s="366"/>
      <c r="D61" s="301"/>
      <c r="E61" s="366"/>
      <c r="F61" s="301"/>
      <c r="G61" s="366"/>
      <c r="H61" s="301"/>
      <c r="I61" s="366"/>
    </row>
    <row r="62" spans="1:9" s="253" customFormat="1" ht="9.9499999999999993" customHeight="1" x14ac:dyDescent="0.2">
      <c r="A62" s="417" t="s">
        <v>34</v>
      </c>
      <c r="B62" s="362"/>
      <c r="C62" s="273"/>
      <c r="D62" s="342"/>
      <c r="E62" s="273"/>
      <c r="F62" s="342"/>
      <c r="G62" s="273"/>
      <c r="H62" s="273"/>
      <c r="I62" s="273"/>
    </row>
    <row r="63" spans="1:9" s="253" customFormat="1" ht="9.9499999999999993" customHeight="1" x14ac:dyDescent="0.2">
      <c r="A63" s="425" t="s">
        <v>667</v>
      </c>
      <c r="B63" s="362"/>
      <c r="C63" s="273">
        <f>+'SR Tie SOREC'!I63</f>
        <v>30737</v>
      </c>
      <c r="D63" s="342"/>
      <c r="E63" s="273">
        <f>+'Cap Tie SOREC'!I62</f>
        <v>211305</v>
      </c>
      <c r="F63" s="342"/>
      <c r="G63" s="273">
        <f>+'SORECGF Perm'!O63</f>
        <v>0</v>
      </c>
      <c r="H63" s="273"/>
      <c r="I63" s="273">
        <f t="shared" ref="I63:I72" si="5">SUM(C63:G63)</f>
        <v>242042</v>
      </c>
    </row>
    <row r="64" spans="1:9" s="253" customFormat="1" ht="9.9499999999999993" hidden="1" customHeight="1" x14ac:dyDescent="0.2">
      <c r="A64" s="425" t="s">
        <v>1235</v>
      </c>
      <c r="B64" s="362"/>
      <c r="C64" s="273">
        <f>+'SR Tie SOREC'!I64</f>
        <v>0</v>
      </c>
      <c r="D64" s="342"/>
      <c r="E64" s="273">
        <f>+'Cap Tie SOREC'!I63</f>
        <v>0</v>
      </c>
      <c r="F64" s="342"/>
      <c r="G64" s="273">
        <f>+'SORECGF Perm'!O64</f>
        <v>0</v>
      </c>
      <c r="H64" s="273"/>
      <c r="I64" s="273">
        <f>SUM(C64:G64)</f>
        <v>0</v>
      </c>
    </row>
    <row r="65" spans="1:9" s="253" customFormat="1" ht="9.9499999999999993" hidden="1" customHeight="1" x14ac:dyDescent="0.2">
      <c r="A65" s="425" t="s">
        <v>973</v>
      </c>
      <c r="B65" s="362"/>
      <c r="C65" s="273">
        <f>+'SR Tie SOREC'!I65</f>
        <v>0</v>
      </c>
      <c r="D65" s="342"/>
      <c r="E65" s="273">
        <f>+'Cap Tie SOREC'!I64</f>
        <v>0</v>
      </c>
      <c r="F65" s="342"/>
      <c r="G65" s="273">
        <f>+'SORECGF Perm'!O65</f>
        <v>0</v>
      </c>
      <c r="H65" s="273"/>
      <c r="I65" s="273">
        <f>SUM(C65:G65)</f>
        <v>0</v>
      </c>
    </row>
    <row r="66" spans="1:9" s="253" customFormat="1" ht="9.9499999999999993" hidden="1" customHeight="1" x14ac:dyDescent="0.2">
      <c r="A66" s="425" t="s">
        <v>666</v>
      </c>
      <c r="B66" s="362"/>
      <c r="C66" s="273">
        <f>+'SR Tie SOREC'!I66</f>
        <v>0</v>
      </c>
      <c r="D66" s="342"/>
      <c r="E66" s="273">
        <f>+'Cap Tie SOREC'!I65</f>
        <v>0</v>
      </c>
      <c r="F66" s="342"/>
      <c r="G66" s="273">
        <f>+'SORECGF Perm'!O66</f>
        <v>0</v>
      </c>
      <c r="H66" s="273"/>
      <c r="I66" s="273">
        <f t="shared" si="5"/>
        <v>0</v>
      </c>
    </row>
    <row r="67" spans="1:9" s="253" customFormat="1" ht="9.9499999999999993" customHeight="1" x14ac:dyDescent="0.2">
      <c r="A67" s="425" t="s">
        <v>1581</v>
      </c>
      <c r="B67" s="362"/>
      <c r="C67" s="273">
        <f>+'SR Tie SOREC'!I67</f>
        <v>2630</v>
      </c>
      <c r="D67" s="342"/>
      <c r="E67" s="273">
        <f>+'Cap Tie SOREC'!I66</f>
        <v>0</v>
      </c>
      <c r="F67" s="342"/>
      <c r="G67" s="273">
        <f>+'SORECGF Perm'!O67</f>
        <v>0</v>
      </c>
      <c r="H67" s="273"/>
      <c r="I67" s="273">
        <f t="shared" ref="I67" si="6">SUM(C67:G67)</f>
        <v>2630</v>
      </c>
    </row>
    <row r="68" spans="1:9" s="253" customFormat="1" ht="9.9499999999999993" customHeight="1" x14ac:dyDescent="0.2">
      <c r="A68" s="425" t="s">
        <v>1642</v>
      </c>
      <c r="B68" s="362"/>
      <c r="C68" s="273">
        <f>+'SR Tie SOREC'!I68</f>
        <v>758</v>
      </c>
      <c r="D68" s="342"/>
      <c r="E68" s="273">
        <f>+'Cap Tie SOREC'!I67</f>
        <v>0</v>
      </c>
      <c r="F68" s="342"/>
      <c r="G68" s="273">
        <f>+'SORECGF Perm'!O68</f>
        <v>0</v>
      </c>
      <c r="H68" s="273"/>
      <c r="I68" s="273">
        <f t="shared" ref="I68" si="7">SUM(C68:G68)</f>
        <v>758</v>
      </c>
    </row>
    <row r="69" spans="1:9" s="253" customFormat="1" ht="9.9499999999999993" hidden="1" customHeight="1" x14ac:dyDescent="0.2">
      <c r="A69" s="425" t="s">
        <v>668</v>
      </c>
      <c r="B69" s="362"/>
      <c r="C69" s="273">
        <f>+'SR Tie SOREC'!I69</f>
        <v>0</v>
      </c>
      <c r="D69" s="342"/>
      <c r="E69" s="273">
        <f>+'Cap Tie SOREC'!I68</f>
        <v>0</v>
      </c>
      <c r="F69" s="342"/>
      <c r="G69" s="273">
        <f>+'SORECGF Perm'!O69</f>
        <v>0</v>
      </c>
      <c r="H69" s="273"/>
      <c r="I69" s="273">
        <f t="shared" si="5"/>
        <v>0</v>
      </c>
    </row>
    <row r="70" spans="1:9" s="253" customFormat="1" ht="9.9499999999999993" customHeight="1" x14ac:dyDescent="0.2">
      <c r="A70" s="425" t="s">
        <v>1134</v>
      </c>
      <c r="B70" s="362"/>
      <c r="C70" s="273">
        <f>+'SR Tie SOREC'!I70</f>
        <v>1333</v>
      </c>
      <c r="D70" s="342"/>
      <c r="E70" s="273">
        <f>+'Cap Tie SOREC'!I69</f>
        <v>13741</v>
      </c>
      <c r="F70" s="342"/>
      <c r="G70" s="273">
        <f>+'SORECGF Perm'!O70</f>
        <v>0</v>
      </c>
      <c r="H70" s="273"/>
      <c r="I70" s="273">
        <f t="shared" si="5"/>
        <v>15074</v>
      </c>
    </row>
    <row r="71" spans="1:9" s="253" customFormat="1" ht="9.9499999999999993" customHeight="1" x14ac:dyDescent="0.2">
      <c r="A71" s="425" t="s">
        <v>21</v>
      </c>
      <c r="B71" s="362"/>
      <c r="C71" s="273">
        <f>+'SR Tie SOREC'!I71</f>
        <v>214257</v>
      </c>
      <c r="D71" s="342"/>
      <c r="E71" s="273">
        <f>+'Cap Tie SOREC'!I70</f>
        <v>513173</v>
      </c>
      <c r="F71" s="342"/>
      <c r="G71" s="273">
        <f>+'SORECGF Perm'!O71</f>
        <v>0</v>
      </c>
      <c r="H71" s="273"/>
      <c r="I71" s="273">
        <f t="shared" si="5"/>
        <v>727430</v>
      </c>
    </row>
    <row r="72" spans="1:9" s="253" customFormat="1" ht="9.9499999999999993" customHeight="1" x14ac:dyDescent="0.2">
      <c r="A72" s="425" t="s">
        <v>22</v>
      </c>
      <c r="B72" s="362"/>
      <c r="C72" s="273">
        <f>+'SR Tie SOREC'!I72</f>
        <v>-296282</v>
      </c>
      <c r="D72" s="342"/>
      <c r="E72" s="273">
        <f>+'Cap Tie SOREC'!I71</f>
        <v>-248369</v>
      </c>
      <c r="F72" s="342"/>
      <c r="G72" s="273">
        <f>+'SORECGF Perm'!O72</f>
        <v>0</v>
      </c>
      <c r="H72" s="273"/>
      <c r="I72" s="273">
        <f t="shared" si="5"/>
        <v>-544651</v>
      </c>
    </row>
    <row r="73" spans="1:9" s="253" customFormat="1" ht="5.0999999999999996" customHeight="1" x14ac:dyDescent="0.2">
      <c r="A73" s="425"/>
      <c r="B73" s="362"/>
      <c r="C73" s="366"/>
      <c r="D73" s="301"/>
      <c r="E73" s="366"/>
      <c r="F73" s="301"/>
      <c r="G73" s="366"/>
      <c r="H73" s="301"/>
      <c r="I73" s="366"/>
    </row>
    <row r="74" spans="1:9" s="253" customFormat="1" ht="9.9499999999999993" customHeight="1" x14ac:dyDescent="0.2">
      <c r="A74" s="417" t="s">
        <v>1334</v>
      </c>
      <c r="B74" s="362"/>
      <c r="C74" s="341">
        <f>SUM(C63:C72)</f>
        <v>-46567</v>
      </c>
      <c r="D74" s="342"/>
      <c r="E74" s="341">
        <f>SUM(E63:E72)</f>
        <v>489850</v>
      </c>
      <c r="F74" s="342"/>
      <c r="G74" s="341">
        <f>SUM(G63:G72)</f>
        <v>0</v>
      </c>
      <c r="H74" s="273"/>
      <c r="I74" s="341">
        <f>SUM(I63:I72)</f>
        <v>443283</v>
      </c>
    </row>
    <row r="75" spans="1:9" s="253" customFormat="1" ht="5.0999999999999996" customHeight="1" x14ac:dyDescent="0.2">
      <c r="A75" s="425"/>
      <c r="B75" s="362"/>
      <c r="C75" s="366"/>
      <c r="D75" s="301"/>
      <c r="E75" s="366"/>
      <c r="F75" s="301"/>
      <c r="G75" s="366"/>
      <c r="H75" s="301"/>
      <c r="I75" s="366"/>
    </row>
    <row r="76" spans="1:9" s="381" customFormat="1" ht="9.9499999999999993" customHeight="1" x14ac:dyDescent="0.2">
      <c r="A76" s="417" t="s">
        <v>989</v>
      </c>
      <c r="B76" s="517"/>
      <c r="C76" s="273">
        <f>+C60+C74</f>
        <v>-12309</v>
      </c>
      <c r="D76" s="342"/>
      <c r="E76" s="273">
        <f>+E60+E74</f>
        <v>-15442</v>
      </c>
      <c r="F76" s="342"/>
      <c r="G76" s="273">
        <f>+G60+G74</f>
        <v>353</v>
      </c>
      <c r="H76" s="342"/>
      <c r="I76" s="273">
        <f>+I60+I74</f>
        <v>-27398</v>
      </c>
    </row>
    <row r="77" spans="1:9" s="253" customFormat="1" ht="5.0999999999999996" customHeight="1" x14ac:dyDescent="0.2">
      <c r="A77" s="418"/>
      <c r="B77" s="362"/>
      <c r="D77" s="362"/>
      <c r="F77" s="362"/>
    </row>
    <row r="78" spans="1:9" s="253" customFormat="1" ht="9.9499999999999993" customHeight="1" x14ac:dyDescent="0.2">
      <c r="A78" s="418" t="s">
        <v>1771</v>
      </c>
      <c r="B78" s="362"/>
      <c r="C78" s="273">
        <f>642312+14684</f>
        <v>656996</v>
      </c>
      <c r="D78" s="362"/>
      <c r="E78" s="273">
        <v>389248</v>
      </c>
      <c r="F78" s="362"/>
      <c r="G78" s="273">
        <v>7669</v>
      </c>
      <c r="I78" s="273">
        <f>SUM(C78:G78)</f>
        <v>1053913</v>
      </c>
    </row>
    <row r="79" spans="1:9" s="253" customFormat="1" ht="5.0999999999999996" hidden="1" customHeight="1" x14ac:dyDescent="0.2">
      <c r="A79" s="418"/>
      <c r="B79" s="362"/>
      <c r="C79" s="340"/>
      <c r="D79" s="362"/>
      <c r="E79" s="340"/>
      <c r="F79" s="362"/>
      <c r="G79" s="340"/>
      <c r="I79" s="340"/>
    </row>
    <row r="80" spans="1:9" s="253" customFormat="1" ht="9.9499999999999993" hidden="1" customHeight="1" x14ac:dyDescent="0.2">
      <c r="A80" s="418" t="s">
        <v>1715</v>
      </c>
      <c r="B80" s="362"/>
      <c r="C80" s="273"/>
      <c r="D80" s="362"/>
      <c r="E80" s="273"/>
      <c r="F80" s="362"/>
      <c r="G80" s="273"/>
      <c r="I80" s="273"/>
    </row>
    <row r="81" spans="1:9" s="253" customFormat="1" ht="5.0999999999999996" customHeight="1" x14ac:dyDescent="0.2">
      <c r="A81" s="418"/>
      <c r="B81" s="362"/>
      <c r="C81" s="273"/>
      <c r="D81" s="362"/>
      <c r="E81" s="273"/>
      <c r="F81" s="362"/>
      <c r="G81" s="273"/>
      <c r="I81" s="273"/>
    </row>
    <row r="82" spans="1:9" s="253" customFormat="1" ht="9.9499999999999993" customHeight="1" x14ac:dyDescent="0.2">
      <c r="A82" s="418" t="s">
        <v>1716</v>
      </c>
      <c r="B82" s="362"/>
      <c r="C82" s="273">
        <f>'SR Tie SOREC'!I82</f>
        <v>-424</v>
      </c>
      <c r="D82" s="362"/>
      <c r="E82" s="273"/>
      <c r="F82" s="362"/>
      <c r="G82" s="273"/>
      <c r="I82" s="273">
        <f t="shared" ref="I82" si="8">SUM(C82:G82)</f>
        <v>-424</v>
      </c>
    </row>
    <row r="83" spans="1:9" s="253" customFormat="1" ht="5.0999999999999996" customHeight="1" x14ac:dyDescent="0.2">
      <c r="A83" s="418"/>
      <c r="B83" s="362"/>
      <c r="C83" s="273"/>
      <c r="D83" s="362"/>
      <c r="E83" s="273"/>
      <c r="F83" s="362"/>
      <c r="G83" s="273"/>
      <c r="I83" s="273"/>
    </row>
    <row r="84" spans="1:9" s="253" customFormat="1" ht="9.9499999999999993" hidden="1" customHeight="1" x14ac:dyDescent="0.2">
      <c r="A84" s="418" t="s">
        <v>1717</v>
      </c>
      <c r="B84" s="362"/>
      <c r="C84" s="273"/>
      <c r="D84" s="362"/>
      <c r="E84" s="273"/>
      <c r="F84" s="362"/>
      <c r="G84" s="273"/>
      <c r="I84" s="273"/>
    </row>
    <row r="85" spans="1:9" s="253" customFormat="1" ht="5.0999999999999996" hidden="1" customHeight="1" x14ac:dyDescent="0.2">
      <c r="A85" s="418"/>
      <c r="B85" s="362"/>
      <c r="C85" s="273"/>
      <c r="D85" s="362"/>
      <c r="E85" s="273"/>
      <c r="F85" s="362"/>
      <c r="G85" s="273"/>
      <c r="I85" s="273"/>
    </row>
    <row r="86" spans="1:9" s="253" customFormat="1" ht="9.9499999999999993" customHeight="1" x14ac:dyDescent="0.2">
      <c r="A86" s="425" t="s">
        <v>1770</v>
      </c>
      <c r="B86" s="362"/>
      <c r="C86" s="273">
        <f>SUM(C78:C85)</f>
        <v>656572</v>
      </c>
      <c r="D86" s="362"/>
      <c r="E86" s="273">
        <f>SUM(E78:E85)</f>
        <v>389248</v>
      </c>
      <c r="F86" s="362"/>
      <c r="G86" s="273">
        <f>SUM(G78:G85)</f>
        <v>7669</v>
      </c>
      <c r="I86" s="273">
        <f>SUM(I78:I85)</f>
        <v>1053489</v>
      </c>
    </row>
    <row r="87" spans="1:9" s="253" customFormat="1" ht="5.0999999999999996" customHeight="1" x14ac:dyDescent="0.2">
      <c r="A87" s="425"/>
      <c r="B87" s="362"/>
      <c r="C87" s="366"/>
      <c r="D87" s="301"/>
      <c r="E87" s="366"/>
      <c r="F87" s="301"/>
      <c r="G87" s="366"/>
      <c r="H87" s="301"/>
      <c r="I87" s="366"/>
    </row>
    <row r="88" spans="1:9" s="253" customFormat="1" ht="9.9499999999999993" customHeight="1" thickBot="1" x14ac:dyDescent="0.25">
      <c r="A88" s="417" t="s">
        <v>991</v>
      </c>
      <c r="B88" s="362"/>
      <c r="C88" s="344">
        <f>+C86+C76</f>
        <v>644263</v>
      </c>
      <c r="D88" s="362"/>
      <c r="E88" s="344">
        <f>+E86+E76</f>
        <v>373806</v>
      </c>
      <c r="F88" s="362"/>
      <c r="G88" s="344">
        <f>+G86+G76</f>
        <v>8022</v>
      </c>
      <c r="H88" s="362"/>
      <c r="I88" s="344">
        <f>+I86+I76</f>
        <v>1026091</v>
      </c>
    </row>
    <row r="89" spans="1:9" s="253" customFormat="1" ht="9.9499999999999993" customHeight="1" thickTop="1" x14ac:dyDescent="0.2">
      <c r="A89" s="418"/>
      <c r="B89" s="362"/>
      <c r="D89" s="362"/>
      <c r="F89" s="362"/>
    </row>
    <row r="90" spans="1:9" s="253" customFormat="1" ht="9.9499999999999993" customHeight="1" x14ac:dyDescent="0.2">
      <c r="A90" s="418"/>
      <c r="B90" s="362"/>
    </row>
    <row r="91" spans="1:9" s="253" customFormat="1" ht="9.9499999999999993" customHeight="1" x14ac:dyDescent="0.2">
      <c r="A91" s="417"/>
      <c r="B91" s="362"/>
      <c r="D91" s="362"/>
      <c r="F91" s="362"/>
    </row>
    <row r="92" spans="1:9" s="511" customFormat="1" ht="9.9499999999999993" customHeight="1" x14ac:dyDescent="0.2">
      <c r="A92" s="1014" t="s">
        <v>992</v>
      </c>
      <c r="B92" s="512"/>
      <c r="C92" s="511">
        <f>SUM('Nonmajor BS'!B65-'Nonmajor SOREC'!C88)</f>
        <v>0</v>
      </c>
      <c r="D92" s="512"/>
      <c r="E92" s="511">
        <f>SUM('Nonmajor BS'!D65-'Nonmajor SOREC'!E88)</f>
        <v>0</v>
      </c>
      <c r="F92" s="512"/>
      <c r="G92" s="511">
        <f>SUM('Nonmajor BS'!F65-'Nonmajor SOREC'!G88)</f>
        <v>0</v>
      </c>
      <c r="I92" s="511">
        <f>SUM('Nonmajor BS'!H65-'Nonmajor SOREC'!I88)</f>
        <v>0</v>
      </c>
    </row>
    <row r="93" spans="1:9" s="422" customFormat="1" ht="9.9499999999999993" customHeight="1" x14ac:dyDescent="0.2">
      <c r="B93" s="423"/>
      <c r="D93" s="423"/>
      <c r="F93" s="423"/>
    </row>
    <row r="94" spans="1:9" s="422" customFormat="1" ht="9.9499999999999993" customHeight="1" x14ac:dyDescent="0.2">
      <c r="B94" s="423"/>
      <c r="D94" s="423"/>
      <c r="F94" s="423"/>
    </row>
    <row r="95" spans="1:9" s="422" customFormat="1" ht="9.9499999999999993" customHeight="1" x14ac:dyDescent="0.2">
      <c r="B95" s="423"/>
      <c r="D95" s="423"/>
      <c r="F95" s="423"/>
    </row>
    <row r="96" spans="1:9" s="422" customFormat="1" ht="9.9499999999999993" customHeight="1" x14ac:dyDescent="0.2">
      <c r="B96" s="423"/>
      <c r="D96" s="423"/>
      <c r="F96" s="423"/>
    </row>
    <row r="97" spans="2:6" s="422" customFormat="1" ht="9.9499999999999993" customHeight="1" x14ac:dyDescent="0.2">
      <c r="B97" s="423"/>
      <c r="D97" s="423"/>
      <c r="F97" s="423"/>
    </row>
    <row r="98" spans="2:6" s="422" customFormat="1" ht="9.9499999999999993" customHeight="1" x14ac:dyDescent="0.2">
      <c r="B98" s="423"/>
      <c r="D98" s="423"/>
      <c r="F98" s="423"/>
    </row>
    <row r="99" spans="2:6" s="422" customFormat="1" ht="9.9499999999999993" customHeight="1" x14ac:dyDescent="0.2">
      <c r="B99" s="423"/>
      <c r="D99" s="423"/>
      <c r="F99" s="423"/>
    </row>
    <row r="100" spans="2:6" s="422" customFormat="1" ht="9.9499999999999993" customHeight="1" x14ac:dyDescent="0.2">
      <c r="B100" s="423"/>
      <c r="D100" s="423"/>
      <c r="F100" s="423"/>
    </row>
    <row r="101" spans="2:6" s="422" customFormat="1" ht="9.9499999999999993" customHeight="1" x14ac:dyDescent="0.2">
      <c r="B101" s="423"/>
      <c r="D101" s="423"/>
      <c r="F101" s="423"/>
    </row>
    <row r="102" spans="2:6" s="422" customFormat="1" ht="9.9499999999999993" customHeight="1" x14ac:dyDescent="0.2">
      <c r="B102" s="423"/>
      <c r="D102" s="423"/>
      <c r="F102" s="423"/>
    </row>
    <row r="103" spans="2:6" s="422" customFormat="1" ht="9.9499999999999993" customHeight="1" x14ac:dyDescent="0.2">
      <c r="B103" s="423"/>
      <c r="D103" s="423"/>
      <c r="F103" s="423"/>
    </row>
    <row r="104" spans="2:6" s="422" customFormat="1" ht="9.9499999999999993" customHeight="1" x14ac:dyDescent="0.2">
      <c r="B104" s="423"/>
      <c r="D104" s="423"/>
      <c r="F104" s="423"/>
    </row>
    <row r="105" spans="2:6" s="422" customFormat="1" ht="9.9499999999999993" customHeight="1" x14ac:dyDescent="0.2">
      <c r="B105" s="423"/>
      <c r="D105" s="423"/>
      <c r="F105" s="423"/>
    </row>
    <row r="106" spans="2:6" s="422" customFormat="1" ht="9.9499999999999993" customHeight="1" x14ac:dyDescent="0.2">
      <c r="B106" s="423"/>
      <c r="D106" s="423"/>
      <c r="F106" s="423"/>
    </row>
    <row r="107" spans="2:6" s="422" customFormat="1" ht="9.9499999999999993" customHeight="1" x14ac:dyDescent="0.2">
      <c r="B107" s="423"/>
      <c r="D107" s="423"/>
      <c r="F107" s="423"/>
    </row>
    <row r="108" spans="2:6" s="422" customFormat="1" ht="9.9499999999999993" customHeight="1" x14ac:dyDescent="0.2">
      <c r="B108" s="423"/>
      <c r="D108" s="423"/>
      <c r="F108" s="423"/>
    </row>
    <row r="109" spans="2:6" s="422" customFormat="1" ht="9.9499999999999993" customHeight="1" x14ac:dyDescent="0.2">
      <c r="B109" s="423"/>
      <c r="D109" s="423"/>
      <c r="F109" s="423"/>
    </row>
    <row r="110" spans="2:6" s="326" customFormat="1" ht="9.9499999999999993" customHeight="1" x14ac:dyDescent="0.2">
      <c r="B110" s="327"/>
      <c r="D110" s="327"/>
      <c r="F110" s="327"/>
    </row>
    <row r="111" spans="2:6" s="326" customFormat="1" ht="9.9499999999999993" customHeight="1" x14ac:dyDescent="0.2">
      <c r="B111" s="327"/>
      <c r="D111" s="327"/>
      <c r="F111" s="327"/>
    </row>
    <row r="112" spans="2:6" s="326" customFormat="1" ht="9.9499999999999993" customHeight="1" x14ac:dyDescent="0.2">
      <c r="B112" s="327"/>
      <c r="D112" s="327"/>
      <c r="F112" s="327"/>
    </row>
    <row r="113" spans="2:6" s="326" customFormat="1" ht="9.9499999999999993" customHeight="1" x14ac:dyDescent="0.2">
      <c r="B113" s="327"/>
      <c r="D113" s="327"/>
      <c r="F113" s="327"/>
    </row>
    <row r="114" spans="2:6" s="326" customFormat="1" ht="9.9499999999999993" customHeight="1" x14ac:dyDescent="0.2">
      <c r="B114" s="327"/>
      <c r="D114" s="327"/>
      <c r="F114" s="327"/>
    </row>
    <row r="115" spans="2:6" s="326" customFormat="1" ht="9.9499999999999993" customHeight="1" x14ac:dyDescent="0.2">
      <c r="B115" s="327"/>
      <c r="D115" s="327"/>
      <c r="F115" s="327"/>
    </row>
    <row r="116" spans="2:6" s="326" customFormat="1" ht="9.9499999999999993" customHeight="1" x14ac:dyDescent="0.2">
      <c r="B116" s="327"/>
      <c r="D116" s="327"/>
      <c r="F116" s="327"/>
    </row>
    <row r="117" spans="2:6" s="326" customFormat="1" ht="9.9499999999999993" customHeight="1" x14ac:dyDescent="0.2">
      <c r="B117" s="327"/>
      <c r="D117" s="327"/>
      <c r="F117" s="327"/>
    </row>
    <row r="118" spans="2:6" s="326" customFormat="1" ht="9.9499999999999993" customHeight="1" x14ac:dyDescent="0.2">
      <c r="B118" s="327"/>
      <c r="D118" s="327"/>
      <c r="F118" s="327"/>
    </row>
    <row r="119" spans="2:6" s="326" customFormat="1" ht="9.9499999999999993" customHeight="1" x14ac:dyDescent="0.2">
      <c r="B119" s="327"/>
      <c r="D119" s="327"/>
      <c r="F119" s="327"/>
    </row>
    <row r="120" spans="2:6" s="326" customFormat="1" ht="9.9499999999999993" customHeight="1" x14ac:dyDescent="0.2">
      <c r="B120" s="327"/>
      <c r="D120" s="327"/>
      <c r="F120" s="327"/>
    </row>
    <row r="121" spans="2:6" s="326" customFormat="1" ht="9.9499999999999993" customHeight="1" x14ac:dyDescent="0.2">
      <c r="B121" s="327"/>
      <c r="D121" s="327"/>
      <c r="F121" s="327"/>
    </row>
    <row r="122" spans="2:6" s="326" customFormat="1" ht="9.9499999999999993" customHeight="1" x14ac:dyDescent="0.2">
      <c r="B122" s="327"/>
      <c r="D122" s="327"/>
      <c r="F122" s="327"/>
    </row>
    <row r="123" spans="2:6" s="326" customFormat="1" ht="9.9499999999999993" customHeight="1" x14ac:dyDescent="0.2">
      <c r="B123" s="327"/>
      <c r="D123" s="327"/>
      <c r="F123" s="327"/>
    </row>
    <row r="124" spans="2:6" s="326" customFormat="1" ht="9.9499999999999993" customHeight="1" x14ac:dyDescent="0.2">
      <c r="B124" s="327"/>
      <c r="D124" s="327"/>
      <c r="F124" s="327"/>
    </row>
    <row r="125" spans="2:6" s="326" customFormat="1" ht="9.9499999999999993" customHeight="1" x14ac:dyDescent="0.2">
      <c r="B125" s="327"/>
      <c r="D125" s="327"/>
      <c r="F125" s="327"/>
    </row>
    <row r="126" spans="2:6" s="326" customFormat="1" ht="9.9499999999999993" customHeight="1" x14ac:dyDescent="0.2">
      <c r="B126" s="327"/>
      <c r="D126" s="327"/>
      <c r="F126" s="327"/>
    </row>
    <row r="127" spans="2:6" s="326" customFormat="1" ht="9.9499999999999993" customHeight="1" x14ac:dyDescent="0.2">
      <c r="B127" s="327"/>
      <c r="D127" s="327"/>
      <c r="F127" s="327"/>
    </row>
    <row r="128" spans="2:6" s="326" customFormat="1" ht="9.9499999999999993" customHeight="1" x14ac:dyDescent="0.2">
      <c r="B128" s="327"/>
      <c r="D128" s="327"/>
      <c r="F128" s="327"/>
    </row>
    <row r="129" spans="2:7" s="326" customFormat="1" ht="9.9499999999999993" customHeight="1" x14ac:dyDescent="0.2">
      <c r="B129" s="327"/>
      <c r="D129" s="327"/>
      <c r="F129" s="327"/>
    </row>
    <row r="130" spans="2:7" s="326" customFormat="1" ht="9.9499999999999993" customHeight="1" x14ac:dyDescent="0.2">
      <c r="B130" s="327"/>
      <c r="D130" s="327"/>
      <c r="F130" s="327"/>
    </row>
    <row r="131" spans="2:7" s="326" customFormat="1" ht="9.9499999999999993" customHeight="1" x14ac:dyDescent="0.2">
      <c r="B131" s="327"/>
      <c r="D131" s="327"/>
      <c r="F131" s="327"/>
    </row>
    <row r="132" spans="2:7" s="326" customFormat="1" ht="9.9499999999999993" customHeight="1" x14ac:dyDescent="0.2">
      <c r="B132" s="327"/>
      <c r="D132" s="327"/>
      <c r="F132" s="327"/>
    </row>
    <row r="133" spans="2:7" s="326" customFormat="1" ht="9.9499999999999993" customHeight="1" x14ac:dyDescent="0.2">
      <c r="B133" s="327"/>
      <c r="D133" s="327"/>
      <c r="F133" s="327"/>
    </row>
    <row r="134" spans="2:7" s="326" customFormat="1" ht="9.9499999999999993" customHeight="1" x14ac:dyDescent="0.2">
      <c r="B134" s="327"/>
      <c r="D134" s="327"/>
      <c r="F134" s="327"/>
    </row>
    <row r="135" spans="2:7" s="326" customFormat="1" ht="9.9499999999999993" customHeight="1" x14ac:dyDescent="0.2">
      <c r="B135" s="327"/>
      <c r="D135" s="327"/>
      <c r="F135" s="327"/>
    </row>
    <row r="136" spans="2:7" s="326" customFormat="1" ht="9.9499999999999993" customHeight="1" x14ac:dyDescent="0.2">
      <c r="B136" s="327"/>
      <c r="D136" s="327"/>
      <c r="F136" s="327"/>
    </row>
    <row r="137" spans="2:7" s="326" customFormat="1" ht="9.9499999999999993" customHeight="1" x14ac:dyDescent="0.2">
      <c r="B137" s="327"/>
      <c r="D137" s="327"/>
      <c r="F137" s="327"/>
    </row>
    <row r="138" spans="2:7" s="326" customFormat="1" ht="9.9499999999999993" customHeight="1" x14ac:dyDescent="0.2">
      <c r="B138" s="327"/>
      <c r="D138" s="327"/>
      <c r="F138" s="327"/>
    </row>
    <row r="139" spans="2:7" s="326" customFormat="1" ht="9.9499999999999993" customHeight="1" x14ac:dyDescent="0.2">
      <c r="B139" s="327"/>
      <c r="D139" s="327"/>
      <c r="F139" s="327"/>
    </row>
    <row r="140" spans="2:7" s="326" customFormat="1" ht="9.9499999999999993" customHeight="1" x14ac:dyDescent="0.2">
      <c r="B140" s="327"/>
      <c r="D140" s="327"/>
      <c r="F140" s="327"/>
    </row>
    <row r="141" spans="2:7" s="326" customFormat="1" ht="9.9499999999999993" customHeight="1" x14ac:dyDescent="0.2">
      <c r="B141" s="327"/>
      <c r="D141" s="327"/>
      <c r="F141" s="327"/>
    </row>
    <row r="142" spans="2:7" s="326" customFormat="1" ht="9.9499999999999993" customHeight="1" x14ac:dyDescent="0.2">
      <c r="B142" s="327"/>
      <c r="D142" s="327"/>
      <c r="F142" s="327"/>
    </row>
    <row r="143" spans="2:7" s="326" customFormat="1" ht="9.9499999999999993" customHeight="1" x14ac:dyDescent="0.2">
      <c r="B143" s="327"/>
      <c r="D143" s="327"/>
      <c r="F143" s="327"/>
      <c r="G143" s="326">
        <v>21</v>
      </c>
    </row>
    <row r="144" spans="2:7" s="326" customFormat="1" ht="9.9499999999999993" customHeight="1" x14ac:dyDescent="0.2">
      <c r="B144" s="327"/>
      <c r="D144" s="327"/>
      <c r="F144" s="327"/>
    </row>
    <row r="145" spans="2:6" s="326" customFormat="1" ht="9.9499999999999993" customHeight="1" x14ac:dyDescent="0.2">
      <c r="B145" s="327"/>
      <c r="D145" s="327"/>
      <c r="F145" s="327"/>
    </row>
    <row r="146" spans="2:6" s="326" customFormat="1" ht="9.9499999999999993" customHeight="1" x14ac:dyDescent="0.2">
      <c r="B146" s="327"/>
      <c r="D146" s="327"/>
      <c r="F146" s="327"/>
    </row>
    <row r="147" spans="2:6" s="326" customFormat="1" ht="9.9499999999999993" customHeight="1" x14ac:dyDescent="0.2">
      <c r="B147" s="327"/>
      <c r="D147" s="327"/>
      <c r="F147" s="327"/>
    </row>
    <row r="148" spans="2:6" s="326" customFormat="1" ht="9.9499999999999993" customHeight="1" x14ac:dyDescent="0.2">
      <c r="B148" s="327"/>
      <c r="D148" s="327"/>
      <c r="F148" s="327"/>
    </row>
    <row r="149" spans="2:6" s="326" customFormat="1" ht="9.9499999999999993" customHeight="1" x14ac:dyDescent="0.2">
      <c r="B149" s="327"/>
      <c r="D149" s="327"/>
      <c r="F149" s="327"/>
    </row>
    <row r="150" spans="2:6" s="326" customFormat="1" ht="9.9499999999999993" customHeight="1" x14ac:dyDescent="0.2">
      <c r="B150" s="327"/>
      <c r="D150" s="327"/>
      <c r="F150" s="327"/>
    </row>
    <row r="151" spans="2:6" s="326" customFormat="1" ht="9.9499999999999993" customHeight="1" x14ac:dyDescent="0.2">
      <c r="B151" s="327"/>
      <c r="D151" s="327"/>
      <c r="F151" s="327"/>
    </row>
    <row r="152" spans="2:6" s="326" customFormat="1" ht="9.9499999999999993" customHeight="1" x14ac:dyDescent="0.2">
      <c r="B152" s="327"/>
      <c r="D152" s="327"/>
      <c r="F152" s="327"/>
    </row>
    <row r="153" spans="2:6" s="326" customFormat="1" ht="9.9499999999999993" customHeight="1" x14ac:dyDescent="0.2">
      <c r="B153" s="327"/>
      <c r="D153" s="327"/>
      <c r="F153" s="327"/>
    </row>
    <row r="154" spans="2:6" s="326" customFormat="1" ht="9.9499999999999993" customHeight="1" x14ac:dyDescent="0.2">
      <c r="B154" s="327"/>
      <c r="D154" s="327"/>
      <c r="F154" s="327"/>
    </row>
    <row r="155" spans="2:6" s="326" customFormat="1" ht="9.9499999999999993" customHeight="1" x14ac:dyDescent="0.2">
      <c r="B155" s="327"/>
      <c r="D155" s="327"/>
      <c r="F155" s="327"/>
    </row>
    <row r="156" spans="2:6" s="326" customFormat="1" ht="9.9499999999999993" customHeight="1" x14ac:dyDescent="0.2">
      <c r="B156" s="327"/>
      <c r="D156" s="327"/>
      <c r="F156" s="327"/>
    </row>
    <row r="157" spans="2:6" s="326" customFormat="1" ht="9.9499999999999993" customHeight="1" x14ac:dyDescent="0.2">
      <c r="B157" s="327"/>
      <c r="D157" s="327"/>
      <c r="F157" s="327"/>
    </row>
    <row r="158" spans="2:6" s="326" customFormat="1" ht="9.9499999999999993" customHeight="1" x14ac:dyDescent="0.2">
      <c r="B158" s="327"/>
      <c r="D158" s="327"/>
      <c r="F158" s="327"/>
    </row>
    <row r="159" spans="2:6" s="326" customFormat="1" ht="9.9499999999999993" customHeight="1" x14ac:dyDescent="0.2">
      <c r="B159" s="327"/>
      <c r="D159" s="327"/>
      <c r="F159" s="327"/>
    </row>
    <row r="160" spans="2:6" s="326" customFormat="1" ht="9.9499999999999993" customHeight="1" x14ac:dyDescent="0.2">
      <c r="B160" s="327"/>
      <c r="D160" s="327"/>
      <c r="F160" s="327"/>
    </row>
    <row r="161" spans="2:6" s="326" customFormat="1" ht="9.9499999999999993" customHeight="1" x14ac:dyDescent="0.2">
      <c r="B161" s="327"/>
      <c r="D161" s="327"/>
      <c r="F161" s="327"/>
    </row>
    <row r="162" spans="2:6" s="326" customFormat="1" ht="9.9499999999999993" customHeight="1" x14ac:dyDescent="0.2">
      <c r="B162" s="327"/>
      <c r="D162" s="327"/>
      <c r="F162" s="327"/>
    </row>
    <row r="163" spans="2:6" s="326" customFormat="1" ht="9.9499999999999993" customHeight="1" x14ac:dyDescent="0.2">
      <c r="B163" s="327"/>
      <c r="D163" s="327"/>
      <c r="F163" s="327"/>
    </row>
    <row r="164" spans="2:6" s="326" customFormat="1" ht="9.9499999999999993" customHeight="1" x14ac:dyDescent="0.2">
      <c r="B164" s="327"/>
      <c r="D164" s="327"/>
      <c r="F164" s="327"/>
    </row>
    <row r="165" spans="2:6" s="326" customFormat="1" ht="9.9499999999999993" customHeight="1" x14ac:dyDescent="0.2">
      <c r="B165" s="327"/>
      <c r="D165" s="327"/>
      <c r="F165" s="327"/>
    </row>
    <row r="166" spans="2:6" s="326" customFormat="1" ht="9.9499999999999993" customHeight="1" x14ac:dyDescent="0.2">
      <c r="B166" s="327"/>
      <c r="D166" s="327"/>
      <c r="F166" s="327"/>
    </row>
    <row r="167" spans="2:6" s="326" customFormat="1" ht="9.9499999999999993" customHeight="1" x14ac:dyDescent="0.2">
      <c r="B167" s="327"/>
      <c r="D167" s="327"/>
      <c r="F167" s="327"/>
    </row>
    <row r="168" spans="2:6" s="326" customFormat="1" ht="9.9499999999999993" customHeight="1" x14ac:dyDescent="0.2">
      <c r="B168" s="327"/>
      <c r="D168" s="327"/>
      <c r="F168" s="327"/>
    </row>
    <row r="169" spans="2:6" s="326" customFormat="1" ht="9.9499999999999993" customHeight="1" x14ac:dyDescent="0.2">
      <c r="B169" s="327"/>
      <c r="D169" s="327"/>
      <c r="F169" s="327"/>
    </row>
    <row r="170" spans="2:6" s="326" customFormat="1" ht="9.9499999999999993" customHeight="1" x14ac:dyDescent="0.2">
      <c r="B170" s="327"/>
      <c r="D170" s="327"/>
      <c r="F170" s="327"/>
    </row>
    <row r="171" spans="2:6" s="326" customFormat="1" ht="9.9499999999999993" customHeight="1" x14ac:dyDescent="0.2">
      <c r="B171" s="327"/>
      <c r="D171" s="327"/>
      <c r="F171" s="327"/>
    </row>
    <row r="172" spans="2:6" s="326" customFormat="1" ht="9.9499999999999993" customHeight="1" x14ac:dyDescent="0.2">
      <c r="B172" s="327"/>
      <c r="D172" s="327"/>
      <c r="F172" s="327"/>
    </row>
    <row r="173" spans="2:6" s="326" customFormat="1" ht="9.9499999999999993" customHeight="1" x14ac:dyDescent="0.2">
      <c r="B173" s="327"/>
      <c r="D173" s="327"/>
      <c r="F173" s="327"/>
    </row>
    <row r="174" spans="2:6" s="326" customFormat="1" ht="9.9499999999999993" customHeight="1" x14ac:dyDescent="0.2">
      <c r="B174" s="327"/>
      <c r="D174" s="327"/>
      <c r="F174" s="327"/>
    </row>
    <row r="175" spans="2:6" s="326" customFormat="1" ht="9.9499999999999993" customHeight="1" x14ac:dyDescent="0.2">
      <c r="B175" s="327"/>
      <c r="D175" s="327"/>
      <c r="F175" s="327"/>
    </row>
    <row r="176" spans="2:6" s="326" customFormat="1" ht="9.9499999999999993" customHeight="1" x14ac:dyDescent="0.2">
      <c r="B176" s="327"/>
      <c r="D176" s="327"/>
      <c r="F176" s="327"/>
    </row>
    <row r="177" spans="2:6" s="326" customFormat="1" ht="9.9499999999999993" customHeight="1" x14ac:dyDescent="0.2">
      <c r="B177" s="327"/>
      <c r="D177" s="327"/>
      <c r="F177" s="327"/>
    </row>
    <row r="178" spans="2:6" s="326" customFormat="1" ht="9.9499999999999993" customHeight="1" x14ac:dyDescent="0.2">
      <c r="B178" s="327"/>
      <c r="D178" s="327"/>
      <c r="F178" s="327"/>
    </row>
    <row r="179" spans="2:6" s="326" customFormat="1" ht="9.9499999999999993" customHeight="1" x14ac:dyDescent="0.2">
      <c r="B179" s="327"/>
      <c r="D179" s="327"/>
      <c r="F179" s="327"/>
    </row>
    <row r="180" spans="2:6" s="326" customFormat="1" ht="9.9499999999999993" customHeight="1" x14ac:dyDescent="0.2">
      <c r="B180" s="327"/>
      <c r="D180" s="327"/>
      <c r="F180" s="327"/>
    </row>
    <row r="181" spans="2:6" s="326" customFormat="1" ht="9.9499999999999993" customHeight="1" x14ac:dyDescent="0.2">
      <c r="B181" s="327"/>
      <c r="D181" s="327"/>
      <c r="F181" s="327"/>
    </row>
    <row r="182" spans="2:6" s="326" customFormat="1" ht="9.9499999999999993" customHeight="1" x14ac:dyDescent="0.2">
      <c r="B182" s="327"/>
      <c r="D182" s="327"/>
      <c r="F182" s="327"/>
    </row>
    <row r="183" spans="2:6" s="326" customFormat="1" ht="9.9499999999999993" customHeight="1" x14ac:dyDescent="0.2">
      <c r="B183" s="327"/>
      <c r="D183" s="327"/>
      <c r="F183" s="327"/>
    </row>
    <row r="184" spans="2:6" s="326" customFormat="1" ht="9.9499999999999993" customHeight="1" x14ac:dyDescent="0.2">
      <c r="B184" s="327"/>
      <c r="D184" s="327"/>
      <c r="F184" s="327"/>
    </row>
    <row r="185" spans="2:6" s="326" customFormat="1" ht="9.9499999999999993" customHeight="1" x14ac:dyDescent="0.2">
      <c r="B185" s="327"/>
      <c r="D185" s="327"/>
      <c r="F185" s="327"/>
    </row>
    <row r="186" spans="2:6" s="326" customFormat="1" ht="9.9499999999999993" customHeight="1" x14ac:dyDescent="0.2">
      <c r="B186" s="327"/>
      <c r="D186" s="327"/>
      <c r="F186" s="327"/>
    </row>
    <row r="187" spans="2:6" s="326" customFormat="1" ht="9.9499999999999993" customHeight="1" x14ac:dyDescent="0.2">
      <c r="B187" s="327"/>
      <c r="D187" s="327"/>
      <c r="F187" s="327"/>
    </row>
    <row r="188" spans="2:6" s="326" customFormat="1" ht="9.9499999999999993" customHeight="1" x14ac:dyDescent="0.2">
      <c r="B188" s="327"/>
      <c r="D188" s="327"/>
      <c r="F188" s="327"/>
    </row>
    <row r="189" spans="2:6" s="326" customFormat="1" ht="9.9499999999999993" customHeight="1" x14ac:dyDescent="0.2">
      <c r="B189" s="327"/>
      <c r="D189" s="327"/>
      <c r="F189" s="327"/>
    </row>
    <row r="190" spans="2:6" s="326" customFormat="1" ht="9.9499999999999993" customHeight="1" x14ac:dyDescent="0.2">
      <c r="B190" s="327"/>
      <c r="D190" s="327"/>
      <c r="F190" s="327"/>
    </row>
    <row r="191" spans="2:6" s="326" customFormat="1" ht="9.9499999999999993" customHeight="1" x14ac:dyDescent="0.2">
      <c r="B191" s="327"/>
      <c r="D191" s="327"/>
      <c r="F191" s="327"/>
    </row>
    <row r="192" spans="2:6" s="326" customFormat="1" ht="9.9499999999999993" customHeight="1" x14ac:dyDescent="0.2">
      <c r="B192" s="327"/>
      <c r="D192" s="327"/>
      <c r="F192" s="327"/>
    </row>
    <row r="193" spans="2:6" s="326" customFormat="1" ht="9.9499999999999993" customHeight="1" x14ac:dyDescent="0.2">
      <c r="B193" s="327"/>
      <c r="D193" s="327"/>
      <c r="F193" s="327"/>
    </row>
    <row r="194" spans="2:6" s="326" customFormat="1" ht="9.9499999999999993" customHeight="1" x14ac:dyDescent="0.2">
      <c r="B194" s="327"/>
      <c r="D194" s="327"/>
      <c r="F194" s="327"/>
    </row>
    <row r="195" spans="2:6" s="326" customFormat="1" ht="9.9499999999999993" customHeight="1" x14ac:dyDescent="0.2">
      <c r="B195" s="327"/>
      <c r="D195" s="327"/>
      <c r="F195" s="327"/>
    </row>
    <row r="196" spans="2:6" s="326" customFormat="1" ht="9.9499999999999993" customHeight="1" x14ac:dyDescent="0.2">
      <c r="B196" s="327"/>
      <c r="D196" s="327"/>
      <c r="F196" s="327"/>
    </row>
    <row r="197" spans="2:6" s="326" customFormat="1" ht="9.9499999999999993" customHeight="1" x14ac:dyDescent="0.2">
      <c r="B197" s="327"/>
      <c r="D197" s="327"/>
      <c r="F197" s="327"/>
    </row>
    <row r="198" spans="2:6" s="326" customFormat="1" ht="9.9499999999999993" customHeight="1" x14ac:dyDescent="0.2">
      <c r="B198" s="327"/>
      <c r="D198" s="327"/>
      <c r="F198" s="327"/>
    </row>
    <row r="199" spans="2:6" s="326" customFormat="1" ht="9.9499999999999993" customHeight="1" x14ac:dyDescent="0.2">
      <c r="B199" s="327"/>
      <c r="D199" s="327"/>
      <c r="F199" s="327"/>
    </row>
    <row r="200" spans="2:6" s="326" customFormat="1" ht="9.9499999999999993" customHeight="1" x14ac:dyDescent="0.2">
      <c r="B200" s="327"/>
      <c r="D200" s="327"/>
      <c r="F200" s="327"/>
    </row>
    <row r="201" spans="2:6" s="326" customFormat="1" ht="9.9499999999999993" customHeight="1" x14ac:dyDescent="0.2">
      <c r="B201" s="327"/>
      <c r="D201" s="327"/>
      <c r="F201" s="327"/>
    </row>
    <row r="202" spans="2:6" s="326" customFormat="1" ht="9.9499999999999993" customHeight="1" x14ac:dyDescent="0.2">
      <c r="B202" s="327"/>
      <c r="D202" s="327"/>
      <c r="F202" s="327"/>
    </row>
    <row r="203" spans="2:6" s="326" customFormat="1" ht="9.9499999999999993" customHeight="1" x14ac:dyDescent="0.2">
      <c r="B203" s="327"/>
      <c r="D203" s="327"/>
      <c r="F203" s="327"/>
    </row>
    <row r="204" spans="2:6" s="326" customFormat="1" ht="9.9499999999999993" customHeight="1" x14ac:dyDescent="0.2">
      <c r="B204" s="327"/>
      <c r="D204" s="327"/>
      <c r="F204" s="327"/>
    </row>
    <row r="205" spans="2:6" s="326" customFormat="1" ht="9.9499999999999993" customHeight="1" x14ac:dyDescent="0.2">
      <c r="B205" s="327"/>
      <c r="D205" s="327"/>
      <c r="F205" s="327"/>
    </row>
    <row r="206" spans="2:6" s="326" customFormat="1" ht="9.9499999999999993" customHeight="1" x14ac:dyDescent="0.2">
      <c r="B206" s="327"/>
      <c r="D206" s="327"/>
      <c r="F206" s="327"/>
    </row>
    <row r="207" spans="2:6" s="326" customFormat="1" ht="9.9499999999999993" customHeight="1" x14ac:dyDescent="0.2">
      <c r="B207" s="327"/>
      <c r="D207" s="327"/>
      <c r="F207" s="327"/>
    </row>
    <row r="208" spans="2:6" s="326" customFormat="1" ht="9.9499999999999993" customHeight="1" x14ac:dyDescent="0.2">
      <c r="B208" s="327"/>
      <c r="D208" s="327"/>
      <c r="F208" s="327"/>
    </row>
    <row r="209" spans="2:6" s="326" customFormat="1" ht="9.9499999999999993" customHeight="1" x14ac:dyDescent="0.2">
      <c r="B209" s="327"/>
      <c r="D209" s="327"/>
      <c r="F209" s="327"/>
    </row>
    <row r="210" spans="2:6" s="326" customFormat="1" ht="9.9499999999999993" customHeight="1" x14ac:dyDescent="0.2">
      <c r="B210" s="327"/>
      <c r="D210" s="327"/>
      <c r="F210" s="327"/>
    </row>
    <row r="211" spans="2:6" s="326" customFormat="1" ht="9.9499999999999993" customHeight="1" x14ac:dyDescent="0.2">
      <c r="B211" s="327"/>
      <c r="D211" s="327"/>
      <c r="F211" s="327"/>
    </row>
    <row r="212" spans="2:6" s="326" customFormat="1" ht="9.9499999999999993" customHeight="1" x14ac:dyDescent="0.2">
      <c r="B212" s="327"/>
      <c r="D212" s="327"/>
      <c r="F212" s="327"/>
    </row>
    <row r="213" spans="2:6" s="326" customFormat="1" ht="9.9499999999999993" customHeight="1" x14ac:dyDescent="0.2">
      <c r="B213" s="327"/>
      <c r="D213" s="327"/>
      <c r="F213" s="327"/>
    </row>
    <row r="214" spans="2:6" s="326" customFormat="1" ht="9.9499999999999993" customHeight="1" x14ac:dyDescent="0.2">
      <c r="B214" s="327"/>
      <c r="D214" s="327"/>
      <c r="F214" s="327"/>
    </row>
    <row r="215" spans="2:6" s="326" customFormat="1" ht="9.9499999999999993" customHeight="1" x14ac:dyDescent="0.2">
      <c r="B215" s="327"/>
      <c r="D215" s="327"/>
      <c r="F215" s="327"/>
    </row>
    <row r="216" spans="2:6" s="326" customFormat="1" ht="9.9499999999999993" customHeight="1" x14ac:dyDescent="0.2">
      <c r="B216" s="327"/>
      <c r="D216" s="327"/>
      <c r="F216" s="327"/>
    </row>
    <row r="217" spans="2:6" s="326" customFormat="1" ht="9.9499999999999993" customHeight="1" x14ac:dyDescent="0.2">
      <c r="B217" s="327"/>
      <c r="D217" s="327"/>
      <c r="F217" s="327"/>
    </row>
    <row r="218" spans="2:6" s="326" customFormat="1" ht="9.9499999999999993" customHeight="1" x14ac:dyDescent="0.2">
      <c r="B218" s="327"/>
      <c r="D218" s="327"/>
      <c r="F218" s="327"/>
    </row>
    <row r="219" spans="2:6" s="326" customFormat="1" ht="9.9499999999999993" customHeight="1" x14ac:dyDescent="0.2">
      <c r="B219" s="327"/>
      <c r="D219" s="327"/>
      <c r="F219" s="327"/>
    </row>
    <row r="220" spans="2:6" s="326" customFormat="1" ht="9.9499999999999993" customHeight="1" x14ac:dyDescent="0.2">
      <c r="B220" s="327"/>
      <c r="D220" s="327"/>
      <c r="F220" s="327"/>
    </row>
    <row r="221" spans="2:6" s="326" customFormat="1" ht="9.9499999999999993" customHeight="1" x14ac:dyDescent="0.2">
      <c r="B221" s="327"/>
      <c r="D221" s="327"/>
      <c r="F221" s="327"/>
    </row>
    <row r="222" spans="2:6" s="326" customFormat="1" ht="9.9499999999999993" customHeight="1" x14ac:dyDescent="0.2">
      <c r="B222" s="327"/>
      <c r="D222" s="327"/>
      <c r="F222" s="327"/>
    </row>
    <row r="223" spans="2:6" s="326" customFormat="1" ht="9.9499999999999993" customHeight="1" x14ac:dyDescent="0.2">
      <c r="B223" s="327"/>
      <c r="D223" s="327"/>
      <c r="F223" s="327"/>
    </row>
    <row r="224" spans="2:6" s="326" customFormat="1" ht="9.9499999999999993" customHeight="1" x14ac:dyDescent="0.2">
      <c r="B224" s="327"/>
      <c r="D224" s="327"/>
      <c r="F224" s="327"/>
    </row>
    <row r="225" spans="2:6" s="326" customFormat="1" ht="9.9499999999999993" customHeight="1" x14ac:dyDescent="0.2">
      <c r="B225" s="327"/>
      <c r="D225" s="327"/>
      <c r="F225" s="327"/>
    </row>
    <row r="226" spans="2:6" s="326" customFormat="1" ht="9.9499999999999993" customHeight="1" x14ac:dyDescent="0.2">
      <c r="B226" s="327"/>
      <c r="D226" s="327"/>
      <c r="F226" s="327"/>
    </row>
    <row r="227" spans="2:6" s="326" customFormat="1" ht="9.9499999999999993" customHeight="1" x14ac:dyDescent="0.2">
      <c r="B227" s="327"/>
      <c r="D227" s="327"/>
      <c r="F227" s="327"/>
    </row>
    <row r="228" spans="2:6" s="326" customFormat="1" ht="9.9499999999999993" customHeight="1" x14ac:dyDescent="0.2">
      <c r="B228" s="327"/>
      <c r="D228" s="327"/>
      <c r="F228" s="327"/>
    </row>
    <row r="229" spans="2:6" s="326" customFormat="1" ht="9.9499999999999993" customHeight="1" x14ac:dyDescent="0.2">
      <c r="B229" s="327"/>
      <c r="D229" s="327"/>
      <c r="F229" s="327"/>
    </row>
    <row r="230" spans="2:6" s="326" customFormat="1" ht="9.9499999999999993" customHeight="1" x14ac:dyDescent="0.2">
      <c r="B230" s="327"/>
      <c r="D230" s="327"/>
      <c r="F230" s="327"/>
    </row>
    <row r="231" spans="2:6" s="326" customFormat="1" ht="9.9499999999999993" customHeight="1" x14ac:dyDescent="0.2">
      <c r="B231" s="327"/>
      <c r="D231" s="327"/>
      <c r="F231" s="327"/>
    </row>
    <row r="232" spans="2:6" s="326" customFormat="1" ht="9.9499999999999993" customHeight="1" x14ac:dyDescent="0.2">
      <c r="B232" s="327"/>
      <c r="D232" s="327"/>
      <c r="F232" s="327"/>
    </row>
    <row r="233" spans="2:6" s="326" customFormat="1" ht="9.9499999999999993" customHeight="1" x14ac:dyDescent="0.2">
      <c r="B233" s="327"/>
      <c r="D233" s="327"/>
      <c r="F233" s="327"/>
    </row>
    <row r="234" spans="2:6" s="326" customFormat="1" ht="9.9499999999999993" customHeight="1" x14ac:dyDescent="0.2">
      <c r="B234" s="327"/>
      <c r="D234" s="327"/>
      <c r="F234" s="327"/>
    </row>
    <row r="235" spans="2:6" s="326" customFormat="1" ht="9.9499999999999993" customHeight="1" x14ac:dyDescent="0.2">
      <c r="B235" s="327"/>
      <c r="D235" s="327"/>
      <c r="F235" s="327"/>
    </row>
    <row r="236" spans="2:6" s="326" customFormat="1" ht="9.9499999999999993" customHeight="1" x14ac:dyDescent="0.2">
      <c r="B236" s="327"/>
      <c r="D236" s="327"/>
      <c r="F236" s="327"/>
    </row>
    <row r="237" spans="2:6" s="326" customFormat="1" ht="9.9499999999999993" customHeight="1" x14ac:dyDescent="0.2">
      <c r="B237" s="327"/>
      <c r="D237" s="327"/>
      <c r="F237" s="327"/>
    </row>
    <row r="238" spans="2:6" s="326" customFormat="1" ht="9.9499999999999993" customHeight="1" x14ac:dyDescent="0.2">
      <c r="B238" s="327"/>
      <c r="D238" s="327"/>
      <c r="F238" s="327"/>
    </row>
    <row r="239" spans="2:6" s="326" customFormat="1" ht="9.9499999999999993" customHeight="1" x14ac:dyDescent="0.2">
      <c r="B239" s="327"/>
      <c r="D239" s="327"/>
      <c r="F239" s="327"/>
    </row>
    <row r="240" spans="2:6" s="326" customFormat="1" ht="9.9499999999999993" customHeight="1" x14ac:dyDescent="0.2">
      <c r="B240" s="327"/>
      <c r="D240" s="327"/>
      <c r="F240" s="327"/>
    </row>
    <row r="241" spans="2:6" s="326" customFormat="1" ht="9.9499999999999993" customHeight="1" x14ac:dyDescent="0.2">
      <c r="B241" s="327"/>
      <c r="D241" s="327"/>
      <c r="F241" s="327"/>
    </row>
    <row r="242" spans="2:6" s="326" customFormat="1" ht="9.9499999999999993" customHeight="1" x14ac:dyDescent="0.2">
      <c r="B242" s="327"/>
      <c r="D242" s="327"/>
      <c r="F242" s="327"/>
    </row>
    <row r="243" spans="2:6" s="326" customFormat="1" ht="9.9499999999999993" customHeight="1" x14ac:dyDescent="0.2">
      <c r="B243" s="327"/>
      <c r="D243" s="327"/>
      <c r="F243" s="327"/>
    </row>
    <row r="244" spans="2:6" s="326" customFormat="1" ht="9.9499999999999993" customHeight="1" x14ac:dyDescent="0.2">
      <c r="B244" s="327"/>
      <c r="D244" s="327"/>
      <c r="F244" s="327"/>
    </row>
    <row r="245" spans="2:6" s="326" customFormat="1" ht="9.9499999999999993" customHeight="1" x14ac:dyDescent="0.2">
      <c r="B245" s="327"/>
      <c r="D245" s="327"/>
      <c r="F245" s="327"/>
    </row>
    <row r="246" spans="2:6" s="326" customFormat="1" ht="9.9499999999999993" customHeight="1" x14ac:dyDescent="0.2">
      <c r="B246" s="327"/>
      <c r="D246" s="327"/>
      <c r="F246" s="327"/>
    </row>
    <row r="247" spans="2:6" s="326" customFormat="1" ht="9.9499999999999993" customHeight="1" x14ac:dyDescent="0.2">
      <c r="B247" s="327"/>
      <c r="D247" s="327"/>
      <c r="F247" s="327"/>
    </row>
    <row r="248" spans="2:6" s="326" customFormat="1" ht="9.9499999999999993" customHeight="1" x14ac:dyDescent="0.2">
      <c r="B248" s="327"/>
      <c r="D248" s="327"/>
      <c r="F248" s="327"/>
    </row>
    <row r="249" spans="2:6" s="326" customFormat="1" ht="9.9499999999999993" customHeight="1" x14ac:dyDescent="0.2">
      <c r="B249" s="327"/>
      <c r="D249" s="327"/>
      <c r="F249" s="327"/>
    </row>
    <row r="250" spans="2:6" s="326" customFormat="1" ht="9.9499999999999993" customHeight="1" x14ac:dyDescent="0.2">
      <c r="B250" s="327"/>
      <c r="D250" s="327"/>
      <c r="F250" s="327"/>
    </row>
    <row r="251" spans="2:6" s="326" customFormat="1" ht="9.9499999999999993" customHeight="1" x14ac:dyDescent="0.2">
      <c r="B251" s="327"/>
      <c r="D251" s="327"/>
      <c r="F251" s="327"/>
    </row>
    <row r="252" spans="2:6" s="326" customFormat="1" ht="9.9499999999999993" customHeight="1" x14ac:dyDescent="0.2">
      <c r="B252" s="327"/>
      <c r="D252" s="327"/>
      <c r="F252" s="327"/>
    </row>
    <row r="253" spans="2:6" s="326" customFormat="1" ht="9.9499999999999993" customHeight="1" x14ac:dyDescent="0.2">
      <c r="B253" s="327"/>
      <c r="D253" s="327"/>
      <c r="F253" s="327"/>
    </row>
    <row r="254" spans="2:6" s="326" customFormat="1" ht="9.9499999999999993" customHeight="1" x14ac:dyDescent="0.2">
      <c r="B254" s="327"/>
      <c r="D254" s="327"/>
      <c r="F254" s="327"/>
    </row>
    <row r="255" spans="2:6" s="326" customFormat="1" ht="9.9499999999999993" customHeight="1" x14ac:dyDescent="0.2">
      <c r="B255" s="327"/>
      <c r="D255" s="327"/>
      <c r="F255" s="327"/>
    </row>
    <row r="256" spans="2:6" s="326" customFormat="1" ht="9.9499999999999993" customHeight="1" x14ac:dyDescent="0.2">
      <c r="B256" s="327"/>
      <c r="D256" s="327"/>
      <c r="F256" s="327"/>
    </row>
    <row r="257" spans="2:6" s="326" customFormat="1" ht="9.9499999999999993" customHeight="1" x14ac:dyDescent="0.2">
      <c r="B257" s="327"/>
      <c r="D257" s="327"/>
      <c r="F257" s="327"/>
    </row>
    <row r="258" spans="2:6" s="326" customFormat="1" ht="9.9499999999999993" customHeight="1" x14ac:dyDescent="0.2">
      <c r="B258" s="327"/>
      <c r="D258" s="327"/>
      <c r="F258" s="327"/>
    </row>
    <row r="259" spans="2:6" s="326" customFormat="1" ht="9.9499999999999993" customHeight="1" x14ac:dyDescent="0.2">
      <c r="B259" s="327"/>
      <c r="D259" s="327"/>
      <c r="F259" s="327"/>
    </row>
    <row r="260" spans="2:6" s="326" customFormat="1" ht="9.9499999999999993" customHeight="1" x14ac:dyDescent="0.2">
      <c r="B260" s="327"/>
      <c r="D260" s="327"/>
      <c r="F260" s="327"/>
    </row>
    <row r="261" spans="2:6" s="326" customFormat="1" ht="9.9499999999999993" customHeight="1" x14ac:dyDescent="0.2">
      <c r="B261" s="327"/>
      <c r="D261" s="327"/>
      <c r="F261" s="327"/>
    </row>
    <row r="262" spans="2:6" s="326" customFormat="1" ht="9.9499999999999993" customHeight="1" x14ac:dyDescent="0.2">
      <c r="B262" s="327"/>
      <c r="D262" s="327"/>
      <c r="F262" s="327"/>
    </row>
    <row r="263" spans="2:6" s="326" customFormat="1" ht="9.9499999999999993" customHeight="1" x14ac:dyDescent="0.2">
      <c r="B263" s="327"/>
      <c r="D263" s="327"/>
      <c r="F263" s="327"/>
    </row>
    <row r="264" spans="2:6" s="326" customFormat="1" ht="9.9499999999999993" customHeight="1" x14ac:dyDescent="0.2">
      <c r="B264" s="327"/>
      <c r="D264" s="327"/>
      <c r="F264" s="327"/>
    </row>
    <row r="265" spans="2:6" s="326" customFormat="1" ht="9.9499999999999993" customHeight="1" x14ac:dyDescent="0.2">
      <c r="B265" s="327"/>
      <c r="D265" s="327"/>
      <c r="F265" s="327"/>
    </row>
    <row r="266" spans="2:6" s="326" customFormat="1" ht="9.9499999999999993" customHeight="1" x14ac:dyDescent="0.2">
      <c r="B266" s="327"/>
      <c r="D266" s="327"/>
      <c r="F266" s="327"/>
    </row>
    <row r="267" spans="2:6" s="326" customFormat="1" ht="9.9499999999999993" customHeight="1" x14ac:dyDescent="0.2">
      <c r="B267" s="327"/>
      <c r="D267" s="327"/>
      <c r="F267" s="327"/>
    </row>
    <row r="268" spans="2:6" s="326" customFormat="1" ht="9.9499999999999993" customHeight="1" x14ac:dyDescent="0.2">
      <c r="B268" s="327"/>
      <c r="D268" s="327"/>
      <c r="F268" s="327"/>
    </row>
    <row r="269" spans="2:6" s="326" customFormat="1" ht="9.9499999999999993" customHeight="1" x14ac:dyDescent="0.2">
      <c r="B269" s="327"/>
      <c r="D269" s="327"/>
      <c r="F269" s="327"/>
    </row>
    <row r="270" spans="2:6" s="326" customFormat="1" ht="9.9499999999999993" customHeight="1" x14ac:dyDescent="0.2">
      <c r="B270" s="327"/>
      <c r="D270" s="327"/>
      <c r="F270" s="327"/>
    </row>
    <row r="271" spans="2:6" s="326" customFormat="1" ht="9.9499999999999993" customHeight="1" x14ac:dyDescent="0.2">
      <c r="B271" s="327"/>
      <c r="D271" s="327"/>
      <c r="F271" s="327"/>
    </row>
    <row r="272" spans="2:6" s="326" customFormat="1" ht="9.9499999999999993" customHeight="1" x14ac:dyDescent="0.2">
      <c r="B272" s="327"/>
      <c r="D272" s="327"/>
      <c r="F272" s="327"/>
    </row>
    <row r="273" spans="2:6" s="326" customFormat="1" ht="9.9499999999999993" customHeight="1" x14ac:dyDescent="0.2">
      <c r="B273" s="327"/>
      <c r="D273" s="327"/>
      <c r="F273" s="327"/>
    </row>
    <row r="274" spans="2:6" s="326" customFormat="1" ht="9.9499999999999993" customHeight="1" x14ac:dyDescent="0.2">
      <c r="B274" s="327"/>
      <c r="D274" s="327"/>
      <c r="F274" s="327"/>
    </row>
    <row r="275" spans="2:6" s="326" customFormat="1" ht="9.9499999999999993" customHeight="1" x14ac:dyDescent="0.2">
      <c r="B275" s="327"/>
      <c r="D275" s="327"/>
      <c r="F275" s="327"/>
    </row>
    <row r="276" spans="2:6" s="326" customFormat="1" ht="9.9499999999999993" customHeight="1" x14ac:dyDescent="0.2">
      <c r="B276" s="327"/>
      <c r="D276" s="327"/>
      <c r="F276" s="327"/>
    </row>
    <row r="277" spans="2:6" s="326" customFormat="1" ht="9.9499999999999993" customHeight="1" x14ac:dyDescent="0.2">
      <c r="B277" s="327"/>
      <c r="D277" s="327"/>
      <c r="F277" s="327"/>
    </row>
    <row r="278" spans="2:6" s="326" customFormat="1" ht="9.9499999999999993" customHeight="1" x14ac:dyDescent="0.2">
      <c r="B278" s="327"/>
      <c r="D278" s="327"/>
      <c r="F278" s="327"/>
    </row>
    <row r="279" spans="2:6" s="326" customFormat="1" ht="9.9499999999999993" customHeight="1" x14ac:dyDescent="0.2">
      <c r="B279" s="327"/>
      <c r="D279" s="327"/>
      <c r="F279" s="327"/>
    </row>
    <row r="280" spans="2:6" s="326" customFormat="1" ht="9.9499999999999993" customHeight="1" x14ac:dyDescent="0.2">
      <c r="B280" s="327"/>
      <c r="D280" s="327"/>
      <c r="F280" s="327"/>
    </row>
    <row r="281" spans="2:6" s="326" customFormat="1" ht="9.9499999999999993" customHeight="1" x14ac:dyDescent="0.2">
      <c r="B281" s="327"/>
      <c r="D281" s="327"/>
      <c r="F281" s="327"/>
    </row>
    <row r="282" spans="2:6" s="326" customFormat="1" ht="9.9499999999999993" customHeight="1" x14ac:dyDescent="0.2">
      <c r="B282" s="327"/>
      <c r="D282" s="327"/>
      <c r="F282" s="327"/>
    </row>
    <row r="283" spans="2:6" s="326" customFormat="1" ht="9.9499999999999993" customHeight="1" x14ac:dyDescent="0.2">
      <c r="B283" s="327"/>
      <c r="D283" s="327"/>
      <c r="F283" s="327"/>
    </row>
    <row r="284" spans="2:6" s="326" customFormat="1" ht="9.9499999999999993" customHeight="1" x14ac:dyDescent="0.2">
      <c r="B284" s="327"/>
      <c r="D284" s="327"/>
      <c r="F284" s="327"/>
    </row>
    <row r="285" spans="2:6" s="326" customFormat="1" ht="9.9499999999999993" customHeight="1" x14ac:dyDescent="0.2">
      <c r="B285" s="327"/>
      <c r="D285" s="327"/>
      <c r="F285" s="327"/>
    </row>
    <row r="286" spans="2:6" s="326" customFormat="1" ht="9.9499999999999993" customHeight="1" x14ac:dyDescent="0.2">
      <c r="B286" s="327"/>
      <c r="D286" s="327"/>
      <c r="F286" s="327"/>
    </row>
    <row r="287" spans="2:6" s="326" customFormat="1" ht="9.9499999999999993" customHeight="1" x14ac:dyDescent="0.2">
      <c r="B287" s="327"/>
      <c r="D287" s="327"/>
      <c r="F287" s="327"/>
    </row>
    <row r="288" spans="2:6" s="326" customFormat="1" ht="9.9499999999999993" customHeight="1" x14ac:dyDescent="0.2">
      <c r="B288" s="327"/>
      <c r="D288" s="327"/>
      <c r="F288" s="327"/>
    </row>
    <row r="289" spans="2:6" s="326" customFormat="1" ht="9.9499999999999993" customHeight="1" x14ac:dyDescent="0.2">
      <c r="B289" s="327"/>
      <c r="D289" s="327"/>
      <c r="F289" s="327"/>
    </row>
    <row r="290" spans="2:6" s="326" customFormat="1" ht="9.9499999999999993" customHeight="1" x14ac:dyDescent="0.2">
      <c r="B290" s="327"/>
      <c r="D290" s="327"/>
      <c r="F290" s="327"/>
    </row>
    <row r="291" spans="2:6" s="326" customFormat="1" ht="9.9499999999999993" customHeight="1" x14ac:dyDescent="0.2">
      <c r="B291" s="327"/>
      <c r="D291" s="327"/>
      <c r="F291" s="327"/>
    </row>
    <row r="292" spans="2:6" s="326" customFormat="1" ht="9.9499999999999993" customHeight="1" x14ac:dyDescent="0.2">
      <c r="B292" s="327"/>
      <c r="D292" s="327"/>
      <c r="F292" s="327"/>
    </row>
    <row r="293" spans="2:6" s="326" customFormat="1" ht="9.9499999999999993" customHeight="1" x14ac:dyDescent="0.2">
      <c r="B293" s="327"/>
      <c r="D293" s="327"/>
      <c r="F293" s="327"/>
    </row>
    <row r="294" spans="2:6" s="326" customFormat="1" ht="9.9499999999999993" customHeight="1" x14ac:dyDescent="0.2">
      <c r="B294" s="327"/>
      <c r="D294" s="327"/>
      <c r="F294" s="327"/>
    </row>
    <row r="295" spans="2:6" s="326" customFormat="1" ht="9.9499999999999993" customHeight="1" x14ac:dyDescent="0.2">
      <c r="B295" s="327"/>
      <c r="D295" s="327"/>
      <c r="F295" s="327"/>
    </row>
    <row r="296" spans="2:6" s="326" customFormat="1" ht="9.9499999999999993" customHeight="1" x14ac:dyDescent="0.2">
      <c r="B296" s="327"/>
      <c r="D296" s="327"/>
      <c r="F296" s="327"/>
    </row>
    <row r="297" spans="2:6" s="326" customFormat="1" ht="9.9499999999999993" customHeight="1" x14ac:dyDescent="0.2">
      <c r="B297" s="327"/>
      <c r="D297" s="327"/>
      <c r="F297" s="327"/>
    </row>
    <row r="298" spans="2:6" s="326" customFormat="1" ht="9.9499999999999993" customHeight="1" x14ac:dyDescent="0.2">
      <c r="B298" s="327"/>
      <c r="D298" s="327"/>
      <c r="F298" s="327"/>
    </row>
    <row r="299" spans="2:6" s="326" customFormat="1" ht="9.9499999999999993" customHeight="1" x14ac:dyDescent="0.2">
      <c r="B299" s="327"/>
      <c r="D299" s="327"/>
      <c r="F299" s="327"/>
    </row>
    <row r="300" spans="2:6" s="326" customFormat="1" ht="9.9499999999999993" customHeight="1" x14ac:dyDescent="0.2">
      <c r="B300" s="327"/>
      <c r="D300" s="327"/>
      <c r="F300" s="327"/>
    </row>
    <row r="301" spans="2:6" s="326" customFormat="1" ht="9.9499999999999993" customHeight="1" x14ac:dyDescent="0.2">
      <c r="B301" s="327"/>
      <c r="D301" s="327"/>
      <c r="F301" s="327"/>
    </row>
    <row r="302" spans="2:6" s="326" customFormat="1" ht="9.9499999999999993" customHeight="1" x14ac:dyDescent="0.2">
      <c r="B302" s="327"/>
      <c r="D302" s="327"/>
      <c r="F302" s="327"/>
    </row>
    <row r="303" spans="2:6" s="326" customFormat="1" ht="9.9499999999999993" customHeight="1" x14ac:dyDescent="0.2">
      <c r="B303" s="327"/>
      <c r="D303" s="327"/>
      <c r="F303" s="327"/>
    </row>
    <row r="304" spans="2:6" s="326" customFormat="1" ht="9.9499999999999993" customHeight="1" x14ac:dyDescent="0.2">
      <c r="B304" s="327"/>
      <c r="D304" s="327"/>
      <c r="F304" s="327"/>
    </row>
    <row r="305" spans="2:6" s="326" customFormat="1" ht="9.9499999999999993" customHeight="1" x14ac:dyDescent="0.2">
      <c r="B305" s="327"/>
      <c r="D305" s="327"/>
      <c r="F305" s="327"/>
    </row>
    <row r="306" spans="2:6" s="326" customFormat="1" ht="9.9499999999999993" customHeight="1" x14ac:dyDescent="0.2">
      <c r="B306" s="327"/>
      <c r="D306" s="327"/>
      <c r="F306" s="327"/>
    </row>
    <row r="307" spans="2:6" s="326" customFormat="1" ht="9.9499999999999993" customHeight="1" x14ac:dyDescent="0.2">
      <c r="B307" s="327"/>
      <c r="D307" s="327"/>
      <c r="F307" s="327"/>
    </row>
    <row r="308" spans="2:6" s="326" customFormat="1" ht="9.9499999999999993" customHeight="1" x14ac:dyDescent="0.2">
      <c r="B308" s="327"/>
      <c r="D308" s="327"/>
      <c r="F308" s="327"/>
    </row>
    <row r="309" spans="2:6" s="326" customFormat="1" ht="9.9499999999999993" customHeight="1" x14ac:dyDescent="0.2">
      <c r="B309" s="327"/>
      <c r="D309" s="327"/>
      <c r="F309" s="327"/>
    </row>
    <row r="310" spans="2:6" s="326" customFormat="1" ht="9.9499999999999993" customHeight="1" x14ac:dyDescent="0.2">
      <c r="B310" s="327"/>
      <c r="D310" s="327"/>
      <c r="F310" s="327"/>
    </row>
    <row r="311" spans="2:6" s="326" customFormat="1" ht="9.9499999999999993" customHeight="1" x14ac:dyDescent="0.2">
      <c r="B311" s="327"/>
      <c r="D311" s="327"/>
      <c r="F311" s="327"/>
    </row>
    <row r="312" spans="2:6" s="326" customFormat="1" ht="9.9499999999999993" customHeight="1" x14ac:dyDescent="0.2">
      <c r="B312" s="327"/>
      <c r="D312" s="327"/>
      <c r="F312" s="327"/>
    </row>
    <row r="313" spans="2:6" s="326" customFormat="1" ht="9.9499999999999993" customHeight="1" x14ac:dyDescent="0.2">
      <c r="B313" s="327"/>
      <c r="D313" s="327"/>
      <c r="F313" s="327"/>
    </row>
    <row r="314" spans="2:6" s="326" customFormat="1" ht="9.9499999999999993" customHeight="1" x14ac:dyDescent="0.2">
      <c r="B314" s="327"/>
      <c r="D314" s="327"/>
      <c r="F314" s="327"/>
    </row>
    <row r="315" spans="2:6" s="326" customFormat="1" ht="9.9499999999999993" customHeight="1" x14ac:dyDescent="0.2">
      <c r="B315" s="327"/>
      <c r="D315" s="327"/>
      <c r="F315" s="327"/>
    </row>
    <row r="316" spans="2:6" s="326" customFormat="1" ht="9.9499999999999993" customHeight="1" x14ac:dyDescent="0.2">
      <c r="B316" s="327"/>
      <c r="D316" s="327"/>
      <c r="F316" s="327"/>
    </row>
    <row r="317" spans="2:6" s="326" customFormat="1" ht="9.9499999999999993" customHeight="1" x14ac:dyDescent="0.2">
      <c r="B317" s="327"/>
      <c r="D317" s="327"/>
      <c r="F317" s="327"/>
    </row>
    <row r="318" spans="2:6" s="326" customFormat="1" ht="9.9499999999999993" customHeight="1" x14ac:dyDescent="0.2">
      <c r="B318" s="327"/>
      <c r="D318" s="327"/>
      <c r="F318" s="327"/>
    </row>
    <row r="319" spans="2:6" s="326" customFormat="1" ht="9.9499999999999993" customHeight="1" x14ac:dyDescent="0.2">
      <c r="B319" s="327"/>
      <c r="D319" s="327"/>
      <c r="F319" s="327"/>
    </row>
    <row r="320" spans="2:6" s="326" customFormat="1" ht="9.9499999999999993" customHeight="1" x14ac:dyDescent="0.2">
      <c r="B320" s="327"/>
      <c r="D320" s="327"/>
      <c r="F320" s="327"/>
    </row>
    <row r="321" spans="2:6" s="326" customFormat="1" ht="9.9499999999999993" customHeight="1" x14ac:dyDescent="0.2">
      <c r="B321" s="327"/>
      <c r="D321" s="327"/>
      <c r="F321" s="327"/>
    </row>
    <row r="322" spans="2:6" s="326" customFormat="1" ht="9.9499999999999993" customHeight="1" x14ac:dyDescent="0.2">
      <c r="B322" s="327"/>
      <c r="D322" s="327"/>
      <c r="F322" s="327"/>
    </row>
    <row r="323" spans="2:6" s="326" customFormat="1" ht="9.9499999999999993" customHeight="1" x14ac:dyDescent="0.2">
      <c r="B323" s="327"/>
      <c r="D323" s="327"/>
      <c r="F323" s="327"/>
    </row>
    <row r="324" spans="2:6" s="326" customFormat="1" ht="9.9499999999999993" customHeight="1" x14ac:dyDescent="0.2">
      <c r="B324" s="327"/>
      <c r="D324" s="327"/>
      <c r="F324" s="327"/>
    </row>
    <row r="325" spans="2:6" s="326" customFormat="1" ht="9.9499999999999993" customHeight="1" x14ac:dyDescent="0.2">
      <c r="B325" s="327"/>
      <c r="D325" s="327"/>
      <c r="F325" s="327"/>
    </row>
    <row r="326" spans="2:6" s="326" customFormat="1" ht="9.9499999999999993" customHeight="1" x14ac:dyDescent="0.2">
      <c r="B326" s="327"/>
      <c r="D326" s="327"/>
      <c r="F326" s="327"/>
    </row>
    <row r="327" spans="2:6" s="326" customFormat="1" ht="9.9499999999999993" customHeight="1" x14ac:dyDescent="0.2">
      <c r="B327" s="327"/>
      <c r="D327" s="327"/>
      <c r="F327" s="327"/>
    </row>
    <row r="328" spans="2:6" s="326" customFormat="1" ht="9.9499999999999993" customHeight="1" x14ac:dyDescent="0.2">
      <c r="B328" s="327"/>
      <c r="D328" s="327"/>
      <c r="F328" s="327"/>
    </row>
    <row r="329" spans="2:6" s="326" customFormat="1" ht="9.9499999999999993" customHeight="1" x14ac:dyDescent="0.2">
      <c r="B329" s="327"/>
      <c r="D329" s="327"/>
      <c r="F329" s="327"/>
    </row>
    <row r="330" spans="2:6" s="326" customFormat="1" ht="9.9499999999999993" customHeight="1" x14ac:dyDescent="0.2">
      <c r="B330" s="327"/>
      <c r="D330" s="327"/>
      <c r="F330" s="327"/>
    </row>
    <row r="331" spans="2:6" s="326" customFormat="1" ht="9.9499999999999993" customHeight="1" x14ac:dyDescent="0.2">
      <c r="B331" s="327"/>
      <c r="D331" s="327"/>
      <c r="F331" s="327"/>
    </row>
    <row r="332" spans="2:6" s="326" customFormat="1" ht="9.9499999999999993" customHeight="1" x14ac:dyDescent="0.2">
      <c r="B332" s="327"/>
      <c r="D332" s="327"/>
      <c r="F332" s="327"/>
    </row>
    <row r="333" spans="2:6" s="326" customFormat="1" ht="9.9499999999999993" customHeight="1" x14ac:dyDescent="0.2">
      <c r="B333" s="327"/>
      <c r="D333" s="327"/>
      <c r="F333" s="327"/>
    </row>
    <row r="334" spans="2:6" s="326" customFormat="1" ht="9.9499999999999993" customHeight="1" x14ac:dyDescent="0.2">
      <c r="B334" s="327"/>
      <c r="D334" s="327"/>
      <c r="F334" s="327"/>
    </row>
    <row r="335" spans="2:6" s="326" customFormat="1" ht="9.9499999999999993" customHeight="1" x14ac:dyDescent="0.2">
      <c r="B335" s="327"/>
      <c r="D335" s="327"/>
      <c r="F335" s="327"/>
    </row>
    <row r="336" spans="2:6" s="326" customFormat="1" ht="9.9499999999999993" customHeight="1" x14ac:dyDescent="0.2">
      <c r="B336" s="327"/>
      <c r="D336" s="327"/>
      <c r="F336" s="327"/>
    </row>
    <row r="337" spans="2:6" s="326" customFormat="1" ht="9.9499999999999993" customHeight="1" x14ac:dyDescent="0.2">
      <c r="B337" s="327"/>
      <c r="D337" s="327"/>
      <c r="F337" s="327"/>
    </row>
    <row r="338" spans="2:6" s="326" customFormat="1" ht="9.9499999999999993" customHeight="1" x14ac:dyDescent="0.2">
      <c r="B338" s="327"/>
      <c r="D338" s="327"/>
      <c r="F338" s="327"/>
    </row>
    <row r="339" spans="2:6" s="326" customFormat="1" ht="9.9499999999999993" customHeight="1" x14ac:dyDescent="0.2">
      <c r="B339" s="327"/>
      <c r="D339" s="327"/>
      <c r="F339" s="327"/>
    </row>
    <row r="340" spans="2:6" s="326" customFormat="1" ht="9.9499999999999993" customHeight="1" x14ac:dyDescent="0.2">
      <c r="B340" s="327"/>
      <c r="D340" s="327"/>
      <c r="F340" s="327"/>
    </row>
    <row r="341" spans="2:6" s="326" customFormat="1" ht="9.9499999999999993" customHeight="1" x14ac:dyDescent="0.2">
      <c r="B341" s="327"/>
      <c r="D341" s="327"/>
      <c r="F341" s="327"/>
    </row>
    <row r="342" spans="2:6" s="326" customFormat="1" ht="9.9499999999999993" customHeight="1" x14ac:dyDescent="0.2">
      <c r="B342" s="327"/>
      <c r="D342" s="327"/>
      <c r="F342" s="327"/>
    </row>
    <row r="343" spans="2:6" s="326" customFormat="1" ht="9.9499999999999993" customHeight="1" x14ac:dyDescent="0.2">
      <c r="B343" s="327"/>
      <c r="D343" s="327"/>
      <c r="F343" s="327"/>
    </row>
    <row r="344" spans="2:6" s="326" customFormat="1" ht="9.9499999999999993" customHeight="1" x14ac:dyDescent="0.2">
      <c r="B344" s="327"/>
      <c r="D344" s="327"/>
      <c r="F344" s="327"/>
    </row>
    <row r="345" spans="2:6" s="326" customFormat="1" ht="9.9499999999999993" customHeight="1" x14ac:dyDescent="0.2">
      <c r="B345" s="327"/>
      <c r="D345" s="327"/>
      <c r="F345" s="327"/>
    </row>
    <row r="346" spans="2:6" s="326" customFormat="1" ht="9.9499999999999993" customHeight="1" x14ac:dyDescent="0.2">
      <c r="B346" s="327"/>
      <c r="D346" s="327"/>
      <c r="F346" s="327"/>
    </row>
    <row r="347" spans="2:6" s="326" customFormat="1" ht="9.9499999999999993" customHeight="1" x14ac:dyDescent="0.2">
      <c r="B347" s="327"/>
      <c r="D347" s="327"/>
      <c r="F347" s="327"/>
    </row>
    <row r="348" spans="2:6" s="326" customFormat="1" ht="9.9499999999999993" customHeight="1" x14ac:dyDescent="0.2">
      <c r="B348" s="327"/>
      <c r="D348" s="327"/>
      <c r="F348" s="327"/>
    </row>
    <row r="349" spans="2:6" s="326" customFormat="1" ht="9.9499999999999993" customHeight="1" x14ac:dyDescent="0.2">
      <c r="B349" s="327"/>
      <c r="D349" s="327"/>
      <c r="F349" s="327"/>
    </row>
    <row r="350" spans="2:6" s="326" customFormat="1" ht="9.9499999999999993" customHeight="1" x14ac:dyDescent="0.2">
      <c r="B350" s="327"/>
      <c r="D350" s="327"/>
      <c r="F350" s="327"/>
    </row>
    <row r="351" spans="2:6" s="326" customFormat="1" ht="9.9499999999999993" customHeight="1" x14ac:dyDescent="0.2">
      <c r="B351" s="327"/>
      <c r="D351" s="327"/>
      <c r="F351" s="327"/>
    </row>
    <row r="352" spans="2:6" s="326" customFormat="1" ht="9.9499999999999993" customHeight="1" x14ac:dyDescent="0.2">
      <c r="B352" s="327"/>
      <c r="D352" s="327"/>
      <c r="F352" s="327"/>
    </row>
    <row r="353" spans="2:6" s="326" customFormat="1" ht="9.9499999999999993" customHeight="1" x14ac:dyDescent="0.2">
      <c r="B353" s="327"/>
      <c r="D353" s="327"/>
      <c r="F353" s="327"/>
    </row>
    <row r="354" spans="2:6" s="326" customFormat="1" ht="9.9499999999999993" customHeight="1" x14ac:dyDescent="0.2">
      <c r="B354" s="327"/>
      <c r="D354" s="327"/>
      <c r="F354" s="327"/>
    </row>
    <row r="355" spans="2:6" s="326" customFormat="1" ht="9.9499999999999993" customHeight="1" x14ac:dyDescent="0.2">
      <c r="B355" s="327"/>
      <c r="D355" s="327"/>
      <c r="F355" s="327"/>
    </row>
    <row r="356" spans="2:6" s="326" customFormat="1" ht="9.9499999999999993" customHeight="1" x14ac:dyDescent="0.2">
      <c r="B356" s="327"/>
      <c r="D356" s="327"/>
      <c r="F356" s="327"/>
    </row>
    <row r="357" spans="2:6" s="326" customFormat="1" ht="9.9499999999999993" customHeight="1" x14ac:dyDescent="0.2">
      <c r="B357" s="327"/>
      <c r="D357" s="327"/>
      <c r="F357" s="327"/>
    </row>
    <row r="358" spans="2:6" s="326" customFormat="1" ht="9.9499999999999993" customHeight="1" x14ac:dyDescent="0.2">
      <c r="B358" s="327"/>
      <c r="D358" s="327"/>
      <c r="F358" s="327"/>
    </row>
    <row r="359" spans="2:6" s="326" customFormat="1" ht="9.9499999999999993" customHeight="1" x14ac:dyDescent="0.2">
      <c r="B359" s="327"/>
      <c r="D359" s="327"/>
      <c r="F359" s="327"/>
    </row>
    <row r="360" spans="2:6" s="326" customFormat="1" ht="9.9499999999999993" customHeight="1" x14ac:dyDescent="0.2">
      <c r="B360" s="327"/>
      <c r="D360" s="327"/>
      <c r="F360" s="327"/>
    </row>
    <row r="361" spans="2:6" s="326" customFormat="1" ht="9.9499999999999993" customHeight="1" x14ac:dyDescent="0.2">
      <c r="B361" s="327"/>
      <c r="D361" s="327"/>
      <c r="F361" s="327"/>
    </row>
    <row r="362" spans="2:6" s="326" customFormat="1" ht="9.9499999999999993" customHeight="1" x14ac:dyDescent="0.2">
      <c r="B362" s="327"/>
      <c r="D362" s="327"/>
      <c r="F362" s="327"/>
    </row>
    <row r="363" spans="2:6" s="326" customFormat="1" ht="9.9499999999999993" customHeight="1" x14ac:dyDescent="0.2">
      <c r="B363" s="327"/>
      <c r="D363" s="327"/>
      <c r="F363" s="327"/>
    </row>
    <row r="364" spans="2:6" s="326" customFormat="1" ht="9.9499999999999993" customHeight="1" x14ac:dyDescent="0.2">
      <c r="B364" s="327"/>
      <c r="D364" s="327"/>
      <c r="F364" s="327"/>
    </row>
    <row r="365" spans="2:6" s="326" customFormat="1" ht="9.9499999999999993" customHeight="1" x14ac:dyDescent="0.2">
      <c r="B365" s="327"/>
      <c r="D365" s="327"/>
      <c r="F365" s="327"/>
    </row>
    <row r="366" spans="2:6" s="326" customFormat="1" ht="9.9499999999999993" customHeight="1" x14ac:dyDescent="0.2">
      <c r="B366" s="327"/>
      <c r="D366" s="327"/>
      <c r="F366" s="327"/>
    </row>
    <row r="367" spans="2:6" s="326" customFormat="1" ht="9.9499999999999993" customHeight="1" x14ac:dyDescent="0.2">
      <c r="B367" s="327"/>
      <c r="D367" s="327"/>
      <c r="F367" s="327"/>
    </row>
    <row r="368" spans="2:6" s="326" customFormat="1" ht="9.9499999999999993" customHeight="1" x14ac:dyDescent="0.2">
      <c r="B368" s="327"/>
      <c r="D368" s="327"/>
      <c r="F368" s="327"/>
    </row>
    <row r="369" spans="2:6" s="326" customFormat="1" ht="9.9499999999999993" customHeight="1" x14ac:dyDescent="0.2">
      <c r="B369" s="327"/>
      <c r="D369" s="327"/>
      <c r="F369" s="327"/>
    </row>
    <row r="370" spans="2:6" s="326" customFormat="1" ht="9.9499999999999993" customHeight="1" x14ac:dyDescent="0.2">
      <c r="B370" s="327"/>
      <c r="D370" s="327"/>
      <c r="F370" s="327"/>
    </row>
    <row r="371" spans="2:6" s="326" customFormat="1" ht="9.9499999999999993" customHeight="1" x14ac:dyDescent="0.2">
      <c r="B371" s="327"/>
      <c r="D371" s="327"/>
      <c r="F371" s="327"/>
    </row>
    <row r="372" spans="2:6" s="326" customFormat="1" ht="9.9499999999999993" customHeight="1" x14ac:dyDescent="0.2">
      <c r="B372" s="327"/>
      <c r="D372" s="327"/>
      <c r="F372" s="327"/>
    </row>
    <row r="373" spans="2:6" s="326" customFormat="1" ht="9.9499999999999993" customHeight="1" x14ac:dyDescent="0.2">
      <c r="B373" s="327"/>
      <c r="D373" s="327"/>
      <c r="F373" s="327"/>
    </row>
    <row r="374" spans="2:6" s="326" customFormat="1" ht="9.9499999999999993" customHeight="1" x14ac:dyDescent="0.2">
      <c r="B374" s="327"/>
      <c r="D374" s="327"/>
      <c r="F374" s="327"/>
    </row>
    <row r="375" spans="2:6" s="326" customFormat="1" ht="9.9499999999999993" customHeight="1" x14ac:dyDescent="0.2">
      <c r="B375" s="327"/>
      <c r="D375" s="327"/>
      <c r="F375" s="327"/>
    </row>
    <row r="376" spans="2:6" s="326" customFormat="1" ht="9.9499999999999993" customHeight="1" x14ac:dyDescent="0.2">
      <c r="B376" s="327"/>
      <c r="D376" s="327"/>
      <c r="F376" s="327"/>
    </row>
    <row r="377" spans="2:6" s="326" customFormat="1" ht="9.9499999999999993" customHeight="1" x14ac:dyDescent="0.2">
      <c r="B377" s="327"/>
      <c r="D377" s="327"/>
      <c r="F377" s="327"/>
    </row>
    <row r="378" spans="2:6" s="326" customFormat="1" ht="9.9499999999999993" customHeight="1" x14ac:dyDescent="0.2">
      <c r="B378" s="327"/>
      <c r="D378" s="327"/>
      <c r="F378" s="327"/>
    </row>
    <row r="379" spans="2:6" s="326" customFormat="1" ht="9.9499999999999993" customHeight="1" x14ac:dyDescent="0.2">
      <c r="B379" s="327"/>
      <c r="D379" s="327"/>
      <c r="F379" s="327"/>
    </row>
    <row r="380" spans="2:6" s="326" customFormat="1" ht="9.9499999999999993" customHeight="1" x14ac:dyDescent="0.2">
      <c r="B380" s="327"/>
      <c r="D380" s="327"/>
      <c r="F380" s="327"/>
    </row>
    <row r="381" spans="2:6" s="326" customFormat="1" ht="9.9499999999999993" customHeight="1" x14ac:dyDescent="0.2">
      <c r="B381" s="327"/>
      <c r="D381" s="327"/>
      <c r="F381" s="327"/>
    </row>
    <row r="382" spans="2:6" s="326" customFormat="1" ht="9.9499999999999993" customHeight="1" x14ac:dyDescent="0.2">
      <c r="B382" s="327"/>
      <c r="D382" s="327"/>
      <c r="F382" s="327"/>
    </row>
    <row r="383" spans="2:6" s="326" customFormat="1" ht="9.9499999999999993" customHeight="1" x14ac:dyDescent="0.2">
      <c r="B383" s="327"/>
      <c r="D383" s="327"/>
      <c r="F383" s="327"/>
    </row>
    <row r="384" spans="2:6" s="326" customFormat="1" ht="9.9499999999999993" customHeight="1" x14ac:dyDescent="0.2">
      <c r="B384" s="327"/>
      <c r="D384" s="327"/>
      <c r="F384" s="327"/>
    </row>
    <row r="385" spans="2:6" s="326" customFormat="1" ht="9.9499999999999993" customHeight="1" x14ac:dyDescent="0.2">
      <c r="B385" s="327"/>
      <c r="D385" s="327"/>
      <c r="F385" s="327"/>
    </row>
    <row r="386" spans="2:6" s="326" customFormat="1" ht="9.9499999999999993" customHeight="1" x14ac:dyDescent="0.2">
      <c r="B386" s="327"/>
      <c r="D386" s="327"/>
      <c r="F386" s="327"/>
    </row>
    <row r="387" spans="2:6" s="326" customFormat="1" ht="9.9499999999999993" customHeight="1" x14ac:dyDescent="0.2">
      <c r="B387" s="327"/>
      <c r="D387" s="327"/>
      <c r="F387" s="327"/>
    </row>
    <row r="388" spans="2:6" s="326" customFormat="1" ht="9.9499999999999993" customHeight="1" x14ac:dyDescent="0.2">
      <c r="B388" s="327"/>
      <c r="D388" s="327"/>
      <c r="F388" s="327"/>
    </row>
    <row r="389" spans="2:6" s="326" customFormat="1" ht="9.9499999999999993" customHeight="1" x14ac:dyDescent="0.2">
      <c r="B389" s="327"/>
      <c r="D389" s="327"/>
      <c r="F389" s="327"/>
    </row>
    <row r="390" spans="2:6" s="326" customFormat="1" ht="9.9499999999999993" customHeight="1" x14ac:dyDescent="0.2">
      <c r="B390" s="327"/>
      <c r="D390" s="327"/>
      <c r="F390" s="327"/>
    </row>
    <row r="391" spans="2:6" s="326" customFormat="1" ht="9.9499999999999993" customHeight="1" x14ac:dyDescent="0.2">
      <c r="B391" s="327"/>
      <c r="D391" s="327"/>
      <c r="F391" s="327"/>
    </row>
    <row r="392" spans="2:6" s="326" customFormat="1" ht="9.9499999999999993" customHeight="1" x14ac:dyDescent="0.2">
      <c r="B392" s="327"/>
      <c r="D392" s="327"/>
      <c r="F392" s="327"/>
    </row>
    <row r="393" spans="2:6" s="326" customFormat="1" ht="9.9499999999999993" customHeight="1" x14ac:dyDescent="0.2">
      <c r="B393" s="327"/>
      <c r="D393" s="327"/>
      <c r="F393" s="327"/>
    </row>
    <row r="394" spans="2:6" s="326" customFormat="1" ht="9.9499999999999993" customHeight="1" x14ac:dyDescent="0.2">
      <c r="B394" s="327"/>
      <c r="D394" s="327"/>
      <c r="F394" s="327"/>
    </row>
    <row r="395" spans="2:6" s="326" customFormat="1" ht="9.9499999999999993" customHeight="1" x14ac:dyDescent="0.2">
      <c r="B395" s="327"/>
      <c r="D395" s="327"/>
      <c r="F395" s="327"/>
    </row>
    <row r="396" spans="2:6" s="326" customFormat="1" ht="9.9499999999999993" customHeight="1" x14ac:dyDescent="0.2">
      <c r="B396" s="327"/>
      <c r="D396" s="327"/>
      <c r="F396" s="327"/>
    </row>
    <row r="397" spans="2:6" s="326" customFormat="1" ht="9.9499999999999993" customHeight="1" x14ac:dyDescent="0.2">
      <c r="B397" s="327"/>
      <c r="D397" s="327"/>
      <c r="F397" s="327"/>
    </row>
    <row r="398" spans="2:6" s="326" customFormat="1" ht="9.9499999999999993" customHeight="1" x14ac:dyDescent="0.2">
      <c r="B398" s="327"/>
      <c r="D398" s="327"/>
      <c r="F398" s="327"/>
    </row>
    <row r="399" spans="2:6" s="326" customFormat="1" ht="9.9499999999999993" customHeight="1" x14ac:dyDescent="0.2">
      <c r="B399" s="327"/>
      <c r="D399" s="327"/>
      <c r="F399" s="327"/>
    </row>
    <row r="400" spans="2:6" s="326" customFormat="1" ht="9.9499999999999993" customHeight="1" x14ac:dyDescent="0.2">
      <c r="B400" s="327"/>
      <c r="D400" s="327"/>
      <c r="F400" s="327"/>
    </row>
    <row r="401" spans="2:6" s="326" customFormat="1" ht="9.9499999999999993" customHeight="1" x14ac:dyDescent="0.2">
      <c r="B401" s="327"/>
      <c r="D401" s="327"/>
      <c r="F401" s="327"/>
    </row>
    <row r="402" spans="2:6" s="326" customFormat="1" ht="9.9499999999999993" customHeight="1" x14ac:dyDescent="0.2">
      <c r="B402" s="327"/>
      <c r="D402" s="327"/>
      <c r="F402" s="327"/>
    </row>
    <row r="403" spans="2:6" s="326" customFormat="1" ht="9.9499999999999993" customHeight="1" x14ac:dyDescent="0.2">
      <c r="B403" s="327"/>
      <c r="D403" s="327"/>
      <c r="F403" s="327"/>
    </row>
    <row r="404" spans="2:6" s="326" customFormat="1" ht="9.9499999999999993" customHeight="1" x14ac:dyDescent="0.2">
      <c r="B404" s="327"/>
      <c r="D404" s="327"/>
      <c r="F404" s="327"/>
    </row>
    <row r="405" spans="2:6" s="326" customFormat="1" ht="9.9499999999999993" customHeight="1" x14ac:dyDescent="0.2">
      <c r="B405" s="327"/>
      <c r="D405" s="327"/>
      <c r="F405" s="327"/>
    </row>
    <row r="406" spans="2:6" s="326" customFormat="1" ht="9.9499999999999993" customHeight="1" x14ac:dyDescent="0.2">
      <c r="B406" s="327"/>
      <c r="D406" s="327"/>
      <c r="F406" s="327"/>
    </row>
    <row r="407" spans="2:6" s="326" customFormat="1" ht="9.9499999999999993" customHeight="1" x14ac:dyDescent="0.2">
      <c r="B407" s="327"/>
      <c r="D407" s="327"/>
      <c r="F407" s="327"/>
    </row>
    <row r="408" spans="2:6" s="326" customFormat="1" ht="9.9499999999999993" customHeight="1" x14ac:dyDescent="0.2">
      <c r="B408" s="327"/>
      <c r="D408" s="327"/>
      <c r="F408" s="327"/>
    </row>
    <row r="409" spans="2:6" s="326" customFormat="1" ht="9.9499999999999993" customHeight="1" x14ac:dyDescent="0.2">
      <c r="B409" s="327"/>
      <c r="D409" s="327"/>
      <c r="F409" s="327"/>
    </row>
    <row r="410" spans="2:6" s="326" customFormat="1" ht="9.9499999999999993" customHeight="1" x14ac:dyDescent="0.2">
      <c r="B410" s="327"/>
      <c r="D410" s="327"/>
      <c r="F410" s="327"/>
    </row>
    <row r="411" spans="2:6" s="326" customFormat="1" ht="9.9499999999999993" customHeight="1" x14ac:dyDescent="0.2">
      <c r="B411" s="327"/>
      <c r="D411" s="327"/>
      <c r="F411" s="327"/>
    </row>
    <row r="412" spans="2:6" s="326" customFormat="1" ht="9.9499999999999993" customHeight="1" x14ac:dyDescent="0.2">
      <c r="B412" s="327"/>
      <c r="D412" s="327"/>
      <c r="F412" s="327"/>
    </row>
    <row r="413" spans="2:6" s="326" customFormat="1" ht="9.9499999999999993" customHeight="1" x14ac:dyDescent="0.2">
      <c r="B413" s="327"/>
      <c r="D413" s="327"/>
      <c r="F413" s="327"/>
    </row>
    <row r="414" spans="2:6" s="326" customFormat="1" ht="9.9499999999999993" customHeight="1" x14ac:dyDescent="0.2">
      <c r="B414" s="327"/>
      <c r="D414" s="327"/>
      <c r="F414" s="327"/>
    </row>
    <row r="415" spans="2:6" s="326" customFormat="1" ht="9.9499999999999993" customHeight="1" x14ac:dyDescent="0.2">
      <c r="B415" s="327"/>
      <c r="D415" s="327"/>
      <c r="F415" s="327"/>
    </row>
    <row r="416" spans="2:6" s="326" customFormat="1" ht="9.9499999999999993" customHeight="1" x14ac:dyDescent="0.2">
      <c r="B416" s="327"/>
      <c r="D416" s="327"/>
      <c r="F416" s="327"/>
    </row>
    <row r="417" spans="2:6" s="326" customFormat="1" ht="9.9499999999999993" customHeight="1" x14ac:dyDescent="0.2">
      <c r="B417" s="327"/>
      <c r="D417" s="327"/>
      <c r="F417" s="327"/>
    </row>
    <row r="418" spans="2:6" s="326" customFormat="1" ht="9.9499999999999993" customHeight="1" x14ac:dyDescent="0.2">
      <c r="B418" s="327"/>
      <c r="D418" s="327"/>
      <c r="F418" s="327"/>
    </row>
    <row r="419" spans="2:6" s="326" customFormat="1" ht="9.9499999999999993" customHeight="1" x14ac:dyDescent="0.2">
      <c r="B419" s="327"/>
      <c r="D419" s="327"/>
      <c r="F419" s="327"/>
    </row>
    <row r="420" spans="2:6" s="326" customFormat="1" ht="9.9499999999999993" customHeight="1" x14ac:dyDescent="0.2">
      <c r="B420" s="327"/>
      <c r="D420" s="327"/>
      <c r="F420" s="327"/>
    </row>
    <row r="421" spans="2:6" s="326" customFormat="1" ht="9.9499999999999993" customHeight="1" x14ac:dyDescent="0.2">
      <c r="B421" s="327"/>
      <c r="D421" s="327"/>
      <c r="F421" s="327"/>
    </row>
    <row r="422" spans="2:6" s="326" customFormat="1" ht="9.9499999999999993" customHeight="1" x14ac:dyDescent="0.2">
      <c r="B422" s="327"/>
      <c r="D422" s="327"/>
      <c r="F422" s="327"/>
    </row>
    <row r="423" spans="2:6" s="326" customFormat="1" ht="9.9499999999999993" customHeight="1" x14ac:dyDescent="0.2">
      <c r="B423" s="327"/>
      <c r="D423" s="327"/>
      <c r="F423" s="327"/>
    </row>
    <row r="424" spans="2:6" s="326" customFormat="1" ht="9.9499999999999993" customHeight="1" x14ac:dyDescent="0.2">
      <c r="B424" s="327"/>
      <c r="D424" s="327"/>
      <c r="F424" s="327"/>
    </row>
    <row r="425" spans="2:6" s="326" customFormat="1" ht="9.9499999999999993" customHeight="1" x14ac:dyDescent="0.2">
      <c r="B425" s="327"/>
      <c r="D425" s="327"/>
      <c r="F425" s="327"/>
    </row>
    <row r="426" spans="2:6" s="326" customFormat="1" ht="9.9499999999999993" customHeight="1" x14ac:dyDescent="0.2">
      <c r="B426" s="327"/>
      <c r="D426" s="327"/>
      <c r="F426" s="327"/>
    </row>
    <row r="427" spans="2:6" s="326" customFormat="1" ht="9.9499999999999993" customHeight="1" x14ac:dyDescent="0.2">
      <c r="B427" s="327"/>
      <c r="D427" s="327"/>
      <c r="F427" s="327"/>
    </row>
    <row r="428" spans="2:6" s="326" customFormat="1" ht="9.9499999999999993" customHeight="1" x14ac:dyDescent="0.2">
      <c r="B428" s="327"/>
      <c r="D428" s="327"/>
      <c r="F428" s="327"/>
    </row>
    <row r="429" spans="2:6" s="326" customFormat="1" ht="9.9499999999999993" customHeight="1" x14ac:dyDescent="0.2">
      <c r="B429" s="327"/>
      <c r="D429" s="327"/>
      <c r="F429" s="327"/>
    </row>
    <row r="430" spans="2:6" s="326" customFormat="1" ht="9.9499999999999993" customHeight="1" x14ac:dyDescent="0.2">
      <c r="B430" s="327"/>
      <c r="D430" s="327"/>
      <c r="F430" s="327"/>
    </row>
    <row r="431" spans="2:6" s="326" customFormat="1" ht="9.9499999999999993" customHeight="1" x14ac:dyDescent="0.2">
      <c r="B431" s="327"/>
      <c r="D431" s="327"/>
      <c r="F431" s="327"/>
    </row>
    <row r="432" spans="2:6" s="326" customFormat="1" ht="9.9499999999999993" customHeight="1" x14ac:dyDescent="0.2">
      <c r="B432" s="327"/>
      <c r="D432" s="327"/>
      <c r="F432" s="327"/>
    </row>
    <row r="433" spans="2:6" s="326" customFormat="1" ht="9.9499999999999993" customHeight="1" x14ac:dyDescent="0.2">
      <c r="B433" s="327"/>
      <c r="D433" s="327"/>
      <c r="F433" s="327"/>
    </row>
    <row r="434" spans="2:6" s="326" customFormat="1" ht="9.9499999999999993" customHeight="1" x14ac:dyDescent="0.2">
      <c r="B434" s="327"/>
      <c r="D434" s="327"/>
      <c r="F434" s="327"/>
    </row>
    <row r="435" spans="2:6" s="326" customFormat="1" ht="9.9499999999999993" customHeight="1" x14ac:dyDescent="0.2">
      <c r="B435" s="327"/>
      <c r="D435" s="327"/>
      <c r="F435" s="327"/>
    </row>
    <row r="436" spans="2:6" s="326" customFormat="1" ht="9.9499999999999993" customHeight="1" x14ac:dyDescent="0.2">
      <c r="B436" s="327"/>
      <c r="D436" s="327"/>
      <c r="F436" s="327"/>
    </row>
    <row r="437" spans="2:6" s="326" customFormat="1" ht="9.9499999999999993" customHeight="1" x14ac:dyDescent="0.2">
      <c r="B437" s="327"/>
      <c r="D437" s="327"/>
      <c r="F437" s="327"/>
    </row>
    <row r="438" spans="2:6" s="326" customFormat="1" ht="9.9499999999999993" customHeight="1" x14ac:dyDescent="0.2">
      <c r="B438" s="327"/>
      <c r="D438" s="327"/>
      <c r="F438" s="327"/>
    </row>
    <row r="439" spans="2:6" s="326" customFormat="1" ht="9.9499999999999993" customHeight="1" x14ac:dyDescent="0.2">
      <c r="B439" s="327"/>
      <c r="D439" s="327"/>
      <c r="F439" s="327"/>
    </row>
    <row r="440" spans="2:6" s="326" customFormat="1" ht="9.9499999999999993" customHeight="1" x14ac:dyDescent="0.2">
      <c r="B440" s="327"/>
      <c r="D440" s="327"/>
      <c r="F440" s="327"/>
    </row>
    <row r="441" spans="2:6" s="326" customFormat="1" ht="9.9499999999999993" customHeight="1" x14ac:dyDescent="0.2">
      <c r="B441" s="327"/>
      <c r="D441" s="327"/>
      <c r="F441" s="327"/>
    </row>
    <row r="442" spans="2:6" s="326" customFormat="1" ht="9.9499999999999993" customHeight="1" x14ac:dyDescent="0.2">
      <c r="B442" s="327"/>
      <c r="D442" s="327"/>
      <c r="F442" s="327"/>
    </row>
    <row r="443" spans="2:6" s="326" customFormat="1" ht="9.9499999999999993" customHeight="1" x14ac:dyDescent="0.2">
      <c r="B443" s="327"/>
      <c r="D443" s="327"/>
      <c r="F443" s="327"/>
    </row>
    <row r="444" spans="2:6" s="326" customFormat="1" ht="9.9499999999999993" customHeight="1" x14ac:dyDescent="0.2">
      <c r="B444" s="327"/>
      <c r="D444" s="327"/>
      <c r="F444" s="327"/>
    </row>
    <row r="445" spans="2:6" s="326" customFormat="1" ht="9.9499999999999993" customHeight="1" x14ac:dyDescent="0.2">
      <c r="B445" s="327"/>
      <c r="D445" s="327"/>
      <c r="F445" s="327"/>
    </row>
    <row r="446" spans="2:6" s="326" customFormat="1" ht="9.9499999999999993" customHeight="1" x14ac:dyDescent="0.2">
      <c r="B446" s="327"/>
      <c r="D446" s="327"/>
      <c r="F446" s="327"/>
    </row>
    <row r="447" spans="2:6" s="326" customFormat="1" ht="9.9499999999999993" customHeight="1" x14ac:dyDescent="0.2">
      <c r="B447" s="327"/>
      <c r="D447" s="327"/>
      <c r="F447" s="327"/>
    </row>
    <row r="448" spans="2:6" s="326" customFormat="1" ht="9.9499999999999993" customHeight="1" x14ac:dyDescent="0.2">
      <c r="B448" s="327"/>
      <c r="D448" s="327"/>
      <c r="F448" s="327"/>
    </row>
    <row r="449" spans="2:6" s="326" customFormat="1" ht="9.9499999999999993" customHeight="1" x14ac:dyDescent="0.2">
      <c r="B449" s="327"/>
      <c r="D449" s="327"/>
      <c r="F449" s="327"/>
    </row>
    <row r="450" spans="2:6" s="326" customFormat="1" ht="9.9499999999999993" customHeight="1" x14ac:dyDescent="0.2">
      <c r="B450" s="327"/>
      <c r="D450" s="327"/>
      <c r="F450" s="327"/>
    </row>
    <row r="451" spans="2:6" s="326" customFormat="1" ht="9.9499999999999993" customHeight="1" x14ac:dyDescent="0.2">
      <c r="B451" s="327"/>
      <c r="D451" s="327"/>
      <c r="F451" s="327"/>
    </row>
    <row r="452" spans="2:6" s="326" customFormat="1" ht="9.9499999999999993" customHeight="1" x14ac:dyDescent="0.2">
      <c r="B452" s="327"/>
      <c r="D452" s="327"/>
      <c r="F452" s="327"/>
    </row>
    <row r="453" spans="2:6" s="326" customFormat="1" ht="9.9499999999999993" customHeight="1" x14ac:dyDescent="0.2">
      <c r="B453" s="327"/>
      <c r="D453" s="327"/>
      <c r="F453" s="327"/>
    </row>
    <row r="454" spans="2:6" s="326" customFormat="1" ht="9.9499999999999993" customHeight="1" x14ac:dyDescent="0.2">
      <c r="B454" s="327"/>
      <c r="D454" s="327"/>
      <c r="F454" s="327"/>
    </row>
    <row r="455" spans="2:6" s="326" customFormat="1" ht="9.9499999999999993" customHeight="1" x14ac:dyDescent="0.2">
      <c r="B455" s="327"/>
      <c r="D455" s="327"/>
      <c r="F455" s="327"/>
    </row>
    <row r="456" spans="2:6" s="326" customFormat="1" ht="9.9499999999999993" customHeight="1" x14ac:dyDescent="0.2">
      <c r="B456" s="327"/>
      <c r="D456" s="327"/>
      <c r="F456" s="327"/>
    </row>
    <row r="457" spans="2:6" s="326" customFormat="1" ht="9.9499999999999993" customHeight="1" x14ac:dyDescent="0.2">
      <c r="B457" s="327"/>
      <c r="D457" s="327"/>
      <c r="F457" s="327"/>
    </row>
    <row r="458" spans="2:6" s="326" customFormat="1" ht="9.9499999999999993" customHeight="1" x14ac:dyDescent="0.2">
      <c r="B458" s="327"/>
      <c r="D458" s="327"/>
      <c r="F458" s="327"/>
    </row>
    <row r="459" spans="2:6" s="326" customFormat="1" ht="9.9499999999999993" customHeight="1" x14ac:dyDescent="0.2">
      <c r="B459" s="327"/>
      <c r="D459" s="327"/>
      <c r="F459" s="327"/>
    </row>
    <row r="460" spans="2:6" s="326" customFormat="1" ht="9.9499999999999993" customHeight="1" x14ac:dyDescent="0.2">
      <c r="B460" s="327"/>
      <c r="D460" s="327"/>
      <c r="F460" s="327"/>
    </row>
    <row r="461" spans="2:6" s="326" customFormat="1" ht="9.9499999999999993" customHeight="1" x14ac:dyDescent="0.2">
      <c r="B461" s="327"/>
      <c r="D461" s="327"/>
      <c r="F461" s="327"/>
    </row>
    <row r="462" spans="2:6" s="326" customFormat="1" ht="9.9499999999999993" customHeight="1" x14ac:dyDescent="0.2">
      <c r="B462" s="327"/>
      <c r="D462" s="327"/>
      <c r="F462" s="327"/>
    </row>
    <row r="463" spans="2:6" s="326" customFormat="1" ht="9.9499999999999993" customHeight="1" x14ac:dyDescent="0.2">
      <c r="B463" s="327"/>
      <c r="D463" s="327"/>
      <c r="F463" s="327"/>
    </row>
    <row r="464" spans="2:6" s="326" customFormat="1" ht="9.9499999999999993" customHeight="1" x14ac:dyDescent="0.2">
      <c r="B464" s="327"/>
      <c r="D464" s="327"/>
      <c r="F464" s="327"/>
    </row>
    <row r="465" spans="2:6" s="326" customFormat="1" ht="9.9499999999999993" customHeight="1" x14ac:dyDescent="0.2">
      <c r="B465" s="327"/>
      <c r="D465" s="327"/>
      <c r="F465" s="327"/>
    </row>
    <row r="466" spans="2:6" s="326" customFormat="1" ht="9.9499999999999993" customHeight="1" x14ac:dyDescent="0.2">
      <c r="B466" s="327"/>
      <c r="D466" s="327"/>
      <c r="F466" s="327"/>
    </row>
    <row r="467" spans="2:6" s="326" customFormat="1" ht="9.9499999999999993" customHeight="1" x14ac:dyDescent="0.2">
      <c r="B467" s="327"/>
      <c r="D467" s="327"/>
      <c r="F467" s="327"/>
    </row>
    <row r="468" spans="2:6" s="326" customFormat="1" ht="9.9499999999999993" customHeight="1" x14ac:dyDescent="0.2">
      <c r="B468" s="327"/>
      <c r="D468" s="327"/>
      <c r="F468" s="327"/>
    </row>
    <row r="469" spans="2:6" s="326" customFormat="1" ht="9.9499999999999993" customHeight="1" x14ac:dyDescent="0.2">
      <c r="B469" s="327"/>
      <c r="D469" s="327"/>
      <c r="F469" s="327"/>
    </row>
    <row r="470" spans="2:6" s="326" customFormat="1" ht="9.9499999999999993" customHeight="1" x14ac:dyDescent="0.2">
      <c r="B470" s="327"/>
      <c r="D470" s="327"/>
      <c r="F470" s="327"/>
    </row>
    <row r="471" spans="2:6" s="326" customFormat="1" ht="9.9499999999999993" customHeight="1" x14ac:dyDescent="0.2">
      <c r="B471" s="327"/>
      <c r="D471" s="327"/>
      <c r="F471" s="327"/>
    </row>
    <row r="472" spans="2:6" s="326" customFormat="1" ht="9.9499999999999993" customHeight="1" x14ac:dyDescent="0.2">
      <c r="B472" s="327"/>
      <c r="D472" s="327"/>
      <c r="F472" s="327"/>
    </row>
    <row r="473" spans="2:6" s="326" customFormat="1" ht="9.9499999999999993" customHeight="1" x14ac:dyDescent="0.2">
      <c r="B473" s="327"/>
      <c r="D473" s="327"/>
      <c r="F473" s="327"/>
    </row>
    <row r="474" spans="2:6" s="326" customFormat="1" ht="9.9499999999999993" customHeight="1" x14ac:dyDescent="0.2">
      <c r="B474" s="327"/>
      <c r="D474" s="327"/>
      <c r="F474" s="327"/>
    </row>
    <row r="475" spans="2:6" s="326" customFormat="1" ht="9.9499999999999993" customHeight="1" x14ac:dyDescent="0.2">
      <c r="B475" s="327"/>
      <c r="D475" s="327"/>
      <c r="F475" s="327"/>
    </row>
    <row r="476" spans="2:6" s="326" customFormat="1" ht="9.9499999999999993" customHeight="1" x14ac:dyDescent="0.2">
      <c r="B476" s="327"/>
      <c r="D476" s="327"/>
      <c r="F476" s="327"/>
    </row>
    <row r="477" spans="2:6" s="326" customFormat="1" ht="9.9499999999999993" customHeight="1" x14ac:dyDescent="0.2">
      <c r="B477" s="327"/>
      <c r="D477" s="327"/>
      <c r="F477" s="327"/>
    </row>
    <row r="478" spans="2:6" s="326" customFormat="1" ht="9.9499999999999993" customHeight="1" x14ac:dyDescent="0.2">
      <c r="B478" s="327"/>
      <c r="D478" s="327"/>
      <c r="F478" s="327"/>
    </row>
    <row r="479" spans="2:6" s="326" customFormat="1" ht="9.9499999999999993" customHeight="1" x14ac:dyDescent="0.2">
      <c r="B479" s="327"/>
      <c r="D479" s="327"/>
      <c r="F479" s="327"/>
    </row>
    <row r="480" spans="2:6" s="326" customFormat="1" ht="9.9499999999999993" customHeight="1" x14ac:dyDescent="0.2">
      <c r="B480" s="327"/>
      <c r="D480" s="327"/>
      <c r="F480" s="327"/>
    </row>
    <row r="481" spans="2:6" s="326" customFormat="1" ht="9.9499999999999993" customHeight="1" x14ac:dyDescent="0.2">
      <c r="B481" s="327"/>
      <c r="D481" s="327"/>
      <c r="F481" s="327"/>
    </row>
    <row r="482" spans="2:6" s="326" customFormat="1" ht="9.9499999999999993" customHeight="1" x14ac:dyDescent="0.2">
      <c r="B482" s="327"/>
      <c r="D482" s="327"/>
      <c r="F482" s="327"/>
    </row>
    <row r="483" spans="2:6" s="326" customFormat="1" ht="9.9499999999999993" customHeight="1" x14ac:dyDescent="0.2">
      <c r="B483" s="327"/>
      <c r="D483" s="327"/>
      <c r="F483" s="327"/>
    </row>
    <row r="484" spans="2:6" s="326" customFormat="1" ht="9.9499999999999993" customHeight="1" x14ac:dyDescent="0.2">
      <c r="B484" s="327"/>
      <c r="D484" s="327"/>
      <c r="F484" s="327"/>
    </row>
    <row r="485" spans="2:6" s="326" customFormat="1" ht="9.9499999999999993" customHeight="1" x14ac:dyDescent="0.2">
      <c r="B485" s="327"/>
      <c r="D485" s="327"/>
      <c r="F485" s="327"/>
    </row>
    <row r="486" spans="2:6" s="326" customFormat="1" ht="9.9499999999999993" customHeight="1" x14ac:dyDescent="0.2">
      <c r="B486" s="327"/>
      <c r="D486" s="327"/>
      <c r="F486" s="327"/>
    </row>
    <row r="487" spans="2:6" s="326" customFormat="1" ht="9.9499999999999993" customHeight="1" x14ac:dyDescent="0.2">
      <c r="B487" s="327"/>
      <c r="D487" s="327"/>
      <c r="F487" s="327"/>
    </row>
    <row r="488" spans="2:6" s="326" customFormat="1" ht="9.9499999999999993" customHeight="1" x14ac:dyDescent="0.2">
      <c r="B488" s="327"/>
      <c r="D488" s="327"/>
      <c r="F488" s="327"/>
    </row>
    <row r="489" spans="2:6" s="326" customFormat="1" ht="9.9499999999999993" customHeight="1" x14ac:dyDescent="0.2">
      <c r="B489" s="327"/>
      <c r="D489" s="327"/>
      <c r="F489" s="327"/>
    </row>
    <row r="490" spans="2:6" s="326" customFormat="1" ht="9.9499999999999993" customHeight="1" x14ac:dyDescent="0.2">
      <c r="B490" s="327"/>
      <c r="D490" s="327"/>
      <c r="F490" s="327"/>
    </row>
    <row r="491" spans="2:6" s="326" customFormat="1" ht="9.9499999999999993" customHeight="1" x14ac:dyDescent="0.2">
      <c r="B491" s="327"/>
      <c r="D491" s="327"/>
      <c r="F491" s="327"/>
    </row>
    <row r="492" spans="2:6" s="326" customFormat="1" ht="9.9499999999999993" customHeight="1" x14ac:dyDescent="0.2">
      <c r="B492" s="327"/>
      <c r="D492" s="327"/>
      <c r="F492" s="327"/>
    </row>
    <row r="493" spans="2:6" s="326" customFormat="1" ht="9.9499999999999993" customHeight="1" x14ac:dyDescent="0.2">
      <c r="B493" s="327"/>
      <c r="D493" s="327"/>
      <c r="F493" s="327"/>
    </row>
    <row r="494" spans="2:6" s="326" customFormat="1" ht="9.9499999999999993" customHeight="1" x14ac:dyDescent="0.2">
      <c r="B494" s="327"/>
      <c r="D494" s="327"/>
      <c r="F494" s="327"/>
    </row>
    <row r="495" spans="2:6" s="326" customFormat="1" ht="9.9499999999999993" customHeight="1" x14ac:dyDescent="0.2">
      <c r="B495" s="327"/>
      <c r="D495" s="327"/>
      <c r="F495" s="327"/>
    </row>
    <row r="496" spans="2:6" s="326" customFormat="1" ht="9.9499999999999993" customHeight="1" x14ac:dyDescent="0.2">
      <c r="B496" s="327"/>
      <c r="D496" s="327"/>
      <c r="F496" s="327"/>
    </row>
    <row r="497" spans="2:6" s="326" customFormat="1" ht="9.9499999999999993" customHeight="1" x14ac:dyDescent="0.2">
      <c r="B497" s="327"/>
      <c r="D497" s="327"/>
      <c r="F497" s="327"/>
    </row>
    <row r="498" spans="2:6" s="326" customFormat="1" ht="9.9499999999999993" customHeight="1" x14ac:dyDescent="0.2">
      <c r="B498" s="327"/>
      <c r="D498" s="327"/>
      <c r="F498" s="327"/>
    </row>
    <row r="499" spans="2:6" s="326" customFormat="1" ht="9.9499999999999993" customHeight="1" x14ac:dyDescent="0.2">
      <c r="B499" s="327"/>
      <c r="D499" s="327"/>
      <c r="F499" s="327"/>
    </row>
    <row r="500" spans="2:6" s="326" customFormat="1" ht="9.9499999999999993" customHeight="1" x14ac:dyDescent="0.2">
      <c r="B500" s="327"/>
      <c r="D500" s="327"/>
      <c r="F500" s="327"/>
    </row>
    <row r="501" spans="2:6" s="326" customFormat="1" ht="9.9499999999999993" customHeight="1" x14ac:dyDescent="0.2">
      <c r="B501" s="327"/>
      <c r="D501" s="327"/>
      <c r="F501" s="327"/>
    </row>
    <row r="502" spans="2:6" s="326" customFormat="1" ht="9.9499999999999993" customHeight="1" x14ac:dyDescent="0.2">
      <c r="B502" s="327"/>
      <c r="D502" s="327"/>
      <c r="F502" s="327"/>
    </row>
    <row r="503" spans="2:6" s="326" customFormat="1" ht="9.9499999999999993" customHeight="1" x14ac:dyDescent="0.2">
      <c r="B503" s="327"/>
      <c r="D503" s="327"/>
      <c r="F503" s="327"/>
    </row>
    <row r="504" spans="2:6" s="326" customFormat="1" ht="9.9499999999999993" customHeight="1" x14ac:dyDescent="0.2">
      <c r="B504" s="327"/>
      <c r="D504" s="327"/>
      <c r="F504" s="327"/>
    </row>
    <row r="505" spans="2:6" s="326" customFormat="1" ht="9.9499999999999993" customHeight="1" x14ac:dyDescent="0.2">
      <c r="B505" s="327"/>
      <c r="D505" s="327"/>
      <c r="F505" s="327"/>
    </row>
    <row r="506" spans="2:6" s="326" customFormat="1" ht="9.9499999999999993" customHeight="1" x14ac:dyDescent="0.2">
      <c r="B506" s="327"/>
      <c r="D506" s="327"/>
      <c r="F506" s="327"/>
    </row>
    <row r="507" spans="2:6" s="326" customFormat="1" ht="9.9499999999999993" customHeight="1" x14ac:dyDescent="0.2">
      <c r="B507" s="327"/>
      <c r="D507" s="327"/>
      <c r="F507" s="327"/>
    </row>
    <row r="508" spans="2:6" s="326" customFormat="1" ht="9.9499999999999993" customHeight="1" x14ac:dyDescent="0.2">
      <c r="B508" s="327"/>
      <c r="D508" s="327"/>
      <c r="F508" s="327"/>
    </row>
    <row r="509" spans="2:6" s="326" customFormat="1" ht="9.9499999999999993" customHeight="1" x14ac:dyDescent="0.2">
      <c r="B509" s="327"/>
      <c r="D509" s="327"/>
      <c r="F509" s="327"/>
    </row>
    <row r="510" spans="2:6" s="326" customFormat="1" ht="9.9499999999999993" customHeight="1" x14ac:dyDescent="0.2">
      <c r="B510" s="327"/>
      <c r="D510" s="327"/>
      <c r="F510" s="327"/>
    </row>
    <row r="511" spans="2:6" s="326" customFormat="1" ht="9.9499999999999993" customHeight="1" x14ac:dyDescent="0.2">
      <c r="B511" s="327"/>
      <c r="D511" s="327"/>
      <c r="F511" s="327"/>
    </row>
    <row r="512" spans="2:6" s="326" customFormat="1" ht="9.9499999999999993" customHeight="1" x14ac:dyDescent="0.2">
      <c r="B512" s="327"/>
      <c r="D512" s="327"/>
      <c r="F512" s="327"/>
    </row>
    <row r="513" spans="2:6" s="326" customFormat="1" ht="9.9499999999999993" customHeight="1" x14ac:dyDescent="0.2">
      <c r="B513" s="327"/>
      <c r="D513" s="327"/>
      <c r="F513" s="327"/>
    </row>
    <row r="514" spans="2:6" s="326" customFormat="1" ht="9.9499999999999993" customHeight="1" x14ac:dyDescent="0.2">
      <c r="B514" s="327"/>
      <c r="D514" s="327"/>
      <c r="F514" s="327"/>
    </row>
    <row r="515" spans="2:6" s="326" customFormat="1" ht="9.9499999999999993" customHeight="1" x14ac:dyDescent="0.2">
      <c r="B515" s="327"/>
      <c r="D515" s="327"/>
      <c r="F515" s="327"/>
    </row>
    <row r="516" spans="2:6" s="326" customFormat="1" ht="9.9499999999999993" customHeight="1" x14ac:dyDescent="0.2">
      <c r="B516" s="327"/>
      <c r="D516" s="327"/>
      <c r="F516" s="327"/>
    </row>
    <row r="517" spans="2:6" s="326" customFormat="1" ht="9.9499999999999993" customHeight="1" x14ac:dyDescent="0.2">
      <c r="B517" s="327"/>
      <c r="D517" s="327"/>
      <c r="F517" s="327"/>
    </row>
    <row r="518" spans="2:6" s="326" customFormat="1" ht="9.9499999999999993" customHeight="1" x14ac:dyDescent="0.2">
      <c r="B518" s="327"/>
      <c r="D518" s="327"/>
      <c r="F518" s="327"/>
    </row>
    <row r="519" spans="2:6" s="326" customFormat="1" ht="9.9499999999999993" customHeight="1" x14ac:dyDescent="0.2">
      <c r="B519" s="327"/>
      <c r="D519" s="327"/>
      <c r="F519" s="327"/>
    </row>
    <row r="520" spans="2:6" s="326" customFormat="1" ht="9.9499999999999993" customHeight="1" x14ac:dyDescent="0.2">
      <c r="B520" s="327"/>
      <c r="D520" s="327"/>
      <c r="F520" s="327"/>
    </row>
    <row r="521" spans="2:6" s="326" customFormat="1" ht="9.9499999999999993" customHeight="1" x14ac:dyDescent="0.2">
      <c r="B521" s="327"/>
      <c r="D521" s="327"/>
      <c r="F521" s="327"/>
    </row>
    <row r="522" spans="2:6" s="326" customFormat="1" ht="9.9499999999999993" customHeight="1" x14ac:dyDescent="0.2">
      <c r="B522" s="327"/>
      <c r="D522" s="327"/>
      <c r="F522" s="327"/>
    </row>
    <row r="523" spans="2:6" s="326" customFormat="1" ht="9.9499999999999993" customHeight="1" x14ac:dyDescent="0.2">
      <c r="B523" s="327"/>
      <c r="D523" s="327"/>
      <c r="F523" s="327"/>
    </row>
    <row r="524" spans="2:6" s="326" customFormat="1" ht="9.9499999999999993" customHeight="1" x14ac:dyDescent="0.2">
      <c r="B524" s="327"/>
      <c r="D524" s="327"/>
      <c r="F524" s="327"/>
    </row>
    <row r="525" spans="2:6" s="326" customFormat="1" ht="9.9499999999999993" customHeight="1" x14ac:dyDescent="0.2">
      <c r="B525" s="327"/>
      <c r="D525" s="327"/>
      <c r="F525" s="327"/>
    </row>
    <row r="526" spans="2:6" s="326" customFormat="1" ht="9.9499999999999993" customHeight="1" x14ac:dyDescent="0.2">
      <c r="B526" s="327"/>
      <c r="D526" s="327"/>
      <c r="F526" s="327"/>
    </row>
    <row r="527" spans="2:6" s="326" customFormat="1" ht="9.9499999999999993" customHeight="1" x14ac:dyDescent="0.2">
      <c r="B527" s="327"/>
      <c r="D527" s="327"/>
      <c r="F527" s="327"/>
    </row>
    <row r="528" spans="2:6" s="326" customFormat="1" ht="9.9499999999999993" customHeight="1" x14ac:dyDescent="0.2">
      <c r="B528" s="327"/>
      <c r="D528" s="327"/>
      <c r="F528" s="327"/>
    </row>
    <row r="529" spans="2:6" s="326" customFormat="1" ht="9.9499999999999993" customHeight="1" x14ac:dyDescent="0.2">
      <c r="B529" s="327"/>
      <c r="D529" s="327"/>
      <c r="F529" s="327"/>
    </row>
    <row r="530" spans="2:6" s="326" customFormat="1" ht="9.9499999999999993" customHeight="1" x14ac:dyDescent="0.2">
      <c r="B530" s="327"/>
      <c r="D530" s="327"/>
      <c r="F530" s="327"/>
    </row>
    <row r="531" spans="2:6" s="326" customFormat="1" ht="9.9499999999999993" customHeight="1" x14ac:dyDescent="0.2">
      <c r="B531" s="327"/>
      <c r="D531" s="327"/>
      <c r="F531" s="327"/>
    </row>
    <row r="532" spans="2:6" s="326" customFormat="1" ht="9.9499999999999993" customHeight="1" x14ac:dyDescent="0.2">
      <c r="B532" s="327"/>
      <c r="D532" s="327"/>
      <c r="F532" s="327"/>
    </row>
    <row r="533" spans="2:6" s="326" customFormat="1" ht="9.9499999999999993" customHeight="1" x14ac:dyDescent="0.2">
      <c r="B533" s="327"/>
      <c r="D533" s="327"/>
      <c r="F533" s="327"/>
    </row>
    <row r="534" spans="2:6" s="326" customFormat="1" ht="9.9499999999999993" customHeight="1" x14ac:dyDescent="0.2">
      <c r="B534" s="327"/>
      <c r="D534" s="327"/>
      <c r="F534" s="327"/>
    </row>
    <row r="535" spans="2:6" s="326" customFormat="1" ht="9.9499999999999993" customHeight="1" x14ac:dyDescent="0.2">
      <c r="B535" s="327"/>
      <c r="D535" s="327"/>
      <c r="F535" s="327"/>
    </row>
    <row r="536" spans="2:6" s="326" customFormat="1" ht="9.9499999999999993" customHeight="1" x14ac:dyDescent="0.2">
      <c r="B536" s="327"/>
      <c r="D536" s="327"/>
      <c r="F536" s="327"/>
    </row>
    <row r="537" spans="2:6" s="326" customFormat="1" ht="9.9499999999999993" customHeight="1" x14ac:dyDescent="0.2">
      <c r="B537" s="327"/>
      <c r="D537" s="327"/>
      <c r="F537" s="327"/>
    </row>
    <row r="538" spans="2:6" s="326" customFormat="1" ht="9.9499999999999993" customHeight="1" x14ac:dyDescent="0.2">
      <c r="B538" s="327"/>
      <c r="D538" s="327"/>
      <c r="F538" s="327"/>
    </row>
    <row r="539" spans="2:6" s="326" customFormat="1" ht="9.9499999999999993" customHeight="1" x14ac:dyDescent="0.2">
      <c r="B539" s="327"/>
      <c r="D539" s="327"/>
      <c r="F539" s="327"/>
    </row>
    <row r="540" spans="2:6" s="326" customFormat="1" ht="9.9499999999999993" customHeight="1" x14ac:dyDescent="0.2">
      <c r="B540" s="327"/>
      <c r="D540" s="327"/>
      <c r="F540" s="327"/>
    </row>
    <row r="541" spans="2:6" s="326" customFormat="1" ht="9.9499999999999993" customHeight="1" x14ac:dyDescent="0.2">
      <c r="B541" s="327"/>
      <c r="D541" s="327"/>
      <c r="F541" s="327"/>
    </row>
    <row r="542" spans="2:6" s="326" customFormat="1" ht="9.9499999999999993" customHeight="1" x14ac:dyDescent="0.2">
      <c r="B542" s="327"/>
      <c r="D542" s="327"/>
      <c r="F542" s="327"/>
    </row>
    <row r="543" spans="2:6" s="326" customFormat="1" ht="9.9499999999999993" customHeight="1" x14ac:dyDescent="0.2">
      <c r="B543" s="327"/>
      <c r="D543" s="327"/>
      <c r="F543" s="327"/>
    </row>
    <row r="544" spans="2:6" s="326" customFormat="1" ht="9.9499999999999993" customHeight="1" x14ac:dyDescent="0.2">
      <c r="B544" s="327"/>
      <c r="D544" s="327"/>
      <c r="F544" s="327"/>
    </row>
    <row r="545" spans="2:6" s="326" customFormat="1" ht="9.9499999999999993" customHeight="1" x14ac:dyDescent="0.2">
      <c r="B545" s="327"/>
      <c r="D545" s="327"/>
      <c r="F545" s="327"/>
    </row>
    <row r="546" spans="2:6" s="326" customFormat="1" ht="9.9499999999999993" customHeight="1" x14ac:dyDescent="0.2">
      <c r="B546" s="327"/>
      <c r="D546" s="327"/>
      <c r="F546" s="327"/>
    </row>
    <row r="547" spans="2:6" s="326" customFormat="1" ht="9.9499999999999993" customHeight="1" x14ac:dyDescent="0.2">
      <c r="B547" s="327"/>
      <c r="D547" s="327"/>
      <c r="F547" s="327"/>
    </row>
    <row r="548" spans="2:6" s="326" customFormat="1" ht="9.9499999999999993" customHeight="1" x14ac:dyDescent="0.2">
      <c r="B548" s="327"/>
      <c r="D548" s="327"/>
      <c r="F548" s="327"/>
    </row>
    <row r="549" spans="2:6" s="326" customFormat="1" ht="9.9499999999999993" customHeight="1" x14ac:dyDescent="0.2">
      <c r="B549" s="327"/>
      <c r="D549" s="327"/>
      <c r="F549" s="327"/>
    </row>
    <row r="550" spans="2:6" s="326" customFormat="1" ht="9.9499999999999993" customHeight="1" x14ac:dyDescent="0.2">
      <c r="B550" s="327"/>
      <c r="D550" s="327"/>
      <c r="F550" s="327"/>
    </row>
    <row r="551" spans="2:6" s="326" customFormat="1" ht="9.9499999999999993" customHeight="1" x14ac:dyDescent="0.2">
      <c r="B551" s="327"/>
      <c r="D551" s="327"/>
      <c r="F551" s="327"/>
    </row>
    <row r="552" spans="2:6" s="326" customFormat="1" ht="9.9499999999999993" customHeight="1" x14ac:dyDescent="0.2">
      <c r="B552" s="327"/>
      <c r="D552" s="327"/>
      <c r="F552" s="327"/>
    </row>
    <row r="553" spans="2:6" s="326" customFormat="1" ht="9.9499999999999993" customHeight="1" x14ac:dyDescent="0.2">
      <c r="B553" s="327"/>
      <c r="D553" s="327"/>
      <c r="F553" s="327"/>
    </row>
    <row r="554" spans="2:6" s="326" customFormat="1" ht="9.9499999999999993" customHeight="1" x14ac:dyDescent="0.2">
      <c r="B554" s="327"/>
      <c r="D554" s="327"/>
      <c r="F554" s="327"/>
    </row>
    <row r="555" spans="2:6" s="326" customFormat="1" ht="9.9499999999999993" customHeight="1" x14ac:dyDescent="0.2">
      <c r="B555" s="327"/>
      <c r="D555" s="327"/>
      <c r="F555" s="327"/>
    </row>
    <row r="556" spans="2:6" s="326" customFormat="1" ht="9.9499999999999993" customHeight="1" x14ac:dyDescent="0.2">
      <c r="B556" s="327"/>
      <c r="D556" s="327"/>
      <c r="F556" s="327"/>
    </row>
    <row r="557" spans="2:6" s="326" customFormat="1" ht="9.9499999999999993" customHeight="1" x14ac:dyDescent="0.2">
      <c r="B557" s="327"/>
      <c r="D557" s="327"/>
      <c r="F557" s="327"/>
    </row>
    <row r="558" spans="2:6" s="326" customFormat="1" ht="9.9499999999999993" customHeight="1" x14ac:dyDescent="0.2">
      <c r="B558" s="327"/>
      <c r="D558" s="327"/>
      <c r="F558" s="327"/>
    </row>
    <row r="559" spans="2:6" s="326" customFormat="1" ht="9.9499999999999993" customHeight="1" x14ac:dyDescent="0.2">
      <c r="B559" s="327"/>
      <c r="D559" s="327"/>
      <c r="F559" s="327"/>
    </row>
    <row r="560" spans="2:6" s="326" customFormat="1" ht="9.9499999999999993" customHeight="1" x14ac:dyDescent="0.2">
      <c r="B560" s="327"/>
      <c r="D560" s="327"/>
      <c r="F560" s="327"/>
    </row>
    <row r="561" spans="2:6" s="326" customFormat="1" ht="9.9499999999999993" customHeight="1" x14ac:dyDescent="0.2">
      <c r="B561" s="327"/>
      <c r="D561" s="327"/>
      <c r="F561" s="327"/>
    </row>
    <row r="562" spans="2:6" s="326" customFormat="1" ht="9.9499999999999993" customHeight="1" x14ac:dyDescent="0.2">
      <c r="B562" s="327"/>
      <c r="D562" s="327"/>
      <c r="F562" s="327"/>
    </row>
    <row r="563" spans="2:6" s="326" customFormat="1" ht="9.9499999999999993" customHeight="1" x14ac:dyDescent="0.2">
      <c r="B563" s="327"/>
      <c r="D563" s="327"/>
      <c r="F563" s="327"/>
    </row>
    <row r="564" spans="2:6" s="326" customFormat="1" ht="9.9499999999999993" customHeight="1" x14ac:dyDescent="0.2">
      <c r="B564" s="327"/>
      <c r="D564" s="327"/>
      <c r="F564" s="327"/>
    </row>
    <row r="565" spans="2:6" s="326" customFormat="1" ht="9.9499999999999993" customHeight="1" x14ac:dyDescent="0.2">
      <c r="B565" s="327"/>
      <c r="D565" s="327"/>
      <c r="F565" s="327"/>
    </row>
    <row r="566" spans="2:6" s="326" customFormat="1" ht="9.9499999999999993" customHeight="1" x14ac:dyDescent="0.2">
      <c r="B566" s="327"/>
      <c r="D566" s="327"/>
      <c r="F566" s="327"/>
    </row>
    <row r="567" spans="2:6" s="326" customFormat="1" ht="9.9499999999999993" customHeight="1" x14ac:dyDescent="0.2">
      <c r="B567" s="327"/>
      <c r="D567" s="327"/>
      <c r="F567" s="327"/>
    </row>
    <row r="568" spans="2:6" s="326" customFormat="1" ht="9.9499999999999993" customHeight="1" x14ac:dyDescent="0.2">
      <c r="B568" s="327"/>
      <c r="D568" s="327"/>
      <c r="F568" s="327"/>
    </row>
    <row r="569" spans="2:6" s="326" customFormat="1" ht="9.9499999999999993" customHeight="1" x14ac:dyDescent="0.2">
      <c r="B569" s="327"/>
      <c r="D569" s="327"/>
      <c r="F569" s="327"/>
    </row>
    <row r="570" spans="2:6" s="326" customFormat="1" ht="9.9499999999999993" customHeight="1" x14ac:dyDescent="0.2">
      <c r="B570" s="327"/>
      <c r="D570" s="327"/>
      <c r="F570" s="327"/>
    </row>
    <row r="571" spans="2:6" s="326" customFormat="1" ht="9.9499999999999993" customHeight="1" x14ac:dyDescent="0.2">
      <c r="B571" s="327"/>
      <c r="D571" s="327"/>
      <c r="F571" s="327"/>
    </row>
    <row r="572" spans="2:6" s="326" customFormat="1" ht="9.9499999999999993" customHeight="1" x14ac:dyDescent="0.2">
      <c r="B572" s="327"/>
      <c r="D572" s="327"/>
      <c r="F572" s="327"/>
    </row>
    <row r="573" spans="2:6" s="326" customFormat="1" ht="9.9499999999999993" customHeight="1" x14ac:dyDescent="0.2">
      <c r="B573" s="327"/>
      <c r="D573" s="327"/>
      <c r="F573" s="327"/>
    </row>
    <row r="574" spans="2:6" s="326" customFormat="1" ht="9.9499999999999993" customHeight="1" x14ac:dyDescent="0.2">
      <c r="B574" s="327"/>
      <c r="D574" s="327"/>
      <c r="F574" s="327"/>
    </row>
    <row r="575" spans="2:6" s="326" customFormat="1" ht="9.9499999999999993" customHeight="1" x14ac:dyDescent="0.2">
      <c r="B575" s="327"/>
      <c r="D575" s="327"/>
      <c r="F575" s="327"/>
    </row>
    <row r="576" spans="2:6" s="326" customFormat="1" ht="9.9499999999999993" customHeight="1" x14ac:dyDescent="0.2">
      <c r="B576" s="327"/>
      <c r="D576" s="327"/>
      <c r="F576" s="327"/>
    </row>
    <row r="577" spans="2:6" s="326" customFormat="1" ht="9.9499999999999993" customHeight="1" x14ac:dyDescent="0.2">
      <c r="B577" s="327"/>
      <c r="D577" s="327"/>
      <c r="F577" s="327"/>
    </row>
    <row r="578" spans="2:6" s="326" customFormat="1" ht="9.9499999999999993" customHeight="1" x14ac:dyDescent="0.2">
      <c r="B578" s="327"/>
      <c r="D578" s="327"/>
      <c r="F578" s="327"/>
    </row>
    <row r="579" spans="2:6" s="326" customFormat="1" ht="9.9499999999999993" customHeight="1" x14ac:dyDescent="0.2">
      <c r="B579" s="327"/>
      <c r="D579" s="327"/>
      <c r="F579" s="327"/>
    </row>
    <row r="580" spans="2:6" s="326" customFormat="1" ht="9.9499999999999993" customHeight="1" x14ac:dyDescent="0.2">
      <c r="B580" s="327"/>
      <c r="D580" s="327"/>
      <c r="F580" s="327"/>
    </row>
    <row r="581" spans="2:6" s="326" customFormat="1" ht="9.9499999999999993" customHeight="1" x14ac:dyDescent="0.2">
      <c r="B581" s="327"/>
      <c r="D581" s="327"/>
      <c r="F581" s="327"/>
    </row>
    <row r="582" spans="2:6" s="326" customFormat="1" ht="9.9499999999999993" customHeight="1" x14ac:dyDescent="0.2">
      <c r="B582" s="327"/>
      <c r="D582" s="327"/>
      <c r="F582" s="327"/>
    </row>
    <row r="583" spans="2:6" s="326" customFormat="1" ht="9.9499999999999993" customHeight="1" x14ac:dyDescent="0.2">
      <c r="B583" s="327"/>
      <c r="D583" s="327"/>
      <c r="F583" s="327"/>
    </row>
    <row r="584" spans="2:6" s="326" customFormat="1" ht="9.9499999999999993" customHeight="1" x14ac:dyDescent="0.2">
      <c r="B584" s="327"/>
      <c r="D584" s="327"/>
      <c r="F584" s="327"/>
    </row>
    <row r="585" spans="2:6" s="326" customFormat="1" ht="9.9499999999999993" customHeight="1" x14ac:dyDescent="0.2">
      <c r="B585" s="327"/>
      <c r="D585" s="327"/>
      <c r="F585" s="327"/>
    </row>
    <row r="586" spans="2:6" s="326" customFormat="1" ht="9.9499999999999993" customHeight="1" x14ac:dyDescent="0.2">
      <c r="B586" s="327"/>
      <c r="D586" s="327"/>
      <c r="F586" s="327"/>
    </row>
    <row r="587" spans="2:6" s="326" customFormat="1" ht="9.9499999999999993" customHeight="1" x14ac:dyDescent="0.2">
      <c r="B587" s="327"/>
      <c r="D587" s="327"/>
      <c r="F587" s="327"/>
    </row>
    <row r="588" spans="2:6" s="326" customFormat="1" ht="9.9499999999999993" customHeight="1" x14ac:dyDescent="0.2">
      <c r="B588" s="327"/>
      <c r="D588" s="327"/>
      <c r="F588" s="327"/>
    </row>
    <row r="589" spans="2:6" s="326" customFormat="1" ht="9.9499999999999993" customHeight="1" x14ac:dyDescent="0.2">
      <c r="B589" s="327"/>
      <c r="D589" s="327"/>
      <c r="F589" s="327"/>
    </row>
    <row r="590" spans="2:6" s="326" customFormat="1" ht="9.9499999999999993" customHeight="1" x14ac:dyDescent="0.2">
      <c r="B590" s="327"/>
      <c r="D590" s="327"/>
      <c r="F590" s="327"/>
    </row>
    <row r="591" spans="2:6" s="326" customFormat="1" ht="9.9499999999999993" customHeight="1" x14ac:dyDescent="0.2">
      <c r="B591" s="327"/>
      <c r="D591" s="327"/>
      <c r="F591" s="327"/>
    </row>
    <row r="592" spans="2:6" s="326" customFormat="1" ht="9.9499999999999993" customHeight="1" x14ac:dyDescent="0.2">
      <c r="B592" s="327"/>
      <c r="D592" s="327"/>
      <c r="F592" s="327"/>
    </row>
    <row r="593" spans="2:6" s="326" customFormat="1" ht="9.9499999999999993" customHeight="1" x14ac:dyDescent="0.2">
      <c r="B593" s="327"/>
      <c r="D593" s="327"/>
      <c r="F593" s="327"/>
    </row>
    <row r="594" spans="2:6" s="326" customFormat="1" ht="9.9499999999999993" customHeight="1" x14ac:dyDescent="0.2">
      <c r="B594" s="327"/>
      <c r="D594" s="327"/>
      <c r="F594" s="327"/>
    </row>
    <row r="595" spans="2:6" s="326" customFormat="1" ht="9.9499999999999993" customHeight="1" x14ac:dyDescent="0.2">
      <c r="B595" s="327"/>
      <c r="D595" s="327"/>
      <c r="F595" s="327"/>
    </row>
    <row r="596" spans="2:6" s="326" customFormat="1" ht="9.9499999999999993" customHeight="1" x14ac:dyDescent="0.2">
      <c r="B596" s="327"/>
      <c r="D596" s="327"/>
      <c r="F596" s="327"/>
    </row>
    <row r="597" spans="2:6" s="326" customFormat="1" ht="9.9499999999999993" customHeight="1" x14ac:dyDescent="0.2">
      <c r="B597" s="327"/>
      <c r="D597" s="327"/>
      <c r="F597" s="327"/>
    </row>
    <row r="598" spans="2:6" s="326" customFormat="1" ht="9.9499999999999993" customHeight="1" x14ac:dyDescent="0.2">
      <c r="B598" s="327"/>
      <c r="D598" s="327"/>
      <c r="F598" s="327"/>
    </row>
    <row r="599" spans="2:6" s="326" customFormat="1" ht="9.9499999999999993" customHeight="1" x14ac:dyDescent="0.2">
      <c r="B599" s="327"/>
      <c r="D599" s="327"/>
      <c r="F599" s="327"/>
    </row>
    <row r="600" spans="2:6" s="326" customFormat="1" ht="9.9499999999999993" customHeight="1" x14ac:dyDescent="0.2">
      <c r="B600" s="327"/>
      <c r="D600" s="327"/>
      <c r="F600" s="327"/>
    </row>
    <row r="601" spans="2:6" s="326" customFormat="1" ht="9.9499999999999993" customHeight="1" x14ac:dyDescent="0.2">
      <c r="B601" s="327"/>
      <c r="D601" s="327"/>
      <c r="F601" s="327"/>
    </row>
    <row r="602" spans="2:6" s="326" customFormat="1" ht="9.9499999999999993" customHeight="1" x14ac:dyDescent="0.2">
      <c r="B602" s="327"/>
      <c r="D602" s="327"/>
      <c r="F602" s="327"/>
    </row>
    <row r="603" spans="2:6" s="326" customFormat="1" ht="9.9499999999999993" customHeight="1" x14ac:dyDescent="0.2">
      <c r="B603" s="327"/>
      <c r="D603" s="327"/>
      <c r="F603" s="327"/>
    </row>
    <row r="604" spans="2:6" s="326" customFormat="1" ht="9.9499999999999993" customHeight="1" x14ac:dyDescent="0.2">
      <c r="B604" s="327"/>
      <c r="D604" s="327"/>
      <c r="F604" s="327"/>
    </row>
    <row r="605" spans="2:6" s="326" customFormat="1" ht="9.9499999999999993" customHeight="1" x14ac:dyDescent="0.2">
      <c r="B605" s="327"/>
      <c r="D605" s="327"/>
      <c r="F605" s="327"/>
    </row>
    <row r="606" spans="2:6" s="326" customFormat="1" ht="9.9499999999999993" customHeight="1" x14ac:dyDescent="0.2">
      <c r="B606" s="327"/>
      <c r="D606" s="327"/>
      <c r="F606" s="327"/>
    </row>
    <row r="607" spans="2:6" s="326" customFormat="1" ht="9.9499999999999993" customHeight="1" x14ac:dyDescent="0.2">
      <c r="B607" s="327"/>
      <c r="D607" s="327"/>
      <c r="F607" s="327"/>
    </row>
    <row r="608" spans="2:6" s="326" customFormat="1" ht="9.9499999999999993" customHeight="1" x14ac:dyDescent="0.2">
      <c r="B608" s="327"/>
      <c r="D608" s="327"/>
      <c r="F608" s="327"/>
    </row>
    <row r="609" spans="2:6" s="326" customFormat="1" ht="9.9499999999999993" customHeight="1" x14ac:dyDescent="0.2">
      <c r="B609" s="327"/>
      <c r="D609" s="327"/>
      <c r="F609" s="327"/>
    </row>
    <row r="610" spans="2:6" s="326" customFormat="1" ht="9.9499999999999993" customHeight="1" x14ac:dyDescent="0.2">
      <c r="B610" s="327"/>
      <c r="D610" s="327"/>
      <c r="F610" s="327"/>
    </row>
    <row r="611" spans="2:6" s="326" customFormat="1" ht="9.9499999999999993" customHeight="1" x14ac:dyDescent="0.2">
      <c r="B611" s="327"/>
      <c r="D611" s="327"/>
      <c r="F611" s="327"/>
    </row>
    <row r="612" spans="2:6" s="326" customFormat="1" ht="9.9499999999999993" customHeight="1" x14ac:dyDescent="0.2">
      <c r="B612" s="327"/>
      <c r="D612" s="327"/>
      <c r="F612" s="327"/>
    </row>
    <row r="613" spans="2:6" s="326" customFormat="1" ht="9.9499999999999993" customHeight="1" x14ac:dyDescent="0.2">
      <c r="B613" s="327"/>
      <c r="D613" s="327"/>
      <c r="F613" s="327"/>
    </row>
    <row r="614" spans="2:6" s="326" customFormat="1" ht="9.9499999999999993" customHeight="1" x14ac:dyDescent="0.2">
      <c r="B614" s="327"/>
      <c r="D614" s="327"/>
      <c r="F614" s="327"/>
    </row>
    <row r="615" spans="2:6" s="326" customFormat="1" ht="9.9499999999999993" customHeight="1" x14ac:dyDescent="0.2">
      <c r="B615" s="327"/>
      <c r="D615" s="327"/>
      <c r="F615" s="327"/>
    </row>
    <row r="616" spans="2:6" s="326" customFormat="1" ht="9.9499999999999993" customHeight="1" x14ac:dyDescent="0.2">
      <c r="B616" s="327"/>
      <c r="D616" s="327"/>
      <c r="F616" s="327"/>
    </row>
    <row r="617" spans="2:6" s="326" customFormat="1" ht="9.9499999999999993" customHeight="1" x14ac:dyDescent="0.2">
      <c r="B617" s="327"/>
      <c r="D617" s="327"/>
      <c r="F617" s="327"/>
    </row>
    <row r="618" spans="2:6" s="326" customFormat="1" ht="9.9499999999999993" customHeight="1" x14ac:dyDescent="0.2">
      <c r="B618" s="327"/>
      <c r="D618" s="327"/>
      <c r="F618" s="327"/>
    </row>
    <row r="619" spans="2:6" s="326" customFormat="1" ht="9.9499999999999993" customHeight="1" x14ac:dyDescent="0.2">
      <c r="B619" s="327"/>
      <c r="D619" s="327"/>
      <c r="F619" s="327"/>
    </row>
    <row r="620" spans="2:6" s="326" customFormat="1" ht="9.9499999999999993" customHeight="1" x14ac:dyDescent="0.2">
      <c r="B620" s="327"/>
      <c r="D620" s="327"/>
      <c r="F620" s="327"/>
    </row>
    <row r="621" spans="2:6" s="326" customFormat="1" ht="9.9499999999999993" customHeight="1" x14ac:dyDescent="0.2">
      <c r="B621" s="327"/>
      <c r="D621" s="327"/>
      <c r="F621" s="327"/>
    </row>
    <row r="622" spans="2:6" s="326" customFormat="1" ht="9.9499999999999993" customHeight="1" x14ac:dyDescent="0.2">
      <c r="B622" s="327"/>
      <c r="D622" s="327"/>
      <c r="F622" s="327"/>
    </row>
    <row r="623" spans="2:6" s="326" customFormat="1" ht="9.9499999999999993" customHeight="1" x14ac:dyDescent="0.2">
      <c r="B623" s="327"/>
      <c r="D623" s="327"/>
      <c r="F623" s="327"/>
    </row>
    <row r="624" spans="2:6" s="326" customFormat="1" ht="9.9499999999999993" customHeight="1" x14ac:dyDescent="0.2">
      <c r="B624" s="327"/>
      <c r="D624" s="327"/>
      <c r="F624" s="327"/>
    </row>
    <row r="625" spans="2:6" s="326" customFormat="1" ht="9.9499999999999993" customHeight="1" x14ac:dyDescent="0.2">
      <c r="B625" s="327"/>
      <c r="D625" s="327"/>
      <c r="F625" s="327"/>
    </row>
    <row r="626" spans="2:6" s="326" customFormat="1" ht="9.9499999999999993" customHeight="1" x14ac:dyDescent="0.2">
      <c r="B626" s="327"/>
      <c r="D626" s="327"/>
      <c r="F626" s="327"/>
    </row>
    <row r="627" spans="2:6" s="326" customFormat="1" ht="9.9499999999999993" customHeight="1" x14ac:dyDescent="0.2">
      <c r="B627" s="327"/>
      <c r="D627" s="327"/>
      <c r="F627" s="327"/>
    </row>
    <row r="628" spans="2:6" s="326" customFormat="1" ht="9.9499999999999993" customHeight="1" x14ac:dyDescent="0.2">
      <c r="B628" s="327"/>
      <c r="D628" s="327"/>
      <c r="F628" s="327"/>
    </row>
    <row r="629" spans="2:6" s="326" customFormat="1" ht="9.9499999999999993" customHeight="1" x14ac:dyDescent="0.2">
      <c r="B629" s="327"/>
      <c r="D629" s="327"/>
      <c r="F629" s="327"/>
    </row>
    <row r="630" spans="2:6" s="326" customFormat="1" ht="9.9499999999999993" customHeight="1" x14ac:dyDescent="0.2">
      <c r="B630" s="327"/>
      <c r="D630" s="327"/>
      <c r="F630" s="327"/>
    </row>
    <row r="631" spans="2:6" s="326" customFormat="1" ht="9.9499999999999993" customHeight="1" x14ac:dyDescent="0.2">
      <c r="B631" s="327"/>
      <c r="D631" s="327"/>
      <c r="F631" s="327"/>
    </row>
    <row r="632" spans="2:6" s="326" customFormat="1" ht="9.9499999999999993" customHeight="1" x14ac:dyDescent="0.2">
      <c r="B632" s="327"/>
      <c r="D632" s="327"/>
      <c r="F632" s="327"/>
    </row>
    <row r="633" spans="2:6" s="326" customFormat="1" ht="9.9499999999999993" customHeight="1" x14ac:dyDescent="0.2">
      <c r="B633" s="327"/>
      <c r="D633" s="327"/>
      <c r="F633" s="327"/>
    </row>
    <row r="634" spans="2:6" s="326" customFormat="1" ht="9.9499999999999993" customHeight="1" x14ac:dyDescent="0.2">
      <c r="B634" s="327"/>
      <c r="D634" s="327"/>
      <c r="F634" s="327"/>
    </row>
    <row r="635" spans="2:6" s="326" customFormat="1" ht="9.9499999999999993" customHeight="1" x14ac:dyDescent="0.2">
      <c r="B635" s="327"/>
      <c r="D635" s="327"/>
      <c r="F635" s="327"/>
    </row>
    <row r="636" spans="2:6" s="326" customFormat="1" ht="9.9499999999999993" customHeight="1" x14ac:dyDescent="0.2">
      <c r="B636" s="327"/>
      <c r="D636" s="327"/>
      <c r="F636" s="327"/>
    </row>
    <row r="637" spans="2:6" s="326" customFormat="1" ht="9.9499999999999993" customHeight="1" x14ac:dyDescent="0.2">
      <c r="B637" s="327"/>
      <c r="D637" s="327"/>
      <c r="F637" s="327"/>
    </row>
    <row r="638" spans="2:6" s="326" customFormat="1" ht="9.9499999999999993" customHeight="1" x14ac:dyDescent="0.2">
      <c r="B638" s="327"/>
      <c r="D638" s="327"/>
      <c r="F638" s="327"/>
    </row>
    <row r="639" spans="2:6" s="326" customFormat="1" ht="9.9499999999999993" customHeight="1" x14ac:dyDescent="0.2">
      <c r="B639" s="327"/>
      <c r="D639" s="327"/>
      <c r="F639" s="327"/>
    </row>
    <row r="640" spans="2:6" s="326" customFormat="1" ht="9.9499999999999993" customHeight="1" x14ac:dyDescent="0.2">
      <c r="B640" s="327"/>
      <c r="D640" s="327"/>
      <c r="F640" s="327"/>
    </row>
    <row r="641" spans="2:6" s="326" customFormat="1" ht="9.9499999999999993" customHeight="1" x14ac:dyDescent="0.2">
      <c r="B641" s="327"/>
      <c r="D641" s="327"/>
      <c r="F641" s="327"/>
    </row>
    <row r="642" spans="2:6" s="326" customFormat="1" ht="9.9499999999999993" customHeight="1" x14ac:dyDescent="0.2">
      <c r="B642" s="327"/>
      <c r="D642" s="327"/>
      <c r="F642" s="327"/>
    </row>
    <row r="643" spans="2:6" s="326" customFormat="1" ht="9.9499999999999993" customHeight="1" x14ac:dyDescent="0.2">
      <c r="B643" s="327"/>
      <c r="D643" s="327"/>
      <c r="F643" s="327"/>
    </row>
    <row r="644" spans="2:6" s="326" customFormat="1" ht="9.9499999999999993" customHeight="1" x14ac:dyDescent="0.2">
      <c r="B644" s="327"/>
      <c r="D644" s="327"/>
      <c r="F644" s="327"/>
    </row>
    <row r="645" spans="2:6" s="326" customFormat="1" ht="9.9499999999999993" customHeight="1" x14ac:dyDescent="0.2">
      <c r="B645" s="327"/>
      <c r="D645" s="327"/>
      <c r="F645" s="327"/>
    </row>
    <row r="646" spans="2:6" s="326" customFormat="1" ht="9.9499999999999993" customHeight="1" x14ac:dyDescent="0.2">
      <c r="B646" s="327"/>
      <c r="D646" s="327"/>
      <c r="F646" s="327"/>
    </row>
    <row r="647" spans="2:6" s="326" customFormat="1" ht="9.9499999999999993" customHeight="1" x14ac:dyDescent="0.2">
      <c r="B647" s="327"/>
      <c r="D647" s="327"/>
      <c r="F647" s="327"/>
    </row>
    <row r="648" spans="2:6" s="326" customFormat="1" ht="9.9499999999999993" customHeight="1" x14ac:dyDescent="0.2">
      <c r="B648" s="327"/>
      <c r="D648" s="327"/>
      <c r="F648" s="327"/>
    </row>
    <row r="649" spans="2:6" s="326" customFormat="1" ht="9.9499999999999993" customHeight="1" x14ac:dyDescent="0.2">
      <c r="B649" s="327"/>
      <c r="D649" s="327"/>
      <c r="F649" s="327"/>
    </row>
    <row r="650" spans="2:6" s="326" customFormat="1" ht="9.9499999999999993" customHeight="1" x14ac:dyDescent="0.2">
      <c r="B650" s="327"/>
      <c r="D650" s="327"/>
      <c r="F650" s="327"/>
    </row>
    <row r="651" spans="2:6" s="326" customFormat="1" ht="9.9499999999999993" customHeight="1" x14ac:dyDescent="0.2">
      <c r="B651" s="327"/>
      <c r="D651" s="327"/>
      <c r="F651" s="327"/>
    </row>
    <row r="652" spans="2:6" s="326" customFormat="1" ht="9.9499999999999993" customHeight="1" x14ac:dyDescent="0.2">
      <c r="B652" s="327"/>
      <c r="D652" s="327"/>
      <c r="F652" s="327"/>
    </row>
    <row r="653" spans="2:6" s="326" customFormat="1" ht="9.9499999999999993" customHeight="1" x14ac:dyDescent="0.2">
      <c r="B653" s="327"/>
      <c r="D653" s="327"/>
      <c r="F653" s="327"/>
    </row>
    <row r="654" spans="2:6" s="326" customFormat="1" ht="9.9499999999999993" customHeight="1" x14ac:dyDescent="0.2">
      <c r="B654" s="327"/>
      <c r="D654" s="327"/>
      <c r="F654" s="327"/>
    </row>
    <row r="655" spans="2:6" s="326" customFormat="1" ht="9.9499999999999993" customHeight="1" x14ac:dyDescent="0.2">
      <c r="B655" s="327"/>
      <c r="D655" s="327"/>
      <c r="F655" s="327"/>
    </row>
    <row r="656" spans="2:6" s="326" customFormat="1" ht="9.9499999999999993" customHeight="1" x14ac:dyDescent="0.2">
      <c r="B656" s="327"/>
      <c r="D656" s="327"/>
      <c r="F656" s="327"/>
    </row>
    <row r="657" spans="2:6" s="326" customFormat="1" ht="9.9499999999999993" customHeight="1" x14ac:dyDescent="0.2">
      <c r="B657" s="327"/>
      <c r="D657" s="327"/>
      <c r="F657" s="327"/>
    </row>
    <row r="658" spans="2:6" s="326" customFormat="1" ht="9.9499999999999993" customHeight="1" x14ac:dyDescent="0.2">
      <c r="B658" s="327"/>
      <c r="D658" s="327"/>
      <c r="F658" s="327"/>
    </row>
    <row r="659" spans="2:6" s="326" customFormat="1" ht="9.9499999999999993" customHeight="1" x14ac:dyDescent="0.2">
      <c r="B659" s="327"/>
      <c r="D659" s="327"/>
      <c r="F659" s="327"/>
    </row>
    <row r="660" spans="2:6" s="326" customFormat="1" ht="9.9499999999999993" customHeight="1" x14ac:dyDescent="0.2">
      <c r="B660" s="327"/>
      <c r="D660" s="327"/>
      <c r="F660" s="327"/>
    </row>
    <row r="661" spans="2:6" s="326" customFormat="1" ht="9.9499999999999993" customHeight="1" x14ac:dyDescent="0.2">
      <c r="B661" s="327"/>
      <c r="D661" s="327"/>
      <c r="F661" s="327"/>
    </row>
    <row r="662" spans="2:6" s="326" customFormat="1" ht="9.9499999999999993" customHeight="1" x14ac:dyDescent="0.2">
      <c r="B662" s="327"/>
      <c r="D662" s="327"/>
      <c r="F662" s="327"/>
    </row>
    <row r="663" spans="2:6" s="326" customFormat="1" ht="9.9499999999999993" customHeight="1" x14ac:dyDescent="0.2">
      <c r="B663" s="327"/>
      <c r="D663" s="327"/>
      <c r="F663" s="327"/>
    </row>
    <row r="664" spans="2:6" s="326" customFormat="1" ht="9.9499999999999993" customHeight="1" x14ac:dyDescent="0.2">
      <c r="B664" s="327"/>
      <c r="D664" s="327"/>
      <c r="F664" s="327"/>
    </row>
    <row r="665" spans="2:6" s="326" customFormat="1" ht="9.9499999999999993" customHeight="1" x14ac:dyDescent="0.2">
      <c r="B665" s="327"/>
      <c r="D665" s="327"/>
      <c r="F665" s="327"/>
    </row>
    <row r="666" spans="2:6" s="326" customFormat="1" ht="9.9499999999999993" customHeight="1" x14ac:dyDescent="0.2">
      <c r="B666" s="327"/>
      <c r="D666" s="327"/>
      <c r="F666" s="327"/>
    </row>
    <row r="667" spans="2:6" s="326" customFormat="1" ht="9.9499999999999993" customHeight="1" x14ac:dyDescent="0.2">
      <c r="B667" s="327"/>
      <c r="D667" s="327"/>
      <c r="F667" s="327"/>
    </row>
    <row r="668" spans="2:6" s="326" customFormat="1" ht="9.9499999999999993" customHeight="1" x14ac:dyDescent="0.2">
      <c r="B668" s="327"/>
      <c r="D668" s="327"/>
      <c r="F668" s="327"/>
    </row>
    <row r="669" spans="2:6" s="326" customFormat="1" ht="9.9499999999999993" customHeight="1" x14ac:dyDescent="0.2">
      <c r="B669" s="327"/>
      <c r="D669" s="327"/>
      <c r="F669" s="327"/>
    </row>
    <row r="670" spans="2:6" s="326" customFormat="1" ht="9.9499999999999993" customHeight="1" x14ac:dyDescent="0.2">
      <c r="B670" s="327"/>
      <c r="D670" s="327"/>
      <c r="F670" s="327"/>
    </row>
    <row r="671" spans="2:6" s="326" customFormat="1" ht="9.9499999999999993" customHeight="1" x14ac:dyDescent="0.2">
      <c r="B671" s="327"/>
      <c r="D671" s="327"/>
      <c r="F671" s="327"/>
    </row>
    <row r="672" spans="2:6" s="326" customFormat="1" ht="9.9499999999999993" customHeight="1" x14ac:dyDescent="0.2">
      <c r="B672" s="327"/>
      <c r="D672" s="327"/>
      <c r="F672" s="327"/>
    </row>
    <row r="673" spans="2:6" s="326" customFormat="1" ht="9.9499999999999993" customHeight="1" x14ac:dyDescent="0.2">
      <c r="B673" s="327"/>
      <c r="D673" s="327"/>
      <c r="F673" s="327"/>
    </row>
    <row r="674" spans="2:6" s="326" customFormat="1" ht="9.9499999999999993" customHeight="1" x14ac:dyDescent="0.2">
      <c r="B674" s="327"/>
      <c r="D674" s="327"/>
      <c r="F674" s="327"/>
    </row>
    <row r="675" spans="2:6" s="326" customFormat="1" ht="9.9499999999999993" customHeight="1" x14ac:dyDescent="0.2">
      <c r="B675" s="327"/>
      <c r="D675" s="327"/>
      <c r="F675" s="327"/>
    </row>
    <row r="676" spans="2:6" s="326" customFormat="1" ht="9.9499999999999993" customHeight="1" x14ac:dyDescent="0.2">
      <c r="B676" s="327"/>
      <c r="D676" s="327"/>
      <c r="F676" s="327"/>
    </row>
    <row r="677" spans="2:6" s="326" customFormat="1" ht="9.9499999999999993" customHeight="1" x14ac:dyDescent="0.2">
      <c r="B677" s="327"/>
      <c r="D677" s="327"/>
      <c r="F677" s="327"/>
    </row>
    <row r="678" spans="2:6" s="326" customFormat="1" ht="9.9499999999999993" customHeight="1" x14ac:dyDescent="0.2">
      <c r="B678" s="327"/>
      <c r="D678" s="327"/>
      <c r="F678" s="327"/>
    </row>
    <row r="679" spans="2:6" s="326" customFormat="1" ht="9.9499999999999993" customHeight="1" x14ac:dyDescent="0.2">
      <c r="B679" s="327"/>
      <c r="D679" s="327"/>
      <c r="F679" s="327"/>
    </row>
    <row r="680" spans="2:6" s="326" customFormat="1" ht="9.9499999999999993" customHeight="1" x14ac:dyDescent="0.2">
      <c r="B680" s="327"/>
      <c r="D680" s="327"/>
      <c r="F680" s="327"/>
    </row>
    <row r="681" spans="2:6" s="326" customFormat="1" ht="9.9499999999999993" customHeight="1" x14ac:dyDescent="0.2">
      <c r="B681" s="327"/>
      <c r="D681" s="327"/>
      <c r="F681" s="327"/>
    </row>
    <row r="682" spans="2:6" s="326" customFormat="1" ht="9.9499999999999993" customHeight="1" x14ac:dyDescent="0.2">
      <c r="B682" s="327"/>
      <c r="D682" s="327"/>
      <c r="F682" s="327"/>
    </row>
    <row r="683" spans="2:6" s="326" customFormat="1" ht="9.9499999999999993" customHeight="1" x14ac:dyDescent="0.2">
      <c r="B683" s="327"/>
      <c r="D683" s="327"/>
      <c r="F683" s="327"/>
    </row>
    <row r="684" spans="2:6" s="326" customFormat="1" ht="9.9499999999999993" customHeight="1" x14ac:dyDescent="0.2">
      <c r="B684" s="327"/>
      <c r="D684" s="327"/>
      <c r="F684" s="327"/>
    </row>
    <row r="685" spans="2:6" s="326" customFormat="1" ht="9.9499999999999993" customHeight="1" x14ac:dyDescent="0.2">
      <c r="B685" s="327"/>
      <c r="D685" s="327"/>
      <c r="F685" s="327"/>
    </row>
    <row r="686" spans="2:6" s="326" customFormat="1" ht="9.9499999999999993" customHeight="1" x14ac:dyDescent="0.2">
      <c r="B686" s="327"/>
      <c r="D686" s="327"/>
      <c r="F686" s="327"/>
    </row>
    <row r="687" spans="2:6" s="326" customFormat="1" ht="9.9499999999999993" customHeight="1" x14ac:dyDescent="0.2">
      <c r="B687" s="327"/>
      <c r="D687" s="327"/>
      <c r="F687" s="327"/>
    </row>
    <row r="688" spans="2:6" s="326" customFormat="1" ht="9.9499999999999993" customHeight="1" x14ac:dyDescent="0.2">
      <c r="B688" s="327"/>
      <c r="D688" s="327"/>
      <c r="F688" s="327"/>
    </row>
    <row r="689" spans="2:6" s="326" customFormat="1" ht="9.9499999999999993" customHeight="1" x14ac:dyDescent="0.2">
      <c r="B689" s="327"/>
      <c r="D689" s="327"/>
      <c r="F689" s="327"/>
    </row>
    <row r="690" spans="2:6" s="326" customFormat="1" ht="9.9499999999999993" customHeight="1" x14ac:dyDescent="0.2">
      <c r="B690" s="327"/>
      <c r="D690" s="327"/>
      <c r="F690" s="327"/>
    </row>
    <row r="691" spans="2:6" s="326" customFormat="1" ht="9.9499999999999993" customHeight="1" x14ac:dyDescent="0.2">
      <c r="B691" s="327"/>
      <c r="D691" s="327"/>
      <c r="F691" s="327"/>
    </row>
    <row r="692" spans="2:6" s="326" customFormat="1" ht="9.9499999999999993" customHeight="1" x14ac:dyDescent="0.2">
      <c r="B692" s="327"/>
      <c r="D692" s="327"/>
      <c r="F692" s="327"/>
    </row>
    <row r="693" spans="2:6" s="326" customFormat="1" ht="9.9499999999999993" customHeight="1" x14ac:dyDescent="0.2">
      <c r="B693" s="327"/>
      <c r="D693" s="327"/>
      <c r="F693" s="327"/>
    </row>
    <row r="694" spans="2:6" s="326" customFormat="1" ht="9.9499999999999993" customHeight="1" x14ac:dyDescent="0.2">
      <c r="B694" s="327"/>
      <c r="D694" s="327"/>
      <c r="F694" s="327"/>
    </row>
    <row r="695" spans="2:6" s="326" customFormat="1" ht="9.9499999999999993" customHeight="1" x14ac:dyDescent="0.2">
      <c r="B695" s="327"/>
      <c r="D695" s="327"/>
      <c r="F695" s="327"/>
    </row>
    <row r="696" spans="2:6" s="326" customFormat="1" ht="9.9499999999999993" customHeight="1" x14ac:dyDescent="0.2">
      <c r="B696" s="327"/>
      <c r="D696" s="327"/>
      <c r="F696" s="327"/>
    </row>
    <row r="697" spans="2:6" s="326" customFormat="1" ht="9.9499999999999993" customHeight="1" x14ac:dyDescent="0.2">
      <c r="B697" s="327"/>
      <c r="D697" s="327"/>
      <c r="F697" s="327"/>
    </row>
    <row r="698" spans="2:6" s="326" customFormat="1" ht="9.9499999999999993" customHeight="1" x14ac:dyDescent="0.2">
      <c r="B698" s="327"/>
      <c r="D698" s="327"/>
      <c r="F698" s="327"/>
    </row>
    <row r="699" spans="2:6" s="326" customFormat="1" ht="9.9499999999999993" customHeight="1" x14ac:dyDescent="0.2">
      <c r="B699" s="327"/>
      <c r="D699" s="327"/>
      <c r="F699" s="327"/>
    </row>
    <row r="700" spans="2:6" s="326" customFormat="1" ht="9.9499999999999993" customHeight="1" x14ac:dyDescent="0.2">
      <c r="B700" s="327"/>
      <c r="D700" s="327"/>
      <c r="F700" s="327"/>
    </row>
    <row r="701" spans="2:6" s="326" customFormat="1" ht="9.9499999999999993" customHeight="1" x14ac:dyDescent="0.2">
      <c r="B701" s="327"/>
      <c r="D701" s="327"/>
      <c r="F701" s="327"/>
    </row>
    <row r="702" spans="2:6" s="326" customFormat="1" ht="9.9499999999999993" customHeight="1" x14ac:dyDescent="0.2">
      <c r="B702" s="327"/>
      <c r="D702" s="327"/>
      <c r="F702" s="327"/>
    </row>
    <row r="703" spans="2:6" s="326" customFormat="1" ht="9.9499999999999993" customHeight="1" x14ac:dyDescent="0.2">
      <c r="B703" s="327"/>
      <c r="D703" s="327"/>
      <c r="F703" s="327"/>
    </row>
    <row r="704" spans="2:6" s="326" customFormat="1" ht="9.9499999999999993" customHeight="1" x14ac:dyDescent="0.2">
      <c r="B704" s="327"/>
      <c r="D704" s="327"/>
      <c r="F704" s="327"/>
    </row>
    <row r="705" spans="2:6" s="326" customFormat="1" ht="9.9499999999999993" customHeight="1" x14ac:dyDescent="0.2">
      <c r="B705" s="327"/>
      <c r="D705" s="327"/>
      <c r="F705" s="327"/>
    </row>
    <row r="706" spans="2:6" s="326" customFormat="1" ht="9.9499999999999993" customHeight="1" x14ac:dyDescent="0.2">
      <c r="B706" s="327"/>
      <c r="D706" s="327"/>
      <c r="F706" s="327"/>
    </row>
    <row r="707" spans="2:6" s="326" customFormat="1" ht="9.9499999999999993" customHeight="1" x14ac:dyDescent="0.2">
      <c r="B707" s="327"/>
      <c r="D707" s="327"/>
      <c r="F707" s="327"/>
    </row>
    <row r="708" spans="2:6" s="326" customFormat="1" ht="9.9499999999999993" customHeight="1" x14ac:dyDescent="0.2">
      <c r="B708" s="327"/>
      <c r="D708" s="327"/>
      <c r="F708" s="327"/>
    </row>
    <row r="709" spans="2:6" s="326" customFormat="1" ht="9.9499999999999993" customHeight="1" x14ac:dyDescent="0.2">
      <c r="B709" s="327"/>
      <c r="D709" s="327"/>
      <c r="F709" s="327"/>
    </row>
    <row r="710" spans="2:6" s="326" customFormat="1" ht="9.9499999999999993" customHeight="1" x14ac:dyDescent="0.2">
      <c r="B710" s="327"/>
      <c r="D710" s="327"/>
      <c r="F710" s="327"/>
    </row>
    <row r="711" spans="2:6" s="326" customFormat="1" ht="9.9499999999999993" customHeight="1" x14ac:dyDescent="0.2">
      <c r="B711" s="327"/>
      <c r="D711" s="327"/>
      <c r="F711" s="327"/>
    </row>
    <row r="712" spans="2:6" s="326" customFormat="1" ht="9.9499999999999993" customHeight="1" x14ac:dyDescent="0.2">
      <c r="B712" s="327"/>
      <c r="D712" s="327"/>
      <c r="F712" s="327"/>
    </row>
    <row r="713" spans="2:6" s="326" customFormat="1" ht="9.9499999999999993" customHeight="1" x14ac:dyDescent="0.2">
      <c r="B713" s="327"/>
      <c r="D713" s="327"/>
      <c r="F713" s="327"/>
    </row>
    <row r="714" spans="2:6" s="326" customFormat="1" ht="9.9499999999999993" customHeight="1" x14ac:dyDescent="0.2">
      <c r="B714" s="327"/>
      <c r="D714" s="327"/>
      <c r="F714" s="327"/>
    </row>
    <row r="715" spans="2:6" s="326" customFormat="1" ht="9.9499999999999993" customHeight="1" x14ac:dyDescent="0.2">
      <c r="B715" s="327"/>
      <c r="D715" s="327"/>
      <c r="F715" s="327"/>
    </row>
    <row r="716" spans="2:6" s="326" customFormat="1" ht="9.9499999999999993" customHeight="1" x14ac:dyDescent="0.2">
      <c r="B716" s="327"/>
      <c r="D716" s="327"/>
      <c r="F716" s="327"/>
    </row>
    <row r="717" spans="2:6" s="326" customFormat="1" ht="9.9499999999999993" customHeight="1" x14ac:dyDescent="0.2">
      <c r="B717" s="327"/>
      <c r="D717" s="327"/>
      <c r="F717" s="327"/>
    </row>
    <row r="718" spans="2:6" s="326" customFormat="1" ht="9.9499999999999993" customHeight="1" x14ac:dyDescent="0.2">
      <c r="B718" s="327"/>
      <c r="D718" s="327"/>
      <c r="F718" s="327"/>
    </row>
    <row r="719" spans="2:6" s="326" customFormat="1" ht="9.9499999999999993" customHeight="1" x14ac:dyDescent="0.2">
      <c r="B719" s="327"/>
      <c r="D719" s="327"/>
      <c r="F719" s="327"/>
    </row>
    <row r="720" spans="2:6" s="326" customFormat="1" ht="9.9499999999999993" customHeight="1" x14ac:dyDescent="0.2">
      <c r="B720" s="327"/>
      <c r="D720" s="327"/>
      <c r="F720" s="327"/>
    </row>
    <row r="721" spans="2:6" s="326" customFormat="1" ht="9.9499999999999993" customHeight="1" x14ac:dyDescent="0.2">
      <c r="B721" s="327"/>
      <c r="D721" s="327"/>
      <c r="F721" s="327"/>
    </row>
    <row r="722" spans="2:6" s="326" customFormat="1" ht="9.9499999999999993" customHeight="1" x14ac:dyDescent="0.2">
      <c r="B722" s="327"/>
      <c r="D722" s="327"/>
      <c r="F722" s="327"/>
    </row>
    <row r="723" spans="2:6" s="326" customFormat="1" ht="9.9499999999999993" customHeight="1" x14ac:dyDescent="0.2">
      <c r="B723" s="327"/>
      <c r="D723" s="327"/>
      <c r="F723" s="327"/>
    </row>
    <row r="724" spans="2:6" s="326" customFormat="1" ht="9.9499999999999993" customHeight="1" x14ac:dyDescent="0.2">
      <c r="B724" s="327"/>
      <c r="D724" s="327"/>
      <c r="F724" s="327"/>
    </row>
    <row r="725" spans="2:6" s="326" customFormat="1" ht="9.9499999999999993" customHeight="1" x14ac:dyDescent="0.2">
      <c r="B725" s="327"/>
      <c r="D725" s="327"/>
      <c r="F725" s="327"/>
    </row>
    <row r="726" spans="2:6" s="326" customFormat="1" ht="9.9499999999999993" customHeight="1" x14ac:dyDescent="0.2">
      <c r="B726" s="327"/>
      <c r="D726" s="327"/>
      <c r="F726" s="327"/>
    </row>
    <row r="727" spans="2:6" s="326" customFormat="1" ht="9.9499999999999993" customHeight="1" x14ac:dyDescent="0.2">
      <c r="B727" s="327"/>
      <c r="D727" s="327"/>
      <c r="F727" s="327"/>
    </row>
    <row r="728" spans="2:6" s="326" customFormat="1" ht="9.9499999999999993" customHeight="1" x14ac:dyDescent="0.2">
      <c r="B728" s="327"/>
      <c r="D728" s="327"/>
      <c r="F728" s="327"/>
    </row>
    <row r="729" spans="2:6" s="326" customFormat="1" ht="9.9499999999999993" customHeight="1" x14ac:dyDescent="0.2">
      <c r="B729" s="327"/>
      <c r="D729" s="327"/>
      <c r="F729" s="327"/>
    </row>
    <row r="730" spans="2:6" s="326" customFormat="1" ht="9.9499999999999993" customHeight="1" x14ac:dyDescent="0.2">
      <c r="B730" s="327"/>
      <c r="D730" s="327"/>
      <c r="F730" s="327"/>
    </row>
    <row r="731" spans="2:6" s="326" customFormat="1" ht="9.9499999999999993" customHeight="1" x14ac:dyDescent="0.2">
      <c r="B731" s="327"/>
      <c r="D731" s="327"/>
      <c r="F731" s="327"/>
    </row>
    <row r="732" spans="2:6" s="326" customFormat="1" ht="9.9499999999999993" customHeight="1" x14ac:dyDescent="0.2">
      <c r="B732" s="327"/>
      <c r="D732" s="327"/>
      <c r="F732" s="327"/>
    </row>
    <row r="733" spans="2:6" s="326" customFormat="1" ht="9.9499999999999993" customHeight="1" x14ac:dyDescent="0.2">
      <c r="B733" s="327"/>
      <c r="D733" s="327"/>
      <c r="F733" s="327"/>
    </row>
    <row r="734" spans="2:6" s="326" customFormat="1" ht="9.9499999999999993" customHeight="1" x14ac:dyDescent="0.2">
      <c r="B734" s="327"/>
      <c r="D734" s="327"/>
      <c r="F734" s="327"/>
    </row>
    <row r="735" spans="2:6" s="326" customFormat="1" ht="9.9499999999999993" customHeight="1" x14ac:dyDescent="0.2">
      <c r="B735" s="327"/>
      <c r="D735" s="327"/>
      <c r="F735" s="327"/>
    </row>
    <row r="736" spans="2:6" s="326" customFormat="1" ht="9.9499999999999993" customHeight="1" x14ac:dyDescent="0.2">
      <c r="B736" s="327"/>
      <c r="D736" s="327"/>
      <c r="F736" s="327"/>
    </row>
    <row r="737" spans="2:6" s="326" customFormat="1" ht="9.9499999999999993" customHeight="1" x14ac:dyDescent="0.2">
      <c r="B737" s="327"/>
      <c r="D737" s="327"/>
      <c r="F737" s="327"/>
    </row>
    <row r="738" spans="2:6" s="326" customFormat="1" ht="9.9499999999999993" customHeight="1" x14ac:dyDescent="0.2">
      <c r="B738" s="327"/>
      <c r="D738" s="327"/>
      <c r="F738" s="327"/>
    </row>
    <row r="739" spans="2:6" s="326" customFormat="1" ht="9.9499999999999993" customHeight="1" x14ac:dyDescent="0.2">
      <c r="B739" s="327"/>
      <c r="D739" s="327"/>
      <c r="F739" s="327"/>
    </row>
    <row r="740" spans="2:6" s="326" customFormat="1" ht="9.9499999999999993" customHeight="1" x14ac:dyDescent="0.2">
      <c r="B740" s="327"/>
      <c r="D740" s="327"/>
      <c r="F740" s="327"/>
    </row>
    <row r="741" spans="2:6" s="326" customFormat="1" ht="9.9499999999999993" customHeight="1" x14ac:dyDescent="0.2">
      <c r="B741" s="327"/>
      <c r="D741" s="327"/>
      <c r="F741" s="327"/>
    </row>
    <row r="742" spans="2:6" s="326" customFormat="1" ht="9.9499999999999993" customHeight="1" x14ac:dyDescent="0.2">
      <c r="B742" s="327"/>
      <c r="D742" s="327"/>
      <c r="F742" s="327"/>
    </row>
    <row r="743" spans="2:6" s="326" customFormat="1" ht="9.9499999999999993" customHeight="1" x14ac:dyDescent="0.2">
      <c r="B743" s="327"/>
      <c r="D743" s="327"/>
      <c r="F743" s="327"/>
    </row>
    <row r="744" spans="2:6" s="326" customFormat="1" ht="9.9499999999999993" customHeight="1" x14ac:dyDescent="0.2">
      <c r="B744" s="327"/>
      <c r="D744" s="327"/>
      <c r="F744" s="327"/>
    </row>
    <row r="745" spans="2:6" s="326" customFormat="1" ht="9.9499999999999993" customHeight="1" x14ac:dyDescent="0.2">
      <c r="B745" s="327"/>
      <c r="D745" s="327"/>
      <c r="F745" s="327"/>
    </row>
    <row r="746" spans="2:6" s="326" customFormat="1" ht="9.9499999999999993" customHeight="1" x14ac:dyDescent="0.2">
      <c r="B746" s="327"/>
      <c r="D746" s="327"/>
      <c r="F746" s="327"/>
    </row>
    <row r="747" spans="2:6" s="326" customFormat="1" ht="9.9499999999999993" customHeight="1" x14ac:dyDescent="0.2">
      <c r="B747" s="327"/>
      <c r="D747" s="327"/>
      <c r="F747" s="327"/>
    </row>
    <row r="748" spans="2:6" s="326" customFormat="1" ht="9.9499999999999993" customHeight="1" x14ac:dyDescent="0.2">
      <c r="B748" s="327"/>
      <c r="D748" s="327"/>
      <c r="F748" s="327"/>
    </row>
    <row r="749" spans="2:6" s="326" customFormat="1" ht="9.9499999999999993" customHeight="1" x14ac:dyDescent="0.2">
      <c r="B749" s="327"/>
      <c r="D749" s="327"/>
      <c r="F749" s="327"/>
    </row>
    <row r="750" spans="2:6" s="326" customFormat="1" ht="9.9499999999999993" customHeight="1" x14ac:dyDescent="0.2">
      <c r="B750" s="327"/>
      <c r="D750" s="327"/>
      <c r="F750" s="327"/>
    </row>
    <row r="751" spans="2:6" s="326" customFormat="1" ht="9.9499999999999993" customHeight="1" x14ac:dyDescent="0.2">
      <c r="B751" s="327"/>
      <c r="D751" s="327"/>
      <c r="F751" s="327"/>
    </row>
    <row r="752" spans="2:6" s="326" customFormat="1" ht="9.9499999999999993" customHeight="1" x14ac:dyDescent="0.2">
      <c r="B752" s="327"/>
      <c r="D752" s="327"/>
      <c r="F752" s="327"/>
    </row>
    <row r="753" spans="2:6" s="326" customFormat="1" ht="9.9499999999999993" customHeight="1" x14ac:dyDescent="0.2">
      <c r="B753" s="327"/>
      <c r="D753" s="327"/>
      <c r="F753" s="327"/>
    </row>
    <row r="754" spans="2:6" s="326" customFormat="1" ht="9.9499999999999993" customHeight="1" x14ac:dyDescent="0.2">
      <c r="B754" s="327"/>
      <c r="D754" s="327"/>
      <c r="F754" s="327"/>
    </row>
    <row r="755" spans="2:6" s="326" customFormat="1" ht="9.9499999999999993" customHeight="1" x14ac:dyDescent="0.2">
      <c r="B755" s="327"/>
      <c r="D755" s="327"/>
      <c r="F755" s="327"/>
    </row>
    <row r="756" spans="2:6" s="326" customFormat="1" ht="9.9499999999999993" customHeight="1" x14ac:dyDescent="0.2">
      <c r="B756" s="327"/>
      <c r="D756" s="327"/>
      <c r="F756" s="327"/>
    </row>
    <row r="757" spans="2:6" s="326" customFormat="1" ht="9.9499999999999993" customHeight="1" x14ac:dyDescent="0.2">
      <c r="B757" s="327"/>
      <c r="D757" s="327"/>
      <c r="F757" s="327"/>
    </row>
    <row r="758" spans="2:6" s="326" customFormat="1" ht="9.9499999999999993" customHeight="1" x14ac:dyDescent="0.2">
      <c r="B758" s="327"/>
      <c r="D758" s="327"/>
      <c r="F758" s="327"/>
    </row>
    <row r="759" spans="2:6" s="326" customFormat="1" ht="9.9499999999999993" customHeight="1" x14ac:dyDescent="0.2">
      <c r="B759" s="327"/>
      <c r="D759" s="327"/>
      <c r="F759" s="327"/>
    </row>
    <row r="760" spans="2:6" s="326" customFormat="1" ht="9.9499999999999993" customHeight="1" x14ac:dyDescent="0.2">
      <c r="B760" s="327"/>
      <c r="D760" s="327"/>
      <c r="F760" s="327"/>
    </row>
    <row r="761" spans="2:6" s="326" customFormat="1" ht="9.9499999999999993" customHeight="1" x14ac:dyDescent="0.2">
      <c r="B761" s="327"/>
      <c r="D761" s="327"/>
      <c r="F761" s="327"/>
    </row>
    <row r="762" spans="2:6" s="326" customFormat="1" ht="9.9499999999999993" customHeight="1" x14ac:dyDescent="0.2">
      <c r="B762" s="327"/>
      <c r="D762" s="327"/>
      <c r="F762" s="327"/>
    </row>
    <row r="763" spans="2:6" s="326" customFormat="1" ht="9.9499999999999993" customHeight="1" x14ac:dyDescent="0.2">
      <c r="B763" s="327"/>
      <c r="D763" s="327"/>
      <c r="F763" s="327"/>
    </row>
    <row r="764" spans="2:6" s="326" customFormat="1" ht="9.9499999999999993" customHeight="1" x14ac:dyDescent="0.2">
      <c r="B764" s="327"/>
      <c r="D764" s="327"/>
      <c r="F764" s="327"/>
    </row>
    <row r="765" spans="2:6" s="326" customFormat="1" ht="9.9499999999999993" customHeight="1" x14ac:dyDescent="0.2">
      <c r="B765" s="327"/>
      <c r="D765" s="327"/>
      <c r="F765" s="327"/>
    </row>
    <row r="766" spans="2:6" s="326" customFormat="1" ht="9.9499999999999993" customHeight="1" x14ac:dyDescent="0.2">
      <c r="B766" s="327"/>
      <c r="D766" s="327"/>
      <c r="F766" s="327"/>
    </row>
    <row r="767" spans="2:6" s="326" customFormat="1" ht="9.9499999999999993" customHeight="1" x14ac:dyDescent="0.2">
      <c r="B767" s="327"/>
      <c r="D767" s="327"/>
      <c r="F767" s="327"/>
    </row>
    <row r="768" spans="2:6" s="326" customFormat="1" ht="9.9499999999999993" customHeight="1" x14ac:dyDescent="0.2">
      <c r="B768" s="327"/>
      <c r="D768" s="327"/>
      <c r="F768" s="327"/>
    </row>
    <row r="769" spans="2:6" s="326" customFormat="1" ht="9.9499999999999993" customHeight="1" x14ac:dyDescent="0.2">
      <c r="B769" s="327"/>
      <c r="D769" s="327"/>
      <c r="F769" s="327"/>
    </row>
    <row r="770" spans="2:6" s="326" customFormat="1" ht="9.9499999999999993" customHeight="1" x14ac:dyDescent="0.2">
      <c r="B770" s="327"/>
      <c r="D770" s="327"/>
      <c r="F770" s="327"/>
    </row>
    <row r="771" spans="2:6" s="326" customFormat="1" ht="9.9499999999999993" customHeight="1" x14ac:dyDescent="0.2">
      <c r="B771" s="327"/>
      <c r="D771" s="327"/>
      <c r="F771" s="327"/>
    </row>
    <row r="772" spans="2:6" s="326" customFormat="1" ht="9.9499999999999993" customHeight="1" x14ac:dyDescent="0.2">
      <c r="B772" s="327"/>
      <c r="D772" s="327"/>
      <c r="F772" s="327"/>
    </row>
    <row r="773" spans="2:6" s="326" customFormat="1" ht="9.9499999999999993" customHeight="1" x14ac:dyDescent="0.2">
      <c r="B773" s="327"/>
      <c r="D773" s="327"/>
      <c r="F773" s="327"/>
    </row>
    <row r="774" spans="2:6" s="326" customFormat="1" ht="9.9499999999999993" customHeight="1" x14ac:dyDescent="0.2">
      <c r="B774" s="327"/>
      <c r="D774" s="327"/>
      <c r="F774" s="327"/>
    </row>
    <row r="775" spans="2:6" s="326" customFormat="1" ht="9.9499999999999993" customHeight="1" x14ac:dyDescent="0.2">
      <c r="B775" s="327"/>
      <c r="D775" s="327"/>
      <c r="F775" s="327"/>
    </row>
    <row r="776" spans="2:6" s="326" customFormat="1" ht="9.9499999999999993" customHeight="1" x14ac:dyDescent="0.2">
      <c r="B776" s="327"/>
      <c r="D776" s="327"/>
      <c r="F776" s="327"/>
    </row>
    <row r="777" spans="2:6" s="326" customFormat="1" ht="9.9499999999999993" customHeight="1" x14ac:dyDescent="0.2">
      <c r="B777" s="327"/>
      <c r="D777" s="327"/>
      <c r="F777" s="327"/>
    </row>
    <row r="778" spans="2:6" s="326" customFormat="1" ht="9.9499999999999993" customHeight="1" x14ac:dyDescent="0.2">
      <c r="B778" s="327"/>
      <c r="D778" s="327"/>
      <c r="F778" s="327"/>
    </row>
    <row r="779" spans="2:6" s="326" customFormat="1" ht="9.9499999999999993" customHeight="1" x14ac:dyDescent="0.2">
      <c r="B779" s="327"/>
      <c r="D779" s="327"/>
      <c r="F779" s="327"/>
    </row>
    <row r="780" spans="2:6" s="326" customFormat="1" ht="9.9499999999999993" customHeight="1" x14ac:dyDescent="0.2">
      <c r="B780" s="327"/>
      <c r="D780" s="327"/>
      <c r="F780" s="327"/>
    </row>
    <row r="781" spans="2:6" s="326" customFormat="1" ht="9.9499999999999993" customHeight="1" x14ac:dyDescent="0.2">
      <c r="B781" s="327"/>
      <c r="D781" s="327"/>
      <c r="F781" s="327"/>
    </row>
    <row r="782" spans="2:6" s="326" customFormat="1" ht="9.9499999999999993" customHeight="1" x14ac:dyDescent="0.2">
      <c r="B782" s="327"/>
      <c r="D782" s="327"/>
      <c r="F782" s="327"/>
    </row>
    <row r="783" spans="2:6" s="326" customFormat="1" ht="9.9499999999999993" customHeight="1" x14ac:dyDescent="0.2">
      <c r="B783" s="327"/>
      <c r="D783" s="327"/>
      <c r="F783" s="327"/>
    </row>
    <row r="784" spans="2:6" s="326" customFormat="1" ht="9.9499999999999993" customHeight="1" x14ac:dyDescent="0.2">
      <c r="B784" s="327"/>
      <c r="D784" s="327"/>
      <c r="F784" s="327"/>
    </row>
    <row r="785" spans="2:6" s="326" customFormat="1" ht="9.9499999999999993" customHeight="1" x14ac:dyDescent="0.2">
      <c r="B785" s="327"/>
      <c r="D785" s="327"/>
      <c r="F785" s="327"/>
    </row>
    <row r="786" spans="2:6" s="326" customFormat="1" ht="9.9499999999999993" customHeight="1" x14ac:dyDescent="0.2">
      <c r="B786" s="327"/>
      <c r="D786" s="327"/>
      <c r="F786" s="327"/>
    </row>
    <row r="787" spans="2:6" s="326" customFormat="1" ht="9.9499999999999993" customHeight="1" x14ac:dyDescent="0.2">
      <c r="B787" s="327"/>
      <c r="D787" s="327"/>
      <c r="F787" s="327"/>
    </row>
    <row r="788" spans="2:6" s="326" customFormat="1" ht="9.9499999999999993" customHeight="1" x14ac:dyDescent="0.2">
      <c r="B788" s="327"/>
      <c r="D788" s="327"/>
      <c r="F788" s="327"/>
    </row>
    <row r="789" spans="2:6" s="326" customFormat="1" ht="9.9499999999999993" customHeight="1" x14ac:dyDescent="0.2">
      <c r="B789" s="327"/>
      <c r="D789" s="327"/>
      <c r="F789" s="327"/>
    </row>
    <row r="790" spans="2:6" s="326" customFormat="1" ht="9.9499999999999993" customHeight="1" x14ac:dyDescent="0.2">
      <c r="B790" s="327"/>
      <c r="D790" s="327"/>
      <c r="F790" s="327"/>
    </row>
    <row r="791" spans="2:6" s="326" customFormat="1" ht="9.9499999999999993" customHeight="1" x14ac:dyDescent="0.2">
      <c r="B791" s="327"/>
      <c r="D791" s="327"/>
      <c r="F791" s="327"/>
    </row>
    <row r="792" spans="2:6" s="326" customFormat="1" ht="9.9499999999999993" customHeight="1" x14ac:dyDescent="0.2">
      <c r="B792" s="327"/>
      <c r="D792" s="327"/>
      <c r="F792" s="327"/>
    </row>
    <row r="793" spans="2:6" s="326" customFormat="1" ht="9.9499999999999993" customHeight="1" x14ac:dyDescent="0.2">
      <c r="B793" s="327"/>
      <c r="D793" s="327"/>
      <c r="F793" s="327"/>
    </row>
    <row r="794" spans="2:6" s="326" customFormat="1" ht="9.9499999999999993" customHeight="1" x14ac:dyDescent="0.2">
      <c r="B794" s="327"/>
      <c r="D794" s="327"/>
      <c r="F794" s="327"/>
    </row>
    <row r="795" spans="2:6" s="326" customFormat="1" ht="9.9499999999999993" customHeight="1" x14ac:dyDescent="0.2">
      <c r="B795" s="327"/>
      <c r="D795" s="327"/>
      <c r="F795" s="327"/>
    </row>
    <row r="796" spans="2:6" s="326" customFormat="1" ht="9.9499999999999993" customHeight="1" x14ac:dyDescent="0.2">
      <c r="B796" s="327"/>
      <c r="D796" s="327"/>
      <c r="F796" s="327"/>
    </row>
    <row r="797" spans="2:6" s="326" customFormat="1" ht="9.9499999999999993" customHeight="1" x14ac:dyDescent="0.2">
      <c r="B797" s="327"/>
      <c r="D797" s="327"/>
      <c r="F797" s="327"/>
    </row>
    <row r="798" spans="2:6" s="326" customFormat="1" ht="9.9499999999999993" customHeight="1" x14ac:dyDescent="0.2">
      <c r="B798" s="327"/>
      <c r="D798" s="327"/>
      <c r="F798" s="327"/>
    </row>
    <row r="799" spans="2:6" s="326" customFormat="1" ht="9.9499999999999993" customHeight="1" x14ac:dyDescent="0.2">
      <c r="B799" s="327"/>
      <c r="D799" s="327"/>
      <c r="F799" s="327"/>
    </row>
    <row r="800" spans="2:6" s="326" customFormat="1" ht="9.9499999999999993" customHeight="1" x14ac:dyDescent="0.2">
      <c r="B800" s="327"/>
      <c r="D800" s="327"/>
      <c r="F800" s="327"/>
    </row>
    <row r="801" spans="2:6" s="326" customFormat="1" ht="9.9499999999999993" customHeight="1" x14ac:dyDescent="0.2">
      <c r="B801" s="327"/>
      <c r="D801" s="327"/>
      <c r="F801" s="327"/>
    </row>
    <row r="802" spans="2:6" s="326" customFormat="1" ht="9.9499999999999993" customHeight="1" x14ac:dyDescent="0.2">
      <c r="B802" s="327"/>
      <c r="D802" s="327"/>
      <c r="F802" s="327"/>
    </row>
    <row r="803" spans="2:6" s="326" customFormat="1" ht="9.9499999999999993" customHeight="1" x14ac:dyDescent="0.2">
      <c r="B803" s="327"/>
      <c r="D803" s="327"/>
      <c r="F803" s="327"/>
    </row>
    <row r="804" spans="2:6" s="326" customFormat="1" ht="9.9499999999999993" customHeight="1" x14ac:dyDescent="0.2">
      <c r="B804" s="327"/>
      <c r="D804" s="327"/>
      <c r="F804" s="327"/>
    </row>
    <row r="805" spans="2:6" s="326" customFormat="1" ht="9.9499999999999993" customHeight="1" x14ac:dyDescent="0.2">
      <c r="B805" s="327"/>
      <c r="D805" s="327"/>
      <c r="F805" s="327"/>
    </row>
    <row r="806" spans="2:6" s="326" customFormat="1" ht="9.9499999999999993" customHeight="1" x14ac:dyDescent="0.2">
      <c r="B806" s="327"/>
      <c r="D806" s="327"/>
      <c r="F806" s="327"/>
    </row>
    <row r="807" spans="2:6" s="326" customFormat="1" ht="9.9499999999999993" customHeight="1" x14ac:dyDescent="0.2">
      <c r="B807" s="327"/>
      <c r="D807" s="327"/>
      <c r="F807" s="327"/>
    </row>
    <row r="808" spans="2:6" s="326" customFormat="1" ht="9.9499999999999993" customHeight="1" x14ac:dyDescent="0.2">
      <c r="B808" s="327"/>
      <c r="D808" s="327"/>
      <c r="F808" s="327"/>
    </row>
    <row r="809" spans="2:6" s="326" customFormat="1" ht="9.9499999999999993" customHeight="1" x14ac:dyDescent="0.2">
      <c r="B809" s="327"/>
      <c r="D809" s="327"/>
      <c r="F809" s="327"/>
    </row>
    <row r="810" spans="2:6" s="326" customFormat="1" ht="9.9499999999999993" customHeight="1" x14ac:dyDescent="0.2">
      <c r="B810" s="327"/>
      <c r="D810" s="327"/>
      <c r="F810" s="327"/>
    </row>
    <row r="811" spans="2:6" s="326" customFormat="1" ht="9.9499999999999993" customHeight="1" x14ac:dyDescent="0.2">
      <c r="B811" s="327"/>
      <c r="D811" s="327"/>
      <c r="F811" s="327"/>
    </row>
    <row r="812" spans="2:6" s="326" customFormat="1" ht="9.9499999999999993" customHeight="1" x14ac:dyDescent="0.2">
      <c r="B812" s="327"/>
      <c r="D812" s="327"/>
      <c r="F812" s="327"/>
    </row>
    <row r="813" spans="2:6" s="326" customFormat="1" ht="9.9499999999999993" customHeight="1" x14ac:dyDescent="0.2">
      <c r="B813" s="327"/>
      <c r="D813" s="327"/>
      <c r="F813" s="327"/>
    </row>
    <row r="814" spans="2:6" s="326" customFormat="1" ht="9.9499999999999993" customHeight="1" x14ac:dyDescent="0.2">
      <c r="B814" s="327"/>
      <c r="D814" s="327"/>
      <c r="F814" s="327"/>
    </row>
    <row r="815" spans="2:6" s="326" customFormat="1" ht="9.9499999999999993" customHeight="1" x14ac:dyDescent="0.2">
      <c r="B815" s="327"/>
      <c r="D815" s="327"/>
      <c r="F815" s="327"/>
    </row>
    <row r="816" spans="2:6" s="326" customFormat="1" ht="9.9499999999999993" customHeight="1" x14ac:dyDescent="0.2">
      <c r="B816" s="327"/>
      <c r="D816" s="327"/>
      <c r="F816" s="327"/>
    </row>
    <row r="817" spans="2:6" s="326" customFormat="1" ht="9.9499999999999993" customHeight="1" x14ac:dyDescent="0.2">
      <c r="B817" s="327"/>
      <c r="D817" s="327"/>
      <c r="F817" s="327"/>
    </row>
    <row r="818" spans="2:6" s="326" customFormat="1" ht="9.9499999999999993" customHeight="1" x14ac:dyDescent="0.2">
      <c r="B818" s="327"/>
      <c r="D818" s="327"/>
      <c r="F818" s="327"/>
    </row>
    <row r="819" spans="2:6" s="326" customFormat="1" ht="9.9499999999999993" customHeight="1" x14ac:dyDescent="0.2">
      <c r="B819" s="327"/>
      <c r="D819" s="327"/>
      <c r="F819" s="327"/>
    </row>
    <row r="820" spans="2:6" s="326" customFormat="1" ht="9.9499999999999993" customHeight="1" x14ac:dyDescent="0.2">
      <c r="B820" s="327"/>
      <c r="D820" s="327"/>
      <c r="F820" s="327"/>
    </row>
    <row r="821" spans="2:6" s="326" customFormat="1" ht="9.9499999999999993" customHeight="1" x14ac:dyDescent="0.2">
      <c r="B821" s="327"/>
      <c r="D821" s="327"/>
      <c r="F821" s="327"/>
    </row>
    <row r="822" spans="2:6" s="326" customFormat="1" ht="9.9499999999999993" customHeight="1" x14ac:dyDescent="0.2">
      <c r="B822" s="327"/>
      <c r="D822" s="327"/>
      <c r="F822" s="327"/>
    </row>
  </sheetData>
  <mergeCells count="3">
    <mergeCell ref="A1:I1"/>
    <mergeCell ref="A4:H4"/>
    <mergeCell ref="A6:H6"/>
  </mergeCells>
  <phoneticPr fontId="9" type="noConversion"/>
  <printOptions horizontalCentered="1"/>
  <pageMargins left="0.5" right="0.5" top="0.5" bottom="0.625" header="0.5" footer="0.5"/>
  <pageSetup scale="9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theme="6" tint="0.39997558519241921"/>
    <pageSetUpPr fitToPage="1"/>
  </sheetPr>
  <dimension ref="A1:K810"/>
  <sheetViews>
    <sheetView view="pageBreakPreview" zoomScaleNormal="100" workbookViewId="0">
      <selection activeCell="Z13" activeCellId="3" sqref="Z18 Z17 Z15 Z13"/>
    </sheetView>
  </sheetViews>
  <sheetFormatPr defaultColWidth="9.140625" defaultRowHeight="9.9499999999999993" customHeight="1" x14ac:dyDescent="0.2"/>
  <cols>
    <col min="1" max="1" width="37.140625" style="314" customWidth="1"/>
    <col min="2" max="2" width="14.42578125" style="314" customWidth="1"/>
    <col min="3" max="3" width="1.5703125" style="329" customWidth="1"/>
    <col min="4" max="4" width="14.42578125" style="314" customWidth="1"/>
    <col min="5" max="5" width="1.5703125" style="314" customWidth="1"/>
    <col min="6" max="6" width="14.42578125" style="314" customWidth="1"/>
    <col min="7" max="7" width="1.5703125" style="329" customWidth="1"/>
    <col min="8" max="8" width="14.42578125" style="314" customWidth="1"/>
    <col min="9" max="9" width="7.5703125" style="314" customWidth="1"/>
    <col min="10" max="16384" width="9.140625" style="314"/>
  </cols>
  <sheetData>
    <row r="1" spans="1:11" s="247" customFormat="1" ht="16.5" customHeight="1" thickBot="1" x14ac:dyDescent="0.25">
      <c r="A1" s="1582" t="s">
        <v>1033</v>
      </c>
      <c r="B1" s="1582"/>
      <c r="C1" s="1582"/>
      <c r="D1" s="1582"/>
      <c r="E1" s="1582"/>
      <c r="F1" s="1582"/>
      <c r="G1" s="1582"/>
      <c r="H1" s="1582"/>
      <c r="I1" s="456"/>
    </row>
    <row r="2" spans="1:11" s="247" customFormat="1" ht="15" customHeight="1" x14ac:dyDescent="0.2">
      <c r="A2" s="700" t="s">
        <v>461</v>
      </c>
      <c r="B2" s="310"/>
      <c r="C2" s="310"/>
      <c r="D2" s="310"/>
      <c r="E2" s="310"/>
      <c r="F2" s="310"/>
      <c r="G2" s="302"/>
      <c r="H2" s="302"/>
    </row>
    <row r="3" spans="1:11" s="247" customFormat="1" ht="15" customHeight="1" x14ac:dyDescent="0.2">
      <c r="A3" s="700" t="s">
        <v>1006</v>
      </c>
      <c r="B3" s="310"/>
      <c r="C3" s="310"/>
      <c r="D3" s="310"/>
      <c r="E3" s="310"/>
      <c r="F3" s="310"/>
      <c r="G3" s="302"/>
      <c r="H3" s="302"/>
    </row>
    <row r="4" spans="1:11" s="247" customFormat="1" ht="12.95" customHeight="1" x14ac:dyDescent="0.2">
      <c r="A4" s="506" t="s">
        <v>1724</v>
      </c>
      <c r="B4" s="432"/>
      <c r="C4" s="432"/>
      <c r="D4" s="432"/>
      <c r="E4" s="432"/>
      <c r="G4" s="311"/>
      <c r="H4" s="311"/>
    </row>
    <row r="5" spans="1:11" s="247" customFormat="1" ht="9.9499999999999993" customHeight="1" x14ac:dyDescent="0.2">
      <c r="A5" s="253" t="s">
        <v>972</v>
      </c>
      <c r="B5" s="433"/>
      <c r="C5" s="433"/>
      <c r="D5" s="433"/>
      <c r="E5" s="433"/>
      <c r="F5" s="433"/>
      <c r="G5" s="433"/>
      <c r="H5" s="433"/>
      <c r="I5" s="433"/>
      <c r="J5" s="311"/>
      <c r="K5" s="311"/>
    </row>
    <row r="6" spans="1:11" ht="12.6" customHeight="1" x14ac:dyDescent="0.2">
      <c r="A6" s="313"/>
      <c r="B6" s="313"/>
      <c r="C6" s="313"/>
      <c r="D6" s="313"/>
      <c r="E6" s="313"/>
      <c r="F6" s="313"/>
      <c r="G6" s="314"/>
    </row>
    <row r="7" spans="1:11" s="508" customFormat="1" ht="12.6" customHeight="1" x14ac:dyDescent="0.2">
      <c r="A7" s="507"/>
      <c r="B7" s="507"/>
      <c r="C7" s="507"/>
      <c r="D7" s="507"/>
      <c r="E7" s="507"/>
      <c r="F7" s="507"/>
      <c r="H7" s="310" t="s">
        <v>860</v>
      </c>
    </row>
    <row r="8" spans="1:11" s="212" customFormat="1" ht="12.6" customHeight="1" x14ac:dyDescent="0.2">
      <c r="A8" s="458"/>
      <c r="B8" s="458"/>
      <c r="C8" s="458"/>
      <c r="D8" s="310" t="s">
        <v>256</v>
      </c>
      <c r="E8" s="458"/>
      <c r="F8" s="310" t="s">
        <v>1005</v>
      </c>
      <c r="H8" s="310" t="s">
        <v>1064</v>
      </c>
    </row>
    <row r="9" spans="1:11" s="336" customFormat="1" ht="12.6" customHeight="1" x14ac:dyDescent="0.2">
      <c r="C9" s="310"/>
      <c r="D9" s="310" t="s">
        <v>866</v>
      </c>
      <c r="E9" s="310"/>
      <c r="F9" s="445" t="s">
        <v>761</v>
      </c>
      <c r="G9" s="310"/>
      <c r="H9" s="310" t="s">
        <v>866</v>
      </c>
    </row>
    <row r="10" spans="1:11" s="336" customFormat="1" ht="12.6" customHeight="1" x14ac:dyDescent="0.2">
      <c r="B10" s="574" t="s">
        <v>1004</v>
      </c>
      <c r="C10" s="360"/>
      <c r="D10" s="574" t="s">
        <v>15</v>
      </c>
      <c r="E10" s="310"/>
      <c r="F10" s="945" t="s">
        <v>762</v>
      </c>
      <c r="G10" s="360"/>
      <c r="H10" s="574" t="s">
        <v>665</v>
      </c>
    </row>
    <row r="11" spans="1:11" s="253" customFormat="1" ht="9.9499999999999993" customHeight="1" x14ac:dyDescent="0.2">
      <c r="A11" s="417" t="s">
        <v>672</v>
      </c>
      <c r="C11" s="361"/>
      <c r="E11" s="361"/>
      <c r="I11" s="361"/>
    </row>
    <row r="12" spans="1:11" s="253" customFormat="1" ht="9.9499999999999993" customHeight="1" x14ac:dyDescent="0.2">
      <c r="A12" s="398" t="s">
        <v>673</v>
      </c>
      <c r="B12" s="339">
        <f>+'Grants BS'!M12</f>
        <v>0</v>
      </c>
      <c r="C12" s="301"/>
      <c r="D12" s="339">
        <f>+'Special BS'!AI13</f>
        <v>42452</v>
      </c>
      <c r="E12" s="301"/>
      <c r="F12" s="339">
        <f>SUM('Blended BS'!AG14)</f>
        <v>10981</v>
      </c>
      <c r="G12" s="254"/>
      <c r="H12" s="339">
        <f>SUM(B12:F12)</f>
        <v>53433</v>
      </c>
      <c r="I12" s="301"/>
    </row>
    <row r="13" spans="1:11" s="253" customFormat="1" ht="9.9499999999999993" customHeight="1" x14ac:dyDescent="0.2">
      <c r="A13" s="398" t="s">
        <v>674</v>
      </c>
      <c r="B13" s="273">
        <f>+'Grants BS'!M13</f>
        <v>0</v>
      </c>
      <c r="C13" s="342"/>
      <c r="D13" s="273">
        <f>+'Special BS'!AI14</f>
        <v>118252</v>
      </c>
      <c r="E13" s="342"/>
      <c r="F13" s="273">
        <f>SUM('Blended BS'!AG15)</f>
        <v>0</v>
      </c>
      <c r="G13" s="273"/>
      <c r="H13" s="273">
        <f t="shared" ref="H13:H30" si="0">SUM(B13:F13)</f>
        <v>118252</v>
      </c>
      <c r="I13" s="342"/>
    </row>
    <row r="14" spans="1:11" s="253" customFormat="1" ht="9.9499999999999993" customHeight="1" x14ac:dyDescent="0.2">
      <c r="A14" s="398" t="s">
        <v>252</v>
      </c>
      <c r="B14" s="273">
        <f>+'Grants BS'!M14</f>
        <v>0</v>
      </c>
      <c r="C14" s="342"/>
      <c r="D14" s="273">
        <f>+'Special BS'!AI15</f>
        <v>503</v>
      </c>
      <c r="E14" s="342"/>
      <c r="F14" s="273">
        <f>SUM('Blended BS'!AG16)</f>
        <v>820</v>
      </c>
      <c r="G14" s="273"/>
      <c r="H14" s="273">
        <f t="shared" si="0"/>
        <v>1323</v>
      </c>
      <c r="I14" s="342"/>
    </row>
    <row r="15" spans="1:11" s="253" customFormat="1" ht="9.9499999999999993" customHeight="1" x14ac:dyDescent="0.2">
      <c r="A15" s="418" t="s">
        <v>763</v>
      </c>
      <c r="B15" s="273">
        <f>+'Grants BS'!M15</f>
        <v>0</v>
      </c>
      <c r="C15" s="342"/>
      <c r="D15" s="273">
        <f>+'Special BS'!AI16</f>
        <v>0</v>
      </c>
      <c r="E15" s="342"/>
      <c r="F15" s="273">
        <f>SUM('Blended BS'!AG17)</f>
        <v>394</v>
      </c>
      <c r="G15" s="273"/>
      <c r="H15" s="273">
        <f t="shared" si="0"/>
        <v>394</v>
      </c>
      <c r="I15" s="342"/>
    </row>
    <row r="16" spans="1:11" s="253" customFormat="1" ht="9.9499999999999993" hidden="1" customHeight="1" x14ac:dyDescent="0.2">
      <c r="A16" s="418" t="s">
        <v>683</v>
      </c>
      <c r="B16" s="273">
        <f>+'Grants BS'!M16</f>
        <v>0</v>
      </c>
      <c r="C16" s="342"/>
      <c r="D16" s="273">
        <f>+'Special BS'!AI17</f>
        <v>0</v>
      </c>
      <c r="E16" s="342"/>
      <c r="F16" s="273">
        <f>SUM('Blended BS'!AG18)</f>
        <v>0</v>
      </c>
      <c r="G16" s="273"/>
      <c r="H16" s="273">
        <f t="shared" si="0"/>
        <v>0</v>
      </c>
      <c r="I16" s="342"/>
    </row>
    <row r="17" spans="1:9" s="253" customFormat="1" ht="9.9499999999999993" customHeight="1" x14ac:dyDescent="0.2">
      <c r="A17" s="418" t="s">
        <v>840</v>
      </c>
      <c r="B17" s="273">
        <f>+'Grants BS'!M17</f>
        <v>0</v>
      </c>
      <c r="C17" s="342"/>
      <c r="D17" s="273">
        <f>+'Special BS'!AI18</f>
        <v>0</v>
      </c>
      <c r="E17" s="342"/>
      <c r="F17" s="273">
        <f>SUM('Blended BS'!AG19)</f>
        <v>668</v>
      </c>
      <c r="G17" s="273"/>
      <c r="H17" s="273">
        <f t="shared" si="0"/>
        <v>668</v>
      </c>
      <c r="I17" s="342"/>
    </row>
    <row r="18" spans="1:9" s="253" customFormat="1" ht="9.9499999999999993" customHeight="1" x14ac:dyDescent="0.2">
      <c r="A18" s="418" t="s">
        <v>1773</v>
      </c>
      <c r="B18" s="273">
        <f>+'Grants BS'!M18</f>
        <v>0</v>
      </c>
      <c r="C18" s="342"/>
      <c r="D18" s="273">
        <f>+'Special BS'!AI19</f>
        <v>7406</v>
      </c>
      <c r="E18" s="342"/>
      <c r="F18" s="273">
        <f>SUM('Blended BS'!AG20)</f>
        <v>0</v>
      </c>
      <c r="G18" s="273"/>
      <c r="H18" s="273">
        <f t="shared" si="0"/>
        <v>7406</v>
      </c>
      <c r="I18" s="342"/>
    </row>
    <row r="19" spans="1:9" s="253" customFormat="1" ht="9.9499999999999993" customHeight="1" x14ac:dyDescent="0.2">
      <c r="A19" s="398" t="s">
        <v>63</v>
      </c>
      <c r="B19" s="273">
        <f>+'Grants BS'!M19</f>
        <v>0</v>
      </c>
      <c r="C19" s="342"/>
      <c r="D19" s="273">
        <f>+'Special BS'!AI20</f>
        <v>1800</v>
      </c>
      <c r="E19" s="342"/>
      <c r="F19" s="273">
        <f>SUM('Blended BS'!AG21)</f>
        <v>0</v>
      </c>
      <c r="G19" s="273"/>
      <c r="H19" s="273">
        <f t="shared" si="0"/>
        <v>1800</v>
      </c>
      <c r="I19" s="342"/>
    </row>
    <row r="20" spans="1:9" s="253" customFormat="1" ht="9.9499999999999993" customHeight="1" x14ac:dyDescent="0.2">
      <c r="A20" s="398" t="s">
        <v>1216</v>
      </c>
      <c r="B20" s="273">
        <f>+'Grants BS'!M20</f>
        <v>0</v>
      </c>
      <c r="C20" s="342"/>
      <c r="D20" s="273">
        <f>+'Special BS'!AI21</f>
        <v>1455</v>
      </c>
      <c r="E20" s="342"/>
      <c r="F20" s="273">
        <f>SUM('Blended BS'!AG22)</f>
        <v>0</v>
      </c>
      <c r="G20" s="273"/>
      <c r="H20" s="273">
        <f t="shared" si="0"/>
        <v>1455</v>
      </c>
      <c r="I20" s="342"/>
    </row>
    <row r="21" spans="1:9" s="253" customFormat="1" ht="9.9499999999999993" customHeight="1" x14ac:dyDescent="0.2">
      <c r="A21" s="398" t="s">
        <v>685</v>
      </c>
      <c r="B21" s="273">
        <f>+'Grants BS'!M21</f>
        <v>0</v>
      </c>
      <c r="C21" s="342"/>
      <c r="D21" s="273">
        <f>+'Special BS'!AI22</f>
        <v>0</v>
      </c>
      <c r="E21" s="342"/>
      <c r="F21" s="273">
        <f>SUM('Blended BS'!AG23)</f>
        <v>0</v>
      </c>
      <c r="G21" s="273"/>
      <c r="H21" s="273">
        <f t="shared" si="0"/>
        <v>0</v>
      </c>
      <c r="I21" s="342"/>
    </row>
    <row r="22" spans="1:9" s="253" customFormat="1" ht="9.9499999999999993" customHeight="1" x14ac:dyDescent="0.2">
      <c r="A22" s="425" t="s">
        <v>673</v>
      </c>
      <c r="B22" s="273">
        <f>+'Grants BS'!M22</f>
        <v>2316</v>
      </c>
      <c r="C22" s="342"/>
      <c r="D22" s="273">
        <f>+'Special BS'!AI23</f>
        <v>51917</v>
      </c>
      <c r="E22" s="342"/>
      <c r="F22" s="273">
        <f>SUM('Blended BS'!AG24)</f>
        <v>207492</v>
      </c>
      <c r="G22" s="273"/>
      <c r="H22" s="273">
        <f t="shared" si="0"/>
        <v>261725</v>
      </c>
      <c r="I22" s="342"/>
    </row>
    <row r="23" spans="1:9" s="253" customFormat="1" ht="11.1" customHeight="1" x14ac:dyDescent="0.2">
      <c r="A23" s="425" t="s">
        <v>674</v>
      </c>
      <c r="B23" s="273">
        <f>+'Grants BS'!M23</f>
        <v>7611</v>
      </c>
      <c r="C23" s="342"/>
      <c r="D23" s="273">
        <f>+'Special BS'!AI24</f>
        <v>214548</v>
      </c>
      <c r="E23" s="342"/>
      <c r="F23" s="273">
        <f>SUM('Blended BS'!AG25)</f>
        <v>8689</v>
      </c>
      <c r="G23" s="273"/>
      <c r="H23" s="273">
        <f t="shared" si="0"/>
        <v>230848</v>
      </c>
      <c r="I23" s="342"/>
    </row>
    <row r="24" spans="1:9" s="253" customFormat="1" ht="9.9499999999999993" customHeight="1" x14ac:dyDescent="0.2">
      <c r="A24" s="425" t="s">
        <v>252</v>
      </c>
      <c r="B24" s="273">
        <f>+'Grants BS'!M24</f>
        <v>41450</v>
      </c>
      <c r="C24" s="342"/>
      <c r="D24" s="273">
        <f>+'Special BS'!AI25</f>
        <v>79312</v>
      </c>
      <c r="E24" s="342"/>
      <c r="F24" s="273">
        <f>SUM('Blended BS'!AG26)</f>
        <v>1467</v>
      </c>
      <c r="G24" s="273"/>
      <c r="H24" s="273">
        <f t="shared" si="0"/>
        <v>122229</v>
      </c>
      <c r="I24" s="342"/>
    </row>
    <row r="25" spans="1:9" s="253" customFormat="1" ht="9.9499999999999993" customHeight="1" x14ac:dyDescent="0.2">
      <c r="A25" s="425" t="s">
        <v>763</v>
      </c>
      <c r="B25" s="273">
        <f>+'Grants BS'!M25</f>
        <v>0</v>
      </c>
      <c r="C25" s="342"/>
      <c r="D25" s="273">
        <f>+'Special BS'!AI26</f>
        <v>198</v>
      </c>
      <c r="E25" s="342"/>
      <c r="F25" s="273">
        <f>SUM('Blended BS'!AG27)</f>
        <v>579</v>
      </c>
      <c r="G25" s="273"/>
      <c r="H25" s="273">
        <f t="shared" si="0"/>
        <v>777</v>
      </c>
      <c r="I25" s="342"/>
    </row>
    <row r="26" spans="1:9" s="253" customFormat="1" ht="9.9499999999999993" customHeight="1" x14ac:dyDescent="0.2">
      <c r="A26" s="425" t="s">
        <v>683</v>
      </c>
      <c r="B26" s="273">
        <f>+'Grants BS'!M26</f>
        <v>0</v>
      </c>
      <c r="C26" s="342"/>
      <c r="D26" s="273">
        <f>+'Special BS'!AI27</f>
        <v>15</v>
      </c>
      <c r="E26" s="342"/>
      <c r="F26" s="273">
        <f>SUM('Blended BS'!AG28)</f>
        <v>0</v>
      </c>
      <c r="G26" s="273"/>
      <c r="H26" s="273">
        <f t="shared" si="0"/>
        <v>15</v>
      </c>
      <c r="I26" s="342"/>
    </row>
    <row r="27" spans="1:9" s="253" customFormat="1" ht="9.9499999999999993" customHeight="1" x14ac:dyDescent="0.2">
      <c r="A27" s="425" t="s">
        <v>840</v>
      </c>
      <c r="B27" s="273">
        <f>+'Grants BS'!M27</f>
        <v>0</v>
      </c>
      <c r="C27" s="342"/>
      <c r="D27" s="273">
        <f>+'Special BS'!AI28</f>
        <v>2792</v>
      </c>
      <c r="E27" s="342"/>
      <c r="F27" s="273">
        <f>SUM('Blended BS'!AG29)</f>
        <v>1634</v>
      </c>
      <c r="G27" s="273"/>
      <c r="H27" s="273">
        <f t="shared" si="0"/>
        <v>4426</v>
      </c>
      <c r="I27" s="342"/>
    </row>
    <row r="28" spans="1:9" s="253" customFormat="1" ht="9.9499999999999993" customHeight="1" x14ac:dyDescent="0.2">
      <c r="A28" s="425" t="s">
        <v>1773</v>
      </c>
      <c r="B28" s="273">
        <f>+'Grants BS'!M28</f>
        <v>422</v>
      </c>
      <c r="C28" s="342"/>
      <c r="D28" s="273">
        <f>+'Special BS'!AI29</f>
        <v>32019</v>
      </c>
      <c r="E28" s="342"/>
      <c r="F28" s="273">
        <f>SUM('Blended BS'!AG30)</f>
        <v>5975</v>
      </c>
      <c r="G28" s="273"/>
      <c r="H28" s="273">
        <f t="shared" si="0"/>
        <v>38416</v>
      </c>
      <c r="I28" s="342"/>
    </row>
    <row r="29" spans="1:9" s="253" customFormat="1" ht="9.9499999999999993" customHeight="1" x14ac:dyDescent="0.2">
      <c r="A29" s="425" t="s">
        <v>63</v>
      </c>
      <c r="B29" s="273">
        <f>+'Grants BS'!M29</f>
        <v>0</v>
      </c>
      <c r="C29" s="342"/>
      <c r="D29" s="273">
        <f>+'Special BS'!AI30</f>
        <v>0</v>
      </c>
      <c r="E29" s="342"/>
      <c r="F29" s="273">
        <f>SUM('Blended BS'!AG31)</f>
        <v>8990</v>
      </c>
      <c r="G29" s="273"/>
      <c r="H29" s="273">
        <f t="shared" si="0"/>
        <v>8990</v>
      </c>
      <c r="I29" s="342"/>
    </row>
    <row r="30" spans="1:9" s="253" customFormat="1" ht="9.9499999999999993" customHeight="1" x14ac:dyDescent="0.2">
      <c r="A30" s="425" t="s">
        <v>1216</v>
      </c>
      <c r="B30" s="273">
        <f>+'Grants BS'!M30</f>
        <v>1647</v>
      </c>
      <c r="C30" s="342"/>
      <c r="D30" s="273">
        <f>+'Special BS'!AI31</f>
        <v>2626</v>
      </c>
      <c r="E30" s="342"/>
      <c r="F30" s="273">
        <f>SUM('Blended BS'!AG32)</f>
        <v>0</v>
      </c>
      <c r="G30" s="273"/>
      <c r="H30" s="273">
        <f t="shared" si="0"/>
        <v>4273</v>
      </c>
      <c r="I30" s="342"/>
    </row>
    <row r="31" spans="1:9" s="253" customFormat="1" ht="5.0999999999999996" customHeight="1" x14ac:dyDescent="0.2">
      <c r="A31" s="418"/>
      <c r="B31" s="540"/>
      <c r="C31" s="273"/>
      <c r="D31" s="419"/>
      <c r="E31" s="273"/>
      <c r="F31" s="419"/>
      <c r="G31" s="254"/>
      <c r="H31" s="510"/>
    </row>
    <row r="32" spans="1:9" s="253" customFormat="1" ht="10.5" customHeight="1" thickBot="1" x14ac:dyDescent="0.25">
      <c r="A32" s="417" t="s">
        <v>687</v>
      </c>
      <c r="B32" s="344">
        <f>SUM(B12:B30)</f>
        <v>53446</v>
      </c>
      <c r="C32" s="301"/>
      <c r="D32" s="344">
        <f>SUM(D12:D30)</f>
        <v>555295</v>
      </c>
      <c r="E32" s="301"/>
      <c r="F32" s="344">
        <f>SUM(F12:F30)</f>
        <v>247689</v>
      </c>
      <c r="G32" s="254"/>
      <c r="H32" s="344">
        <f>SUM(H12:H30)</f>
        <v>856430</v>
      </c>
      <c r="I32" s="301"/>
    </row>
    <row r="33" spans="1:9" s="253" customFormat="1" ht="5.0999999999999996" customHeight="1" thickTop="1" x14ac:dyDescent="0.2">
      <c r="A33" s="418"/>
      <c r="B33" s="540"/>
      <c r="C33" s="273"/>
      <c r="D33" s="419"/>
      <c r="E33" s="273"/>
      <c r="F33" s="419"/>
      <c r="G33" s="254"/>
      <c r="H33" s="510"/>
    </row>
    <row r="34" spans="1:9" s="253" customFormat="1" ht="24" x14ac:dyDescent="0.2">
      <c r="A34" s="1241" t="s">
        <v>1699</v>
      </c>
      <c r="B34" s="273"/>
      <c r="C34" s="273"/>
      <c r="D34" s="254"/>
      <c r="E34" s="364"/>
      <c r="F34" s="347"/>
      <c r="G34" s="347"/>
      <c r="H34" s="254"/>
      <c r="I34" s="347"/>
    </row>
    <row r="35" spans="1:9" s="253" customFormat="1" ht="9.9499999999999993" customHeight="1" x14ac:dyDescent="0.2">
      <c r="A35" s="428" t="s">
        <v>751</v>
      </c>
      <c r="B35" s="273"/>
      <c r="C35" s="342"/>
      <c r="D35" s="273"/>
      <c r="E35" s="342"/>
      <c r="F35" s="273"/>
      <c r="G35" s="273"/>
      <c r="H35" s="273"/>
      <c r="I35" s="342"/>
    </row>
    <row r="36" spans="1:9" s="253" customFormat="1" ht="9.9499999999999993" customHeight="1" x14ac:dyDescent="0.2">
      <c r="A36" s="425" t="s">
        <v>688</v>
      </c>
      <c r="B36" s="339">
        <f>+'Grants BS'!M36</f>
        <v>0</v>
      </c>
      <c r="C36" s="342"/>
      <c r="D36" s="339">
        <f>+'Special BS'!AI37</f>
        <v>1389</v>
      </c>
      <c r="E36" s="342"/>
      <c r="F36" s="339">
        <f>SUM('Blended BS'!AG38)</f>
        <v>968</v>
      </c>
      <c r="G36" s="273"/>
      <c r="H36" s="339">
        <f t="shared" ref="H36:H52" si="1">SUM(B36:F36)</f>
        <v>2357</v>
      </c>
      <c r="I36" s="342"/>
    </row>
    <row r="37" spans="1:9" s="253" customFormat="1" ht="9.9499999999999993" customHeight="1" x14ac:dyDescent="0.2">
      <c r="A37" s="425" t="s">
        <v>847</v>
      </c>
      <c r="B37" s="273">
        <f>+'Grants BS'!M37</f>
        <v>0</v>
      </c>
      <c r="C37" s="342"/>
      <c r="D37" s="273">
        <f>+'Special BS'!AI38</f>
        <v>8090</v>
      </c>
      <c r="E37" s="342"/>
      <c r="F37" s="273">
        <f>SUM('Blended BS'!AG39)</f>
        <v>1308</v>
      </c>
      <c r="G37" s="273"/>
      <c r="H37" s="273">
        <f t="shared" si="1"/>
        <v>9398</v>
      </c>
      <c r="I37" s="342"/>
    </row>
    <row r="38" spans="1:9" s="253" customFormat="1" ht="9.9499999999999993" customHeight="1" x14ac:dyDescent="0.2">
      <c r="A38" s="425" t="s">
        <v>690</v>
      </c>
      <c r="B38" s="273">
        <f>+'Grants BS'!M38</f>
        <v>0</v>
      </c>
      <c r="C38" s="342"/>
      <c r="D38" s="273">
        <f>+'Special BS'!AI39</f>
        <v>133</v>
      </c>
      <c r="E38" s="342"/>
      <c r="F38" s="273">
        <f>SUM('Blended BS'!AG40)</f>
        <v>0</v>
      </c>
      <c r="G38" s="273"/>
      <c r="H38" s="273">
        <f t="shared" si="1"/>
        <v>133</v>
      </c>
      <c r="I38" s="342"/>
    </row>
    <row r="39" spans="1:9" s="253" customFormat="1" ht="9.9499999999999993" hidden="1" customHeight="1" x14ac:dyDescent="0.2">
      <c r="A39" s="425" t="s">
        <v>691</v>
      </c>
      <c r="B39" s="273">
        <f>+'Grants BS'!M39</f>
        <v>0</v>
      </c>
      <c r="C39" s="342"/>
      <c r="D39" s="273">
        <f>+'Special BS'!AI40</f>
        <v>0</v>
      </c>
      <c r="E39" s="342"/>
      <c r="F39" s="273">
        <f>SUM('Blended BS'!AG41)</f>
        <v>0</v>
      </c>
      <c r="G39" s="273"/>
      <c r="H39" s="273">
        <f t="shared" si="1"/>
        <v>0</v>
      </c>
      <c r="I39" s="342"/>
    </row>
    <row r="40" spans="1:9" s="253" customFormat="1" ht="9.9499999999999993" customHeight="1" x14ac:dyDescent="0.2">
      <c r="A40" s="425" t="s">
        <v>692</v>
      </c>
      <c r="B40" s="273">
        <f>+'Grants BS'!M40</f>
        <v>0</v>
      </c>
      <c r="C40" s="342"/>
      <c r="D40" s="273">
        <f>+'Special BS'!AI41</f>
        <v>0</v>
      </c>
      <c r="E40" s="342"/>
      <c r="F40" s="273">
        <f>SUM('Blended BS'!AG42)</f>
        <v>267</v>
      </c>
      <c r="G40" s="273"/>
      <c r="H40" s="273">
        <f t="shared" si="1"/>
        <v>267</v>
      </c>
      <c r="I40" s="342"/>
    </row>
    <row r="41" spans="1:9" s="253" customFormat="1" ht="9.9499999999999993" hidden="1" customHeight="1" x14ac:dyDescent="0.2">
      <c r="A41" s="425" t="s">
        <v>848</v>
      </c>
      <c r="B41" s="273">
        <f>+'Grants BS'!M41</f>
        <v>0</v>
      </c>
      <c r="C41" s="342"/>
      <c r="D41" s="273">
        <f>+'Special BS'!AI42</f>
        <v>0</v>
      </c>
      <c r="E41" s="342"/>
      <c r="F41" s="273">
        <f>SUM('Blended BS'!AG43)</f>
        <v>0</v>
      </c>
      <c r="G41" s="273"/>
      <c r="H41" s="273">
        <f t="shared" si="1"/>
        <v>0</v>
      </c>
      <c r="I41" s="342"/>
    </row>
    <row r="42" spans="1:9" s="253" customFormat="1" ht="9.9499999999999993" hidden="1" customHeight="1" x14ac:dyDescent="0.2">
      <c r="A42" s="425" t="s">
        <v>604</v>
      </c>
      <c r="B42" s="273">
        <f>+'Grants BS'!M42</f>
        <v>0</v>
      </c>
      <c r="C42" s="342"/>
      <c r="D42" s="273">
        <f>+'Special BS'!AI43</f>
        <v>0</v>
      </c>
      <c r="E42" s="342"/>
      <c r="F42" s="273">
        <f>SUM('Blended BS'!AG44)</f>
        <v>0</v>
      </c>
      <c r="G42" s="273"/>
      <c r="H42" s="273">
        <f t="shared" si="1"/>
        <v>0</v>
      </c>
      <c r="I42" s="342"/>
    </row>
    <row r="43" spans="1:9" s="253" customFormat="1" ht="9.9499999999999993" hidden="1" customHeight="1" x14ac:dyDescent="0.2">
      <c r="A43" s="425" t="s">
        <v>593</v>
      </c>
      <c r="B43" s="273">
        <f>+'Grants BS'!M43</f>
        <v>0</v>
      </c>
      <c r="C43" s="342"/>
      <c r="D43" s="273">
        <f>+'Special BS'!AI44</f>
        <v>0</v>
      </c>
      <c r="E43" s="342"/>
      <c r="F43" s="273">
        <f>SUM('Blended BS'!AG45)</f>
        <v>0</v>
      </c>
      <c r="G43" s="273"/>
      <c r="H43" s="273">
        <f t="shared" si="1"/>
        <v>0</v>
      </c>
      <c r="I43" s="342"/>
    </row>
    <row r="44" spans="1:9" s="253" customFormat="1" ht="9.9499999999999993" customHeight="1" x14ac:dyDescent="0.2">
      <c r="A44" s="425" t="s">
        <v>1304</v>
      </c>
      <c r="B44" s="273"/>
      <c r="C44" s="342"/>
      <c r="D44" s="273"/>
      <c r="E44" s="342"/>
      <c r="F44" s="273">
        <f>SUM('Blended BS'!AG46)</f>
        <v>0</v>
      </c>
      <c r="G44" s="273"/>
      <c r="H44" s="273">
        <f t="shared" si="1"/>
        <v>0</v>
      </c>
      <c r="I44" s="342"/>
    </row>
    <row r="45" spans="1:9" s="253" customFormat="1" ht="9.9499999999999993" customHeight="1" x14ac:dyDescent="0.2">
      <c r="A45" s="426" t="s">
        <v>688</v>
      </c>
      <c r="B45" s="273">
        <f>+'Grants BS'!M45</f>
        <v>1900</v>
      </c>
      <c r="C45" s="342"/>
      <c r="D45" s="273">
        <f>+'Special BS'!AI46</f>
        <v>5882</v>
      </c>
      <c r="E45" s="342"/>
      <c r="F45" s="273">
        <f>SUM('Blended BS'!AG47)</f>
        <v>8118</v>
      </c>
      <c r="G45" s="273"/>
      <c r="H45" s="273">
        <f t="shared" si="1"/>
        <v>15900</v>
      </c>
      <c r="I45" s="342"/>
    </row>
    <row r="46" spans="1:9" s="253" customFormat="1" ht="9.9499999999999993" customHeight="1" x14ac:dyDescent="0.2">
      <c r="A46" s="426" t="s">
        <v>847</v>
      </c>
      <c r="B46" s="273">
        <f>+'Grants BS'!M46</f>
        <v>873</v>
      </c>
      <c r="C46" s="342"/>
      <c r="D46" s="273">
        <f>+'Special BS'!AI47</f>
        <v>14702</v>
      </c>
      <c r="E46" s="342"/>
      <c r="F46" s="273">
        <f>SUM('Blended BS'!AG48)</f>
        <v>19473</v>
      </c>
      <c r="G46" s="273"/>
      <c r="H46" s="273">
        <f t="shared" si="1"/>
        <v>35048</v>
      </c>
      <c r="I46" s="342"/>
    </row>
    <row r="47" spans="1:9" s="253" customFormat="1" ht="9.9499999999999993" customHeight="1" x14ac:dyDescent="0.2">
      <c r="A47" s="426" t="s">
        <v>690</v>
      </c>
      <c r="B47" s="273">
        <f>+'Grants BS'!M47</f>
        <v>77</v>
      </c>
      <c r="C47" s="342"/>
      <c r="D47" s="273">
        <f>+'Special BS'!AI48</f>
        <v>2184</v>
      </c>
      <c r="E47" s="342"/>
      <c r="F47" s="273">
        <f>SUM('Blended BS'!AG49)</f>
        <v>346</v>
      </c>
      <c r="G47" s="273"/>
      <c r="H47" s="273">
        <f t="shared" si="1"/>
        <v>2607</v>
      </c>
      <c r="I47" s="342"/>
    </row>
    <row r="48" spans="1:9" s="253" customFormat="1" ht="9.9499999999999993" customHeight="1" x14ac:dyDescent="0.2">
      <c r="A48" s="426" t="s">
        <v>691</v>
      </c>
      <c r="B48" s="273">
        <f>+'Grants BS'!M48</f>
        <v>0</v>
      </c>
      <c r="C48" s="342"/>
      <c r="D48" s="273">
        <f>+'Special BS'!AI49</f>
        <v>2</v>
      </c>
      <c r="E48" s="342"/>
      <c r="F48" s="273">
        <f>SUM('Blended BS'!AG50)</f>
        <v>251</v>
      </c>
      <c r="G48" s="273"/>
      <c r="H48" s="273">
        <f t="shared" si="1"/>
        <v>253</v>
      </c>
      <c r="I48" s="342"/>
    </row>
    <row r="49" spans="1:9" s="253" customFormat="1" ht="9.9499999999999993" customHeight="1" x14ac:dyDescent="0.2">
      <c r="A49" s="426" t="s">
        <v>692</v>
      </c>
      <c r="B49" s="273">
        <f>+'Grants BS'!M49</f>
        <v>3667</v>
      </c>
      <c r="C49" s="342"/>
      <c r="D49" s="273">
        <f>+'Special BS'!AI50</f>
        <v>323</v>
      </c>
      <c r="E49" s="342"/>
      <c r="F49" s="273">
        <f>SUM('Blended BS'!AG51)</f>
        <v>23</v>
      </c>
      <c r="G49" s="273"/>
      <c r="H49" s="273">
        <f>SUM(B49:F49)</f>
        <v>4013</v>
      </c>
      <c r="I49" s="342"/>
    </row>
    <row r="50" spans="1:9" s="253" customFormat="1" ht="9.9499999999999993" hidden="1" customHeight="1" x14ac:dyDescent="0.2">
      <c r="A50" s="426" t="s">
        <v>848</v>
      </c>
      <c r="B50" s="273">
        <f>+'Grants BS'!M50</f>
        <v>0</v>
      </c>
      <c r="C50" s="342"/>
      <c r="D50" s="273">
        <f>+'Special BS'!AI51</f>
        <v>0</v>
      </c>
      <c r="E50" s="342"/>
      <c r="F50" s="273">
        <f>SUM('Blended BS'!AG52)</f>
        <v>0</v>
      </c>
      <c r="G50" s="273"/>
      <c r="H50" s="273">
        <f t="shared" si="1"/>
        <v>0</v>
      </c>
      <c r="I50" s="342"/>
    </row>
    <row r="51" spans="1:9" s="253" customFormat="1" ht="9.9499999999999993" customHeight="1" x14ac:dyDescent="0.2">
      <c r="A51" s="426" t="s">
        <v>604</v>
      </c>
      <c r="B51" s="273">
        <f>+'Grants BS'!M51</f>
        <v>90</v>
      </c>
      <c r="C51" s="342"/>
      <c r="D51" s="273">
        <f>+'Special BS'!AI52</f>
        <v>17939</v>
      </c>
      <c r="E51" s="342"/>
      <c r="F51" s="273">
        <f>SUM('Blended BS'!AG53)</f>
        <v>0</v>
      </c>
      <c r="G51" s="273"/>
      <c r="H51" s="273">
        <f t="shared" si="1"/>
        <v>18029</v>
      </c>
      <c r="I51" s="342"/>
    </row>
    <row r="52" spans="1:9" s="253" customFormat="1" ht="9.9499999999999993" customHeight="1" x14ac:dyDescent="0.2">
      <c r="A52" s="426" t="s">
        <v>593</v>
      </c>
      <c r="B52" s="273">
        <f>+'Grants BS'!M52</f>
        <v>0</v>
      </c>
      <c r="C52" s="342"/>
      <c r="D52" s="273">
        <f>+'Special BS'!AI53</f>
        <v>0</v>
      </c>
      <c r="E52" s="342"/>
      <c r="F52" s="273">
        <f>'Blended BS'!AG54</f>
        <v>0</v>
      </c>
      <c r="G52" s="273"/>
      <c r="H52" s="273">
        <f t="shared" si="1"/>
        <v>0</v>
      </c>
      <c r="I52" s="342"/>
    </row>
    <row r="53" spans="1:9" s="253" customFormat="1" ht="5.0999999999999996" customHeight="1" x14ac:dyDescent="0.2">
      <c r="A53" s="418"/>
      <c r="B53" s="540"/>
      <c r="C53" s="273"/>
      <c r="D53" s="419"/>
      <c r="E53" s="273"/>
      <c r="F53" s="419"/>
      <c r="G53" s="254"/>
      <c r="H53" s="510"/>
    </row>
    <row r="54" spans="1:9" s="253" customFormat="1" ht="9.9499999999999993" customHeight="1" x14ac:dyDescent="0.2">
      <c r="A54" s="428" t="s">
        <v>702</v>
      </c>
      <c r="B54" s="345">
        <f>SUM(B36:B52)</f>
        <v>6607</v>
      </c>
      <c r="C54" s="301"/>
      <c r="D54" s="345">
        <f>SUM(D36:D52)</f>
        <v>50644</v>
      </c>
      <c r="E54" s="301"/>
      <c r="F54" s="345">
        <f>SUM(F36:F52)</f>
        <v>30754</v>
      </c>
      <c r="G54" s="301"/>
      <c r="H54" s="345">
        <f>SUM(H36:H52)</f>
        <v>88005</v>
      </c>
      <c r="I54" s="301"/>
    </row>
    <row r="55" spans="1:9" s="253" customFormat="1" ht="5.0999999999999996" customHeight="1" x14ac:dyDescent="0.2">
      <c r="A55" s="425"/>
      <c r="B55" s="540"/>
      <c r="C55" s="273"/>
      <c r="D55" s="419"/>
      <c r="E55" s="273"/>
      <c r="F55" s="419"/>
      <c r="G55" s="254"/>
      <c r="H55" s="510"/>
    </row>
    <row r="56" spans="1:9" s="253" customFormat="1" ht="9.9499999999999993" customHeight="1" x14ac:dyDescent="0.2">
      <c r="A56" s="707" t="s">
        <v>1206</v>
      </c>
      <c r="B56" s="273">
        <f>'Grants BS'!M57</f>
        <v>42005</v>
      </c>
      <c r="C56" s="273"/>
      <c r="D56" s="273">
        <f>'Special BS'!AI58</f>
        <v>75540</v>
      </c>
      <c r="E56" s="273"/>
      <c r="F56" s="273">
        <f>'Blended BS'!AG59</f>
        <v>6617</v>
      </c>
      <c r="G56" s="301"/>
      <c r="H56" s="273">
        <f>SUM(B56:F56)</f>
        <v>124162</v>
      </c>
      <c r="I56" s="301"/>
    </row>
    <row r="57" spans="1:9" s="253" customFormat="1" ht="5.0999999999999996" customHeight="1" x14ac:dyDescent="0.2">
      <c r="A57" s="425"/>
      <c r="B57" s="540"/>
      <c r="C57" s="273"/>
      <c r="D57" s="419"/>
      <c r="E57" s="273"/>
      <c r="F57" s="419"/>
      <c r="G57" s="254"/>
      <c r="H57" s="510"/>
    </row>
    <row r="58" spans="1:9" s="253" customFormat="1" ht="9.9499999999999993" customHeight="1" x14ac:dyDescent="0.2">
      <c r="A58" s="428" t="s">
        <v>1480</v>
      </c>
      <c r="B58" s="254"/>
      <c r="C58" s="301"/>
      <c r="D58" s="254"/>
      <c r="E58" s="301"/>
      <c r="F58" s="254"/>
      <c r="G58" s="254"/>
      <c r="H58" s="254"/>
      <c r="I58" s="301"/>
    </row>
    <row r="59" spans="1:9" s="253" customFormat="1" ht="9.9499999999999993" customHeight="1" x14ac:dyDescent="0.2">
      <c r="A59" s="776" t="s">
        <v>392</v>
      </c>
      <c r="B59" s="273">
        <f>+'Grants BS'!M61</f>
        <v>0</v>
      </c>
      <c r="C59" s="301"/>
      <c r="D59" s="273">
        <f>+'Special BS'!AI62</f>
        <v>3005</v>
      </c>
      <c r="E59" s="301"/>
      <c r="F59" s="273">
        <f>+'Blended BS'!AG63</f>
        <v>3275</v>
      </c>
      <c r="G59" s="254"/>
      <c r="H59" s="273">
        <f>SUM(B59:F59)</f>
        <v>6280</v>
      </c>
      <c r="I59" s="301"/>
    </row>
    <row r="60" spans="1:9" s="253" customFormat="1" ht="9.9499999999999993" customHeight="1" x14ac:dyDescent="0.2">
      <c r="A60" s="776" t="s">
        <v>789</v>
      </c>
      <c r="B60" s="273">
        <f>+'Grants BS'!M62</f>
        <v>5159</v>
      </c>
      <c r="C60" s="342"/>
      <c r="D60" s="273">
        <f>+'Special BS'!AI63</f>
        <v>217551</v>
      </c>
      <c r="E60" s="342"/>
      <c r="F60" s="273">
        <f>+'Blended BS'!AG64</f>
        <v>190391</v>
      </c>
      <c r="G60" s="273"/>
      <c r="H60" s="273">
        <f>SUM(B60:F60)</f>
        <v>413101</v>
      </c>
      <c r="I60" s="342"/>
    </row>
    <row r="61" spans="1:9" s="253" customFormat="1" ht="9.9499999999999993" customHeight="1" x14ac:dyDescent="0.2">
      <c r="A61" s="776" t="s">
        <v>393</v>
      </c>
      <c r="B61" s="273">
        <f>+'Grants BS'!M63</f>
        <v>0</v>
      </c>
      <c r="C61" s="342"/>
      <c r="D61" s="273">
        <f>+'Special BS'!AI64</f>
        <v>210235</v>
      </c>
      <c r="E61" s="342"/>
      <c r="F61" s="273">
        <f>+'Blended BS'!AG65</f>
        <v>1761</v>
      </c>
      <c r="G61" s="273"/>
      <c r="H61" s="273">
        <f>SUM(B61:F61)</f>
        <v>211996</v>
      </c>
      <c r="I61" s="342"/>
    </row>
    <row r="62" spans="1:9" s="253" customFormat="1" ht="9.9499999999999993" customHeight="1" x14ac:dyDescent="0.2">
      <c r="A62" s="776" t="s">
        <v>394</v>
      </c>
      <c r="B62" s="273">
        <f>+'Grants BS'!M64</f>
        <v>0</v>
      </c>
      <c r="C62" s="342"/>
      <c r="D62" s="273">
        <f>+'Special BS'!AI65</f>
        <v>0</v>
      </c>
      <c r="E62" s="342"/>
      <c r="F62" s="273">
        <f>+'Blended BS'!AG66</f>
        <v>14891</v>
      </c>
      <c r="G62" s="273"/>
      <c r="H62" s="273">
        <f>SUM(B62:F62)</f>
        <v>14891</v>
      </c>
      <c r="I62" s="342"/>
    </row>
    <row r="63" spans="1:9" s="253" customFormat="1" ht="9.9499999999999993" customHeight="1" x14ac:dyDescent="0.2">
      <c r="A63" s="776" t="s">
        <v>395</v>
      </c>
      <c r="B63" s="273">
        <f>+'Grants BS'!M65</f>
        <v>-325</v>
      </c>
      <c r="C63" s="342"/>
      <c r="D63" s="273">
        <f>+'Special BS'!AI66</f>
        <v>-1680</v>
      </c>
      <c r="E63" s="342"/>
      <c r="F63" s="273">
        <f>+'Blended BS'!AG67</f>
        <v>0</v>
      </c>
      <c r="G63" s="273"/>
      <c r="H63" s="273">
        <f>SUM(B63:F63)</f>
        <v>-2005</v>
      </c>
      <c r="I63" s="342"/>
    </row>
    <row r="64" spans="1:9" s="253" customFormat="1" ht="5.0999999999999996" customHeight="1" x14ac:dyDescent="0.2">
      <c r="A64" s="425"/>
      <c r="B64" s="540"/>
      <c r="C64" s="273"/>
      <c r="D64" s="419"/>
      <c r="E64" s="273"/>
      <c r="F64" s="419"/>
      <c r="G64" s="254"/>
      <c r="H64" s="510"/>
    </row>
    <row r="65" spans="1:9" s="253" customFormat="1" ht="9.9499999999999993" customHeight="1" x14ac:dyDescent="0.2">
      <c r="A65" s="428" t="s">
        <v>1479</v>
      </c>
      <c r="B65" s="341">
        <f>SUM(B59:B63)</f>
        <v>4834</v>
      </c>
      <c r="C65" s="342"/>
      <c r="D65" s="341">
        <f>SUM(D59:D63)</f>
        <v>429111</v>
      </c>
      <c r="E65" s="342"/>
      <c r="F65" s="341">
        <f>SUM(F59:F63)</f>
        <v>210318</v>
      </c>
      <c r="G65" s="273"/>
      <c r="H65" s="341">
        <f>SUM(H59:H63)</f>
        <v>644263</v>
      </c>
      <c r="I65" s="342"/>
    </row>
    <row r="66" spans="1:9" s="253" customFormat="1" ht="5.0999999999999996" customHeight="1" x14ac:dyDescent="0.2">
      <c r="A66" s="418"/>
      <c r="B66" s="540"/>
      <c r="C66" s="273"/>
      <c r="D66" s="419"/>
      <c r="E66" s="273"/>
      <c r="F66" s="419"/>
      <c r="G66" s="254"/>
      <c r="H66" s="510"/>
    </row>
    <row r="67" spans="1:9" s="253" customFormat="1" ht="24.75" thickBot="1" x14ac:dyDescent="0.25">
      <c r="A67" s="1241" t="s">
        <v>1753</v>
      </c>
      <c r="B67" s="1242">
        <f>+B54+B65+B56</f>
        <v>53446</v>
      </c>
      <c r="C67" s="1243"/>
      <c r="D67" s="1242">
        <f>+D54+D65+D56</f>
        <v>555295</v>
      </c>
      <c r="E67" s="1243"/>
      <c r="F67" s="1242">
        <f>+F54+F65+F56</f>
        <v>247689</v>
      </c>
      <c r="G67" s="1243"/>
      <c r="H67" s="1242">
        <f>+H54+H65+H56</f>
        <v>856430</v>
      </c>
      <c r="I67" s="342"/>
    </row>
    <row r="68" spans="1:9" s="253" customFormat="1" ht="9.9499999999999993" customHeight="1" thickTop="1" x14ac:dyDescent="0.2">
      <c r="A68" s="417"/>
      <c r="B68" s="339"/>
      <c r="C68" s="342"/>
      <c r="D68" s="339"/>
      <c r="E68" s="342"/>
      <c r="F68" s="339"/>
      <c r="G68" s="273"/>
      <c r="H68" s="339"/>
      <c r="I68" s="342"/>
    </row>
    <row r="69" spans="1:9" s="253" customFormat="1" ht="9.9499999999999993" customHeight="1" x14ac:dyDescent="0.2">
      <c r="C69" s="362"/>
      <c r="E69" s="362"/>
      <c r="I69" s="362"/>
    </row>
    <row r="70" spans="1:9" s="381" customFormat="1" ht="9.9499999999999993" customHeight="1" x14ac:dyDescent="0.2">
      <c r="B70" s="420">
        <f>B32-B67</f>
        <v>0</v>
      </c>
      <c r="C70" s="421"/>
      <c r="D70" s="420">
        <f>D32-D67</f>
        <v>0</v>
      </c>
      <c r="E70" s="421"/>
      <c r="F70" s="420">
        <f>F32-F67</f>
        <v>0</v>
      </c>
      <c r="G70" s="420"/>
      <c r="H70" s="420">
        <f>H32-H67</f>
        <v>0</v>
      </c>
      <c r="I70" s="421"/>
    </row>
    <row r="71" spans="1:9" s="253" customFormat="1" ht="9.9499999999999993" customHeight="1" x14ac:dyDescent="0.2">
      <c r="C71" s="362"/>
      <c r="G71" s="362"/>
    </row>
    <row r="72" spans="1:9" s="253" customFormat="1" ht="9.9499999999999993" customHeight="1" x14ac:dyDescent="0.2">
      <c r="A72" s="862" t="s">
        <v>1413</v>
      </c>
      <c r="B72" s="420">
        <f>+B15+B17+B25+B27-B59+B26</f>
        <v>0</v>
      </c>
      <c r="C72" s="362"/>
      <c r="D72" s="420">
        <f>+D15+D17+D25+D27-D59+D26</f>
        <v>0</v>
      </c>
      <c r="F72" s="420">
        <f>+F15+F17+F25+F27-F59+F26</f>
        <v>0</v>
      </c>
      <c r="G72" s="362"/>
      <c r="H72" s="420">
        <f>+H15+H17+H25+H27-H59+H26</f>
        <v>0</v>
      </c>
    </row>
    <row r="73" spans="1:9" s="247" customFormat="1" ht="9.9499999999999993" customHeight="1" x14ac:dyDescent="0.2">
      <c r="C73" s="298"/>
      <c r="G73" s="298"/>
    </row>
    <row r="74" spans="1:9" s="326" customFormat="1" ht="9.9499999999999993" customHeight="1" x14ac:dyDescent="0.2">
      <c r="C74" s="327"/>
      <c r="G74" s="327"/>
    </row>
    <row r="75" spans="1:9" s="326" customFormat="1" ht="9.9499999999999993" customHeight="1" x14ac:dyDescent="0.2">
      <c r="C75" s="327"/>
      <c r="G75" s="327"/>
    </row>
    <row r="76" spans="1:9" s="326" customFormat="1" ht="9.9499999999999993" customHeight="1" x14ac:dyDescent="0.2">
      <c r="C76" s="327"/>
      <c r="G76" s="327"/>
    </row>
    <row r="77" spans="1:9" s="326" customFormat="1" ht="9.9499999999999993" customHeight="1" x14ac:dyDescent="0.2">
      <c r="C77" s="327"/>
      <c r="G77" s="327"/>
    </row>
    <row r="78" spans="1:9" s="326" customFormat="1" ht="9.9499999999999993" customHeight="1" x14ac:dyDescent="0.2">
      <c r="C78" s="327"/>
      <c r="G78" s="327"/>
    </row>
    <row r="79" spans="1:9" s="326" customFormat="1" ht="9.9499999999999993" customHeight="1" x14ac:dyDescent="0.2">
      <c r="C79" s="327"/>
      <c r="G79" s="327"/>
    </row>
    <row r="80" spans="1:9" s="326" customFormat="1" ht="9.9499999999999993" customHeight="1" x14ac:dyDescent="0.2">
      <c r="C80" s="327"/>
      <c r="G80" s="327"/>
    </row>
    <row r="81" spans="3:7" s="326" customFormat="1" ht="9.9499999999999993" customHeight="1" x14ac:dyDescent="0.2">
      <c r="C81" s="327"/>
      <c r="G81" s="327"/>
    </row>
    <row r="82" spans="3:7" s="326" customFormat="1" ht="9.9499999999999993" customHeight="1" x14ac:dyDescent="0.2">
      <c r="C82" s="327"/>
      <c r="G82" s="327"/>
    </row>
    <row r="83" spans="3:7" s="326" customFormat="1" ht="9.9499999999999993" customHeight="1" x14ac:dyDescent="0.2">
      <c r="C83" s="327"/>
      <c r="G83" s="327"/>
    </row>
    <row r="84" spans="3:7" s="326" customFormat="1" ht="9.9499999999999993" customHeight="1" x14ac:dyDescent="0.2">
      <c r="C84" s="327"/>
      <c r="G84" s="327"/>
    </row>
    <row r="85" spans="3:7" s="326" customFormat="1" ht="9.9499999999999993" customHeight="1" x14ac:dyDescent="0.2">
      <c r="C85" s="327"/>
      <c r="G85" s="327"/>
    </row>
    <row r="86" spans="3:7" s="326" customFormat="1" ht="9.9499999999999993" customHeight="1" x14ac:dyDescent="0.2">
      <c r="C86" s="327"/>
      <c r="G86" s="327"/>
    </row>
    <row r="87" spans="3:7" s="326" customFormat="1" ht="9.9499999999999993" customHeight="1" x14ac:dyDescent="0.2">
      <c r="C87" s="327"/>
      <c r="G87" s="327"/>
    </row>
    <row r="88" spans="3:7" s="326" customFormat="1" ht="9.9499999999999993" customHeight="1" x14ac:dyDescent="0.2">
      <c r="C88" s="327"/>
      <c r="G88" s="327"/>
    </row>
    <row r="89" spans="3:7" s="326" customFormat="1" ht="9.9499999999999993" customHeight="1" x14ac:dyDescent="0.2">
      <c r="C89" s="327"/>
      <c r="G89" s="327"/>
    </row>
    <row r="90" spans="3:7" s="326" customFormat="1" ht="9.9499999999999993" customHeight="1" x14ac:dyDescent="0.2">
      <c r="C90" s="327"/>
      <c r="G90" s="327"/>
    </row>
    <row r="91" spans="3:7" s="326" customFormat="1" ht="9.9499999999999993" customHeight="1" x14ac:dyDescent="0.2">
      <c r="C91" s="327"/>
      <c r="G91" s="327"/>
    </row>
    <row r="92" spans="3:7" s="326" customFormat="1" ht="9.9499999999999993" customHeight="1" x14ac:dyDescent="0.2">
      <c r="C92" s="327"/>
      <c r="G92" s="327"/>
    </row>
    <row r="93" spans="3:7" s="326" customFormat="1" ht="9.9499999999999993" customHeight="1" x14ac:dyDescent="0.2">
      <c r="C93" s="327"/>
      <c r="G93" s="327"/>
    </row>
    <row r="94" spans="3:7" s="326" customFormat="1" ht="9.9499999999999993" customHeight="1" x14ac:dyDescent="0.2">
      <c r="C94" s="327"/>
      <c r="G94" s="327"/>
    </row>
    <row r="95" spans="3:7" s="326" customFormat="1" ht="9.9499999999999993" customHeight="1" x14ac:dyDescent="0.2">
      <c r="C95" s="327"/>
      <c r="G95" s="327"/>
    </row>
    <row r="96" spans="3:7" s="326" customFormat="1" ht="9.9499999999999993" customHeight="1" x14ac:dyDescent="0.2">
      <c r="C96" s="327"/>
      <c r="G96" s="327"/>
    </row>
    <row r="97" spans="3:7" s="326" customFormat="1" ht="9.9499999999999993" customHeight="1" x14ac:dyDescent="0.2">
      <c r="C97" s="327"/>
      <c r="G97" s="327"/>
    </row>
    <row r="98" spans="3:7" s="326" customFormat="1" ht="9.9499999999999993" customHeight="1" x14ac:dyDescent="0.2">
      <c r="C98" s="327"/>
      <c r="G98" s="327"/>
    </row>
    <row r="99" spans="3:7" s="326" customFormat="1" ht="9.9499999999999993" customHeight="1" x14ac:dyDescent="0.2">
      <c r="C99" s="327"/>
      <c r="G99" s="327"/>
    </row>
    <row r="100" spans="3:7" s="326" customFormat="1" ht="9.9499999999999993" customHeight="1" x14ac:dyDescent="0.2">
      <c r="C100" s="327"/>
      <c r="G100" s="327"/>
    </row>
    <row r="101" spans="3:7" s="326" customFormat="1" ht="9.9499999999999993" customHeight="1" x14ac:dyDescent="0.2">
      <c r="C101" s="327"/>
      <c r="G101" s="327"/>
    </row>
    <row r="102" spans="3:7" s="326" customFormat="1" ht="9.9499999999999993" customHeight="1" x14ac:dyDescent="0.2">
      <c r="C102" s="327"/>
      <c r="G102" s="327"/>
    </row>
    <row r="103" spans="3:7" s="326" customFormat="1" ht="9.9499999999999993" customHeight="1" x14ac:dyDescent="0.2">
      <c r="C103" s="327"/>
      <c r="G103" s="327"/>
    </row>
    <row r="104" spans="3:7" s="326" customFormat="1" ht="9.9499999999999993" customHeight="1" x14ac:dyDescent="0.2">
      <c r="C104" s="327"/>
      <c r="G104" s="327"/>
    </row>
    <row r="105" spans="3:7" s="326" customFormat="1" ht="9.9499999999999993" customHeight="1" x14ac:dyDescent="0.2">
      <c r="C105" s="327"/>
      <c r="G105" s="327"/>
    </row>
    <row r="106" spans="3:7" s="326" customFormat="1" ht="9.9499999999999993" customHeight="1" x14ac:dyDescent="0.2">
      <c r="C106" s="327"/>
      <c r="G106" s="327"/>
    </row>
    <row r="107" spans="3:7" s="326" customFormat="1" ht="9.9499999999999993" customHeight="1" x14ac:dyDescent="0.2">
      <c r="C107" s="327"/>
      <c r="G107" s="327"/>
    </row>
    <row r="108" spans="3:7" s="326" customFormat="1" ht="9.9499999999999993" customHeight="1" x14ac:dyDescent="0.2">
      <c r="C108" s="327"/>
      <c r="G108" s="327"/>
    </row>
    <row r="109" spans="3:7" s="326" customFormat="1" ht="9.9499999999999993" customHeight="1" x14ac:dyDescent="0.2">
      <c r="C109" s="327"/>
      <c r="G109" s="327"/>
    </row>
    <row r="110" spans="3:7" s="326" customFormat="1" ht="9.9499999999999993" customHeight="1" x14ac:dyDescent="0.2">
      <c r="C110" s="327"/>
      <c r="G110" s="327"/>
    </row>
    <row r="111" spans="3:7" s="326" customFormat="1" ht="9.9499999999999993" customHeight="1" x14ac:dyDescent="0.2">
      <c r="C111" s="327"/>
      <c r="G111" s="327"/>
    </row>
    <row r="112" spans="3:7" s="326" customFormat="1" ht="9.9499999999999993" customHeight="1" x14ac:dyDescent="0.2">
      <c r="C112" s="327"/>
      <c r="G112" s="327"/>
    </row>
    <row r="113" spans="3:7" s="326" customFormat="1" ht="9.9499999999999993" customHeight="1" x14ac:dyDescent="0.2">
      <c r="C113" s="327"/>
      <c r="G113" s="327"/>
    </row>
    <row r="114" spans="3:7" s="326" customFormat="1" ht="9.9499999999999993" customHeight="1" x14ac:dyDescent="0.2">
      <c r="C114" s="327"/>
      <c r="G114" s="327"/>
    </row>
    <row r="115" spans="3:7" s="326" customFormat="1" ht="9.9499999999999993" customHeight="1" x14ac:dyDescent="0.2">
      <c r="C115" s="327"/>
      <c r="G115" s="327"/>
    </row>
    <row r="116" spans="3:7" s="326" customFormat="1" ht="9.9499999999999993" customHeight="1" x14ac:dyDescent="0.2">
      <c r="C116" s="327"/>
      <c r="G116" s="327"/>
    </row>
    <row r="117" spans="3:7" s="326" customFormat="1" ht="9.9499999999999993" customHeight="1" x14ac:dyDescent="0.2">
      <c r="C117" s="327"/>
      <c r="G117" s="327"/>
    </row>
    <row r="118" spans="3:7" s="326" customFormat="1" ht="9.9499999999999993" customHeight="1" x14ac:dyDescent="0.2">
      <c r="C118" s="327"/>
      <c r="G118" s="327"/>
    </row>
    <row r="119" spans="3:7" s="326" customFormat="1" ht="9.9499999999999993" customHeight="1" x14ac:dyDescent="0.2">
      <c r="C119" s="327"/>
      <c r="G119" s="327"/>
    </row>
    <row r="120" spans="3:7" s="326" customFormat="1" ht="9.9499999999999993" customHeight="1" x14ac:dyDescent="0.2">
      <c r="C120" s="327"/>
      <c r="G120" s="327">
        <v>21</v>
      </c>
    </row>
    <row r="121" spans="3:7" s="326" customFormat="1" ht="9.9499999999999993" customHeight="1" x14ac:dyDescent="0.2">
      <c r="C121" s="327"/>
      <c r="G121" s="327"/>
    </row>
    <row r="122" spans="3:7" s="326" customFormat="1" ht="9.9499999999999993" customHeight="1" x14ac:dyDescent="0.2">
      <c r="C122" s="327"/>
      <c r="G122" s="327"/>
    </row>
    <row r="123" spans="3:7" s="326" customFormat="1" ht="9.9499999999999993" customHeight="1" x14ac:dyDescent="0.2">
      <c r="C123" s="327"/>
      <c r="G123" s="327"/>
    </row>
    <row r="124" spans="3:7" s="326" customFormat="1" ht="9.9499999999999993" customHeight="1" x14ac:dyDescent="0.2">
      <c r="C124" s="327"/>
      <c r="G124" s="327"/>
    </row>
    <row r="125" spans="3:7" s="326" customFormat="1" ht="9.9499999999999993" customHeight="1" x14ac:dyDescent="0.2">
      <c r="C125" s="327"/>
      <c r="G125" s="327"/>
    </row>
    <row r="126" spans="3:7" s="326" customFormat="1" ht="9.9499999999999993" customHeight="1" x14ac:dyDescent="0.2">
      <c r="C126" s="327"/>
      <c r="G126" s="327"/>
    </row>
    <row r="127" spans="3:7" s="326" customFormat="1" ht="9.9499999999999993" customHeight="1" x14ac:dyDescent="0.2">
      <c r="C127" s="327"/>
      <c r="G127" s="327"/>
    </row>
    <row r="128" spans="3:7" s="326" customFormat="1" ht="9.9499999999999993" customHeight="1" x14ac:dyDescent="0.2">
      <c r="C128" s="327"/>
      <c r="G128" s="327"/>
    </row>
    <row r="129" spans="3:7" s="326" customFormat="1" ht="9.9499999999999993" customHeight="1" x14ac:dyDescent="0.2">
      <c r="C129" s="327"/>
      <c r="G129" s="327"/>
    </row>
    <row r="130" spans="3:7" s="326" customFormat="1" ht="9.9499999999999993" customHeight="1" x14ac:dyDescent="0.2">
      <c r="C130" s="327"/>
      <c r="G130" s="327"/>
    </row>
    <row r="131" spans="3:7" s="326" customFormat="1" ht="9.9499999999999993" customHeight="1" x14ac:dyDescent="0.2">
      <c r="C131" s="327"/>
      <c r="G131" s="327"/>
    </row>
    <row r="132" spans="3:7" s="326" customFormat="1" ht="9.9499999999999993" customHeight="1" x14ac:dyDescent="0.2">
      <c r="C132" s="327"/>
      <c r="G132" s="327"/>
    </row>
    <row r="133" spans="3:7" s="326" customFormat="1" ht="9.9499999999999993" customHeight="1" x14ac:dyDescent="0.2">
      <c r="C133" s="327"/>
      <c r="G133" s="327"/>
    </row>
    <row r="134" spans="3:7" s="326" customFormat="1" ht="9.9499999999999993" customHeight="1" x14ac:dyDescent="0.2">
      <c r="C134" s="327"/>
      <c r="G134" s="327"/>
    </row>
    <row r="135" spans="3:7" s="326" customFormat="1" ht="9.9499999999999993" customHeight="1" x14ac:dyDescent="0.2">
      <c r="C135" s="327"/>
      <c r="G135" s="327"/>
    </row>
    <row r="136" spans="3:7" s="326" customFormat="1" ht="9.9499999999999993" customHeight="1" x14ac:dyDescent="0.2">
      <c r="C136" s="327"/>
      <c r="G136" s="327"/>
    </row>
    <row r="137" spans="3:7" s="326" customFormat="1" ht="9.9499999999999993" customHeight="1" x14ac:dyDescent="0.2">
      <c r="C137" s="327"/>
      <c r="G137" s="327"/>
    </row>
    <row r="138" spans="3:7" s="326" customFormat="1" ht="9.9499999999999993" customHeight="1" x14ac:dyDescent="0.2">
      <c r="C138" s="327"/>
      <c r="G138" s="327"/>
    </row>
    <row r="139" spans="3:7" s="326" customFormat="1" ht="9.9499999999999993" customHeight="1" x14ac:dyDescent="0.2">
      <c r="C139" s="327"/>
      <c r="G139" s="327"/>
    </row>
    <row r="140" spans="3:7" s="326" customFormat="1" ht="9.9499999999999993" customHeight="1" x14ac:dyDescent="0.2">
      <c r="C140" s="327"/>
      <c r="G140" s="327"/>
    </row>
    <row r="141" spans="3:7" s="326" customFormat="1" ht="9.9499999999999993" customHeight="1" x14ac:dyDescent="0.2">
      <c r="C141" s="327"/>
      <c r="G141" s="327"/>
    </row>
    <row r="142" spans="3:7" s="326" customFormat="1" ht="9.9499999999999993" customHeight="1" x14ac:dyDescent="0.2">
      <c r="C142" s="327"/>
      <c r="G142" s="327"/>
    </row>
    <row r="143" spans="3:7" s="326" customFormat="1" ht="9.9499999999999993" customHeight="1" x14ac:dyDescent="0.2">
      <c r="C143" s="327"/>
      <c r="G143" s="327"/>
    </row>
    <row r="144" spans="3:7" s="326" customFormat="1" ht="9.9499999999999993" customHeight="1" x14ac:dyDescent="0.2">
      <c r="C144" s="327"/>
      <c r="G144" s="327"/>
    </row>
    <row r="145" spans="3:7" s="326" customFormat="1" ht="9.9499999999999993" customHeight="1" x14ac:dyDescent="0.2">
      <c r="C145" s="327"/>
      <c r="G145" s="327"/>
    </row>
    <row r="146" spans="3:7" s="326" customFormat="1" ht="9.9499999999999993" customHeight="1" x14ac:dyDescent="0.2">
      <c r="C146" s="327"/>
      <c r="G146" s="327"/>
    </row>
    <row r="147" spans="3:7" s="326" customFormat="1" ht="9.9499999999999993" customHeight="1" x14ac:dyDescent="0.2">
      <c r="C147" s="327"/>
      <c r="G147" s="327"/>
    </row>
    <row r="148" spans="3:7" s="326" customFormat="1" ht="9.9499999999999993" customHeight="1" x14ac:dyDescent="0.2">
      <c r="C148" s="327"/>
      <c r="G148" s="327"/>
    </row>
    <row r="149" spans="3:7" s="326" customFormat="1" ht="9.9499999999999993" customHeight="1" x14ac:dyDescent="0.2">
      <c r="C149" s="327"/>
      <c r="G149" s="327"/>
    </row>
    <row r="150" spans="3:7" s="326" customFormat="1" ht="9.9499999999999993" customHeight="1" x14ac:dyDescent="0.2">
      <c r="C150" s="327"/>
      <c r="G150" s="327"/>
    </row>
    <row r="151" spans="3:7" s="326" customFormat="1" ht="9.9499999999999993" customHeight="1" x14ac:dyDescent="0.2">
      <c r="C151" s="327"/>
      <c r="G151" s="327"/>
    </row>
    <row r="152" spans="3:7" s="326" customFormat="1" ht="9.9499999999999993" customHeight="1" x14ac:dyDescent="0.2">
      <c r="C152" s="327"/>
      <c r="G152" s="327"/>
    </row>
    <row r="153" spans="3:7" s="326" customFormat="1" ht="9.9499999999999993" customHeight="1" x14ac:dyDescent="0.2">
      <c r="C153" s="327"/>
      <c r="G153" s="327"/>
    </row>
    <row r="154" spans="3:7" s="326" customFormat="1" ht="9.9499999999999993" customHeight="1" x14ac:dyDescent="0.2">
      <c r="C154" s="327"/>
      <c r="G154" s="327"/>
    </row>
    <row r="155" spans="3:7" s="326" customFormat="1" ht="9.9499999999999993" customHeight="1" x14ac:dyDescent="0.2">
      <c r="C155" s="327"/>
      <c r="G155" s="327"/>
    </row>
    <row r="156" spans="3:7" s="326" customFormat="1" ht="9.9499999999999993" customHeight="1" x14ac:dyDescent="0.2">
      <c r="C156" s="327"/>
      <c r="G156" s="327"/>
    </row>
    <row r="157" spans="3:7" s="326" customFormat="1" ht="9.9499999999999993" customHeight="1" x14ac:dyDescent="0.2">
      <c r="C157" s="327"/>
      <c r="G157" s="327"/>
    </row>
    <row r="158" spans="3:7" s="326" customFormat="1" ht="9.9499999999999993" customHeight="1" x14ac:dyDescent="0.2">
      <c r="C158" s="327"/>
      <c r="G158" s="327"/>
    </row>
    <row r="159" spans="3:7" s="326" customFormat="1" ht="9.9499999999999993" customHeight="1" x14ac:dyDescent="0.2">
      <c r="C159" s="327"/>
      <c r="G159" s="327"/>
    </row>
    <row r="160" spans="3:7" s="326" customFormat="1" ht="9.9499999999999993" customHeight="1" x14ac:dyDescent="0.2">
      <c r="C160" s="327"/>
      <c r="G160" s="327"/>
    </row>
    <row r="161" spans="3:7" s="326" customFormat="1" ht="9.9499999999999993" customHeight="1" x14ac:dyDescent="0.2">
      <c r="C161" s="327"/>
      <c r="G161" s="327"/>
    </row>
    <row r="162" spans="3:7" s="326" customFormat="1" ht="9.9499999999999993" customHeight="1" x14ac:dyDescent="0.2">
      <c r="C162" s="327"/>
      <c r="G162" s="327"/>
    </row>
    <row r="163" spans="3:7" s="326" customFormat="1" ht="9.9499999999999993" customHeight="1" x14ac:dyDescent="0.2">
      <c r="C163" s="327"/>
      <c r="G163" s="327"/>
    </row>
    <row r="164" spans="3:7" s="326" customFormat="1" ht="9.9499999999999993" customHeight="1" x14ac:dyDescent="0.2">
      <c r="C164" s="327"/>
      <c r="G164" s="327"/>
    </row>
    <row r="165" spans="3:7" s="326" customFormat="1" ht="9.9499999999999993" customHeight="1" x14ac:dyDescent="0.2">
      <c r="C165" s="327"/>
      <c r="G165" s="327"/>
    </row>
    <row r="166" spans="3:7" s="326" customFormat="1" ht="9.9499999999999993" customHeight="1" x14ac:dyDescent="0.2">
      <c r="C166" s="327"/>
      <c r="G166" s="327"/>
    </row>
    <row r="167" spans="3:7" s="326" customFormat="1" ht="9.9499999999999993" customHeight="1" x14ac:dyDescent="0.2">
      <c r="C167" s="327"/>
      <c r="G167" s="327"/>
    </row>
    <row r="168" spans="3:7" s="326" customFormat="1" ht="9.9499999999999993" customHeight="1" x14ac:dyDescent="0.2">
      <c r="C168" s="327"/>
      <c r="G168" s="327"/>
    </row>
    <row r="169" spans="3:7" s="326" customFormat="1" ht="9.9499999999999993" customHeight="1" x14ac:dyDescent="0.2">
      <c r="C169" s="327"/>
      <c r="G169" s="327"/>
    </row>
    <row r="170" spans="3:7" s="326" customFormat="1" ht="9.9499999999999993" customHeight="1" x14ac:dyDescent="0.2">
      <c r="C170" s="327"/>
      <c r="G170" s="327"/>
    </row>
    <row r="171" spans="3:7" s="326" customFormat="1" ht="9.9499999999999993" customHeight="1" x14ac:dyDescent="0.2">
      <c r="C171" s="327"/>
      <c r="G171" s="327"/>
    </row>
    <row r="172" spans="3:7" s="326" customFormat="1" ht="9.9499999999999993" customHeight="1" x14ac:dyDescent="0.2">
      <c r="C172" s="327"/>
      <c r="G172" s="327"/>
    </row>
    <row r="173" spans="3:7" s="326" customFormat="1" ht="9.9499999999999993" customHeight="1" x14ac:dyDescent="0.2">
      <c r="C173" s="327"/>
      <c r="G173" s="327"/>
    </row>
    <row r="174" spans="3:7" s="326" customFormat="1" ht="9.9499999999999993" customHeight="1" x14ac:dyDescent="0.2">
      <c r="C174" s="327"/>
      <c r="G174" s="327"/>
    </row>
    <row r="175" spans="3:7" s="326" customFormat="1" ht="9.9499999999999993" customHeight="1" x14ac:dyDescent="0.2">
      <c r="C175" s="327"/>
      <c r="G175" s="327"/>
    </row>
    <row r="176" spans="3:7" s="326" customFormat="1" ht="9.9499999999999993" customHeight="1" x14ac:dyDescent="0.2">
      <c r="C176" s="327"/>
      <c r="G176" s="327"/>
    </row>
    <row r="177" spans="3:7" s="326" customFormat="1" ht="9.9499999999999993" customHeight="1" x14ac:dyDescent="0.2">
      <c r="C177" s="327"/>
      <c r="G177" s="327"/>
    </row>
    <row r="178" spans="3:7" s="326" customFormat="1" ht="9.9499999999999993" customHeight="1" x14ac:dyDescent="0.2">
      <c r="C178" s="327"/>
      <c r="G178" s="327"/>
    </row>
    <row r="179" spans="3:7" s="326" customFormat="1" ht="9.9499999999999993" customHeight="1" x14ac:dyDescent="0.2">
      <c r="C179" s="327"/>
      <c r="G179" s="327"/>
    </row>
    <row r="180" spans="3:7" s="326" customFormat="1" ht="9.9499999999999993" customHeight="1" x14ac:dyDescent="0.2">
      <c r="C180" s="327"/>
      <c r="G180" s="327"/>
    </row>
    <row r="181" spans="3:7" s="326" customFormat="1" ht="9.9499999999999993" customHeight="1" x14ac:dyDescent="0.2">
      <c r="C181" s="327"/>
      <c r="G181" s="327"/>
    </row>
    <row r="182" spans="3:7" s="326" customFormat="1" ht="9.9499999999999993" customHeight="1" x14ac:dyDescent="0.2">
      <c r="C182" s="327"/>
      <c r="G182" s="327"/>
    </row>
    <row r="183" spans="3:7" s="326" customFormat="1" ht="9.9499999999999993" customHeight="1" x14ac:dyDescent="0.2">
      <c r="C183" s="327"/>
      <c r="G183" s="327"/>
    </row>
    <row r="184" spans="3:7" s="326" customFormat="1" ht="9.9499999999999993" customHeight="1" x14ac:dyDescent="0.2">
      <c r="C184" s="327"/>
      <c r="G184" s="327"/>
    </row>
    <row r="185" spans="3:7" s="326" customFormat="1" ht="9.9499999999999993" customHeight="1" x14ac:dyDescent="0.2">
      <c r="C185" s="327"/>
      <c r="G185" s="327"/>
    </row>
    <row r="186" spans="3:7" s="326" customFormat="1" ht="9.9499999999999993" customHeight="1" x14ac:dyDescent="0.2">
      <c r="C186" s="327"/>
      <c r="G186" s="327"/>
    </row>
    <row r="187" spans="3:7" s="326" customFormat="1" ht="9.9499999999999993" customHeight="1" x14ac:dyDescent="0.2">
      <c r="C187" s="327"/>
      <c r="G187" s="327"/>
    </row>
    <row r="188" spans="3:7" s="326" customFormat="1" ht="9.9499999999999993" customHeight="1" x14ac:dyDescent="0.2">
      <c r="C188" s="327"/>
      <c r="G188" s="327"/>
    </row>
    <row r="189" spans="3:7" s="326" customFormat="1" ht="9.9499999999999993" customHeight="1" x14ac:dyDescent="0.2">
      <c r="C189" s="327"/>
      <c r="G189" s="327"/>
    </row>
    <row r="190" spans="3:7" s="326" customFormat="1" ht="9.9499999999999993" customHeight="1" x14ac:dyDescent="0.2">
      <c r="C190" s="327"/>
      <c r="G190" s="327"/>
    </row>
    <row r="191" spans="3:7" s="326" customFormat="1" ht="9.9499999999999993" customHeight="1" x14ac:dyDescent="0.2">
      <c r="C191" s="327"/>
      <c r="G191" s="327"/>
    </row>
    <row r="192" spans="3:7" s="326" customFormat="1" ht="9.9499999999999993" customHeight="1" x14ac:dyDescent="0.2">
      <c r="C192" s="327"/>
      <c r="G192" s="327"/>
    </row>
    <row r="193" spans="3:7" s="326" customFormat="1" ht="9.9499999999999993" customHeight="1" x14ac:dyDescent="0.2">
      <c r="C193" s="327"/>
      <c r="G193" s="327"/>
    </row>
    <row r="194" spans="3:7" s="326" customFormat="1" ht="9.9499999999999993" customHeight="1" x14ac:dyDescent="0.2">
      <c r="C194" s="327"/>
      <c r="G194" s="327"/>
    </row>
    <row r="195" spans="3:7" s="326" customFormat="1" ht="9.9499999999999993" customHeight="1" x14ac:dyDescent="0.2">
      <c r="C195" s="327"/>
      <c r="G195" s="327"/>
    </row>
    <row r="196" spans="3:7" s="326" customFormat="1" ht="9.9499999999999993" customHeight="1" x14ac:dyDescent="0.2">
      <c r="C196" s="327"/>
      <c r="G196" s="327"/>
    </row>
    <row r="197" spans="3:7" s="326" customFormat="1" ht="9.9499999999999993" customHeight="1" x14ac:dyDescent="0.2">
      <c r="C197" s="327"/>
      <c r="G197" s="327"/>
    </row>
    <row r="198" spans="3:7" s="326" customFormat="1" ht="9.9499999999999993" customHeight="1" x14ac:dyDescent="0.2">
      <c r="C198" s="327"/>
      <c r="G198" s="327"/>
    </row>
    <row r="199" spans="3:7" s="326" customFormat="1" ht="9.9499999999999993" customHeight="1" x14ac:dyDescent="0.2">
      <c r="C199" s="327"/>
      <c r="G199" s="327"/>
    </row>
    <row r="200" spans="3:7" s="326" customFormat="1" ht="9.9499999999999993" customHeight="1" x14ac:dyDescent="0.2">
      <c r="C200" s="327"/>
      <c r="G200" s="327"/>
    </row>
    <row r="201" spans="3:7" s="326" customFormat="1" ht="9.9499999999999993" customHeight="1" x14ac:dyDescent="0.2">
      <c r="C201" s="327"/>
      <c r="G201" s="327"/>
    </row>
    <row r="202" spans="3:7" s="326" customFormat="1" ht="9.9499999999999993" customHeight="1" x14ac:dyDescent="0.2">
      <c r="C202" s="327"/>
      <c r="G202" s="327"/>
    </row>
    <row r="203" spans="3:7" s="326" customFormat="1" ht="9.9499999999999993" customHeight="1" x14ac:dyDescent="0.2">
      <c r="C203" s="327"/>
      <c r="G203" s="327"/>
    </row>
    <row r="204" spans="3:7" s="326" customFormat="1" ht="9.9499999999999993" customHeight="1" x14ac:dyDescent="0.2">
      <c r="C204" s="327"/>
      <c r="G204" s="327"/>
    </row>
    <row r="205" spans="3:7" s="326" customFormat="1" ht="9.9499999999999993" customHeight="1" x14ac:dyDescent="0.2">
      <c r="C205" s="327"/>
      <c r="G205" s="327"/>
    </row>
    <row r="206" spans="3:7" s="326" customFormat="1" ht="9.9499999999999993" customHeight="1" x14ac:dyDescent="0.2">
      <c r="C206" s="327"/>
      <c r="G206" s="327"/>
    </row>
    <row r="207" spans="3:7" s="326" customFormat="1" ht="9.9499999999999993" customHeight="1" x14ac:dyDescent="0.2">
      <c r="C207" s="327"/>
      <c r="G207" s="327"/>
    </row>
    <row r="208" spans="3:7" s="326" customFormat="1" ht="9.9499999999999993" customHeight="1" x14ac:dyDescent="0.2">
      <c r="C208" s="327"/>
      <c r="G208" s="327"/>
    </row>
    <row r="209" spans="3:7" s="326" customFormat="1" ht="9.9499999999999993" customHeight="1" x14ac:dyDescent="0.2">
      <c r="C209" s="327"/>
      <c r="G209" s="327"/>
    </row>
    <row r="210" spans="3:7" s="326" customFormat="1" ht="9.9499999999999993" customHeight="1" x14ac:dyDescent="0.2">
      <c r="C210" s="327"/>
      <c r="G210" s="327"/>
    </row>
    <row r="211" spans="3:7" s="326" customFormat="1" ht="9.9499999999999993" customHeight="1" x14ac:dyDescent="0.2">
      <c r="C211" s="327"/>
      <c r="G211" s="327"/>
    </row>
    <row r="212" spans="3:7" s="326" customFormat="1" ht="9.9499999999999993" customHeight="1" x14ac:dyDescent="0.2">
      <c r="C212" s="327"/>
      <c r="G212" s="327"/>
    </row>
    <row r="213" spans="3:7" s="326" customFormat="1" ht="9.9499999999999993" customHeight="1" x14ac:dyDescent="0.2">
      <c r="C213" s="327"/>
      <c r="G213" s="327"/>
    </row>
    <row r="214" spans="3:7" s="326" customFormat="1" ht="9.9499999999999993" customHeight="1" x14ac:dyDescent="0.2">
      <c r="C214" s="327"/>
      <c r="G214" s="327"/>
    </row>
    <row r="215" spans="3:7" s="326" customFormat="1" ht="9.9499999999999993" customHeight="1" x14ac:dyDescent="0.2">
      <c r="C215" s="327"/>
      <c r="G215" s="327"/>
    </row>
    <row r="216" spans="3:7" s="326" customFormat="1" ht="9.9499999999999993" customHeight="1" x14ac:dyDescent="0.2">
      <c r="C216" s="327"/>
      <c r="G216" s="327"/>
    </row>
    <row r="217" spans="3:7" s="326" customFormat="1" ht="9.9499999999999993" customHeight="1" x14ac:dyDescent="0.2">
      <c r="C217" s="327"/>
      <c r="G217" s="327"/>
    </row>
    <row r="218" spans="3:7" s="326" customFormat="1" ht="9.9499999999999993" customHeight="1" x14ac:dyDescent="0.2">
      <c r="C218" s="327"/>
      <c r="G218" s="327"/>
    </row>
    <row r="219" spans="3:7" s="326" customFormat="1" ht="9.9499999999999993" customHeight="1" x14ac:dyDescent="0.2">
      <c r="C219" s="327"/>
      <c r="G219" s="327"/>
    </row>
    <row r="220" spans="3:7" s="326" customFormat="1" ht="9.9499999999999993" customHeight="1" x14ac:dyDescent="0.2">
      <c r="C220" s="327"/>
      <c r="G220" s="327"/>
    </row>
    <row r="221" spans="3:7" s="326" customFormat="1" ht="9.9499999999999993" customHeight="1" x14ac:dyDescent="0.2">
      <c r="C221" s="327"/>
      <c r="G221" s="327"/>
    </row>
    <row r="222" spans="3:7" s="326" customFormat="1" ht="9.9499999999999993" customHeight="1" x14ac:dyDescent="0.2">
      <c r="C222" s="327"/>
      <c r="G222" s="327"/>
    </row>
    <row r="223" spans="3:7" s="326" customFormat="1" ht="9.9499999999999993" customHeight="1" x14ac:dyDescent="0.2">
      <c r="C223" s="327"/>
      <c r="G223" s="327"/>
    </row>
    <row r="224" spans="3:7" s="326" customFormat="1" ht="9.9499999999999993" customHeight="1" x14ac:dyDescent="0.2">
      <c r="C224" s="327"/>
      <c r="G224" s="327"/>
    </row>
    <row r="225" spans="3:7" s="326" customFormat="1" ht="9.9499999999999993" customHeight="1" x14ac:dyDescent="0.2">
      <c r="C225" s="327"/>
      <c r="G225" s="327"/>
    </row>
    <row r="226" spans="3:7" s="326" customFormat="1" ht="9.9499999999999993" customHeight="1" x14ac:dyDescent="0.2">
      <c r="C226" s="327"/>
      <c r="G226" s="327"/>
    </row>
    <row r="227" spans="3:7" s="326" customFormat="1" ht="9.9499999999999993" customHeight="1" x14ac:dyDescent="0.2">
      <c r="C227" s="327"/>
      <c r="G227" s="327"/>
    </row>
    <row r="228" spans="3:7" s="326" customFormat="1" ht="9.9499999999999993" customHeight="1" x14ac:dyDescent="0.2">
      <c r="C228" s="327"/>
      <c r="G228" s="327"/>
    </row>
    <row r="229" spans="3:7" s="326" customFormat="1" ht="9.9499999999999993" customHeight="1" x14ac:dyDescent="0.2">
      <c r="C229" s="327"/>
      <c r="G229" s="327"/>
    </row>
    <row r="230" spans="3:7" s="326" customFormat="1" ht="9.9499999999999993" customHeight="1" x14ac:dyDescent="0.2">
      <c r="C230" s="327"/>
      <c r="G230" s="327"/>
    </row>
    <row r="231" spans="3:7" s="326" customFormat="1" ht="9.9499999999999993" customHeight="1" x14ac:dyDescent="0.2">
      <c r="C231" s="327"/>
      <c r="G231" s="327"/>
    </row>
    <row r="232" spans="3:7" s="326" customFormat="1" ht="9.9499999999999993" customHeight="1" x14ac:dyDescent="0.2">
      <c r="C232" s="327"/>
      <c r="G232" s="327"/>
    </row>
    <row r="233" spans="3:7" s="326" customFormat="1" ht="9.9499999999999993" customHeight="1" x14ac:dyDescent="0.2">
      <c r="C233" s="327"/>
      <c r="G233" s="327"/>
    </row>
    <row r="234" spans="3:7" s="326" customFormat="1" ht="9.9499999999999993" customHeight="1" x14ac:dyDescent="0.2">
      <c r="C234" s="327"/>
      <c r="G234" s="327"/>
    </row>
    <row r="235" spans="3:7" s="326" customFormat="1" ht="9.9499999999999993" customHeight="1" x14ac:dyDescent="0.2">
      <c r="C235" s="327"/>
      <c r="G235" s="327"/>
    </row>
    <row r="236" spans="3:7" s="326" customFormat="1" ht="9.9499999999999993" customHeight="1" x14ac:dyDescent="0.2">
      <c r="C236" s="327"/>
      <c r="G236" s="327"/>
    </row>
    <row r="237" spans="3:7" s="326" customFormat="1" ht="9.9499999999999993" customHeight="1" x14ac:dyDescent="0.2">
      <c r="C237" s="327"/>
      <c r="G237" s="327"/>
    </row>
    <row r="238" spans="3:7" s="326" customFormat="1" ht="9.9499999999999993" customHeight="1" x14ac:dyDescent="0.2">
      <c r="C238" s="327"/>
      <c r="G238" s="327"/>
    </row>
    <row r="239" spans="3:7" s="326" customFormat="1" ht="9.9499999999999993" customHeight="1" x14ac:dyDescent="0.2">
      <c r="C239" s="327"/>
      <c r="G239" s="327"/>
    </row>
    <row r="240" spans="3:7" s="326" customFormat="1" ht="9.9499999999999993" customHeight="1" x14ac:dyDescent="0.2">
      <c r="C240" s="327"/>
      <c r="G240" s="327"/>
    </row>
    <row r="241" spans="3:7" s="326" customFormat="1" ht="9.9499999999999993" customHeight="1" x14ac:dyDescent="0.2">
      <c r="C241" s="327"/>
      <c r="G241" s="327"/>
    </row>
    <row r="242" spans="3:7" s="326" customFormat="1" ht="9.9499999999999993" customHeight="1" x14ac:dyDescent="0.2">
      <c r="C242" s="327"/>
      <c r="G242" s="327"/>
    </row>
    <row r="243" spans="3:7" s="326" customFormat="1" ht="9.9499999999999993" customHeight="1" x14ac:dyDescent="0.2">
      <c r="C243" s="327"/>
      <c r="G243" s="327"/>
    </row>
    <row r="244" spans="3:7" s="326" customFormat="1" ht="9.9499999999999993" customHeight="1" x14ac:dyDescent="0.2">
      <c r="C244" s="327"/>
      <c r="G244" s="327"/>
    </row>
    <row r="245" spans="3:7" s="326" customFormat="1" ht="9.9499999999999993" customHeight="1" x14ac:dyDescent="0.2">
      <c r="C245" s="327"/>
      <c r="G245" s="327"/>
    </row>
    <row r="246" spans="3:7" s="326" customFormat="1" ht="9.9499999999999993" customHeight="1" x14ac:dyDescent="0.2">
      <c r="C246" s="327"/>
      <c r="G246" s="327"/>
    </row>
    <row r="247" spans="3:7" s="326" customFormat="1" ht="9.9499999999999993" customHeight="1" x14ac:dyDescent="0.2">
      <c r="C247" s="327"/>
      <c r="G247" s="327"/>
    </row>
    <row r="248" spans="3:7" s="326" customFormat="1" ht="9.9499999999999993" customHeight="1" x14ac:dyDescent="0.2">
      <c r="C248" s="327"/>
      <c r="G248" s="327"/>
    </row>
    <row r="249" spans="3:7" s="326" customFormat="1" ht="9.9499999999999993" customHeight="1" x14ac:dyDescent="0.2">
      <c r="C249" s="327"/>
      <c r="G249" s="327"/>
    </row>
    <row r="250" spans="3:7" s="326" customFormat="1" ht="9.9499999999999993" customHeight="1" x14ac:dyDescent="0.2">
      <c r="C250" s="327"/>
      <c r="G250" s="327"/>
    </row>
    <row r="251" spans="3:7" s="326" customFormat="1" ht="9.9499999999999993" customHeight="1" x14ac:dyDescent="0.2">
      <c r="C251" s="327"/>
      <c r="G251" s="327"/>
    </row>
    <row r="252" spans="3:7" s="326" customFormat="1" ht="9.9499999999999993" customHeight="1" x14ac:dyDescent="0.2">
      <c r="C252" s="327"/>
      <c r="G252" s="327"/>
    </row>
    <row r="253" spans="3:7" s="326" customFormat="1" ht="9.9499999999999993" customHeight="1" x14ac:dyDescent="0.2">
      <c r="C253" s="327"/>
      <c r="G253" s="327"/>
    </row>
    <row r="254" spans="3:7" s="326" customFormat="1" ht="9.9499999999999993" customHeight="1" x14ac:dyDescent="0.2">
      <c r="C254" s="327"/>
      <c r="G254" s="327"/>
    </row>
    <row r="255" spans="3:7" s="326" customFormat="1" ht="9.9499999999999993" customHeight="1" x14ac:dyDescent="0.2">
      <c r="C255" s="327"/>
      <c r="G255" s="327"/>
    </row>
    <row r="256" spans="3:7" s="326" customFormat="1" ht="9.9499999999999993" customHeight="1" x14ac:dyDescent="0.2">
      <c r="C256" s="327"/>
      <c r="G256" s="327"/>
    </row>
    <row r="257" spans="3:7" s="326" customFormat="1" ht="9.9499999999999993" customHeight="1" x14ac:dyDescent="0.2">
      <c r="C257" s="327"/>
      <c r="G257" s="327"/>
    </row>
    <row r="258" spans="3:7" s="326" customFormat="1" ht="9.9499999999999993" customHeight="1" x14ac:dyDescent="0.2">
      <c r="C258" s="327"/>
      <c r="G258" s="327"/>
    </row>
    <row r="259" spans="3:7" s="326" customFormat="1" ht="9.9499999999999993" customHeight="1" x14ac:dyDescent="0.2">
      <c r="C259" s="327"/>
      <c r="G259" s="327"/>
    </row>
    <row r="260" spans="3:7" s="326" customFormat="1" ht="9.9499999999999993" customHeight="1" x14ac:dyDescent="0.2">
      <c r="C260" s="327"/>
      <c r="G260" s="327"/>
    </row>
    <row r="261" spans="3:7" s="326" customFormat="1" ht="9.9499999999999993" customHeight="1" x14ac:dyDescent="0.2">
      <c r="C261" s="327"/>
      <c r="G261" s="327"/>
    </row>
    <row r="262" spans="3:7" s="326" customFormat="1" ht="9.9499999999999993" customHeight="1" x14ac:dyDescent="0.2">
      <c r="C262" s="327"/>
      <c r="G262" s="327"/>
    </row>
    <row r="263" spans="3:7" s="326" customFormat="1" ht="9.9499999999999993" customHeight="1" x14ac:dyDescent="0.2">
      <c r="C263" s="327"/>
      <c r="G263" s="327"/>
    </row>
    <row r="264" spans="3:7" s="326" customFormat="1" ht="9.9499999999999993" customHeight="1" x14ac:dyDescent="0.2">
      <c r="C264" s="327"/>
      <c r="G264" s="327"/>
    </row>
    <row r="265" spans="3:7" s="326" customFormat="1" ht="9.9499999999999993" customHeight="1" x14ac:dyDescent="0.2">
      <c r="C265" s="327"/>
      <c r="G265" s="327"/>
    </row>
    <row r="266" spans="3:7" s="326" customFormat="1" ht="9.9499999999999993" customHeight="1" x14ac:dyDescent="0.2">
      <c r="C266" s="327"/>
      <c r="G266" s="327"/>
    </row>
    <row r="267" spans="3:7" s="326" customFormat="1" ht="9.9499999999999993" customHeight="1" x14ac:dyDescent="0.2">
      <c r="C267" s="327"/>
      <c r="G267" s="327"/>
    </row>
    <row r="268" spans="3:7" s="326" customFormat="1" ht="9.9499999999999993" customHeight="1" x14ac:dyDescent="0.2">
      <c r="C268" s="327"/>
      <c r="G268" s="327"/>
    </row>
    <row r="269" spans="3:7" s="326" customFormat="1" ht="9.9499999999999993" customHeight="1" x14ac:dyDescent="0.2">
      <c r="C269" s="327"/>
      <c r="G269" s="327"/>
    </row>
    <row r="270" spans="3:7" s="326" customFormat="1" ht="9.9499999999999993" customHeight="1" x14ac:dyDescent="0.2">
      <c r="C270" s="327"/>
      <c r="G270" s="327"/>
    </row>
    <row r="271" spans="3:7" s="326" customFormat="1" ht="9.9499999999999993" customHeight="1" x14ac:dyDescent="0.2">
      <c r="C271" s="327"/>
      <c r="G271" s="327"/>
    </row>
    <row r="272" spans="3:7" s="326" customFormat="1" ht="9.9499999999999993" customHeight="1" x14ac:dyDescent="0.2">
      <c r="C272" s="327"/>
      <c r="G272" s="327"/>
    </row>
    <row r="273" spans="3:7" s="326" customFormat="1" ht="9.9499999999999993" customHeight="1" x14ac:dyDescent="0.2">
      <c r="C273" s="327"/>
      <c r="G273" s="327"/>
    </row>
    <row r="274" spans="3:7" s="326" customFormat="1" ht="9.9499999999999993" customHeight="1" x14ac:dyDescent="0.2">
      <c r="C274" s="327"/>
      <c r="G274" s="327"/>
    </row>
    <row r="275" spans="3:7" s="326" customFormat="1" ht="9.9499999999999993" customHeight="1" x14ac:dyDescent="0.2">
      <c r="C275" s="327"/>
      <c r="G275" s="327"/>
    </row>
    <row r="276" spans="3:7" s="326" customFormat="1" ht="9.9499999999999993" customHeight="1" x14ac:dyDescent="0.2">
      <c r="C276" s="327"/>
      <c r="G276" s="327"/>
    </row>
    <row r="277" spans="3:7" s="326" customFormat="1" ht="9.9499999999999993" customHeight="1" x14ac:dyDescent="0.2">
      <c r="C277" s="327"/>
      <c r="G277" s="327"/>
    </row>
    <row r="278" spans="3:7" s="326" customFormat="1" ht="9.9499999999999993" customHeight="1" x14ac:dyDescent="0.2">
      <c r="C278" s="327"/>
      <c r="G278" s="327"/>
    </row>
    <row r="279" spans="3:7" s="326" customFormat="1" ht="9.9499999999999993" customHeight="1" x14ac:dyDescent="0.2">
      <c r="C279" s="327"/>
      <c r="G279" s="327"/>
    </row>
    <row r="280" spans="3:7" s="326" customFormat="1" ht="9.9499999999999993" customHeight="1" x14ac:dyDescent="0.2">
      <c r="C280" s="327"/>
      <c r="G280" s="327"/>
    </row>
    <row r="281" spans="3:7" s="326" customFormat="1" ht="9.9499999999999993" customHeight="1" x14ac:dyDescent="0.2">
      <c r="C281" s="327"/>
      <c r="G281" s="327"/>
    </row>
    <row r="282" spans="3:7" s="326" customFormat="1" ht="9.9499999999999993" customHeight="1" x14ac:dyDescent="0.2">
      <c r="C282" s="327"/>
      <c r="G282" s="327"/>
    </row>
    <row r="283" spans="3:7" s="326" customFormat="1" ht="9.9499999999999993" customHeight="1" x14ac:dyDescent="0.2">
      <c r="C283" s="327"/>
      <c r="G283" s="327"/>
    </row>
    <row r="284" spans="3:7" s="326" customFormat="1" ht="9.9499999999999993" customHeight="1" x14ac:dyDescent="0.2">
      <c r="C284" s="327"/>
      <c r="G284" s="327"/>
    </row>
    <row r="285" spans="3:7" s="326" customFormat="1" ht="9.9499999999999993" customHeight="1" x14ac:dyDescent="0.2">
      <c r="C285" s="327"/>
      <c r="G285" s="327"/>
    </row>
    <row r="286" spans="3:7" s="326" customFormat="1" ht="9.9499999999999993" customHeight="1" x14ac:dyDescent="0.2">
      <c r="C286" s="327"/>
      <c r="G286" s="327"/>
    </row>
    <row r="287" spans="3:7" s="326" customFormat="1" ht="9.9499999999999993" customHeight="1" x14ac:dyDescent="0.2">
      <c r="C287" s="327"/>
      <c r="G287" s="327"/>
    </row>
    <row r="288" spans="3:7" s="326" customFormat="1" ht="9.9499999999999993" customHeight="1" x14ac:dyDescent="0.2">
      <c r="C288" s="327"/>
      <c r="G288" s="327"/>
    </row>
    <row r="289" spans="3:7" s="326" customFormat="1" ht="9.9499999999999993" customHeight="1" x14ac:dyDescent="0.2">
      <c r="C289" s="327"/>
      <c r="G289" s="327"/>
    </row>
    <row r="290" spans="3:7" s="326" customFormat="1" ht="9.9499999999999993" customHeight="1" x14ac:dyDescent="0.2">
      <c r="C290" s="327"/>
      <c r="G290" s="327"/>
    </row>
    <row r="291" spans="3:7" s="326" customFormat="1" ht="9.9499999999999993" customHeight="1" x14ac:dyDescent="0.2">
      <c r="C291" s="327"/>
      <c r="G291" s="327"/>
    </row>
    <row r="292" spans="3:7" s="326" customFormat="1" ht="9.9499999999999993" customHeight="1" x14ac:dyDescent="0.2">
      <c r="C292" s="327"/>
      <c r="G292" s="327"/>
    </row>
    <row r="293" spans="3:7" s="326" customFormat="1" ht="9.9499999999999993" customHeight="1" x14ac:dyDescent="0.2">
      <c r="C293" s="327"/>
      <c r="G293" s="327"/>
    </row>
    <row r="294" spans="3:7" s="326" customFormat="1" ht="9.9499999999999993" customHeight="1" x14ac:dyDescent="0.2">
      <c r="C294" s="327"/>
      <c r="G294" s="327"/>
    </row>
    <row r="295" spans="3:7" s="326" customFormat="1" ht="9.9499999999999993" customHeight="1" x14ac:dyDescent="0.2">
      <c r="C295" s="327"/>
      <c r="G295" s="327"/>
    </row>
    <row r="296" spans="3:7" s="326" customFormat="1" ht="9.9499999999999993" customHeight="1" x14ac:dyDescent="0.2">
      <c r="C296" s="327"/>
      <c r="G296" s="327"/>
    </row>
    <row r="297" spans="3:7" s="326" customFormat="1" ht="9.9499999999999993" customHeight="1" x14ac:dyDescent="0.2">
      <c r="C297" s="327"/>
      <c r="G297" s="327"/>
    </row>
    <row r="298" spans="3:7" s="326" customFormat="1" ht="9.9499999999999993" customHeight="1" x14ac:dyDescent="0.2">
      <c r="C298" s="327"/>
      <c r="G298" s="327"/>
    </row>
    <row r="299" spans="3:7" s="326" customFormat="1" ht="9.9499999999999993" customHeight="1" x14ac:dyDescent="0.2">
      <c r="C299" s="327"/>
      <c r="G299" s="327"/>
    </row>
    <row r="300" spans="3:7" s="326" customFormat="1" ht="9.9499999999999993" customHeight="1" x14ac:dyDescent="0.2">
      <c r="C300" s="327"/>
      <c r="G300" s="327"/>
    </row>
    <row r="301" spans="3:7" s="326" customFormat="1" ht="9.9499999999999993" customHeight="1" x14ac:dyDescent="0.2">
      <c r="C301" s="327"/>
      <c r="G301" s="327"/>
    </row>
    <row r="302" spans="3:7" s="326" customFormat="1" ht="9.9499999999999993" customHeight="1" x14ac:dyDescent="0.2">
      <c r="C302" s="327"/>
      <c r="G302" s="327"/>
    </row>
    <row r="303" spans="3:7" s="326" customFormat="1" ht="9.9499999999999993" customHeight="1" x14ac:dyDescent="0.2">
      <c r="C303" s="327"/>
      <c r="G303" s="327"/>
    </row>
    <row r="304" spans="3:7" s="326" customFormat="1" ht="9.9499999999999993" customHeight="1" x14ac:dyDescent="0.2">
      <c r="C304" s="327"/>
      <c r="G304" s="327"/>
    </row>
    <row r="305" spans="3:7" s="326" customFormat="1" ht="9.9499999999999993" customHeight="1" x14ac:dyDescent="0.2">
      <c r="C305" s="327"/>
      <c r="G305" s="327"/>
    </row>
    <row r="306" spans="3:7" s="326" customFormat="1" ht="9.9499999999999993" customHeight="1" x14ac:dyDescent="0.2">
      <c r="C306" s="327"/>
      <c r="G306" s="327"/>
    </row>
    <row r="307" spans="3:7" s="326" customFormat="1" ht="9.9499999999999993" customHeight="1" x14ac:dyDescent="0.2">
      <c r="C307" s="327"/>
      <c r="G307" s="327"/>
    </row>
    <row r="308" spans="3:7" s="326" customFormat="1" ht="9.9499999999999993" customHeight="1" x14ac:dyDescent="0.2">
      <c r="C308" s="327"/>
      <c r="G308" s="327"/>
    </row>
    <row r="309" spans="3:7" s="326" customFormat="1" ht="9.9499999999999993" customHeight="1" x14ac:dyDescent="0.2">
      <c r="C309" s="327"/>
      <c r="G309" s="327"/>
    </row>
    <row r="310" spans="3:7" s="326" customFormat="1" ht="9.9499999999999993" customHeight="1" x14ac:dyDescent="0.2">
      <c r="C310" s="327"/>
      <c r="G310" s="327"/>
    </row>
    <row r="311" spans="3:7" s="326" customFormat="1" ht="9.9499999999999993" customHeight="1" x14ac:dyDescent="0.2">
      <c r="C311" s="327"/>
      <c r="G311" s="327"/>
    </row>
    <row r="312" spans="3:7" s="326" customFormat="1" ht="9.9499999999999993" customHeight="1" x14ac:dyDescent="0.2">
      <c r="C312" s="327"/>
      <c r="G312" s="327"/>
    </row>
    <row r="313" spans="3:7" s="326" customFormat="1" ht="9.9499999999999993" customHeight="1" x14ac:dyDescent="0.2">
      <c r="C313" s="327"/>
      <c r="G313" s="327"/>
    </row>
    <row r="314" spans="3:7" s="326" customFormat="1" ht="9.9499999999999993" customHeight="1" x14ac:dyDescent="0.2">
      <c r="C314" s="327"/>
      <c r="G314" s="327"/>
    </row>
    <row r="315" spans="3:7" s="326" customFormat="1" ht="9.9499999999999993" customHeight="1" x14ac:dyDescent="0.2">
      <c r="C315" s="327"/>
      <c r="G315" s="327"/>
    </row>
    <row r="316" spans="3:7" s="326" customFormat="1" ht="9.9499999999999993" customHeight="1" x14ac:dyDescent="0.2">
      <c r="C316" s="327"/>
      <c r="G316" s="327"/>
    </row>
    <row r="317" spans="3:7" s="326" customFormat="1" ht="9.9499999999999993" customHeight="1" x14ac:dyDescent="0.2">
      <c r="C317" s="327"/>
      <c r="G317" s="327"/>
    </row>
    <row r="318" spans="3:7" s="326" customFormat="1" ht="9.9499999999999993" customHeight="1" x14ac:dyDescent="0.2">
      <c r="C318" s="327"/>
      <c r="G318" s="327"/>
    </row>
    <row r="319" spans="3:7" s="326" customFormat="1" ht="9.9499999999999993" customHeight="1" x14ac:dyDescent="0.2">
      <c r="C319" s="327"/>
      <c r="G319" s="327"/>
    </row>
    <row r="320" spans="3:7" s="326" customFormat="1" ht="9.9499999999999993" customHeight="1" x14ac:dyDescent="0.2">
      <c r="C320" s="327"/>
      <c r="G320" s="327"/>
    </row>
    <row r="321" spans="3:7" s="326" customFormat="1" ht="9.9499999999999993" customHeight="1" x14ac:dyDescent="0.2">
      <c r="C321" s="327"/>
      <c r="G321" s="327"/>
    </row>
    <row r="322" spans="3:7" s="326" customFormat="1" ht="9.9499999999999993" customHeight="1" x14ac:dyDescent="0.2">
      <c r="C322" s="327"/>
      <c r="G322" s="327"/>
    </row>
    <row r="323" spans="3:7" s="326" customFormat="1" ht="9.9499999999999993" customHeight="1" x14ac:dyDescent="0.2">
      <c r="C323" s="327"/>
      <c r="G323" s="327"/>
    </row>
    <row r="324" spans="3:7" s="326" customFormat="1" ht="9.9499999999999993" customHeight="1" x14ac:dyDescent="0.2">
      <c r="C324" s="327"/>
      <c r="G324" s="327"/>
    </row>
    <row r="325" spans="3:7" s="326" customFormat="1" ht="9.9499999999999993" customHeight="1" x14ac:dyDescent="0.2">
      <c r="C325" s="327"/>
      <c r="G325" s="327"/>
    </row>
    <row r="326" spans="3:7" s="326" customFormat="1" ht="9.9499999999999993" customHeight="1" x14ac:dyDescent="0.2">
      <c r="C326" s="327"/>
      <c r="G326" s="327"/>
    </row>
    <row r="327" spans="3:7" s="326" customFormat="1" ht="9.9499999999999993" customHeight="1" x14ac:dyDescent="0.2">
      <c r="C327" s="327"/>
      <c r="G327" s="327"/>
    </row>
    <row r="328" spans="3:7" s="326" customFormat="1" ht="9.9499999999999993" customHeight="1" x14ac:dyDescent="0.2">
      <c r="C328" s="327"/>
      <c r="G328" s="327"/>
    </row>
    <row r="329" spans="3:7" s="326" customFormat="1" ht="9.9499999999999993" customHeight="1" x14ac:dyDescent="0.2">
      <c r="C329" s="327"/>
      <c r="G329" s="327"/>
    </row>
    <row r="330" spans="3:7" s="326" customFormat="1" ht="9.9499999999999993" customHeight="1" x14ac:dyDescent="0.2">
      <c r="C330" s="327"/>
      <c r="G330" s="327"/>
    </row>
    <row r="331" spans="3:7" s="326" customFormat="1" ht="9.9499999999999993" customHeight="1" x14ac:dyDescent="0.2">
      <c r="C331" s="327"/>
      <c r="G331" s="327"/>
    </row>
    <row r="332" spans="3:7" s="326" customFormat="1" ht="9.9499999999999993" customHeight="1" x14ac:dyDescent="0.2">
      <c r="C332" s="327"/>
      <c r="G332" s="327"/>
    </row>
    <row r="333" spans="3:7" s="326" customFormat="1" ht="9.9499999999999993" customHeight="1" x14ac:dyDescent="0.2">
      <c r="C333" s="327"/>
      <c r="G333" s="327"/>
    </row>
    <row r="334" spans="3:7" s="326" customFormat="1" ht="9.9499999999999993" customHeight="1" x14ac:dyDescent="0.2">
      <c r="C334" s="327"/>
      <c r="G334" s="327"/>
    </row>
    <row r="335" spans="3:7" s="326" customFormat="1" ht="9.9499999999999993" customHeight="1" x14ac:dyDescent="0.2">
      <c r="C335" s="327"/>
      <c r="G335" s="327"/>
    </row>
    <row r="336" spans="3:7" s="326" customFormat="1" ht="9.9499999999999993" customHeight="1" x14ac:dyDescent="0.2">
      <c r="C336" s="327"/>
      <c r="G336" s="327"/>
    </row>
    <row r="337" spans="3:7" s="326" customFormat="1" ht="9.9499999999999993" customHeight="1" x14ac:dyDescent="0.2">
      <c r="C337" s="327"/>
      <c r="G337" s="327"/>
    </row>
    <row r="338" spans="3:7" s="326" customFormat="1" ht="9.9499999999999993" customHeight="1" x14ac:dyDescent="0.2">
      <c r="C338" s="327"/>
      <c r="G338" s="327"/>
    </row>
    <row r="339" spans="3:7" s="326" customFormat="1" ht="9.9499999999999993" customHeight="1" x14ac:dyDescent="0.2">
      <c r="C339" s="327"/>
      <c r="G339" s="327"/>
    </row>
    <row r="340" spans="3:7" s="326" customFormat="1" ht="9.9499999999999993" customHeight="1" x14ac:dyDescent="0.2">
      <c r="C340" s="327"/>
      <c r="G340" s="327"/>
    </row>
    <row r="341" spans="3:7" s="326" customFormat="1" ht="9.9499999999999993" customHeight="1" x14ac:dyDescent="0.2">
      <c r="C341" s="327"/>
      <c r="G341" s="327"/>
    </row>
    <row r="342" spans="3:7" s="326" customFormat="1" ht="9.9499999999999993" customHeight="1" x14ac:dyDescent="0.2">
      <c r="C342" s="327"/>
      <c r="G342" s="327"/>
    </row>
    <row r="343" spans="3:7" s="326" customFormat="1" ht="9.9499999999999993" customHeight="1" x14ac:dyDescent="0.2">
      <c r="C343" s="327"/>
      <c r="G343" s="327"/>
    </row>
    <row r="344" spans="3:7" s="326" customFormat="1" ht="9.9499999999999993" customHeight="1" x14ac:dyDescent="0.2">
      <c r="C344" s="327"/>
      <c r="G344" s="327"/>
    </row>
    <row r="345" spans="3:7" s="326" customFormat="1" ht="9.9499999999999993" customHeight="1" x14ac:dyDescent="0.2">
      <c r="C345" s="327"/>
      <c r="G345" s="327"/>
    </row>
    <row r="346" spans="3:7" s="326" customFormat="1" ht="9.9499999999999993" customHeight="1" x14ac:dyDescent="0.2">
      <c r="C346" s="327"/>
      <c r="G346" s="327"/>
    </row>
    <row r="347" spans="3:7" s="326" customFormat="1" ht="9.9499999999999993" customHeight="1" x14ac:dyDescent="0.2">
      <c r="C347" s="327"/>
      <c r="G347" s="327"/>
    </row>
    <row r="348" spans="3:7" s="326" customFormat="1" ht="9.9499999999999993" customHeight="1" x14ac:dyDescent="0.2">
      <c r="C348" s="327"/>
      <c r="G348" s="327"/>
    </row>
    <row r="349" spans="3:7" s="326" customFormat="1" ht="9.9499999999999993" customHeight="1" x14ac:dyDescent="0.2">
      <c r="C349" s="327"/>
      <c r="G349" s="327"/>
    </row>
    <row r="350" spans="3:7" s="326" customFormat="1" ht="9.9499999999999993" customHeight="1" x14ac:dyDescent="0.2">
      <c r="C350" s="327"/>
      <c r="G350" s="327"/>
    </row>
    <row r="351" spans="3:7" s="326" customFormat="1" ht="9.9499999999999993" customHeight="1" x14ac:dyDescent="0.2">
      <c r="C351" s="327"/>
      <c r="G351" s="327"/>
    </row>
    <row r="352" spans="3:7" s="326" customFormat="1" ht="9.9499999999999993" customHeight="1" x14ac:dyDescent="0.2">
      <c r="C352" s="327"/>
      <c r="G352" s="327"/>
    </row>
    <row r="353" spans="3:7" s="326" customFormat="1" ht="9.9499999999999993" customHeight="1" x14ac:dyDescent="0.2">
      <c r="C353" s="327"/>
      <c r="G353" s="327"/>
    </row>
    <row r="354" spans="3:7" s="326" customFormat="1" ht="9.9499999999999993" customHeight="1" x14ac:dyDescent="0.2">
      <c r="C354" s="327"/>
      <c r="G354" s="327"/>
    </row>
    <row r="355" spans="3:7" s="326" customFormat="1" ht="9.9499999999999993" customHeight="1" x14ac:dyDescent="0.2">
      <c r="C355" s="327"/>
      <c r="G355" s="327"/>
    </row>
    <row r="356" spans="3:7" s="326" customFormat="1" ht="9.9499999999999993" customHeight="1" x14ac:dyDescent="0.2">
      <c r="C356" s="327"/>
      <c r="G356" s="327"/>
    </row>
    <row r="357" spans="3:7" s="326" customFormat="1" ht="9.9499999999999993" customHeight="1" x14ac:dyDescent="0.2">
      <c r="C357" s="327"/>
      <c r="G357" s="327"/>
    </row>
    <row r="358" spans="3:7" s="326" customFormat="1" ht="9.9499999999999993" customHeight="1" x14ac:dyDescent="0.2">
      <c r="C358" s="327"/>
      <c r="G358" s="327"/>
    </row>
    <row r="359" spans="3:7" s="326" customFormat="1" ht="9.9499999999999993" customHeight="1" x14ac:dyDescent="0.2">
      <c r="C359" s="327"/>
      <c r="G359" s="327"/>
    </row>
    <row r="360" spans="3:7" s="326" customFormat="1" ht="9.9499999999999993" customHeight="1" x14ac:dyDescent="0.2">
      <c r="C360" s="327"/>
      <c r="G360" s="327"/>
    </row>
    <row r="361" spans="3:7" s="326" customFormat="1" ht="9.9499999999999993" customHeight="1" x14ac:dyDescent="0.2">
      <c r="C361" s="327"/>
      <c r="G361" s="327"/>
    </row>
    <row r="362" spans="3:7" s="326" customFormat="1" ht="9.9499999999999993" customHeight="1" x14ac:dyDescent="0.2">
      <c r="C362" s="327"/>
      <c r="G362" s="327"/>
    </row>
    <row r="363" spans="3:7" s="326" customFormat="1" ht="9.9499999999999993" customHeight="1" x14ac:dyDescent="0.2">
      <c r="C363" s="327"/>
      <c r="G363" s="327"/>
    </row>
    <row r="364" spans="3:7" s="326" customFormat="1" ht="9.9499999999999993" customHeight="1" x14ac:dyDescent="0.2">
      <c r="C364" s="327"/>
      <c r="G364" s="327"/>
    </row>
    <row r="365" spans="3:7" s="326" customFormat="1" ht="9.9499999999999993" customHeight="1" x14ac:dyDescent="0.2">
      <c r="C365" s="327"/>
      <c r="G365" s="327"/>
    </row>
    <row r="366" spans="3:7" s="326" customFormat="1" ht="9.9499999999999993" customHeight="1" x14ac:dyDescent="0.2">
      <c r="C366" s="327"/>
      <c r="G366" s="327"/>
    </row>
    <row r="367" spans="3:7" s="326" customFormat="1" ht="9.9499999999999993" customHeight="1" x14ac:dyDescent="0.2">
      <c r="C367" s="327"/>
      <c r="G367" s="327"/>
    </row>
    <row r="368" spans="3:7" s="326" customFormat="1" ht="9.9499999999999993" customHeight="1" x14ac:dyDescent="0.2">
      <c r="C368" s="327"/>
      <c r="G368" s="327"/>
    </row>
    <row r="369" spans="3:7" s="326" customFormat="1" ht="9.9499999999999993" customHeight="1" x14ac:dyDescent="0.2">
      <c r="C369" s="327"/>
      <c r="G369" s="327"/>
    </row>
    <row r="370" spans="3:7" s="326" customFormat="1" ht="9.9499999999999993" customHeight="1" x14ac:dyDescent="0.2">
      <c r="C370" s="327"/>
      <c r="G370" s="327"/>
    </row>
    <row r="371" spans="3:7" s="326" customFormat="1" ht="9.9499999999999993" customHeight="1" x14ac:dyDescent="0.2">
      <c r="C371" s="327"/>
      <c r="G371" s="327"/>
    </row>
    <row r="372" spans="3:7" s="326" customFormat="1" ht="9.9499999999999993" customHeight="1" x14ac:dyDescent="0.2">
      <c r="C372" s="327"/>
      <c r="G372" s="327"/>
    </row>
    <row r="373" spans="3:7" s="326" customFormat="1" ht="9.9499999999999993" customHeight="1" x14ac:dyDescent="0.2">
      <c r="C373" s="327"/>
      <c r="G373" s="327"/>
    </row>
    <row r="374" spans="3:7" s="326" customFormat="1" ht="9.9499999999999993" customHeight="1" x14ac:dyDescent="0.2">
      <c r="C374" s="327"/>
      <c r="G374" s="327"/>
    </row>
    <row r="375" spans="3:7" s="326" customFormat="1" ht="9.9499999999999993" customHeight="1" x14ac:dyDescent="0.2">
      <c r="C375" s="327"/>
      <c r="G375" s="327"/>
    </row>
    <row r="376" spans="3:7" s="326" customFormat="1" ht="9.9499999999999993" customHeight="1" x14ac:dyDescent="0.2">
      <c r="C376" s="327"/>
      <c r="G376" s="327"/>
    </row>
    <row r="377" spans="3:7" s="326" customFormat="1" ht="9.9499999999999993" customHeight="1" x14ac:dyDescent="0.2">
      <c r="C377" s="327"/>
      <c r="G377" s="327"/>
    </row>
    <row r="378" spans="3:7" s="326" customFormat="1" ht="9.9499999999999993" customHeight="1" x14ac:dyDescent="0.2">
      <c r="C378" s="327"/>
      <c r="G378" s="327"/>
    </row>
    <row r="379" spans="3:7" s="326" customFormat="1" ht="9.9499999999999993" customHeight="1" x14ac:dyDescent="0.2">
      <c r="C379" s="327"/>
      <c r="G379" s="327"/>
    </row>
    <row r="380" spans="3:7" s="326" customFormat="1" ht="9.9499999999999993" customHeight="1" x14ac:dyDescent="0.2">
      <c r="C380" s="327"/>
      <c r="G380" s="327"/>
    </row>
    <row r="381" spans="3:7" s="326" customFormat="1" ht="9.9499999999999993" customHeight="1" x14ac:dyDescent="0.2">
      <c r="C381" s="327"/>
      <c r="G381" s="327"/>
    </row>
    <row r="382" spans="3:7" s="326" customFormat="1" ht="9.9499999999999993" customHeight="1" x14ac:dyDescent="0.2">
      <c r="C382" s="327"/>
      <c r="G382" s="327"/>
    </row>
    <row r="383" spans="3:7" s="326" customFormat="1" ht="9.9499999999999993" customHeight="1" x14ac:dyDescent="0.2">
      <c r="C383" s="327"/>
      <c r="G383" s="327"/>
    </row>
    <row r="384" spans="3:7" s="326" customFormat="1" ht="9.9499999999999993" customHeight="1" x14ac:dyDescent="0.2">
      <c r="C384" s="327"/>
      <c r="G384" s="327"/>
    </row>
    <row r="385" spans="3:7" s="326" customFormat="1" ht="9.9499999999999993" customHeight="1" x14ac:dyDescent="0.2">
      <c r="C385" s="327"/>
      <c r="G385" s="327"/>
    </row>
    <row r="386" spans="3:7" s="326" customFormat="1" ht="9.9499999999999993" customHeight="1" x14ac:dyDescent="0.2">
      <c r="C386" s="327"/>
      <c r="G386" s="327"/>
    </row>
    <row r="387" spans="3:7" s="326" customFormat="1" ht="9.9499999999999993" customHeight="1" x14ac:dyDescent="0.2">
      <c r="C387" s="327"/>
      <c r="G387" s="327"/>
    </row>
    <row r="388" spans="3:7" s="326" customFormat="1" ht="9.9499999999999993" customHeight="1" x14ac:dyDescent="0.2">
      <c r="C388" s="327"/>
      <c r="G388" s="327"/>
    </row>
    <row r="389" spans="3:7" s="326" customFormat="1" ht="9.9499999999999993" customHeight="1" x14ac:dyDescent="0.2">
      <c r="C389" s="327"/>
      <c r="G389" s="327"/>
    </row>
    <row r="390" spans="3:7" s="326" customFormat="1" ht="9.9499999999999993" customHeight="1" x14ac:dyDescent="0.2">
      <c r="C390" s="327"/>
      <c r="G390" s="327"/>
    </row>
    <row r="391" spans="3:7" s="326" customFormat="1" ht="9.9499999999999993" customHeight="1" x14ac:dyDescent="0.2">
      <c r="C391" s="327"/>
      <c r="G391" s="327"/>
    </row>
    <row r="392" spans="3:7" s="326" customFormat="1" ht="9.9499999999999993" customHeight="1" x14ac:dyDescent="0.2">
      <c r="C392" s="327"/>
      <c r="G392" s="327"/>
    </row>
    <row r="393" spans="3:7" s="326" customFormat="1" ht="9.9499999999999993" customHeight="1" x14ac:dyDescent="0.2">
      <c r="C393" s="327"/>
      <c r="G393" s="327"/>
    </row>
    <row r="394" spans="3:7" s="326" customFormat="1" ht="9.9499999999999993" customHeight="1" x14ac:dyDescent="0.2">
      <c r="C394" s="327"/>
      <c r="G394" s="327"/>
    </row>
    <row r="395" spans="3:7" s="326" customFormat="1" ht="9.9499999999999993" customHeight="1" x14ac:dyDescent="0.2">
      <c r="C395" s="327"/>
      <c r="G395" s="327"/>
    </row>
    <row r="396" spans="3:7" s="326" customFormat="1" ht="9.9499999999999993" customHeight="1" x14ac:dyDescent="0.2">
      <c r="C396" s="327"/>
      <c r="G396" s="327"/>
    </row>
    <row r="397" spans="3:7" s="326" customFormat="1" ht="9.9499999999999993" customHeight="1" x14ac:dyDescent="0.2">
      <c r="C397" s="327"/>
      <c r="G397" s="327"/>
    </row>
    <row r="398" spans="3:7" s="326" customFormat="1" ht="9.9499999999999993" customHeight="1" x14ac:dyDescent="0.2">
      <c r="C398" s="327"/>
      <c r="G398" s="327"/>
    </row>
    <row r="399" spans="3:7" s="326" customFormat="1" ht="9.9499999999999993" customHeight="1" x14ac:dyDescent="0.2">
      <c r="C399" s="327"/>
      <c r="G399" s="327"/>
    </row>
    <row r="400" spans="3:7" s="326" customFormat="1" ht="9.9499999999999993" customHeight="1" x14ac:dyDescent="0.2">
      <c r="C400" s="327"/>
      <c r="G400" s="327"/>
    </row>
    <row r="401" spans="3:7" s="326" customFormat="1" ht="9.9499999999999993" customHeight="1" x14ac:dyDescent="0.2">
      <c r="C401" s="327"/>
      <c r="G401" s="327"/>
    </row>
    <row r="402" spans="3:7" s="326" customFormat="1" ht="9.9499999999999993" customHeight="1" x14ac:dyDescent="0.2">
      <c r="C402" s="327"/>
      <c r="G402" s="327"/>
    </row>
    <row r="403" spans="3:7" s="326" customFormat="1" ht="9.9499999999999993" customHeight="1" x14ac:dyDescent="0.2">
      <c r="C403" s="327"/>
      <c r="G403" s="327"/>
    </row>
    <row r="404" spans="3:7" s="326" customFormat="1" ht="9.9499999999999993" customHeight="1" x14ac:dyDescent="0.2">
      <c r="C404" s="327"/>
      <c r="G404" s="327"/>
    </row>
    <row r="405" spans="3:7" s="326" customFormat="1" ht="9.9499999999999993" customHeight="1" x14ac:dyDescent="0.2">
      <c r="C405" s="327"/>
      <c r="G405" s="327"/>
    </row>
    <row r="406" spans="3:7" s="326" customFormat="1" ht="9.9499999999999993" customHeight="1" x14ac:dyDescent="0.2">
      <c r="C406" s="327"/>
      <c r="G406" s="327"/>
    </row>
    <row r="407" spans="3:7" s="326" customFormat="1" ht="9.9499999999999993" customHeight="1" x14ac:dyDescent="0.2">
      <c r="C407" s="327"/>
      <c r="G407" s="327"/>
    </row>
    <row r="408" spans="3:7" s="326" customFormat="1" ht="9.9499999999999993" customHeight="1" x14ac:dyDescent="0.2">
      <c r="C408" s="327"/>
      <c r="G408" s="327"/>
    </row>
    <row r="409" spans="3:7" s="326" customFormat="1" ht="9.9499999999999993" customHeight="1" x14ac:dyDescent="0.2">
      <c r="C409" s="327"/>
      <c r="G409" s="327"/>
    </row>
    <row r="410" spans="3:7" s="326" customFormat="1" ht="9.9499999999999993" customHeight="1" x14ac:dyDescent="0.2">
      <c r="C410" s="327"/>
      <c r="G410" s="327"/>
    </row>
    <row r="411" spans="3:7" s="326" customFormat="1" ht="9.9499999999999993" customHeight="1" x14ac:dyDescent="0.2">
      <c r="C411" s="327"/>
      <c r="G411" s="327"/>
    </row>
    <row r="412" spans="3:7" s="326" customFormat="1" ht="9.9499999999999993" customHeight="1" x14ac:dyDescent="0.2">
      <c r="C412" s="327"/>
      <c r="G412" s="327"/>
    </row>
    <row r="413" spans="3:7" s="326" customFormat="1" ht="9.9499999999999993" customHeight="1" x14ac:dyDescent="0.2">
      <c r="C413" s="327"/>
      <c r="G413" s="327"/>
    </row>
    <row r="414" spans="3:7" s="326" customFormat="1" ht="9.9499999999999993" customHeight="1" x14ac:dyDescent="0.2">
      <c r="C414" s="327"/>
      <c r="G414" s="327"/>
    </row>
    <row r="415" spans="3:7" s="326" customFormat="1" ht="9.9499999999999993" customHeight="1" x14ac:dyDescent="0.2">
      <c r="C415" s="327"/>
      <c r="G415" s="327"/>
    </row>
    <row r="416" spans="3:7" s="326" customFormat="1" ht="9.9499999999999993" customHeight="1" x14ac:dyDescent="0.2">
      <c r="C416" s="327"/>
      <c r="G416" s="327"/>
    </row>
    <row r="417" spans="3:7" s="326" customFormat="1" ht="9.9499999999999993" customHeight="1" x14ac:dyDescent="0.2">
      <c r="C417" s="327"/>
      <c r="G417" s="327"/>
    </row>
    <row r="418" spans="3:7" s="326" customFormat="1" ht="9.9499999999999993" customHeight="1" x14ac:dyDescent="0.2">
      <c r="C418" s="327"/>
      <c r="G418" s="327"/>
    </row>
    <row r="419" spans="3:7" s="326" customFormat="1" ht="9.9499999999999993" customHeight="1" x14ac:dyDescent="0.2">
      <c r="C419" s="327"/>
      <c r="G419" s="327"/>
    </row>
    <row r="420" spans="3:7" s="326" customFormat="1" ht="9.9499999999999993" customHeight="1" x14ac:dyDescent="0.2">
      <c r="C420" s="327"/>
      <c r="G420" s="327"/>
    </row>
    <row r="421" spans="3:7" s="326" customFormat="1" ht="9.9499999999999993" customHeight="1" x14ac:dyDescent="0.2">
      <c r="C421" s="327"/>
      <c r="G421" s="327"/>
    </row>
    <row r="422" spans="3:7" s="326" customFormat="1" ht="9.9499999999999993" customHeight="1" x14ac:dyDescent="0.2">
      <c r="C422" s="327"/>
      <c r="G422" s="327"/>
    </row>
    <row r="423" spans="3:7" s="326" customFormat="1" ht="9.9499999999999993" customHeight="1" x14ac:dyDescent="0.2">
      <c r="C423" s="327"/>
      <c r="G423" s="327"/>
    </row>
    <row r="424" spans="3:7" s="326" customFormat="1" ht="9.9499999999999993" customHeight="1" x14ac:dyDescent="0.2">
      <c r="C424" s="327"/>
      <c r="G424" s="327"/>
    </row>
    <row r="425" spans="3:7" s="326" customFormat="1" ht="9.9499999999999993" customHeight="1" x14ac:dyDescent="0.2">
      <c r="C425" s="327"/>
      <c r="G425" s="327"/>
    </row>
    <row r="426" spans="3:7" s="326" customFormat="1" ht="9.9499999999999993" customHeight="1" x14ac:dyDescent="0.2">
      <c r="C426" s="327"/>
      <c r="G426" s="327"/>
    </row>
    <row r="427" spans="3:7" s="326" customFormat="1" ht="9.9499999999999993" customHeight="1" x14ac:dyDescent="0.2">
      <c r="C427" s="327"/>
      <c r="G427" s="327"/>
    </row>
    <row r="428" spans="3:7" s="326" customFormat="1" ht="9.9499999999999993" customHeight="1" x14ac:dyDescent="0.2">
      <c r="C428" s="327"/>
      <c r="G428" s="327"/>
    </row>
    <row r="429" spans="3:7" s="326" customFormat="1" ht="9.9499999999999993" customHeight="1" x14ac:dyDescent="0.2">
      <c r="C429" s="327"/>
      <c r="G429" s="327"/>
    </row>
    <row r="430" spans="3:7" s="326" customFormat="1" ht="9.9499999999999993" customHeight="1" x14ac:dyDescent="0.2">
      <c r="C430" s="327"/>
      <c r="G430" s="327"/>
    </row>
    <row r="431" spans="3:7" s="326" customFormat="1" ht="9.9499999999999993" customHeight="1" x14ac:dyDescent="0.2">
      <c r="C431" s="327"/>
      <c r="G431" s="327"/>
    </row>
    <row r="432" spans="3:7" s="326" customFormat="1" ht="9.9499999999999993" customHeight="1" x14ac:dyDescent="0.2">
      <c r="C432" s="327"/>
      <c r="G432" s="327"/>
    </row>
    <row r="433" spans="3:7" s="326" customFormat="1" ht="9.9499999999999993" customHeight="1" x14ac:dyDescent="0.2">
      <c r="C433" s="327"/>
      <c r="G433" s="327"/>
    </row>
    <row r="434" spans="3:7" s="326" customFormat="1" ht="9.9499999999999993" customHeight="1" x14ac:dyDescent="0.2">
      <c r="C434" s="327"/>
      <c r="G434" s="327"/>
    </row>
    <row r="435" spans="3:7" s="326" customFormat="1" ht="9.9499999999999993" customHeight="1" x14ac:dyDescent="0.2">
      <c r="C435" s="327"/>
      <c r="G435" s="327"/>
    </row>
    <row r="436" spans="3:7" s="326" customFormat="1" ht="9.9499999999999993" customHeight="1" x14ac:dyDescent="0.2">
      <c r="C436" s="327"/>
      <c r="G436" s="327"/>
    </row>
    <row r="437" spans="3:7" s="326" customFormat="1" ht="9.9499999999999993" customHeight="1" x14ac:dyDescent="0.2">
      <c r="C437" s="327"/>
      <c r="G437" s="327"/>
    </row>
    <row r="438" spans="3:7" s="326" customFormat="1" ht="9.9499999999999993" customHeight="1" x14ac:dyDescent="0.2">
      <c r="C438" s="327"/>
      <c r="G438" s="327"/>
    </row>
    <row r="439" spans="3:7" s="326" customFormat="1" ht="9.9499999999999993" customHeight="1" x14ac:dyDescent="0.2">
      <c r="C439" s="327"/>
      <c r="G439" s="327"/>
    </row>
    <row r="440" spans="3:7" s="326" customFormat="1" ht="9.9499999999999993" customHeight="1" x14ac:dyDescent="0.2">
      <c r="C440" s="327"/>
      <c r="G440" s="327"/>
    </row>
    <row r="441" spans="3:7" s="326" customFormat="1" ht="9.9499999999999993" customHeight="1" x14ac:dyDescent="0.2">
      <c r="C441" s="327"/>
      <c r="G441" s="327"/>
    </row>
    <row r="442" spans="3:7" s="326" customFormat="1" ht="9.9499999999999993" customHeight="1" x14ac:dyDescent="0.2">
      <c r="C442" s="327"/>
      <c r="G442" s="327"/>
    </row>
    <row r="443" spans="3:7" s="326" customFormat="1" ht="9.9499999999999993" customHeight="1" x14ac:dyDescent="0.2">
      <c r="C443" s="327"/>
      <c r="G443" s="327"/>
    </row>
    <row r="444" spans="3:7" s="326" customFormat="1" ht="9.9499999999999993" customHeight="1" x14ac:dyDescent="0.2">
      <c r="C444" s="327"/>
      <c r="G444" s="327"/>
    </row>
    <row r="445" spans="3:7" s="326" customFormat="1" ht="9.9499999999999993" customHeight="1" x14ac:dyDescent="0.2">
      <c r="C445" s="327"/>
      <c r="G445" s="327"/>
    </row>
    <row r="446" spans="3:7" s="326" customFormat="1" ht="9.9499999999999993" customHeight="1" x14ac:dyDescent="0.2">
      <c r="C446" s="327"/>
      <c r="G446" s="327"/>
    </row>
    <row r="447" spans="3:7" s="326" customFormat="1" ht="9.9499999999999993" customHeight="1" x14ac:dyDescent="0.2">
      <c r="C447" s="327"/>
      <c r="G447" s="327"/>
    </row>
    <row r="448" spans="3:7" s="326" customFormat="1" ht="9.9499999999999993" customHeight="1" x14ac:dyDescent="0.2">
      <c r="C448" s="327"/>
      <c r="G448" s="327"/>
    </row>
    <row r="449" spans="3:7" s="326" customFormat="1" ht="9.9499999999999993" customHeight="1" x14ac:dyDescent="0.2">
      <c r="C449" s="327"/>
      <c r="G449" s="327"/>
    </row>
    <row r="450" spans="3:7" s="326" customFormat="1" ht="9.9499999999999993" customHeight="1" x14ac:dyDescent="0.2">
      <c r="C450" s="327"/>
      <c r="G450" s="327"/>
    </row>
    <row r="451" spans="3:7" s="326" customFormat="1" ht="9.9499999999999993" customHeight="1" x14ac:dyDescent="0.2">
      <c r="C451" s="327"/>
      <c r="G451" s="327"/>
    </row>
    <row r="452" spans="3:7" s="326" customFormat="1" ht="9.9499999999999993" customHeight="1" x14ac:dyDescent="0.2">
      <c r="C452" s="327"/>
      <c r="G452" s="327"/>
    </row>
    <row r="453" spans="3:7" s="326" customFormat="1" ht="9.9499999999999993" customHeight="1" x14ac:dyDescent="0.2">
      <c r="C453" s="327"/>
      <c r="G453" s="327"/>
    </row>
    <row r="454" spans="3:7" s="326" customFormat="1" ht="9.9499999999999993" customHeight="1" x14ac:dyDescent="0.2">
      <c r="C454" s="327"/>
      <c r="G454" s="327"/>
    </row>
    <row r="455" spans="3:7" s="326" customFormat="1" ht="9.9499999999999993" customHeight="1" x14ac:dyDescent="0.2">
      <c r="C455" s="327"/>
      <c r="G455" s="327"/>
    </row>
    <row r="456" spans="3:7" s="326" customFormat="1" ht="9.9499999999999993" customHeight="1" x14ac:dyDescent="0.2">
      <c r="C456" s="327"/>
      <c r="G456" s="327"/>
    </row>
    <row r="457" spans="3:7" s="326" customFormat="1" ht="9.9499999999999993" customHeight="1" x14ac:dyDescent="0.2">
      <c r="C457" s="327"/>
      <c r="G457" s="327"/>
    </row>
    <row r="458" spans="3:7" s="326" customFormat="1" ht="9.9499999999999993" customHeight="1" x14ac:dyDescent="0.2">
      <c r="C458" s="327"/>
      <c r="G458" s="327"/>
    </row>
    <row r="459" spans="3:7" s="326" customFormat="1" ht="9.9499999999999993" customHeight="1" x14ac:dyDescent="0.2">
      <c r="C459" s="327"/>
      <c r="G459" s="327"/>
    </row>
    <row r="460" spans="3:7" s="326" customFormat="1" ht="9.9499999999999993" customHeight="1" x14ac:dyDescent="0.2">
      <c r="C460" s="327"/>
      <c r="G460" s="327"/>
    </row>
    <row r="461" spans="3:7" s="326" customFormat="1" ht="9.9499999999999993" customHeight="1" x14ac:dyDescent="0.2">
      <c r="C461" s="327"/>
      <c r="G461" s="327"/>
    </row>
    <row r="462" spans="3:7" s="326" customFormat="1" ht="9.9499999999999993" customHeight="1" x14ac:dyDescent="0.2">
      <c r="C462" s="327"/>
      <c r="G462" s="327"/>
    </row>
    <row r="463" spans="3:7" s="326" customFormat="1" ht="9.9499999999999993" customHeight="1" x14ac:dyDescent="0.2">
      <c r="C463" s="327"/>
      <c r="G463" s="327"/>
    </row>
    <row r="464" spans="3:7" s="326" customFormat="1" ht="9.9499999999999993" customHeight="1" x14ac:dyDescent="0.2">
      <c r="C464" s="327"/>
      <c r="G464" s="327"/>
    </row>
    <row r="465" spans="3:7" s="326" customFormat="1" ht="9.9499999999999993" customHeight="1" x14ac:dyDescent="0.2">
      <c r="C465" s="327"/>
      <c r="G465" s="327"/>
    </row>
    <row r="466" spans="3:7" s="326" customFormat="1" ht="9.9499999999999993" customHeight="1" x14ac:dyDescent="0.2">
      <c r="C466" s="327"/>
      <c r="G466" s="327"/>
    </row>
    <row r="467" spans="3:7" s="326" customFormat="1" ht="9.9499999999999993" customHeight="1" x14ac:dyDescent="0.2">
      <c r="C467" s="327"/>
      <c r="G467" s="327"/>
    </row>
    <row r="468" spans="3:7" s="326" customFormat="1" ht="9.9499999999999993" customHeight="1" x14ac:dyDescent="0.2">
      <c r="C468" s="327"/>
      <c r="G468" s="327"/>
    </row>
    <row r="469" spans="3:7" s="326" customFormat="1" ht="9.9499999999999993" customHeight="1" x14ac:dyDescent="0.2">
      <c r="C469" s="327"/>
      <c r="G469" s="327"/>
    </row>
    <row r="470" spans="3:7" s="326" customFormat="1" ht="9.9499999999999993" customHeight="1" x14ac:dyDescent="0.2">
      <c r="C470" s="327"/>
      <c r="G470" s="327"/>
    </row>
    <row r="471" spans="3:7" s="326" customFormat="1" ht="9.9499999999999993" customHeight="1" x14ac:dyDescent="0.2">
      <c r="C471" s="327"/>
      <c r="G471" s="327"/>
    </row>
    <row r="472" spans="3:7" s="326" customFormat="1" ht="9.9499999999999993" customHeight="1" x14ac:dyDescent="0.2">
      <c r="C472" s="327"/>
      <c r="G472" s="327"/>
    </row>
    <row r="473" spans="3:7" s="326" customFormat="1" ht="9.9499999999999993" customHeight="1" x14ac:dyDescent="0.2">
      <c r="C473" s="327"/>
      <c r="G473" s="327"/>
    </row>
    <row r="474" spans="3:7" s="326" customFormat="1" ht="9.9499999999999993" customHeight="1" x14ac:dyDescent="0.2">
      <c r="C474" s="327"/>
      <c r="G474" s="327"/>
    </row>
    <row r="475" spans="3:7" s="326" customFormat="1" ht="9.9499999999999993" customHeight="1" x14ac:dyDescent="0.2">
      <c r="C475" s="327"/>
      <c r="G475" s="327"/>
    </row>
    <row r="476" spans="3:7" s="326" customFormat="1" ht="9.9499999999999993" customHeight="1" x14ac:dyDescent="0.2">
      <c r="C476" s="327"/>
      <c r="G476" s="327"/>
    </row>
    <row r="477" spans="3:7" s="326" customFormat="1" ht="9.9499999999999993" customHeight="1" x14ac:dyDescent="0.2">
      <c r="C477" s="327"/>
      <c r="G477" s="327"/>
    </row>
    <row r="478" spans="3:7" s="326" customFormat="1" ht="9.9499999999999993" customHeight="1" x14ac:dyDescent="0.2">
      <c r="C478" s="327"/>
      <c r="G478" s="327"/>
    </row>
    <row r="479" spans="3:7" s="326" customFormat="1" ht="9.9499999999999993" customHeight="1" x14ac:dyDescent="0.2">
      <c r="C479" s="327"/>
      <c r="G479" s="327"/>
    </row>
    <row r="480" spans="3:7" s="326" customFormat="1" ht="9.9499999999999993" customHeight="1" x14ac:dyDescent="0.2">
      <c r="C480" s="327"/>
      <c r="G480" s="327"/>
    </row>
    <row r="481" spans="3:7" s="326" customFormat="1" ht="9.9499999999999993" customHeight="1" x14ac:dyDescent="0.2">
      <c r="C481" s="327"/>
      <c r="G481" s="327"/>
    </row>
    <row r="482" spans="3:7" s="326" customFormat="1" ht="9.9499999999999993" customHeight="1" x14ac:dyDescent="0.2">
      <c r="C482" s="327"/>
      <c r="G482" s="327"/>
    </row>
    <row r="483" spans="3:7" s="326" customFormat="1" ht="9.9499999999999993" customHeight="1" x14ac:dyDescent="0.2">
      <c r="C483" s="327"/>
      <c r="G483" s="327"/>
    </row>
    <row r="484" spans="3:7" s="326" customFormat="1" ht="9.9499999999999993" customHeight="1" x14ac:dyDescent="0.2">
      <c r="C484" s="327"/>
      <c r="G484" s="327"/>
    </row>
    <row r="485" spans="3:7" s="326" customFormat="1" ht="9.9499999999999993" customHeight="1" x14ac:dyDescent="0.2">
      <c r="C485" s="327"/>
      <c r="G485" s="327"/>
    </row>
    <row r="486" spans="3:7" s="326" customFormat="1" ht="9.9499999999999993" customHeight="1" x14ac:dyDescent="0.2">
      <c r="C486" s="327"/>
      <c r="G486" s="327"/>
    </row>
    <row r="487" spans="3:7" s="326" customFormat="1" ht="9.9499999999999993" customHeight="1" x14ac:dyDescent="0.2">
      <c r="C487" s="327"/>
      <c r="G487" s="327"/>
    </row>
    <row r="488" spans="3:7" s="326" customFormat="1" ht="9.9499999999999993" customHeight="1" x14ac:dyDescent="0.2">
      <c r="C488" s="327"/>
      <c r="G488" s="327"/>
    </row>
    <row r="489" spans="3:7" s="326" customFormat="1" ht="9.9499999999999993" customHeight="1" x14ac:dyDescent="0.2">
      <c r="C489" s="327"/>
      <c r="G489" s="327"/>
    </row>
    <row r="490" spans="3:7" s="326" customFormat="1" ht="9.9499999999999993" customHeight="1" x14ac:dyDescent="0.2">
      <c r="C490" s="327"/>
      <c r="G490" s="327"/>
    </row>
    <row r="491" spans="3:7" s="326" customFormat="1" ht="9.9499999999999993" customHeight="1" x14ac:dyDescent="0.2">
      <c r="C491" s="327"/>
      <c r="G491" s="327"/>
    </row>
    <row r="492" spans="3:7" s="326" customFormat="1" ht="9.9499999999999993" customHeight="1" x14ac:dyDescent="0.2">
      <c r="C492" s="327"/>
      <c r="G492" s="327"/>
    </row>
    <row r="493" spans="3:7" s="326" customFormat="1" ht="9.9499999999999993" customHeight="1" x14ac:dyDescent="0.2">
      <c r="C493" s="327"/>
      <c r="G493" s="327"/>
    </row>
    <row r="494" spans="3:7" s="326" customFormat="1" ht="9.9499999999999993" customHeight="1" x14ac:dyDescent="0.2">
      <c r="C494" s="327"/>
      <c r="G494" s="327"/>
    </row>
    <row r="495" spans="3:7" s="326" customFormat="1" ht="9.9499999999999993" customHeight="1" x14ac:dyDescent="0.2">
      <c r="C495" s="327"/>
      <c r="G495" s="327"/>
    </row>
    <row r="496" spans="3:7" s="326" customFormat="1" ht="9.9499999999999993" customHeight="1" x14ac:dyDescent="0.2">
      <c r="C496" s="327"/>
      <c r="G496" s="327"/>
    </row>
    <row r="497" spans="3:7" s="326" customFormat="1" ht="9.9499999999999993" customHeight="1" x14ac:dyDescent="0.2">
      <c r="C497" s="327"/>
      <c r="G497" s="327"/>
    </row>
    <row r="498" spans="3:7" s="326" customFormat="1" ht="9.9499999999999993" customHeight="1" x14ac:dyDescent="0.2">
      <c r="C498" s="327"/>
      <c r="G498" s="327"/>
    </row>
    <row r="499" spans="3:7" s="326" customFormat="1" ht="9.9499999999999993" customHeight="1" x14ac:dyDescent="0.2">
      <c r="C499" s="327"/>
      <c r="G499" s="327"/>
    </row>
    <row r="500" spans="3:7" s="326" customFormat="1" ht="9.9499999999999993" customHeight="1" x14ac:dyDescent="0.2">
      <c r="C500" s="327"/>
      <c r="G500" s="327"/>
    </row>
    <row r="501" spans="3:7" s="326" customFormat="1" ht="9.9499999999999993" customHeight="1" x14ac:dyDescent="0.2">
      <c r="C501" s="327"/>
      <c r="G501" s="327"/>
    </row>
    <row r="502" spans="3:7" s="326" customFormat="1" ht="9.9499999999999993" customHeight="1" x14ac:dyDescent="0.2">
      <c r="C502" s="327"/>
      <c r="G502" s="327"/>
    </row>
    <row r="503" spans="3:7" s="326" customFormat="1" ht="9.9499999999999993" customHeight="1" x14ac:dyDescent="0.2">
      <c r="C503" s="327"/>
      <c r="G503" s="327"/>
    </row>
    <row r="504" spans="3:7" s="326" customFormat="1" ht="9.9499999999999993" customHeight="1" x14ac:dyDescent="0.2">
      <c r="C504" s="327"/>
      <c r="G504" s="327"/>
    </row>
    <row r="505" spans="3:7" s="326" customFormat="1" ht="9.9499999999999993" customHeight="1" x14ac:dyDescent="0.2">
      <c r="C505" s="327"/>
      <c r="G505" s="327"/>
    </row>
    <row r="506" spans="3:7" s="326" customFormat="1" ht="9.9499999999999993" customHeight="1" x14ac:dyDescent="0.2">
      <c r="C506" s="327"/>
      <c r="G506" s="327"/>
    </row>
    <row r="507" spans="3:7" s="326" customFormat="1" ht="9.9499999999999993" customHeight="1" x14ac:dyDescent="0.2">
      <c r="C507" s="327"/>
      <c r="G507" s="327"/>
    </row>
    <row r="508" spans="3:7" s="326" customFormat="1" ht="9.9499999999999993" customHeight="1" x14ac:dyDescent="0.2">
      <c r="C508" s="327"/>
      <c r="G508" s="327"/>
    </row>
    <row r="509" spans="3:7" s="326" customFormat="1" ht="9.9499999999999993" customHeight="1" x14ac:dyDescent="0.2">
      <c r="C509" s="327"/>
      <c r="G509" s="327"/>
    </row>
    <row r="510" spans="3:7" s="326" customFormat="1" ht="9.9499999999999993" customHeight="1" x14ac:dyDescent="0.2">
      <c r="C510" s="327"/>
      <c r="G510" s="327"/>
    </row>
    <row r="511" spans="3:7" s="326" customFormat="1" ht="9.9499999999999993" customHeight="1" x14ac:dyDescent="0.2">
      <c r="C511" s="327"/>
      <c r="G511" s="327"/>
    </row>
    <row r="512" spans="3:7" s="326" customFormat="1" ht="9.9499999999999993" customHeight="1" x14ac:dyDescent="0.2">
      <c r="C512" s="327"/>
      <c r="G512" s="327"/>
    </row>
    <row r="513" spans="3:7" s="326" customFormat="1" ht="9.9499999999999993" customHeight="1" x14ac:dyDescent="0.2">
      <c r="C513" s="327"/>
      <c r="G513" s="327"/>
    </row>
    <row r="514" spans="3:7" s="326" customFormat="1" ht="9.9499999999999993" customHeight="1" x14ac:dyDescent="0.2">
      <c r="C514" s="327"/>
      <c r="G514" s="327"/>
    </row>
    <row r="515" spans="3:7" s="326" customFormat="1" ht="9.9499999999999993" customHeight="1" x14ac:dyDescent="0.2">
      <c r="C515" s="327"/>
      <c r="G515" s="327"/>
    </row>
    <row r="516" spans="3:7" s="326" customFormat="1" ht="9.9499999999999993" customHeight="1" x14ac:dyDescent="0.2">
      <c r="C516" s="327"/>
      <c r="G516" s="327"/>
    </row>
    <row r="517" spans="3:7" s="326" customFormat="1" ht="9.9499999999999993" customHeight="1" x14ac:dyDescent="0.2">
      <c r="C517" s="327"/>
      <c r="G517" s="327"/>
    </row>
    <row r="518" spans="3:7" s="326" customFormat="1" ht="9.9499999999999993" customHeight="1" x14ac:dyDescent="0.2">
      <c r="C518" s="327"/>
      <c r="G518" s="327"/>
    </row>
    <row r="519" spans="3:7" s="326" customFormat="1" ht="9.9499999999999993" customHeight="1" x14ac:dyDescent="0.2">
      <c r="C519" s="327"/>
      <c r="G519" s="327"/>
    </row>
    <row r="520" spans="3:7" s="326" customFormat="1" ht="9.9499999999999993" customHeight="1" x14ac:dyDescent="0.2">
      <c r="C520" s="327"/>
      <c r="G520" s="327"/>
    </row>
    <row r="521" spans="3:7" s="326" customFormat="1" ht="9.9499999999999993" customHeight="1" x14ac:dyDescent="0.2">
      <c r="C521" s="327"/>
      <c r="G521" s="327"/>
    </row>
    <row r="522" spans="3:7" s="326" customFormat="1" ht="9.9499999999999993" customHeight="1" x14ac:dyDescent="0.2">
      <c r="C522" s="327"/>
      <c r="G522" s="327"/>
    </row>
    <row r="523" spans="3:7" s="326" customFormat="1" ht="9.9499999999999993" customHeight="1" x14ac:dyDescent="0.2">
      <c r="C523" s="327"/>
      <c r="G523" s="327"/>
    </row>
    <row r="524" spans="3:7" s="326" customFormat="1" ht="9.9499999999999993" customHeight="1" x14ac:dyDescent="0.2">
      <c r="C524" s="327"/>
      <c r="G524" s="327"/>
    </row>
    <row r="525" spans="3:7" s="326" customFormat="1" ht="9.9499999999999993" customHeight="1" x14ac:dyDescent="0.2">
      <c r="C525" s="327"/>
      <c r="G525" s="327"/>
    </row>
    <row r="526" spans="3:7" s="326" customFormat="1" ht="9.9499999999999993" customHeight="1" x14ac:dyDescent="0.2">
      <c r="C526" s="327"/>
      <c r="G526" s="327"/>
    </row>
    <row r="527" spans="3:7" s="326" customFormat="1" ht="9.9499999999999993" customHeight="1" x14ac:dyDescent="0.2">
      <c r="C527" s="327"/>
      <c r="G527" s="327"/>
    </row>
    <row r="528" spans="3:7" s="326" customFormat="1" ht="9.9499999999999993" customHeight="1" x14ac:dyDescent="0.2">
      <c r="C528" s="327"/>
      <c r="G528" s="327"/>
    </row>
    <row r="529" spans="3:7" s="326" customFormat="1" ht="9.9499999999999993" customHeight="1" x14ac:dyDescent="0.2">
      <c r="C529" s="327"/>
      <c r="G529" s="327"/>
    </row>
    <row r="530" spans="3:7" s="326" customFormat="1" ht="9.9499999999999993" customHeight="1" x14ac:dyDescent="0.2">
      <c r="C530" s="327"/>
      <c r="G530" s="327"/>
    </row>
    <row r="531" spans="3:7" s="326" customFormat="1" ht="9.9499999999999993" customHeight="1" x14ac:dyDescent="0.2">
      <c r="C531" s="327"/>
      <c r="G531" s="327"/>
    </row>
    <row r="532" spans="3:7" s="326" customFormat="1" ht="9.9499999999999993" customHeight="1" x14ac:dyDescent="0.2">
      <c r="C532" s="327"/>
      <c r="G532" s="327"/>
    </row>
    <row r="533" spans="3:7" s="326" customFormat="1" ht="9.9499999999999993" customHeight="1" x14ac:dyDescent="0.2">
      <c r="C533" s="327"/>
      <c r="G533" s="327"/>
    </row>
    <row r="534" spans="3:7" s="326" customFormat="1" ht="9.9499999999999993" customHeight="1" x14ac:dyDescent="0.2">
      <c r="C534" s="327"/>
      <c r="G534" s="327"/>
    </row>
    <row r="535" spans="3:7" s="326" customFormat="1" ht="9.9499999999999993" customHeight="1" x14ac:dyDescent="0.2">
      <c r="C535" s="327"/>
      <c r="G535" s="327"/>
    </row>
    <row r="536" spans="3:7" s="326" customFormat="1" ht="9.9499999999999993" customHeight="1" x14ac:dyDescent="0.2">
      <c r="C536" s="327"/>
      <c r="G536" s="327"/>
    </row>
    <row r="537" spans="3:7" s="326" customFormat="1" ht="9.9499999999999993" customHeight="1" x14ac:dyDescent="0.2">
      <c r="C537" s="327"/>
      <c r="G537" s="327"/>
    </row>
    <row r="538" spans="3:7" s="326" customFormat="1" ht="9.9499999999999993" customHeight="1" x14ac:dyDescent="0.2">
      <c r="C538" s="327"/>
      <c r="G538" s="327"/>
    </row>
    <row r="539" spans="3:7" s="326" customFormat="1" ht="9.9499999999999993" customHeight="1" x14ac:dyDescent="0.2">
      <c r="C539" s="327"/>
      <c r="G539" s="327"/>
    </row>
    <row r="540" spans="3:7" s="326" customFormat="1" ht="9.9499999999999993" customHeight="1" x14ac:dyDescent="0.2">
      <c r="C540" s="327"/>
      <c r="G540" s="327"/>
    </row>
    <row r="541" spans="3:7" s="326" customFormat="1" ht="9.9499999999999993" customHeight="1" x14ac:dyDescent="0.2">
      <c r="C541" s="327"/>
      <c r="G541" s="327"/>
    </row>
    <row r="542" spans="3:7" s="326" customFormat="1" ht="9.9499999999999993" customHeight="1" x14ac:dyDescent="0.2">
      <c r="C542" s="327"/>
      <c r="G542" s="327"/>
    </row>
    <row r="543" spans="3:7" s="326" customFormat="1" ht="9.9499999999999993" customHeight="1" x14ac:dyDescent="0.2">
      <c r="C543" s="327"/>
      <c r="G543" s="327"/>
    </row>
    <row r="544" spans="3:7" s="326" customFormat="1" ht="9.9499999999999993" customHeight="1" x14ac:dyDescent="0.2">
      <c r="C544" s="327"/>
      <c r="G544" s="327"/>
    </row>
    <row r="545" spans="3:7" s="326" customFormat="1" ht="9.9499999999999993" customHeight="1" x14ac:dyDescent="0.2">
      <c r="C545" s="327"/>
      <c r="G545" s="327"/>
    </row>
    <row r="546" spans="3:7" s="326" customFormat="1" ht="9.9499999999999993" customHeight="1" x14ac:dyDescent="0.2">
      <c r="C546" s="327"/>
      <c r="G546" s="327"/>
    </row>
    <row r="547" spans="3:7" s="326" customFormat="1" ht="9.9499999999999993" customHeight="1" x14ac:dyDescent="0.2">
      <c r="C547" s="327"/>
      <c r="G547" s="327"/>
    </row>
    <row r="548" spans="3:7" s="326" customFormat="1" ht="9.9499999999999993" customHeight="1" x14ac:dyDescent="0.2">
      <c r="C548" s="327"/>
      <c r="G548" s="327"/>
    </row>
    <row r="549" spans="3:7" s="326" customFormat="1" ht="9.9499999999999993" customHeight="1" x14ac:dyDescent="0.2">
      <c r="C549" s="327"/>
      <c r="G549" s="327"/>
    </row>
    <row r="550" spans="3:7" s="326" customFormat="1" ht="9.9499999999999993" customHeight="1" x14ac:dyDescent="0.2">
      <c r="C550" s="327"/>
      <c r="G550" s="327"/>
    </row>
    <row r="551" spans="3:7" s="326" customFormat="1" ht="9.9499999999999993" customHeight="1" x14ac:dyDescent="0.2">
      <c r="C551" s="327"/>
      <c r="G551" s="327"/>
    </row>
    <row r="552" spans="3:7" s="326" customFormat="1" ht="9.9499999999999993" customHeight="1" x14ac:dyDescent="0.2">
      <c r="C552" s="327"/>
      <c r="G552" s="327"/>
    </row>
    <row r="553" spans="3:7" s="326" customFormat="1" ht="9.9499999999999993" customHeight="1" x14ac:dyDescent="0.2">
      <c r="C553" s="327"/>
      <c r="G553" s="327"/>
    </row>
    <row r="554" spans="3:7" s="326" customFormat="1" ht="9.9499999999999993" customHeight="1" x14ac:dyDescent="0.2">
      <c r="C554" s="327"/>
      <c r="G554" s="327"/>
    </row>
    <row r="555" spans="3:7" s="326" customFormat="1" ht="9.9499999999999993" customHeight="1" x14ac:dyDescent="0.2">
      <c r="C555" s="327"/>
      <c r="G555" s="327"/>
    </row>
    <row r="556" spans="3:7" s="326" customFormat="1" ht="9.9499999999999993" customHeight="1" x14ac:dyDescent="0.2">
      <c r="C556" s="327"/>
      <c r="G556" s="327"/>
    </row>
    <row r="557" spans="3:7" s="326" customFormat="1" ht="9.9499999999999993" customHeight="1" x14ac:dyDescent="0.2">
      <c r="C557" s="327"/>
      <c r="G557" s="327"/>
    </row>
    <row r="558" spans="3:7" s="326" customFormat="1" ht="9.9499999999999993" customHeight="1" x14ac:dyDescent="0.2">
      <c r="C558" s="327"/>
      <c r="G558" s="327"/>
    </row>
    <row r="559" spans="3:7" s="326" customFormat="1" ht="9.9499999999999993" customHeight="1" x14ac:dyDescent="0.2">
      <c r="C559" s="327"/>
      <c r="G559" s="327"/>
    </row>
    <row r="560" spans="3:7" s="326" customFormat="1" ht="9.9499999999999993" customHeight="1" x14ac:dyDescent="0.2">
      <c r="C560" s="327"/>
      <c r="G560" s="327"/>
    </row>
    <row r="561" spans="3:7" s="326" customFormat="1" ht="9.9499999999999993" customHeight="1" x14ac:dyDescent="0.2">
      <c r="C561" s="327"/>
      <c r="G561" s="327"/>
    </row>
    <row r="562" spans="3:7" s="326" customFormat="1" ht="9.9499999999999993" customHeight="1" x14ac:dyDescent="0.2">
      <c r="C562" s="327"/>
      <c r="G562" s="327"/>
    </row>
    <row r="563" spans="3:7" s="326" customFormat="1" ht="9.9499999999999993" customHeight="1" x14ac:dyDescent="0.2">
      <c r="C563" s="327"/>
      <c r="G563" s="327"/>
    </row>
    <row r="564" spans="3:7" s="326" customFormat="1" ht="9.9499999999999993" customHeight="1" x14ac:dyDescent="0.2">
      <c r="C564" s="327"/>
      <c r="G564" s="327"/>
    </row>
    <row r="565" spans="3:7" s="326" customFormat="1" ht="9.9499999999999993" customHeight="1" x14ac:dyDescent="0.2">
      <c r="C565" s="327"/>
      <c r="G565" s="327"/>
    </row>
    <row r="566" spans="3:7" s="326" customFormat="1" ht="9.9499999999999993" customHeight="1" x14ac:dyDescent="0.2">
      <c r="C566" s="327"/>
      <c r="G566" s="327"/>
    </row>
    <row r="567" spans="3:7" s="326" customFormat="1" ht="9.9499999999999993" customHeight="1" x14ac:dyDescent="0.2">
      <c r="C567" s="327"/>
      <c r="G567" s="327"/>
    </row>
    <row r="568" spans="3:7" s="326" customFormat="1" ht="9.9499999999999993" customHeight="1" x14ac:dyDescent="0.2">
      <c r="C568" s="327"/>
      <c r="G568" s="327"/>
    </row>
    <row r="569" spans="3:7" s="326" customFormat="1" ht="9.9499999999999993" customHeight="1" x14ac:dyDescent="0.2">
      <c r="C569" s="327"/>
      <c r="G569" s="327"/>
    </row>
    <row r="570" spans="3:7" s="326" customFormat="1" ht="9.9499999999999993" customHeight="1" x14ac:dyDescent="0.2">
      <c r="C570" s="327"/>
      <c r="G570" s="327"/>
    </row>
    <row r="571" spans="3:7" s="326" customFormat="1" ht="9.9499999999999993" customHeight="1" x14ac:dyDescent="0.2">
      <c r="C571" s="327"/>
      <c r="G571" s="327"/>
    </row>
    <row r="572" spans="3:7" s="326" customFormat="1" ht="9.9499999999999993" customHeight="1" x14ac:dyDescent="0.2">
      <c r="C572" s="327"/>
      <c r="G572" s="327"/>
    </row>
    <row r="573" spans="3:7" s="326" customFormat="1" ht="9.9499999999999993" customHeight="1" x14ac:dyDescent="0.2">
      <c r="C573" s="327"/>
      <c r="G573" s="327"/>
    </row>
    <row r="574" spans="3:7" s="326" customFormat="1" ht="9.9499999999999993" customHeight="1" x14ac:dyDescent="0.2">
      <c r="C574" s="327"/>
      <c r="G574" s="327"/>
    </row>
    <row r="575" spans="3:7" s="326" customFormat="1" ht="9.9499999999999993" customHeight="1" x14ac:dyDescent="0.2">
      <c r="C575" s="327"/>
      <c r="G575" s="327"/>
    </row>
    <row r="576" spans="3:7" s="326" customFormat="1" ht="9.9499999999999993" customHeight="1" x14ac:dyDescent="0.2">
      <c r="C576" s="327"/>
      <c r="G576" s="327"/>
    </row>
    <row r="577" spans="3:7" s="326" customFormat="1" ht="9.9499999999999993" customHeight="1" x14ac:dyDescent="0.2">
      <c r="C577" s="327"/>
      <c r="G577" s="327"/>
    </row>
    <row r="578" spans="3:7" s="326" customFormat="1" ht="9.9499999999999993" customHeight="1" x14ac:dyDescent="0.2">
      <c r="C578" s="327"/>
      <c r="G578" s="327"/>
    </row>
    <row r="579" spans="3:7" s="326" customFormat="1" ht="9.9499999999999993" customHeight="1" x14ac:dyDescent="0.2">
      <c r="C579" s="327"/>
      <c r="G579" s="327"/>
    </row>
    <row r="580" spans="3:7" s="326" customFormat="1" ht="9.9499999999999993" customHeight="1" x14ac:dyDescent="0.2">
      <c r="C580" s="327"/>
      <c r="G580" s="327"/>
    </row>
    <row r="581" spans="3:7" s="326" customFormat="1" ht="9.9499999999999993" customHeight="1" x14ac:dyDescent="0.2">
      <c r="C581" s="327"/>
      <c r="G581" s="327"/>
    </row>
    <row r="582" spans="3:7" s="326" customFormat="1" ht="9.9499999999999993" customHeight="1" x14ac:dyDescent="0.2">
      <c r="C582" s="327"/>
      <c r="G582" s="327"/>
    </row>
    <row r="583" spans="3:7" s="326" customFormat="1" ht="9.9499999999999993" customHeight="1" x14ac:dyDescent="0.2">
      <c r="C583" s="327"/>
      <c r="G583" s="327"/>
    </row>
    <row r="584" spans="3:7" s="326" customFormat="1" ht="9.9499999999999993" customHeight="1" x14ac:dyDescent="0.2">
      <c r="C584" s="327"/>
      <c r="G584" s="327"/>
    </row>
    <row r="585" spans="3:7" s="326" customFormat="1" ht="9.9499999999999993" customHeight="1" x14ac:dyDescent="0.2">
      <c r="C585" s="327"/>
      <c r="G585" s="327"/>
    </row>
    <row r="586" spans="3:7" s="326" customFormat="1" ht="9.9499999999999993" customHeight="1" x14ac:dyDescent="0.2">
      <c r="C586" s="327"/>
      <c r="G586" s="327"/>
    </row>
    <row r="587" spans="3:7" s="326" customFormat="1" ht="9.9499999999999993" customHeight="1" x14ac:dyDescent="0.2">
      <c r="C587" s="327"/>
      <c r="G587" s="327"/>
    </row>
    <row r="588" spans="3:7" s="326" customFormat="1" ht="9.9499999999999993" customHeight="1" x14ac:dyDescent="0.2">
      <c r="C588" s="327"/>
      <c r="G588" s="327"/>
    </row>
    <row r="589" spans="3:7" s="326" customFormat="1" ht="9.9499999999999993" customHeight="1" x14ac:dyDescent="0.2">
      <c r="C589" s="327"/>
      <c r="G589" s="327"/>
    </row>
    <row r="590" spans="3:7" s="326" customFormat="1" ht="9.9499999999999993" customHeight="1" x14ac:dyDescent="0.2">
      <c r="C590" s="327"/>
      <c r="G590" s="327"/>
    </row>
    <row r="591" spans="3:7" s="326" customFormat="1" ht="9.9499999999999993" customHeight="1" x14ac:dyDescent="0.2">
      <c r="C591" s="327"/>
      <c r="G591" s="327"/>
    </row>
    <row r="592" spans="3:7" s="326" customFormat="1" ht="9.9499999999999993" customHeight="1" x14ac:dyDescent="0.2">
      <c r="C592" s="327"/>
      <c r="G592" s="327"/>
    </row>
    <row r="593" spans="3:7" s="326" customFormat="1" ht="9.9499999999999993" customHeight="1" x14ac:dyDescent="0.2">
      <c r="C593" s="327"/>
      <c r="G593" s="327"/>
    </row>
    <row r="594" spans="3:7" s="326" customFormat="1" ht="9.9499999999999993" customHeight="1" x14ac:dyDescent="0.2">
      <c r="C594" s="327"/>
      <c r="G594" s="327"/>
    </row>
    <row r="595" spans="3:7" s="326" customFormat="1" ht="9.9499999999999993" customHeight="1" x14ac:dyDescent="0.2">
      <c r="C595" s="327"/>
      <c r="G595" s="327"/>
    </row>
    <row r="596" spans="3:7" s="326" customFormat="1" ht="9.9499999999999993" customHeight="1" x14ac:dyDescent="0.2">
      <c r="C596" s="327"/>
      <c r="G596" s="327"/>
    </row>
    <row r="597" spans="3:7" s="326" customFormat="1" ht="9.9499999999999993" customHeight="1" x14ac:dyDescent="0.2">
      <c r="C597" s="327"/>
      <c r="G597" s="327"/>
    </row>
    <row r="598" spans="3:7" s="326" customFormat="1" ht="9.9499999999999993" customHeight="1" x14ac:dyDescent="0.2">
      <c r="C598" s="327"/>
      <c r="G598" s="327"/>
    </row>
    <row r="599" spans="3:7" s="326" customFormat="1" ht="9.9499999999999993" customHeight="1" x14ac:dyDescent="0.2">
      <c r="C599" s="327"/>
      <c r="G599" s="327"/>
    </row>
    <row r="600" spans="3:7" s="326" customFormat="1" ht="9.9499999999999993" customHeight="1" x14ac:dyDescent="0.2">
      <c r="C600" s="327"/>
      <c r="G600" s="327"/>
    </row>
    <row r="601" spans="3:7" s="326" customFormat="1" ht="9.9499999999999993" customHeight="1" x14ac:dyDescent="0.2">
      <c r="C601" s="327"/>
      <c r="G601" s="327"/>
    </row>
    <row r="602" spans="3:7" s="326" customFormat="1" ht="9.9499999999999993" customHeight="1" x14ac:dyDescent="0.2">
      <c r="C602" s="327"/>
      <c r="G602" s="327"/>
    </row>
    <row r="603" spans="3:7" s="326" customFormat="1" ht="9.9499999999999993" customHeight="1" x14ac:dyDescent="0.2">
      <c r="C603" s="327"/>
      <c r="G603" s="327"/>
    </row>
    <row r="604" spans="3:7" s="326" customFormat="1" ht="9.9499999999999993" customHeight="1" x14ac:dyDescent="0.2">
      <c r="C604" s="327"/>
      <c r="G604" s="327"/>
    </row>
    <row r="605" spans="3:7" s="326" customFormat="1" ht="9.9499999999999993" customHeight="1" x14ac:dyDescent="0.2">
      <c r="C605" s="327"/>
      <c r="G605" s="327"/>
    </row>
    <row r="606" spans="3:7" s="326" customFormat="1" ht="9.9499999999999993" customHeight="1" x14ac:dyDescent="0.2">
      <c r="C606" s="327"/>
      <c r="G606" s="327"/>
    </row>
    <row r="607" spans="3:7" s="326" customFormat="1" ht="9.9499999999999993" customHeight="1" x14ac:dyDescent="0.2">
      <c r="C607" s="327"/>
      <c r="G607" s="327"/>
    </row>
    <row r="608" spans="3:7" s="326" customFormat="1" ht="9.9499999999999993" customHeight="1" x14ac:dyDescent="0.2">
      <c r="C608" s="327"/>
      <c r="G608" s="327"/>
    </row>
    <row r="609" spans="3:7" s="326" customFormat="1" ht="9.9499999999999993" customHeight="1" x14ac:dyDescent="0.2">
      <c r="C609" s="327"/>
      <c r="G609" s="327"/>
    </row>
    <row r="610" spans="3:7" s="326" customFormat="1" ht="9.9499999999999993" customHeight="1" x14ac:dyDescent="0.2">
      <c r="C610" s="327"/>
      <c r="G610" s="327"/>
    </row>
    <row r="611" spans="3:7" s="326" customFormat="1" ht="9.9499999999999993" customHeight="1" x14ac:dyDescent="0.2">
      <c r="C611" s="327"/>
      <c r="G611" s="327"/>
    </row>
    <row r="612" spans="3:7" s="326" customFormat="1" ht="9.9499999999999993" customHeight="1" x14ac:dyDescent="0.2">
      <c r="C612" s="327"/>
      <c r="G612" s="327"/>
    </row>
    <row r="613" spans="3:7" s="326" customFormat="1" ht="9.9499999999999993" customHeight="1" x14ac:dyDescent="0.2">
      <c r="C613" s="327"/>
      <c r="G613" s="327"/>
    </row>
    <row r="614" spans="3:7" s="326" customFormat="1" ht="9.9499999999999993" customHeight="1" x14ac:dyDescent="0.2">
      <c r="C614" s="327"/>
      <c r="G614" s="327"/>
    </row>
    <row r="615" spans="3:7" s="326" customFormat="1" ht="9.9499999999999993" customHeight="1" x14ac:dyDescent="0.2">
      <c r="C615" s="327"/>
      <c r="G615" s="327"/>
    </row>
    <row r="616" spans="3:7" s="326" customFormat="1" ht="9.9499999999999993" customHeight="1" x14ac:dyDescent="0.2">
      <c r="C616" s="327"/>
      <c r="G616" s="327"/>
    </row>
    <row r="617" spans="3:7" s="326" customFormat="1" ht="9.9499999999999993" customHeight="1" x14ac:dyDescent="0.2">
      <c r="C617" s="327"/>
      <c r="G617" s="327"/>
    </row>
    <row r="618" spans="3:7" s="326" customFormat="1" ht="9.9499999999999993" customHeight="1" x14ac:dyDescent="0.2">
      <c r="C618" s="327"/>
      <c r="G618" s="327"/>
    </row>
    <row r="619" spans="3:7" s="326" customFormat="1" ht="9.9499999999999993" customHeight="1" x14ac:dyDescent="0.2">
      <c r="C619" s="327"/>
      <c r="G619" s="327"/>
    </row>
    <row r="620" spans="3:7" s="326" customFormat="1" ht="9.9499999999999993" customHeight="1" x14ac:dyDescent="0.2">
      <c r="C620" s="327"/>
      <c r="G620" s="327"/>
    </row>
    <row r="621" spans="3:7" s="326" customFormat="1" ht="9.9499999999999993" customHeight="1" x14ac:dyDescent="0.2">
      <c r="C621" s="327"/>
      <c r="G621" s="327"/>
    </row>
    <row r="622" spans="3:7" s="326" customFormat="1" ht="9.9499999999999993" customHeight="1" x14ac:dyDescent="0.2">
      <c r="C622" s="327"/>
      <c r="G622" s="327"/>
    </row>
    <row r="623" spans="3:7" s="326" customFormat="1" ht="9.9499999999999993" customHeight="1" x14ac:dyDescent="0.2">
      <c r="C623" s="327"/>
      <c r="G623" s="327"/>
    </row>
    <row r="624" spans="3:7" s="326" customFormat="1" ht="9.9499999999999993" customHeight="1" x14ac:dyDescent="0.2">
      <c r="C624" s="327"/>
      <c r="G624" s="327"/>
    </row>
    <row r="625" spans="3:7" s="326" customFormat="1" ht="9.9499999999999993" customHeight="1" x14ac:dyDescent="0.2">
      <c r="C625" s="327"/>
      <c r="G625" s="327"/>
    </row>
    <row r="626" spans="3:7" s="326" customFormat="1" ht="9.9499999999999993" customHeight="1" x14ac:dyDescent="0.2">
      <c r="C626" s="327"/>
      <c r="G626" s="327"/>
    </row>
    <row r="627" spans="3:7" s="326" customFormat="1" ht="9.9499999999999993" customHeight="1" x14ac:dyDescent="0.2">
      <c r="C627" s="327"/>
      <c r="G627" s="327"/>
    </row>
    <row r="628" spans="3:7" s="326" customFormat="1" ht="9.9499999999999993" customHeight="1" x14ac:dyDescent="0.2">
      <c r="C628" s="327"/>
      <c r="G628" s="327"/>
    </row>
    <row r="629" spans="3:7" s="326" customFormat="1" ht="9.9499999999999993" customHeight="1" x14ac:dyDescent="0.2">
      <c r="C629" s="327"/>
      <c r="G629" s="327"/>
    </row>
    <row r="630" spans="3:7" s="326" customFormat="1" ht="9.9499999999999993" customHeight="1" x14ac:dyDescent="0.2">
      <c r="C630" s="327"/>
      <c r="G630" s="327"/>
    </row>
    <row r="631" spans="3:7" s="326" customFormat="1" ht="9.9499999999999993" customHeight="1" x14ac:dyDescent="0.2">
      <c r="C631" s="327"/>
      <c r="G631" s="327"/>
    </row>
    <row r="632" spans="3:7" s="326" customFormat="1" ht="9.9499999999999993" customHeight="1" x14ac:dyDescent="0.2">
      <c r="C632" s="327"/>
      <c r="G632" s="327"/>
    </row>
    <row r="633" spans="3:7" s="326" customFormat="1" ht="9.9499999999999993" customHeight="1" x14ac:dyDescent="0.2">
      <c r="C633" s="327"/>
      <c r="G633" s="327"/>
    </row>
    <row r="634" spans="3:7" s="326" customFormat="1" ht="9.9499999999999993" customHeight="1" x14ac:dyDescent="0.2">
      <c r="C634" s="327"/>
      <c r="G634" s="327"/>
    </row>
    <row r="635" spans="3:7" s="326" customFormat="1" ht="9.9499999999999993" customHeight="1" x14ac:dyDescent="0.2">
      <c r="C635" s="327"/>
      <c r="G635" s="327"/>
    </row>
    <row r="636" spans="3:7" s="326" customFormat="1" ht="9.9499999999999993" customHeight="1" x14ac:dyDescent="0.2">
      <c r="C636" s="327"/>
      <c r="G636" s="327"/>
    </row>
    <row r="637" spans="3:7" s="326" customFormat="1" ht="9.9499999999999993" customHeight="1" x14ac:dyDescent="0.2">
      <c r="C637" s="327"/>
      <c r="G637" s="327"/>
    </row>
    <row r="638" spans="3:7" s="326" customFormat="1" ht="9.9499999999999993" customHeight="1" x14ac:dyDescent="0.2">
      <c r="C638" s="327"/>
      <c r="G638" s="327"/>
    </row>
    <row r="639" spans="3:7" s="326" customFormat="1" ht="9.9499999999999993" customHeight="1" x14ac:dyDescent="0.2">
      <c r="C639" s="327"/>
      <c r="G639" s="327"/>
    </row>
    <row r="640" spans="3:7" s="326" customFormat="1" ht="9.9499999999999993" customHeight="1" x14ac:dyDescent="0.2">
      <c r="C640" s="327"/>
      <c r="G640" s="327"/>
    </row>
    <row r="641" spans="3:7" s="326" customFormat="1" ht="9.9499999999999993" customHeight="1" x14ac:dyDescent="0.2">
      <c r="C641" s="327"/>
      <c r="G641" s="327"/>
    </row>
    <row r="642" spans="3:7" s="326" customFormat="1" ht="9.9499999999999993" customHeight="1" x14ac:dyDescent="0.2">
      <c r="C642" s="327"/>
      <c r="G642" s="327"/>
    </row>
    <row r="643" spans="3:7" s="326" customFormat="1" ht="9.9499999999999993" customHeight="1" x14ac:dyDescent="0.2">
      <c r="C643" s="327"/>
      <c r="G643" s="327"/>
    </row>
    <row r="644" spans="3:7" s="326" customFormat="1" ht="9.9499999999999993" customHeight="1" x14ac:dyDescent="0.2">
      <c r="C644" s="327"/>
      <c r="G644" s="327"/>
    </row>
    <row r="645" spans="3:7" s="326" customFormat="1" ht="9.9499999999999993" customHeight="1" x14ac:dyDescent="0.2">
      <c r="C645" s="327"/>
      <c r="G645" s="327"/>
    </row>
    <row r="646" spans="3:7" s="326" customFormat="1" ht="9.9499999999999993" customHeight="1" x14ac:dyDescent="0.2">
      <c r="C646" s="327"/>
      <c r="G646" s="327"/>
    </row>
    <row r="647" spans="3:7" s="326" customFormat="1" ht="9.9499999999999993" customHeight="1" x14ac:dyDescent="0.2">
      <c r="C647" s="327"/>
      <c r="G647" s="327"/>
    </row>
    <row r="648" spans="3:7" s="326" customFormat="1" ht="9.9499999999999993" customHeight="1" x14ac:dyDescent="0.2">
      <c r="C648" s="327"/>
      <c r="G648" s="327"/>
    </row>
    <row r="649" spans="3:7" s="326" customFormat="1" ht="9.9499999999999993" customHeight="1" x14ac:dyDescent="0.2">
      <c r="C649" s="327"/>
      <c r="G649" s="327"/>
    </row>
    <row r="650" spans="3:7" s="326" customFormat="1" ht="9.9499999999999993" customHeight="1" x14ac:dyDescent="0.2">
      <c r="C650" s="327"/>
      <c r="G650" s="327"/>
    </row>
    <row r="651" spans="3:7" s="326" customFormat="1" ht="9.9499999999999993" customHeight="1" x14ac:dyDescent="0.2">
      <c r="C651" s="327"/>
      <c r="G651" s="327"/>
    </row>
    <row r="652" spans="3:7" s="326" customFormat="1" ht="9.9499999999999993" customHeight="1" x14ac:dyDescent="0.2">
      <c r="C652" s="327"/>
      <c r="G652" s="327"/>
    </row>
    <row r="653" spans="3:7" s="326" customFormat="1" ht="9.9499999999999993" customHeight="1" x14ac:dyDescent="0.2">
      <c r="C653" s="327"/>
      <c r="G653" s="327"/>
    </row>
    <row r="654" spans="3:7" s="326" customFormat="1" ht="9.9499999999999993" customHeight="1" x14ac:dyDescent="0.2">
      <c r="C654" s="327"/>
      <c r="G654" s="327"/>
    </row>
    <row r="655" spans="3:7" s="326" customFormat="1" ht="9.9499999999999993" customHeight="1" x14ac:dyDescent="0.2">
      <c r="C655" s="327"/>
      <c r="G655" s="327"/>
    </row>
    <row r="656" spans="3:7" s="326" customFormat="1" ht="9.9499999999999993" customHeight="1" x14ac:dyDescent="0.2">
      <c r="C656" s="327"/>
      <c r="G656" s="327"/>
    </row>
    <row r="657" spans="3:7" s="326" customFormat="1" ht="9.9499999999999993" customHeight="1" x14ac:dyDescent="0.2">
      <c r="C657" s="327"/>
      <c r="G657" s="327"/>
    </row>
    <row r="658" spans="3:7" s="326" customFormat="1" ht="9.9499999999999993" customHeight="1" x14ac:dyDescent="0.2">
      <c r="C658" s="327"/>
      <c r="G658" s="327"/>
    </row>
    <row r="659" spans="3:7" s="326" customFormat="1" ht="9.9499999999999993" customHeight="1" x14ac:dyDescent="0.2">
      <c r="C659" s="327"/>
      <c r="G659" s="327"/>
    </row>
    <row r="660" spans="3:7" s="326" customFormat="1" ht="9.9499999999999993" customHeight="1" x14ac:dyDescent="0.2">
      <c r="C660" s="327"/>
      <c r="G660" s="327"/>
    </row>
    <row r="661" spans="3:7" s="326" customFormat="1" ht="9.9499999999999993" customHeight="1" x14ac:dyDescent="0.2">
      <c r="C661" s="327"/>
      <c r="G661" s="327"/>
    </row>
    <row r="662" spans="3:7" s="326" customFormat="1" ht="9.9499999999999993" customHeight="1" x14ac:dyDescent="0.2">
      <c r="C662" s="327"/>
      <c r="G662" s="327"/>
    </row>
    <row r="663" spans="3:7" s="326" customFormat="1" ht="9.9499999999999993" customHeight="1" x14ac:dyDescent="0.2">
      <c r="C663" s="327"/>
      <c r="G663" s="327"/>
    </row>
    <row r="664" spans="3:7" s="326" customFormat="1" ht="9.9499999999999993" customHeight="1" x14ac:dyDescent="0.2">
      <c r="C664" s="327"/>
      <c r="G664" s="327"/>
    </row>
    <row r="665" spans="3:7" s="326" customFormat="1" ht="9.9499999999999993" customHeight="1" x14ac:dyDescent="0.2">
      <c r="C665" s="327"/>
      <c r="G665" s="327"/>
    </row>
    <row r="666" spans="3:7" s="326" customFormat="1" ht="9.9499999999999993" customHeight="1" x14ac:dyDescent="0.2">
      <c r="C666" s="327"/>
      <c r="G666" s="327"/>
    </row>
    <row r="667" spans="3:7" s="326" customFormat="1" ht="9.9499999999999993" customHeight="1" x14ac:dyDescent="0.2">
      <c r="C667" s="327"/>
      <c r="G667" s="327"/>
    </row>
    <row r="668" spans="3:7" s="326" customFormat="1" ht="9.9499999999999993" customHeight="1" x14ac:dyDescent="0.2">
      <c r="C668" s="327"/>
      <c r="G668" s="327"/>
    </row>
    <row r="669" spans="3:7" s="326" customFormat="1" ht="9.9499999999999993" customHeight="1" x14ac:dyDescent="0.2">
      <c r="C669" s="327"/>
      <c r="G669" s="327"/>
    </row>
    <row r="670" spans="3:7" s="326" customFormat="1" ht="9.9499999999999993" customHeight="1" x14ac:dyDescent="0.2">
      <c r="C670" s="327"/>
      <c r="G670" s="327"/>
    </row>
    <row r="671" spans="3:7" s="326" customFormat="1" ht="9.9499999999999993" customHeight="1" x14ac:dyDescent="0.2">
      <c r="C671" s="327"/>
      <c r="G671" s="327"/>
    </row>
    <row r="672" spans="3:7" s="326" customFormat="1" ht="9.9499999999999993" customHeight="1" x14ac:dyDescent="0.2">
      <c r="C672" s="327"/>
      <c r="G672" s="327"/>
    </row>
    <row r="673" spans="3:7" s="326" customFormat="1" ht="9.9499999999999993" customHeight="1" x14ac:dyDescent="0.2">
      <c r="C673" s="327"/>
      <c r="G673" s="327"/>
    </row>
    <row r="674" spans="3:7" s="326" customFormat="1" ht="9.9499999999999993" customHeight="1" x14ac:dyDescent="0.2">
      <c r="C674" s="327"/>
      <c r="G674" s="327"/>
    </row>
    <row r="675" spans="3:7" s="326" customFormat="1" ht="9.9499999999999993" customHeight="1" x14ac:dyDescent="0.2">
      <c r="C675" s="327"/>
      <c r="G675" s="327"/>
    </row>
    <row r="676" spans="3:7" s="326" customFormat="1" ht="9.9499999999999993" customHeight="1" x14ac:dyDescent="0.2">
      <c r="C676" s="327"/>
      <c r="G676" s="327"/>
    </row>
    <row r="677" spans="3:7" s="326" customFormat="1" ht="9.9499999999999993" customHeight="1" x14ac:dyDescent="0.2">
      <c r="C677" s="327"/>
      <c r="G677" s="327"/>
    </row>
    <row r="678" spans="3:7" s="326" customFormat="1" ht="9.9499999999999993" customHeight="1" x14ac:dyDescent="0.2">
      <c r="C678" s="327"/>
      <c r="G678" s="327"/>
    </row>
    <row r="679" spans="3:7" s="326" customFormat="1" ht="9.9499999999999993" customHeight="1" x14ac:dyDescent="0.2">
      <c r="C679" s="327"/>
      <c r="G679" s="327"/>
    </row>
    <row r="680" spans="3:7" s="326" customFormat="1" ht="9.9499999999999993" customHeight="1" x14ac:dyDescent="0.2">
      <c r="C680" s="327"/>
      <c r="G680" s="327"/>
    </row>
    <row r="681" spans="3:7" s="326" customFormat="1" ht="9.9499999999999993" customHeight="1" x14ac:dyDescent="0.2">
      <c r="C681" s="327"/>
      <c r="G681" s="327"/>
    </row>
    <row r="682" spans="3:7" s="326" customFormat="1" ht="9.9499999999999993" customHeight="1" x14ac:dyDescent="0.2">
      <c r="C682" s="327"/>
      <c r="G682" s="327"/>
    </row>
    <row r="683" spans="3:7" s="326" customFormat="1" ht="9.9499999999999993" customHeight="1" x14ac:dyDescent="0.2">
      <c r="C683" s="327"/>
      <c r="G683" s="327"/>
    </row>
    <row r="684" spans="3:7" s="326" customFormat="1" ht="9.9499999999999993" customHeight="1" x14ac:dyDescent="0.2">
      <c r="C684" s="327"/>
      <c r="G684" s="327"/>
    </row>
    <row r="685" spans="3:7" s="326" customFormat="1" ht="9.9499999999999993" customHeight="1" x14ac:dyDescent="0.2">
      <c r="C685" s="327"/>
      <c r="G685" s="327"/>
    </row>
    <row r="686" spans="3:7" s="326" customFormat="1" ht="9.9499999999999993" customHeight="1" x14ac:dyDescent="0.2">
      <c r="C686" s="327"/>
      <c r="G686" s="327"/>
    </row>
    <row r="687" spans="3:7" s="326" customFormat="1" ht="9.9499999999999993" customHeight="1" x14ac:dyDescent="0.2">
      <c r="C687" s="327"/>
      <c r="G687" s="327"/>
    </row>
    <row r="688" spans="3:7" s="326" customFormat="1" ht="9.9499999999999993" customHeight="1" x14ac:dyDescent="0.2">
      <c r="C688" s="327"/>
      <c r="G688" s="327"/>
    </row>
    <row r="689" spans="3:7" s="326" customFormat="1" ht="9.9499999999999993" customHeight="1" x14ac:dyDescent="0.2">
      <c r="C689" s="327"/>
      <c r="G689" s="327"/>
    </row>
    <row r="690" spans="3:7" s="326" customFormat="1" ht="9.9499999999999993" customHeight="1" x14ac:dyDescent="0.2">
      <c r="C690" s="327"/>
      <c r="G690" s="327"/>
    </row>
    <row r="691" spans="3:7" s="326" customFormat="1" ht="9.9499999999999993" customHeight="1" x14ac:dyDescent="0.2">
      <c r="C691" s="327"/>
      <c r="G691" s="327"/>
    </row>
    <row r="692" spans="3:7" s="326" customFormat="1" ht="9.9499999999999993" customHeight="1" x14ac:dyDescent="0.2">
      <c r="C692" s="327"/>
      <c r="G692" s="327"/>
    </row>
    <row r="693" spans="3:7" s="326" customFormat="1" ht="9.9499999999999993" customHeight="1" x14ac:dyDescent="0.2">
      <c r="C693" s="327"/>
      <c r="G693" s="327"/>
    </row>
    <row r="694" spans="3:7" s="326" customFormat="1" ht="9.9499999999999993" customHeight="1" x14ac:dyDescent="0.2">
      <c r="C694" s="327"/>
      <c r="G694" s="327"/>
    </row>
    <row r="695" spans="3:7" s="326" customFormat="1" ht="9.9499999999999993" customHeight="1" x14ac:dyDescent="0.2">
      <c r="C695" s="327"/>
      <c r="G695" s="327"/>
    </row>
    <row r="696" spans="3:7" s="326" customFormat="1" ht="9.9499999999999993" customHeight="1" x14ac:dyDescent="0.2">
      <c r="C696" s="327"/>
      <c r="G696" s="327"/>
    </row>
    <row r="697" spans="3:7" s="326" customFormat="1" ht="9.9499999999999993" customHeight="1" x14ac:dyDescent="0.2">
      <c r="C697" s="327"/>
      <c r="G697" s="327"/>
    </row>
    <row r="698" spans="3:7" s="326" customFormat="1" ht="9.9499999999999993" customHeight="1" x14ac:dyDescent="0.2">
      <c r="C698" s="327"/>
      <c r="G698" s="327"/>
    </row>
    <row r="699" spans="3:7" s="326" customFormat="1" ht="9.9499999999999993" customHeight="1" x14ac:dyDescent="0.2">
      <c r="C699" s="327"/>
      <c r="G699" s="327"/>
    </row>
    <row r="700" spans="3:7" s="326" customFormat="1" ht="9.9499999999999993" customHeight="1" x14ac:dyDescent="0.2">
      <c r="C700" s="327"/>
      <c r="G700" s="327"/>
    </row>
    <row r="701" spans="3:7" s="326" customFormat="1" ht="9.9499999999999993" customHeight="1" x14ac:dyDescent="0.2">
      <c r="C701" s="327"/>
      <c r="G701" s="327"/>
    </row>
    <row r="702" spans="3:7" s="326" customFormat="1" ht="9.9499999999999993" customHeight="1" x14ac:dyDescent="0.2">
      <c r="C702" s="327"/>
      <c r="G702" s="327"/>
    </row>
    <row r="703" spans="3:7" s="326" customFormat="1" ht="9.9499999999999993" customHeight="1" x14ac:dyDescent="0.2">
      <c r="C703" s="327"/>
      <c r="G703" s="327"/>
    </row>
    <row r="704" spans="3:7" s="326" customFormat="1" ht="9.9499999999999993" customHeight="1" x14ac:dyDescent="0.2">
      <c r="C704" s="327"/>
      <c r="G704" s="327"/>
    </row>
    <row r="705" spans="3:7" s="326" customFormat="1" ht="9.9499999999999993" customHeight="1" x14ac:dyDescent="0.2">
      <c r="C705" s="327"/>
      <c r="G705" s="327"/>
    </row>
    <row r="706" spans="3:7" s="326" customFormat="1" ht="9.9499999999999993" customHeight="1" x14ac:dyDescent="0.2">
      <c r="C706" s="327"/>
      <c r="G706" s="327"/>
    </row>
    <row r="707" spans="3:7" s="326" customFormat="1" ht="9.9499999999999993" customHeight="1" x14ac:dyDescent="0.2">
      <c r="C707" s="327"/>
      <c r="G707" s="327"/>
    </row>
    <row r="708" spans="3:7" s="326" customFormat="1" ht="9.9499999999999993" customHeight="1" x14ac:dyDescent="0.2">
      <c r="C708" s="327"/>
      <c r="G708" s="327"/>
    </row>
    <row r="709" spans="3:7" s="326" customFormat="1" ht="9.9499999999999993" customHeight="1" x14ac:dyDescent="0.2">
      <c r="C709" s="327"/>
      <c r="G709" s="327"/>
    </row>
    <row r="710" spans="3:7" s="326" customFormat="1" ht="9.9499999999999993" customHeight="1" x14ac:dyDescent="0.2">
      <c r="C710" s="327"/>
      <c r="G710" s="327"/>
    </row>
    <row r="711" spans="3:7" s="326" customFormat="1" ht="9.9499999999999993" customHeight="1" x14ac:dyDescent="0.2">
      <c r="C711" s="327"/>
      <c r="G711" s="327"/>
    </row>
    <row r="712" spans="3:7" s="326" customFormat="1" ht="9.9499999999999993" customHeight="1" x14ac:dyDescent="0.2">
      <c r="C712" s="327"/>
      <c r="G712" s="327"/>
    </row>
    <row r="713" spans="3:7" s="326" customFormat="1" ht="9.9499999999999993" customHeight="1" x14ac:dyDescent="0.2">
      <c r="C713" s="327"/>
      <c r="G713" s="327"/>
    </row>
    <row r="714" spans="3:7" s="326" customFormat="1" ht="9.9499999999999993" customHeight="1" x14ac:dyDescent="0.2">
      <c r="C714" s="327"/>
      <c r="G714" s="327"/>
    </row>
    <row r="715" spans="3:7" s="326" customFormat="1" ht="9.9499999999999993" customHeight="1" x14ac:dyDescent="0.2">
      <c r="C715" s="327"/>
      <c r="G715" s="327"/>
    </row>
    <row r="716" spans="3:7" s="326" customFormat="1" ht="9.9499999999999993" customHeight="1" x14ac:dyDescent="0.2">
      <c r="C716" s="327"/>
      <c r="G716" s="327"/>
    </row>
    <row r="717" spans="3:7" s="326" customFormat="1" ht="9.9499999999999993" customHeight="1" x14ac:dyDescent="0.2">
      <c r="C717" s="327"/>
      <c r="G717" s="327"/>
    </row>
    <row r="718" spans="3:7" s="326" customFormat="1" ht="9.9499999999999993" customHeight="1" x14ac:dyDescent="0.2">
      <c r="C718" s="327"/>
      <c r="G718" s="327"/>
    </row>
    <row r="719" spans="3:7" s="326" customFormat="1" ht="9.9499999999999993" customHeight="1" x14ac:dyDescent="0.2">
      <c r="C719" s="327"/>
      <c r="G719" s="327"/>
    </row>
    <row r="720" spans="3:7" s="326" customFormat="1" ht="9.9499999999999993" customHeight="1" x14ac:dyDescent="0.2">
      <c r="C720" s="327"/>
      <c r="G720" s="327"/>
    </row>
    <row r="721" spans="3:7" s="326" customFormat="1" ht="9.9499999999999993" customHeight="1" x14ac:dyDescent="0.2">
      <c r="C721" s="327"/>
      <c r="G721" s="327"/>
    </row>
    <row r="722" spans="3:7" s="326" customFormat="1" ht="9.9499999999999993" customHeight="1" x14ac:dyDescent="0.2">
      <c r="C722" s="327"/>
      <c r="G722" s="327"/>
    </row>
    <row r="723" spans="3:7" s="326" customFormat="1" ht="9.9499999999999993" customHeight="1" x14ac:dyDescent="0.2">
      <c r="C723" s="327"/>
      <c r="G723" s="327"/>
    </row>
    <row r="724" spans="3:7" s="326" customFormat="1" ht="9.9499999999999993" customHeight="1" x14ac:dyDescent="0.2">
      <c r="C724" s="327"/>
      <c r="G724" s="327"/>
    </row>
    <row r="725" spans="3:7" s="326" customFormat="1" ht="9.9499999999999993" customHeight="1" x14ac:dyDescent="0.2">
      <c r="C725" s="327"/>
      <c r="G725" s="327"/>
    </row>
    <row r="726" spans="3:7" s="326" customFormat="1" ht="9.9499999999999993" customHeight="1" x14ac:dyDescent="0.2">
      <c r="C726" s="327"/>
      <c r="G726" s="327"/>
    </row>
    <row r="727" spans="3:7" s="326" customFormat="1" ht="9.9499999999999993" customHeight="1" x14ac:dyDescent="0.2">
      <c r="C727" s="327"/>
      <c r="G727" s="327"/>
    </row>
    <row r="728" spans="3:7" s="326" customFormat="1" ht="9.9499999999999993" customHeight="1" x14ac:dyDescent="0.2">
      <c r="C728" s="327"/>
      <c r="G728" s="327"/>
    </row>
    <row r="729" spans="3:7" s="326" customFormat="1" ht="9.9499999999999993" customHeight="1" x14ac:dyDescent="0.2">
      <c r="C729" s="327"/>
      <c r="G729" s="327"/>
    </row>
    <row r="730" spans="3:7" s="326" customFormat="1" ht="9.9499999999999993" customHeight="1" x14ac:dyDescent="0.2">
      <c r="C730" s="327"/>
      <c r="G730" s="327"/>
    </row>
    <row r="731" spans="3:7" s="326" customFormat="1" ht="9.9499999999999993" customHeight="1" x14ac:dyDescent="0.2">
      <c r="C731" s="327"/>
      <c r="G731" s="327"/>
    </row>
    <row r="732" spans="3:7" s="326" customFormat="1" ht="9.9499999999999993" customHeight="1" x14ac:dyDescent="0.2">
      <c r="C732" s="327"/>
      <c r="G732" s="327"/>
    </row>
    <row r="733" spans="3:7" s="326" customFormat="1" ht="9.9499999999999993" customHeight="1" x14ac:dyDescent="0.2">
      <c r="C733" s="327"/>
      <c r="G733" s="327"/>
    </row>
    <row r="734" spans="3:7" s="326" customFormat="1" ht="9.9499999999999993" customHeight="1" x14ac:dyDescent="0.2">
      <c r="C734" s="327"/>
      <c r="G734" s="327"/>
    </row>
    <row r="735" spans="3:7" s="326" customFormat="1" ht="9.9499999999999993" customHeight="1" x14ac:dyDescent="0.2">
      <c r="C735" s="327"/>
      <c r="G735" s="327"/>
    </row>
    <row r="736" spans="3:7" s="326" customFormat="1" ht="9.9499999999999993" customHeight="1" x14ac:dyDescent="0.2">
      <c r="C736" s="327"/>
      <c r="G736" s="327"/>
    </row>
    <row r="737" spans="3:7" s="326" customFormat="1" ht="9.9499999999999993" customHeight="1" x14ac:dyDescent="0.2">
      <c r="C737" s="327"/>
      <c r="G737" s="327"/>
    </row>
    <row r="738" spans="3:7" s="326" customFormat="1" ht="9.9499999999999993" customHeight="1" x14ac:dyDescent="0.2">
      <c r="C738" s="327"/>
      <c r="G738" s="327"/>
    </row>
    <row r="739" spans="3:7" s="326" customFormat="1" ht="9.9499999999999993" customHeight="1" x14ac:dyDescent="0.2">
      <c r="C739" s="327"/>
      <c r="G739" s="327"/>
    </row>
    <row r="740" spans="3:7" s="326" customFormat="1" ht="9.9499999999999993" customHeight="1" x14ac:dyDescent="0.2">
      <c r="C740" s="327"/>
      <c r="G740" s="327"/>
    </row>
    <row r="741" spans="3:7" s="326" customFormat="1" ht="9.9499999999999993" customHeight="1" x14ac:dyDescent="0.2">
      <c r="C741" s="327"/>
      <c r="G741" s="327"/>
    </row>
    <row r="742" spans="3:7" s="326" customFormat="1" ht="9.9499999999999993" customHeight="1" x14ac:dyDescent="0.2">
      <c r="C742" s="327"/>
      <c r="G742" s="327"/>
    </row>
    <row r="743" spans="3:7" s="326" customFormat="1" ht="9.9499999999999993" customHeight="1" x14ac:dyDescent="0.2">
      <c r="C743" s="327"/>
      <c r="G743" s="327"/>
    </row>
    <row r="744" spans="3:7" s="326" customFormat="1" ht="9.9499999999999993" customHeight="1" x14ac:dyDescent="0.2">
      <c r="C744" s="327"/>
      <c r="G744" s="327"/>
    </row>
    <row r="745" spans="3:7" s="326" customFormat="1" ht="9.9499999999999993" customHeight="1" x14ac:dyDescent="0.2">
      <c r="C745" s="327"/>
      <c r="G745" s="327"/>
    </row>
    <row r="746" spans="3:7" s="326" customFormat="1" ht="9.9499999999999993" customHeight="1" x14ac:dyDescent="0.2">
      <c r="C746" s="327"/>
      <c r="G746" s="327"/>
    </row>
    <row r="747" spans="3:7" s="326" customFormat="1" ht="9.9499999999999993" customHeight="1" x14ac:dyDescent="0.2">
      <c r="C747" s="327"/>
      <c r="G747" s="327"/>
    </row>
    <row r="748" spans="3:7" s="326" customFormat="1" ht="9.9499999999999993" customHeight="1" x14ac:dyDescent="0.2">
      <c r="C748" s="327"/>
      <c r="G748" s="327"/>
    </row>
    <row r="749" spans="3:7" s="326" customFormat="1" ht="9.9499999999999993" customHeight="1" x14ac:dyDescent="0.2">
      <c r="C749" s="327"/>
      <c r="G749" s="327"/>
    </row>
    <row r="750" spans="3:7" s="326" customFormat="1" ht="9.9499999999999993" customHeight="1" x14ac:dyDescent="0.2">
      <c r="C750" s="327"/>
      <c r="G750" s="327"/>
    </row>
    <row r="751" spans="3:7" s="326" customFormat="1" ht="9.9499999999999993" customHeight="1" x14ac:dyDescent="0.2">
      <c r="C751" s="327"/>
      <c r="G751" s="327"/>
    </row>
    <row r="752" spans="3:7" s="326" customFormat="1" ht="9.9499999999999993" customHeight="1" x14ac:dyDescent="0.2">
      <c r="C752" s="327"/>
      <c r="G752" s="327"/>
    </row>
    <row r="753" spans="3:7" s="326" customFormat="1" ht="9.9499999999999993" customHeight="1" x14ac:dyDescent="0.2">
      <c r="C753" s="327"/>
      <c r="G753" s="327"/>
    </row>
    <row r="754" spans="3:7" s="326" customFormat="1" ht="9.9499999999999993" customHeight="1" x14ac:dyDescent="0.2">
      <c r="C754" s="327"/>
      <c r="G754" s="327"/>
    </row>
    <row r="755" spans="3:7" s="326" customFormat="1" ht="9.9499999999999993" customHeight="1" x14ac:dyDescent="0.2">
      <c r="C755" s="327"/>
      <c r="G755" s="327"/>
    </row>
    <row r="756" spans="3:7" s="326" customFormat="1" ht="9.9499999999999993" customHeight="1" x14ac:dyDescent="0.2">
      <c r="C756" s="327"/>
      <c r="G756" s="327"/>
    </row>
    <row r="757" spans="3:7" s="326" customFormat="1" ht="9.9499999999999993" customHeight="1" x14ac:dyDescent="0.2">
      <c r="C757" s="327"/>
      <c r="G757" s="327"/>
    </row>
    <row r="758" spans="3:7" s="326" customFormat="1" ht="9.9499999999999993" customHeight="1" x14ac:dyDescent="0.2">
      <c r="C758" s="327"/>
      <c r="G758" s="327"/>
    </row>
    <row r="759" spans="3:7" s="326" customFormat="1" ht="9.9499999999999993" customHeight="1" x14ac:dyDescent="0.2">
      <c r="C759" s="327"/>
      <c r="G759" s="327"/>
    </row>
    <row r="760" spans="3:7" s="326" customFormat="1" ht="9.9499999999999993" customHeight="1" x14ac:dyDescent="0.2">
      <c r="C760" s="327"/>
      <c r="G760" s="327"/>
    </row>
    <row r="761" spans="3:7" s="326" customFormat="1" ht="9.9499999999999993" customHeight="1" x14ac:dyDescent="0.2">
      <c r="C761" s="327"/>
      <c r="G761" s="327"/>
    </row>
    <row r="762" spans="3:7" s="326" customFormat="1" ht="9.9499999999999993" customHeight="1" x14ac:dyDescent="0.2">
      <c r="C762" s="327"/>
      <c r="G762" s="327"/>
    </row>
    <row r="763" spans="3:7" s="326" customFormat="1" ht="9.9499999999999993" customHeight="1" x14ac:dyDescent="0.2">
      <c r="C763" s="327"/>
      <c r="G763" s="327"/>
    </row>
    <row r="764" spans="3:7" s="326" customFormat="1" ht="9.9499999999999993" customHeight="1" x14ac:dyDescent="0.2">
      <c r="C764" s="327"/>
      <c r="G764" s="327"/>
    </row>
    <row r="765" spans="3:7" s="326" customFormat="1" ht="9.9499999999999993" customHeight="1" x14ac:dyDescent="0.2">
      <c r="C765" s="327"/>
      <c r="G765" s="327"/>
    </row>
    <row r="766" spans="3:7" s="326" customFormat="1" ht="9.9499999999999993" customHeight="1" x14ac:dyDescent="0.2">
      <c r="C766" s="327"/>
      <c r="G766" s="327"/>
    </row>
    <row r="767" spans="3:7" s="326" customFormat="1" ht="9.9499999999999993" customHeight="1" x14ac:dyDescent="0.2">
      <c r="C767" s="327"/>
      <c r="G767" s="327"/>
    </row>
    <row r="768" spans="3:7" s="326" customFormat="1" ht="9.9499999999999993" customHeight="1" x14ac:dyDescent="0.2">
      <c r="C768" s="327"/>
      <c r="G768" s="327"/>
    </row>
    <row r="769" spans="3:7" s="326" customFormat="1" ht="9.9499999999999993" customHeight="1" x14ac:dyDescent="0.2">
      <c r="C769" s="327"/>
      <c r="G769" s="327"/>
    </row>
    <row r="770" spans="3:7" s="326" customFormat="1" ht="9.9499999999999993" customHeight="1" x14ac:dyDescent="0.2">
      <c r="C770" s="327"/>
      <c r="G770" s="327"/>
    </row>
    <row r="771" spans="3:7" s="326" customFormat="1" ht="9.9499999999999993" customHeight="1" x14ac:dyDescent="0.2">
      <c r="C771" s="327"/>
      <c r="G771" s="327"/>
    </row>
    <row r="772" spans="3:7" s="326" customFormat="1" ht="9.9499999999999993" customHeight="1" x14ac:dyDescent="0.2">
      <c r="C772" s="327"/>
      <c r="G772" s="327"/>
    </row>
    <row r="773" spans="3:7" s="326" customFormat="1" ht="9.9499999999999993" customHeight="1" x14ac:dyDescent="0.2">
      <c r="C773" s="327"/>
      <c r="G773" s="327"/>
    </row>
    <row r="774" spans="3:7" s="326" customFormat="1" ht="9.9499999999999993" customHeight="1" x14ac:dyDescent="0.2">
      <c r="C774" s="327"/>
      <c r="G774" s="327"/>
    </row>
    <row r="775" spans="3:7" s="326" customFormat="1" ht="9.9499999999999993" customHeight="1" x14ac:dyDescent="0.2">
      <c r="C775" s="327"/>
      <c r="G775" s="327"/>
    </row>
    <row r="776" spans="3:7" s="326" customFormat="1" ht="9.9499999999999993" customHeight="1" x14ac:dyDescent="0.2">
      <c r="C776" s="327"/>
      <c r="G776" s="327"/>
    </row>
    <row r="777" spans="3:7" s="326" customFormat="1" ht="9.9499999999999993" customHeight="1" x14ac:dyDescent="0.2">
      <c r="C777" s="327"/>
      <c r="G777" s="327"/>
    </row>
    <row r="778" spans="3:7" s="326" customFormat="1" ht="9.9499999999999993" customHeight="1" x14ac:dyDescent="0.2">
      <c r="C778" s="327"/>
      <c r="G778" s="327"/>
    </row>
    <row r="779" spans="3:7" s="326" customFormat="1" ht="9.9499999999999993" customHeight="1" x14ac:dyDescent="0.2">
      <c r="C779" s="327"/>
      <c r="G779" s="327"/>
    </row>
    <row r="780" spans="3:7" s="326" customFormat="1" ht="9.9499999999999993" customHeight="1" x14ac:dyDescent="0.2">
      <c r="C780" s="327"/>
      <c r="G780" s="327"/>
    </row>
    <row r="781" spans="3:7" s="326" customFormat="1" ht="9.9499999999999993" customHeight="1" x14ac:dyDescent="0.2">
      <c r="C781" s="327"/>
      <c r="G781" s="327"/>
    </row>
    <row r="782" spans="3:7" s="326" customFormat="1" ht="9.9499999999999993" customHeight="1" x14ac:dyDescent="0.2">
      <c r="C782" s="327"/>
      <c r="G782" s="327"/>
    </row>
    <row r="783" spans="3:7" s="326" customFormat="1" ht="9.9499999999999993" customHeight="1" x14ac:dyDescent="0.2">
      <c r="C783" s="327"/>
      <c r="G783" s="327"/>
    </row>
    <row r="784" spans="3:7" s="326" customFormat="1" ht="9.9499999999999993" customHeight="1" x14ac:dyDescent="0.2">
      <c r="C784" s="327"/>
      <c r="G784" s="327"/>
    </row>
    <row r="785" spans="3:7" s="326" customFormat="1" ht="9.9499999999999993" customHeight="1" x14ac:dyDescent="0.2">
      <c r="C785" s="327"/>
      <c r="G785" s="327"/>
    </row>
    <row r="786" spans="3:7" s="326" customFormat="1" ht="9.9499999999999993" customHeight="1" x14ac:dyDescent="0.2">
      <c r="C786" s="327"/>
      <c r="G786" s="327"/>
    </row>
    <row r="787" spans="3:7" s="326" customFormat="1" ht="9.9499999999999993" customHeight="1" x14ac:dyDescent="0.2">
      <c r="C787" s="327"/>
      <c r="G787" s="327"/>
    </row>
    <row r="788" spans="3:7" s="326" customFormat="1" ht="9.9499999999999993" customHeight="1" x14ac:dyDescent="0.2">
      <c r="C788" s="327"/>
      <c r="G788" s="327"/>
    </row>
    <row r="789" spans="3:7" s="326" customFormat="1" ht="9.9499999999999993" customHeight="1" x14ac:dyDescent="0.2">
      <c r="C789" s="327"/>
      <c r="G789" s="327"/>
    </row>
    <row r="790" spans="3:7" s="326" customFormat="1" ht="9.9499999999999993" customHeight="1" x14ac:dyDescent="0.2">
      <c r="C790" s="327"/>
      <c r="G790" s="327"/>
    </row>
    <row r="791" spans="3:7" s="326" customFormat="1" ht="9.9499999999999993" customHeight="1" x14ac:dyDescent="0.2">
      <c r="C791" s="327"/>
      <c r="G791" s="327"/>
    </row>
    <row r="792" spans="3:7" s="326" customFormat="1" ht="9.9499999999999993" customHeight="1" x14ac:dyDescent="0.2">
      <c r="C792" s="327"/>
      <c r="G792" s="327"/>
    </row>
    <row r="793" spans="3:7" s="326" customFormat="1" ht="9.9499999999999993" customHeight="1" x14ac:dyDescent="0.2">
      <c r="C793" s="327"/>
      <c r="G793" s="327"/>
    </row>
    <row r="794" spans="3:7" s="326" customFormat="1" ht="9.9499999999999993" customHeight="1" x14ac:dyDescent="0.2">
      <c r="C794" s="327"/>
      <c r="G794" s="327"/>
    </row>
    <row r="795" spans="3:7" s="326" customFormat="1" ht="9.9499999999999993" customHeight="1" x14ac:dyDescent="0.2">
      <c r="C795" s="327"/>
      <c r="G795" s="327"/>
    </row>
    <row r="796" spans="3:7" s="326" customFormat="1" ht="9.9499999999999993" customHeight="1" x14ac:dyDescent="0.2">
      <c r="C796" s="327"/>
      <c r="G796" s="327"/>
    </row>
    <row r="797" spans="3:7" s="326" customFormat="1" ht="9.9499999999999993" customHeight="1" x14ac:dyDescent="0.2">
      <c r="C797" s="327"/>
      <c r="G797" s="327"/>
    </row>
    <row r="798" spans="3:7" s="326" customFormat="1" ht="9.9499999999999993" customHeight="1" x14ac:dyDescent="0.2">
      <c r="C798" s="327"/>
      <c r="G798" s="327"/>
    </row>
    <row r="799" spans="3:7" s="326" customFormat="1" ht="9.9499999999999993" customHeight="1" x14ac:dyDescent="0.2">
      <c r="C799" s="327"/>
      <c r="G799" s="327"/>
    </row>
    <row r="800" spans="3:7" s="326" customFormat="1" ht="9.9499999999999993" customHeight="1" x14ac:dyDescent="0.2">
      <c r="C800" s="327"/>
      <c r="G800" s="327"/>
    </row>
    <row r="801" spans="3:7" s="326" customFormat="1" ht="9.9499999999999993" customHeight="1" x14ac:dyDescent="0.2">
      <c r="C801" s="327"/>
      <c r="G801" s="327"/>
    </row>
    <row r="802" spans="3:7" s="326" customFormat="1" ht="9.9499999999999993" customHeight="1" x14ac:dyDescent="0.2">
      <c r="C802" s="327"/>
      <c r="G802" s="327"/>
    </row>
    <row r="803" spans="3:7" s="326" customFormat="1" ht="9.9499999999999993" customHeight="1" x14ac:dyDescent="0.2">
      <c r="C803" s="327"/>
      <c r="G803" s="327"/>
    </row>
    <row r="804" spans="3:7" s="326" customFormat="1" ht="9.9499999999999993" customHeight="1" x14ac:dyDescent="0.2">
      <c r="C804" s="327"/>
      <c r="G804" s="327"/>
    </row>
    <row r="805" spans="3:7" s="326" customFormat="1" ht="9.9499999999999993" customHeight="1" x14ac:dyDescent="0.2">
      <c r="C805" s="327"/>
      <c r="G805" s="327"/>
    </row>
    <row r="806" spans="3:7" s="326" customFormat="1" ht="9.9499999999999993" customHeight="1" x14ac:dyDescent="0.2">
      <c r="C806" s="327"/>
      <c r="G806" s="327"/>
    </row>
    <row r="807" spans="3:7" s="326" customFormat="1" ht="9.9499999999999993" customHeight="1" x14ac:dyDescent="0.2">
      <c r="C807" s="327"/>
      <c r="G807" s="327"/>
    </row>
    <row r="808" spans="3:7" s="326" customFormat="1" ht="9.9499999999999993" customHeight="1" x14ac:dyDescent="0.2">
      <c r="C808" s="327"/>
      <c r="G808" s="327"/>
    </row>
    <row r="809" spans="3:7" s="326" customFormat="1" ht="9.9499999999999993" customHeight="1" x14ac:dyDescent="0.2">
      <c r="C809" s="327"/>
      <c r="G809" s="327"/>
    </row>
    <row r="810" spans="3:7" s="326" customFormat="1" ht="9.9499999999999993" customHeight="1" x14ac:dyDescent="0.2">
      <c r="C810" s="327"/>
      <c r="G810" s="327"/>
    </row>
  </sheetData>
  <mergeCells count="1">
    <mergeCell ref="A1:H1"/>
  </mergeCells>
  <phoneticPr fontId="9" type="noConversion"/>
  <printOptions horizontalCentered="1"/>
  <pageMargins left="0.5" right="0.5" top="0.5" bottom="0.625" header="0.5" footer="0.5"/>
  <pageSetup scale="96" orientation="portrait" r:id="rId1"/>
  <headerFooter alignWithMargins="0"/>
  <rowBreaks count="1" manualBreakCount="1">
    <brk id="67" max="1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theme="6" tint="0.39997558519241921"/>
    <pageSetUpPr fitToPage="1"/>
  </sheetPr>
  <dimension ref="A1:P821"/>
  <sheetViews>
    <sheetView view="pageBreakPreview" topLeftCell="A6" zoomScaleNormal="100" workbookViewId="0">
      <selection activeCell="Z13" activeCellId="3" sqref="Z18 Z17 Z15 Z13"/>
    </sheetView>
  </sheetViews>
  <sheetFormatPr defaultColWidth="9.140625" defaultRowHeight="9.9499999999999993" customHeight="1" x14ac:dyDescent="0.2"/>
  <cols>
    <col min="1" max="1" width="34.42578125" style="314" customWidth="1"/>
    <col min="2" max="2" width="1.5703125" style="329" customWidth="1"/>
    <col min="3" max="3" width="14.42578125" style="314" customWidth="1"/>
    <col min="4" max="4" width="1.5703125" style="329" customWidth="1"/>
    <col min="5" max="5" width="14.42578125" style="314" customWidth="1"/>
    <col min="6" max="6" width="1.5703125" style="329" customWidth="1"/>
    <col min="7" max="7" width="14.42578125" style="314" customWidth="1"/>
    <col min="8" max="8" width="1.5703125" style="329" customWidth="1"/>
    <col min="9" max="9" width="14.42578125" style="314" customWidth="1"/>
    <col min="10" max="12" width="9.140625" style="314"/>
    <col min="13" max="13" width="9.5703125" style="314" bestFit="1" customWidth="1"/>
    <col min="14" max="16384" width="9.140625" style="314"/>
  </cols>
  <sheetData>
    <row r="1" spans="1:16" s="247" customFormat="1" ht="16.5" customHeight="1" thickBot="1" x14ac:dyDescent="0.25">
      <c r="A1" s="1582" t="s">
        <v>1033</v>
      </c>
      <c r="B1" s="1582"/>
      <c r="C1" s="1582"/>
      <c r="D1" s="1582"/>
      <c r="E1" s="1582"/>
      <c r="F1" s="1582"/>
      <c r="G1" s="1582"/>
      <c r="H1" s="1582"/>
      <c r="I1" s="1582"/>
    </row>
    <row r="2" spans="1:16" s="247" customFormat="1" ht="15" customHeight="1" x14ac:dyDescent="0.2">
      <c r="A2" s="700" t="s">
        <v>32</v>
      </c>
      <c r="B2" s="310"/>
      <c r="C2" s="310"/>
      <c r="D2" s="310"/>
      <c r="E2" s="310"/>
      <c r="F2" s="310"/>
      <c r="G2" s="310"/>
      <c r="H2" s="302"/>
      <c r="I2" s="302"/>
    </row>
    <row r="3" spans="1:16" s="247" customFormat="1" ht="15" customHeight="1" x14ac:dyDescent="0.2">
      <c r="A3" s="700" t="s">
        <v>1006</v>
      </c>
      <c r="B3" s="310"/>
      <c r="C3" s="310"/>
      <c r="D3" s="310"/>
      <c r="E3" s="310"/>
      <c r="F3" s="310"/>
      <c r="G3" s="310"/>
      <c r="H3" s="302"/>
      <c r="I3" s="302"/>
    </row>
    <row r="4" spans="1:16" s="247" customFormat="1" ht="12.95" customHeight="1" x14ac:dyDescent="0.2">
      <c r="A4" s="1579" t="s">
        <v>1725</v>
      </c>
      <c r="B4" s="1579"/>
      <c r="C4" s="1579"/>
      <c r="D4" s="1579"/>
      <c r="E4" s="1579"/>
      <c r="F4" s="1579"/>
      <c r="G4" s="1579"/>
      <c r="H4" s="311"/>
      <c r="I4" s="311"/>
    </row>
    <row r="5" spans="1:16" s="247" customFormat="1" ht="12" customHeight="1" x14ac:dyDescent="0.2">
      <c r="A5" s="253" t="s">
        <v>972</v>
      </c>
      <c r="B5" s="433"/>
      <c r="C5" s="433"/>
      <c r="D5" s="433"/>
      <c r="E5" s="433"/>
      <c r="F5" s="433"/>
      <c r="G5" s="433"/>
      <c r="H5" s="433"/>
      <c r="I5" s="311"/>
    </row>
    <row r="6" spans="1:16" ht="12.6" customHeight="1" x14ac:dyDescent="0.2">
      <c r="A6" s="1597"/>
      <c r="B6" s="1597"/>
      <c r="C6" s="1597"/>
      <c r="D6" s="1597"/>
      <c r="E6" s="1597"/>
      <c r="F6" s="1597"/>
      <c r="G6" s="1597"/>
      <c r="H6" s="314"/>
    </row>
    <row r="7" spans="1:16" s="508" customFormat="1" ht="12.6" customHeight="1" x14ac:dyDescent="0.2">
      <c r="A7" s="948"/>
      <c r="B7" s="948"/>
      <c r="C7" s="948"/>
      <c r="D7" s="948"/>
      <c r="E7" s="948"/>
      <c r="F7" s="948"/>
      <c r="G7" s="948"/>
      <c r="I7" s="310" t="s">
        <v>860</v>
      </c>
    </row>
    <row r="8" spans="1:16" s="212" customFormat="1" ht="12.6" customHeight="1" x14ac:dyDescent="0.2">
      <c r="A8" s="458"/>
      <c r="B8" s="458"/>
      <c r="C8" s="458"/>
      <c r="D8" s="458"/>
      <c r="E8" s="310" t="s">
        <v>256</v>
      </c>
      <c r="F8" s="458"/>
      <c r="G8" s="310" t="s">
        <v>1005</v>
      </c>
      <c r="I8" s="310" t="s">
        <v>1064</v>
      </c>
    </row>
    <row r="9" spans="1:16" s="336" customFormat="1" ht="12.6" customHeight="1" x14ac:dyDescent="0.2">
      <c r="D9" s="310"/>
      <c r="E9" s="310" t="s">
        <v>866</v>
      </c>
      <c r="F9" s="310"/>
      <c r="G9" s="445" t="s">
        <v>761</v>
      </c>
      <c r="H9" s="310"/>
      <c r="I9" s="310" t="s">
        <v>866</v>
      </c>
    </row>
    <row r="10" spans="1:16" s="336" customFormat="1" ht="12.6" customHeight="1" x14ac:dyDescent="0.2">
      <c r="C10" s="574" t="s">
        <v>1004</v>
      </c>
      <c r="D10" s="360"/>
      <c r="E10" s="574" t="s">
        <v>15</v>
      </c>
      <c r="F10" s="310"/>
      <c r="G10" s="945" t="s">
        <v>762</v>
      </c>
      <c r="H10" s="360"/>
      <c r="I10" s="574" t="s">
        <v>665</v>
      </c>
    </row>
    <row r="11" spans="1:16" s="253" customFormat="1" ht="9.9499999999999993" customHeight="1" x14ac:dyDescent="0.2">
      <c r="A11" s="417" t="s">
        <v>868</v>
      </c>
      <c r="B11" s="362"/>
      <c r="D11" s="361"/>
      <c r="F11" s="361"/>
      <c r="H11" s="361"/>
    </row>
    <row r="12" spans="1:16" s="253" customFormat="1" ht="9.9499999999999993" customHeight="1" x14ac:dyDescent="0.2">
      <c r="A12" s="425" t="s">
        <v>869</v>
      </c>
    </row>
    <row r="13" spans="1:16" s="253" customFormat="1" ht="9.9499999999999993" customHeight="1" x14ac:dyDescent="0.2">
      <c r="A13" s="426" t="s">
        <v>829</v>
      </c>
      <c r="B13" s="362"/>
      <c r="C13" s="339">
        <f>+'Grants SOREC'!M13</f>
        <v>0</v>
      </c>
      <c r="D13" s="301"/>
      <c r="E13" s="339">
        <f>+'Special SOREC'!AI14</f>
        <v>50747</v>
      </c>
      <c r="F13" s="301"/>
      <c r="G13" s="339">
        <f>+'Blended SOREC'!AG15</f>
        <v>0</v>
      </c>
      <c r="H13" s="301"/>
      <c r="I13" s="346">
        <f>SUM(C13:G13)</f>
        <v>50747</v>
      </c>
      <c r="P13" s="253">
        <v>0</v>
      </c>
    </row>
    <row r="14" spans="1:16" s="253" customFormat="1" ht="9.9499999999999993" customHeight="1" x14ac:dyDescent="0.2">
      <c r="A14" s="426" t="s">
        <v>830</v>
      </c>
      <c r="B14" s="342"/>
      <c r="C14" s="273">
        <f>+'Grants SOREC'!M14</f>
        <v>0</v>
      </c>
      <c r="D14" s="342"/>
      <c r="E14" s="273">
        <f>+'Special SOREC'!AI15</f>
        <v>125211</v>
      </c>
      <c r="F14" s="342"/>
      <c r="G14" s="273">
        <f>+'Blended SOREC'!AG16</f>
        <v>0</v>
      </c>
      <c r="H14" s="342"/>
      <c r="I14" s="273">
        <f t="shared" ref="I14:I26" si="0">SUM(C14:G14)</f>
        <v>125211</v>
      </c>
    </row>
    <row r="15" spans="1:16" s="253" customFormat="1" ht="9.9499999999999993" hidden="1" customHeight="1" x14ac:dyDescent="0.2">
      <c r="A15" s="426" t="s">
        <v>831</v>
      </c>
      <c r="B15" s="342"/>
      <c r="C15" s="273">
        <f>+'Grants SOREC'!M15</f>
        <v>0</v>
      </c>
      <c r="D15" s="342"/>
      <c r="E15" s="273">
        <f>+'Special SOREC'!AI16</f>
        <v>0</v>
      </c>
      <c r="F15" s="342"/>
      <c r="G15" s="273">
        <f>+'Blended SOREC'!AG17</f>
        <v>0</v>
      </c>
      <c r="H15" s="342"/>
      <c r="I15" s="273">
        <f t="shared" si="0"/>
        <v>0</v>
      </c>
    </row>
    <row r="16" spans="1:16" s="253" customFormat="1" ht="9.9499999999999993" customHeight="1" x14ac:dyDescent="0.2">
      <c r="A16" s="426" t="s">
        <v>827</v>
      </c>
      <c r="B16" s="342"/>
      <c r="C16" s="273">
        <f>+'Grants SOREC'!M16</f>
        <v>0</v>
      </c>
      <c r="D16" s="342"/>
      <c r="E16" s="273">
        <f>+'Special SOREC'!AI17</f>
        <v>1718</v>
      </c>
      <c r="F16" s="342"/>
      <c r="G16" s="273">
        <f>+'Blended SOREC'!AG18</f>
        <v>0</v>
      </c>
      <c r="H16" s="342"/>
      <c r="I16" s="273">
        <f t="shared" si="0"/>
        <v>1718</v>
      </c>
    </row>
    <row r="17" spans="1:9" s="253" customFormat="1" ht="9.9499999999999993" customHeight="1" x14ac:dyDescent="0.2">
      <c r="A17" s="426" t="s">
        <v>832</v>
      </c>
      <c r="B17" s="342"/>
      <c r="C17" s="273">
        <f>+'Grants SOREC'!M17</f>
        <v>0</v>
      </c>
      <c r="D17" s="342"/>
      <c r="E17" s="273">
        <f>+'Special SOREC'!AI18</f>
        <v>110048</v>
      </c>
      <c r="F17" s="342"/>
      <c r="G17" s="273">
        <f>+'Blended SOREC'!AG19</f>
        <v>0</v>
      </c>
      <c r="H17" s="342"/>
      <c r="I17" s="273">
        <f t="shared" si="0"/>
        <v>110048</v>
      </c>
    </row>
    <row r="18" spans="1:9" s="253" customFormat="1" ht="9.9499999999999993" customHeight="1" x14ac:dyDescent="0.2">
      <c r="A18" s="426" t="s">
        <v>944</v>
      </c>
      <c r="B18" s="342"/>
      <c r="C18" s="273">
        <f>+'Grants SOREC'!M18</f>
        <v>0</v>
      </c>
      <c r="D18" s="342"/>
      <c r="E18" s="273">
        <f>+'Special SOREC'!AI19</f>
        <v>961</v>
      </c>
      <c r="F18" s="342"/>
      <c r="G18" s="273">
        <f>+'Blended SOREC'!AG20</f>
        <v>0</v>
      </c>
      <c r="H18" s="342"/>
      <c r="I18" s="273">
        <f t="shared" si="0"/>
        <v>961</v>
      </c>
    </row>
    <row r="19" spans="1:9" s="253" customFormat="1" ht="9.9499999999999993" hidden="1" customHeight="1" x14ac:dyDescent="0.2">
      <c r="A19" s="425" t="s">
        <v>945</v>
      </c>
      <c r="B19" s="342"/>
      <c r="C19" s="273">
        <f>+'Grants SOREC'!M19</f>
        <v>0</v>
      </c>
      <c r="D19" s="342"/>
      <c r="E19" s="273">
        <f>+'Special SOREC'!AI20</f>
        <v>0</v>
      </c>
      <c r="F19" s="342"/>
      <c r="G19" s="273">
        <f>+'Blended SOREC'!AG21</f>
        <v>0</v>
      </c>
      <c r="H19" s="342"/>
      <c r="I19" s="273">
        <f t="shared" si="0"/>
        <v>0</v>
      </c>
    </row>
    <row r="20" spans="1:9" s="253" customFormat="1" ht="9.9499999999999993" customHeight="1" x14ac:dyDescent="0.2">
      <c r="A20" s="425" t="s">
        <v>946</v>
      </c>
      <c r="B20" s="342"/>
      <c r="C20" s="273">
        <f>+'Grants SOREC'!M20</f>
        <v>22224</v>
      </c>
      <c r="D20" s="342"/>
      <c r="E20" s="273">
        <f>+'Special SOREC'!AI21</f>
        <v>14305</v>
      </c>
      <c r="F20" s="342"/>
      <c r="G20" s="273">
        <f>+'Blended SOREC'!AG22</f>
        <v>2878</v>
      </c>
      <c r="H20" s="342"/>
      <c r="I20" s="273">
        <f t="shared" si="0"/>
        <v>39407</v>
      </c>
    </row>
    <row r="21" spans="1:9" s="253" customFormat="1" ht="9.9499999999999993" hidden="1" customHeight="1" x14ac:dyDescent="0.2">
      <c r="A21" s="425" t="s">
        <v>947</v>
      </c>
      <c r="B21" s="342"/>
      <c r="C21" s="273">
        <f>+'Grants SOREC'!M21</f>
        <v>0</v>
      </c>
      <c r="D21" s="342"/>
      <c r="E21" s="273">
        <f>+'Special SOREC'!AI22</f>
        <v>0</v>
      </c>
      <c r="F21" s="342"/>
      <c r="G21" s="273">
        <f>+'Blended SOREC'!AG23</f>
        <v>0</v>
      </c>
      <c r="H21" s="342"/>
      <c r="I21" s="273">
        <f t="shared" si="0"/>
        <v>0</v>
      </c>
    </row>
    <row r="22" spans="1:9" s="253" customFormat="1" ht="9.9499999999999993" customHeight="1" x14ac:dyDescent="0.2">
      <c r="A22" s="425" t="s">
        <v>948</v>
      </c>
      <c r="B22" s="342"/>
      <c r="C22" s="273">
        <f>+'Grants SOREC'!M22</f>
        <v>279</v>
      </c>
      <c r="D22" s="342"/>
      <c r="E22" s="273">
        <f>+'Special SOREC'!AI23</f>
        <v>134311</v>
      </c>
      <c r="F22" s="342"/>
      <c r="G22" s="273">
        <f>+'Blended SOREC'!AG24</f>
        <v>23835</v>
      </c>
      <c r="H22" s="342"/>
      <c r="I22" s="273">
        <f t="shared" si="0"/>
        <v>158425</v>
      </c>
    </row>
    <row r="23" spans="1:9" s="253" customFormat="1" ht="9.9499999999999993" customHeight="1" x14ac:dyDescent="0.2">
      <c r="A23" s="425" t="s">
        <v>16</v>
      </c>
      <c r="B23" s="342"/>
      <c r="C23" s="273">
        <f>+'Grants SOREC'!M23</f>
        <v>0</v>
      </c>
      <c r="D23" s="342"/>
      <c r="E23" s="273">
        <f>+'Special SOREC'!AI24</f>
        <v>304</v>
      </c>
      <c r="F23" s="342"/>
      <c r="G23" s="273">
        <f>+'Blended SOREC'!AG25</f>
        <v>0</v>
      </c>
      <c r="H23" s="342"/>
      <c r="I23" s="273">
        <f t="shared" si="0"/>
        <v>304</v>
      </c>
    </row>
    <row r="24" spans="1:9" s="253" customFormat="1" ht="9.9499999999999993" customHeight="1" x14ac:dyDescent="0.2">
      <c r="A24" s="425" t="s">
        <v>775</v>
      </c>
      <c r="B24" s="342"/>
      <c r="C24" s="273">
        <f>+'Grants SOREC'!M24</f>
        <v>1591</v>
      </c>
      <c r="D24" s="342"/>
      <c r="E24" s="273">
        <f>+'Special SOREC'!AI25</f>
        <v>50918</v>
      </c>
      <c r="F24" s="342"/>
      <c r="G24" s="273">
        <f>+'Blended SOREC'!AG26</f>
        <v>3084</v>
      </c>
      <c r="H24" s="342"/>
      <c r="I24" s="273">
        <f t="shared" si="0"/>
        <v>55593</v>
      </c>
    </row>
    <row r="25" spans="1:9" s="253" customFormat="1" ht="9.9499999999999993" customHeight="1" x14ac:dyDescent="0.2">
      <c r="A25" s="425" t="s">
        <v>1664</v>
      </c>
      <c r="B25" s="342"/>
      <c r="C25" s="273">
        <f>+'Grants SOREC'!M25</f>
        <v>936</v>
      </c>
      <c r="D25" s="342"/>
      <c r="E25" s="273">
        <f>+'Special SOREC'!AI26</f>
        <v>26298</v>
      </c>
      <c r="F25" s="342"/>
      <c r="G25" s="273">
        <f>+'Blended SOREC'!AG27</f>
        <v>9095</v>
      </c>
      <c r="H25" s="342"/>
      <c r="I25" s="273">
        <f t="shared" si="0"/>
        <v>36329</v>
      </c>
    </row>
    <row r="26" spans="1:9" s="253" customFormat="1" ht="9.9499999999999993" customHeight="1" x14ac:dyDescent="0.2">
      <c r="A26" s="425" t="s">
        <v>766</v>
      </c>
      <c r="B26" s="342"/>
      <c r="C26" s="273">
        <f>+'Grants SOREC'!M26</f>
        <v>894</v>
      </c>
      <c r="D26" s="342"/>
      <c r="E26" s="273">
        <f>+'Special SOREC'!AI27</f>
        <v>2675</v>
      </c>
      <c r="F26" s="342"/>
      <c r="G26" s="273">
        <f>+'Blended SOREC'!AG28</f>
        <v>3307</v>
      </c>
      <c r="H26" s="342"/>
      <c r="I26" s="273">
        <f t="shared" si="0"/>
        <v>6876</v>
      </c>
    </row>
    <row r="27" spans="1:9" s="253" customFormat="1" ht="5.0999999999999996" customHeight="1" x14ac:dyDescent="0.2">
      <c r="A27" s="450"/>
      <c r="C27" s="340"/>
      <c r="D27" s="301"/>
      <c r="E27" s="340"/>
      <c r="F27" s="301"/>
      <c r="G27" s="340"/>
      <c r="H27" s="301"/>
      <c r="I27" s="340"/>
    </row>
    <row r="28" spans="1:9" s="253" customFormat="1" ht="11.1" customHeight="1" x14ac:dyDescent="0.2">
      <c r="A28" s="417" t="s">
        <v>950</v>
      </c>
      <c r="B28" s="255"/>
      <c r="C28" s="345">
        <f>SUM(C13:C26)</f>
        <v>25924</v>
      </c>
      <c r="D28" s="301"/>
      <c r="E28" s="345">
        <f>SUM(E13:E26)</f>
        <v>517496</v>
      </c>
      <c r="F28" s="301"/>
      <c r="G28" s="273">
        <f>SUM(G13:G26)</f>
        <v>42199</v>
      </c>
      <c r="H28" s="301"/>
      <c r="I28" s="345">
        <f>SUM(I13:I26)</f>
        <v>585619</v>
      </c>
    </row>
    <row r="29" spans="1:9" s="253" customFormat="1" ht="5.0999999999999996" customHeight="1" x14ac:dyDescent="0.2">
      <c r="A29" s="450"/>
      <c r="B29" s="362"/>
      <c r="C29" s="254"/>
      <c r="D29" s="301"/>
      <c r="E29" s="254"/>
      <c r="F29" s="301"/>
      <c r="G29" s="366"/>
      <c r="H29" s="301"/>
      <c r="I29" s="254"/>
    </row>
    <row r="30" spans="1:9" s="253" customFormat="1" ht="9.9499999999999993" customHeight="1" x14ac:dyDescent="0.2">
      <c r="A30" s="417" t="s">
        <v>590</v>
      </c>
      <c r="B30" s="362"/>
      <c r="C30" s="254"/>
      <c r="D30" s="301"/>
      <c r="E30" s="254"/>
      <c r="F30" s="301"/>
      <c r="G30" s="254"/>
      <c r="H30" s="301"/>
      <c r="I30" s="254"/>
    </row>
    <row r="31" spans="1:9" s="253" customFormat="1" ht="9.9499999999999993" customHeight="1" x14ac:dyDescent="0.2">
      <c r="A31" s="425" t="s">
        <v>952</v>
      </c>
      <c r="B31" s="362"/>
      <c r="C31" s="273"/>
      <c r="D31" s="342"/>
      <c r="E31" s="254"/>
      <c r="F31" s="364"/>
      <c r="G31" s="347"/>
      <c r="H31" s="364"/>
      <c r="I31" s="254"/>
    </row>
    <row r="32" spans="1:9" s="253" customFormat="1" ht="9.9499999999999993" customHeight="1" x14ac:dyDescent="0.2">
      <c r="A32" s="426" t="s">
        <v>953</v>
      </c>
      <c r="B32" s="362"/>
      <c r="C32" s="273">
        <f>+'Grants SOREC'!M32</f>
        <v>0</v>
      </c>
      <c r="D32" s="342"/>
      <c r="E32" s="273">
        <f>+'Special SOREC'!AI33</f>
        <v>5574</v>
      </c>
      <c r="F32" s="342"/>
      <c r="G32" s="273">
        <f>+'Blended SOREC'!AG34</f>
        <v>9362</v>
      </c>
      <c r="H32" s="342"/>
      <c r="I32" s="273">
        <f t="shared" ref="I32:I55" si="1">SUM(C32:G32)</f>
        <v>14936</v>
      </c>
    </row>
    <row r="33" spans="1:9" s="253" customFormat="1" ht="9.9499999999999993" customHeight="1" x14ac:dyDescent="0.2">
      <c r="A33" s="426" t="s">
        <v>954</v>
      </c>
      <c r="B33" s="362"/>
      <c r="C33" s="273">
        <f>+'Grants SOREC'!M33</f>
        <v>948</v>
      </c>
      <c r="D33" s="342"/>
      <c r="E33" s="273">
        <f>+'Special SOREC'!AI34</f>
        <v>9700</v>
      </c>
      <c r="F33" s="342"/>
      <c r="G33" s="273">
        <f>+'Blended SOREC'!AG35</f>
        <v>0</v>
      </c>
      <c r="H33" s="342"/>
      <c r="I33" s="273">
        <f t="shared" si="1"/>
        <v>10648</v>
      </c>
    </row>
    <row r="34" spans="1:9" s="253" customFormat="1" ht="9.9499999999999993" customHeight="1" x14ac:dyDescent="0.2">
      <c r="A34" s="426" t="s">
        <v>955</v>
      </c>
      <c r="B34" s="362"/>
      <c r="C34" s="273">
        <f>+'Grants SOREC'!M34</f>
        <v>0</v>
      </c>
      <c r="D34" s="342"/>
      <c r="E34" s="273">
        <f>+'Special SOREC'!AI35</f>
        <v>63403</v>
      </c>
      <c r="F34" s="342"/>
      <c r="G34" s="273">
        <f>+'Blended SOREC'!AG36</f>
        <v>0</v>
      </c>
      <c r="H34" s="342"/>
      <c r="I34" s="273">
        <f t="shared" si="1"/>
        <v>63403</v>
      </c>
    </row>
    <row r="35" spans="1:9" s="253" customFormat="1" ht="9.75" customHeight="1" x14ac:dyDescent="0.2">
      <c r="A35" s="426" t="s">
        <v>956</v>
      </c>
      <c r="B35" s="362"/>
      <c r="C35" s="273">
        <f>+'Grants SOREC'!M35</f>
        <v>0</v>
      </c>
      <c r="D35" s="342"/>
      <c r="E35" s="273">
        <f>+'Special SOREC'!AI36</f>
        <v>9082</v>
      </c>
      <c r="F35" s="342"/>
      <c r="G35" s="273">
        <f>+'Blended SOREC'!AG37</f>
        <v>0</v>
      </c>
      <c r="H35" s="342"/>
      <c r="I35" s="273">
        <f t="shared" si="1"/>
        <v>9082</v>
      </c>
    </row>
    <row r="36" spans="1:9" s="253" customFormat="1" ht="9.75" customHeight="1" x14ac:dyDescent="0.2">
      <c r="A36" s="426" t="s">
        <v>958</v>
      </c>
      <c r="B36" s="362"/>
      <c r="C36" s="273">
        <f>+'Grants SOREC'!M36</f>
        <v>0</v>
      </c>
      <c r="D36" s="342"/>
      <c r="E36" s="273">
        <f>+'Special SOREC'!AI37</f>
        <v>12586</v>
      </c>
      <c r="F36" s="342"/>
      <c r="G36" s="273">
        <f>+'Blended SOREC'!AG38</f>
        <v>0</v>
      </c>
      <c r="H36" s="342"/>
      <c r="I36" s="273">
        <f t="shared" si="1"/>
        <v>12586</v>
      </c>
    </row>
    <row r="37" spans="1:9" s="253" customFormat="1" ht="9.75" customHeight="1" x14ac:dyDescent="0.2">
      <c r="A37" s="426" t="s">
        <v>959</v>
      </c>
      <c r="B37" s="362"/>
      <c r="C37" s="273">
        <f>+'Grants SOREC'!M37</f>
        <v>527</v>
      </c>
      <c r="D37" s="342"/>
      <c r="E37" s="273">
        <f>+'Special SOREC'!AI38</f>
        <v>677</v>
      </c>
      <c r="F37" s="342"/>
      <c r="G37" s="273">
        <f>+'Blended SOREC'!AG39</f>
        <v>0</v>
      </c>
      <c r="H37" s="342"/>
      <c r="I37" s="273">
        <f t="shared" si="1"/>
        <v>1204</v>
      </c>
    </row>
    <row r="38" spans="1:9" s="253" customFormat="1" ht="9.75" customHeight="1" x14ac:dyDescent="0.2">
      <c r="A38" s="426" t="s">
        <v>961</v>
      </c>
      <c r="B38" s="362"/>
      <c r="C38" s="273">
        <f>+'Grants SOREC'!M38</f>
        <v>347</v>
      </c>
      <c r="D38" s="342"/>
      <c r="E38" s="273">
        <f>+'Special SOREC'!AI39</f>
        <v>46121</v>
      </c>
      <c r="F38" s="342"/>
      <c r="G38" s="273">
        <f>+'Blended SOREC'!AG40</f>
        <v>27089</v>
      </c>
      <c r="H38" s="342"/>
      <c r="I38" s="273">
        <f t="shared" si="1"/>
        <v>73557</v>
      </c>
    </row>
    <row r="39" spans="1:9" s="253" customFormat="1" ht="9.75" customHeight="1" x14ac:dyDescent="0.2">
      <c r="A39" s="426" t="s">
        <v>960</v>
      </c>
      <c r="B39" s="362"/>
      <c r="C39" s="273">
        <f>+'Grants SOREC'!M39</f>
        <v>0</v>
      </c>
      <c r="D39" s="342"/>
      <c r="E39" s="273">
        <f>+'Special SOREC'!AI40</f>
        <v>47138</v>
      </c>
      <c r="F39" s="342"/>
      <c r="G39" s="273">
        <f>+'Blended SOREC'!AG41</f>
        <v>30807</v>
      </c>
      <c r="H39" s="342"/>
      <c r="I39" s="273">
        <f t="shared" si="1"/>
        <v>77945</v>
      </c>
    </row>
    <row r="40" spans="1:9" s="253" customFormat="1" ht="9.75" customHeight="1" x14ac:dyDescent="0.2">
      <c r="A40" s="426" t="s">
        <v>963</v>
      </c>
      <c r="B40" s="362"/>
      <c r="C40" s="273">
        <f>+'Grants SOREC'!M40</f>
        <v>22310</v>
      </c>
      <c r="D40" s="342"/>
      <c r="E40" s="273">
        <f>+'Special SOREC'!AI41</f>
        <v>6475</v>
      </c>
      <c r="F40" s="342"/>
      <c r="G40" s="273">
        <f>+'Blended SOREC'!AG42</f>
        <v>3735</v>
      </c>
      <c r="H40" s="342"/>
      <c r="I40" s="273">
        <f t="shared" si="1"/>
        <v>32520</v>
      </c>
    </row>
    <row r="41" spans="1:9" s="253" customFormat="1" ht="9.75" customHeight="1" x14ac:dyDescent="0.2">
      <c r="A41" s="426" t="s">
        <v>1191</v>
      </c>
      <c r="B41" s="362"/>
      <c r="C41" s="273">
        <f>+'Grants SOREC'!M41</f>
        <v>0</v>
      </c>
      <c r="D41" s="342"/>
      <c r="E41" s="273">
        <f>+'Special SOREC'!AI42</f>
        <v>41498</v>
      </c>
      <c r="F41" s="342"/>
      <c r="G41" s="273">
        <f>+'Blended SOREC'!AG43</f>
        <v>98663</v>
      </c>
      <c r="H41" s="342"/>
      <c r="I41" s="273">
        <f>SUM(C41:G41)</f>
        <v>140161</v>
      </c>
    </row>
    <row r="42" spans="1:9" s="253" customFormat="1" ht="9.75" customHeight="1" x14ac:dyDescent="0.2">
      <c r="A42" s="426" t="s">
        <v>964</v>
      </c>
      <c r="B42" s="362"/>
      <c r="C42" s="273">
        <f>+'Grants SOREC'!M42</f>
        <v>0</v>
      </c>
      <c r="D42" s="342"/>
      <c r="E42" s="273">
        <f>+'Special SOREC'!AI43</f>
        <v>37023</v>
      </c>
      <c r="F42" s="342"/>
      <c r="G42" s="273">
        <f>+'Blended SOREC'!AG44</f>
        <v>4203</v>
      </c>
      <c r="H42" s="342"/>
      <c r="I42" s="273">
        <f t="shared" si="1"/>
        <v>41226</v>
      </c>
    </row>
    <row r="43" spans="1:9" s="253" customFormat="1" ht="9.75" customHeight="1" x14ac:dyDescent="0.2">
      <c r="A43" s="426" t="s">
        <v>1414</v>
      </c>
      <c r="B43" s="362"/>
      <c r="C43" s="273">
        <f>+'Grants SOREC'!M43</f>
        <v>0</v>
      </c>
      <c r="D43" s="342"/>
      <c r="E43" s="273">
        <f>+'Special SOREC'!AI44</f>
        <v>114</v>
      </c>
      <c r="F43" s="342"/>
      <c r="G43" s="273">
        <f>+'Blended SOREC'!AG45</f>
        <v>0</v>
      </c>
      <c r="H43" s="342"/>
      <c r="I43" s="273">
        <f>SUM(C43:G43)</f>
        <v>114</v>
      </c>
    </row>
    <row r="44" spans="1:9" s="253" customFormat="1" ht="9.75" customHeight="1" x14ac:dyDescent="0.2">
      <c r="A44" s="425" t="s">
        <v>888</v>
      </c>
      <c r="B44" s="362"/>
      <c r="C44" s="273">
        <f>+'Grants SOREC'!M44</f>
        <v>0</v>
      </c>
      <c r="D44" s="342"/>
      <c r="E44" s="273">
        <f>+'Special SOREC'!AI45</f>
        <v>0</v>
      </c>
      <c r="F44" s="342"/>
      <c r="G44" s="273">
        <f>+'Blended SOREC'!AG46</f>
        <v>780</v>
      </c>
      <c r="H44" s="342"/>
      <c r="I44" s="273">
        <f t="shared" si="1"/>
        <v>780</v>
      </c>
    </row>
    <row r="45" spans="1:9" s="253" customFormat="1" ht="9.75" customHeight="1" x14ac:dyDescent="0.2">
      <c r="A45" s="425" t="s">
        <v>965</v>
      </c>
      <c r="B45" s="362"/>
      <c r="C45" s="273">
        <f>+'Grants SOREC'!M45</f>
        <v>0</v>
      </c>
      <c r="D45" s="342"/>
      <c r="E45" s="273">
        <f>+'Special SOREC'!AI46</f>
        <v>0</v>
      </c>
      <c r="F45" s="342"/>
      <c r="G45" s="273">
        <f>+'Blended SOREC'!AG47</f>
        <v>0</v>
      </c>
      <c r="H45" s="342"/>
      <c r="I45" s="273">
        <f t="shared" si="1"/>
        <v>0</v>
      </c>
    </row>
    <row r="46" spans="1:9" s="253" customFormat="1" ht="9.75" customHeight="1" x14ac:dyDescent="0.2">
      <c r="A46" s="426" t="s">
        <v>966</v>
      </c>
      <c r="B46" s="362"/>
      <c r="C46" s="273">
        <f>+'Grants SOREC'!M46</f>
        <v>0</v>
      </c>
      <c r="D46" s="342"/>
      <c r="E46" s="273">
        <f>+'Special SOREC'!AI47</f>
        <v>0</v>
      </c>
      <c r="F46" s="342"/>
      <c r="G46" s="273">
        <f>+'Blended SOREC'!AG48</f>
        <v>38349</v>
      </c>
      <c r="H46" s="342"/>
      <c r="I46" s="273">
        <f t="shared" si="1"/>
        <v>38349</v>
      </c>
    </row>
    <row r="47" spans="1:9" s="253" customFormat="1" ht="9.9499999999999993" customHeight="1" x14ac:dyDescent="0.2">
      <c r="A47" s="426" t="s">
        <v>949</v>
      </c>
      <c r="B47" s="362"/>
      <c r="C47" s="273">
        <f>+'Grants SOREC'!M47</f>
        <v>0</v>
      </c>
      <c r="D47" s="342"/>
      <c r="E47" s="273">
        <f>+'Special SOREC'!AI48</f>
        <v>0</v>
      </c>
      <c r="F47" s="342"/>
      <c r="G47" s="273">
        <f>+'Blended SOREC'!AG49</f>
        <v>30340</v>
      </c>
      <c r="H47" s="342"/>
      <c r="I47" s="273">
        <f t="shared" si="1"/>
        <v>30340</v>
      </c>
    </row>
    <row r="48" spans="1:9" s="253" customFormat="1" ht="9.9499999999999993" hidden="1" customHeight="1" x14ac:dyDescent="0.2">
      <c r="A48" s="426" t="s">
        <v>91</v>
      </c>
      <c r="B48" s="362"/>
      <c r="C48" s="273">
        <f>+'Grants SOREC'!M48</f>
        <v>0</v>
      </c>
      <c r="D48" s="342"/>
      <c r="E48" s="273">
        <f>+'Special SOREC'!AI49</f>
        <v>0</v>
      </c>
      <c r="F48" s="342"/>
      <c r="G48" s="273">
        <f>+'Blended SOREC'!AG50</f>
        <v>0</v>
      </c>
      <c r="H48" s="342"/>
      <c r="I48" s="273">
        <f t="shared" si="1"/>
        <v>0</v>
      </c>
    </row>
    <row r="49" spans="1:9" s="253" customFormat="1" ht="9.9499999999999993" customHeight="1" x14ac:dyDescent="0.2">
      <c r="A49" s="426" t="s">
        <v>968</v>
      </c>
      <c r="B49" s="362"/>
      <c r="C49" s="273">
        <f>+'Grants SOREC'!M49</f>
        <v>0</v>
      </c>
      <c r="D49" s="342"/>
      <c r="E49" s="273">
        <f>+'Special SOREC'!AI50</f>
        <v>0</v>
      </c>
      <c r="F49" s="342"/>
      <c r="G49" s="273">
        <f>+'Blended SOREC'!AG51</f>
        <v>225</v>
      </c>
      <c r="H49" s="342"/>
      <c r="I49" s="273">
        <f t="shared" si="1"/>
        <v>225</v>
      </c>
    </row>
    <row r="50" spans="1:9" s="253" customFormat="1" ht="9.9499999999999993" customHeight="1" x14ac:dyDescent="0.2">
      <c r="A50" s="425" t="s">
        <v>1595</v>
      </c>
      <c r="B50" s="362"/>
      <c r="C50" s="273"/>
      <c r="D50" s="342"/>
      <c r="E50" s="273"/>
      <c r="F50" s="342"/>
      <c r="G50" s="273"/>
      <c r="H50" s="342"/>
      <c r="I50" s="273"/>
    </row>
    <row r="51" spans="1:9" s="253" customFormat="1" ht="9.9499999999999993" customHeight="1" x14ac:dyDescent="0.2">
      <c r="A51" s="426" t="s">
        <v>966</v>
      </c>
      <c r="B51" s="362"/>
      <c r="C51" s="273">
        <f>+'Grants SOREC'!M51</f>
        <v>0</v>
      </c>
      <c r="D51" s="342"/>
      <c r="E51" s="273">
        <f>+'Special SOREC'!AI52</f>
        <v>71</v>
      </c>
      <c r="F51" s="342"/>
      <c r="G51" s="273">
        <f>+'Blended SOREC'!AG53</f>
        <v>2962</v>
      </c>
      <c r="H51" s="342"/>
      <c r="I51" s="273">
        <f t="shared" si="1"/>
        <v>3033</v>
      </c>
    </row>
    <row r="52" spans="1:9" s="253" customFormat="1" ht="9.9499999999999993" customHeight="1" x14ac:dyDescent="0.2">
      <c r="A52" s="426" t="s">
        <v>949</v>
      </c>
      <c r="B52" s="362"/>
      <c r="C52" s="273">
        <f>+'Grants SOREC'!M52</f>
        <v>0</v>
      </c>
      <c r="D52" s="342"/>
      <c r="E52" s="273">
        <f>+'Special SOREC'!AI53</f>
        <v>2</v>
      </c>
      <c r="F52" s="342"/>
      <c r="G52" s="273">
        <f>+'Blended SOREC'!AG54</f>
        <v>495</v>
      </c>
      <c r="H52" s="342"/>
      <c r="I52" s="273">
        <f t="shared" si="1"/>
        <v>497</v>
      </c>
    </row>
    <row r="53" spans="1:9" s="253" customFormat="1" ht="9.9499999999999993" customHeight="1" x14ac:dyDescent="0.2">
      <c r="A53" s="425" t="s">
        <v>1641</v>
      </c>
      <c r="B53" s="362"/>
      <c r="C53" s="273"/>
      <c r="D53" s="342"/>
      <c r="E53" s="273"/>
      <c r="F53" s="342"/>
      <c r="G53" s="273"/>
      <c r="H53" s="342"/>
      <c r="I53" s="273">
        <f t="shared" si="1"/>
        <v>0</v>
      </c>
    </row>
    <row r="54" spans="1:9" s="253" customFormat="1" ht="9.9499999999999993" customHeight="1" x14ac:dyDescent="0.2">
      <c r="A54" s="426" t="s">
        <v>966</v>
      </c>
      <c r="B54" s="362"/>
      <c r="C54" s="273">
        <f>'Grants SOREC'!M54</f>
        <v>62</v>
      </c>
      <c r="D54" s="342"/>
      <c r="E54" s="273">
        <f>'Special SOREC'!AI55</f>
        <v>423</v>
      </c>
      <c r="F54" s="342"/>
      <c r="G54" s="273">
        <f>'Blended SOREC'!AG56</f>
        <v>217</v>
      </c>
      <c r="H54" s="342"/>
      <c r="I54" s="273">
        <f t="shared" si="1"/>
        <v>702</v>
      </c>
    </row>
    <row r="55" spans="1:9" s="253" customFormat="1" ht="9.9499999999999993" customHeight="1" x14ac:dyDescent="0.2">
      <c r="A55" s="426" t="s">
        <v>949</v>
      </c>
      <c r="B55" s="362"/>
      <c r="C55" s="273">
        <f>'Grants SOREC'!M55</f>
        <v>3</v>
      </c>
      <c r="D55" s="342"/>
      <c r="E55" s="273">
        <f>'Special SOREC'!AI56</f>
        <v>34</v>
      </c>
      <c r="F55" s="342"/>
      <c r="G55" s="273">
        <f>'Blended SOREC'!AG57</f>
        <v>16</v>
      </c>
      <c r="H55" s="342"/>
      <c r="I55" s="273">
        <f t="shared" si="1"/>
        <v>53</v>
      </c>
    </row>
    <row r="56" spans="1:9" s="253" customFormat="1" ht="5.0999999999999996" customHeight="1" x14ac:dyDescent="0.2">
      <c r="A56" s="450"/>
      <c r="B56" s="362"/>
      <c r="C56" s="366"/>
      <c r="D56" s="301"/>
      <c r="E56" s="366"/>
      <c r="F56" s="301"/>
      <c r="G56" s="366"/>
      <c r="H56" s="301"/>
      <c r="I56" s="366"/>
    </row>
    <row r="57" spans="1:9" s="253" customFormat="1" ht="11.1" customHeight="1" x14ac:dyDescent="0.2">
      <c r="A57" s="417" t="s">
        <v>970</v>
      </c>
      <c r="B57" s="362"/>
      <c r="C57" s="345">
        <f>SUM(C32:C55)</f>
        <v>24197</v>
      </c>
      <c r="D57" s="301"/>
      <c r="E57" s="345">
        <f t="shared" ref="E57" si="2">SUM(E32:E55)</f>
        <v>279921</v>
      </c>
      <c r="F57" s="301"/>
      <c r="G57" s="345">
        <f t="shared" ref="G57" si="3">SUM(G32:G55)</f>
        <v>247243</v>
      </c>
      <c r="H57" s="301"/>
      <c r="I57" s="345">
        <f t="shared" ref="I57" si="4">SUM(I32:I55)</f>
        <v>551361</v>
      </c>
    </row>
    <row r="58" spans="1:9" s="253" customFormat="1" ht="5.0999999999999996" customHeight="1" x14ac:dyDescent="0.2">
      <c r="A58" s="450"/>
      <c r="B58" s="362"/>
      <c r="C58" s="273"/>
      <c r="D58" s="342"/>
      <c r="E58" s="273"/>
      <c r="F58" s="342"/>
      <c r="G58" s="273"/>
      <c r="H58" s="342"/>
      <c r="I58" s="273"/>
    </row>
    <row r="59" spans="1:9" s="253" customFormat="1" ht="9.9499999999999993" customHeight="1" x14ac:dyDescent="0.2">
      <c r="A59" s="417" t="s">
        <v>19</v>
      </c>
      <c r="B59" s="362"/>
      <c r="C59" s="273"/>
      <c r="D59" s="342"/>
      <c r="E59" s="273"/>
      <c r="F59" s="342"/>
      <c r="G59" s="273"/>
      <c r="H59" s="342"/>
      <c r="I59" s="273"/>
    </row>
    <row r="60" spans="1:9" s="253" customFormat="1" ht="9.9499999999999993" customHeight="1" x14ac:dyDescent="0.2">
      <c r="A60" s="644" t="s">
        <v>20</v>
      </c>
      <c r="B60" s="362"/>
      <c r="C60" s="341">
        <f>+C28-C57</f>
        <v>1727</v>
      </c>
      <c r="D60" s="342"/>
      <c r="E60" s="341">
        <f>+E28-E57</f>
        <v>237575</v>
      </c>
      <c r="F60" s="342"/>
      <c r="G60" s="341">
        <f>+G28-G57</f>
        <v>-205044</v>
      </c>
      <c r="H60" s="342"/>
      <c r="I60" s="341">
        <f>+I28-I57</f>
        <v>34258</v>
      </c>
    </row>
    <row r="61" spans="1:9" s="253" customFormat="1" ht="5.0999999999999996" customHeight="1" x14ac:dyDescent="0.2">
      <c r="A61" s="450"/>
      <c r="B61" s="362"/>
      <c r="C61" s="273"/>
      <c r="D61" s="342"/>
      <c r="E61" s="273"/>
      <c r="F61" s="342"/>
      <c r="G61" s="273"/>
      <c r="H61" s="342"/>
      <c r="I61" s="273"/>
    </row>
    <row r="62" spans="1:9" s="253" customFormat="1" ht="9.9499999999999993" customHeight="1" x14ac:dyDescent="0.2">
      <c r="A62" s="417" t="s">
        <v>34</v>
      </c>
      <c r="B62" s="362"/>
      <c r="C62" s="273"/>
      <c r="D62" s="342"/>
      <c r="E62" s="273"/>
      <c r="F62" s="342"/>
      <c r="G62" s="273"/>
      <c r="H62" s="342"/>
      <c r="I62" s="273"/>
    </row>
    <row r="63" spans="1:9" s="253" customFormat="1" ht="9.9499999999999993" customHeight="1" x14ac:dyDescent="0.2">
      <c r="A63" s="425" t="s">
        <v>667</v>
      </c>
      <c r="B63" s="362"/>
      <c r="C63" s="273">
        <f>+'Grants SOREC'!M63</f>
        <v>0</v>
      </c>
      <c r="D63" s="342"/>
      <c r="E63" s="273">
        <f>+'Special SOREC'!AI64</f>
        <v>0</v>
      </c>
      <c r="F63" s="342"/>
      <c r="G63" s="273">
        <f>+'Blended SOREC'!AG65</f>
        <v>30737</v>
      </c>
      <c r="H63" s="342"/>
      <c r="I63" s="273">
        <f t="shared" ref="I63:I72" si="5">SUM(C63:G63)</f>
        <v>30737</v>
      </c>
    </row>
    <row r="64" spans="1:9" s="253" customFormat="1" ht="9.9499999999999993" hidden="1" customHeight="1" x14ac:dyDescent="0.2">
      <c r="A64" s="425" t="s">
        <v>1235</v>
      </c>
      <c r="B64" s="362"/>
      <c r="C64" s="273">
        <f>+'Grants SOREC'!M64</f>
        <v>0</v>
      </c>
      <c r="D64" s="342"/>
      <c r="E64" s="273">
        <f>+'Special SOREC'!AI65</f>
        <v>0</v>
      </c>
      <c r="F64" s="342"/>
      <c r="G64" s="273">
        <f>+'Blended SOREC'!AG66</f>
        <v>0</v>
      </c>
      <c r="H64" s="342"/>
      <c r="I64" s="273">
        <f t="shared" si="5"/>
        <v>0</v>
      </c>
    </row>
    <row r="65" spans="1:13" s="253" customFormat="1" ht="9.9499999999999993" hidden="1" customHeight="1" x14ac:dyDescent="0.2">
      <c r="A65" s="425" t="s">
        <v>973</v>
      </c>
      <c r="B65" s="362"/>
      <c r="C65" s="273">
        <f>+'Grants SOREC'!M65</f>
        <v>0</v>
      </c>
      <c r="D65" s="342"/>
      <c r="E65" s="273">
        <f>+'Special SOREC'!AI66</f>
        <v>0</v>
      </c>
      <c r="F65" s="342"/>
      <c r="G65" s="273">
        <f>+'Blended SOREC'!AG67</f>
        <v>0</v>
      </c>
      <c r="H65" s="342"/>
      <c r="I65" s="273">
        <f t="shared" si="5"/>
        <v>0</v>
      </c>
    </row>
    <row r="66" spans="1:13" s="253" customFormat="1" ht="9.9499999999999993" hidden="1" customHeight="1" x14ac:dyDescent="0.2">
      <c r="A66" s="425" t="s">
        <v>666</v>
      </c>
      <c r="B66" s="362"/>
      <c r="C66" s="273">
        <f>+'Grants SOREC'!M66</f>
        <v>0</v>
      </c>
      <c r="D66" s="342"/>
      <c r="E66" s="273">
        <f>+'Special SOREC'!AI67</f>
        <v>0</v>
      </c>
      <c r="F66" s="342"/>
      <c r="G66" s="273">
        <f>+'Blended SOREC'!AG68</f>
        <v>0</v>
      </c>
      <c r="H66" s="342"/>
      <c r="I66" s="273">
        <f t="shared" si="5"/>
        <v>0</v>
      </c>
    </row>
    <row r="67" spans="1:13" s="253" customFormat="1" ht="9.9499999999999993" customHeight="1" x14ac:dyDescent="0.2">
      <c r="A67" s="425" t="s">
        <v>1581</v>
      </c>
      <c r="B67" s="362"/>
      <c r="C67" s="273">
        <f>+'Grants SOREC'!M67</f>
        <v>0</v>
      </c>
      <c r="D67" s="342"/>
      <c r="E67" s="273">
        <f>+'Special SOREC'!AI68</f>
        <v>15</v>
      </c>
      <c r="F67" s="342"/>
      <c r="G67" s="273">
        <f>+'Blended SOREC'!AG69</f>
        <v>2615</v>
      </c>
      <c r="H67" s="342"/>
      <c r="I67" s="273">
        <f t="shared" ref="I67" si="6">SUM(C67:G67)</f>
        <v>2630</v>
      </c>
    </row>
    <row r="68" spans="1:13" s="253" customFormat="1" ht="9.9499999999999993" customHeight="1" x14ac:dyDescent="0.2">
      <c r="A68" s="425" t="s">
        <v>1642</v>
      </c>
      <c r="B68" s="362"/>
      <c r="C68" s="273">
        <f>+'Grants SOREC'!M68</f>
        <v>0</v>
      </c>
      <c r="D68" s="342"/>
      <c r="E68" s="273">
        <f>+'Special SOREC'!AI69</f>
        <v>0</v>
      </c>
      <c r="F68" s="342"/>
      <c r="G68" s="273">
        <f>+'Blended SOREC'!AG70</f>
        <v>758</v>
      </c>
      <c r="H68" s="342"/>
      <c r="I68" s="273">
        <f t="shared" ref="I68" si="7">SUM(C68:G68)</f>
        <v>758</v>
      </c>
    </row>
    <row r="69" spans="1:13" s="253" customFormat="1" ht="9.9499999999999993" hidden="1" customHeight="1" x14ac:dyDescent="0.2">
      <c r="A69" s="425" t="s">
        <v>668</v>
      </c>
      <c r="B69" s="362"/>
      <c r="C69" s="273">
        <f>+'Grants SOREC'!M69</f>
        <v>0</v>
      </c>
      <c r="D69" s="342"/>
      <c r="E69" s="273">
        <f>+'Special SOREC'!AI70</f>
        <v>0</v>
      </c>
      <c r="F69" s="342"/>
      <c r="G69" s="273">
        <f>+'Blended SOREC'!AG71</f>
        <v>0</v>
      </c>
      <c r="H69" s="342"/>
      <c r="I69" s="273">
        <f t="shared" si="5"/>
        <v>0</v>
      </c>
    </row>
    <row r="70" spans="1:13" s="253" customFormat="1" ht="9.9499999999999993" customHeight="1" x14ac:dyDescent="0.2">
      <c r="A70" s="425" t="s">
        <v>404</v>
      </c>
      <c r="B70" s="362"/>
      <c r="C70" s="273">
        <f>+'Grants SOREC'!M70</f>
        <v>0</v>
      </c>
      <c r="D70" s="342"/>
      <c r="E70" s="273">
        <f>+'Special SOREC'!AI71</f>
        <v>0</v>
      </c>
      <c r="F70" s="342"/>
      <c r="G70" s="273">
        <f>+'Blended SOREC'!AG72</f>
        <v>1333</v>
      </c>
      <c r="H70" s="342"/>
      <c r="I70" s="273">
        <f t="shared" si="5"/>
        <v>1333</v>
      </c>
    </row>
    <row r="71" spans="1:13" s="253" customFormat="1" ht="9.9499999999999993" customHeight="1" x14ac:dyDescent="0.2">
      <c r="A71" s="425" t="s">
        <v>21</v>
      </c>
      <c r="B71" s="362"/>
      <c r="C71" s="273">
        <f>+'Grants SOREC'!M71</f>
        <v>1</v>
      </c>
      <c r="D71" s="342"/>
      <c r="E71" s="273">
        <f>+'Special SOREC'!AI72</f>
        <v>40393</v>
      </c>
      <c r="F71" s="342"/>
      <c r="G71" s="273">
        <f>+'Blended SOREC'!AG73</f>
        <v>173863</v>
      </c>
      <c r="H71" s="342"/>
      <c r="I71" s="273">
        <f t="shared" si="5"/>
        <v>214257</v>
      </c>
    </row>
    <row r="72" spans="1:13" s="253" customFormat="1" ht="9.9499999999999993" customHeight="1" x14ac:dyDescent="0.2">
      <c r="A72" s="425" t="s">
        <v>22</v>
      </c>
      <c r="B72" s="362"/>
      <c r="C72" s="273">
        <f>+'Grants SOREC'!M72</f>
        <v>-1483</v>
      </c>
      <c r="D72" s="342"/>
      <c r="E72" s="273">
        <f>+'Special SOREC'!AI73</f>
        <v>-278583</v>
      </c>
      <c r="F72" s="342"/>
      <c r="G72" s="273">
        <f>+'Blended SOREC'!AG74</f>
        <v>-16216</v>
      </c>
      <c r="H72" s="342"/>
      <c r="I72" s="273">
        <f t="shared" si="5"/>
        <v>-296282</v>
      </c>
    </row>
    <row r="73" spans="1:13" s="253" customFormat="1" ht="5.0999999999999996" customHeight="1" x14ac:dyDescent="0.2">
      <c r="A73" s="450"/>
      <c r="B73" s="362"/>
      <c r="C73" s="340"/>
      <c r="D73" s="342"/>
      <c r="E73" s="340"/>
      <c r="F73" s="342"/>
      <c r="G73" s="340"/>
      <c r="H73" s="342"/>
      <c r="I73" s="340"/>
    </row>
    <row r="74" spans="1:13" s="253" customFormat="1" ht="11.1" customHeight="1" x14ac:dyDescent="0.2">
      <c r="A74" s="417" t="s">
        <v>1334</v>
      </c>
      <c r="B74" s="273"/>
      <c r="C74" s="273">
        <f>SUM(C63:C72)</f>
        <v>-1482</v>
      </c>
      <c r="D74" s="273"/>
      <c r="E74" s="273">
        <f>SUM(E63:E72)</f>
        <v>-238175</v>
      </c>
      <c r="F74" s="273"/>
      <c r="G74" s="273">
        <f>SUM(G63:G72)</f>
        <v>193090</v>
      </c>
      <c r="H74" s="362"/>
      <c r="I74" s="273">
        <f>SUM(I63:I72)</f>
        <v>-46567</v>
      </c>
      <c r="J74" s="342"/>
      <c r="K74" s="273">
        <f>SUM(K63:K72)</f>
        <v>0</v>
      </c>
      <c r="L74" s="342"/>
      <c r="M74" s="273">
        <f>SUM(M63:M72)</f>
        <v>0</v>
      </c>
    </row>
    <row r="75" spans="1:13" s="253" customFormat="1" ht="5.0999999999999996" customHeight="1" x14ac:dyDescent="0.2">
      <c r="A75" s="450"/>
      <c r="B75" s="362"/>
      <c r="C75" s="366"/>
      <c r="D75" s="301"/>
      <c r="E75" s="366"/>
      <c r="F75" s="301"/>
      <c r="G75" s="366"/>
      <c r="H75" s="301"/>
      <c r="I75" s="366"/>
    </row>
    <row r="76" spans="1:13" s="253" customFormat="1" ht="9.9499999999999993" customHeight="1" x14ac:dyDescent="0.2">
      <c r="A76" s="417" t="s">
        <v>989</v>
      </c>
      <c r="C76" s="273">
        <f>+C60+C74</f>
        <v>245</v>
      </c>
      <c r="E76" s="273">
        <f>+E60+E74</f>
        <v>-600</v>
      </c>
      <c r="G76" s="273">
        <f>+G60+G74</f>
        <v>-11954</v>
      </c>
      <c r="I76" s="273">
        <f>+I60+I74</f>
        <v>-12309</v>
      </c>
      <c r="K76" s="273">
        <f>+K60+K74</f>
        <v>0</v>
      </c>
      <c r="L76" s="362"/>
      <c r="M76" s="273">
        <f>SUM(C76:K76)</f>
        <v>-24618</v>
      </c>
    </row>
    <row r="77" spans="1:13" s="253" customFormat="1" ht="5.0999999999999996" customHeight="1" x14ac:dyDescent="0.2">
      <c r="A77" s="418"/>
      <c r="H77" s="362"/>
      <c r="J77" s="362"/>
      <c r="L77" s="362"/>
    </row>
    <row r="78" spans="1:13" s="253" customFormat="1" ht="11.1" customHeight="1" x14ac:dyDescent="0.2">
      <c r="A78" s="418" t="s">
        <v>1719</v>
      </c>
      <c r="B78" s="273"/>
      <c r="C78" s="341">
        <v>-10095</v>
      </c>
      <c r="D78" s="273"/>
      <c r="E78" s="341">
        <v>429711</v>
      </c>
      <c r="F78" s="273"/>
      <c r="G78" s="455">
        <v>222696</v>
      </c>
      <c r="H78" s="362"/>
      <c r="I78" s="273">
        <f>SUM(C78:G78)</f>
        <v>642312</v>
      </c>
      <c r="J78" s="342"/>
      <c r="K78" s="341">
        <v>25883</v>
      </c>
      <c r="L78" s="342"/>
      <c r="M78" s="273">
        <f>SUM(C78:K78)</f>
        <v>1310507</v>
      </c>
    </row>
    <row r="79" spans="1:13" s="253" customFormat="1" ht="5.0999999999999996" customHeight="1" x14ac:dyDescent="0.2">
      <c r="A79" s="418"/>
      <c r="B79" s="273"/>
      <c r="C79" s="273"/>
      <c r="D79" s="273"/>
      <c r="E79" s="273"/>
      <c r="F79" s="273"/>
      <c r="G79" s="450"/>
      <c r="H79" s="362"/>
      <c r="I79" s="340"/>
      <c r="J79" s="342"/>
      <c r="K79" s="273"/>
      <c r="L79" s="342"/>
      <c r="M79" s="273"/>
    </row>
    <row r="80" spans="1:13" s="253" customFormat="1" ht="11.1" hidden="1" customHeight="1" x14ac:dyDescent="0.2">
      <c r="A80" s="418" t="s">
        <v>1715</v>
      </c>
      <c r="B80" s="273"/>
      <c r="C80" s="273"/>
      <c r="D80" s="273"/>
      <c r="E80" s="273"/>
      <c r="F80" s="273"/>
      <c r="G80" s="450"/>
      <c r="H80" s="362"/>
      <c r="I80" s="273">
        <f t="shared" ref="I80" si="8">SUM(C80:G80)</f>
        <v>0</v>
      </c>
      <c r="J80" s="342"/>
      <c r="K80" s="273"/>
      <c r="L80" s="342"/>
      <c r="M80" s="273"/>
    </row>
    <row r="81" spans="1:13" s="253" customFormat="1" ht="5.0999999999999996" hidden="1" customHeight="1" x14ac:dyDescent="0.2">
      <c r="A81" s="418"/>
      <c r="B81" s="273"/>
      <c r="C81" s="273"/>
      <c r="D81" s="273"/>
      <c r="E81" s="273"/>
      <c r="F81" s="273"/>
      <c r="G81" s="450"/>
      <c r="H81" s="362"/>
      <c r="I81" s="273"/>
      <c r="J81" s="342"/>
      <c r="K81" s="273"/>
      <c r="L81" s="342"/>
      <c r="M81" s="273"/>
    </row>
    <row r="82" spans="1:13" s="253" customFormat="1" ht="11.1" customHeight="1" x14ac:dyDescent="0.2">
      <c r="A82" s="418" t="s">
        <v>1716</v>
      </c>
      <c r="B82" s="273"/>
      <c r="C82" s="273"/>
      <c r="D82" s="273"/>
      <c r="E82" s="273"/>
      <c r="F82" s="273"/>
      <c r="G82" s="450">
        <f>'Blended SOREC'!AG84</f>
        <v>-424</v>
      </c>
      <c r="H82" s="362"/>
      <c r="I82" s="273">
        <f t="shared" ref="I82" si="9">SUM(C82:G82)</f>
        <v>-424</v>
      </c>
      <c r="J82" s="342"/>
      <c r="K82" s="273"/>
      <c r="L82" s="342"/>
      <c r="M82" s="273"/>
    </row>
    <row r="83" spans="1:13" s="253" customFormat="1" ht="5.0999999999999996" customHeight="1" x14ac:dyDescent="0.2">
      <c r="A83" s="418"/>
      <c r="B83" s="273"/>
      <c r="C83" s="273"/>
      <c r="D83" s="273"/>
      <c r="E83" s="273"/>
      <c r="F83" s="273"/>
      <c r="G83" s="450"/>
      <c r="H83" s="362"/>
      <c r="I83" s="273"/>
      <c r="J83" s="342"/>
      <c r="K83" s="273"/>
      <c r="L83" s="342"/>
      <c r="M83" s="273"/>
    </row>
    <row r="84" spans="1:13" s="253" customFormat="1" ht="11.1" hidden="1" customHeight="1" x14ac:dyDescent="0.2">
      <c r="A84" s="418" t="s">
        <v>1717</v>
      </c>
      <c r="B84" s="273"/>
      <c r="C84" s="273"/>
      <c r="D84" s="273"/>
      <c r="E84" s="273"/>
      <c r="F84" s="273"/>
      <c r="G84" s="450"/>
      <c r="H84" s="362"/>
      <c r="I84" s="273">
        <f t="shared" ref="I84" si="10">SUM(C84:G84)</f>
        <v>0</v>
      </c>
      <c r="J84" s="342"/>
      <c r="K84" s="273"/>
      <c r="L84" s="342"/>
      <c r="M84" s="273"/>
    </row>
    <row r="85" spans="1:13" s="253" customFormat="1" ht="5.0999999999999996" hidden="1" customHeight="1" x14ac:dyDescent="0.2">
      <c r="A85" s="418"/>
      <c r="B85" s="273"/>
      <c r="C85" s="273"/>
      <c r="D85" s="273"/>
      <c r="E85" s="273"/>
      <c r="F85" s="273"/>
      <c r="G85" s="450"/>
      <c r="H85" s="362"/>
      <c r="I85" s="273"/>
      <c r="J85" s="342"/>
      <c r="K85" s="273"/>
      <c r="L85" s="342"/>
      <c r="M85" s="273"/>
    </row>
    <row r="86" spans="1:13" s="253" customFormat="1" ht="11.1" customHeight="1" x14ac:dyDescent="0.2">
      <c r="A86" s="425" t="s">
        <v>1720</v>
      </c>
      <c r="B86" s="273"/>
      <c r="C86" s="341">
        <f>SUM(C78:C85)</f>
        <v>-10095</v>
      </c>
      <c r="D86" s="273"/>
      <c r="E86" s="341">
        <f>SUM(E78:E85)</f>
        <v>429711</v>
      </c>
      <c r="F86" s="273"/>
      <c r="G86" s="341">
        <f>SUM(G78:G85)</f>
        <v>222272</v>
      </c>
      <c r="H86" s="362"/>
      <c r="I86" s="341">
        <f>SUM(I78:I85)</f>
        <v>641888</v>
      </c>
      <c r="J86" s="342"/>
      <c r="K86" s="273"/>
      <c r="L86" s="342"/>
      <c r="M86" s="273"/>
    </row>
    <row r="87" spans="1:13" s="253" customFormat="1" ht="5.0999999999999996" customHeight="1" x14ac:dyDescent="0.2">
      <c r="A87" s="450"/>
      <c r="B87" s="362"/>
      <c r="C87" s="254"/>
      <c r="D87" s="301"/>
      <c r="E87" s="254"/>
      <c r="F87" s="301"/>
      <c r="G87" s="254"/>
      <c r="H87" s="301"/>
      <c r="I87" s="254"/>
    </row>
    <row r="88" spans="1:13" s="253" customFormat="1" ht="11.1" customHeight="1" thickBot="1" x14ac:dyDescent="0.25">
      <c r="A88" s="417" t="s">
        <v>1700</v>
      </c>
      <c r="C88" s="344">
        <f>+C86+C76</f>
        <v>-9850</v>
      </c>
      <c r="E88" s="344">
        <f>+E86+E76</f>
        <v>429111</v>
      </c>
      <c r="G88" s="344">
        <f>+G86+G76</f>
        <v>210318</v>
      </c>
      <c r="I88" s="344">
        <f>+I86+I76</f>
        <v>629579</v>
      </c>
      <c r="K88" s="344">
        <f>+K76+K78</f>
        <v>25883</v>
      </c>
      <c r="M88" s="344">
        <f>+M76+M78</f>
        <v>1285889</v>
      </c>
    </row>
    <row r="89" spans="1:13" s="253" customFormat="1" ht="5.0999999999999996" customHeight="1" thickTop="1" x14ac:dyDescent="0.2">
      <c r="A89" s="418"/>
      <c r="B89" s="362"/>
      <c r="D89" s="362"/>
      <c r="F89" s="362"/>
      <c r="H89" s="362"/>
    </row>
    <row r="90" spans="1:13" s="253" customFormat="1" ht="9.9499999999999993" customHeight="1" x14ac:dyDescent="0.2">
      <c r="A90" s="418"/>
      <c r="B90" s="362"/>
      <c r="D90" s="362"/>
      <c r="F90" s="362"/>
      <c r="H90" s="362"/>
    </row>
    <row r="91" spans="1:13" s="511" customFormat="1" ht="9.9499999999999993" customHeight="1" x14ac:dyDescent="0.2">
      <c r="A91" s="1014" t="s">
        <v>992</v>
      </c>
      <c r="B91" s="512"/>
      <c r="C91" s="511">
        <f>+C88-'SR Tie BS'!B65</f>
        <v>-14684</v>
      </c>
      <c r="D91" s="512"/>
      <c r="E91" s="511">
        <f>+E88-'SR Tie BS'!D65</f>
        <v>0</v>
      </c>
      <c r="F91" s="512"/>
      <c r="G91" s="511">
        <f>+G88-'SR Tie BS'!F65</f>
        <v>0</v>
      </c>
      <c r="H91" s="512"/>
      <c r="I91" s="511">
        <f>+I88-'SR Tie BS'!H65</f>
        <v>-14684</v>
      </c>
    </row>
    <row r="92" spans="1:13" s="422" customFormat="1" ht="9.9499999999999993" customHeight="1" x14ac:dyDescent="0.2">
      <c r="B92" s="423"/>
      <c r="D92" s="423"/>
      <c r="F92" s="423"/>
      <c r="H92" s="423"/>
    </row>
    <row r="93" spans="1:13" s="422" customFormat="1" ht="9.9499999999999993" customHeight="1" x14ac:dyDescent="0.2">
      <c r="B93" s="423"/>
      <c r="D93" s="423"/>
      <c r="F93" s="423"/>
      <c r="H93" s="423"/>
    </row>
    <row r="94" spans="1:13" s="422" customFormat="1" ht="9.9499999999999993" customHeight="1" x14ac:dyDescent="0.2">
      <c r="B94" s="423"/>
      <c r="D94" s="423"/>
      <c r="F94" s="423"/>
      <c r="H94" s="423"/>
    </row>
    <row r="95" spans="1:13" s="422" customFormat="1" ht="9.9499999999999993" customHeight="1" x14ac:dyDescent="0.2">
      <c r="B95" s="423"/>
      <c r="D95" s="423"/>
      <c r="F95" s="423"/>
      <c r="H95" s="423"/>
    </row>
    <row r="96" spans="1:13" s="422" customFormat="1" ht="9.9499999999999993" customHeight="1" x14ac:dyDescent="0.2">
      <c r="B96" s="423"/>
      <c r="D96" s="423"/>
      <c r="F96" s="423"/>
      <c r="H96" s="423"/>
    </row>
    <row r="97" spans="2:8" s="422" customFormat="1" ht="9.9499999999999993" customHeight="1" x14ac:dyDescent="0.2">
      <c r="B97" s="423"/>
      <c r="D97" s="423"/>
      <c r="F97" s="423"/>
      <c r="H97" s="423"/>
    </row>
    <row r="98" spans="2:8" s="422" customFormat="1" ht="9.9499999999999993" customHeight="1" x14ac:dyDescent="0.2">
      <c r="B98" s="423"/>
      <c r="D98" s="423"/>
      <c r="F98" s="423"/>
      <c r="H98" s="423"/>
    </row>
    <row r="99" spans="2:8" s="422" customFormat="1" ht="9.9499999999999993" customHeight="1" x14ac:dyDescent="0.2">
      <c r="B99" s="423"/>
      <c r="D99" s="423"/>
      <c r="F99" s="423"/>
      <c r="H99" s="423"/>
    </row>
    <row r="100" spans="2:8" s="422" customFormat="1" ht="9.9499999999999993" customHeight="1" x14ac:dyDescent="0.2">
      <c r="B100" s="423"/>
      <c r="D100" s="423"/>
      <c r="F100" s="423"/>
      <c r="H100" s="423"/>
    </row>
    <row r="101" spans="2:8" s="422" customFormat="1" ht="9.9499999999999993" customHeight="1" x14ac:dyDescent="0.2">
      <c r="B101" s="423"/>
      <c r="D101" s="423"/>
      <c r="F101" s="423"/>
      <c r="H101" s="423"/>
    </row>
    <row r="102" spans="2:8" s="422" customFormat="1" ht="9.9499999999999993" customHeight="1" x14ac:dyDescent="0.2">
      <c r="B102" s="423"/>
      <c r="D102" s="423"/>
      <c r="F102" s="423"/>
      <c r="H102" s="423"/>
    </row>
    <row r="103" spans="2:8" s="422" customFormat="1" ht="9.9499999999999993" customHeight="1" x14ac:dyDescent="0.2">
      <c r="B103" s="423"/>
      <c r="D103" s="423"/>
      <c r="F103" s="423"/>
      <c r="H103" s="423"/>
    </row>
    <row r="104" spans="2:8" s="422" customFormat="1" ht="9.9499999999999993" customHeight="1" x14ac:dyDescent="0.2">
      <c r="B104" s="423"/>
      <c r="D104" s="423"/>
      <c r="F104" s="423"/>
      <c r="H104" s="423"/>
    </row>
    <row r="105" spans="2:8" s="422" customFormat="1" ht="9.9499999999999993" customHeight="1" x14ac:dyDescent="0.2">
      <c r="B105" s="423"/>
      <c r="D105" s="423"/>
      <c r="F105" s="423"/>
      <c r="H105" s="423"/>
    </row>
    <row r="106" spans="2:8" s="422" customFormat="1" ht="9.9499999999999993" customHeight="1" x14ac:dyDescent="0.2">
      <c r="B106" s="423"/>
      <c r="D106" s="423"/>
      <c r="F106" s="423"/>
      <c r="H106" s="423"/>
    </row>
    <row r="107" spans="2:8" s="422" customFormat="1" ht="9.9499999999999993" customHeight="1" x14ac:dyDescent="0.2">
      <c r="B107" s="423"/>
      <c r="D107" s="423"/>
      <c r="F107" s="423"/>
      <c r="H107" s="423"/>
    </row>
    <row r="108" spans="2:8" s="422" customFormat="1" ht="9.9499999999999993" customHeight="1" x14ac:dyDescent="0.2">
      <c r="B108" s="423"/>
      <c r="D108" s="423"/>
      <c r="F108" s="423"/>
      <c r="H108" s="423"/>
    </row>
    <row r="109" spans="2:8" s="422" customFormat="1" ht="9.9499999999999993" customHeight="1" x14ac:dyDescent="0.2">
      <c r="B109" s="423"/>
      <c r="D109" s="423"/>
      <c r="F109" s="423"/>
      <c r="H109" s="423"/>
    </row>
    <row r="110" spans="2:8" s="422" customFormat="1" ht="9.9499999999999993" customHeight="1" x14ac:dyDescent="0.2">
      <c r="B110" s="423"/>
      <c r="D110" s="423"/>
      <c r="F110" s="423"/>
      <c r="H110" s="423"/>
    </row>
    <row r="111" spans="2:8" s="422" customFormat="1" ht="9.9499999999999993" customHeight="1" x14ac:dyDescent="0.2">
      <c r="B111" s="423"/>
      <c r="D111" s="423"/>
      <c r="F111" s="423"/>
      <c r="H111" s="423"/>
    </row>
    <row r="112" spans="2:8" s="422" customFormat="1" ht="9.9499999999999993" customHeight="1" x14ac:dyDescent="0.2">
      <c r="B112" s="423"/>
      <c r="D112" s="423"/>
      <c r="F112" s="423"/>
      <c r="H112" s="423"/>
    </row>
    <row r="113" spans="2:8" s="422" customFormat="1" ht="9.9499999999999993" customHeight="1" x14ac:dyDescent="0.2">
      <c r="B113" s="423"/>
      <c r="D113" s="423"/>
      <c r="F113" s="423"/>
      <c r="H113" s="423"/>
    </row>
    <row r="114" spans="2:8" s="422" customFormat="1" ht="9.9499999999999993" customHeight="1" x14ac:dyDescent="0.2">
      <c r="B114" s="423"/>
      <c r="D114" s="423"/>
      <c r="F114" s="423"/>
      <c r="H114" s="423"/>
    </row>
    <row r="115" spans="2:8" s="422" customFormat="1" ht="9.9499999999999993" customHeight="1" x14ac:dyDescent="0.2">
      <c r="B115" s="423"/>
      <c r="D115" s="423"/>
      <c r="F115" s="423"/>
      <c r="H115" s="423"/>
    </row>
    <row r="116" spans="2:8" s="422" customFormat="1" ht="9.9499999999999993" customHeight="1" x14ac:dyDescent="0.2">
      <c r="B116" s="423"/>
      <c r="D116" s="423"/>
      <c r="F116" s="423"/>
      <c r="H116" s="423"/>
    </row>
    <row r="117" spans="2:8" s="422" customFormat="1" ht="9.9499999999999993" customHeight="1" x14ac:dyDescent="0.2">
      <c r="B117" s="423"/>
      <c r="D117" s="423"/>
      <c r="F117" s="423"/>
      <c r="H117" s="423"/>
    </row>
    <row r="118" spans="2:8" s="422" customFormat="1" ht="9.9499999999999993" customHeight="1" x14ac:dyDescent="0.2">
      <c r="B118" s="423"/>
      <c r="D118" s="423"/>
      <c r="F118" s="423"/>
      <c r="H118" s="423"/>
    </row>
    <row r="119" spans="2:8" s="422" customFormat="1" ht="9.9499999999999993" customHeight="1" x14ac:dyDescent="0.2">
      <c r="B119" s="423"/>
      <c r="D119" s="423"/>
      <c r="F119" s="423"/>
      <c r="H119" s="423"/>
    </row>
    <row r="120" spans="2:8" s="422" customFormat="1" ht="9.9499999999999993" customHeight="1" x14ac:dyDescent="0.2">
      <c r="B120" s="423"/>
      <c r="D120" s="423"/>
      <c r="F120" s="423"/>
      <c r="H120" s="423"/>
    </row>
    <row r="121" spans="2:8" s="422" customFormat="1" ht="9.9499999999999993" customHeight="1" x14ac:dyDescent="0.2">
      <c r="B121" s="423"/>
      <c r="D121" s="423"/>
      <c r="F121" s="423"/>
      <c r="H121" s="423"/>
    </row>
    <row r="122" spans="2:8" s="422" customFormat="1" ht="9.9499999999999993" customHeight="1" x14ac:dyDescent="0.2">
      <c r="B122" s="423"/>
      <c r="D122" s="423"/>
      <c r="F122" s="423"/>
      <c r="H122" s="423"/>
    </row>
    <row r="123" spans="2:8" s="326" customFormat="1" ht="9.9499999999999993" customHeight="1" x14ac:dyDescent="0.2">
      <c r="B123" s="327"/>
      <c r="D123" s="327"/>
      <c r="F123" s="327"/>
      <c r="H123" s="327"/>
    </row>
    <row r="124" spans="2:8" s="326" customFormat="1" ht="9.9499999999999993" customHeight="1" x14ac:dyDescent="0.2">
      <c r="B124" s="327"/>
      <c r="D124" s="327"/>
      <c r="F124" s="327"/>
      <c r="H124" s="327"/>
    </row>
    <row r="125" spans="2:8" s="326" customFormat="1" ht="9.9499999999999993" customHeight="1" x14ac:dyDescent="0.2">
      <c r="B125" s="327"/>
      <c r="D125" s="327"/>
      <c r="F125" s="327"/>
      <c r="H125" s="327"/>
    </row>
    <row r="126" spans="2:8" s="326" customFormat="1" ht="9.9499999999999993" customHeight="1" x14ac:dyDescent="0.2">
      <c r="B126" s="327"/>
      <c r="D126" s="327"/>
      <c r="F126" s="327"/>
      <c r="H126" s="327"/>
    </row>
    <row r="127" spans="2:8" s="326" customFormat="1" ht="9.9499999999999993" customHeight="1" x14ac:dyDescent="0.2">
      <c r="B127" s="327"/>
      <c r="D127" s="327"/>
      <c r="F127" s="327"/>
      <c r="H127" s="327"/>
    </row>
    <row r="128" spans="2:8" s="326" customFormat="1" ht="9.9499999999999993" customHeight="1" x14ac:dyDescent="0.2">
      <c r="B128" s="327"/>
      <c r="D128" s="327"/>
      <c r="F128" s="327"/>
      <c r="H128" s="327"/>
    </row>
    <row r="129" spans="2:8" s="326" customFormat="1" ht="9.9499999999999993" customHeight="1" x14ac:dyDescent="0.2">
      <c r="B129" s="327"/>
      <c r="D129" s="327"/>
      <c r="F129" s="327"/>
      <c r="H129" s="327"/>
    </row>
    <row r="130" spans="2:8" s="326" customFormat="1" ht="9.9499999999999993" customHeight="1" x14ac:dyDescent="0.2">
      <c r="B130" s="327"/>
      <c r="D130" s="327"/>
      <c r="F130" s="327"/>
      <c r="H130" s="327"/>
    </row>
    <row r="131" spans="2:8" s="326" customFormat="1" ht="9.9499999999999993" customHeight="1" x14ac:dyDescent="0.2">
      <c r="B131" s="327"/>
      <c r="D131" s="327"/>
      <c r="F131" s="327"/>
      <c r="H131" s="327"/>
    </row>
    <row r="132" spans="2:8" s="326" customFormat="1" ht="9.9499999999999993" customHeight="1" x14ac:dyDescent="0.2">
      <c r="B132" s="327"/>
      <c r="D132" s="327"/>
      <c r="F132" s="327"/>
      <c r="H132" s="327"/>
    </row>
    <row r="133" spans="2:8" s="326" customFormat="1" ht="9.9499999999999993" customHeight="1" x14ac:dyDescent="0.2">
      <c r="B133" s="327"/>
      <c r="D133" s="327"/>
      <c r="F133" s="327"/>
      <c r="H133" s="327"/>
    </row>
    <row r="134" spans="2:8" s="326" customFormat="1" ht="9.9499999999999993" customHeight="1" x14ac:dyDescent="0.2">
      <c r="B134" s="327"/>
      <c r="D134" s="327"/>
      <c r="F134" s="327"/>
      <c r="H134" s="327"/>
    </row>
    <row r="135" spans="2:8" s="326" customFormat="1" ht="9.9499999999999993" customHeight="1" x14ac:dyDescent="0.2">
      <c r="B135" s="327"/>
      <c r="D135" s="327"/>
      <c r="F135" s="327"/>
      <c r="H135" s="327"/>
    </row>
    <row r="136" spans="2:8" s="326" customFormat="1" ht="9.9499999999999993" customHeight="1" x14ac:dyDescent="0.2">
      <c r="B136" s="327"/>
      <c r="D136" s="327"/>
      <c r="F136" s="327"/>
      <c r="H136" s="327"/>
    </row>
    <row r="137" spans="2:8" s="326" customFormat="1" ht="9.9499999999999993" customHeight="1" x14ac:dyDescent="0.2">
      <c r="B137" s="327"/>
      <c r="D137" s="327"/>
      <c r="F137" s="327"/>
      <c r="H137" s="327"/>
    </row>
    <row r="138" spans="2:8" s="326" customFormat="1" ht="9.9499999999999993" customHeight="1" x14ac:dyDescent="0.2">
      <c r="B138" s="327"/>
      <c r="D138" s="327"/>
      <c r="F138" s="327"/>
      <c r="H138" s="327"/>
    </row>
    <row r="139" spans="2:8" s="326" customFormat="1" ht="9.9499999999999993" customHeight="1" x14ac:dyDescent="0.2">
      <c r="B139" s="327"/>
      <c r="D139" s="327"/>
      <c r="F139" s="327"/>
      <c r="H139" s="327"/>
    </row>
    <row r="140" spans="2:8" s="326" customFormat="1" ht="9.9499999999999993" customHeight="1" x14ac:dyDescent="0.2">
      <c r="B140" s="327"/>
      <c r="D140" s="327"/>
      <c r="F140" s="327"/>
      <c r="H140" s="327"/>
    </row>
    <row r="141" spans="2:8" s="326" customFormat="1" ht="9.9499999999999993" customHeight="1" x14ac:dyDescent="0.2">
      <c r="B141" s="327"/>
      <c r="D141" s="327"/>
      <c r="F141" s="327"/>
      <c r="H141" s="327"/>
    </row>
    <row r="142" spans="2:8" s="326" customFormat="1" ht="9.9499999999999993" customHeight="1" x14ac:dyDescent="0.2">
      <c r="B142" s="327"/>
      <c r="D142" s="327"/>
      <c r="F142" s="327"/>
      <c r="H142" s="327"/>
    </row>
    <row r="143" spans="2:8" s="326" customFormat="1" ht="9.9499999999999993" customHeight="1" x14ac:dyDescent="0.2">
      <c r="B143" s="327"/>
      <c r="D143" s="327"/>
      <c r="F143" s="327"/>
      <c r="G143" s="326">
        <v>21</v>
      </c>
      <c r="H143" s="327"/>
    </row>
    <row r="144" spans="2:8" s="326" customFormat="1" ht="9.9499999999999993" customHeight="1" x14ac:dyDescent="0.2">
      <c r="B144" s="327"/>
      <c r="D144" s="327"/>
      <c r="F144" s="327"/>
      <c r="H144" s="327"/>
    </row>
    <row r="145" spans="2:8" s="326" customFormat="1" ht="9.9499999999999993" customHeight="1" x14ac:dyDescent="0.2">
      <c r="B145" s="327"/>
      <c r="D145" s="327"/>
      <c r="F145" s="327"/>
      <c r="H145" s="327"/>
    </row>
    <row r="146" spans="2:8" s="326" customFormat="1" ht="9.9499999999999993" customHeight="1" x14ac:dyDescent="0.2">
      <c r="B146" s="327"/>
      <c r="D146" s="327"/>
      <c r="F146" s="327"/>
      <c r="H146" s="327"/>
    </row>
    <row r="147" spans="2:8" s="326" customFormat="1" ht="9.9499999999999993" customHeight="1" x14ac:dyDescent="0.2">
      <c r="B147" s="327"/>
      <c r="D147" s="327"/>
      <c r="F147" s="327"/>
      <c r="H147" s="327"/>
    </row>
    <row r="148" spans="2:8" s="326" customFormat="1" ht="9.9499999999999993" customHeight="1" x14ac:dyDescent="0.2">
      <c r="B148" s="327"/>
      <c r="D148" s="327"/>
      <c r="F148" s="327"/>
      <c r="H148" s="327"/>
    </row>
    <row r="149" spans="2:8" s="326" customFormat="1" ht="9.9499999999999993" customHeight="1" x14ac:dyDescent="0.2">
      <c r="B149" s="327"/>
      <c r="D149" s="327"/>
      <c r="F149" s="327"/>
      <c r="H149" s="327"/>
    </row>
    <row r="150" spans="2:8" s="326" customFormat="1" ht="9.9499999999999993" customHeight="1" x14ac:dyDescent="0.2">
      <c r="B150" s="327"/>
      <c r="D150" s="327"/>
      <c r="F150" s="327"/>
      <c r="H150" s="327"/>
    </row>
    <row r="151" spans="2:8" s="326" customFormat="1" ht="9.9499999999999993" customHeight="1" x14ac:dyDescent="0.2">
      <c r="B151" s="327"/>
      <c r="D151" s="327"/>
      <c r="F151" s="327"/>
      <c r="H151" s="327"/>
    </row>
    <row r="152" spans="2:8" s="326" customFormat="1" ht="9.9499999999999993" customHeight="1" x14ac:dyDescent="0.2">
      <c r="B152" s="327"/>
      <c r="D152" s="327"/>
      <c r="F152" s="327"/>
      <c r="H152" s="327"/>
    </row>
    <row r="153" spans="2:8" s="326" customFormat="1" ht="9.9499999999999993" customHeight="1" x14ac:dyDescent="0.2">
      <c r="B153" s="327"/>
      <c r="D153" s="327"/>
      <c r="F153" s="327"/>
      <c r="H153" s="327"/>
    </row>
    <row r="154" spans="2:8" s="326" customFormat="1" ht="9.9499999999999993" customHeight="1" x14ac:dyDescent="0.2">
      <c r="B154" s="327"/>
      <c r="D154" s="327"/>
      <c r="F154" s="327"/>
      <c r="H154" s="327"/>
    </row>
    <row r="155" spans="2:8" s="326" customFormat="1" ht="9.9499999999999993" customHeight="1" x14ac:dyDescent="0.2">
      <c r="B155" s="327"/>
      <c r="D155" s="327"/>
      <c r="F155" s="327"/>
      <c r="H155" s="327"/>
    </row>
    <row r="156" spans="2:8" s="326" customFormat="1" ht="9.9499999999999993" customHeight="1" x14ac:dyDescent="0.2">
      <c r="B156" s="327"/>
      <c r="D156" s="327"/>
      <c r="F156" s="327"/>
      <c r="H156" s="327"/>
    </row>
    <row r="157" spans="2:8" s="326" customFormat="1" ht="9.9499999999999993" customHeight="1" x14ac:dyDescent="0.2">
      <c r="B157" s="327"/>
      <c r="D157" s="327"/>
      <c r="F157" s="327"/>
      <c r="H157" s="327"/>
    </row>
    <row r="158" spans="2:8" s="326" customFormat="1" ht="9.9499999999999993" customHeight="1" x14ac:dyDescent="0.2">
      <c r="B158" s="327"/>
      <c r="D158" s="327"/>
      <c r="F158" s="327"/>
      <c r="H158" s="327"/>
    </row>
    <row r="159" spans="2:8" s="326" customFormat="1" ht="9.9499999999999993" customHeight="1" x14ac:dyDescent="0.2">
      <c r="B159" s="327"/>
      <c r="D159" s="327"/>
      <c r="F159" s="327"/>
      <c r="H159" s="327"/>
    </row>
    <row r="160" spans="2:8" s="326" customFormat="1" ht="9.9499999999999993" customHeight="1" x14ac:dyDescent="0.2">
      <c r="B160" s="327"/>
      <c r="D160" s="327"/>
      <c r="F160" s="327"/>
      <c r="H160" s="327"/>
    </row>
    <row r="161" spans="2:8" s="326" customFormat="1" ht="9.9499999999999993" customHeight="1" x14ac:dyDescent="0.2">
      <c r="B161" s="327"/>
      <c r="D161" s="327"/>
      <c r="F161" s="327"/>
      <c r="H161" s="327"/>
    </row>
    <row r="162" spans="2:8" s="326" customFormat="1" ht="9.9499999999999993" customHeight="1" x14ac:dyDescent="0.2">
      <c r="B162" s="327"/>
      <c r="D162" s="327"/>
      <c r="F162" s="327"/>
      <c r="H162" s="327"/>
    </row>
    <row r="163" spans="2:8" s="326" customFormat="1" ht="9.9499999999999993" customHeight="1" x14ac:dyDescent="0.2">
      <c r="B163" s="327"/>
      <c r="D163" s="327"/>
      <c r="F163" s="327"/>
      <c r="H163" s="327"/>
    </row>
    <row r="164" spans="2:8" s="326" customFormat="1" ht="9.9499999999999993" customHeight="1" x14ac:dyDescent="0.2">
      <c r="B164" s="327"/>
      <c r="D164" s="327"/>
      <c r="F164" s="327"/>
      <c r="H164" s="327"/>
    </row>
    <row r="165" spans="2:8" s="326" customFormat="1" ht="9.9499999999999993" customHeight="1" x14ac:dyDescent="0.2">
      <c r="B165" s="327"/>
      <c r="D165" s="327"/>
      <c r="F165" s="327"/>
      <c r="H165" s="327"/>
    </row>
    <row r="166" spans="2:8" s="326" customFormat="1" ht="9.9499999999999993" customHeight="1" x14ac:dyDescent="0.2">
      <c r="B166" s="327"/>
      <c r="D166" s="327"/>
      <c r="F166" s="327"/>
      <c r="H166" s="327"/>
    </row>
    <row r="167" spans="2:8" s="326" customFormat="1" ht="9.9499999999999993" customHeight="1" x14ac:dyDescent="0.2">
      <c r="B167" s="327"/>
      <c r="D167" s="327"/>
      <c r="F167" s="327"/>
      <c r="H167" s="327"/>
    </row>
    <row r="168" spans="2:8" s="326" customFormat="1" ht="9.9499999999999993" customHeight="1" x14ac:dyDescent="0.2">
      <c r="B168" s="327"/>
      <c r="D168" s="327"/>
      <c r="F168" s="327"/>
      <c r="H168" s="327"/>
    </row>
    <row r="169" spans="2:8" s="326" customFormat="1" ht="9.9499999999999993" customHeight="1" x14ac:dyDescent="0.2">
      <c r="B169" s="327"/>
      <c r="D169" s="327"/>
      <c r="F169" s="327"/>
      <c r="H169" s="327"/>
    </row>
    <row r="170" spans="2:8" s="326" customFormat="1" ht="9.9499999999999993" customHeight="1" x14ac:dyDescent="0.2">
      <c r="B170" s="327"/>
      <c r="D170" s="327"/>
      <c r="F170" s="327"/>
      <c r="H170" s="327"/>
    </row>
    <row r="171" spans="2:8" s="326" customFormat="1" ht="9.9499999999999993" customHeight="1" x14ac:dyDescent="0.2">
      <c r="B171" s="327"/>
      <c r="D171" s="327"/>
      <c r="F171" s="327"/>
      <c r="H171" s="327"/>
    </row>
    <row r="172" spans="2:8" s="326" customFormat="1" ht="9.9499999999999993" customHeight="1" x14ac:dyDescent="0.2">
      <c r="B172" s="327"/>
      <c r="D172" s="327"/>
      <c r="F172" s="327"/>
      <c r="H172" s="327"/>
    </row>
    <row r="173" spans="2:8" s="326" customFormat="1" ht="9.9499999999999993" customHeight="1" x14ac:dyDescent="0.2">
      <c r="B173" s="327"/>
      <c r="D173" s="327"/>
      <c r="F173" s="327"/>
      <c r="H173" s="327"/>
    </row>
    <row r="174" spans="2:8" s="326" customFormat="1" ht="9.9499999999999993" customHeight="1" x14ac:dyDescent="0.2">
      <c r="B174" s="327"/>
      <c r="D174" s="327"/>
      <c r="F174" s="327"/>
      <c r="H174" s="327"/>
    </row>
    <row r="175" spans="2:8" s="326" customFormat="1" ht="9.9499999999999993" customHeight="1" x14ac:dyDescent="0.2">
      <c r="B175" s="327"/>
      <c r="D175" s="327"/>
      <c r="F175" s="327"/>
      <c r="H175" s="327"/>
    </row>
    <row r="176" spans="2:8" s="326" customFormat="1" ht="9.9499999999999993" customHeight="1" x14ac:dyDescent="0.2">
      <c r="B176" s="327"/>
      <c r="D176" s="327"/>
      <c r="F176" s="327"/>
      <c r="H176" s="327"/>
    </row>
    <row r="177" spans="2:8" s="326" customFormat="1" ht="9.9499999999999993" customHeight="1" x14ac:dyDescent="0.2">
      <c r="B177" s="327"/>
      <c r="D177" s="327"/>
      <c r="F177" s="327"/>
      <c r="H177" s="327"/>
    </row>
    <row r="178" spans="2:8" s="326" customFormat="1" ht="9.9499999999999993" customHeight="1" x14ac:dyDescent="0.2">
      <c r="B178" s="327"/>
      <c r="D178" s="327"/>
      <c r="F178" s="327"/>
      <c r="H178" s="327"/>
    </row>
    <row r="179" spans="2:8" s="326" customFormat="1" ht="9.9499999999999993" customHeight="1" x14ac:dyDescent="0.2">
      <c r="B179" s="327"/>
      <c r="D179" s="327"/>
      <c r="F179" s="327"/>
      <c r="H179" s="327"/>
    </row>
    <row r="180" spans="2:8" s="326" customFormat="1" ht="9.9499999999999993" customHeight="1" x14ac:dyDescent="0.2">
      <c r="B180" s="327"/>
      <c r="D180" s="327"/>
      <c r="F180" s="327"/>
      <c r="H180" s="327"/>
    </row>
    <row r="181" spans="2:8" s="326" customFormat="1" ht="9.9499999999999993" customHeight="1" x14ac:dyDescent="0.2">
      <c r="B181" s="327"/>
      <c r="D181" s="327"/>
      <c r="F181" s="327"/>
      <c r="H181" s="327"/>
    </row>
    <row r="182" spans="2:8" s="326" customFormat="1" ht="9.9499999999999993" customHeight="1" x14ac:dyDescent="0.2">
      <c r="B182" s="327"/>
      <c r="D182" s="327"/>
      <c r="F182" s="327"/>
      <c r="H182" s="327"/>
    </row>
    <row r="183" spans="2:8" s="326" customFormat="1" ht="9.9499999999999993" customHeight="1" x14ac:dyDescent="0.2">
      <c r="B183" s="327"/>
      <c r="D183" s="327"/>
      <c r="F183" s="327"/>
      <c r="H183" s="327"/>
    </row>
    <row r="184" spans="2:8" s="326" customFormat="1" ht="9.9499999999999993" customHeight="1" x14ac:dyDescent="0.2">
      <c r="B184" s="327"/>
      <c r="D184" s="327"/>
      <c r="F184" s="327"/>
      <c r="H184" s="327"/>
    </row>
    <row r="185" spans="2:8" s="326" customFormat="1" ht="9.9499999999999993" customHeight="1" x14ac:dyDescent="0.2">
      <c r="B185" s="327"/>
      <c r="D185" s="327"/>
      <c r="F185" s="327"/>
      <c r="H185" s="327"/>
    </row>
    <row r="186" spans="2:8" s="326" customFormat="1" ht="9.9499999999999993" customHeight="1" x14ac:dyDescent="0.2">
      <c r="B186" s="327"/>
      <c r="D186" s="327"/>
      <c r="F186" s="327"/>
      <c r="H186" s="327"/>
    </row>
    <row r="187" spans="2:8" s="326" customFormat="1" ht="9.9499999999999993" customHeight="1" x14ac:dyDescent="0.2">
      <c r="B187" s="327"/>
      <c r="D187" s="327"/>
      <c r="F187" s="327"/>
      <c r="H187" s="327"/>
    </row>
    <row r="188" spans="2:8" s="326" customFormat="1" ht="9.9499999999999993" customHeight="1" x14ac:dyDescent="0.2">
      <c r="B188" s="327"/>
      <c r="D188" s="327"/>
      <c r="F188" s="327"/>
      <c r="H188" s="327"/>
    </row>
    <row r="189" spans="2:8" s="326" customFormat="1" ht="9.9499999999999993" customHeight="1" x14ac:dyDescent="0.2">
      <c r="B189" s="327"/>
      <c r="D189" s="327"/>
      <c r="F189" s="327"/>
      <c r="H189" s="327"/>
    </row>
    <row r="190" spans="2:8" s="326" customFormat="1" ht="9.9499999999999993" customHeight="1" x14ac:dyDescent="0.2">
      <c r="B190" s="327"/>
      <c r="D190" s="327"/>
      <c r="F190" s="327"/>
      <c r="H190" s="327"/>
    </row>
    <row r="191" spans="2:8" s="326" customFormat="1" ht="9.9499999999999993" customHeight="1" x14ac:dyDescent="0.2">
      <c r="B191" s="327"/>
      <c r="D191" s="327"/>
      <c r="F191" s="327"/>
      <c r="H191" s="327"/>
    </row>
    <row r="192" spans="2:8" s="326" customFormat="1" ht="9.9499999999999993" customHeight="1" x14ac:dyDescent="0.2">
      <c r="B192" s="327"/>
      <c r="D192" s="327"/>
      <c r="F192" s="327"/>
      <c r="H192" s="327"/>
    </row>
    <row r="193" spans="2:8" s="326" customFormat="1" ht="9.9499999999999993" customHeight="1" x14ac:dyDescent="0.2">
      <c r="B193" s="327"/>
      <c r="D193" s="327"/>
      <c r="F193" s="327"/>
      <c r="H193" s="327"/>
    </row>
    <row r="194" spans="2:8" s="326" customFormat="1" ht="9.9499999999999993" customHeight="1" x14ac:dyDescent="0.2">
      <c r="B194" s="327"/>
      <c r="D194" s="327"/>
      <c r="F194" s="327"/>
      <c r="H194" s="327"/>
    </row>
    <row r="195" spans="2:8" s="326" customFormat="1" ht="9.9499999999999993" customHeight="1" x14ac:dyDescent="0.2">
      <c r="B195" s="327"/>
      <c r="D195" s="327"/>
      <c r="F195" s="327"/>
      <c r="H195" s="327"/>
    </row>
    <row r="196" spans="2:8" s="326" customFormat="1" ht="9.9499999999999993" customHeight="1" x14ac:dyDescent="0.2">
      <c r="B196" s="327"/>
      <c r="D196" s="327"/>
      <c r="F196" s="327"/>
      <c r="H196" s="327"/>
    </row>
    <row r="197" spans="2:8" s="326" customFormat="1" ht="9.9499999999999993" customHeight="1" x14ac:dyDescent="0.2">
      <c r="B197" s="327"/>
      <c r="D197" s="327"/>
      <c r="F197" s="327"/>
      <c r="H197" s="327"/>
    </row>
    <row r="198" spans="2:8" s="326" customFormat="1" ht="9.9499999999999993" customHeight="1" x14ac:dyDescent="0.2">
      <c r="B198" s="327"/>
      <c r="D198" s="327"/>
      <c r="F198" s="327"/>
      <c r="H198" s="327"/>
    </row>
    <row r="199" spans="2:8" s="326" customFormat="1" ht="9.9499999999999993" customHeight="1" x14ac:dyDescent="0.2">
      <c r="B199" s="327"/>
      <c r="D199" s="327"/>
      <c r="F199" s="327"/>
      <c r="H199" s="327"/>
    </row>
    <row r="200" spans="2:8" s="326" customFormat="1" ht="9.9499999999999993" customHeight="1" x14ac:dyDescent="0.2">
      <c r="B200" s="327"/>
      <c r="D200" s="327"/>
      <c r="F200" s="327"/>
      <c r="H200" s="327"/>
    </row>
    <row r="201" spans="2:8" s="326" customFormat="1" ht="9.9499999999999993" customHeight="1" x14ac:dyDescent="0.2">
      <c r="B201" s="327"/>
      <c r="D201" s="327"/>
      <c r="F201" s="327"/>
      <c r="H201" s="327"/>
    </row>
    <row r="202" spans="2:8" s="326" customFormat="1" ht="9.9499999999999993" customHeight="1" x14ac:dyDescent="0.2">
      <c r="B202" s="327"/>
      <c r="D202" s="327"/>
      <c r="F202" s="327"/>
      <c r="H202" s="327"/>
    </row>
    <row r="203" spans="2:8" s="326" customFormat="1" ht="9.9499999999999993" customHeight="1" x14ac:dyDescent="0.2">
      <c r="B203" s="327"/>
      <c r="D203" s="327"/>
      <c r="F203" s="327"/>
      <c r="H203" s="327"/>
    </row>
    <row r="204" spans="2:8" s="326" customFormat="1" ht="9.9499999999999993" customHeight="1" x14ac:dyDescent="0.2">
      <c r="B204" s="327"/>
      <c r="D204" s="327"/>
      <c r="F204" s="327"/>
      <c r="H204" s="327"/>
    </row>
    <row r="205" spans="2:8" s="326" customFormat="1" ht="9.9499999999999993" customHeight="1" x14ac:dyDescent="0.2">
      <c r="B205" s="327"/>
      <c r="D205" s="327"/>
      <c r="F205" s="327"/>
      <c r="H205" s="327"/>
    </row>
    <row r="206" spans="2:8" s="326" customFormat="1" ht="9.9499999999999993" customHeight="1" x14ac:dyDescent="0.2">
      <c r="B206" s="327"/>
      <c r="D206" s="327"/>
      <c r="F206" s="327"/>
      <c r="H206" s="327"/>
    </row>
    <row r="207" spans="2:8" s="326" customFormat="1" ht="9.9499999999999993" customHeight="1" x14ac:dyDescent="0.2">
      <c r="B207" s="327"/>
      <c r="D207" s="327"/>
      <c r="F207" s="327"/>
      <c r="H207" s="327"/>
    </row>
    <row r="208" spans="2:8" s="326" customFormat="1" ht="9.9499999999999993" customHeight="1" x14ac:dyDescent="0.2">
      <c r="B208" s="327"/>
      <c r="D208" s="327"/>
      <c r="F208" s="327"/>
      <c r="H208" s="327"/>
    </row>
    <row r="209" spans="2:8" s="326" customFormat="1" ht="9.9499999999999993" customHeight="1" x14ac:dyDescent="0.2">
      <c r="B209" s="327"/>
      <c r="D209" s="327"/>
      <c r="F209" s="327"/>
      <c r="H209" s="327"/>
    </row>
    <row r="210" spans="2:8" s="326" customFormat="1" ht="9.9499999999999993" customHeight="1" x14ac:dyDescent="0.2">
      <c r="B210" s="327"/>
      <c r="D210" s="327"/>
      <c r="F210" s="327"/>
      <c r="H210" s="327"/>
    </row>
    <row r="211" spans="2:8" s="326" customFormat="1" ht="9.9499999999999993" customHeight="1" x14ac:dyDescent="0.2">
      <c r="B211" s="327"/>
      <c r="D211" s="327"/>
      <c r="F211" s="327"/>
      <c r="H211" s="327"/>
    </row>
    <row r="212" spans="2:8" s="326" customFormat="1" ht="9.9499999999999993" customHeight="1" x14ac:dyDescent="0.2">
      <c r="B212" s="327"/>
      <c r="D212" s="327"/>
      <c r="F212" s="327"/>
      <c r="H212" s="327"/>
    </row>
    <row r="213" spans="2:8" s="326" customFormat="1" ht="9.9499999999999993" customHeight="1" x14ac:dyDescent="0.2">
      <c r="B213" s="327"/>
      <c r="D213" s="327"/>
      <c r="F213" s="327"/>
      <c r="H213" s="327"/>
    </row>
    <row r="214" spans="2:8" s="326" customFormat="1" ht="9.9499999999999993" customHeight="1" x14ac:dyDescent="0.2">
      <c r="B214" s="327"/>
      <c r="D214" s="327"/>
      <c r="F214" s="327"/>
      <c r="H214" s="327"/>
    </row>
    <row r="215" spans="2:8" s="326" customFormat="1" ht="9.9499999999999993" customHeight="1" x14ac:dyDescent="0.2">
      <c r="B215" s="327"/>
      <c r="D215" s="327"/>
      <c r="F215" s="327"/>
      <c r="H215" s="327"/>
    </row>
    <row r="216" spans="2:8" s="326" customFormat="1" ht="9.9499999999999993" customHeight="1" x14ac:dyDescent="0.2">
      <c r="B216" s="327"/>
      <c r="D216" s="327"/>
      <c r="F216" s="327"/>
      <c r="H216" s="327"/>
    </row>
    <row r="217" spans="2:8" s="326" customFormat="1" ht="9.9499999999999993" customHeight="1" x14ac:dyDescent="0.2">
      <c r="B217" s="327"/>
      <c r="D217" s="327"/>
      <c r="F217" s="327"/>
      <c r="H217" s="327"/>
    </row>
    <row r="218" spans="2:8" s="326" customFormat="1" ht="9.9499999999999993" customHeight="1" x14ac:dyDescent="0.2">
      <c r="B218" s="327"/>
      <c r="D218" s="327"/>
      <c r="F218" s="327"/>
      <c r="H218" s="327"/>
    </row>
    <row r="219" spans="2:8" s="326" customFormat="1" ht="9.9499999999999993" customHeight="1" x14ac:dyDescent="0.2">
      <c r="B219" s="327"/>
      <c r="D219" s="327"/>
      <c r="F219" s="327"/>
      <c r="H219" s="327"/>
    </row>
    <row r="220" spans="2:8" s="326" customFormat="1" ht="9.9499999999999993" customHeight="1" x14ac:dyDescent="0.2">
      <c r="B220" s="327"/>
      <c r="D220" s="327"/>
      <c r="F220" s="327"/>
      <c r="H220" s="327"/>
    </row>
    <row r="221" spans="2:8" s="326" customFormat="1" ht="9.9499999999999993" customHeight="1" x14ac:dyDescent="0.2">
      <c r="B221" s="327"/>
      <c r="D221" s="327"/>
      <c r="F221" s="327"/>
      <c r="H221" s="327"/>
    </row>
    <row r="222" spans="2:8" s="326" customFormat="1" ht="9.9499999999999993" customHeight="1" x14ac:dyDescent="0.2">
      <c r="B222" s="327"/>
      <c r="D222" s="327"/>
      <c r="F222" s="327"/>
      <c r="H222" s="327"/>
    </row>
    <row r="223" spans="2:8" s="326" customFormat="1" ht="9.9499999999999993" customHeight="1" x14ac:dyDescent="0.2">
      <c r="B223" s="327"/>
      <c r="D223" s="327"/>
      <c r="F223" s="327"/>
      <c r="H223" s="327"/>
    </row>
    <row r="224" spans="2:8" s="326" customFormat="1" ht="9.9499999999999993" customHeight="1" x14ac:dyDescent="0.2">
      <c r="B224" s="327"/>
      <c r="D224" s="327"/>
      <c r="F224" s="327"/>
      <c r="H224" s="327"/>
    </row>
    <row r="225" spans="2:8" s="326" customFormat="1" ht="9.9499999999999993" customHeight="1" x14ac:dyDescent="0.2">
      <c r="B225" s="327"/>
      <c r="D225" s="327"/>
      <c r="F225" s="327"/>
      <c r="H225" s="327"/>
    </row>
    <row r="226" spans="2:8" s="326" customFormat="1" ht="9.9499999999999993" customHeight="1" x14ac:dyDescent="0.2">
      <c r="B226" s="327"/>
      <c r="D226" s="327"/>
      <c r="F226" s="327"/>
      <c r="H226" s="327"/>
    </row>
    <row r="227" spans="2:8" s="326" customFormat="1" ht="9.9499999999999993" customHeight="1" x14ac:dyDescent="0.2">
      <c r="B227" s="327"/>
      <c r="D227" s="327"/>
      <c r="F227" s="327"/>
      <c r="H227" s="327"/>
    </row>
    <row r="228" spans="2:8" s="326" customFormat="1" ht="9.9499999999999993" customHeight="1" x14ac:dyDescent="0.2">
      <c r="B228" s="327"/>
      <c r="D228" s="327"/>
      <c r="F228" s="327"/>
      <c r="H228" s="327"/>
    </row>
    <row r="229" spans="2:8" s="326" customFormat="1" ht="9.9499999999999993" customHeight="1" x14ac:dyDescent="0.2">
      <c r="B229" s="327"/>
      <c r="D229" s="327"/>
      <c r="F229" s="327"/>
      <c r="H229" s="327"/>
    </row>
    <row r="230" spans="2:8" s="326" customFormat="1" ht="9.9499999999999993" customHeight="1" x14ac:dyDescent="0.2">
      <c r="B230" s="327"/>
      <c r="D230" s="327"/>
      <c r="F230" s="327"/>
      <c r="H230" s="327"/>
    </row>
    <row r="231" spans="2:8" s="326" customFormat="1" ht="9.9499999999999993" customHeight="1" x14ac:dyDescent="0.2">
      <c r="B231" s="327"/>
      <c r="D231" s="327"/>
      <c r="F231" s="327"/>
      <c r="H231" s="327"/>
    </row>
    <row r="232" spans="2:8" s="326" customFormat="1" ht="9.9499999999999993" customHeight="1" x14ac:dyDescent="0.2">
      <c r="B232" s="327"/>
      <c r="D232" s="327"/>
      <c r="F232" s="327"/>
      <c r="H232" s="327"/>
    </row>
    <row r="233" spans="2:8" s="326" customFormat="1" ht="9.9499999999999993" customHeight="1" x14ac:dyDescent="0.2">
      <c r="B233" s="327"/>
      <c r="D233" s="327"/>
      <c r="F233" s="327"/>
      <c r="H233" s="327"/>
    </row>
    <row r="234" spans="2:8" s="326" customFormat="1" ht="9.9499999999999993" customHeight="1" x14ac:dyDescent="0.2">
      <c r="B234" s="327"/>
      <c r="D234" s="327"/>
      <c r="F234" s="327"/>
      <c r="H234" s="327"/>
    </row>
    <row r="235" spans="2:8" s="326" customFormat="1" ht="9.9499999999999993" customHeight="1" x14ac:dyDescent="0.2">
      <c r="B235" s="327"/>
      <c r="D235" s="327"/>
      <c r="F235" s="327"/>
      <c r="H235" s="327"/>
    </row>
    <row r="236" spans="2:8" s="326" customFormat="1" ht="9.9499999999999993" customHeight="1" x14ac:dyDescent="0.2">
      <c r="B236" s="327"/>
      <c r="D236" s="327"/>
      <c r="F236" s="327"/>
      <c r="H236" s="327"/>
    </row>
    <row r="237" spans="2:8" s="326" customFormat="1" ht="9.9499999999999993" customHeight="1" x14ac:dyDescent="0.2">
      <c r="B237" s="327"/>
      <c r="D237" s="327"/>
      <c r="F237" s="327"/>
      <c r="H237" s="327"/>
    </row>
    <row r="238" spans="2:8" s="326" customFormat="1" ht="9.9499999999999993" customHeight="1" x14ac:dyDescent="0.2">
      <c r="B238" s="327"/>
      <c r="D238" s="327"/>
      <c r="F238" s="327"/>
      <c r="H238" s="327"/>
    </row>
    <row r="239" spans="2:8" s="326" customFormat="1" ht="9.9499999999999993" customHeight="1" x14ac:dyDescent="0.2">
      <c r="B239" s="327"/>
      <c r="D239" s="327"/>
      <c r="F239" s="327"/>
      <c r="H239" s="327"/>
    </row>
    <row r="240" spans="2:8" s="326" customFormat="1" ht="9.9499999999999993" customHeight="1" x14ac:dyDescent="0.2">
      <c r="B240" s="327"/>
      <c r="D240" s="327"/>
      <c r="F240" s="327"/>
      <c r="H240" s="327"/>
    </row>
    <row r="241" spans="2:8" s="326" customFormat="1" ht="9.9499999999999993" customHeight="1" x14ac:dyDescent="0.2">
      <c r="B241" s="327"/>
      <c r="D241" s="327"/>
      <c r="F241" s="327"/>
      <c r="H241" s="327"/>
    </row>
    <row r="242" spans="2:8" s="326" customFormat="1" ht="9.9499999999999993" customHeight="1" x14ac:dyDescent="0.2">
      <c r="B242" s="327"/>
      <c r="D242" s="327"/>
      <c r="F242" s="327"/>
      <c r="H242" s="327"/>
    </row>
    <row r="243" spans="2:8" s="326" customFormat="1" ht="9.9499999999999993" customHeight="1" x14ac:dyDescent="0.2">
      <c r="B243" s="327"/>
      <c r="D243" s="327"/>
      <c r="F243" s="327"/>
      <c r="H243" s="327"/>
    </row>
    <row r="244" spans="2:8" s="326" customFormat="1" ht="9.9499999999999993" customHeight="1" x14ac:dyDescent="0.2">
      <c r="B244" s="327"/>
      <c r="D244" s="327"/>
      <c r="F244" s="327"/>
      <c r="H244" s="327"/>
    </row>
    <row r="245" spans="2:8" s="326" customFormat="1" ht="9.9499999999999993" customHeight="1" x14ac:dyDescent="0.2">
      <c r="B245" s="327"/>
      <c r="D245" s="327"/>
      <c r="F245" s="327"/>
      <c r="H245" s="327"/>
    </row>
    <row r="246" spans="2:8" s="326" customFormat="1" ht="9.9499999999999993" customHeight="1" x14ac:dyDescent="0.2">
      <c r="B246" s="327"/>
      <c r="D246" s="327"/>
      <c r="F246" s="327"/>
      <c r="H246" s="327"/>
    </row>
    <row r="247" spans="2:8" s="326" customFormat="1" ht="9.9499999999999993" customHeight="1" x14ac:dyDescent="0.2">
      <c r="B247" s="327"/>
      <c r="D247" s="327"/>
      <c r="F247" s="327"/>
      <c r="H247" s="327"/>
    </row>
    <row r="248" spans="2:8" s="326" customFormat="1" ht="9.9499999999999993" customHeight="1" x14ac:dyDescent="0.2">
      <c r="B248" s="327"/>
      <c r="D248" s="327"/>
      <c r="F248" s="327"/>
      <c r="H248" s="327"/>
    </row>
    <row r="249" spans="2:8" s="326" customFormat="1" ht="9.9499999999999993" customHeight="1" x14ac:dyDescent="0.2">
      <c r="B249" s="327"/>
      <c r="D249" s="327"/>
      <c r="F249" s="327"/>
      <c r="H249" s="327"/>
    </row>
    <row r="250" spans="2:8" s="326" customFormat="1" ht="9.9499999999999993" customHeight="1" x14ac:dyDescent="0.2">
      <c r="B250" s="327"/>
      <c r="D250" s="327"/>
      <c r="F250" s="327"/>
      <c r="H250" s="327"/>
    </row>
    <row r="251" spans="2:8" s="326" customFormat="1" ht="9.9499999999999993" customHeight="1" x14ac:dyDescent="0.2">
      <c r="B251" s="327"/>
      <c r="D251" s="327"/>
      <c r="F251" s="327"/>
      <c r="H251" s="327"/>
    </row>
    <row r="252" spans="2:8" s="326" customFormat="1" ht="9.9499999999999993" customHeight="1" x14ac:dyDescent="0.2">
      <c r="B252" s="327"/>
      <c r="D252" s="327"/>
      <c r="F252" s="327"/>
      <c r="H252" s="327"/>
    </row>
    <row r="253" spans="2:8" s="326" customFormat="1" ht="9.9499999999999993" customHeight="1" x14ac:dyDescent="0.2">
      <c r="B253" s="327"/>
      <c r="D253" s="327"/>
      <c r="F253" s="327"/>
      <c r="H253" s="327"/>
    </row>
    <row r="254" spans="2:8" s="326" customFormat="1" ht="9.9499999999999993" customHeight="1" x14ac:dyDescent="0.2">
      <c r="B254" s="327"/>
      <c r="D254" s="327"/>
      <c r="F254" s="327"/>
      <c r="H254" s="327"/>
    </row>
    <row r="255" spans="2:8" s="326" customFormat="1" ht="9.9499999999999993" customHeight="1" x14ac:dyDescent="0.2">
      <c r="B255" s="327"/>
      <c r="D255" s="327"/>
      <c r="F255" s="327"/>
      <c r="H255" s="327"/>
    </row>
    <row r="256" spans="2:8" s="326" customFormat="1" ht="9.9499999999999993" customHeight="1" x14ac:dyDescent="0.2">
      <c r="B256" s="327"/>
      <c r="D256" s="327"/>
      <c r="F256" s="327"/>
      <c r="H256" s="327"/>
    </row>
    <row r="257" spans="2:8" s="326" customFormat="1" ht="9.9499999999999993" customHeight="1" x14ac:dyDescent="0.2">
      <c r="B257" s="327"/>
      <c r="D257" s="327"/>
      <c r="F257" s="327"/>
      <c r="H257" s="327"/>
    </row>
    <row r="258" spans="2:8" s="326" customFormat="1" ht="9.9499999999999993" customHeight="1" x14ac:dyDescent="0.2">
      <c r="B258" s="327"/>
      <c r="D258" s="327"/>
      <c r="F258" s="327"/>
      <c r="H258" s="327"/>
    </row>
    <row r="259" spans="2:8" s="326" customFormat="1" ht="9.9499999999999993" customHeight="1" x14ac:dyDescent="0.2">
      <c r="B259" s="327"/>
      <c r="D259" s="327"/>
      <c r="F259" s="327"/>
      <c r="H259" s="327"/>
    </row>
    <row r="260" spans="2:8" s="326" customFormat="1" ht="9.9499999999999993" customHeight="1" x14ac:dyDescent="0.2">
      <c r="B260" s="327"/>
      <c r="D260" s="327"/>
      <c r="F260" s="327"/>
      <c r="H260" s="327"/>
    </row>
    <row r="261" spans="2:8" s="326" customFormat="1" ht="9.9499999999999993" customHeight="1" x14ac:dyDescent="0.2">
      <c r="B261" s="327"/>
      <c r="D261" s="327"/>
      <c r="F261" s="327"/>
      <c r="H261" s="327"/>
    </row>
    <row r="262" spans="2:8" s="326" customFormat="1" ht="9.9499999999999993" customHeight="1" x14ac:dyDescent="0.2">
      <c r="B262" s="327"/>
      <c r="D262" s="327"/>
      <c r="F262" s="327"/>
      <c r="H262" s="327"/>
    </row>
    <row r="263" spans="2:8" s="326" customFormat="1" ht="9.9499999999999993" customHeight="1" x14ac:dyDescent="0.2">
      <c r="B263" s="327"/>
      <c r="D263" s="327"/>
      <c r="F263" s="327"/>
      <c r="H263" s="327"/>
    </row>
    <row r="264" spans="2:8" s="326" customFormat="1" ht="9.9499999999999993" customHeight="1" x14ac:dyDescent="0.2">
      <c r="B264" s="327"/>
      <c r="D264" s="327"/>
      <c r="F264" s="327"/>
      <c r="H264" s="327"/>
    </row>
    <row r="265" spans="2:8" s="326" customFormat="1" ht="9.9499999999999993" customHeight="1" x14ac:dyDescent="0.2">
      <c r="B265" s="327"/>
      <c r="D265" s="327"/>
      <c r="F265" s="327"/>
      <c r="H265" s="327"/>
    </row>
    <row r="266" spans="2:8" s="326" customFormat="1" ht="9.9499999999999993" customHeight="1" x14ac:dyDescent="0.2">
      <c r="B266" s="327"/>
      <c r="D266" s="327"/>
      <c r="F266" s="327"/>
      <c r="H266" s="327"/>
    </row>
    <row r="267" spans="2:8" s="326" customFormat="1" ht="9.9499999999999993" customHeight="1" x14ac:dyDescent="0.2">
      <c r="B267" s="327"/>
      <c r="D267" s="327"/>
      <c r="F267" s="327"/>
      <c r="H267" s="327"/>
    </row>
    <row r="268" spans="2:8" s="326" customFormat="1" ht="9.9499999999999993" customHeight="1" x14ac:dyDescent="0.2">
      <c r="B268" s="327"/>
      <c r="D268" s="327"/>
      <c r="F268" s="327"/>
      <c r="H268" s="327"/>
    </row>
    <row r="269" spans="2:8" s="326" customFormat="1" ht="9.9499999999999993" customHeight="1" x14ac:dyDescent="0.2">
      <c r="B269" s="327"/>
      <c r="D269" s="327"/>
      <c r="F269" s="327"/>
      <c r="H269" s="327"/>
    </row>
    <row r="270" spans="2:8" s="326" customFormat="1" ht="9.9499999999999993" customHeight="1" x14ac:dyDescent="0.2">
      <c r="B270" s="327"/>
      <c r="D270" s="327"/>
      <c r="F270" s="327"/>
      <c r="H270" s="327"/>
    </row>
    <row r="271" spans="2:8" s="326" customFormat="1" ht="9.9499999999999993" customHeight="1" x14ac:dyDescent="0.2">
      <c r="B271" s="327"/>
      <c r="D271" s="327"/>
      <c r="F271" s="327"/>
      <c r="H271" s="327"/>
    </row>
    <row r="272" spans="2:8" s="326" customFormat="1" ht="9.9499999999999993" customHeight="1" x14ac:dyDescent="0.2">
      <c r="B272" s="327"/>
      <c r="D272" s="327"/>
      <c r="F272" s="327"/>
      <c r="H272" s="327"/>
    </row>
    <row r="273" spans="2:8" s="326" customFormat="1" ht="9.9499999999999993" customHeight="1" x14ac:dyDescent="0.2">
      <c r="B273" s="327"/>
      <c r="D273" s="327"/>
      <c r="F273" s="327"/>
      <c r="H273" s="327"/>
    </row>
    <row r="274" spans="2:8" s="326" customFormat="1" ht="9.9499999999999993" customHeight="1" x14ac:dyDescent="0.2">
      <c r="B274" s="327"/>
      <c r="D274" s="327"/>
      <c r="F274" s="327"/>
      <c r="H274" s="327"/>
    </row>
    <row r="275" spans="2:8" s="326" customFormat="1" ht="9.9499999999999993" customHeight="1" x14ac:dyDescent="0.2">
      <c r="B275" s="327"/>
      <c r="D275" s="327"/>
      <c r="F275" s="327"/>
      <c r="H275" s="327"/>
    </row>
    <row r="276" spans="2:8" s="326" customFormat="1" ht="9.9499999999999993" customHeight="1" x14ac:dyDescent="0.2">
      <c r="B276" s="327"/>
      <c r="D276" s="327"/>
      <c r="F276" s="327"/>
      <c r="H276" s="327"/>
    </row>
    <row r="277" spans="2:8" s="326" customFormat="1" ht="9.9499999999999993" customHeight="1" x14ac:dyDescent="0.2">
      <c r="B277" s="327"/>
      <c r="D277" s="327"/>
      <c r="F277" s="327"/>
      <c r="H277" s="327"/>
    </row>
    <row r="278" spans="2:8" s="326" customFormat="1" ht="9.9499999999999993" customHeight="1" x14ac:dyDescent="0.2">
      <c r="B278" s="327"/>
      <c r="D278" s="327"/>
      <c r="F278" s="327"/>
      <c r="H278" s="327"/>
    </row>
    <row r="279" spans="2:8" s="326" customFormat="1" ht="9.9499999999999993" customHeight="1" x14ac:dyDescent="0.2">
      <c r="B279" s="327"/>
      <c r="D279" s="327"/>
      <c r="F279" s="327"/>
      <c r="H279" s="327"/>
    </row>
    <row r="280" spans="2:8" s="326" customFormat="1" ht="9.9499999999999993" customHeight="1" x14ac:dyDescent="0.2">
      <c r="B280" s="327"/>
      <c r="D280" s="327"/>
      <c r="F280" s="327"/>
      <c r="H280" s="327"/>
    </row>
    <row r="281" spans="2:8" s="326" customFormat="1" ht="9.9499999999999993" customHeight="1" x14ac:dyDescent="0.2">
      <c r="B281" s="327"/>
      <c r="D281" s="327"/>
      <c r="F281" s="327"/>
      <c r="H281" s="327"/>
    </row>
    <row r="282" spans="2:8" s="326" customFormat="1" ht="9.9499999999999993" customHeight="1" x14ac:dyDescent="0.2">
      <c r="B282" s="327"/>
      <c r="D282" s="327"/>
      <c r="F282" s="327"/>
      <c r="H282" s="327"/>
    </row>
    <row r="283" spans="2:8" s="326" customFormat="1" ht="9.9499999999999993" customHeight="1" x14ac:dyDescent="0.2">
      <c r="B283" s="327"/>
      <c r="D283" s="327"/>
      <c r="F283" s="327"/>
      <c r="H283" s="327"/>
    </row>
    <row r="284" spans="2:8" s="326" customFormat="1" ht="9.9499999999999993" customHeight="1" x14ac:dyDescent="0.2">
      <c r="B284" s="327"/>
      <c r="D284" s="327"/>
      <c r="F284" s="327"/>
      <c r="H284" s="327"/>
    </row>
    <row r="285" spans="2:8" s="326" customFormat="1" ht="9.9499999999999993" customHeight="1" x14ac:dyDescent="0.2">
      <c r="B285" s="327"/>
      <c r="D285" s="327"/>
      <c r="F285" s="327"/>
      <c r="H285" s="327"/>
    </row>
    <row r="286" spans="2:8" s="326" customFormat="1" ht="9.9499999999999993" customHeight="1" x14ac:dyDescent="0.2">
      <c r="B286" s="327"/>
      <c r="D286" s="327"/>
      <c r="F286" s="327"/>
      <c r="H286" s="327"/>
    </row>
    <row r="287" spans="2:8" s="326" customFormat="1" ht="9.9499999999999993" customHeight="1" x14ac:dyDescent="0.2">
      <c r="B287" s="327"/>
      <c r="D287" s="327"/>
      <c r="F287" s="327"/>
      <c r="H287" s="327"/>
    </row>
    <row r="288" spans="2:8" s="326" customFormat="1" ht="9.9499999999999993" customHeight="1" x14ac:dyDescent="0.2">
      <c r="B288" s="327"/>
      <c r="D288" s="327"/>
      <c r="F288" s="327"/>
      <c r="H288" s="327"/>
    </row>
    <row r="289" spans="2:8" s="326" customFormat="1" ht="9.9499999999999993" customHeight="1" x14ac:dyDescent="0.2">
      <c r="B289" s="327"/>
      <c r="D289" s="327"/>
      <c r="F289" s="327"/>
      <c r="H289" s="327"/>
    </row>
    <row r="290" spans="2:8" s="326" customFormat="1" ht="9.9499999999999993" customHeight="1" x14ac:dyDescent="0.2">
      <c r="B290" s="327"/>
      <c r="D290" s="327"/>
      <c r="F290" s="327"/>
      <c r="H290" s="327"/>
    </row>
    <row r="291" spans="2:8" s="326" customFormat="1" ht="9.9499999999999993" customHeight="1" x14ac:dyDescent="0.2">
      <c r="B291" s="327"/>
      <c r="D291" s="327"/>
      <c r="F291" s="327"/>
      <c r="H291" s="327"/>
    </row>
    <row r="292" spans="2:8" s="326" customFormat="1" ht="9.9499999999999993" customHeight="1" x14ac:dyDescent="0.2">
      <c r="B292" s="327"/>
      <c r="D292" s="327"/>
      <c r="F292" s="327"/>
      <c r="H292" s="327"/>
    </row>
    <row r="293" spans="2:8" s="326" customFormat="1" ht="9.9499999999999993" customHeight="1" x14ac:dyDescent="0.2">
      <c r="B293" s="327"/>
      <c r="D293" s="327"/>
      <c r="F293" s="327"/>
      <c r="H293" s="327"/>
    </row>
    <row r="294" spans="2:8" s="326" customFormat="1" ht="9.9499999999999993" customHeight="1" x14ac:dyDescent="0.2">
      <c r="B294" s="327"/>
      <c r="D294" s="327"/>
      <c r="F294" s="327"/>
      <c r="H294" s="327"/>
    </row>
    <row r="295" spans="2:8" s="326" customFormat="1" ht="9.9499999999999993" customHeight="1" x14ac:dyDescent="0.2">
      <c r="B295" s="327"/>
      <c r="D295" s="327"/>
      <c r="F295" s="327"/>
      <c r="H295" s="327"/>
    </row>
    <row r="296" spans="2:8" s="326" customFormat="1" ht="9.9499999999999993" customHeight="1" x14ac:dyDescent="0.2">
      <c r="B296" s="327"/>
      <c r="D296" s="327"/>
      <c r="F296" s="327"/>
      <c r="H296" s="327"/>
    </row>
    <row r="297" spans="2:8" s="326" customFormat="1" ht="9.9499999999999993" customHeight="1" x14ac:dyDescent="0.2">
      <c r="B297" s="327"/>
      <c r="D297" s="327"/>
      <c r="F297" s="327"/>
      <c r="H297" s="327"/>
    </row>
    <row r="298" spans="2:8" s="326" customFormat="1" ht="9.9499999999999993" customHeight="1" x14ac:dyDescent="0.2">
      <c r="B298" s="327"/>
      <c r="D298" s="327"/>
      <c r="F298" s="327"/>
      <c r="H298" s="327"/>
    </row>
    <row r="299" spans="2:8" s="326" customFormat="1" ht="9.9499999999999993" customHeight="1" x14ac:dyDescent="0.2">
      <c r="B299" s="327"/>
      <c r="D299" s="327"/>
      <c r="F299" s="327"/>
      <c r="H299" s="327"/>
    </row>
    <row r="300" spans="2:8" s="326" customFormat="1" ht="9.9499999999999993" customHeight="1" x14ac:dyDescent="0.2">
      <c r="B300" s="327"/>
      <c r="D300" s="327"/>
      <c r="F300" s="327"/>
      <c r="H300" s="327"/>
    </row>
    <row r="301" spans="2:8" s="326" customFormat="1" ht="9.9499999999999993" customHeight="1" x14ac:dyDescent="0.2">
      <c r="B301" s="327"/>
      <c r="D301" s="327"/>
      <c r="F301" s="327"/>
      <c r="H301" s="327"/>
    </row>
    <row r="302" spans="2:8" s="326" customFormat="1" ht="9.9499999999999993" customHeight="1" x14ac:dyDescent="0.2">
      <c r="B302" s="327"/>
      <c r="D302" s="327"/>
      <c r="F302" s="327"/>
      <c r="H302" s="327"/>
    </row>
    <row r="303" spans="2:8" s="326" customFormat="1" ht="9.9499999999999993" customHeight="1" x14ac:dyDescent="0.2">
      <c r="B303" s="327"/>
      <c r="D303" s="327"/>
      <c r="F303" s="327"/>
      <c r="H303" s="327"/>
    </row>
    <row r="304" spans="2:8" s="326" customFormat="1" ht="9.9499999999999993" customHeight="1" x14ac:dyDescent="0.2">
      <c r="B304" s="327"/>
      <c r="D304" s="327"/>
      <c r="F304" s="327"/>
      <c r="H304" s="327"/>
    </row>
    <row r="305" spans="2:8" s="326" customFormat="1" ht="9.9499999999999993" customHeight="1" x14ac:dyDescent="0.2">
      <c r="B305" s="327"/>
      <c r="D305" s="327"/>
      <c r="F305" s="327"/>
      <c r="H305" s="327"/>
    </row>
    <row r="306" spans="2:8" s="326" customFormat="1" ht="9.9499999999999993" customHeight="1" x14ac:dyDescent="0.2">
      <c r="B306" s="327"/>
      <c r="D306" s="327"/>
      <c r="F306" s="327"/>
      <c r="H306" s="327"/>
    </row>
    <row r="307" spans="2:8" s="326" customFormat="1" ht="9.9499999999999993" customHeight="1" x14ac:dyDescent="0.2">
      <c r="B307" s="327"/>
      <c r="D307" s="327"/>
      <c r="F307" s="327"/>
      <c r="H307" s="327"/>
    </row>
    <row r="308" spans="2:8" s="326" customFormat="1" ht="9.9499999999999993" customHeight="1" x14ac:dyDescent="0.2">
      <c r="B308" s="327"/>
      <c r="D308" s="327"/>
      <c r="F308" s="327"/>
      <c r="H308" s="327"/>
    </row>
    <row r="309" spans="2:8" s="326" customFormat="1" ht="9.9499999999999993" customHeight="1" x14ac:dyDescent="0.2">
      <c r="B309" s="327"/>
      <c r="D309" s="327"/>
      <c r="F309" s="327"/>
      <c r="H309" s="327"/>
    </row>
    <row r="310" spans="2:8" s="326" customFormat="1" ht="9.9499999999999993" customHeight="1" x14ac:dyDescent="0.2">
      <c r="B310" s="327"/>
      <c r="D310" s="327"/>
      <c r="F310" s="327"/>
      <c r="H310" s="327"/>
    </row>
    <row r="311" spans="2:8" s="326" customFormat="1" ht="9.9499999999999993" customHeight="1" x14ac:dyDescent="0.2">
      <c r="B311" s="327"/>
      <c r="D311" s="327"/>
      <c r="F311" s="327"/>
      <c r="H311" s="327"/>
    </row>
    <row r="312" spans="2:8" s="326" customFormat="1" ht="9.9499999999999993" customHeight="1" x14ac:dyDescent="0.2">
      <c r="B312" s="327"/>
      <c r="D312" s="327"/>
      <c r="F312" s="327"/>
      <c r="H312" s="327"/>
    </row>
    <row r="313" spans="2:8" s="326" customFormat="1" ht="9.9499999999999993" customHeight="1" x14ac:dyDescent="0.2">
      <c r="B313" s="327"/>
      <c r="D313" s="327"/>
      <c r="F313" s="327"/>
      <c r="H313" s="327"/>
    </row>
    <row r="314" spans="2:8" s="326" customFormat="1" ht="9.9499999999999993" customHeight="1" x14ac:dyDescent="0.2">
      <c r="B314" s="327"/>
      <c r="D314" s="327"/>
      <c r="F314" s="327"/>
      <c r="H314" s="327"/>
    </row>
    <row r="315" spans="2:8" s="326" customFormat="1" ht="9.9499999999999993" customHeight="1" x14ac:dyDescent="0.2">
      <c r="B315" s="327"/>
      <c r="D315" s="327"/>
      <c r="F315" s="327"/>
      <c r="H315" s="327"/>
    </row>
    <row r="316" spans="2:8" s="326" customFormat="1" ht="9.9499999999999993" customHeight="1" x14ac:dyDescent="0.2">
      <c r="B316" s="327"/>
      <c r="D316" s="327"/>
      <c r="F316" s="327"/>
      <c r="H316" s="327"/>
    </row>
    <row r="317" spans="2:8" s="326" customFormat="1" ht="9.9499999999999993" customHeight="1" x14ac:dyDescent="0.2">
      <c r="B317" s="327"/>
      <c r="D317" s="327"/>
      <c r="F317" s="327"/>
      <c r="H317" s="327"/>
    </row>
    <row r="318" spans="2:8" s="326" customFormat="1" ht="9.9499999999999993" customHeight="1" x14ac:dyDescent="0.2">
      <c r="B318" s="327"/>
      <c r="D318" s="327"/>
      <c r="F318" s="327"/>
      <c r="H318" s="327"/>
    </row>
    <row r="319" spans="2:8" s="326" customFormat="1" ht="9.9499999999999993" customHeight="1" x14ac:dyDescent="0.2">
      <c r="B319" s="327"/>
      <c r="D319" s="327"/>
      <c r="F319" s="327"/>
      <c r="H319" s="327"/>
    </row>
    <row r="320" spans="2:8" s="326" customFormat="1" ht="9.9499999999999993" customHeight="1" x14ac:dyDescent="0.2">
      <c r="B320" s="327"/>
      <c r="D320" s="327"/>
      <c r="F320" s="327"/>
      <c r="H320" s="327"/>
    </row>
    <row r="321" spans="2:8" s="326" customFormat="1" ht="9.9499999999999993" customHeight="1" x14ac:dyDescent="0.2">
      <c r="B321" s="327"/>
      <c r="D321" s="327"/>
      <c r="F321" s="327"/>
      <c r="H321" s="327"/>
    </row>
    <row r="322" spans="2:8" s="326" customFormat="1" ht="9.9499999999999993" customHeight="1" x14ac:dyDescent="0.2">
      <c r="B322" s="327"/>
      <c r="D322" s="327"/>
      <c r="F322" s="327"/>
      <c r="H322" s="327"/>
    </row>
    <row r="323" spans="2:8" s="326" customFormat="1" ht="9.9499999999999993" customHeight="1" x14ac:dyDescent="0.2">
      <c r="B323" s="327"/>
      <c r="D323" s="327"/>
      <c r="F323" s="327"/>
      <c r="H323" s="327"/>
    </row>
    <row r="324" spans="2:8" s="326" customFormat="1" ht="9.9499999999999993" customHeight="1" x14ac:dyDescent="0.2">
      <c r="B324" s="327"/>
      <c r="D324" s="327"/>
      <c r="F324" s="327"/>
      <c r="H324" s="327"/>
    </row>
    <row r="325" spans="2:8" s="326" customFormat="1" ht="9.9499999999999993" customHeight="1" x14ac:dyDescent="0.2">
      <c r="B325" s="327"/>
      <c r="D325" s="327"/>
      <c r="F325" s="327"/>
      <c r="H325" s="327"/>
    </row>
    <row r="326" spans="2:8" s="326" customFormat="1" ht="9.9499999999999993" customHeight="1" x14ac:dyDescent="0.2">
      <c r="B326" s="327"/>
      <c r="D326" s="327"/>
      <c r="F326" s="327"/>
      <c r="H326" s="327"/>
    </row>
    <row r="327" spans="2:8" s="326" customFormat="1" ht="9.9499999999999993" customHeight="1" x14ac:dyDescent="0.2">
      <c r="B327" s="327"/>
      <c r="D327" s="327"/>
      <c r="F327" s="327"/>
      <c r="H327" s="327"/>
    </row>
    <row r="328" spans="2:8" s="326" customFormat="1" ht="9.9499999999999993" customHeight="1" x14ac:dyDescent="0.2">
      <c r="B328" s="327"/>
      <c r="D328" s="327"/>
      <c r="F328" s="327"/>
      <c r="H328" s="327"/>
    </row>
    <row r="329" spans="2:8" s="326" customFormat="1" ht="9.9499999999999993" customHeight="1" x14ac:dyDescent="0.2">
      <c r="B329" s="327"/>
      <c r="D329" s="327"/>
      <c r="F329" s="327"/>
      <c r="H329" s="327"/>
    </row>
    <row r="330" spans="2:8" s="326" customFormat="1" ht="9.9499999999999993" customHeight="1" x14ac:dyDescent="0.2">
      <c r="B330" s="327"/>
      <c r="D330" s="327"/>
      <c r="F330" s="327"/>
      <c r="H330" s="327"/>
    </row>
    <row r="331" spans="2:8" s="326" customFormat="1" ht="9.9499999999999993" customHeight="1" x14ac:dyDescent="0.2">
      <c r="B331" s="327"/>
      <c r="D331" s="327"/>
      <c r="F331" s="327"/>
      <c r="H331" s="327"/>
    </row>
    <row r="332" spans="2:8" s="326" customFormat="1" ht="9.9499999999999993" customHeight="1" x14ac:dyDescent="0.2">
      <c r="B332" s="327"/>
      <c r="D332" s="327"/>
      <c r="F332" s="327"/>
      <c r="H332" s="327"/>
    </row>
    <row r="333" spans="2:8" s="326" customFormat="1" ht="9.9499999999999993" customHeight="1" x14ac:dyDescent="0.2">
      <c r="B333" s="327"/>
      <c r="D333" s="327"/>
      <c r="F333" s="327"/>
      <c r="H333" s="327"/>
    </row>
    <row r="334" spans="2:8" s="326" customFormat="1" ht="9.9499999999999993" customHeight="1" x14ac:dyDescent="0.2">
      <c r="B334" s="327"/>
      <c r="D334" s="327"/>
      <c r="F334" s="327"/>
      <c r="H334" s="327"/>
    </row>
    <row r="335" spans="2:8" s="326" customFormat="1" ht="9.9499999999999993" customHeight="1" x14ac:dyDescent="0.2">
      <c r="B335" s="327"/>
      <c r="D335" s="327"/>
      <c r="F335" s="327"/>
      <c r="H335" s="327"/>
    </row>
    <row r="336" spans="2:8" s="326" customFormat="1" ht="9.9499999999999993" customHeight="1" x14ac:dyDescent="0.2">
      <c r="B336" s="327"/>
      <c r="D336" s="327"/>
      <c r="F336" s="327"/>
      <c r="H336" s="327"/>
    </row>
    <row r="337" spans="2:8" s="326" customFormat="1" ht="9.9499999999999993" customHeight="1" x14ac:dyDescent="0.2">
      <c r="B337" s="327"/>
      <c r="D337" s="327"/>
      <c r="F337" s="327"/>
      <c r="H337" s="327"/>
    </row>
    <row r="338" spans="2:8" s="326" customFormat="1" ht="9.9499999999999993" customHeight="1" x14ac:dyDescent="0.2">
      <c r="B338" s="327"/>
      <c r="D338" s="327"/>
      <c r="F338" s="327"/>
      <c r="H338" s="327"/>
    </row>
    <row r="339" spans="2:8" s="326" customFormat="1" ht="9.9499999999999993" customHeight="1" x14ac:dyDescent="0.2">
      <c r="B339" s="327"/>
      <c r="D339" s="327"/>
      <c r="F339" s="327"/>
      <c r="H339" s="327"/>
    </row>
    <row r="340" spans="2:8" s="326" customFormat="1" ht="9.9499999999999993" customHeight="1" x14ac:dyDescent="0.2">
      <c r="B340" s="327"/>
      <c r="D340" s="327"/>
      <c r="F340" s="327"/>
      <c r="H340" s="327"/>
    </row>
    <row r="341" spans="2:8" s="326" customFormat="1" ht="9.9499999999999993" customHeight="1" x14ac:dyDescent="0.2">
      <c r="B341" s="327"/>
      <c r="D341" s="327"/>
      <c r="F341" s="327"/>
      <c r="H341" s="327"/>
    </row>
    <row r="342" spans="2:8" s="326" customFormat="1" ht="9.9499999999999993" customHeight="1" x14ac:dyDescent="0.2">
      <c r="B342" s="327"/>
      <c r="D342" s="327"/>
      <c r="F342" s="327"/>
      <c r="H342" s="327"/>
    </row>
    <row r="343" spans="2:8" s="326" customFormat="1" ht="9.9499999999999993" customHeight="1" x14ac:dyDescent="0.2">
      <c r="B343" s="327"/>
      <c r="D343" s="327"/>
      <c r="F343" s="327"/>
      <c r="H343" s="327"/>
    </row>
    <row r="344" spans="2:8" s="326" customFormat="1" ht="9.9499999999999993" customHeight="1" x14ac:dyDescent="0.2">
      <c r="B344" s="327"/>
      <c r="D344" s="327"/>
      <c r="F344" s="327"/>
      <c r="H344" s="327"/>
    </row>
    <row r="345" spans="2:8" s="326" customFormat="1" ht="9.9499999999999993" customHeight="1" x14ac:dyDescent="0.2">
      <c r="B345" s="327"/>
      <c r="D345" s="327"/>
      <c r="F345" s="327"/>
      <c r="H345" s="327"/>
    </row>
    <row r="346" spans="2:8" s="326" customFormat="1" ht="9.9499999999999993" customHeight="1" x14ac:dyDescent="0.2">
      <c r="B346" s="327"/>
      <c r="D346" s="327"/>
      <c r="F346" s="327"/>
      <c r="H346" s="327"/>
    </row>
    <row r="347" spans="2:8" s="326" customFormat="1" ht="9.9499999999999993" customHeight="1" x14ac:dyDescent="0.2">
      <c r="B347" s="327"/>
      <c r="D347" s="327"/>
      <c r="F347" s="327"/>
      <c r="H347" s="327"/>
    </row>
    <row r="348" spans="2:8" s="326" customFormat="1" ht="9.9499999999999993" customHeight="1" x14ac:dyDescent="0.2">
      <c r="B348" s="327"/>
      <c r="D348" s="327"/>
      <c r="F348" s="327"/>
      <c r="H348" s="327"/>
    </row>
    <row r="349" spans="2:8" s="326" customFormat="1" ht="9.9499999999999993" customHeight="1" x14ac:dyDescent="0.2">
      <c r="B349" s="327"/>
      <c r="D349" s="327"/>
      <c r="F349" s="327"/>
      <c r="H349" s="327"/>
    </row>
    <row r="350" spans="2:8" s="326" customFormat="1" ht="9.9499999999999993" customHeight="1" x14ac:dyDescent="0.2">
      <c r="B350" s="327"/>
      <c r="D350" s="327"/>
      <c r="F350" s="327"/>
      <c r="H350" s="327"/>
    </row>
    <row r="351" spans="2:8" s="326" customFormat="1" ht="9.9499999999999993" customHeight="1" x14ac:dyDescent="0.2">
      <c r="B351" s="327"/>
      <c r="D351" s="327"/>
      <c r="F351" s="327"/>
      <c r="H351" s="327"/>
    </row>
    <row r="352" spans="2:8" s="326" customFormat="1" ht="9.9499999999999993" customHeight="1" x14ac:dyDescent="0.2">
      <c r="B352" s="327"/>
      <c r="D352" s="327"/>
      <c r="F352" s="327"/>
      <c r="H352" s="327"/>
    </row>
    <row r="353" spans="2:8" s="326" customFormat="1" ht="9.9499999999999993" customHeight="1" x14ac:dyDescent="0.2">
      <c r="B353" s="327"/>
      <c r="D353" s="327"/>
      <c r="F353" s="327"/>
      <c r="H353" s="327"/>
    </row>
    <row r="354" spans="2:8" s="326" customFormat="1" ht="9.9499999999999993" customHeight="1" x14ac:dyDescent="0.2">
      <c r="B354" s="327"/>
      <c r="D354" s="327"/>
      <c r="F354" s="327"/>
      <c r="H354" s="327"/>
    </row>
    <row r="355" spans="2:8" s="326" customFormat="1" ht="9.9499999999999993" customHeight="1" x14ac:dyDescent="0.2">
      <c r="B355" s="327"/>
      <c r="D355" s="327"/>
      <c r="F355" s="327"/>
      <c r="H355" s="327"/>
    </row>
    <row r="356" spans="2:8" s="326" customFormat="1" ht="9.9499999999999993" customHeight="1" x14ac:dyDescent="0.2">
      <c r="B356" s="327"/>
      <c r="D356" s="327"/>
      <c r="F356" s="327"/>
      <c r="H356" s="327"/>
    </row>
    <row r="357" spans="2:8" s="326" customFormat="1" ht="9.9499999999999993" customHeight="1" x14ac:dyDescent="0.2">
      <c r="B357" s="327"/>
      <c r="D357" s="327"/>
      <c r="F357" s="327"/>
      <c r="H357" s="327"/>
    </row>
    <row r="358" spans="2:8" s="326" customFormat="1" ht="9.9499999999999993" customHeight="1" x14ac:dyDescent="0.2">
      <c r="B358" s="327"/>
      <c r="D358" s="327"/>
      <c r="F358" s="327"/>
      <c r="H358" s="327"/>
    </row>
    <row r="359" spans="2:8" s="326" customFormat="1" ht="9.9499999999999993" customHeight="1" x14ac:dyDescent="0.2">
      <c r="B359" s="327"/>
      <c r="D359" s="327"/>
      <c r="F359" s="327"/>
      <c r="H359" s="327"/>
    </row>
    <row r="360" spans="2:8" s="326" customFormat="1" ht="9.9499999999999993" customHeight="1" x14ac:dyDescent="0.2">
      <c r="B360" s="327"/>
      <c r="D360" s="327"/>
      <c r="F360" s="327"/>
      <c r="H360" s="327"/>
    </row>
    <row r="361" spans="2:8" s="326" customFormat="1" ht="9.9499999999999993" customHeight="1" x14ac:dyDescent="0.2">
      <c r="B361" s="327"/>
      <c r="D361" s="327"/>
      <c r="F361" s="327"/>
      <c r="H361" s="327"/>
    </row>
    <row r="362" spans="2:8" s="326" customFormat="1" ht="9.9499999999999993" customHeight="1" x14ac:dyDescent="0.2">
      <c r="B362" s="327"/>
      <c r="D362" s="327"/>
      <c r="F362" s="327"/>
      <c r="H362" s="327"/>
    </row>
    <row r="363" spans="2:8" s="326" customFormat="1" ht="9.9499999999999993" customHeight="1" x14ac:dyDescent="0.2">
      <c r="B363" s="327"/>
      <c r="D363" s="327"/>
      <c r="F363" s="327"/>
      <c r="H363" s="327"/>
    </row>
    <row r="364" spans="2:8" s="326" customFormat="1" ht="9.9499999999999993" customHeight="1" x14ac:dyDescent="0.2">
      <c r="B364" s="327"/>
      <c r="D364" s="327"/>
      <c r="F364" s="327"/>
      <c r="H364" s="327"/>
    </row>
    <row r="365" spans="2:8" s="326" customFormat="1" ht="9.9499999999999993" customHeight="1" x14ac:dyDescent="0.2">
      <c r="B365" s="327"/>
      <c r="D365" s="327"/>
      <c r="F365" s="327"/>
      <c r="H365" s="327"/>
    </row>
    <row r="366" spans="2:8" s="326" customFormat="1" ht="9.9499999999999993" customHeight="1" x14ac:dyDescent="0.2">
      <c r="B366" s="327"/>
      <c r="D366" s="327"/>
      <c r="F366" s="327"/>
      <c r="H366" s="327"/>
    </row>
    <row r="367" spans="2:8" s="326" customFormat="1" ht="9.9499999999999993" customHeight="1" x14ac:dyDescent="0.2">
      <c r="B367" s="327"/>
      <c r="D367" s="327"/>
      <c r="F367" s="327"/>
      <c r="H367" s="327"/>
    </row>
    <row r="368" spans="2:8" s="326" customFormat="1" ht="9.9499999999999993" customHeight="1" x14ac:dyDescent="0.2">
      <c r="B368" s="327"/>
      <c r="D368" s="327"/>
      <c r="F368" s="327"/>
      <c r="H368" s="327"/>
    </row>
    <row r="369" spans="2:8" s="326" customFormat="1" ht="9.9499999999999993" customHeight="1" x14ac:dyDescent="0.2">
      <c r="B369" s="327"/>
      <c r="D369" s="327"/>
      <c r="F369" s="327"/>
      <c r="H369" s="327"/>
    </row>
    <row r="370" spans="2:8" s="326" customFormat="1" ht="9.9499999999999993" customHeight="1" x14ac:dyDescent="0.2">
      <c r="B370" s="327"/>
      <c r="D370" s="327"/>
      <c r="F370" s="327"/>
      <c r="H370" s="327"/>
    </row>
    <row r="371" spans="2:8" s="326" customFormat="1" ht="9.9499999999999993" customHeight="1" x14ac:dyDescent="0.2">
      <c r="B371" s="327"/>
      <c r="D371" s="327"/>
      <c r="F371" s="327"/>
      <c r="H371" s="327"/>
    </row>
    <row r="372" spans="2:8" s="326" customFormat="1" ht="9.9499999999999993" customHeight="1" x14ac:dyDescent="0.2">
      <c r="B372" s="327"/>
      <c r="D372" s="327"/>
      <c r="F372" s="327"/>
      <c r="H372" s="327"/>
    </row>
    <row r="373" spans="2:8" s="326" customFormat="1" ht="9.9499999999999993" customHeight="1" x14ac:dyDescent="0.2">
      <c r="B373" s="327"/>
      <c r="D373" s="327"/>
      <c r="F373" s="327"/>
      <c r="H373" s="327"/>
    </row>
    <row r="374" spans="2:8" s="326" customFormat="1" ht="9.9499999999999993" customHeight="1" x14ac:dyDescent="0.2">
      <c r="B374" s="327"/>
      <c r="D374" s="327"/>
      <c r="F374" s="327"/>
      <c r="H374" s="327"/>
    </row>
    <row r="375" spans="2:8" s="326" customFormat="1" ht="9.9499999999999993" customHeight="1" x14ac:dyDescent="0.2">
      <c r="B375" s="327"/>
      <c r="D375" s="327"/>
      <c r="F375" s="327"/>
      <c r="H375" s="327"/>
    </row>
    <row r="376" spans="2:8" s="326" customFormat="1" ht="9.9499999999999993" customHeight="1" x14ac:dyDescent="0.2">
      <c r="B376" s="327"/>
      <c r="D376" s="327"/>
      <c r="F376" s="327"/>
      <c r="H376" s="327"/>
    </row>
    <row r="377" spans="2:8" s="326" customFormat="1" ht="9.9499999999999993" customHeight="1" x14ac:dyDescent="0.2">
      <c r="B377" s="327"/>
      <c r="D377" s="327"/>
      <c r="F377" s="327"/>
      <c r="H377" s="327"/>
    </row>
    <row r="378" spans="2:8" s="326" customFormat="1" ht="9.9499999999999993" customHeight="1" x14ac:dyDescent="0.2">
      <c r="B378" s="327"/>
      <c r="D378" s="327"/>
      <c r="F378" s="327"/>
      <c r="H378" s="327"/>
    </row>
    <row r="379" spans="2:8" s="326" customFormat="1" ht="9.9499999999999993" customHeight="1" x14ac:dyDescent="0.2">
      <c r="B379" s="327"/>
      <c r="D379" s="327"/>
      <c r="F379" s="327"/>
      <c r="H379" s="327"/>
    </row>
    <row r="380" spans="2:8" s="326" customFormat="1" ht="9.9499999999999993" customHeight="1" x14ac:dyDescent="0.2">
      <c r="B380" s="327"/>
      <c r="D380" s="327"/>
      <c r="F380" s="327"/>
      <c r="H380" s="327"/>
    </row>
    <row r="381" spans="2:8" s="326" customFormat="1" ht="9.9499999999999993" customHeight="1" x14ac:dyDescent="0.2">
      <c r="B381" s="327"/>
      <c r="D381" s="327"/>
      <c r="F381" s="327"/>
      <c r="H381" s="327"/>
    </row>
    <row r="382" spans="2:8" s="326" customFormat="1" ht="9.9499999999999993" customHeight="1" x14ac:dyDescent="0.2">
      <c r="B382" s="327"/>
      <c r="D382" s="327"/>
      <c r="F382" s="327"/>
      <c r="H382" s="327"/>
    </row>
    <row r="383" spans="2:8" s="326" customFormat="1" ht="9.9499999999999993" customHeight="1" x14ac:dyDescent="0.2">
      <c r="B383" s="327"/>
      <c r="D383" s="327"/>
      <c r="F383" s="327"/>
      <c r="H383" s="327"/>
    </row>
    <row r="384" spans="2:8" s="326" customFormat="1" ht="9.9499999999999993" customHeight="1" x14ac:dyDescent="0.2">
      <c r="B384" s="327"/>
      <c r="D384" s="327"/>
      <c r="F384" s="327"/>
      <c r="H384" s="327"/>
    </row>
    <row r="385" spans="2:8" s="326" customFormat="1" ht="9.9499999999999993" customHeight="1" x14ac:dyDescent="0.2">
      <c r="B385" s="327"/>
      <c r="D385" s="327"/>
      <c r="F385" s="327"/>
      <c r="H385" s="327"/>
    </row>
    <row r="386" spans="2:8" s="326" customFormat="1" ht="9.9499999999999993" customHeight="1" x14ac:dyDescent="0.2">
      <c r="B386" s="327"/>
      <c r="D386" s="327"/>
      <c r="F386" s="327"/>
      <c r="H386" s="327"/>
    </row>
    <row r="387" spans="2:8" s="326" customFormat="1" ht="9.9499999999999993" customHeight="1" x14ac:dyDescent="0.2">
      <c r="B387" s="327"/>
      <c r="D387" s="327"/>
      <c r="F387" s="327"/>
      <c r="H387" s="327"/>
    </row>
    <row r="388" spans="2:8" s="326" customFormat="1" ht="9.9499999999999993" customHeight="1" x14ac:dyDescent="0.2">
      <c r="B388" s="327"/>
      <c r="D388" s="327"/>
      <c r="F388" s="327"/>
      <c r="H388" s="327"/>
    </row>
    <row r="389" spans="2:8" s="326" customFormat="1" ht="9.9499999999999993" customHeight="1" x14ac:dyDescent="0.2">
      <c r="B389" s="327"/>
      <c r="D389" s="327"/>
      <c r="F389" s="327"/>
      <c r="H389" s="327"/>
    </row>
    <row r="390" spans="2:8" s="326" customFormat="1" ht="9.9499999999999993" customHeight="1" x14ac:dyDescent="0.2">
      <c r="B390" s="327"/>
      <c r="D390" s="327"/>
      <c r="F390" s="327"/>
      <c r="H390" s="327"/>
    </row>
    <row r="391" spans="2:8" s="326" customFormat="1" ht="9.9499999999999993" customHeight="1" x14ac:dyDescent="0.2">
      <c r="B391" s="327"/>
      <c r="D391" s="327"/>
      <c r="F391" s="327"/>
      <c r="H391" s="327"/>
    </row>
    <row r="392" spans="2:8" s="326" customFormat="1" ht="9.9499999999999993" customHeight="1" x14ac:dyDescent="0.2">
      <c r="B392" s="327"/>
      <c r="D392" s="327"/>
      <c r="F392" s="327"/>
      <c r="H392" s="327"/>
    </row>
    <row r="393" spans="2:8" s="326" customFormat="1" ht="9.9499999999999993" customHeight="1" x14ac:dyDescent="0.2">
      <c r="B393" s="327"/>
      <c r="D393" s="327"/>
      <c r="F393" s="327"/>
      <c r="H393" s="327"/>
    </row>
    <row r="394" spans="2:8" s="326" customFormat="1" ht="9.9499999999999993" customHeight="1" x14ac:dyDescent="0.2">
      <c r="B394" s="327"/>
      <c r="D394" s="327"/>
      <c r="F394" s="327"/>
      <c r="H394" s="327"/>
    </row>
    <row r="395" spans="2:8" s="326" customFormat="1" ht="9.9499999999999993" customHeight="1" x14ac:dyDescent="0.2">
      <c r="B395" s="327"/>
      <c r="D395" s="327"/>
      <c r="F395" s="327"/>
      <c r="H395" s="327"/>
    </row>
    <row r="396" spans="2:8" s="326" customFormat="1" ht="9.9499999999999993" customHeight="1" x14ac:dyDescent="0.2">
      <c r="B396" s="327"/>
      <c r="D396" s="327"/>
      <c r="F396" s="327"/>
      <c r="H396" s="327"/>
    </row>
    <row r="397" spans="2:8" s="326" customFormat="1" ht="9.9499999999999993" customHeight="1" x14ac:dyDescent="0.2">
      <c r="B397" s="327"/>
      <c r="D397" s="327"/>
      <c r="F397" s="327"/>
      <c r="H397" s="327"/>
    </row>
    <row r="398" spans="2:8" s="326" customFormat="1" ht="9.9499999999999993" customHeight="1" x14ac:dyDescent="0.2">
      <c r="B398" s="327"/>
      <c r="D398" s="327"/>
      <c r="F398" s="327"/>
      <c r="H398" s="327"/>
    </row>
    <row r="399" spans="2:8" s="326" customFormat="1" ht="9.9499999999999993" customHeight="1" x14ac:dyDescent="0.2">
      <c r="B399" s="327"/>
      <c r="D399" s="327"/>
      <c r="F399" s="327"/>
      <c r="H399" s="327"/>
    </row>
    <row r="400" spans="2:8" s="326" customFormat="1" ht="9.9499999999999993" customHeight="1" x14ac:dyDescent="0.2">
      <c r="B400" s="327"/>
      <c r="D400" s="327"/>
      <c r="F400" s="327"/>
      <c r="H400" s="327"/>
    </row>
    <row r="401" spans="2:8" s="326" customFormat="1" ht="9.9499999999999993" customHeight="1" x14ac:dyDescent="0.2">
      <c r="B401" s="327"/>
      <c r="D401" s="327"/>
      <c r="F401" s="327"/>
      <c r="H401" s="327"/>
    </row>
    <row r="402" spans="2:8" s="326" customFormat="1" ht="9.9499999999999993" customHeight="1" x14ac:dyDescent="0.2">
      <c r="B402" s="327"/>
      <c r="D402" s="327"/>
      <c r="F402" s="327"/>
      <c r="H402" s="327"/>
    </row>
    <row r="403" spans="2:8" s="326" customFormat="1" ht="9.9499999999999993" customHeight="1" x14ac:dyDescent="0.2">
      <c r="B403" s="327"/>
      <c r="D403" s="327"/>
      <c r="F403" s="327"/>
      <c r="H403" s="327"/>
    </row>
    <row r="404" spans="2:8" s="326" customFormat="1" ht="9.9499999999999993" customHeight="1" x14ac:dyDescent="0.2">
      <c r="B404" s="327"/>
      <c r="D404" s="327"/>
      <c r="F404" s="327"/>
      <c r="H404" s="327"/>
    </row>
    <row r="405" spans="2:8" s="326" customFormat="1" ht="9.9499999999999993" customHeight="1" x14ac:dyDescent="0.2">
      <c r="B405" s="327"/>
      <c r="D405" s="327"/>
      <c r="F405" s="327"/>
      <c r="H405" s="327"/>
    </row>
    <row r="406" spans="2:8" s="326" customFormat="1" ht="9.9499999999999993" customHeight="1" x14ac:dyDescent="0.2">
      <c r="B406" s="327"/>
      <c r="D406" s="327"/>
      <c r="F406" s="327"/>
      <c r="H406" s="327"/>
    </row>
    <row r="407" spans="2:8" s="326" customFormat="1" ht="9.9499999999999993" customHeight="1" x14ac:dyDescent="0.2">
      <c r="B407" s="327"/>
      <c r="D407" s="327"/>
      <c r="F407" s="327"/>
      <c r="H407" s="327"/>
    </row>
    <row r="408" spans="2:8" s="326" customFormat="1" ht="9.9499999999999993" customHeight="1" x14ac:dyDescent="0.2">
      <c r="B408" s="327"/>
      <c r="D408" s="327"/>
      <c r="F408" s="327"/>
      <c r="H408" s="327"/>
    </row>
    <row r="409" spans="2:8" s="326" customFormat="1" ht="9.9499999999999993" customHeight="1" x14ac:dyDescent="0.2">
      <c r="B409" s="327"/>
      <c r="D409" s="327"/>
      <c r="F409" s="327"/>
      <c r="H409" s="327"/>
    </row>
    <row r="410" spans="2:8" s="326" customFormat="1" ht="9.9499999999999993" customHeight="1" x14ac:dyDescent="0.2">
      <c r="B410" s="327"/>
      <c r="D410" s="327"/>
      <c r="F410" s="327"/>
      <c r="H410" s="327"/>
    </row>
    <row r="411" spans="2:8" s="326" customFormat="1" ht="9.9499999999999993" customHeight="1" x14ac:dyDescent="0.2">
      <c r="B411" s="327"/>
      <c r="D411" s="327"/>
      <c r="F411" s="327"/>
      <c r="H411" s="327"/>
    </row>
    <row r="412" spans="2:8" s="326" customFormat="1" ht="9.9499999999999993" customHeight="1" x14ac:dyDescent="0.2">
      <c r="B412" s="327"/>
      <c r="D412" s="327"/>
      <c r="F412" s="327"/>
      <c r="H412" s="327"/>
    </row>
    <row r="413" spans="2:8" s="326" customFormat="1" ht="9.9499999999999993" customHeight="1" x14ac:dyDescent="0.2">
      <c r="B413" s="327"/>
      <c r="D413" s="327"/>
      <c r="F413" s="327"/>
      <c r="H413" s="327"/>
    </row>
    <row r="414" spans="2:8" s="326" customFormat="1" ht="9.9499999999999993" customHeight="1" x14ac:dyDescent="0.2">
      <c r="B414" s="327"/>
      <c r="D414" s="327"/>
      <c r="F414" s="327"/>
      <c r="H414" s="327"/>
    </row>
    <row r="415" spans="2:8" s="326" customFormat="1" ht="9.9499999999999993" customHeight="1" x14ac:dyDescent="0.2">
      <c r="B415" s="327"/>
      <c r="D415" s="327"/>
      <c r="F415" s="327"/>
      <c r="H415" s="327"/>
    </row>
    <row r="416" spans="2:8" s="326" customFormat="1" ht="9.9499999999999993" customHeight="1" x14ac:dyDescent="0.2">
      <c r="B416" s="327"/>
      <c r="D416" s="327"/>
      <c r="F416" s="327"/>
      <c r="H416" s="327"/>
    </row>
    <row r="417" spans="2:8" s="326" customFormat="1" ht="9.9499999999999993" customHeight="1" x14ac:dyDescent="0.2">
      <c r="B417" s="327"/>
      <c r="D417" s="327"/>
      <c r="F417" s="327"/>
      <c r="H417" s="327"/>
    </row>
    <row r="418" spans="2:8" s="326" customFormat="1" ht="9.9499999999999993" customHeight="1" x14ac:dyDescent="0.2">
      <c r="B418" s="327"/>
      <c r="D418" s="327"/>
      <c r="F418" s="327"/>
      <c r="H418" s="327"/>
    </row>
    <row r="419" spans="2:8" s="326" customFormat="1" ht="9.9499999999999993" customHeight="1" x14ac:dyDescent="0.2">
      <c r="B419" s="327"/>
      <c r="D419" s="327"/>
      <c r="F419" s="327"/>
      <c r="H419" s="327"/>
    </row>
    <row r="420" spans="2:8" s="326" customFormat="1" ht="9.9499999999999993" customHeight="1" x14ac:dyDescent="0.2">
      <c r="B420" s="327"/>
      <c r="D420" s="327"/>
      <c r="F420" s="327"/>
      <c r="H420" s="327"/>
    </row>
    <row r="421" spans="2:8" s="326" customFormat="1" ht="9.9499999999999993" customHeight="1" x14ac:dyDescent="0.2">
      <c r="B421" s="327"/>
      <c r="D421" s="327"/>
      <c r="F421" s="327"/>
      <c r="H421" s="327"/>
    </row>
    <row r="422" spans="2:8" s="326" customFormat="1" ht="9.9499999999999993" customHeight="1" x14ac:dyDescent="0.2">
      <c r="B422" s="327"/>
      <c r="D422" s="327"/>
      <c r="F422" s="327"/>
      <c r="H422" s="327"/>
    </row>
    <row r="423" spans="2:8" s="326" customFormat="1" ht="9.9499999999999993" customHeight="1" x14ac:dyDescent="0.2">
      <c r="B423" s="327"/>
      <c r="D423" s="327"/>
      <c r="F423" s="327"/>
      <c r="H423" s="327"/>
    </row>
    <row r="424" spans="2:8" s="326" customFormat="1" ht="9.9499999999999993" customHeight="1" x14ac:dyDescent="0.2">
      <c r="B424" s="327"/>
      <c r="D424" s="327"/>
      <c r="F424" s="327"/>
      <c r="H424" s="327"/>
    </row>
    <row r="425" spans="2:8" s="326" customFormat="1" ht="9.9499999999999993" customHeight="1" x14ac:dyDescent="0.2">
      <c r="B425" s="327"/>
      <c r="D425" s="327"/>
      <c r="F425" s="327"/>
      <c r="H425" s="327"/>
    </row>
    <row r="426" spans="2:8" s="326" customFormat="1" ht="9.9499999999999993" customHeight="1" x14ac:dyDescent="0.2">
      <c r="B426" s="327"/>
      <c r="D426" s="327"/>
      <c r="F426" s="327"/>
      <c r="H426" s="327"/>
    </row>
    <row r="427" spans="2:8" s="326" customFormat="1" ht="9.9499999999999993" customHeight="1" x14ac:dyDescent="0.2">
      <c r="B427" s="327"/>
      <c r="D427" s="327"/>
      <c r="F427" s="327"/>
      <c r="H427" s="327"/>
    </row>
    <row r="428" spans="2:8" s="326" customFormat="1" ht="9.9499999999999993" customHeight="1" x14ac:dyDescent="0.2">
      <c r="B428" s="327"/>
      <c r="D428" s="327"/>
      <c r="F428" s="327"/>
      <c r="H428" s="327"/>
    </row>
    <row r="429" spans="2:8" s="326" customFormat="1" ht="9.9499999999999993" customHeight="1" x14ac:dyDescent="0.2">
      <c r="B429" s="327"/>
      <c r="D429" s="327"/>
      <c r="F429" s="327"/>
      <c r="H429" s="327"/>
    </row>
    <row r="430" spans="2:8" s="326" customFormat="1" ht="9.9499999999999993" customHeight="1" x14ac:dyDescent="0.2">
      <c r="B430" s="327"/>
      <c r="D430" s="327"/>
      <c r="F430" s="327"/>
      <c r="H430" s="327"/>
    </row>
    <row r="431" spans="2:8" s="326" customFormat="1" ht="9.9499999999999993" customHeight="1" x14ac:dyDescent="0.2">
      <c r="B431" s="327"/>
      <c r="D431" s="327"/>
      <c r="F431" s="327"/>
      <c r="H431" s="327"/>
    </row>
    <row r="432" spans="2:8" s="326" customFormat="1" ht="9.9499999999999993" customHeight="1" x14ac:dyDescent="0.2">
      <c r="B432" s="327"/>
      <c r="D432" s="327"/>
      <c r="F432" s="327"/>
      <c r="H432" s="327"/>
    </row>
    <row r="433" spans="2:8" s="326" customFormat="1" ht="9.9499999999999993" customHeight="1" x14ac:dyDescent="0.2">
      <c r="B433" s="327"/>
      <c r="D433" s="327"/>
      <c r="F433" s="327"/>
      <c r="H433" s="327"/>
    </row>
    <row r="434" spans="2:8" s="326" customFormat="1" ht="9.9499999999999993" customHeight="1" x14ac:dyDescent="0.2">
      <c r="B434" s="327"/>
      <c r="D434" s="327"/>
      <c r="F434" s="327"/>
      <c r="H434" s="327"/>
    </row>
    <row r="435" spans="2:8" s="326" customFormat="1" ht="9.9499999999999993" customHeight="1" x14ac:dyDescent="0.2">
      <c r="B435" s="327"/>
      <c r="D435" s="327"/>
      <c r="F435" s="327"/>
      <c r="H435" s="327"/>
    </row>
    <row r="436" spans="2:8" s="326" customFormat="1" ht="9.9499999999999993" customHeight="1" x14ac:dyDescent="0.2">
      <c r="B436" s="327"/>
      <c r="D436" s="327"/>
      <c r="F436" s="327"/>
      <c r="H436" s="327"/>
    </row>
    <row r="437" spans="2:8" s="326" customFormat="1" ht="9.9499999999999993" customHeight="1" x14ac:dyDescent="0.2">
      <c r="B437" s="327"/>
      <c r="D437" s="327"/>
      <c r="F437" s="327"/>
      <c r="H437" s="327"/>
    </row>
    <row r="438" spans="2:8" s="326" customFormat="1" ht="9.9499999999999993" customHeight="1" x14ac:dyDescent="0.2">
      <c r="B438" s="327"/>
      <c r="D438" s="327"/>
      <c r="F438" s="327"/>
      <c r="H438" s="327"/>
    </row>
    <row r="439" spans="2:8" s="326" customFormat="1" ht="9.9499999999999993" customHeight="1" x14ac:dyDescent="0.2">
      <c r="B439" s="327"/>
      <c r="D439" s="327"/>
      <c r="F439" s="327"/>
      <c r="H439" s="327"/>
    </row>
    <row r="440" spans="2:8" s="326" customFormat="1" ht="9.9499999999999993" customHeight="1" x14ac:dyDescent="0.2">
      <c r="B440" s="327"/>
      <c r="D440" s="327"/>
      <c r="F440" s="327"/>
      <c r="H440" s="327"/>
    </row>
    <row r="441" spans="2:8" s="326" customFormat="1" ht="9.9499999999999993" customHeight="1" x14ac:dyDescent="0.2">
      <c r="B441" s="327"/>
      <c r="D441" s="327"/>
      <c r="F441" s="327"/>
      <c r="H441" s="327"/>
    </row>
    <row r="442" spans="2:8" s="326" customFormat="1" ht="9.9499999999999993" customHeight="1" x14ac:dyDescent="0.2">
      <c r="B442" s="327"/>
      <c r="D442" s="327"/>
      <c r="F442" s="327"/>
      <c r="H442" s="327"/>
    </row>
    <row r="443" spans="2:8" s="326" customFormat="1" ht="9.9499999999999993" customHeight="1" x14ac:dyDescent="0.2">
      <c r="B443" s="327"/>
      <c r="D443" s="327"/>
      <c r="F443" s="327"/>
      <c r="H443" s="327"/>
    </row>
    <row r="444" spans="2:8" s="326" customFormat="1" ht="9.9499999999999993" customHeight="1" x14ac:dyDescent="0.2">
      <c r="B444" s="327"/>
      <c r="D444" s="327"/>
      <c r="F444" s="327"/>
      <c r="H444" s="327"/>
    </row>
    <row r="445" spans="2:8" s="326" customFormat="1" ht="9.9499999999999993" customHeight="1" x14ac:dyDescent="0.2">
      <c r="B445" s="327"/>
      <c r="D445" s="327"/>
      <c r="F445" s="327"/>
      <c r="H445" s="327"/>
    </row>
    <row r="446" spans="2:8" s="326" customFormat="1" ht="9.9499999999999993" customHeight="1" x14ac:dyDescent="0.2">
      <c r="B446" s="327"/>
      <c r="D446" s="327"/>
      <c r="F446" s="327"/>
      <c r="H446" s="327"/>
    </row>
    <row r="447" spans="2:8" s="326" customFormat="1" ht="9.9499999999999993" customHeight="1" x14ac:dyDescent="0.2">
      <c r="B447" s="327"/>
      <c r="D447" s="327"/>
      <c r="F447" s="327"/>
      <c r="H447" s="327"/>
    </row>
    <row r="448" spans="2:8" s="326" customFormat="1" ht="9.9499999999999993" customHeight="1" x14ac:dyDescent="0.2">
      <c r="B448" s="327"/>
      <c r="D448" s="327"/>
      <c r="F448" s="327"/>
      <c r="H448" s="327"/>
    </row>
    <row r="449" spans="2:8" s="326" customFormat="1" ht="9.9499999999999993" customHeight="1" x14ac:dyDescent="0.2">
      <c r="B449" s="327"/>
      <c r="D449" s="327"/>
      <c r="F449" s="327"/>
      <c r="H449" s="327"/>
    </row>
    <row r="450" spans="2:8" s="326" customFormat="1" ht="9.9499999999999993" customHeight="1" x14ac:dyDescent="0.2">
      <c r="B450" s="327"/>
      <c r="D450" s="327"/>
      <c r="F450" s="327"/>
      <c r="H450" s="327"/>
    </row>
    <row r="451" spans="2:8" s="326" customFormat="1" ht="9.9499999999999993" customHeight="1" x14ac:dyDescent="0.2">
      <c r="B451" s="327"/>
      <c r="D451" s="327"/>
      <c r="F451" s="327"/>
      <c r="H451" s="327"/>
    </row>
    <row r="452" spans="2:8" s="326" customFormat="1" ht="9.9499999999999993" customHeight="1" x14ac:dyDescent="0.2">
      <c r="B452" s="327"/>
      <c r="D452" s="327"/>
      <c r="F452" s="327"/>
      <c r="H452" s="327"/>
    </row>
    <row r="453" spans="2:8" s="326" customFormat="1" ht="9.9499999999999993" customHeight="1" x14ac:dyDescent="0.2">
      <c r="B453" s="327"/>
      <c r="D453" s="327"/>
      <c r="F453" s="327"/>
      <c r="H453" s="327"/>
    </row>
    <row r="454" spans="2:8" s="326" customFormat="1" ht="9.9499999999999993" customHeight="1" x14ac:dyDescent="0.2">
      <c r="B454" s="327"/>
      <c r="D454" s="327"/>
      <c r="F454" s="327"/>
      <c r="H454" s="327"/>
    </row>
    <row r="455" spans="2:8" s="326" customFormat="1" ht="9.9499999999999993" customHeight="1" x14ac:dyDescent="0.2">
      <c r="B455" s="327"/>
      <c r="D455" s="327"/>
      <c r="F455" s="327"/>
      <c r="H455" s="327"/>
    </row>
    <row r="456" spans="2:8" s="326" customFormat="1" ht="9.9499999999999993" customHeight="1" x14ac:dyDescent="0.2">
      <c r="B456" s="327"/>
      <c r="D456" s="327"/>
      <c r="F456" s="327"/>
      <c r="H456" s="327"/>
    </row>
    <row r="457" spans="2:8" s="326" customFormat="1" ht="9.9499999999999993" customHeight="1" x14ac:dyDescent="0.2">
      <c r="B457" s="327"/>
      <c r="D457" s="327"/>
      <c r="F457" s="327"/>
      <c r="H457" s="327"/>
    </row>
    <row r="458" spans="2:8" s="326" customFormat="1" ht="9.9499999999999993" customHeight="1" x14ac:dyDescent="0.2">
      <c r="B458" s="327"/>
      <c r="D458" s="327"/>
      <c r="F458" s="327"/>
      <c r="H458" s="327"/>
    </row>
    <row r="459" spans="2:8" s="326" customFormat="1" ht="9.9499999999999993" customHeight="1" x14ac:dyDescent="0.2">
      <c r="B459" s="327"/>
      <c r="D459" s="327"/>
      <c r="F459" s="327"/>
      <c r="H459" s="327"/>
    </row>
    <row r="460" spans="2:8" s="326" customFormat="1" ht="9.9499999999999993" customHeight="1" x14ac:dyDescent="0.2">
      <c r="B460" s="327"/>
      <c r="D460" s="327"/>
      <c r="F460" s="327"/>
      <c r="H460" s="327"/>
    </row>
    <row r="461" spans="2:8" s="326" customFormat="1" ht="9.9499999999999993" customHeight="1" x14ac:dyDescent="0.2">
      <c r="B461" s="327"/>
      <c r="D461" s="327"/>
      <c r="F461" s="327"/>
      <c r="H461" s="327"/>
    </row>
    <row r="462" spans="2:8" s="326" customFormat="1" ht="9.9499999999999993" customHeight="1" x14ac:dyDescent="0.2">
      <c r="B462" s="327"/>
      <c r="D462" s="327"/>
      <c r="F462" s="327"/>
      <c r="H462" s="327"/>
    </row>
    <row r="463" spans="2:8" s="326" customFormat="1" ht="9.9499999999999993" customHeight="1" x14ac:dyDescent="0.2">
      <c r="B463" s="327"/>
      <c r="D463" s="327"/>
      <c r="F463" s="327"/>
      <c r="H463" s="327"/>
    </row>
    <row r="464" spans="2:8" s="326" customFormat="1" ht="9.9499999999999993" customHeight="1" x14ac:dyDescent="0.2">
      <c r="B464" s="327"/>
      <c r="D464" s="327"/>
      <c r="F464" s="327"/>
      <c r="H464" s="327"/>
    </row>
    <row r="465" spans="2:8" s="326" customFormat="1" ht="9.9499999999999993" customHeight="1" x14ac:dyDescent="0.2">
      <c r="B465" s="327"/>
      <c r="D465" s="327"/>
      <c r="F465" s="327"/>
      <c r="H465" s="327"/>
    </row>
    <row r="466" spans="2:8" s="326" customFormat="1" ht="9.9499999999999993" customHeight="1" x14ac:dyDescent="0.2">
      <c r="B466" s="327"/>
      <c r="D466" s="327"/>
      <c r="F466" s="327"/>
      <c r="H466" s="327"/>
    </row>
    <row r="467" spans="2:8" s="326" customFormat="1" ht="9.9499999999999993" customHeight="1" x14ac:dyDescent="0.2">
      <c r="B467" s="327"/>
      <c r="D467" s="327"/>
      <c r="F467" s="327"/>
      <c r="H467" s="327"/>
    </row>
    <row r="468" spans="2:8" s="326" customFormat="1" ht="9.9499999999999993" customHeight="1" x14ac:dyDescent="0.2">
      <c r="B468" s="327"/>
      <c r="D468" s="327"/>
      <c r="F468" s="327"/>
      <c r="H468" s="327"/>
    </row>
    <row r="469" spans="2:8" s="326" customFormat="1" ht="9.9499999999999993" customHeight="1" x14ac:dyDescent="0.2">
      <c r="B469" s="327"/>
      <c r="D469" s="327"/>
      <c r="F469" s="327"/>
      <c r="H469" s="327"/>
    </row>
    <row r="470" spans="2:8" s="326" customFormat="1" ht="9.9499999999999993" customHeight="1" x14ac:dyDescent="0.2">
      <c r="B470" s="327"/>
      <c r="D470" s="327"/>
      <c r="F470" s="327"/>
      <c r="H470" s="327"/>
    </row>
    <row r="471" spans="2:8" s="326" customFormat="1" ht="9.9499999999999993" customHeight="1" x14ac:dyDescent="0.2">
      <c r="B471" s="327"/>
      <c r="D471" s="327"/>
      <c r="F471" s="327"/>
      <c r="H471" s="327"/>
    </row>
    <row r="472" spans="2:8" s="326" customFormat="1" ht="9.9499999999999993" customHeight="1" x14ac:dyDescent="0.2">
      <c r="B472" s="327"/>
      <c r="D472" s="327"/>
      <c r="F472" s="327"/>
      <c r="H472" s="327"/>
    </row>
    <row r="473" spans="2:8" s="326" customFormat="1" ht="9.9499999999999993" customHeight="1" x14ac:dyDescent="0.2">
      <c r="B473" s="327"/>
      <c r="D473" s="327"/>
      <c r="F473" s="327"/>
      <c r="H473" s="327"/>
    </row>
    <row r="474" spans="2:8" s="326" customFormat="1" ht="9.9499999999999993" customHeight="1" x14ac:dyDescent="0.2">
      <c r="B474" s="327"/>
      <c r="D474" s="327"/>
      <c r="F474" s="327"/>
      <c r="H474" s="327"/>
    </row>
    <row r="475" spans="2:8" s="326" customFormat="1" ht="9.9499999999999993" customHeight="1" x14ac:dyDescent="0.2">
      <c r="B475" s="327"/>
      <c r="D475" s="327"/>
      <c r="F475" s="327"/>
      <c r="H475" s="327"/>
    </row>
    <row r="476" spans="2:8" s="326" customFormat="1" ht="9.9499999999999993" customHeight="1" x14ac:dyDescent="0.2">
      <c r="B476" s="327"/>
      <c r="D476" s="327"/>
      <c r="F476" s="327"/>
      <c r="H476" s="327"/>
    </row>
    <row r="477" spans="2:8" s="326" customFormat="1" ht="9.9499999999999993" customHeight="1" x14ac:dyDescent="0.2">
      <c r="B477" s="327"/>
      <c r="D477" s="327"/>
      <c r="F477" s="327"/>
      <c r="H477" s="327"/>
    </row>
    <row r="478" spans="2:8" s="326" customFormat="1" ht="9.9499999999999993" customHeight="1" x14ac:dyDescent="0.2">
      <c r="B478" s="327"/>
      <c r="D478" s="327"/>
      <c r="F478" s="327"/>
      <c r="H478" s="327"/>
    </row>
    <row r="479" spans="2:8" s="326" customFormat="1" ht="9.9499999999999993" customHeight="1" x14ac:dyDescent="0.2">
      <c r="B479" s="327"/>
      <c r="D479" s="327"/>
      <c r="F479" s="327"/>
      <c r="H479" s="327"/>
    </row>
    <row r="480" spans="2:8" s="326" customFormat="1" ht="9.9499999999999993" customHeight="1" x14ac:dyDescent="0.2">
      <c r="B480" s="327"/>
      <c r="D480" s="327"/>
      <c r="F480" s="327"/>
      <c r="H480" s="327"/>
    </row>
    <row r="481" spans="2:8" s="326" customFormat="1" ht="9.9499999999999993" customHeight="1" x14ac:dyDescent="0.2">
      <c r="B481" s="327"/>
      <c r="D481" s="327"/>
      <c r="F481" s="327"/>
      <c r="H481" s="327"/>
    </row>
    <row r="482" spans="2:8" s="326" customFormat="1" ht="9.9499999999999993" customHeight="1" x14ac:dyDescent="0.2">
      <c r="B482" s="327"/>
      <c r="D482" s="327"/>
      <c r="F482" s="327"/>
      <c r="H482" s="327"/>
    </row>
    <row r="483" spans="2:8" s="326" customFormat="1" ht="9.9499999999999993" customHeight="1" x14ac:dyDescent="0.2">
      <c r="B483" s="327"/>
      <c r="D483" s="327"/>
      <c r="F483" s="327"/>
      <c r="H483" s="327"/>
    </row>
    <row r="484" spans="2:8" s="326" customFormat="1" ht="9.9499999999999993" customHeight="1" x14ac:dyDescent="0.2">
      <c r="B484" s="327"/>
      <c r="D484" s="327"/>
      <c r="F484" s="327"/>
      <c r="H484" s="327"/>
    </row>
    <row r="485" spans="2:8" s="326" customFormat="1" ht="9.9499999999999993" customHeight="1" x14ac:dyDescent="0.2">
      <c r="B485" s="327"/>
      <c r="D485" s="327"/>
      <c r="F485" s="327"/>
      <c r="H485" s="327"/>
    </row>
    <row r="486" spans="2:8" s="326" customFormat="1" ht="9.9499999999999993" customHeight="1" x14ac:dyDescent="0.2">
      <c r="B486" s="327"/>
      <c r="D486" s="327"/>
      <c r="F486" s="327"/>
      <c r="H486" s="327"/>
    </row>
    <row r="487" spans="2:8" s="326" customFormat="1" ht="9.9499999999999993" customHeight="1" x14ac:dyDescent="0.2">
      <c r="B487" s="327"/>
      <c r="D487" s="327"/>
      <c r="F487" s="327"/>
      <c r="H487" s="327"/>
    </row>
    <row r="488" spans="2:8" s="326" customFormat="1" ht="9.9499999999999993" customHeight="1" x14ac:dyDescent="0.2">
      <c r="B488" s="327"/>
      <c r="D488" s="327"/>
      <c r="F488" s="327"/>
      <c r="H488" s="327"/>
    </row>
    <row r="489" spans="2:8" s="326" customFormat="1" ht="9.9499999999999993" customHeight="1" x14ac:dyDescent="0.2">
      <c r="B489" s="327"/>
      <c r="D489" s="327"/>
      <c r="F489" s="327"/>
      <c r="H489" s="327"/>
    </row>
    <row r="490" spans="2:8" s="326" customFormat="1" ht="9.9499999999999993" customHeight="1" x14ac:dyDescent="0.2">
      <c r="B490" s="327"/>
      <c r="D490" s="327"/>
      <c r="F490" s="327"/>
      <c r="H490" s="327"/>
    </row>
    <row r="491" spans="2:8" s="326" customFormat="1" ht="9.9499999999999993" customHeight="1" x14ac:dyDescent="0.2">
      <c r="B491" s="327"/>
      <c r="D491" s="327"/>
      <c r="F491" s="327"/>
      <c r="H491" s="327"/>
    </row>
    <row r="492" spans="2:8" s="326" customFormat="1" ht="9.9499999999999993" customHeight="1" x14ac:dyDescent="0.2">
      <c r="B492" s="327"/>
      <c r="D492" s="327"/>
      <c r="F492" s="327"/>
      <c r="H492" s="327"/>
    </row>
    <row r="493" spans="2:8" s="326" customFormat="1" ht="9.9499999999999993" customHeight="1" x14ac:dyDescent="0.2">
      <c r="B493" s="327"/>
      <c r="D493" s="327"/>
      <c r="F493" s="327"/>
      <c r="H493" s="327"/>
    </row>
    <row r="494" spans="2:8" s="326" customFormat="1" ht="9.9499999999999993" customHeight="1" x14ac:dyDescent="0.2">
      <c r="B494" s="327"/>
      <c r="D494" s="327"/>
      <c r="F494" s="327"/>
      <c r="H494" s="327"/>
    </row>
    <row r="495" spans="2:8" s="326" customFormat="1" ht="9.9499999999999993" customHeight="1" x14ac:dyDescent="0.2">
      <c r="B495" s="327"/>
      <c r="D495" s="327"/>
      <c r="F495" s="327"/>
      <c r="H495" s="327"/>
    </row>
    <row r="496" spans="2:8" s="326" customFormat="1" ht="9.9499999999999993" customHeight="1" x14ac:dyDescent="0.2">
      <c r="B496" s="327"/>
      <c r="D496" s="327"/>
      <c r="F496" s="327"/>
      <c r="H496" s="327"/>
    </row>
    <row r="497" spans="2:8" s="326" customFormat="1" ht="9.9499999999999993" customHeight="1" x14ac:dyDescent="0.2">
      <c r="B497" s="327"/>
      <c r="D497" s="327"/>
      <c r="F497" s="327"/>
      <c r="H497" s="327"/>
    </row>
    <row r="498" spans="2:8" s="326" customFormat="1" ht="9.9499999999999993" customHeight="1" x14ac:dyDescent="0.2">
      <c r="B498" s="327"/>
      <c r="D498" s="327"/>
      <c r="F498" s="327"/>
      <c r="H498" s="327"/>
    </row>
    <row r="499" spans="2:8" s="326" customFormat="1" ht="9.9499999999999993" customHeight="1" x14ac:dyDescent="0.2">
      <c r="B499" s="327"/>
      <c r="D499" s="327"/>
      <c r="F499" s="327"/>
      <c r="H499" s="327"/>
    </row>
    <row r="500" spans="2:8" s="326" customFormat="1" ht="9.9499999999999993" customHeight="1" x14ac:dyDescent="0.2">
      <c r="B500" s="327"/>
      <c r="D500" s="327"/>
      <c r="F500" s="327"/>
      <c r="H500" s="327"/>
    </row>
    <row r="501" spans="2:8" s="326" customFormat="1" ht="9.9499999999999993" customHeight="1" x14ac:dyDescent="0.2">
      <c r="B501" s="327"/>
      <c r="D501" s="327"/>
      <c r="F501" s="327"/>
      <c r="H501" s="327"/>
    </row>
    <row r="502" spans="2:8" s="326" customFormat="1" ht="9.9499999999999993" customHeight="1" x14ac:dyDescent="0.2">
      <c r="B502" s="327"/>
      <c r="D502" s="327"/>
      <c r="F502" s="327"/>
      <c r="H502" s="327"/>
    </row>
    <row r="503" spans="2:8" s="326" customFormat="1" ht="9.9499999999999993" customHeight="1" x14ac:dyDescent="0.2">
      <c r="B503" s="327"/>
      <c r="D503" s="327"/>
      <c r="F503" s="327"/>
      <c r="H503" s="327"/>
    </row>
    <row r="504" spans="2:8" s="326" customFormat="1" ht="9.9499999999999993" customHeight="1" x14ac:dyDescent="0.2">
      <c r="B504" s="327"/>
      <c r="D504" s="327"/>
      <c r="F504" s="327"/>
      <c r="H504" s="327"/>
    </row>
    <row r="505" spans="2:8" s="326" customFormat="1" ht="9.9499999999999993" customHeight="1" x14ac:dyDescent="0.2">
      <c r="B505" s="327"/>
      <c r="D505" s="327"/>
      <c r="F505" s="327"/>
      <c r="H505" s="327"/>
    </row>
    <row r="506" spans="2:8" s="326" customFormat="1" ht="9.9499999999999993" customHeight="1" x14ac:dyDescent="0.2">
      <c r="B506" s="327"/>
      <c r="D506" s="327"/>
      <c r="F506" s="327"/>
      <c r="H506" s="327"/>
    </row>
    <row r="507" spans="2:8" s="326" customFormat="1" ht="9.9499999999999993" customHeight="1" x14ac:dyDescent="0.2">
      <c r="B507" s="327"/>
      <c r="D507" s="327"/>
      <c r="F507" s="327"/>
      <c r="H507" s="327"/>
    </row>
    <row r="508" spans="2:8" s="326" customFormat="1" ht="9.9499999999999993" customHeight="1" x14ac:dyDescent="0.2">
      <c r="B508" s="327"/>
      <c r="D508" s="327"/>
      <c r="F508" s="327"/>
      <c r="H508" s="327"/>
    </row>
    <row r="509" spans="2:8" s="326" customFormat="1" ht="9.9499999999999993" customHeight="1" x14ac:dyDescent="0.2">
      <c r="B509" s="327"/>
      <c r="D509" s="327"/>
      <c r="F509" s="327"/>
      <c r="H509" s="327"/>
    </row>
    <row r="510" spans="2:8" s="326" customFormat="1" ht="9.9499999999999993" customHeight="1" x14ac:dyDescent="0.2">
      <c r="B510" s="327"/>
      <c r="D510" s="327"/>
      <c r="F510" s="327"/>
      <c r="H510" s="327"/>
    </row>
    <row r="511" spans="2:8" s="326" customFormat="1" ht="9.9499999999999993" customHeight="1" x14ac:dyDescent="0.2">
      <c r="B511" s="327"/>
      <c r="D511" s="327"/>
      <c r="F511" s="327"/>
      <c r="H511" s="327"/>
    </row>
    <row r="512" spans="2:8" s="326" customFormat="1" ht="9.9499999999999993" customHeight="1" x14ac:dyDescent="0.2">
      <c r="B512" s="327"/>
      <c r="D512" s="327"/>
      <c r="F512" s="327"/>
      <c r="H512" s="327"/>
    </row>
    <row r="513" spans="2:8" s="326" customFormat="1" ht="9.9499999999999993" customHeight="1" x14ac:dyDescent="0.2">
      <c r="B513" s="327"/>
      <c r="D513" s="327"/>
      <c r="F513" s="327"/>
      <c r="H513" s="327"/>
    </row>
    <row r="514" spans="2:8" s="326" customFormat="1" ht="9.9499999999999993" customHeight="1" x14ac:dyDescent="0.2">
      <c r="B514" s="327"/>
      <c r="D514" s="327"/>
      <c r="F514" s="327"/>
      <c r="H514" s="327"/>
    </row>
    <row r="515" spans="2:8" s="326" customFormat="1" ht="9.9499999999999993" customHeight="1" x14ac:dyDescent="0.2">
      <c r="B515" s="327"/>
      <c r="D515" s="327"/>
      <c r="F515" s="327"/>
      <c r="H515" s="327"/>
    </row>
    <row r="516" spans="2:8" s="326" customFormat="1" ht="9.9499999999999993" customHeight="1" x14ac:dyDescent="0.2">
      <c r="B516" s="327"/>
      <c r="D516" s="327"/>
      <c r="F516" s="327"/>
      <c r="H516" s="327"/>
    </row>
    <row r="517" spans="2:8" s="326" customFormat="1" ht="9.9499999999999993" customHeight="1" x14ac:dyDescent="0.2">
      <c r="B517" s="327"/>
      <c r="D517" s="327"/>
      <c r="F517" s="327"/>
      <c r="H517" s="327"/>
    </row>
    <row r="518" spans="2:8" s="326" customFormat="1" ht="9.9499999999999993" customHeight="1" x14ac:dyDescent="0.2">
      <c r="B518" s="327"/>
      <c r="D518" s="327"/>
      <c r="F518" s="327"/>
      <c r="H518" s="327"/>
    </row>
    <row r="519" spans="2:8" s="326" customFormat="1" ht="9.9499999999999993" customHeight="1" x14ac:dyDescent="0.2">
      <c r="B519" s="327"/>
      <c r="D519" s="327"/>
      <c r="F519" s="327"/>
      <c r="H519" s="327"/>
    </row>
    <row r="520" spans="2:8" s="326" customFormat="1" ht="9.9499999999999993" customHeight="1" x14ac:dyDescent="0.2">
      <c r="B520" s="327"/>
      <c r="D520" s="327"/>
      <c r="F520" s="327"/>
      <c r="H520" s="327"/>
    </row>
    <row r="521" spans="2:8" s="326" customFormat="1" ht="9.9499999999999993" customHeight="1" x14ac:dyDescent="0.2">
      <c r="B521" s="327"/>
      <c r="D521" s="327"/>
      <c r="F521" s="327"/>
      <c r="H521" s="327"/>
    </row>
    <row r="522" spans="2:8" s="326" customFormat="1" ht="9.9499999999999993" customHeight="1" x14ac:dyDescent="0.2">
      <c r="B522" s="327"/>
      <c r="D522" s="327"/>
      <c r="F522" s="327"/>
      <c r="H522" s="327"/>
    </row>
    <row r="523" spans="2:8" s="326" customFormat="1" ht="9.9499999999999993" customHeight="1" x14ac:dyDescent="0.2">
      <c r="B523" s="327"/>
      <c r="D523" s="327"/>
      <c r="F523" s="327"/>
      <c r="H523" s="327"/>
    </row>
    <row r="524" spans="2:8" s="326" customFormat="1" ht="9.9499999999999993" customHeight="1" x14ac:dyDescent="0.2">
      <c r="B524" s="327"/>
      <c r="D524" s="327"/>
      <c r="F524" s="327"/>
      <c r="H524" s="327"/>
    </row>
    <row r="525" spans="2:8" s="326" customFormat="1" ht="9.9499999999999993" customHeight="1" x14ac:dyDescent="0.2">
      <c r="B525" s="327"/>
      <c r="D525" s="327"/>
      <c r="F525" s="327"/>
      <c r="H525" s="327"/>
    </row>
    <row r="526" spans="2:8" s="326" customFormat="1" ht="9.9499999999999993" customHeight="1" x14ac:dyDescent="0.2">
      <c r="B526" s="327"/>
      <c r="D526" s="327"/>
      <c r="F526" s="327"/>
      <c r="H526" s="327"/>
    </row>
    <row r="527" spans="2:8" s="326" customFormat="1" ht="9.9499999999999993" customHeight="1" x14ac:dyDescent="0.2">
      <c r="B527" s="327"/>
      <c r="D527" s="327"/>
      <c r="F527" s="327"/>
      <c r="H527" s="327"/>
    </row>
    <row r="528" spans="2:8" s="326" customFormat="1" ht="9.9499999999999993" customHeight="1" x14ac:dyDescent="0.2">
      <c r="B528" s="327"/>
      <c r="D528" s="327"/>
      <c r="F528" s="327"/>
      <c r="H528" s="327"/>
    </row>
    <row r="529" spans="2:8" s="326" customFormat="1" ht="9.9499999999999993" customHeight="1" x14ac:dyDescent="0.2">
      <c r="B529" s="327"/>
      <c r="D529" s="327"/>
      <c r="F529" s="327"/>
      <c r="H529" s="327"/>
    </row>
    <row r="530" spans="2:8" s="326" customFormat="1" ht="9.9499999999999993" customHeight="1" x14ac:dyDescent="0.2">
      <c r="B530" s="327"/>
      <c r="D530" s="327"/>
      <c r="F530" s="327"/>
      <c r="H530" s="327"/>
    </row>
    <row r="531" spans="2:8" s="326" customFormat="1" ht="9.9499999999999993" customHeight="1" x14ac:dyDescent="0.2">
      <c r="B531" s="327"/>
      <c r="D531" s="327"/>
      <c r="F531" s="327"/>
      <c r="H531" s="327"/>
    </row>
    <row r="532" spans="2:8" s="326" customFormat="1" ht="9.9499999999999993" customHeight="1" x14ac:dyDescent="0.2">
      <c r="B532" s="327"/>
      <c r="D532" s="327"/>
      <c r="F532" s="327"/>
      <c r="H532" s="327"/>
    </row>
    <row r="533" spans="2:8" s="326" customFormat="1" ht="9.9499999999999993" customHeight="1" x14ac:dyDescent="0.2">
      <c r="B533" s="327"/>
      <c r="D533" s="327"/>
      <c r="F533" s="327"/>
      <c r="H533" s="327"/>
    </row>
    <row r="534" spans="2:8" s="326" customFormat="1" ht="9.9499999999999993" customHeight="1" x14ac:dyDescent="0.2">
      <c r="B534" s="327"/>
      <c r="D534" s="327"/>
      <c r="F534" s="327"/>
      <c r="H534" s="327"/>
    </row>
    <row r="535" spans="2:8" s="326" customFormat="1" ht="9.9499999999999993" customHeight="1" x14ac:dyDescent="0.2">
      <c r="B535" s="327"/>
      <c r="D535" s="327"/>
      <c r="F535" s="327"/>
      <c r="H535" s="327"/>
    </row>
    <row r="536" spans="2:8" s="326" customFormat="1" ht="9.9499999999999993" customHeight="1" x14ac:dyDescent="0.2">
      <c r="B536" s="327"/>
      <c r="D536" s="327"/>
      <c r="F536" s="327"/>
      <c r="H536" s="327"/>
    </row>
    <row r="537" spans="2:8" s="326" customFormat="1" ht="9.9499999999999993" customHeight="1" x14ac:dyDescent="0.2">
      <c r="B537" s="327"/>
      <c r="D537" s="327"/>
      <c r="F537" s="327"/>
      <c r="H537" s="327"/>
    </row>
    <row r="538" spans="2:8" s="326" customFormat="1" ht="9.9499999999999993" customHeight="1" x14ac:dyDescent="0.2">
      <c r="B538" s="327"/>
      <c r="D538" s="327"/>
      <c r="F538" s="327"/>
      <c r="H538" s="327"/>
    </row>
    <row r="539" spans="2:8" s="326" customFormat="1" ht="9.9499999999999993" customHeight="1" x14ac:dyDescent="0.2">
      <c r="B539" s="327"/>
      <c r="D539" s="327"/>
      <c r="F539" s="327"/>
      <c r="H539" s="327"/>
    </row>
    <row r="540" spans="2:8" s="326" customFormat="1" ht="9.9499999999999993" customHeight="1" x14ac:dyDescent="0.2">
      <c r="B540" s="327"/>
      <c r="D540" s="327"/>
      <c r="F540" s="327"/>
      <c r="H540" s="327"/>
    </row>
    <row r="541" spans="2:8" s="326" customFormat="1" ht="9.9499999999999993" customHeight="1" x14ac:dyDescent="0.2">
      <c r="B541" s="327"/>
      <c r="D541" s="327"/>
      <c r="F541" s="327"/>
      <c r="H541" s="327"/>
    </row>
    <row r="542" spans="2:8" s="326" customFormat="1" ht="9.9499999999999993" customHeight="1" x14ac:dyDescent="0.2">
      <c r="B542" s="327"/>
      <c r="D542" s="327"/>
      <c r="F542" s="327"/>
      <c r="H542" s="327"/>
    </row>
    <row r="543" spans="2:8" s="326" customFormat="1" ht="9.9499999999999993" customHeight="1" x14ac:dyDescent="0.2">
      <c r="B543" s="327"/>
      <c r="D543" s="327"/>
      <c r="F543" s="327"/>
      <c r="H543" s="327"/>
    </row>
    <row r="544" spans="2:8" s="326" customFormat="1" ht="9.9499999999999993" customHeight="1" x14ac:dyDescent="0.2">
      <c r="B544" s="327"/>
      <c r="D544" s="327"/>
      <c r="F544" s="327"/>
      <c r="H544" s="327"/>
    </row>
    <row r="545" spans="2:8" s="326" customFormat="1" ht="9.9499999999999993" customHeight="1" x14ac:dyDescent="0.2">
      <c r="B545" s="327"/>
      <c r="D545" s="327"/>
      <c r="F545" s="327"/>
      <c r="H545" s="327"/>
    </row>
    <row r="546" spans="2:8" s="326" customFormat="1" ht="9.9499999999999993" customHeight="1" x14ac:dyDescent="0.2">
      <c r="B546" s="327"/>
      <c r="D546" s="327"/>
      <c r="F546" s="327"/>
      <c r="H546" s="327"/>
    </row>
    <row r="547" spans="2:8" s="326" customFormat="1" ht="9.9499999999999993" customHeight="1" x14ac:dyDescent="0.2">
      <c r="B547" s="327"/>
      <c r="D547" s="327"/>
      <c r="F547" s="327"/>
      <c r="H547" s="327"/>
    </row>
    <row r="548" spans="2:8" s="326" customFormat="1" ht="9.9499999999999993" customHeight="1" x14ac:dyDescent="0.2">
      <c r="B548" s="327"/>
      <c r="D548" s="327"/>
      <c r="F548" s="327"/>
      <c r="H548" s="327"/>
    </row>
    <row r="549" spans="2:8" s="326" customFormat="1" ht="9.9499999999999993" customHeight="1" x14ac:dyDescent="0.2">
      <c r="B549" s="327"/>
      <c r="D549" s="327"/>
      <c r="F549" s="327"/>
      <c r="H549" s="327"/>
    </row>
    <row r="550" spans="2:8" s="326" customFormat="1" ht="9.9499999999999993" customHeight="1" x14ac:dyDescent="0.2">
      <c r="B550" s="327"/>
      <c r="D550" s="327"/>
      <c r="F550" s="327"/>
      <c r="H550" s="327"/>
    </row>
    <row r="551" spans="2:8" s="326" customFormat="1" ht="9.9499999999999993" customHeight="1" x14ac:dyDescent="0.2">
      <c r="B551" s="327"/>
      <c r="D551" s="327"/>
      <c r="F551" s="327"/>
      <c r="H551" s="327"/>
    </row>
    <row r="552" spans="2:8" s="326" customFormat="1" ht="9.9499999999999993" customHeight="1" x14ac:dyDescent="0.2">
      <c r="B552" s="327"/>
      <c r="D552" s="327"/>
      <c r="F552" s="327"/>
      <c r="H552" s="327"/>
    </row>
    <row r="553" spans="2:8" s="326" customFormat="1" ht="9.9499999999999993" customHeight="1" x14ac:dyDescent="0.2">
      <c r="B553" s="327"/>
      <c r="D553" s="327"/>
      <c r="F553" s="327"/>
      <c r="H553" s="327"/>
    </row>
    <row r="554" spans="2:8" s="326" customFormat="1" ht="9.9499999999999993" customHeight="1" x14ac:dyDescent="0.2">
      <c r="B554" s="327"/>
      <c r="D554" s="327"/>
      <c r="F554" s="327"/>
      <c r="H554" s="327"/>
    </row>
    <row r="555" spans="2:8" s="326" customFormat="1" ht="9.9499999999999993" customHeight="1" x14ac:dyDescent="0.2">
      <c r="B555" s="327"/>
      <c r="D555" s="327"/>
      <c r="F555" s="327"/>
      <c r="H555" s="327"/>
    </row>
    <row r="556" spans="2:8" s="326" customFormat="1" ht="9.9499999999999993" customHeight="1" x14ac:dyDescent="0.2">
      <c r="B556" s="327"/>
      <c r="D556" s="327"/>
      <c r="F556" s="327"/>
      <c r="H556" s="327"/>
    </row>
    <row r="557" spans="2:8" s="326" customFormat="1" ht="9.9499999999999993" customHeight="1" x14ac:dyDescent="0.2">
      <c r="B557" s="327"/>
      <c r="D557" s="327"/>
      <c r="F557" s="327"/>
      <c r="H557" s="327"/>
    </row>
    <row r="558" spans="2:8" s="326" customFormat="1" ht="9.9499999999999993" customHeight="1" x14ac:dyDescent="0.2">
      <c r="B558" s="327"/>
      <c r="D558" s="327"/>
      <c r="F558" s="327"/>
      <c r="H558" s="327"/>
    </row>
    <row r="559" spans="2:8" s="326" customFormat="1" ht="9.9499999999999993" customHeight="1" x14ac:dyDescent="0.2">
      <c r="B559" s="327"/>
      <c r="D559" s="327"/>
      <c r="F559" s="327"/>
      <c r="H559" s="327"/>
    </row>
    <row r="560" spans="2:8" s="326" customFormat="1" ht="9.9499999999999993" customHeight="1" x14ac:dyDescent="0.2">
      <c r="B560" s="327"/>
      <c r="D560" s="327"/>
      <c r="F560" s="327"/>
      <c r="H560" s="327"/>
    </row>
    <row r="561" spans="2:8" s="326" customFormat="1" ht="9.9499999999999993" customHeight="1" x14ac:dyDescent="0.2">
      <c r="B561" s="327"/>
      <c r="D561" s="327"/>
      <c r="F561" s="327"/>
      <c r="H561" s="327"/>
    </row>
    <row r="562" spans="2:8" s="326" customFormat="1" ht="9.9499999999999993" customHeight="1" x14ac:dyDescent="0.2">
      <c r="B562" s="327"/>
      <c r="D562" s="327"/>
      <c r="F562" s="327"/>
      <c r="H562" s="327"/>
    </row>
    <row r="563" spans="2:8" s="326" customFormat="1" ht="9.9499999999999993" customHeight="1" x14ac:dyDescent="0.2">
      <c r="B563" s="327"/>
      <c r="D563" s="327"/>
      <c r="F563" s="327"/>
      <c r="H563" s="327"/>
    </row>
    <row r="564" spans="2:8" s="326" customFormat="1" ht="9.9499999999999993" customHeight="1" x14ac:dyDescent="0.2">
      <c r="B564" s="327"/>
      <c r="D564" s="327"/>
      <c r="F564" s="327"/>
      <c r="H564" s="327"/>
    </row>
    <row r="565" spans="2:8" s="326" customFormat="1" ht="9.9499999999999993" customHeight="1" x14ac:dyDescent="0.2">
      <c r="B565" s="327"/>
      <c r="D565" s="327"/>
      <c r="F565" s="327"/>
      <c r="H565" s="327"/>
    </row>
    <row r="566" spans="2:8" s="326" customFormat="1" ht="9.9499999999999993" customHeight="1" x14ac:dyDescent="0.2">
      <c r="B566" s="327"/>
      <c r="D566" s="327"/>
      <c r="F566" s="327"/>
      <c r="H566" s="327"/>
    </row>
    <row r="567" spans="2:8" s="326" customFormat="1" ht="9.9499999999999993" customHeight="1" x14ac:dyDescent="0.2">
      <c r="B567" s="327"/>
      <c r="D567" s="327"/>
      <c r="F567" s="327"/>
      <c r="H567" s="327"/>
    </row>
    <row r="568" spans="2:8" s="326" customFormat="1" ht="9.9499999999999993" customHeight="1" x14ac:dyDescent="0.2">
      <c r="B568" s="327"/>
      <c r="D568" s="327"/>
      <c r="F568" s="327"/>
      <c r="H568" s="327"/>
    </row>
    <row r="569" spans="2:8" s="326" customFormat="1" ht="9.9499999999999993" customHeight="1" x14ac:dyDescent="0.2">
      <c r="B569" s="327"/>
      <c r="D569" s="327"/>
      <c r="F569" s="327"/>
      <c r="H569" s="327"/>
    </row>
    <row r="570" spans="2:8" s="326" customFormat="1" ht="9.9499999999999993" customHeight="1" x14ac:dyDescent="0.2">
      <c r="B570" s="327"/>
      <c r="D570" s="327"/>
      <c r="F570" s="327"/>
      <c r="H570" s="327"/>
    </row>
    <row r="571" spans="2:8" s="326" customFormat="1" ht="9.9499999999999993" customHeight="1" x14ac:dyDescent="0.2">
      <c r="B571" s="327"/>
      <c r="D571" s="327"/>
      <c r="F571" s="327"/>
      <c r="H571" s="327"/>
    </row>
    <row r="572" spans="2:8" s="326" customFormat="1" ht="9.9499999999999993" customHeight="1" x14ac:dyDescent="0.2">
      <c r="B572" s="327"/>
      <c r="D572" s="327"/>
      <c r="F572" s="327"/>
      <c r="H572" s="327"/>
    </row>
    <row r="573" spans="2:8" s="326" customFormat="1" ht="9.9499999999999993" customHeight="1" x14ac:dyDescent="0.2">
      <c r="B573" s="327"/>
      <c r="D573" s="327"/>
      <c r="F573" s="327"/>
      <c r="H573" s="327"/>
    </row>
    <row r="574" spans="2:8" s="326" customFormat="1" ht="9.9499999999999993" customHeight="1" x14ac:dyDescent="0.2">
      <c r="B574" s="327"/>
      <c r="D574" s="327"/>
      <c r="F574" s="327"/>
      <c r="H574" s="327"/>
    </row>
    <row r="575" spans="2:8" s="326" customFormat="1" ht="9.9499999999999993" customHeight="1" x14ac:dyDescent="0.2">
      <c r="B575" s="327"/>
      <c r="D575" s="327"/>
      <c r="F575" s="327"/>
      <c r="H575" s="327"/>
    </row>
    <row r="576" spans="2:8" s="326" customFormat="1" ht="9.9499999999999993" customHeight="1" x14ac:dyDescent="0.2">
      <c r="B576" s="327"/>
      <c r="D576" s="327"/>
      <c r="F576" s="327"/>
      <c r="H576" s="327"/>
    </row>
    <row r="577" spans="2:8" s="326" customFormat="1" ht="9.9499999999999993" customHeight="1" x14ac:dyDescent="0.2">
      <c r="B577" s="327"/>
      <c r="D577" s="327"/>
      <c r="F577" s="327"/>
      <c r="H577" s="327"/>
    </row>
    <row r="578" spans="2:8" s="326" customFormat="1" ht="9.9499999999999993" customHeight="1" x14ac:dyDescent="0.2">
      <c r="B578" s="327"/>
      <c r="D578" s="327"/>
      <c r="F578" s="327"/>
      <c r="H578" s="327"/>
    </row>
    <row r="579" spans="2:8" s="326" customFormat="1" ht="9.9499999999999993" customHeight="1" x14ac:dyDescent="0.2">
      <c r="B579" s="327"/>
      <c r="D579" s="327"/>
      <c r="F579" s="327"/>
      <c r="H579" s="327"/>
    </row>
    <row r="580" spans="2:8" s="326" customFormat="1" ht="9.9499999999999993" customHeight="1" x14ac:dyDescent="0.2">
      <c r="B580" s="327"/>
      <c r="D580" s="327"/>
      <c r="F580" s="327"/>
      <c r="H580" s="327"/>
    </row>
    <row r="581" spans="2:8" s="326" customFormat="1" ht="9.9499999999999993" customHeight="1" x14ac:dyDescent="0.2">
      <c r="B581" s="327"/>
      <c r="D581" s="327"/>
      <c r="F581" s="327"/>
      <c r="H581" s="327"/>
    </row>
    <row r="582" spans="2:8" s="326" customFormat="1" ht="9.9499999999999993" customHeight="1" x14ac:dyDescent="0.2">
      <c r="B582" s="327"/>
      <c r="D582" s="327"/>
      <c r="F582" s="327"/>
      <c r="H582" s="327"/>
    </row>
    <row r="583" spans="2:8" s="326" customFormat="1" ht="9.9499999999999993" customHeight="1" x14ac:dyDescent="0.2">
      <c r="B583" s="327"/>
      <c r="D583" s="327"/>
      <c r="F583" s="327"/>
      <c r="H583" s="327"/>
    </row>
    <row r="584" spans="2:8" s="326" customFormat="1" ht="9.9499999999999993" customHeight="1" x14ac:dyDescent="0.2">
      <c r="B584" s="327"/>
      <c r="D584" s="327"/>
      <c r="F584" s="327"/>
      <c r="H584" s="327"/>
    </row>
    <row r="585" spans="2:8" s="326" customFormat="1" ht="9.9499999999999993" customHeight="1" x14ac:dyDescent="0.2">
      <c r="B585" s="327"/>
      <c r="D585" s="327"/>
      <c r="F585" s="327"/>
      <c r="H585" s="327"/>
    </row>
    <row r="586" spans="2:8" s="326" customFormat="1" ht="9.9499999999999993" customHeight="1" x14ac:dyDescent="0.2">
      <c r="B586" s="327"/>
      <c r="D586" s="327"/>
      <c r="F586" s="327"/>
      <c r="H586" s="327"/>
    </row>
    <row r="587" spans="2:8" s="326" customFormat="1" ht="9.9499999999999993" customHeight="1" x14ac:dyDescent="0.2">
      <c r="B587" s="327"/>
      <c r="D587" s="327"/>
      <c r="F587" s="327"/>
      <c r="H587" s="327"/>
    </row>
    <row r="588" spans="2:8" s="326" customFormat="1" ht="9.9499999999999993" customHeight="1" x14ac:dyDescent="0.2">
      <c r="B588" s="327"/>
      <c r="D588" s="327"/>
      <c r="F588" s="327"/>
      <c r="H588" s="327"/>
    </row>
    <row r="589" spans="2:8" s="326" customFormat="1" ht="9.9499999999999993" customHeight="1" x14ac:dyDescent="0.2">
      <c r="B589" s="327"/>
      <c r="D589" s="327"/>
      <c r="F589" s="327"/>
      <c r="H589" s="327"/>
    </row>
    <row r="590" spans="2:8" s="326" customFormat="1" ht="9.9499999999999993" customHeight="1" x14ac:dyDescent="0.2">
      <c r="B590" s="327"/>
      <c r="D590" s="327"/>
      <c r="F590" s="327"/>
      <c r="H590" s="327"/>
    </row>
    <row r="591" spans="2:8" s="326" customFormat="1" ht="9.9499999999999993" customHeight="1" x14ac:dyDescent="0.2">
      <c r="B591" s="327"/>
      <c r="D591" s="327"/>
      <c r="F591" s="327"/>
      <c r="H591" s="327"/>
    </row>
    <row r="592" spans="2:8" s="326" customFormat="1" ht="9.9499999999999993" customHeight="1" x14ac:dyDescent="0.2">
      <c r="B592" s="327"/>
      <c r="D592" s="327"/>
      <c r="F592" s="327"/>
      <c r="H592" s="327"/>
    </row>
    <row r="593" spans="2:8" s="326" customFormat="1" ht="9.9499999999999993" customHeight="1" x14ac:dyDescent="0.2">
      <c r="B593" s="327"/>
      <c r="D593" s="327"/>
      <c r="F593" s="327"/>
      <c r="H593" s="327"/>
    </row>
    <row r="594" spans="2:8" s="326" customFormat="1" ht="9.9499999999999993" customHeight="1" x14ac:dyDescent="0.2">
      <c r="B594" s="327"/>
      <c r="D594" s="327"/>
      <c r="F594" s="327"/>
      <c r="H594" s="327"/>
    </row>
    <row r="595" spans="2:8" s="326" customFormat="1" ht="9.9499999999999993" customHeight="1" x14ac:dyDescent="0.2">
      <c r="B595" s="327"/>
      <c r="D595" s="327"/>
      <c r="F595" s="327"/>
      <c r="H595" s="327"/>
    </row>
    <row r="596" spans="2:8" s="326" customFormat="1" ht="9.9499999999999993" customHeight="1" x14ac:dyDescent="0.2">
      <c r="B596" s="327"/>
      <c r="D596" s="327"/>
      <c r="F596" s="327"/>
      <c r="H596" s="327"/>
    </row>
    <row r="597" spans="2:8" s="326" customFormat="1" ht="9.9499999999999993" customHeight="1" x14ac:dyDescent="0.2">
      <c r="B597" s="327"/>
      <c r="D597" s="327"/>
      <c r="F597" s="327"/>
      <c r="H597" s="327"/>
    </row>
    <row r="598" spans="2:8" s="326" customFormat="1" ht="9.9499999999999993" customHeight="1" x14ac:dyDescent="0.2">
      <c r="B598" s="327"/>
      <c r="D598" s="327"/>
      <c r="F598" s="327"/>
      <c r="H598" s="327"/>
    </row>
    <row r="599" spans="2:8" s="326" customFormat="1" ht="9.9499999999999993" customHeight="1" x14ac:dyDescent="0.2">
      <c r="B599" s="327"/>
      <c r="D599" s="327"/>
      <c r="F599" s="327"/>
      <c r="H599" s="327"/>
    </row>
    <row r="600" spans="2:8" s="326" customFormat="1" ht="9.9499999999999993" customHeight="1" x14ac:dyDescent="0.2">
      <c r="B600" s="327"/>
      <c r="D600" s="327"/>
      <c r="F600" s="327"/>
      <c r="H600" s="327"/>
    </row>
    <row r="601" spans="2:8" s="326" customFormat="1" ht="9.9499999999999993" customHeight="1" x14ac:dyDescent="0.2">
      <c r="B601" s="327"/>
      <c r="D601" s="327"/>
      <c r="F601" s="327"/>
      <c r="H601" s="327"/>
    </row>
    <row r="602" spans="2:8" s="326" customFormat="1" ht="9.9499999999999993" customHeight="1" x14ac:dyDescent="0.2">
      <c r="B602" s="327"/>
      <c r="D602" s="327"/>
      <c r="F602" s="327"/>
      <c r="H602" s="327"/>
    </row>
    <row r="603" spans="2:8" s="326" customFormat="1" ht="9.9499999999999993" customHeight="1" x14ac:dyDescent="0.2">
      <c r="B603" s="327"/>
      <c r="D603" s="327"/>
      <c r="F603" s="327"/>
      <c r="H603" s="327"/>
    </row>
    <row r="604" spans="2:8" s="326" customFormat="1" ht="9.9499999999999993" customHeight="1" x14ac:dyDescent="0.2">
      <c r="B604" s="327"/>
      <c r="D604" s="327"/>
      <c r="F604" s="327"/>
      <c r="H604" s="327"/>
    </row>
    <row r="605" spans="2:8" s="326" customFormat="1" ht="9.9499999999999993" customHeight="1" x14ac:dyDescent="0.2">
      <c r="B605" s="327"/>
      <c r="D605" s="327"/>
      <c r="F605" s="327"/>
      <c r="H605" s="327"/>
    </row>
    <row r="606" spans="2:8" s="326" customFormat="1" ht="9.9499999999999993" customHeight="1" x14ac:dyDescent="0.2">
      <c r="B606" s="327"/>
      <c r="D606" s="327"/>
      <c r="F606" s="327"/>
      <c r="H606" s="327"/>
    </row>
    <row r="607" spans="2:8" s="326" customFormat="1" ht="9.9499999999999993" customHeight="1" x14ac:dyDescent="0.2">
      <c r="B607" s="327"/>
      <c r="D607" s="327"/>
      <c r="F607" s="327"/>
      <c r="H607" s="327"/>
    </row>
    <row r="608" spans="2:8" s="326" customFormat="1" ht="9.9499999999999993" customHeight="1" x14ac:dyDescent="0.2">
      <c r="B608" s="327"/>
      <c r="D608" s="327"/>
      <c r="F608" s="327"/>
      <c r="H608" s="327"/>
    </row>
    <row r="609" spans="2:8" s="326" customFormat="1" ht="9.9499999999999993" customHeight="1" x14ac:dyDescent="0.2">
      <c r="B609" s="327"/>
      <c r="D609" s="327"/>
      <c r="F609" s="327"/>
      <c r="H609" s="327"/>
    </row>
    <row r="610" spans="2:8" s="326" customFormat="1" ht="9.9499999999999993" customHeight="1" x14ac:dyDescent="0.2">
      <c r="B610" s="327"/>
      <c r="D610" s="327"/>
      <c r="F610" s="327"/>
      <c r="H610" s="327"/>
    </row>
    <row r="611" spans="2:8" s="326" customFormat="1" ht="9.9499999999999993" customHeight="1" x14ac:dyDescent="0.2">
      <c r="B611" s="327"/>
      <c r="D611" s="327"/>
      <c r="F611" s="327"/>
      <c r="H611" s="327"/>
    </row>
    <row r="612" spans="2:8" s="326" customFormat="1" ht="9.9499999999999993" customHeight="1" x14ac:dyDescent="0.2">
      <c r="B612" s="327"/>
      <c r="D612" s="327"/>
      <c r="F612" s="327"/>
      <c r="H612" s="327"/>
    </row>
    <row r="613" spans="2:8" s="326" customFormat="1" ht="9.9499999999999993" customHeight="1" x14ac:dyDescent="0.2">
      <c r="B613" s="327"/>
      <c r="D613" s="327"/>
      <c r="F613" s="327"/>
      <c r="H613" s="327"/>
    </row>
    <row r="614" spans="2:8" s="326" customFormat="1" ht="9.9499999999999993" customHeight="1" x14ac:dyDescent="0.2">
      <c r="B614" s="327"/>
      <c r="D614" s="327"/>
      <c r="F614" s="327"/>
      <c r="H614" s="327"/>
    </row>
    <row r="615" spans="2:8" s="326" customFormat="1" ht="9.9499999999999993" customHeight="1" x14ac:dyDescent="0.2">
      <c r="B615" s="327"/>
      <c r="D615" s="327"/>
      <c r="F615" s="327"/>
      <c r="H615" s="327"/>
    </row>
    <row r="616" spans="2:8" s="326" customFormat="1" ht="9.9499999999999993" customHeight="1" x14ac:dyDescent="0.2">
      <c r="B616" s="327"/>
      <c r="D616" s="327"/>
      <c r="F616" s="327"/>
      <c r="H616" s="327"/>
    </row>
    <row r="617" spans="2:8" s="326" customFormat="1" ht="9.9499999999999993" customHeight="1" x14ac:dyDescent="0.2">
      <c r="B617" s="327"/>
      <c r="D617" s="327"/>
      <c r="F617" s="327"/>
      <c r="H617" s="327"/>
    </row>
    <row r="618" spans="2:8" s="326" customFormat="1" ht="9.9499999999999993" customHeight="1" x14ac:dyDescent="0.2">
      <c r="B618" s="327"/>
      <c r="D618" s="327"/>
      <c r="F618" s="327"/>
      <c r="H618" s="327"/>
    </row>
    <row r="619" spans="2:8" s="326" customFormat="1" ht="9.9499999999999993" customHeight="1" x14ac:dyDescent="0.2">
      <c r="B619" s="327"/>
      <c r="D619" s="327"/>
      <c r="F619" s="327"/>
      <c r="H619" s="327"/>
    </row>
    <row r="620" spans="2:8" s="326" customFormat="1" ht="9.9499999999999993" customHeight="1" x14ac:dyDescent="0.2">
      <c r="B620" s="327"/>
      <c r="D620" s="327"/>
      <c r="F620" s="327"/>
      <c r="H620" s="327"/>
    </row>
    <row r="621" spans="2:8" s="326" customFormat="1" ht="9.9499999999999993" customHeight="1" x14ac:dyDescent="0.2">
      <c r="B621" s="327"/>
      <c r="D621" s="327"/>
      <c r="F621" s="327"/>
      <c r="H621" s="327"/>
    </row>
    <row r="622" spans="2:8" s="326" customFormat="1" ht="9.9499999999999993" customHeight="1" x14ac:dyDescent="0.2">
      <c r="B622" s="327"/>
      <c r="D622" s="327"/>
      <c r="F622" s="327"/>
      <c r="H622" s="327"/>
    </row>
    <row r="623" spans="2:8" s="326" customFormat="1" ht="9.9499999999999993" customHeight="1" x14ac:dyDescent="0.2">
      <c r="B623" s="327"/>
      <c r="D623" s="327"/>
      <c r="F623" s="327"/>
      <c r="H623" s="327"/>
    </row>
    <row r="624" spans="2:8" s="326" customFormat="1" ht="9.9499999999999993" customHeight="1" x14ac:dyDescent="0.2">
      <c r="B624" s="327"/>
      <c r="D624" s="327"/>
      <c r="F624" s="327"/>
      <c r="H624" s="327"/>
    </row>
    <row r="625" spans="2:8" s="326" customFormat="1" ht="9.9499999999999993" customHeight="1" x14ac:dyDescent="0.2">
      <c r="B625" s="327"/>
      <c r="D625" s="327"/>
      <c r="F625" s="327"/>
      <c r="H625" s="327"/>
    </row>
    <row r="626" spans="2:8" s="326" customFormat="1" ht="9.9499999999999993" customHeight="1" x14ac:dyDescent="0.2">
      <c r="B626" s="327"/>
      <c r="D626" s="327"/>
      <c r="F626" s="327"/>
      <c r="H626" s="327"/>
    </row>
    <row r="627" spans="2:8" s="326" customFormat="1" ht="9.9499999999999993" customHeight="1" x14ac:dyDescent="0.2">
      <c r="B627" s="327"/>
      <c r="D627" s="327"/>
      <c r="F627" s="327"/>
      <c r="H627" s="327"/>
    </row>
    <row r="628" spans="2:8" s="326" customFormat="1" ht="9.9499999999999993" customHeight="1" x14ac:dyDescent="0.2">
      <c r="B628" s="327"/>
      <c r="D628" s="327"/>
      <c r="F628" s="327"/>
      <c r="H628" s="327"/>
    </row>
    <row r="629" spans="2:8" s="326" customFormat="1" ht="9.9499999999999993" customHeight="1" x14ac:dyDescent="0.2">
      <c r="B629" s="327"/>
      <c r="D629" s="327"/>
      <c r="F629" s="327"/>
      <c r="H629" s="327"/>
    </row>
    <row r="630" spans="2:8" s="326" customFormat="1" ht="9.9499999999999993" customHeight="1" x14ac:dyDescent="0.2">
      <c r="B630" s="327"/>
      <c r="D630" s="327"/>
      <c r="F630" s="327"/>
      <c r="H630" s="327"/>
    </row>
    <row r="631" spans="2:8" s="326" customFormat="1" ht="9.9499999999999993" customHeight="1" x14ac:dyDescent="0.2">
      <c r="B631" s="327"/>
      <c r="D631" s="327"/>
      <c r="F631" s="327"/>
      <c r="H631" s="327"/>
    </row>
    <row r="632" spans="2:8" s="326" customFormat="1" ht="9.9499999999999993" customHeight="1" x14ac:dyDescent="0.2">
      <c r="B632" s="327"/>
      <c r="D632" s="327"/>
      <c r="F632" s="327"/>
      <c r="H632" s="327"/>
    </row>
    <row r="633" spans="2:8" s="326" customFormat="1" ht="9.9499999999999993" customHeight="1" x14ac:dyDescent="0.2">
      <c r="B633" s="327"/>
      <c r="D633" s="327"/>
      <c r="F633" s="327"/>
      <c r="H633" s="327"/>
    </row>
    <row r="634" spans="2:8" s="326" customFormat="1" ht="9.9499999999999993" customHeight="1" x14ac:dyDescent="0.2">
      <c r="B634" s="327"/>
      <c r="D634" s="327"/>
      <c r="F634" s="327"/>
      <c r="H634" s="327"/>
    </row>
    <row r="635" spans="2:8" s="326" customFormat="1" ht="9.9499999999999993" customHeight="1" x14ac:dyDescent="0.2">
      <c r="B635" s="327"/>
      <c r="D635" s="327"/>
      <c r="F635" s="327"/>
      <c r="H635" s="327"/>
    </row>
    <row r="636" spans="2:8" s="326" customFormat="1" ht="9.9499999999999993" customHeight="1" x14ac:dyDescent="0.2">
      <c r="B636" s="327"/>
      <c r="D636" s="327"/>
      <c r="F636" s="327"/>
      <c r="H636" s="327"/>
    </row>
    <row r="637" spans="2:8" s="326" customFormat="1" ht="9.9499999999999993" customHeight="1" x14ac:dyDescent="0.2">
      <c r="B637" s="327"/>
      <c r="D637" s="327"/>
      <c r="F637" s="327"/>
      <c r="H637" s="327"/>
    </row>
    <row r="638" spans="2:8" s="326" customFormat="1" ht="9.9499999999999993" customHeight="1" x14ac:dyDescent="0.2">
      <c r="B638" s="327"/>
      <c r="D638" s="327"/>
      <c r="F638" s="327"/>
      <c r="H638" s="327"/>
    </row>
    <row r="639" spans="2:8" s="326" customFormat="1" ht="9.9499999999999993" customHeight="1" x14ac:dyDescent="0.2">
      <c r="B639" s="327"/>
      <c r="D639" s="327"/>
      <c r="F639" s="327"/>
      <c r="H639" s="327"/>
    </row>
    <row r="640" spans="2:8" s="326" customFormat="1" ht="9.9499999999999993" customHeight="1" x14ac:dyDescent="0.2">
      <c r="B640" s="327"/>
      <c r="D640" s="327"/>
      <c r="F640" s="327"/>
      <c r="H640" s="327"/>
    </row>
    <row r="641" spans="2:8" s="326" customFormat="1" ht="9.9499999999999993" customHeight="1" x14ac:dyDescent="0.2">
      <c r="B641" s="327"/>
      <c r="D641" s="327"/>
      <c r="F641" s="327"/>
      <c r="H641" s="327"/>
    </row>
    <row r="642" spans="2:8" s="326" customFormat="1" ht="9.9499999999999993" customHeight="1" x14ac:dyDescent="0.2">
      <c r="B642" s="327"/>
      <c r="D642" s="327"/>
      <c r="F642" s="327"/>
      <c r="H642" s="327"/>
    </row>
    <row r="643" spans="2:8" s="326" customFormat="1" ht="9.9499999999999993" customHeight="1" x14ac:dyDescent="0.2">
      <c r="B643" s="327"/>
      <c r="D643" s="327"/>
      <c r="F643" s="327"/>
      <c r="H643" s="327"/>
    </row>
    <row r="644" spans="2:8" s="326" customFormat="1" ht="9.9499999999999993" customHeight="1" x14ac:dyDescent="0.2">
      <c r="B644" s="327"/>
      <c r="D644" s="327"/>
      <c r="F644" s="327"/>
      <c r="H644" s="327"/>
    </row>
    <row r="645" spans="2:8" s="326" customFormat="1" ht="9.9499999999999993" customHeight="1" x14ac:dyDescent="0.2">
      <c r="B645" s="327"/>
      <c r="D645" s="327"/>
      <c r="F645" s="327"/>
      <c r="H645" s="327"/>
    </row>
    <row r="646" spans="2:8" s="326" customFormat="1" ht="9.9499999999999993" customHeight="1" x14ac:dyDescent="0.2">
      <c r="B646" s="327"/>
      <c r="D646" s="327"/>
      <c r="F646" s="327"/>
      <c r="H646" s="327"/>
    </row>
    <row r="647" spans="2:8" s="326" customFormat="1" ht="9.9499999999999993" customHeight="1" x14ac:dyDescent="0.2">
      <c r="B647" s="327"/>
      <c r="D647" s="327"/>
      <c r="F647" s="327"/>
      <c r="H647" s="327"/>
    </row>
    <row r="648" spans="2:8" s="326" customFormat="1" ht="9.9499999999999993" customHeight="1" x14ac:dyDescent="0.2">
      <c r="B648" s="327"/>
      <c r="D648" s="327"/>
      <c r="F648" s="327"/>
      <c r="H648" s="327"/>
    </row>
    <row r="649" spans="2:8" s="326" customFormat="1" ht="9.9499999999999993" customHeight="1" x14ac:dyDescent="0.2">
      <c r="B649" s="327"/>
      <c r="D649" s="327"/>
      <c r="F649" s="327"/>
      <c r="H649" s="327"/>
    </row>
    <row r="650" spans="2:8" s="326" customFormat="1" ht="9.9499999999999993" customHeight="1" x14ac:dyDescent="0.2">
      <c r="B650" s="327"/>
      <c r="D650" s="327"/>
      <c r="F650" s="327"/>
      <c r="H650" s="327"/>
    </row>
    <row r="651" spans="2:8" s="326" customFormat="1" ht="9.9499999999999993" customHeight="1" x14ac:dyDescent="0.2">
      <c r="B651" s="327"/>
      <c r="D651" s="327"/>
      <c r="F651" s="327"/>
      <c r="H651" s="327"/>
    </row>
    <row r="652" spans="2:8" s="326" customFormat="1" ht="9.9499999999999993" customHeight="1" x14ac:dyDescent="0.2">
      <c r="B652" s="327"/>
      <c r="D652" s="327"/>
      <c r="F652" s="327"/>
      <c r="H652" s="327"/>
    </row>
    <row r="653" spans="2:8" s="326" customFormat="1" ht="9.9499999999999993" customHeight="1" x14ac:dyDescent="0.2">
      <c r="B653" s="327"/>
      <c r="D653" s="327"/>
      <c r="F653" s="327"/>
      <c r="H653" s="327"/>
    </row>
    <row r="654" spans="2:8" s="326" customFormat="1" ht="9.9499999999999993" customHeight="1" x14ac:dyDescent="0.2">
      <c r="B654" s="327"/>
      <c r="D654" s="327"/>
      <c r="F654" s="327"/>
      <c r="H654" s="327"/>
    </row>
    <row r="655" spans="2:8" s="326" customFormat="1" ht="9.9499999999999993" customHeight="1" x14ac:dyDescent="0.2">
      <c r="B655" s="327"/>
      <c r="D655" s="327"/>
      <c r="F655" s="327"/>
      <c r="H655" s="327"/>
    </row>
    <row r="656" spans="2:8" s="326" customFormat="1" ht="9.9499999999999993" customHeight="1" x14ac:dyDescent="0.2">
      <c r="B656" s="327"/>
      <c r="D656" s="327"/>
      <c r="F656" s="327"/>
      <c r="H656" s="327"/>
    </row>
    <row r="657" spans="2:8" s="326" customFormat="1" ht="9.9499999999999993" customHeight="1" x14ac:dyDescent="0.2">
      <c r="B657" s="327"/>
      <c r="D657" s="327"/>
      <c r="F657" s="327"/>
      <c r="H657" s="327"/>
    </row>
    <row r="658" spans="2:8" s="326" customFormat="1" ht="9.9499999999999993" customHeight="1" x14ac:dyDescent="0.2">
      <c r="B658" s="327"/>
      <c r="D658" s="327"/>
      <c r="F658" s="327"/>
      <c r="H658" s="327"/>
    </row>
    <row r="659" spans="2:8" s="326" customFormat="1" ht="9.9499999999999993" customHeight="1" x14ac:dyDescent="0.2">
      <c r="B659" s="327"/>
      <c r="D659" s="327"/>
      <c r="F659" s="327"/>
      <c r="H659" s="327"/>
    </row>
    <row r="660" spans="2:8" s="326" customFormat="1" ht="9.9499999999999993" customHeight="1" x14ac:dyDescent="0.2">
      <c r="B660" s="327"/>
      <c r="D660" s="327"/>
      <c r="F660" s="327"/>
      <c r="H660" s="327"/>
    </row>
    <row r="661" spans="2:8" s="326" customFormat="1" ht="9.9499999999999993" customHeight="1" x14ac:dyDescent="0.2">
      <c r="B661" s="327"/>
      <c r="D661" s="327"/>
      <c r="F661" s="327"/>
      <c r="H661" s="327"/>
    </row>
    <row r="662" spans="2:8" s="326" customFormat="1" ht="9.9499999999999993" customHeight="1" x14ac:dyDescent="0.2">
      <c r="B662" s="327"/>
      <c r="D662" s="327"/>
      <c r="F662" s="327"/>
      <c r="H662" s="327"/>
    </row>
    <row r="663" spans="2:8" s="326" customFormat="1" ht="9.9499999999999993" customHeight="1" x14ac:dyDescent="0.2">
      <c r="B663" s="327"/>
      <c r="D663" s="327"/>
      <c r="F663" s="327"/>
      <c r="H663" s="327"/>
    </row>
    <row r="664" spans="2:8" s="326" customFormat="1" ht="9.9499999999999993" customHeight="1" x14ac:dyDescent="0.2">
      <c r="B664" s="327"/>
      <c r="D664" s="327"/>
      <c r="F664" s="327"/>
      <c r="H664" s="327"/>
    </row>
    <row r="665" spans="2:8" s="326" customFormat="1" ht="9.9499999999999993" customHeight="1" x14ac:dyDescent="0.2">
      <c r="B665" s="327"/>
      <c r="D665" s="327"/>
      <c r="F665" s="327"/>
      <c r="H665" s="327"/>
    </row>
    <row r="666" spans="2:8" s="326" customFormat="1" ht="9.9499999999999993" customHeight="1" x14ac:dyDescent="0.2">
      <c r="B666" s="327"/>
      <c r="D666" s="327"/>
      <c r="F666" s="327"/>
      <c r="H666" s="327"/>
    </row>
    <row r="667" spans="2:8" s="326" customFormat="1" ht="9.9499999999999993" customHeight="1" x14ac:dyDescent="0.2">
      <c r="B667" s="327"/>
      <c r="D667" s="327"/>
      <c r="F667" s="327"/>
      <c r="H667" s="327"/>
    </row>
    <row r="668" spans="2:8" s="326" customFormat="1" ht="9.9499999999999993" customHeight="1" x14ac:dyDescent="0.2">
      <c r="B668" s="327"/>
      <c r="D668" s="327"/>
      <c r="F668" s="327"/>
      <c r="H668" s="327"/>
    </row>
    <row r="669" spans="2:8" s="326" customFormat="1" ht="9.9499999999999993" customHeight="1" x14ac:dyDescent="0.2">
      <c r="B669" s="327"/>
      <c r="D669" s="327"/>
      <c r="F669" s="327"/>
      <c r="H669" s="327"/>
    </row>
    <row r="670" spans="2:8" s="326" customFormat="1" ht="9.9499999999999993" customHeight="1" x14ac:dyDescent="0.2">
      <c r="B670" s="327"/>
      <c r="D670" s="327"/>
      <c r="F670" s="327"/>
      <c r="H670" s="327"/>
    </row>
    <row r="671" spans="2:8" s="326" customFormat="1" ht="9.9499999999999993" customHeight="1" x14ac:dyDescent="0.2">
      <c r="B671" s="327"/>
      <c r="D671" s="327"/>
      <c r="F671" s="327"/>
      <c r="H671" s="327"/>
    </row>
    <row r="672" spans="2:8" s="326" customFormat="1" ht="9.9499999999999993" customHeight="1" x14ac:dyDescent="0.2">
      <c r="B672" s="327"/>
      <c r="D672" s="327"/>
      <c r="F672" s="327"/>
      <c r="H672" s="327"/>
    </row>
    <row r="673" spans="2:8" s="326" customFormat="1" ht="9.9499999999999993" customHeight="1" x14ac:dyDescent="0.2">
      <c r="B673" s="327"/>
      <c r="D673" s="327"/>
      <c r="F673" s="327"/>
      <c r="H673" s="327"/>
    </row>
    <row r="674" spans="2:8" s="326" customFormat="1" ht="9.9499999999999993" customHeight="1" x14ac:dyDescent="0.2">
      <c r="B674" s="327"/>
      <c r="D674" s="327"/>
      <c r="F674" s="327"/>
      <c r="H674" s="327"/>
    </row>
    <row r="675" spans="2:8" s="326" customFormat="1" ht="9.9499999999999993" customHeight="1" x14ac:dyDescent="0.2">
      <c r="B675" s="327"/>
      <c r="D675" s="327"/>
      <c r="F675" s="327"/>
      <c r="H675" s="327"/>
    </row>
    <row r="676" spans="2:8" s="326" customFormat="1" ht="9.9499999999999993" customHeight="1" x14ac:dyDescent="0.2">
      <c r="B676" s="327"/>
      <c r="D676" s="327"/>
      <c r="F676" s="327"/>
      <c r="H676" s="327"/>
    </row>
    <row r="677" spans="2:8" s="326" customFormat="1" ht="9.9499999999999993" customHeight="1" x14ac:dyDescent="0.2">
      <c r="B677" s="327"/>
      <c r="D677" s="327"/>
      <c r="F677" s="327"/>
      <c r="H677" s="327"/>
    </row>
    <row r="678" spans="2:8" s="326" customFormat="1" ht="9.9499999999999993" customHeight="1" x14ac:dyDescent="0.2">
      <c r="B678" s="327"/>
      <c r="D678" s="327"/>
      <c r="F678" s="327"/>
      <c r="H678" s="327"/>
    </row>
    <row r="679" spans="2:8" s="326" customFormat="1" ht="9.9499999999999993" customHeight="1" x14ac:dyDescent="0.2">
      <c r="B679" s="327"/>
      <c r="D679" s="327"/>
      <c r="F679" s="327"/>
      <c r="H679" s="327"/>
    </row>
    <row r="680" spans="2:8" s="326" customFormat="1" ht="9.9499999999999993" customHeight="1" x14ac:dyDescent="0.2">
      <c r="B680" s="327"/>
      <c r="D680" s="327"/>
      <c r="F680" s="327"/>
      <c r="H680" s="327"/>
    </row>
    <row r="681" spans="2:8" s="326" customFormat="1" ht="9.9499999999999993" customHeight="1" x14ac:dyDescent="0.2">
      <c r="B681" s="327"/>
      <c r="D681" s="327"/>
      <c r="F681" s="327"/>
      <c r="H681" s="327"/>
    </row>
    <row r="682" spans="2:8" s="326" customFormat="1" ht="9.9499999999999993" customHeight="1" x14ac:dyDescent="0.2">
      <c r="B682" s="327"/>
      <c r="D682" s="327"/>
      <c r="F682" s="327"/>
      <c r="H682" s="327"/>
    </row>
    <row r="683" spans="2:8" s="326" customFormat="1" ht="9.9499999999999993" customHeight="1" x14ac:dyDescent="0.2">
      <c r="B683" s="327"/>
      <c r="D683" s="327"/>
      <c r="F683" s="327"/>
      <c r="H683" s="327"/>
    </row>
    <row r="684" spans="2:8" s="326" customFormat="1" ht="9.9499999999999993" customHeight="1" x14ac:dyDescent="0.2">
      <c r="B684" s="327"/>
      <c r="D684" s="327"/>
      <c r="F684" s="327"/>
      <c r="H684" s="327"/>
    </row>
    <row r="685" spans="2:8" s="326" customFormat="1" ht="9.9499999999999993" customHeight="1" x14ac:dyDescent="0.2">
      <c r="B685" s="327"/>
      <c r="D685" s="327"/>
      <c r="F685" s="327"/>
      <c r="H685" s="327"/>
    </row>
    <row r="686" spans="2:8" s="326" customFormat="1" ht="9.9499999999999993" customHeight="1" x14ac:dyDescent="0.2">
      <c r="B686" s="327"/>
      <c r="D686" s="327"/>
      <c r="F686" s="327"/>
      <c r="H686" s="327"/>
    </row>
    <row r="687" spans="2:8" s="326" customFormat="1" ht="9.9499999999999993" customHeight="1" x14ac:dyDescent="0.2">
      <c r="B687" s="327"/>
      <c r="D687" s="327"/>
      <c r="F687" s="327"/>
      <c r="H687" s="327"/>
    </row>
    <row r="688" spans="2:8" s="326" customFormat="1" ht="9.9499999999999993" customHeight="1" x14ac:dyDescent="0.2">
      <c r="B688" s="327"/>
      <c r="D688" s="327"/>
      <c r="F688" s="327"/>
      <c r="H688" s="327"/>
    </row>
    <row r="689" spans="2:8" s="326" customFormat="1" ht="9.9499999999999993" customHeight="1" x14ac:dyDescent="0.2">
      <c r="B689" s="327"/>
      <c r="D689" s="327"/>
      <c r="F689" s="327"/>
      <c r="H689" s="327"/>
    </row>
    <row r="690" spans="2:8" s="326" customFormat="1" ht="9.9499999999999993" customHeight="1" x14ac:dyDescent="0.2">
      <c r="B690" s="327"/>
      <c r="D690" s="327"/>
      <c r="F690" s="327"/>
      <c r="H690" s="327"/>
    </row>
    <row r="691" spans="2:8" s="326" customFormat="1" ht="9.9499999999999993" customHeight="1" x14ac:dyDescent="0.2">
      <c r="B691" s="327"/>
      <c r="D691" s="327"/>
      <c r="F691" s="327"/>
      <c r="H691" s="327"/>
    </row>
    <row r="692" spans="2:8" s="326" customFormat="1" ht="9.9499999999999993" customHeight="1" x14ac:dyDescent="0.2">
      <c r="B692" s="327"/>
      <c r="D692" s="327"/>
      <c r="F692" s="327"/>
      <c r="H692" s="327"/>
    </row>
    <row r="693" spans="2:8" s="326" customFormat="1" ht="9.9499999999999993" customHeight="1" x14ac:dyDescent="0.2">
      <c r="B693" s="327"/>
      <c r="D693" s="327"/>
      <c r="F693" s="327"/>
      <c r="H693" s="327"/>
    </row>
    <row r="694" spans="2:8" s="326" customFormat="1" ht="9.9499999999999993" customHeight="1" x14ac:dyDescent="0.2">
      <c r="B694" s="327"/>
      <c r="D694" s="327"/>
      <c r="F694" s="327"/>
      <c r="H694" s="327"/>
    </row>
    <row r="695" spans="2:8" s="326" customFormat="1" ht="9.9499999999999993" customHeight="1" x14ac:dyDescent="0.2">
      <c r="B695" s="327"/>
      <c r="D695" s="327"/>
      <c r="F695" s="327"/>
      <c r="H695" s="327"/>
    </row>
    <row r="696" spans="2:8" s="326" customFormat="1" ht="9.9499999999999993" customHeight="1" x14ac:dyDescent="0.2">
      <c r="B696" s="327"/>
      <c r="D696" s="327"/>
      <c r="F696" s="327"/>
      <c r="H696" s="327"/>
    </row>
    <row r="697" spans="2:8" s="326" customFormat="1" ht="9.9499999999999993" customHeight="1" x14ac:dyDescent="0.2">
      <c r="B697" s="327"/>
      <c r="D697" s="327"/>
      <c r="F697" s="327"/>
      <c r="H697" s="327"/>
    </row>
    <row r="698" spans="2:8" s="326" customFormat="1" ht="9.9499999999999993" customHeight="1" x14ac:dyDescent="0.2">
      <c r="B698" s="327"/>
      <c r="D698" s="327"/>
      <c r="F698" s="327"/>
      <c r="H698" s="327"/>
    </row>
    <row r="699" spans="2:8" s="326" customFormat="1" ht="9.9499999999999993" customHeight="1" x14ac:dyDescent="0.2">
      <c r="B699" s="327"/>
      <c r="D699" s="327"/>
      <c r="F699" s="327"/>
      <c r="H699" s="327"/>
    </row>
    <row r="700" spans="2:8" s="326" customFormat="1" ht="9.9499999999999993" customHeight="1" x14ac:dyDescent="0.2">
      <c r="B700" s="327"/>
      <c r="D700" s="327"/>
      <c r="F700" s="327"/>
      <c r="H700" s="327"/>
    </row>
    <row r="701" spans="2:8" s="326" customFormat="1" ht="9.9499999999999993" customHeight="1" x14ac:dyDescent="0.2">
      <c r="B701" s="327"/>
      <c r="D701" s="327"/>
      <c r="F701" s="327"/>
      <c r="H701" s="327"/>
    </row>
    <row r="702" spans="2:8" s="326" customFormat="1" ht="9.9499999999999993" customHeight="1" x14ac:dyDescent="0.2">
      <c r="B702" s="327"/>
      <c r="D702" s="327"/>
      <c r="F702" s="327"/>
      <c r="H702" s="327"/>
    </row>
    <row r="703" spans="2:8" s="326" customFormat="1" ht="9.9499999999999993" customHeight="1" x14ac:dyDescent="0.2">
      <c r="B703" s="327"/>
      <c r="D703" s="327"/>
      <c r="F703" s="327"/>
      <c r="H703" s="327"/>
    </row>
    <row r="704" spans="2:8" s="326" customFormat="1" ht="9.9499999999999993" customHeight="1" x14ac:dyDescent="0.2">
      <c r="B704" s="327"/>
      <c r="D704" s="327"/>
      <c r="F704" s="327"/>
      <c r="H704" s="327"/>
    </row>
    <row r="705" spans="2:8" s="326" customFormat="1" ht="9.9499999999999993" customHeight="1" x14ac:dyDescent="0.2">
      <c r="B705" s="327"/>
      <c r="D705" s="327"/>
      <c r="F705" s="327"/>
      <c r="H705" s="327"/>
    </row>
    <row r="706" spans="2:8" s="326" customFormat="1" ht="9.9499999999999993" customHeight="1" x14ac:dyDescent="0.2">
      <c r="B706" s="327"/>
      <c r="D706" s="327"/>
      <c r="F706" s="327"/>
      <c r="H706" s="327"/>
    </row>
    <row r="707" spans="2:8" s="326" customFormat="1" ht="9.9499999999999993" customHeight="1" x14ac:dyDescent="0.2">
      <c r="B707" s="327"/>
      <c r="D707" s="327"/>
      <c r="F707" s="327"/>
      <c r="H707" s="327"/>
    </row>
    <row r="708" spans="2:8" s="326" customFormat="1" ht="9.9499999999999993" customHeight="1" x14ac:dyDescent="0.2">
      <c r="B708" s="327"/>
      <c r="D708" s="327"/>
      <c r="F708" s="327"/>
      <c r="H708" s="327"/>
    </row>
    <row r="709" spans="2:8" s="326" customFormat="1" ht="9.9499999999999993" customHeight="1" x14ac:dyDescent="0.2">
      <c r="B709" s="327"/>
      <c r="D709" s="327"/>
      <c r="F709" s="327"/>
      <c r="H709" s="327"/>
    </row>
    <row r="710" spans="2:8" s="326" customFormat="1" ht="9.9499999999999993" customHeight="1" x14ac:dyDescent="0.2">
      <c r="B710" s="327"/>
      <c r="D710" s="327"/>
      <c r="F710" s="327"/>
      <c r="H710" s="327"/>
    </row>
    <row r="711" spans="2:8" s="326" customFormat="1" ht="9.9499999999999993" customHeight="1" x14ac:dyDescent="0.2">
      <c r="B711" s="327"/>
      <c r="D711" s="327"/>
      <c r="F711" s="327"/>
      <c r="H711" s="327"/>
    </row>
    <row r="712" spans="2:8" s="326" customFormat="1" ht="9.9499999999999993" customHeight="1" x14ac:dyDescent="0.2">
      <c r="B712" s="327"/>
      <c r="D712" s="327"/>
      <c r="F712" s="327"/>
      <c r="H712" s="327"/>
    </row>
    <row r="713" spans="2:8" s="326" customFormat="1" ht="9.9499999999999993" customHeight="1" x14ac:dyDescent="0.2">
      <c r="B713" s="327"/>
      <c r="D713" s="327"/>
      <c r="F713" s="327"/>
      <c r="H713" s="327"/>
    </row>
    <row r="714" spans="2:8" s="326" customFormat="1" ht="9.9499999999999993" customHeight="1" x14ac:dyDescent="0.2">
      <c r="B714" s="327"/>
      <c r="D714" s="327"/>
      <c r="F714" s="327"/>
      <c r="H714" s="327"/>
    </row>
    <row r="715" spans="2:8" s="326" customFormat="1" ht="9.9499999999999993" customHeight="1" x14ac:dyDescent="0.2">
      <c r="B715" s="327"/>
      <c r="D715" s="327"/>
      <c r="F715" s="327"/>
      <c r="H715" s="327"/>
    </row>
    <row r="716" spans="2:8" s="326" customFormat="1" ht="9.9499999999999993" customHeight="1" x14ac:dyDescent="0.2">
      <c r="B716" s="327"/>
      <c r="D716" s="327"/>
      <c r="F716" s="327"/>
      <c r="H716" s="327"/>
    </row>
    <row r="717" spans="2:8" s="326" customFormat="1" ht="9.9499999999999993" customHeight="1" x14ac:dyDescent="0.2">
      <c r="B717" s="327"/>
      <c r="D717" s="327"/>
      <c r="F717" s="327"/>
      <c r="H717" s="327"/>
    </row>
    <row r="718" spans="2:8" s="326" customFormat="1" ht="9.9499999999999993" customHeight="1" x14ac:dyDescent="0.2">
      <c r="B718" s="327"/>
      <c r="D718" s="327"/>
      <c r="F718" s="327"/>
      <c r="H718" s="327"/>
    </row>
    <row r="719" spans="2:8" s="326" customFormat="1" ht="9.9499999999999993" customHeight="1" x14ac:dyDescent="0.2">
      <c r="B719" s="327"/>
      <c r="D719" s="327"/>
      <c r="F719" s="327"/>
      <c r="H719" s="327"/>
    </row>
    <row r="720" spans="2:8" s="326" customFormat="1" ht="9.9499999999999993" customHeight="1" x14ac:dyDescent="0.2">
      <c r="B720" s="327"/>
      <c r="D720" s="327"/>
      <c r="F720" s="327"/>
      <c r="H720" s="327"/>
    </row>
    <row r="721" spans="2:8" s="326" customFormat="1" ht="9.9499999999999993" customHeight="1" x14ac:dyDescent="0.2">
      <c r="B721" s="327"/>
      <c r="D721" s="327"/>
      <c r="F721" s="327"/>
      <c r="H721" s="327"/>
    </row>
    <row r="722" spans="2:8" s="326" customFormat="1" ht="9.9499999999999993" customHeight="1" x14ac:dyDescent="0.2">
      <c r="B722" s="327"/>
      <c r="D722" s="327"/>
      <c r="F722" s="327"/>
      <c r="H722" s="327"/>
    </row>
    <row r="723" spans="2:8" s="326" customFormat="1" ht="9.9499999999999993" customHeight="1" x14ac:dyDescent="0.2">
      <c r="B723" s="327"/>
      <c r="D723" s="327"/>
      <c r="F723" s="327"/>
      <c r="H723" s="327"/>
    </row>
    <row r="724" spans="2:8" s="326" customFormat="1" ht="9.9499999999999993" customHeight="1" x14ac:dyDescent="0.2">
      <c r="B724" s="327"/>
      <c r="D724" s="327"/>
      <c r="F724" s="327"/>
      <c r="H724" s="327"/>
    </row>
    <row r="725" spans="2:8" s="326" customFormat="1" ht="9.9499999999999993" customHeight="1" x14ac:dyDescent="0.2">
      <c r="B725" s="327"/>
      <c r="D725" s="327"/>
      <c r="F725" s="327"/>
      <c r="H725" s="327"/>
    </row>
    <row r="726" spans="2:8" s="326" customFormat="1" ht="9.9499999999999993" customHeight="1" x14ac:dyDescent="0.2">
      <c r="B726" s="327"/>
      <c r="D726" s="327"/>
      <c r="F726" s="327"/>
      <c r="H726" s="327"/>
    </row>
    <row r="727" spans="2:8" s="326" customFormat="1" ht="9.9499999999999993" customHeight="1" x14ac:dyDescent="0.2">
      <c r="B727" s="327"/>
      <c r="D727" s="327"/>
      <c r="F727" s="327"/>
      <c r="H727" s="327"/>
    </row>
    <row r="728" spans="2:8" s="326" customFormat="1" ht="9.9499999999999993" customHeight="1" x14ac:dyDescent="0.2">
      <c r="B728" s="327"/>
      <c r="D728" s="327"/>
      <c r="F728" s="327"/>
      <c r="H728" s="327"/>
    </row>
    <row r="729" spans="2:8" s="326" customFormat="1" ht="9.9499999999999993" customHeight="1" x14ac:dyDescent="0.2">
      <c r="B729" s="327"/>
      <c r="D729" s="327"/>
      <c r="F729" s="327"/>
      <c r="H729" s="327"/>
    </row>
    <row r="730" spans="2:8" s="326" customFormat="1" ht="9.9499999999999993" customHeight="1" x14ac:dyDescent="0.2">
      <c r="B730" s="327"/>
      <c r="D730" s="327"/>
      <c r="F730" s="327"/>
      <c r="H730" s="327"/>
    </row>
    <row r="731" spans="2:8" s="326" customFormat="1" ht="9.9499999999999993" customHeight="1" x14ac:dyDescent="0.2">
      <c r="B731" s="327"/>
      <c r="D731" s="327"/>
      <c r="F731" s="327"/>
      <c r="H731" s="327"/>
    </row>
    <row r="732" spans="2:8" s="326" customFormat="1" ht="9.9499999999999993" customHeight="1" x14ac:dyDescent="0.2">
      <c r="B732" s="327"/>
      <c r="D732" s="327"/>
      <c r="F732" s="327"/>
      <c r="H732" s="327"/>
    </row>
    <row r="733" spans="2:8" s="326" customFormat="1" ht="9.9499999999999993" customHeight="1" x14ac:dyDescent="0.2">
      <c r="B733" s="327"/>
      <c r="D733" s="327"/>
      <c r="F733" s="327"/>
      <c r="H733" s="327"/>
    </row>
    <row r="734" spans="2:8" s="326" customFormat="1" ht="9.9499999999999993" customHeight="1" x14ac:dyDescent="0.2">
      <c r="B734" s="327"/>
      <c r="D734" s="327"/>
      <c r="F734" s="327"/>
      <c r="H734" s="327"/>
    </row>
    <row r="735" spans="2:8" s="326" customFormat="1" ht="9.9499999999999993" customHeight="1" x14ac:dyDescent="0.2">
      <c r="B735" s="327"/>
      <c r="D735" s="327"/>
      <c r="F735" s="327"/>
      <c r="H735" s="327"/>
    </row>
    <row r="736" spans="2:8" s="326" customFormat="1" ht="9.9499999999999993" customHeight="1" x14ac:dyDescent="0.2">
      <c r="B736" s="327"/>
      <c r="D736" s="327"/>
      <c r="F736" s="327"/>
      <c r="H736" s="327"/>
    </row>
    <row r="737" spans="2:8" s="326" customFormat="1" ht="9.9499999999999993" customHeight="1" x14ac:dyDescent="0.2">
      <c r="B737" s="327"/>
      <c r="D737" s="327"/>
      <c r="F737" s="327"/>
      <c r="H737" s="327"/>
    </row>
    <row r="738" spans="2:8" s="326" customFormat="1" ht="9.9499999999999993" customHeight="1" x14ac:dyDescent="0.2">
      <c r="B738" s="327"/>
      <c r="D738" s="327"/>
      <c r="F738" s="327"/>
      <c r="H738" s="327"/>
    </row>
    <row r="739" spans="2:8" s="326" customFormat="1" ht="9.9499999999999993" customHeight="1" x14ac:dyDescent="0.2">
      <c r="B739" s="327"/>
      <c r="D739" s="327"/>
      <c r="F739" s="327"/>
      <c r="H739" s="327"/>
    </row>
    <row r="740" spans="2:8" s="326" customFormat="1" ht="9.9499999999999993" customHeight="1" x14ac:dyDescent="0.2">
      <c r="B740" s="327"/>
      <c r="D740" s="327"/>
      <c r="F740" s="327"/>
      <c r="H740" s="327"/>
    </row>
    <row r="741" spans="2:8" s="326" customFormat="1" ht="9.9499999999999993" customHeight="1" x14ac:dyDescent="0.2">
      <c r="B741" s="327"/>
      <c r="D741" s="327"/>
      <c r="F741" s="327"/>
      <c r="H741" s="327"/>
    </row>
    <row r="742" spans="2:8" s="326" customFormat="1" ht="9.9499999999999993" customHeight="1" x14ac:dyDescent="0.2">
      <c r="B742" s="327"/>
      <c r="D742" s="327"/>
      <c r="F742" s="327"/>
      <c r="H742" s="327"/>
    </row>
    <row r="743" spans="2:8" s="326" customFormat="1" ht="9.9499999999999993" customHeight="1" x14ac:dyDescent="0.2">
      <c r="B743" s="327"/>
      <c r="D743" s="327"/>
      <c r="F743" s="327"/>
      <c r="H743" s="327"/>
    </row>
    <row r="744" spans="2:8" s="326" customFormat="1" ht="9.9499999999999993" customHeight="1" x14ac:dyDescent="0.2">
      <c r="B744" s="327"/>
      <c r="D744" s="327"/>
      <c r="F744" s="327"/>
      <c r="H744" s="327"/>
    </row>
    <row r="745" spans="2:8" s="326" customFormat="1" ht="9.9499999999999993" customHeight="1" x14ac:dyDescent="0.2">
      <c r="B745" s="327"/>
      <c r="D745" s="327"/>
      <c r="F745" s="327"/>
      <c r="H745" s="327"/>
    </row>
    <row r="746" spans="2:8" s="326" customFormat="1" ht="9.9499999999999993" customHeight="1" x14ac:dyDescent="0.2">
      <c r="B746" s="327"/>
      <c r="D746" s="327"/>
      <c r="F746" s="327"/>
      <c r="H746" s="327"/>
    </row>
    <row r="747" spans="2:8" s="326" customFormat="1" ht="9.9499999999999993" customHeight="1" x14ac:dyDescent="0.2">
      <c r="B747" s="327"/>
      <c r="D747" s="327"/>
      <c r="F747" s="327"/>
      <c r="H747" s="327"/>
    </row>
    <row r="748" spans="2:8" s="326" customFormat="1" ht="9.9499999999999993" customHeight="1" x14ac:dyDescent="0.2">
      <c r="B748" s="327"/>
      <c r="D748" s="327"/>
      <c r="F748" s="327"/>
      <c r="H748" s="327"/>
    </row>
    <row r="749" spans="2:8" s="326" customFormat="1" ht="9.9499999999999993" customHeight="1" x14ac:dyDescent="0.2">
      <c r="B749" s="327"/>
      <c r="D749" s="327"/>
      <c r="F749" s="327"/>
      <c r="H749" s="327"/>
    </row>
    <row r="750" spans="2:8" s="326" customFormat="1" ht="9.9499999999999993" customHeight="1" x14ac:dyDescent="0.2">
      <c r="B750" s="327"/>
      <c r="D750" s="327"/>
      <c r="F750" s="327"/>
      <c r="H750" s="327"/>
    </row>
    <row r="751" spans="2:8" s="326" customFormat="1" ht="9.9499999999999993" customHeight="1" x14ac:dyDescent="0.2">
      <c r="B751" s="327"/>
      <c r="D751" s="327"/>
      <c r="F751" s="327"/>
      <c r="H751" s="327"/>
    </row>
    <row r="752" spans="2:8" s="326" customFormat="1" ht="9.9499999999999993" customHeight="1" x14ac:dyDescent="0.2">
      <c r="B752" s="327"/>
      <c r="D752" s="327"/>
      <c r="F752" s="327"/>
      <c r="H752" s="327"/>
    </row>
    <row r="753" spans="2:8" s="326" customFormat="1" ht="9.9499999999999993" customHeight="1" x14ac:dyDescent="0.2">
      <c r="B753" s="327"/>
      <c r="D753" s="327"/>
      <c r="F753" s="327"/>
      <c r="H753" s="327"/>
    </row>
    <row r="754" spans="2:8" s="326" customFormat="1" ht="9.9499999999999993" customHeight="1" x14ac:dyDescent="0.2">
      <c r="B754" s="327"/>
      <c r="D754" s="327"/>
      <c r="F754" s="327"/>
      <c r="H754" s="327"/>
    </row>
    <row r="755" spans="2:8" s="326" customFormat="1" ht="9.9499999999999993" customHeight="1" x14ac:dyDescent="0.2">
      <c r="B755" s="327"/>
      <c r="D755" s="327"/>
      <c r="F755" s="327"/>
      <c r="H755" s="327"/>
    </row>
    <row r="756" spans="2:8" s="326" customFormat="1" ht="9.9499999999999993" customHeight="1" x14ac:dyDescent="0.2">
      <c r="B756" s="327"/>
      <c r="D756" s="327"/>
      <c r="F756" s="327"/>
      <c r="H756" s="327"/>
    </row>
    <row r="757" spans="2:8" s="326" customFormat="1" ht="9.9499999999999993" customHeight="1" x14ac:dyDescent="0.2">
      <c r="B757" s="327"/>
      <c r="D757" s="327"/>
      <c r="F757" s="327"/>
      <c r="H757" s="327"/>
    </row>
    <row r="758" spans="2:8" s="326" customFormat="1" ht="9.9499999999999993" customHeight="1" x14ac:dyDescent="0.2">
      <c r="B758" s="327"/>
      <c r="D758" s="327"/>
      <c r="F758" s="327"/>
      <c r="H758" s="327"/>
    </row>
    <row r="759" spans="2:8" s="326" customFormat="1" ht="9.9499999999999993" customHeight="1" x14ac:dyDescent="0.2">
      <c r="B759" s="327"/>
      <c r="D759" s="327"/>
      <c r="F759" s="327"/>
      <c r="H759" s="327"/>
    </row>
    <row r="760" spans="2:8" s="326" customFormat="1" ht="9.9499999999999993" customHeight="1" x14ac:dyDescent="0.2">
      <c r="B760" s="327"/>
      <c r="D760" s="327"/>
      <c r="F760" s="327"/>
      <c r="H760" s="327"/>
    </row>
    <row r="761" spans="2:8" s="326" customFormat="1" ht="9.9499999999999993" customHeight="1" x14ac:dyDescent="0.2">
      <c r="B761" s="327"/>
      <c r="D761" s="327"/>
      <c r="F761" s="327"/>
      <c r="H761" s="327"/>
    </row>
    <row r="762" spans="2:8" s="326" customFormat="1" ht="9.9499999999999993" customHeight="1" x14ac:dyDescent="0.2">
      <c r="B762" s="327"/>
      <c r="D762" s="327"/>
      <c r="F762" s="327"/>
      <c r="H762" s="327"/>
    </row>
    <row r="763" spans="2:8" s="326" customFormat="1" ht="9.9499999999999993" customHeight="1" x14ac:dyDescent="0.2">
      <c r="B763" s="327"/>
      <c r="D763" s="327"/>
      <c r="F763" s="327"/>
      <c r="H763" s="327"/>
    </row>
    <row r="764" spans="2:8" s="326" customFormat="1" ht="9.9499999999999993" customHeight="1" x14ac:dyDescent="0.2">
      <c r="B764" s="327"/>
      <c r="D764" s="327"/>
      <c r="F764" s="327"/>
      <c r="H764" s="327"/>
    </row>
    <row r="765" spans="2:8" s="326" customFormat="1" ht="9.9499999999999993" customHeight="1" x14ac:dyDescent="0.2">
      <c r="B765" s="327"/>
      <c r="D765" s="327"/>
      <c r="F765" s="327"/>
      <c r="H765" s="327"/>
    </row>
    <row r="766" spans="2:8" s="326" customFormat="1" ht="9.9499999999999993" customHeight="1" x14ac:dyDescent="0.2">
      <c r="B766" s="327"/>
      <c r="D766" s="327"/>
      <c r="F766" s="327"/>
      <c r="H766" s="327"/>
    </row>
    <row r="767" spans="2:8" s="326" customFormat="1" ht="9.9499999999999993" customHeight="1" x14ac:dyDescent="0.2">
      <c r="B767" s="327"/>
      <c r="D767" s="327"/>
      <c r="F767" s="327"/>
      <c r="H767" s="327"/>
    </row>
    <row r="768" spans="2:8" s="326" customFormat="1" ht="9.9499999999999993" customHeight="1" x14ac:dyDescent="0.2">
      <c r="B768" s="327"/>
      <c r="D768" s="327"/>
      <c r="F768" s="327"/>
      <c r="H768" s="327"/>
    </row>
    <row r="769" spans="2:8" s="326" customFormat="1" ht="9.9499999999999993" customHeight="1" x14ac:dyDescent="0.2">
      <c r="B769" s="327"/>
      <c r="D769" s="327"/>
      <c r="F769" s="327"/>
      <c r="H769" s="327"/>
    </row>
    <row r="770" spans="2:8" s="326" customFormat="1" ht="9.9499999999999993" customHeight="1" x14ac:dyDescent="0.2">
      <c r="B770" s="327"/>
      <c r="D770" s="327"/>
      <c r="F770" s="327"/>
      <c r="H770" s="327"/>
    </row>
    <row r="771" spans="2:8" s="326" customFormat="1" ht="9.9499999999999993" customHeight="1" x14ac:dyDescent="0.2">
      <c r="B771" s="327"/>
      <c r="D771" s="327"/>
      <c r="F771" s="327"/>
      <c r="H771" s="327"/>
    </row>
    <row r="772" spans="2:8" s="326" customFormat="1" ht="9.9499999999999993" customHeight="1" x14ac:dyDescent="0.2">
      <c r="B772" s="327"/>
      <c r="D772" s="327"/>
      <c r="F772" s="327"/>
      <c r="H772" s="327"/>
    </row>
    <row r="773" spans="2:8" s="326" customFormat="1" ht="9.9499999999999993" customHeight="1" x14ac:dyDescent="0.2">
      <c r="B773" s="327"/>
      <c r="D773" s="327"/>
      <c r="F773" s="327"/>
      <c r="H773" s="327"/>
    </row>
    <row r="774" spans="2:8" s="326" customFormat="1" ht="9.9499999999999993" customHeight="1" x14ac:dyDescent="0.2">
      <c r="B774" s="327"/>
      <c r="D774" s="327"/>
      <c r="F774" s="327"/>
      <c r="H774" s="327"/>
    </row>
    <row r="775" spans="2:8" s="326" customFormat="1" ht="9.9499999999999993" customHeight="1" x14ac:dyDescent="0.2">
      <c r="B775" s="327"/>
      <c r="D775" s="327"/>
      <c r="F775" s="327"/>
      <c r="H775" s="327"/>
    </row>
    <row r="776" spans="2:8" s="326" customFormat="1" ht="9.9499999999999993" customHeight="1" x14ac:dyDescent="0.2">
      <c r="B776" s="327"/>
      <c r="D776" s="327"/>
      <c r="F776" s="327"/>
      <c r="H776" s="327"/>
    </row>
    <row r="777" spans="2:8" s="326" customFormat="1" ht="9.9499999999999993" customHeight="1" x14ac:dyDescent="0.2">
      <c r="B777" s="327"/>
      <c r="D777" s="327"/>
      <c r="F777" s="327"/>
      <c r="H777" s="327"/>
    </row>
    <row r="778" spans="2:8" s="326" customFormat="1" ht="9.9499999999999993" customHeight="1" x14ac:dyDescent="0.2">
      <c r="B778" s="327"/>
      <c r="D778" s="327"/>
      <c r="F778" s="327"/>
      <c r="H778" s="327"/>
    </row>
    <row r="779" spans="2:8" s="326" customFormat="1" ht="9.9499999999999993" customHeight="1" x14ac:dyDescent="0.2">
      <c r="B779" s="327"/>
      <c r="D779" s="327"/>
      <c r="F779" s="327"/>
      <c r="H779" s="327"/>
    </row>
    <row r="780" spans="2:8" s="326" customFormat="1" ht="9.9499999999999993" customHeight="1" x14ac:dyDescent="0.2">
      <c r="B780" s="327"/>
      <c r="D780" s="327"/>
      <c r="F780" s="327"/>
      <c r="H780" s="327"/>
    </row>
    <row r="781" spans="2:8" s="326" customFormat="1" ht="9.9499999999999993" customHeight="1" x14ac:dyDescent="0.2">
      <c r="B781" s="327"/>
      <c r="D781" s="327"/>
      <c r="F781" s="327"/>
      <c r="H781" s="327"/>
    </row>
    <row r="782" spans="2:8" s="326" customFormat="1" ht="9.9499999999999993" customHeight="1" x14ac:dyDescent="0.2">
      <c r="B782" s="327"/>
      <c r="D782" s="327"/>
      <c r="F782" s="327"/>
      <c r="H782" s="327"/>
    </row>
    <row r="783" spans="2:8" s="326" customFormat="1" ht="9.9499999999999993" customHeight="1" x14ac:dyDescent="0.2">
      <c r="B783" s="327"/>
      <c r="D783" s="327"/>
      <c r="F783" s="327"/>
      <c r="H783" s="327"/>
    </row>
    <row r="784" spans="2:8" s="326" customFormat="1" ht="9.9499999999999993" customHeight="1" x14ac:dyDescent="0.2">
      <c r="B784" s="327"/>
      <c r="D784" s="327"/>
      <c r="F784" s="327"/>
      <c r="H784" s="327"/>
    </row>
    <row r="785" spans="2:8" s="326" customFormat="1" ht="9.9499999999999993" customHeight="1" x14ac:dyDescent="0.2">
      <c r="B785" s="327"/>
      <c r="D785" s="327"/>
      <c r="F785" s="327"/>
      <c r="H785" s="327"/>
    </row>
    <row r="786" spans="2:8" s="326" customFormat="1" ht="9.9499999999999993" customHeight="1" x14ac:dyDescent="0.2">
      <c r="B786" s="327"/>
      <c r="D786" s="327"/>
      <c r="F786" s="327"/>
      <c r="H786" s="327"/>
    </row>
    <row r="787" spans="2:8" s="326" customFormat="1" ht="9.9499999999999993" customHeight="1" x14ac:dyDescent="0.2">
      <c r="B787" s="327"/>
      <c r="D787" s="327"/>
      <c r="F787" s="327"/>
      <c r="H787" s="327"/>
    </row>
    <row r="788" spans="2:8" s="326" customFormat="1" ht="9.9499999999999993" customHeight="1" x14ac:dyDescent="0.2">
      <c r="B788" s="327"/>
      <c r="D788" s="327"/>
      <c r="F788" s="327"/>
      <c r="H788" s="327"/>
    </row>
    <row r="789" spans="2:8" s="326" customFormat="1" ht="9.9499999999999993" customHeight="1" x14ac:dyDescent="0.2">
      <c r="B789" s="327"/>
      <c r="D789" s="327"/>
      <c r="F789" s="327"/>
      <c r="H789" s="327"/>
    </row>
    <row r="790" spans="2:8" s="326" customFormat="1" ht="9.9499999999999993" customHeight="1" x14ac:dyDescent="0.2">
      <c r="B790" s="327"/>
      <c r="D790" s="327"/>
      <c r="F790" s="327"/>
      <c r="H790" s="327"/>
    </row>
    <row r="791" spans="2:8" s="326" customFormat="1" ht="9.9499999999999993" customHeight="1" x14ac:dyDescent="0.2">
      <c r="B791" s="327"/>
      <c r="D791" s="327"/>
      <c r="F791" s="327"/>
      <c r="H791" s="327"/>
    </row>
    <row r="792" spans="2:8" s="326" customFormat="1" ht="9.9499999999999993" customHeight="1" x14ac:dyDescent="0.2">
      <c r="B792" s="327"/>
      <c r="D792" s="327"/>
      <c r="F792" s="327"/>
      <c r="H792" s="327"/>
    </row>
    <row r="793" spans="2:8" s="326" customFormat="1" ht="9.9499999999999993" customHeight="1" x14ac:dyDescent="0.2">
      <c r="B793" s="327"/>
      <c r="D793" s="327"/>
      <c r="F793" s="327"/>
      <c r="H793" s="327"/>
    </row>
    <row r="794" spans="2:8" s="326" customFormat="1" ht="9.9499999999999993" customHeight="1" x14ac:dyDescent="0.2">
      <c r="B794" s="327"/>
      <c r="D794" s="327"/>
      <c r="F794" s="327"/>
      <c r="H794" s="327"/>
    </row>
    <row r="795" spans="2:8" s="326" customFormat="1" ht="9.9499999999999993" customHeight="1" x14ac:dyDescent="0.2">
      <c r="B795" s="327"/>
      <c r="D795" s="327"/>
      <c r="F795" s="327"/>
      <c r="H795" s="327"/>
    </row>
    <row r="796" spans="2:8" s="326" customFormat="1" ht="9.9499999999999993" customHeight="1" x14ac:dyDescent="0.2">
      <c r="B796" s="327"/>
      <c r="D796" s="327"/>
      <c r="F796" s="327"/>
      <c r="H796" s="327"/>
    </row>
    <row r="797" spans="2:8" s="326" customFormat="1" ht="9.9499999999999993" customHeight="1" x14ac:dyDescent="0.2">
      <c r="B797" s="327"/>
      <c r="D797" s="327"/>
      <c r="F797" s="327"/>
      <c r="H797" s="327"/>
    </row>
    <row r="798" spans="2:8" s="326" customFormat="1" ht="9.9499999999999993" customHeight="1" x14ac:dyDescent="0.2">
      <c r="B798" s="327"/>
      <c r="D798" s="327"/>
      <c r="F798" s="327"/>
      <c r="H798" s="327"/>
    </row>
    <row r="799" spans="2:8" s="326" customFormat="1" ht="9.9499999999999993" customHeight="1" x14ac:dyDescent="0.2">
      <c r="B799" s="327"/>
      <c r="D799" s="327"/>
      <c r="F799" s="327"/>
      <c r="H799" s="327"/>
    </row>
    <row r="800" spans="2:8" s="326" customFormat="1" ht="9.9499999999999993" customHeight="1" x14ac:dyDescent="0.2">
      <c r="B800" s="327"/>
      <c r="D800" s="327"/>
      <c r="F800" s="327"/>
      <c r="H800" s="327"/>
    </row>
    <row r="801" spans="2:8" s="326" customFormat="1" ht="9.9499999999999993" customHeight="1" x14ac:dyDescent="0.2">
      <c r="B801" s="327"/>
      <c r="D801" s="327"/>
      <c r="F801" s="327"/>
      <c r="H801" s="327"/>
    </row>
    <row r="802" spans="2:8" s="326" customFormat="1" ht="9.9499999999999993" customHeight="1" x14ac:dyDescent="0.2">
      <c r="B802" s="327"/>
      <c r="D802" s="327"/>
      <c r="F802" s="327"/>
      <c r="H802" s="327"/>
    </row>
    <row r="803" spans="2:8" s="326" customFormat="1" ht="9.9499999999999993" customHeight="1" x14ac:dyDescent="0.2">
      <c r="B803" s="327"/>
      <c r="D803" s="327"/>
      <c r="F803" s="327"/>
      <c r="H803" s="327"/>
    </row>
    <row r="804" spans="2:8" s="326" customFormat="1" ht="9.9499999999999993" customHeight="1" x14ac:dyDescent="0.2">
      <c r="B804" s="327"/>
      <c r="D804" s="327"/>
      <c r="F804" s="327"/>
      <c r="H804" s="327"/>
    </row>
    <row r="805" spans="2:8" s="326" customFormat="1" ht="9.9499999999999993" customHeight="1" x14ac:dyDescent="0.2">
      <c r="B805" s="327"/>
      <c r="D805" s="327"/>
      <c r="F805" s="327"/>
      <c r="H805" s="327"/>
    </row>
    <row r="806" spans="2:8" s="326" customFormat="1" ht="9.9499999999999993" customHeight="1" x14ac:dyDescent="0.2">
      <c r="B806" s="327"/>
      <c r="D806" s="327"/>
      <c r="F806" s="327"/>
      <c r="H806" s="327"/>
    </row>
    <row r="807" spans="2:8" s="326" customFormat="1" ht="9.9499999999999993" customHeight="1" x14ac:dyDescent="0.2">
      <c r="B807" s="327"/>
      <c r="D807" s="327"/>
      <c r="F807" s="327"/>
      <c r="H807" s="327"/>
    </row>
    <row r="808" spans="2:8" s="326" customFormat="1" ht="9.9499999999999993" customHeight="1" x14ac:dyDescent="0.2">
      <c r="B808" s="327"/>
      <c r="D808" s="327"/>
      <c r="F808" s="327"/>
      <c r="H808" s="327"/>
    </row>
    <row r="809" spans="2:8" s="326" customFormat="1" ht="9.9499999999999993" customHeight="1" x14ac:dyDescent="0.2">
      <c r="B809" s="327"/>
      <c r="D809" s="327"/>
      <c r="F809" s="327"/>
      <c r="H809" s="327"/>
    </row>
    <row r="810" spans="2:8" s="326" customFormat="1" ht="9.9499999999999993" customHeight="1" x14ac:dyDescent="0.2">
      <c r="B810" s="327"/>
      <c r="D810" s="327"/>
      <c r="F810" s="327"/>
      <c r="H810" s="327"/>
    </row>
    <row r="811" spans="2:8" s="326" customFormat="1" ht="9.9499999999999993" customHeight="1" x14ac:dyDescent="0.2">
      <c r="B811" s="327"/>
      <c r="D811" s="327"/>
      <c r="F811" s="327"/>
      <c r="H811" s="327"/>
    </row>
    <row r="812" spans="2:8" s="326" customFormat="1" ht="9.9499999999999993" customHeight="1" x14ac:dyDescent="0.2">
      <c r="B812" s="327"/>
      <c r="D812" s="327"/>
      <c r="F812" s="327"/>
      <c r="H812" s="327"/>
    </row>
    <row r="813" spans="2:8" s="326" customFormat="1" ht="9.9499999999999993" customHeight="1" x14ac:dyDescent="0.2">
      <c r="B813" s="327"/>
      <c r="D813" s="327"/>
      <c r="F813" s="327"/>
      <c r="H813" s="327"/>
    </row>
    <row r="814" spans="2:8" s="326" customFormat="1" ht="9.9499999999999993" customHeight="1" x14ac:dyDescent="0.2">
      <c r="B814" s="327"/>
      <c r="D814" s="327"/>
      <c r="F814" s="327"/>
      <c r="H814" s="327"/>
    </row>
    <row r="815" spans="2:8" s="326" customFormat="1" ht="9.9499999999999993" customHeight="1" x14ac:dyDescent="0.2">
      <c r="B815" s="327"/>
      <c r="D815" s="327"/>
      <c r="F815" s="327"/>
      <c r="H815" s="327"/>
    </row>
    <row r="816" spans="2:8" s="326" customFormat="1" ht="9.9499999999999993" customHeight="1" x14ac:dyDescent="0.2">
      <c r="B816" s="327"/>
      <c r="D816" s="327"/>
      <c r="F816" s="327"/>
      <c r="H816" s="327"/>
    </row>
    <row r="817" spans="2:8" s="326" customFormat="1" ht="9.9499999999999993" customHeight="1" x14ac:dyDescent="0.2">
      <c r="B817" s="327"/>
      <c r="D817" s="327"/>
      <c r="F817" s="327"/>
      <c r="H817" s="327"/>
    </row>
    <row r="818" spans="2:8" s="326" customFormat="1" ht="9.9499999999999993" customHeight="1" x14ac:dyDescent="0.2">
      <c r="B818" s="327"/>
      <c r="D818" s="327"/>
      <c r="F818" s="327"/>
      <c r="H818" s="327"/>
    </row>
    <row r="819" spans="2:8" s="326" customFormat="1" ht="9.9499999999999993" customHeight="1" x14ac:dyDescent="0.2">
      <c r="B819" s="327"/>
      <c r="D819" s="327"/>
      <c r="F819" s="327"/>
      <c r="H819" s="327"/>
    </row>
    <row r="820" spans="2:8" s="326" customFormat="1" ht="9.9499999999999993" customHeight="1" x14ac:dyDescent="0.2">
      <c r="B820" s="327"/>
      <c r="D820" s="327"/>
      <c r="F820" s="327"/>
      <c r="H820" s="327"/>
    </row>
    <row r="821" spans="2:8" s="326" customFormat="1" ht="9.9499999999999993" customHeight="1" x14ac:dyDescent="0.2">
      <c r="B821" s="327"/>
      <c r="D821" s="327"/>
      <c r="F821" s="327"/>
      <c r="H821" s="327"/>
    </row>
  </sheetData>
  <mergeCells count="3">
    <mergeCell ref="A1:I1"/>
    <mergeCell ref="A4:G4"/>
    <mergeCell ref="A6:G6"/>
  </mergeCells>
  <phoneticPr fontId="9" type="noConversion"/>
  <printOptions horizontalCentered="1"/>
  <pageMargins left="0.5" right="0.5" top="0.5" bottom="0.625" header="0.5" footer="0.5"/>
  <pageSetup scale="9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6" tint="0.39997558519241921"/>
  </sheetPr>
  <dimension ref="A1:AF816"/>
  <sheetViews>
    <sheetView view="pageBreakPreview" zoomScaleNormal="100" workbookViewId="0">
      <selection activeCell="I69" activeCellId="2" sqref="E69 G69 I69"/>
    </sheetView>
  </sheetViews>
  <sheetFormatPr defaultColWidth="9.140625" defaultRowHeight="9.9499999999999993" customHeight="1" x14ac:dyDescent="0.2"/>
  <cols>
    <col min="1" max="1" width="38" style="314" customWidth="1"/>
    <col min="2" max="2" width="1.5703125" style="329" hidden="1" customWidth="1"/>
    <col min="3" max="3" width="12.85546875" style="329" hidden="1" customWidth="1"/>
    <col min="4" max="4" width="1.5703125" style="329" customWidth="1"/>
    <col min="5" max="5" width="12.85546875" style="314" customWidth="1"/>
    <col min="6" max="6" width="1.5703125" style="329" customWidth="1"/>
    <col min="7" max="7" width="12.85546875" style="314" customWidth="1"/>
    <col min="8" max="8" width="1.5703125" style="314" customWidth="1"/>
    <col min="9" max="9" width="12.85546875" style="314" customWidth="1"/>
    <col min="10" max="10" width="1.5703125" style="314" hidden="1" customWidth="1"/>
    <col min="11" max="11" width="12.85546875" style="314" hidden="1" customWidth="1"/>
    <col min="12" max="12" width="1.5703125" style="329" customWidth="1"/>
    <col min="13" max="13" width="12.85546875" style="314" customWidth="1"/>
    <col min="14" max="14" width="7.5703125" style="314" customWidth="1"/>
    <col min="15" max="16384" width="9.140625" style="314"/>
  </cols>
  <sheetData>
    <row r="1" spans="1:14" s="462" customFormat="1" ht="17.850000000000001" customHeight="1" thickBot="1" x14ac:dyDescent="0.25">
      <c r="A1" s="1582" t="s">
        <v>1033</v>
      </c>
      <c r="B1" s="1582"/>
      <c r="C1" s="1582"/>
      <c r="D1" s="1582"/>
      <c r="E1" s="1582"/>
      <c r="F1" s="1582"/>
      <c r="G1" s="1582"/>
      <c r="H1" s="1582"/>
      <c r="I1" s="1582"/>
      <c r="J1" s="1582"/>
      <c r="K1" s="1582"/>
      <c r="L1" s="1582"/>
      <c r="M1" s="1582"/>
      <c r="N1" s="535"/>
    </row>
    <row r="2" spans="1:14" s="247" customFormat="1" ht="15.95" customHeight="1" x14ac:dyDescent="0.2">
      <c r="A2" s="700" t="s">
        <v>461</v>
      </c>
      <c r="B2" s="310"/>
      <c r="C2" s="310"/>
      <c r="D2" s="310"/>
      <c r="E2" s="310"/>
      <c r="F2" s="310"/>
      <c r="G2" s="310"/>
      <c r="H2" s="310"/>
      <c r="I2" s="310"/>
      <c r="J2" s="310"/>
      <c r="K2" s="310"/>
      <c r="L2" s="302"/>
      <c r="M2" s="302"/>
    </row>
    <row r="3" spans="1:14" s="247" customFormat="1" ht="15.95" customHeight="1" x14ac:dyDescent="0.2">
      <c r="A3" s="700" t="s">
        <v>65</v>
      </c>
      <c r="B3" s="310"/>
      <c r="C3" s="310"/>
      <c r="D3" s="310"/>
      <c r="E3" s="310"/>
      <c r="F3" s="310"/>
      <c r="G3" s="310"/>
      <c r="H3" s="310"/>
      <c r="I3" s="310"/>
      <c r="J3" s="310"/>
      <c r="K3" s="310"/>
      <c r="L3" s="302"/>
      <c r="M3" s="302"/>
    </row>
    <row r="4" spans="1:14" s="532" customFormat="1" ht="14.1" customHeight="1" x14ac:dyDescent="0.2">
      <c r="A4" s="506" t="s">
        <v>1724</v>
      </c>
      <c r="B4" s="506"/>
      <c r="C4" s="506"/>
      <c r="D4" s="506"/>
      <c r="E4" s="506"/>
      <c r="F4" s="506"/>
      <c r="G4" s="506"/>
      <c r="H4" s="506"/>
      <c r="L4" s="536"/>
      <c r="M4" s="536"/>
    </row>
    <row r="5" spans="1:14" s="247" customFormat="1" ht="12" customHeight="1" x14ac:dyDescent="0.2">
      <c r="A5" s="253" t="s">
        <v>972</v>
      </c>
      <c r="B5" s="433"/>
      <c r="C5" s="433"/>
      <c r="D5" s="433"/>
      <c r="E5" s="433"/>
      <c r="F5" s="433"/>
      <c r="G5" s="433"/>
      <c r="H5" s="433"/>
      <c r="I5" s="311"/>
      <c r="J5" s="433"/>
      <c r="L5" s="433"/>
    </row>
    <row r="6" spans="1:14" s="247" customFormat="1" ht="12" hidden="1" customHeight="1" x14ac:dyDescent="0.2">
      <c r="A6" s="253"/>
      <c r="B6" s="433"/>
      <c r="C6" s="433"/>
      <c r="D6" s="433"/>
      <c r="E6" s="433"/>
      <c r="F6" s="433"/>
      <c r="G6" s="433"/>
      <c r="H6" s="433"/>
      <c r="I6" s="311"/>
      <c r="J6" s="433"/>
      <c r="L6" s="433"/>
    </row>
    <row r="7" spans="1:14" s="508" customFormat="1" ht="12.6" customHeight="1" x14ac:dyDescent="0.2">
      <c r="A7" s="507"/>
      <c r="B7" s="507"/>
      <c r="C7" s="310"/>
      <c r="D7" s="507"/>
      <c r="E7" s="507"/>
      <c r="F7" s="507"/>
      <c r="G7" s="507"/>
      <c r="H7" s="507"/>
      <c r="I7" s="507"/>
      <c r="J7" s="507"/>
      <c r="K7" s="507"/>
      <c r="L7" s="507"/>
    </row>
    <row r="8" spans="1:14" s="212" customFormat="1" ht="12.6" customHeight="1" x14ac:dyDescent="0.2">
      <c r="A8" s="458"/>
      <c r="B8" s="458"/>
      <c r="C8" s="310" t="s">
        <v>235</v>
      </c>
      <c r="D8" s="458"/>
      <c r="E8" s="310" t="s">
        <v>238</v>
      </c>
      <c r="F8" s="458"/>
      <c r="G8" s="310"/>
      <c r="H8" s="458"/>
      <c r="I8" s="458"/>
      <c r="J8" s="458"/>
      <c r="K8" s="310" t="s">
        <v>720</v>
      </c>
      <c r="L8" s="458"/>
      <c r="M8" s="310" t="s">
        <v>671</v>
      </c>
    </row>
    <row r="9" spans="1:14" s="336" customFormat="1" ht="12.6" customHeight="1" x14ac:dyDescent="0.2">
      <c r="B9" s="310"/>
      <c r="C9" s="310" t="s">
        <v>66</v>
      </c>
      <c r="D9" s="310"/>
      <c r="E9" s="445" t="s">
        <v>439</v>
      </c>
      <c r="F9" s="310"/>
      <c r="G9" s="443" t="s">
        <v>233</v>
      </c>
      <c r="I9" s="310" t="s">
        <v>859</v>
      </c>
      <c r="J9" s="310"/>
      <c r="K9" s="310" t="s">
        <v>237</v>
      </c>
      <c r="L9" s="310"/>
      <c r="M9" s="310" t="s">
        <v>1064</v>
      </c>
    </row>
    <row r="10" spans="1:14" s="336" customFormat="1" ht="12.6" customHeight="1" x14ac:dyDescent="0.2">
      <c r="B10" s="310"/>
      <c r="C10" s="945" t="s">
        <v>67</v>
      </c>
      <c r="D10" s="310"/>
      <c r="E10" s="945" t="s">
        <v>236</v>
      </c>
      <c r="F10" s="310"/>
      <c r="G10" s="446" t="s">
        <v>234</v>
      </c>
      <c r="I10" s="574" t="s">
        <v>236</v>
      </c>
      <c r="J10" s="310"/>
      <c r="K10" s="574" t="s">
        <v>236</v>
      </c>
      <c r="L10" s="310"/>
      <c r="M10" s="574" t="s">
        <v>1004</v>
      </c>
    </row>
    <row r="11" spans="1:14" s="253" customFormat="1" ht="9.9499999999999993" customHeight="1" x14ac:dyDescent="0.2">
      <c r="A11" s="417" t="s">
        <v>672</v>
      </c>
      <c r="H11" s="362"/>
    </row>
    <row r="12" spans="1:14" s="253" customFormat="1" ht="9.9499999999999993" hidden="1" customHeight="1" x14ac:dyDescent="0.2">
      <c r="A12" s="398" t="s">
        <v>673</v>
      </c>
      <c r="B12" s="254"/>
      <c r="C12" s="254">
        <f>BSGFws!F3</f>
        <v>0</v>
      </c>
      <c r="D12" s="254"/>
      <c r="E12" s="254">
        <f>+BSGFws!G3</f>
        <v>0</v>
      </c>
      <c r="F12" s="254"/>
      <c r="G12" s="254">
        <f>+BSGFws!H3</f>
        <v>0</v>
      </c>
      <c r="H12" s="362"/>
      <c r="I12" s="254">
        <f>+BSGFws!I3</f>
        <v>0</v>
      </c>
      <c r="J12" s="254"/>
      <c r="K12" s="254">
        <f>+BSGFws!J3</f>
        <v>0</v>
      </c>
      <c r="L12" s="254"/>
      <c r="M12" s="273">
        <f t="shared" ref="M12:M22" si="0">SUM(C12:K12)</f>
        <v>0</v>
      </c>
    </row>
    <row r="13" spans="1:14" s="253" customFormat="1" ht="9.9499999999999993" hidden="1" customHeight="1" x14ac:dyDescent="0.2">
      <c r="A13" s="398" t="s">
        <v>674</v>
      </c>
      <c r="B13" s="273"/>
      <c r="C13" s="273">
        <f>BSGFws!F4</f>
        <v>0</v>
      </c>
      <c r="D13" s="273"/>
      <c r="E13" s="273">
        <f>+BSGFws!G4</f>
        <v>0</v>
      </c>
      <c r="F13" s="273"/>
      <c r="G13" s="273">
        <f>+BSGFws!H4</f>
        <v>0</v>
      </c>
      <c r="H13" s="362"/>
      <c r="I13" s="273">
        <f>+BSGFws!I4</f>
        <v>0</v>
      </c>
      <c r="J13" s="273"/>
      <c r="K13" s="273">
        <f>+BSGFws!J4</f>
        <v>0</v>
      </c>
      <c r="L13" s="273"/>
      <c r="M13" s="273">
        <f t="shared" si="0"/>
        <v>0</v>
      </c>
    </row>
    <row r="14" spans="1:14" s="253" customFormat="1" ht="9.9499999999999993" hidden="1" customHeight="1" x14ac:dyDescent="0.2">
      <c r="A14" s="398" t="s">
        <v>252</v>
      </c>
      <c r="B14" s="273"/>
      <c r="C14" s="273">
        <f>BSGFws!F5</f>
        <v>0</v>
      </c>
      <c r="D14" s="273"/>
      <c r="E14" s="273">
        <f>+BSGFws!G5</f>
        <v>0</v>
      </c>
      <c r="F14" s="273"/>
      <c r="G14" s="273">
        <f>+BSGFws!H5</f>
        <v>0</v>
      </c>
      <c r="H14" s="362"/>
      <c r="I14" s="273">
        <f>+BSGFws!I5</f>
        <v>0</v>
      </c>
      <c r="J14" s="273"/>
      <c r="K14" s="273">
        <f>+BSGFws!J5</f>
        <v>0</v>
      </c>
      <c r="L14" s="273"/>
      <c r="M14" s="273">
        <f t="shared" si="0"/>
        <v>0</v>
      </c>
    </row>
    <row r="15" spans="1:14" s="253" customFormat="1" ht="9.9499999999999993" hidden="1" customHeight="1" x14ac:dyDescent="0.2">
      <c r="A15" s="418" t="s">
        <v>763</v>
      </c>
      <c r="B15" s="273"/>
      <c r="C15" s="273">
        <f>BSGFws!F6</f>
        <v>0</v>
      </c>
      <c r="D15" s="273"/>
      <c r="E15" s="273">
        <f>+BSGFws!G6</f>
        <v>0</v>
      </c>
      <c r="F15" s="273"/>
      <c r="G15" s="273">
        <f>+BSGFws!H6</f>
        <v>0</v>
      </c>
      <c r="H15" s="362"/>
      <c r="I15" s="273">
        <f>+BSGFws!I6</f>
        <v>0</v>
      </c>
      <c r="J15" s="273"/>
      <c r="K15" s="273">
        <f>+BSGFws!J6</f>
        <v>0</v>
      </c>
      <c r="L15" s="273"/>
      <c r="M15" s="273">
        <f t="shared" si="0"/>
        <v>0</v>
      </c>
    </row>
    <row r="16" spans="1:14" s="253" customFormat="1" ht="9.9499999999999993" hidden="1" customHeight="1" x14ac:dyDescent="0.2">
      <c r="A16" s="418" t="s">
        <v>683</v>
      </c>
      <c r="B16" s="273"/>
      <c r="C16" s="273">
        <f>BSGFws!F7</f>
        <v>0</v>
      </c>
      <c r="D16" s="273"/>
      <c r="E16" s="273">
        <f>+BSGFws!G7</f>
        <v>0</v>
      </c>
      <c r="F16" s="273"/>
      <c r="G16" s="273">
        <f>+BSGFws!H7</f>
        <v>0</v>
      </c>
      <c r="H16" s="362"/>
      <c r="I16" s="273">
        <f>+BSGFws!I7</f>
        <v>0</v>
      </c>
      <c r="J16" s="273"/>
      <c r="K16" s="273">
        <f>+BSGFws!J7</f>
        <v>0</v>
      </c>
      <c r="L16" s="273"/>
      <c r="M16" s="273">
        <f t="shared" si="0"/>
        <v>0</v>
      </c>
    </row>
    <row r="17" spans="1:13" s="253" customFormat="1" ht="9.9499999999999993" hidden="1" customHeight="1" x14ac:dyDescent="0.2">
      <c r="A17" s="418" t="s">
        <v>840</v>
      </c>
      <c r="B17" s="273"/>
      <c r="C17" s="273">
        <f>BSGFws!F8</f>
        <v>0</v>
      </c>
      <c r="D17" s="273"/>
      <c r="E17" s="273">
        <f>+BSGFws!G8</f>
        <v>0</v>
      </c>
      <c r="F17" s="273"/>
      <c r="G17" s="273">
        <f>+BSGFws!H8</f>
        <v>0</v>
      </c>
      <c r="H17" s="362"/>
      <c r="I17" s="273">
        <f>+BSGFws!I8</f>
        <v>0</v>
      </c>
      <c r="J17" s="273"/>
      <c r="K17" s="273">
        <f>+BSGFws!J8</f>
        <v>0</v>
      </c>
      <c r="L17" s="273"/>
      <c r="M17" s="273">
        <f t="shared" si="0"/>
        <v>0</v>
      </c>
    </row>
    <row r="18" spans="1:13" s="253" customFormat="1" ht="9.9499999999999993" hidden="1" customHeight="1" x14ac:dyDescent="0.2">
      <c r="A18" s="418" t="s">
        <v>1575</v>
      </c>
      <c r="B18" s="273"/>
      <c r="C18" s="273">
        <f>BSGFws!F9</f>
        <v>0</v>
      </c>
      <c r="D18" s="273"/>
      <c r="E18" s="273">
        <f>+BSGFws!G9</f>
        <v>0</v>
      </c>
      <c r="F18" s="273"/>
      <c r="G18" s="273">
        <f>+BSGFws!H9</f>
        <v>0</v>
      </c>
      <c r="H18" s="362"/>
      <c r="I18" s="273">
        <f>+BSGFws!I9</f>
        <v>0</v>
      </c>
      <c r="J18" s="273"/>
      <c r="K18" s="273"/>
      <c r="L18" s="273"/>
      <c r="M18" s="273">
        <f t="shared" si="0"/>
        <v>0</v>
      </c>
    </row>
    <row r="19" spans="1:13" s="253" customFormat="1" ht="9.9499999999999993" hidden="1" customHeight="1" x14ac:dyDescent="0.2">
      <c r="A19" s="398" t="s">
        <v>63</v>
      </c>
      <c r="B19" s="273"/>
      <c r="C19" s="273">
        <f>BSGFws!G20</f>
        <v>0</v>
      </c>
      <c r="D19" s="273"/>
      <c r="E19" s="273">
        <f>BSGFws!GO20</f>
        <v>0</v>
      </c>
      <c r="F19" s="273"/>
      <c r="G19" s="273"/>
      <c r="H19" s="362"/>
      <c r="I19" s="273"/>
      <c r="J19" s="273"/>
      <c r="K19" s="273">
        <f>BSGFws!J20</f>
        <v>0</v>
      </c>
      <c r="L19" s="273"/>
      <c r="M19" s="273">
        <f t="shared" si="0"/>
        <v>0</v>
      </c>
    </row>
    <row r="20" spans="1:13" s="253" customFormat="1" ht="9.9499999999999993" hidden="1" customHeight="1" x14ac:dyDescent="0.2">
      <c r="A20" s="398" t="s">
        <v>592</v>
      </c>
      <c r="B20" s="273"/>
      <c r="C20" s="273">
        <f>BSGFws!F10</f>
        <v>0</v>
      </c>
      <c r="D20" s="273"/>
      <c r="E20" s="273">
        <f>+BSGFws!G10</f>
        <v>0</v>
      </c>
      <c r="F20" s="273"/>
      <c r="G20" s="273">
        <f>+BSGFws!H10</f>
        <v>0</v>
      </c>
      <c r="H20" s="362"/>
      <c r="I20" s="273">
        <f>+BSGFws!I10</f>
        <v>0</v>
      </c>
      <c r="J20" s="273"/>
      <c r="K20" s="273">
        <f>+BSGFws!J10</f>
        <v>0</v>
      </c>
      <c r="L20" s="273"/>
      <c r="M20" s="273">
        <f t="shared" si="0"/>
        <v>0</v>
      </c>
    </row>
    <row r="21" spans="1:13" s="253" customFormat="1" ht="9.9499999999999993" customHeight="1" x14ac:dyDescent="0.2">
      <c r="A21" s="545" t="s">
        <v>685</v>
      </c>
      <c r="B21" s="254"/>
      <c r="C21" s="273">
        <f>BSGFws!F12</f>
        <v>0</v>
      </c>
      <c r="D21" s="254"/>
      <c r="E21" s="273">
        <f>+BSGFws!G12</f>
        <v>0</v>
      </c>
      <c r="F21" s="254"/>
      <c r="G21" s="273">
        <f>+BSGFws!H12</f>
        <v>0</v>
      </c>
      <c r="I21" s="273"/>
      <c r="J21" s="254"/>
      <c r="K21" s="273">
        <f>+BSGFws!J12</f>
        <v>0</v>
      </c>
      <c r="L21" s="254"/>
      <c r="M21" s="273"/>
    </row>
    <row r="22" spans="1:13" s="253" customFormat="1" ht="9.9499999999999993" customHeight="1" x14ac:dyDescent="0.2">
      <c r="A22" s="546" t="s">
        <v>673</v>
      </c>
      <c r="B22" s="339"/>
      <c r="C22" s="339"/>
      <c r="D22" s="339"/>
      <c r="E22" s="339">
        <f>+BSGFws!G13</f>
        <v>85</v>
      </c>
      <c r="F22" s="339"/>
      <c r="G22" s="339">
        <f>+BSGFws!H13</f>
        <v>1121</v>
      </c>
      <c r="H22" s="339"/>
      <c r="I22" s="339">
        <f>+BSGFws!I13</f>
        <v>1110</v>
      </c>
      <c r="J22" s="339"/>
      <c r="K22" s="339">
        <f>+BSGFws!J13</f>
        <v>0</v>
      </c>
      <c r="L22" s="339"/>
      <c r="M22" s="339">
        <f t="shared" si="0"/>
        <v>2316</v>
      </c>
    </row>
    <row r="23" spans="1:13" s="253" customFormat="1" ht="9.9499999999999993" customHeight="1" x14ac:dyDescent="0.2">
      <c r="A23" s="546" t="s">
        <v>674</v>
      </c>
      <c r="B23" s="254"/>
      <c r="C23" s="273"/>
      <c r="D23" s="254"/>
      <c r="E23" s="273">
        <f>+BSGFws!G14</f>
        <v>0</v>
      </c>
      <c r="F23" s="254"/>
      <c r="G23" s="273">
        <f>+BSGFws!H14</f>
        <v>3806</v>
      </c>
      <c r="I23" s="273">
        <f>+BSGFws!I14</f>
        <v>3805</v>
      </c>
      <c r="J23" s="254"/>
      <c r="K23" s="273">
        <f>+BSGFws!J14</f>
        <v>0</v>
      </c>
      <c r="L23" s="254"/>
      <c r="M23" s="273">
        <f t="shared" ref="M23:M30" si="1">SUM(C23:K23)</f>
        <v>7611</v>
      </c>
    </row>
    <row r="24" spans="1:13" s="253" customFormat="1" ht="9.9499999999999993" customHeight="1" x14ac:dyDescent="0.2">
      <c r="A24" s="546" t="s">
        <v>252</v>
      </c>
      <c r="B24" s="254"/>
      <c r="C24" s="273"/>
      <c r="D24" s="254"/>
      <c r="E24" s="273">
        <f>+BSGFws!G15</f>
        <v>10589</v>
      </c>
      <c r="F24" s="254"/>
      <c r="G24" s="273">
        <f>+BSGFws!H15</f>
        <v>157</v>
      </c>
      <c r="I24" s="273">
        <f>+BSGFws!I15</f>
        <v>30704</v>
      </c>
      <c r="J24" s="254"/>
      <c r="K24" s="273">
        <f>+BSGFws!J15</f>
        <v>0</v>
      </c>
      <c r="L24" s="254"/>
      <c r="M24" s="273">
        <f t="shared" si="1"/>
        <v>41450</v>
      </c>
    </row>
    <row r="25" spans="1:13" s="253" customFormat="1" ht="9.9499999999999993" customHeight="1" x14ac:dyDescent="0.2">
      <c r="A25" s="546" t="s">
        <v>763</v>
      </c>
      <c r="B25" s="254"/>
      <c r="C25" s="273"/>
      <c r="D25" s="254"/>
      <c r="E25" s="273">
        <f>+BSGFws!G16</f>
        <v>0</v>
      </c>
      <c r="F25" s="254"/>
      <c r="G25" s="273">
        <f>+BSGFws!H16</f>
        <v>0</v>
      </c>
      <c r="I25" s="273">
        <f>+BSGFws!I16</f>
        <v>0</v>
      </c>
      <c r="J25" s="254"/>
      <c r="K25" s="273">
        <f>+BSGFws!J16</f>
        <v>0</v>
      </c>
      <c r="L25" s="254"/>
      <c r="M25" s="273">
        <f t="shared" si="1"/>
        <v>0</v>
      </c>
    </row>
    <row r="26" spans="1:13" s="253" customFormat="1" ht="9.9499999999999993" hidden="1" customHeight="1" x14ac:dyDescent="0.2">
      <c r="A26" s="546" t="s">
        <v>683</v>
      </c>
      <c r="B26" s="254"/>
      <c r="C26" s="273"/>
      <c r="D26" s="254"/>
      <c r="E26" s="273">
        <f>+BSGFws!G17</f>
        <v>0</v>
      </c>
      <c r="F26" s="254"/>
      <c r="G26" s="273">
        <f>+BSGFws!H17</f>
        <v>0</v>
      </c>
      <c r="I26" s="273">
        <f>+BSGFws!I17</f>
        <v>0</v>
      </c>
      <c r="J26" s="254"/>
      <c r="K26" s="273">
        <f>+BSGFws!J17</f>
        <v>0</v>
      </c>
      <c r="L26" s="254"/>
      <c r="M26" s="273">
        <f t="shared" si="1"/>
        <v>0</v>
      </c>
    </row>
    <row r="27" spans="1:13" s="253" customFormat="1" ht="9.9499999999999993" customHeight="1" x14ac:dyDescent="0.2">
      <c r="A27" s="546" t="s">
        <v>840</v>
      </c>
      <c r="B27" s="254"/>
      <c r="C27" s="273"/>
      <c r="D27" s="254"/>
      <c r="E27" s="273">
        <f>+BSGFws!G18</f>
        <v>0</v>
      </c>
      <c r="F27" s="254"/>
      <c r="G27" s="273">
        <f>+BSGFws!H18</f>
        <v>0</v>
      </c>
      <c r="I27" s="273">
        <f>+BSGFws!I18</f>
        <v>0</v>
      </c>
      <c r="J27" s="254"/>
      <c r="K27" s="273">
        <f>+BSGFws!J18</f>
        <v>0</v>
      </c>
      <c r="L27" s="254"/>
      <c r="M27" s="273">
        <f t="shared" si="1"/>
        <v>0</v>
      </c>
    </row>
    <row r="28" spans="1:13" s="253" customFormat="1" ht="9.9499999999999993" customHeight="1" x14ac:dyDescent="0.2">
      <c r="A28" s="546" t="s">
        <v>1773</v>
      </c>
      <c r="B28" s="254"/>
      <c r="C28" s="273"/>
      <c r="D28" s="254"/>
      <c r="E28" s="273">
        <f>+BSGFws!G19</f>
        <v>422</v>
      </c>
      <c r="F28" s="254"/>
      <c r="G28" s="273">
        <f>+BSGFws!H19</f>
        <v>0</v>
      </c>
      <c r="I28" s="273">
        <f>+BSGFws!I19</f>
        <v>0</v>
      </c>
      <c r="J28" s="254"/>
      <c r="K28" s="273"/>
      <c r="L28" s="254"/>
      <c r="M28" s="273">
        <f t="shared" si="1"/>
        <v>422</v>
      </c>
    </row>
    <row r="29" spans="1:13" s="253" customFormat="1" ht="9.9499999999999993" hidden="1" customHeight="1" x14ac:dyDescent="0.2">
      <c r="A29" s="1093" t="s">
        <v>63</v>
      </c>
      <c r="B29" s="254"/>
      <c r="C29" s="273"/>
      <c r="D29" s="254"/>
      <c r="E29" s="273">
        <f>+BSGFws!G20</f>
        <v>0</v>
      </c>
      <c r="F29" s="254"/>
      <c r="G29" s="273">
        <f>+BSGFws!H20</f>
        <v>0</v>
      </c>
      <c r="I29" s="273">
        <f>BSGFws!I20</f>
        <v>0</v>
      </c>
      <c r="J29" s="254"/>
      <c r="K29" s="273">
        <f>+BSGFws!J20</f>
        <v>0</v>
      </c>
      <c r="L29" s="254"/>
      <c r="M29" s="273">
        <f t="shared" si="1"/>
        <v>0</v>
      </c>
    </row>
    <row r="30" spans="1:13" s="253" customFormat="1" ht="9.9499999999999993" customHeight="1" x14ac:dyDescent="0.2">
      <c r="A30" s="1093" t="s">
        <v>1216</v>
      </c>
      <c r="B30" s="254"/>
      <c r="C30" s="273"/>
      <c r="D30" s="254"/>
      <c r="E30" s="273">
        <f>+BSGFws!G21</f>
        <v>1225</v>
      </c>
      <c r="F30" s="254"/>
      <c r="G30" s="273">
        <f>+BSGFws!H21</f>
        <v>0</v>
      </c>
      <c r="I30" s="273">
        <f>BSGFws!I21</f>
        <v>422</v>
      </c>
      <c r="J30" s="254"/>
      <c r="K30" s="273">
        <f>+BSGFws!J21</f>
        <v>0</v>
      </c>
      <c r="L30" s="254"/>
      <c r="M30" s="273">
        <f t="shared" si="1"/>
        <v>1647</v>
      </c>
    </row>
    <row r="31" spans="1:13" s="253" customFormat="1" ht="5.0999999999999996" customHeight="1" x14ac:dyDescent="0.2">
      <c r="A31" s="418"/>
      <c r="B31" s="254"/>
      <c r="C31" s="340"/>
      <c r="D31" s="254"/>
      <c r="E31" s="340"/>
      <c r="F31" s="254"/>
      <c r="G31" s="340"/>
      <c r="H31" s="254"/>
      <c r="I31" s="340"/>
      <c r="J31" s="254"/>
      <c r="K31" s="340"/>
      <c r="L31" s="254"/>
      <c r="M31" s="340"/>
    </row>
    <row r="32" spans="1:13" s="253" customFormat="1" ht="11.1" customHeight="1" thickBot="1" x14ac:dyDescent="0.25">
      <c r="A32" s="417" t="s">
        <v>687</v>
      </c>
      <c r="B32" s="254"/>
      <c r="C32" s="344">
        <f>SUM(C22:C30)</f>
        <v>0</v>
      </c>
      <c r="D32" s="254"/>
      <c r="E32" s="344">
        <f>SUM(E22:E30)</f>
        <v>12321</v>
      </c>
      <c r="F32" s="254"/>
      <c r="G32" s="344">
        <f>SUM(G22:G30)</f>
        <v>5084</v>
      </c>
      <c r="H32" s="254"/>
      <c r="I32" s="344">
        <f>SUM(I22:I30)</f>
        <v>36041</v>
      </c>
      <c r="J32" s="254"/>
      <c r="K32" s="344">
        <f>SUM(K22:K30)</f>
        <v>0</v>
      </c>
      <c r="L32" s="254"/>
      <c r="M32" s="344">
        <f>SUM(M22:M30)</f>
        <v>53446</v>
      </c>
    </row>
    <row r="33" spans="1:13" s="253" customFormat="1" ht="5.0999999999999996" customHeight="1" thickTop="1" x14ac:dyDescent="0.2">
      <c r="A33" s="418"/>
      <c r="B33" s="254"/>
      <c r="C33" s="273"/>
      <c r="D33" s="254"/>
      <c r="E33" s="273"/>
      <c r="F33" s="254"/>
      <c r="G33" s="273"/>
      <c r="H33" s="362"/>
      <c r="I33" s="273"/>
      <c r="J33" s="254"/>
      <c r="K33" s="273"/>
      <c r="L33" s="254"/>
      <c r="M33" s="254"/>
    </row>
    <row r="34" spans="1:13" s="253" customFormat="1" ht="24" x14ac:dyDescent="0.2">
      <c r="A34" s="1241" t="s">
        <v>1764</v>
      </c>
      <c r="B34" s="347"/>
      <c r="C34" s="273"/>
      <c r="D34" s="347"/>
      <c r="E34" s="273"/>
      <c r="F34" s="347"/>
      <c r="G34" s="273"/>
      <c r="H34" s="362"/>
      <c r="I34" s="273"/>
      <c r="J34" s="347"/>
      <c r="K34" s="273"/>
      <c r="L34" s="347"/>
      <c r="M34" s="254"/>
    </row>
    <row r="35" spans="1:13" s="253" customFormat="1" ht="9.9499999999999993" customHeight="1" x14ac:dyDescent="0.2">
      <c r="A35" s="428" t="s">
        <v>751</v>
      </c>
      <c r="B35" s="273"/>
      <c r="C35" s="273"/>
      <c r="D35" s="273"/>
      <c r="E35" s="273"/>
      <c r="F35" s="273"/>
      <c r="G35" s="273"/>
      <c r="H35" s="362"/>
      <c r="I35" s="273"/>
      <c r="J35" s="273"/>
      <c r="K35" s="273"/>
      <c r="L35" s="273"/>
      <c r="M35" s="273"/>
    </row>
    <row r="36" spans="1:13" s="253" customFormat="1" ht="9.9499999999999993" hidden="1" customHeight="1" x14ac:dyDescent="0.2">
      <c r="A36" s="425" t="s">
        <v>688</v>
      </c>
      <c r="B36" s="273"/>
      <c r="C36" s="273"/>
      <c r="D36" s="273"/>
      <c r="E36" s="273">
        <f>+BSGFws!G29</f>
        <v>0</v>
      </c>
      <c r="F36" s="273"/>
      <c r="G36" s="273">
        <f>+BSGFws!H29</f>
        <v>0</v>
      </c>
      <c r="H36" s="362"/>
      <c r="I36" s="273"/>
      <c r="J36" s="273"/>
      <c r="K36" s="273">
        <f>+BSGFws!J29</f>
        <v>0</v>
      </c>
      <c r="L36" s="273"/>
      <c r="M36" s="254">
        <f t="shared" ref="M36:M41" si="2">SUM(I36+K36+E36)</f>
        <v>0</v>
      </c>
    </row>
    <row r="37" spans="1:13" s="253" customFormat="1" ht="9.9499999999999993" hidden="1" customHeight="1" x14ac:dyDescent="0.2">
      <c r="A37" s="425" t="s">
        <v>847</v>
      </c>
      <c r="B37" s="273"/>
      <c r="C37" s="273"/>
      <c r="D37" s="273"/>
      <c r="E37" s="273">
        <f>+BSGFws!G30</f>
        <v>0</v>
      </c>
      <c r="F37" s="273"/>
      <c r="G37" s="273">
        <f>+BSGFws!H30</f>
        <v>0</v>
      </c>
      <c r="H37" s="362"/>
      <c r="I37" s="273"/>
      <c r="J37" s="273"/>
      <c r="K37" s="273">
        <f>+BSGFws!J30</f>
        <v>0</v>
      </c>
      <c r="L37" s="273"/>
      <c r="M37" s="273">
        <f t="shared" si="2"/>
        <v>0</v>
      </c>
    </row>
    <row r="38" spans="1:13" s="253" customFormat="1" ht="9.9499999999999993" hidden="1" customHeight="1" x14ac:dyDescent="0.2">
      <c r="A38" s="425" t="s">
        <v>690</v>
      </c>
      <c r="B38" s="273"/>
      <c r="C38" s="273"/>
      <c r="D38" s="273"/>
      <c r="E38" s="273">
        <f>+BSGFws!G31</f>
        <v>0</v>
      </c>
      <c r="F38" s="273"/>
      <c r="G38" s="273">
        <f>+BSGFws!H31</f>
        <v>0</v>
      </c>
      <c r="H38" s="362"/>
      <c r="I38" s="273"/>
      <c r="J38" s="273"/>
      <c r="K38" s="273">
        <f>+BSGFws!J31</f>
        <v>0</v>
      </c>
      <c r="L38" s="273"/>
      <c r="M38" s="273">
        <f t="shared" si="2"/>
        <v>0</v>
      </c>
    </row>
    <row r="39" spans="1:13" s="253" customFormat="1" ht="9.9499999999999993" hidden="1" customHeight="1" x14ac:dyDescent="0.2">
      <c r="A39" s="425" t="s">
        <v>691</v>
      </c>
      <c r="B39" s="273"/>
      <c r="C39" s="273"/>
      <c r="D39" s="273"/>
      <c r="E39" s="273"/>
      <c r="F39" s="273"/>
      <c r="G39" s="273"/>
      <c r="H39" s="362"/>
      <c r="I39" s="273"/>
      <c r="J39" s="273"/>
      <c r="K39" s="273"/>
      <c r="L39" s="273"/>
      <c r="M39" s="273">
        <f t="shared" si="2"/>
        <v>0</v>
      </c>
    </row>
    <row r="40" spans="1:13" s="253" customFormat="1" ht="9.9499999999999993" hidden="1" customHeight="1" x14ac:dyDescent="0.2">
      <c r="A40" s="425" t="s">
        <v>203</v>
      </c>
      <c r="B40" s="273"/>
      <c r="C40" s="273"/>
      <c r="D40" s="273"/>
      <c r="E40" s="273"/>
      <c r="F40" s="273"/>
      <c r="G40" s="273"/>
      <c r="H40" s="362"/>
      <c r="I40" s="273"/>
      <c r="J40" s="273"/>
      <c r="K40" s="273"/>
      <c r="L40" s="273"/>
      <c r="M40" s="273">
        <f t="shared" si="2"/>
        <v>0</v>
      </c>
    </row>
    <row r="41" spans="1:13" s="253" customFormat="1" ht="9.9499999999999993" hidden="1" customHeight="1" x14ac:dyDescent="0.2">
      <c r="A41" s="425" t="s">
        <v>848</v>
      </c>
      <c r="B41" s="273"/>
      <c r="C41" s="273"/>
      <c r="D41" s="273"/>
      <c r="E41" s="273"/>
      <c r="F41" s="273"/>
      <c r="G41" s="273"/>
      <c r="H41" s="362"/>
      <c r="I41" s="273"/>
      <c r="J41" s="273"/>
      <c r="K41" s="273"/>
      <c r="L41" s="273"/>
      <c r="M41" s="273">
        <f t="shared" si="2"/>
        <v>0</v>
      </c>
    </row>
    <row r="42" spans="1:13" s="253" customFormat="1" ht="9.9499999999999993" hidden="1" customHeight="1" x14ac:dyDescent="0.2">
      <c r="A42" s="425" t="s">
        <v>604</v>
      </c>
      <c r="B42" s="273"/>
      <c r="C42" s="273"/>
      <c r="D42" s="273"/>
      <c r="E42" s="273">
        <f>+BSGFws!G35</f>
        <v>0</v>
      </c>
      <c r="F42" s="273"/>
      <c r="G42" s="273">
        <f>+BSGFws!H35</f>
        <v>0</v>
      </c>
      <c r="H42" s="362"/>
      <c r="I42" s="273"/>
      <c r="J42" s="273"/>
      <c r="K42" s="273">
        <f>+BSGFws!J35</f>
        <v>0</v>
      </c>
      <c r="L42" s="273"/>
      <c r="M42" s="273"/>
    </row>
    <row r="43" spans="1:13" s="253" customFormat="1" ht="9.9499999999999993" hidden="1" customHeight="1" x14ac:dyDescent="0.2">
      <c r="A43" s="425" t="s">
        <v>593</v>
      </c>
      <c r="B43" s="273"/>
      <c r="C43" s="339"/>
      <c r="D43" s="273"/>
      <c r="E43" s="339"/>
      <c r="F43" s="273"/>
      <c r="G43" s="339"/>
      <c r="H43" s="362"/>
      <c r="I43" s="339"/>
      <c r="J43" s="273"/>
      <c r="K43" s="339"/>
      <c r="L43" s="273"/>
      <c r="M43" s="339"/>
    </row>
    <row r="44" spans="1:13" s="253" customFormat="1" ht="9.9499999999999993" customHeight="1" x14ac:dyDescent="0.2">
      <c r="A44" s="425" t="s">
        <v>1304</v>
      </c>
    </row>
    <row r="45" spans="1:13" s="253" customFormat="1" ht="9.9499999999999993" customHeight="1" x14ac:dyDescent="0.2">
      <c r="A45" s="426" t="s">
        <v>688</v>
      </c>
      <c r="B45" s="339"/>
      <c r="C45" s="339"/>
      <c r="D45" s="339"/>
      <c r="E45" s="339">
        <f>+BSGFws!G37</f>
        <v>604</v>
      </c>
      <c r="F45" s="339"/>
      <c r="G45" s="339">
        <f>+BSGFws!H37</f>
        <v>68</v>
      </c>
      <c r="H45" s="339"/>
      <c r="I45" s="339">
        <f>BSGFws!I37</f>
        <v>1228</v>
      </c>
      <c r="J45" s="339"/>
      <c r="K45" s="339">
        <f>+BSGFws!J37</f>
        <v>0</v>
      </c>
      <c r="L45" s="339"/>
      <c r="M45" s="339">
        <f t="shared" ref="M45:M52" si="3">SUM(C45:K45)</f>
        <v>1900</v>
      </c>
    </row>
    <row r="46" spans="1:13" s="253" customFormat="1" ht="9.9499999999999993" customHeight="1" x14ac:dyDescent="0.2">
      <c r="A46" s="426" t="s">
        <v>847</v>
      </c>
      <c r="B46" s="273"/>
      <c r="C46" s="273"/>
      <c r="D46" s="273"/>
      <c r="E46" s="273">
        <f>+BSGFws!G38</f>
        <v>329</v>
      </c>
      <c r="F46" s="273"/>
      <c r="G46" s="273">
        <f>+BSGFws!H38</f>
        <v>4</v>
      </c>
      <c r="H46" s="362"/>
      <c r="I46" s="273">
        <f>BSGFws!I38</f>
        <v>540</v>
      </c>
      <c r="J46" s="273"/>
      <c r="K46" s="273">
        <f>+BSGFws!J38</f>
        <v>0</v>
      </c>
      <c r="L46" s="273"/>
      <c r="M46" s="273">
        <f t="shared" si="3"/>
        <v>873</v>
      </c>
    </row>
    <row r="47" spans="1:13" s="253" customFormat="1" ht="9.9499999999999993" customHeight="1" x14ac:dyDescent="0.2">
      <c r="A47" s="426" t="s">
        <v>690</v>
      </c>
      <c r="B47" s="273"/>
      <c r="C47" s="273"/>
      <c r="D47" s="273"/>
      <c r="E47" s="273">
        <f>+BSGFws!G39</f>
        <v>60</v>
      </c>
      <c r="F47" s="273"/>
      <c r="G47" s="273">
        <f>+BSGFws!H39</f>
        <v>6</v>
      </c>
      <c r="H47" s="362"/>
      <c r="I47" s="273">
        <f>BSGFws!I39</f>
        <v>11</v>
      </c>
      <c r="J47" s="273"/>
      <c r="K47" s="273">
        <f>+BSGFws!J39</f>
        <v>0</v>
      </c>
      <c r="L47" s="273"/>
      <c r="M47" s="273">
        <f t="shared" si="3"/>
        <v>77</v>
      </c>
    </row>
    <row r="48" spans="1:13" s="253" customFormat="1" ht="9.9499999999999993" hidden="1" customHeight="1" x14ac:dyDescent="0.2">
      <c r="A48" s="426" t="s">
        <v>691</v>
      </c>
      <c r="B48" s="273"/>
      <c r="C48" s="273"/>
      <c r="D48" s="273"/>
      <c r="E48" s="273">
        <f>+BSGFws!G40</f>
        <v>0</v>
      </c>
      <c r="F48" s="273"/>
      <c r="G48" s="273">
        <f>+BSGFws!H40</f>
        <v>0</v>
      </c>
      <c r="H48" s="362"/>
      <c r="I48" s="273">
        <f>BSGFws!I40</f>
        <v>0</v>
      </c>
      <c r="J48" s="273"/>
      <c r="K48" s="273">
        <f>+BSGFws!J40</f>
        <v>0</v>
      </c>
      <c r="L48" s="273"/>
      <c r="M48" s="273">
        <f t="shared" si="3"/>
        <v>0</v>
      </c>
    </row>
    <row r="49" spans="1:13" s="253" customFormat="1" ht="9.9499999999999993" customHeight="1" x14ac:dyDescent="0.2">
      <c r="A49" s="426" t="s">
        <v>692</v>
      </c>
      <c r="B49" s="273"/>
      <c r="C49" s="273"/>
      <c r="D49" s="273"/>
      <c r="E49" s="273">
        <f>+BSGFws!G41</f>
        <v>0</v>
      </c>
      <c r="F49" s="273"/>
      <c r="G49" s="273">
        <f>+BSGFws!H41</f>
        <v>0</v>
      </c>
      <c r="H49" s="362"/>
      <c r="I49" s="273">
        <f>BSGFws!I41</f>
        <v>3667</v>
      </c>
      <c r="J49" s="273"/>
      <c r="K49" s="273">
        <f>+BSGFws!J41</f>
        <v>0</v>
      </c>
      <c r="L49" s="273"/>
      <c r="M49" s="273">
        <f t="shared" si="3"/>
        <v>3667</v>
      </c>
    </row>
    <row r="50" spans="1:13" s="253" customFormat="1" ht="9.9499999999999993" hidden="1" customHeight="1" x14ac:dyDescent="0.2">
      <c r="A50" s="426" t="s">
        <v>848</v>
      </c>
      <c r="B50" s="273"/>
      <c r="C50" s="273"/>
      <c r="D50" s="273"/>
      <c r="E50" s="273">
        <f>BSGFws!G42</f>
        <v>0</v>
      </c>
      <c r="F50" s="273"/>
      <c r="G50" s="273">
        <f>BSGFws!H42</f>
        <v>0</v>
      </c>
      <c r="H50" s="362"/>
      <c r="I50" s="273">
        <f>BSGFws!I42</f>
        <v>0</v>
      </c>
      <c r="J50" s="273"/>
      <c r="K50" s="273">
        <f>BSGFws!K42</f>
        <v>0</v>
      </c>
      <c r="L50" s="273"/>
      <c r="M50" s="273">
        <f t="shared" si="3"/>
        <v>0</v>
      </c>
    </row>
    <row r="51" spans="1:13" s="253" customFormat="1" ht="9.9499999999999993" customHeight="1" x14ac:dyDescent="0.2">
      <c r="A51" s="426" t="s">
        <v>604</v>
      </c>
      <c r="B51" s="273"/>
      <c r="C51" s="273"/>
      <c r="D51" s="273"/>
      <c r="E51" s="273">
        <f>+BSGFws!G43</f>
        <v>90</v>
      </c>
      <c r="F51" s="273"/>
      <c r="G51" s="273">
        <f>+BSGFws!H43</f>
        <v>0</v>
      </c>
      <c r="H51" s="362"/>
      <c r="I51" s="273">
        <f>+BSGFws!I43</f>
        <v>0</v>
      </c>
      <c r="J51" s="273"/>
      <c r="K51" s="273">
        <f>+BSGFws!J43</f>
        <v>0</v>
      </c>
      <c r="L51" s="273"/>
      <c r="M51" s="273">
        <f t="shared" si="3"/>
        <v>90</v>
      </c>
    </row>
    <row r="52" spans="1:13" s="253" customFormat="1" ht="9.9499999999999993" customHeight="1" x14ac:dyDescent="0.2">
      <c r="A52" s="426" t="s">
        <v>593</v>
      </c>
      <c r="B52" s="273"/>
      <c r="C52" s="273"/>
      <c r="D52" s="273"/>
      <c r="E52" s="273">
        <f>+BSGFws!G44</f>
        <v>0</v>
      </c>
      <c r="F52" s="273"/>
      <c r="G52" s="273">
        <f>+BSGFws!H44</f>
        <v>0</v>
      </c>
      <c r="H52" s="362"/>
      <c r="I52" s="273"/>
      <c r="J52" s="273"/>
      <c r="K52" s="273">
        <f>+BSGFws!J44</f>
        <v>0</v>
      </c>
      <c r="L52" s="273"/>
      <c r="M52" s="273">
        <f t="shared" si="3"/>
        <v>0</v>
      </c>
    </row>
    <row r="53" spans="1:13" s="253" customFormat="1" ht="5.0999999999999996" customHeight="1" x14ac:dyDescent="0.2">
      <c r="A53" s="425"/>
      <c r="B53" s="254"/>
      <c r="C53" s="340"/>
      <c r="D53" s="254"/>
      <c r="E53" s="340"/>
      <c r="F53" s="254"/>
      <c r="G53" s="340"/>
      <c r="H53" s="362"/>
      <c r="I53" s="340"/>
      <c r="J53" s="254"/>
      <c r="K53" s="340"/>
      <c r="L53" s="254"/>
      <c r="M53" s="366"/>
    </row>
    <row r="54" spans="1:13" s="253" customFormat="1" ht="11.1" customHeight="1" x14ac:dyDescent="0.2">
      <c r="A54" s="428" t="s">
        <v>702</v>
      </c>
      <c r="B54" s="254"/>
      <c r="C54" s="345">
        <f>SUM(C36:C52)</f>
        <v>0</v>
      </c>
      <c r="D54" s="254"/>
      <c r="E54" s="345">
        <f>SUM(E36:E52)</f>
        <v>1083</v>
      </c>
      <c r="F54" s="254"/>
      <c r="G54" s="345">
        <f>SUM(G36:G52)</f>
        <v>78</v>
      </c>
      <c r="H54" s="254"/>
      <c r="I54" s="345">
        <f>SUM(I36:I52)</f>
        <v>5446</v>
      </c>
      <c r="J54" s="254"/>
      <c r="K54" s="273">
        <f>SUM(K36:K52)</f>
        <v>0</v>
      </c>
      <c r="L54" s="254"/>
      <c r="M54" s="345">
        <f>SUM(M36:M52)</f>
        <v>6607</v>
      </c>
    </row>
    <row r="55" spans="1:13" s="253" customFormat="1" ht="5.0999999999999996" customHeight="1" x14ac:dyDescent="0.2">
      <c r="A55" s="428"/>
      <c r="B55" s="254"/>
      <c r="C55" s="254"/>
      <c r="D55" s="254"/>
      <c r="E55" s="254"/>
      <c r="F55" s="254"/>
      <c r="G55" s="254"/>
      <c r="H55" s="509"/>
      <c r="I55" s="254"/>
      <c r="J55" s="254"/>
      <c r="K55" s="366"/>
      <c r="L55" s="254"/>
      <c r="M55" s="254"/>
    </row>
    <row r="56" spans="1:13" s="253" customFormat="1" ht="9.9499999999999993" hidden="1" customHeight="1" x14ac:dyDescent="0.2">
      <c r="A56" s="428"/>
      <c r="B56" s="254"/>
      <c r="C56" s="254"/>
      <c r="D56" s="254"/>
      <c r="E56" s="254"/>
      <c r="F56" s="254"/>
      <c r="G56" s="254"/>
      <c r="H56" s="509"/>
      <c r="I56" s="254"/>
      <c r="J56" s="254"/>
      <c r="K56" s="254"/>
      <c r="L56" s="254"/>
      <c r="M56" s="254"/>
    </row>
    <row r="57" spans="1:13" s="253" customFormat="1" ht="9.9499999999999993" customHeight="1" x14ac:dyDescent="0.2">
      <c r="A57" s="707" t="s">
        <v>1206</v>
      </c>
      <c r="B57" s="450"/>
      <c r="C57" s="450"/>
      <c r="D57" s="450"/>
      <c r="E57" s="450">
        <f>BSGFws!G47</f>
        <v>11085</v>
      </c>
      <c r="F57" s="450"/>
      <c r="G57" s="450">
        <f>BSGFws!H47</f>
        <v>0</v>
      </c>
      <c r="H57" s="450"/>
      <c r="I57" s="450">
        <f>BSGFws!I47</f>
        <v>30920</v>
      </c>
      <c r="J57" s="450"/>
      <c r="K57" s="450">
        <f>BSGFws!J47</f>
        <v>0</v>
      </c>
      <c r="L57" s="450"/>
      <c r="M57" s="450">
        <f>SUM(C57:K57)</f>
        <v>42005</v>
      </c>
    </row>
    <row r="58" spans="1:13" s="253" customFormat="1" ht="5.0999999999999996" customHeight="1" x14ac:dyDescent="0.2">
      <c r="A58" s="428"/>
      <c r="B58" s="254"/>
      <c r="C58" s="366"/>
      <c r="D58" s="254"/>
      <c r="E58" s="366"/>
      <c r="F58" s="254"/>
      <c r="G58" s="366"/>
      <c r="H58" s="254"/>
      <c r="I58" s="366"/>
      <c r="J58" s="254"/>
      <c r="K58" s="366"/>
      <c r="L58" s="254"/>
      <c r="M58" s="366"/>
    </row>
    <row r="59" spans="1:13" s="253" customFormat="1" ht="9.9499999999999993" hidden="1" customHeight="1" x14ac:dyDescent="0.2">
      <c r="A59" s="428"/>
      <c r="B59" s="254"/>
      <c r="C59" s="254"/>
      <c r="D59" s="254"/>
      <c r="E59" s="254"/>
      <c r="F59" s="254"/>
      <c r="G59" s="254"/>
      <c r="H59" s="509"/>
      <c r="I59" s="254"/>
      <c r="J59" s="254"/>
      <c r="K59" s="254"/>
      <c r="L59" s="254"/>
      <c r="M59" s="254"/>
    </row>
    <row r="60" spans="1:13" s="253" customFormat="1" ht="9.9499999999999993" customHeight="1" x14ac:dyDescent="0.2">
      <c r="A60" s="428" t="s">
        <v>1480</v>
      </c>
      <c r="B60" s="254"/>
      <c r="C60" s="273"/>
      <c r="D60" s="254"/>
      <c r="E60" s="273"/>
      <c r="F60" s="254"/>
      <c r="G60" s="273"/>
      <c r="H60" s="509"/>
      <c r="I60" s="273"/>
      <c r="J60" s="254"/>
      <c r="K60" s="273"/>
      <c r="L60" s="254"/>
      <c r="M60" s="254"/>
    </row>
    <row r="61" spans="1:13" s="253" customFormat="1" ht="9.9499999999999993" customHeight="1" x14ac:dyDescent="0.2">
      <c r="A61" s="776" t="s">
        <v>392</v>
      </c>
      <c r="B61" s="254"/>
      <c r="C61" s="273"/>
      <c r="D61" s="254"/>
      <c r="E61" s="273">
        <f>+BSGFws!G50</f>
        <v>0</v>
      </c>
      <c r="F61" s="254"/>
      <c r="G61" s="273">
        <f>BSGFws!H50</f>
        <v>0</v>
      </c>
      <c r="H61" s="362"/>
      <c r="I61" s="273">
        <f>BSGFws!I50</f>
        <v>0</v>
      </c>
      <c r="J61" s="254"/>
      <c r="K61" s="273">
        <f>+BSGFws!J50</f>
        <v>0</v>
      </c>
      <c r="L61" s="254"/>
      <c r="M61" s="273">
        <f>SUM(B61:K61)</f>
        <v>0</v>
      </c>
    </row>
    <row r="62" spans="1:13" s="253" customFormat="1" ht="9.9499999999999993" customHeight="1" x14ac:dyDescent="0.2">
      <c r="A62" s="776" t="s">
        <v>789</v>
      </c>
      <c r="B62" s="254"/>
      <c r="C62" s="273">
        <f>BSGFws!F51</f>
        <v>0</v>
      </c>
      <c r="D62" s="254"/>
      <c r="E62" s="273">
        <f>+BSGFws!G51</f>
        <v>153</v>
      </c>
      <c r="F62" s="254"/>
      <c r="G62" s="273">
        <f>BSGFws!H51</f>
        <v>5006</v>
      </c>
      <c r="H62" s="362"/>
      <c r="I62" s="273">
        <f>BSGFws!I51</f>
        <v>0</v>
      </c>
      <c r="J62" s="254"/>
      <c r="K62" s="273">
        <f>+BSGFws!J51</f>
        <v>0</v>
      </c>
      <c r="L62" s="254"/>
      <c r="M62" s="273">
        <f>SUM(B62:K62)</f>
        <v>5159</v>
      </c>
    </row>
    <row r="63" spans="1:13" s="253" customFormat="1" ht="9.9499999999999993" hidden="1" customHeight="1" x14ac:dyDescent="0.2">
      <c r="A63" s="776" t="s">
        <v>393</v>
      </c>
      <c r="B63" s="254"/>
      <c r="C63" s="273">
        <f>BSGFws!F52</f>
        <v>0</v>
      </c>
      <c r="D63" s="254"/>
      <c r="E63" s="273">
        <f>+BSGFws!G52</f>
        <v>0</v>
      </c>
      <c r="F63" s="254"/>
      <c r="G63" s="273">
        <f>BSGFws!H52</f>
        <v>0</v>
      </c>
      <c r="H63" s="362"/>
      <c r="I63" s="273">
        <f>BSGFws!I52</f>
        <v>0</v>
      </c>
      <c r="J63" s="254"/>
      <c r="K63" s="273">
        <f>+BSGFws!J52</f>
        <v>0</v>
      </c>
      <c r="L63" s="254"/>
      <c r="M63" s="273">
        <f>SUM(B63:K63)</f>
        <v>0</v>
      </c>
    </row>
    <row r="64" spans="1:13" s="253" customFormat="1" ht="9.9499999999999993" hidden="1" customHeight="1" x14ac:dyDescent="0.2">
      <c r="A64" s="776" t="s">
        <v>394</v>
      </c>
      <c r="B64" s="254"/>
      <c r="C64" s="273">
        <f>BSGFws!F53</f>
        <v>0</v>
      </c>
      <c r="D64" s="254"/>
      <c r="E64" s="273">
        <f>+BSGFws!G53</f>
        <v>0</v>
      </c>
      <c r="F64" s="254"/>
      <c r="G64" s="273">
        <f>BSGFws!H53</f>
        <v>0</v>
      </c>
      <c r="H64" s="362"/>
      <c r="I64" s="273">
        <f>BSGFws!I53</f>
        <v>0</v>
      </c>
      <c r="J64" s="254"/>
      <c r="K64" s="273">
        <f>+BSGFws!J53</f>
        <v>0</v>
      </c>
      <c r="L64" s="254"/>
      <c r="M64" s="273">
        <f>SUM(B64:K64)</f>
        <v>0</v>
      </c>
    </row>
    <row r="65" spans="1:32" s="253" customFormat="1" ht="9.9499999999999993" customHeight="1" x14ac:dyDescent="0.2">
      <c r="A65" s="776" t="s">
        <v>395</v>
      </c>
      <c r="B65" s="254"/>
      <c r="C65" s="273"/>
      <c r="D65" s="254"/>
      <c r="E65" s="273">
        <f>+BSGFws!G54</f>
        <v>0</v>
      </c>
      <c r="F65" s="254"/>
      <c r="G65" s="273">
        <f>BSGFws!H54</f>
        <v>0</v>
      </c>
      <c r="H65" s="362"/>
      <c r="I65" s="273">
        <f>BSGFws!I54</f>
        <v>-325</v>
      </c>
      <c r="J65" s="254"/>
      <c r="K65" s="273">
        <f>+BSGFws!J54</f>
        <v>0</v>
      </c>
      <c r="L65" s="254"/>
      <c r="M65" s="273">
        <f>SUM(B65:K65)</f>
        <v>-325</v>
      </c>
    </row>
    <row r="66" spans="1:32" s="253" customFormat="1" ht="5.0999999999999996" customHeight="1" x14ac:dyDescent="0.2">
      <c r="A66" s="425"/>
      <c r="B66" s="254"/>
      <c r="C66" s="340"/>
      <c r="D66" s="254"/>
      <c r="E66" s="340"/>
      <c r="F66" s="254"/>
      <c r="G66" s="340"/>
      <c r="H66" s="362"/>
      <c r="I66" s="340"/>
      <c r="J66" s="254"/>
      <c r="K66" s="340"/>
      <c r="L66" s="254"/>
      <c r="M66" s="366"/>
    </row>
    <row r="67" spans="1:32" s="253" customFormat="1" ht="9.9499999999999993" customHeight="1" x14ac:dyDescent="0.2">
      <c r="A67" s="428" t="s">
        <v>1479</v>
      </c>
      <c r="B67" s="273"/>
      <c r="C67" s="273">
        <f>SUM(C61:C65)</f>
        <v>0</v>
      </c>
      <c r="D67" s="273"/>
      <c r="E67" s="273">
        <f>SUM(E61:E65)</f>
        <v>153</v>
      </c>
      <c r="F67" s="273"/>
      <c r="G67" s="273">
        <f>SUM(G61:G65)</f>
        <v>5006</v>
      </c>
      <c r="H67" s="273"/>
      <c r="I67" s="273">
        <f>SUM(I61:I65)</f>
        <v>-325</v>
      </c>
      <c r="J67" s="273"/>
      <c r="K67" s="273">
        <f>SUM(K61:K65)</f>
        <v>0</v>
      </c>
      <c r="L67" s="273"/>
      <c r="M67" s="273">
        <f>SUM(M61:M65)</f>
        <v>4834</v>
      </c>
    </row>
    <row r="68" spans="1:32" s="451" customFormat="1" ht="5.0999999999999996" customHeight="1" x14ac:dyDescent="0.2">
      <c r="A68" s="418"/>
      <c r="B68" s="273"/>
      <c r="C68" s="340"/>
      <c r="D68" s="273"/>
      <c r="E68" s="340"/>
      <c r="F68" s="273"/>
      <c r="G68" s="340"/>
      <c r="H68" s="362"/>
      <c r="I68" s="340"/>
      <c r="J68" s="273"/>
      <c r="K68" s="340"/>
      <c r="L68" s="273"/>
      <c r="M68" s="340"/>
      <c r="N68" s="450"/>
      <c r="O68" s="450"/>
      <c r="P68" s="450"/>
      <c r="Q68" s="450"/>
      <c r="R68" s="450"/>
      <c r="S68" s="450"/>
      <c r="T68" s="450"/>
      <c r="U68" s="450"/>
      <c r="V68" s="450"/>
      <c r="W68" s="450"/>
      <c r="X68" s="450"/>
      <c r="Y68" s="450"/>
      <c r="Z68" s="450"/>
      <c r="AA68" s="450"/>
      <c r="AB68" s="450"/>
      <c r="AC68" s="450"/>
      <c r="AD68" s="450"/>
      <c r="AE68" s="450"/>
      <c r="AF68" s="450"/>
    </row>
    <row r="69" spans="1:32" s="253" customFormat="1" ht="24.75" thickBot="1" x14ac:dyDescent="0.25">
      <c r="A69" s="1241" t="s">
        <v>1753</v>
      </c>
      <c r="B69" s="1068"/>
      <c r="C69" s="1242">
        <f>+C54+C67+C57</f>
        <v>0</v>
      </c>
      <c r="D69" s="1068"/>
      <c r="E69" s="1242">
        <f>+E54+E67+E57</f>
        <v>12321</v>
      </c>
      <c r="F69" s="1068"/>
      <c r="G69" s="1242">
        <f>+G54+G67+G57</f>
        <v>5084</v>
      </c>
      <c r="H69" s="1068"/>
      <c r="I69" s="1242">
        <f>+I54+I67+I57</f>
        <v>36041</v>
      </c>
      <c r="J69" s="1068"/>
      <c r="K69" s="1242">
        <f>+K54+K67+K57</f>
        <v>0</v>
      </c>
      <c r="L69" s="1068"/>
      <c r="M69" s="1242">
        <f>+M54+M67+M57</f>
        <v>53446</v>
      </c>
    </row>
    <row r="70" spans="1:32" s="253" customFormat="1" ht="9.9499999999999993" customHeight="1" thickTop="1" x14ac:dyDescent="0.2">
      <c r="H70" s="362"/>
    </row>
    <row r="71" spans="1:32" s="253" customFormat="1" ht="9.9499999999999993" customHeight="1" x14ac:dyDescent="0.2">
      <c r="H71" s="362"/>
      <c r="J71" s="362"/>
      <c r="L71" s="362"/>
    </row>
    <row r="72" spans="1:32" s="511" customFormat="1" ht="9.9499999999999993" customHeight="1" x14ac:dyDescent="0.2">
      <c r="C72" s="511">
        <f>C32-C69</f>
        <v>0</v>
      </c>
      <c r="E72" s="511">
        <f>E32-E69</f>
        <v>0</v>
      </c>
      <c r="G72" s="511">
        <f>G32-G69</f>
        <v>0</v>
      </c>
      <c r="H72" s="512"/>
      <c r="I72" s="511">
        <f>I32-I69</f>
        <v>0</v>
      </c>
      <c r="J72" s="512"/>
      <c r="K72" s="511">
        <f>K32-K69</f>
        <v>0</v>
      </c>
      <c r="L72" s="512"/>
      <c r="M72" s="511">
        <f>M32-M69</f>
        <v>0</v>
      </c>
    </row>
    <row r="73" spans="1:32" s="247" customFormat="1" ht="9.9499999999999993" customHeight="1" x14ac:dyDescent="0.2">
      <c r="B73" s="298"/>
      <c r="C73" s="298"/>
      <c r="D73" s="298"/>
      <c r="F73" s="298"/>
      <c r="L73" s="298"/>
    </row>
    <row r="74" spans="1:32" s="247" customFormat="1" ht="9.9499999999999993" customHeight="1" x14ac:dyDescent="0.2">
      <c r="B74" s="298"/>
      <c r="C74" s="298"/>
      <c r="D74" s="298"/>
      <c r="F74" s="298"/>
      <c r="L74" s="298"/>
    </row>
    <row r="75" spans="1:32" s="247" customFormat="1" ht="9.9499999999999993" customHeight="1" x14ac:dyDescent="0.2">
      <c r="B75" s="298"/>
      <c r="C75" s="511">
        <f>+C25+C27-C61+C26</f>
        <v>0</v>
      </c>
      <c r="D75" s="298"/>
      <c r="E75" s="511">
        <f>+E25+E27-E61+E26</f>
        <v>0</v>
      </c>
      <c r="F75" s="298"/>
      <c r="G75" s="511">
        <f>+G25+G27-G61+G26</f>
        <v>0</v>
      </c>
      <c r="I75" s="511">
        <f>+I25+I27-I61+I26</f>
        <v>0</v>
      </c>
      <c r="K75" s="511">
        <f>+K25+K26-K61</f>
        <v>0</v>
      </c>
      <c r="L75" s="298"/>
      <c r="M75" s="511">
        <f>+M25+M27-M61+M26</f>
        <v>0</v>
      </c>
    </row>
    <row r="76" spans="1:32" s="247" customFormat="1" ht="9.9499999999999993" customHeight="1" x14ac:dyDescent="0.2">
      <c r="B76" s="298"/>
      <c r="C76" s="298"/>
      <c r="D76" s="298"/>
      <c r="F76" s="298"/>
      <c r="L76" s="298"/>
    </row>
    <row r="77" spans="1:32" s="247" customFormat="1" ht="9.9499999999999993" customHeight="1" x14ac:dyDescent="0.2">
      <c r="B77" s="298"/>
      <c r="C77" s="298"/>
      <c r="D77" s="298"/>
      <c r="F77" s="298"/>
      <c r="L77" s="298"/>
    </row>
    <row r="78" spans="1:32" s="247" customFormat="1" ht="9.9499999999999993" customHeight="1" x14ac:dyDescent="0.2">
      <c r="B78" s="298"/>
      <c r="C78" s="298"/>
      <c r="D78" s="298"/>
      <c r="F78" s="298"/>
      <c r="L78" s="298"/>
    </row>
    <row r="79" spans="1:32" s="247" customFormat="1" ht="9.9499999999999993" customHeight="1" x14ac:dyDescent="0.2">
      <c r="B79" s="298"/>
      <c r="C79" s="298"/>
      <c r="D79" s="298"/>
      <c r="F79" s="298"/>
      <c r="L79" s="298"/>
    </row>
    <row r="80" spans="1:32" s="326" customFormat="1" ht="9.9499999999999993" customHeight="1" x14ac:dyDescent="0.2">
      <c r="B80" s="327"/>
      <c r="C80" s="327"/>
      <c r="D80" s="327"/>
      <c r="F80" s="327"/>
      <c r="L80" s="327"/>
    </row>
    <row r="81" spans="2:12" s="326" customFormat="1" ht="9.9499999999999993" customHeight="1" x14ac:dyDescent="0.2">
      <c r="B81" s="327"/>
      <c r="C81" s="327"/>
      <c r="D81" s="327"/>
      <c r="F81" s="327"/>
      <c r="L81" s="327"/>
    </row>
    <row r="82" spans="2:12" s="326" customFormat="1" ht="9.9499999999999993" customHeight="1" x14ac:dyDescent="0.2">
      <c r="B82" s="327"/>
      <c r="C82" s="327"/>
      <c r="D82" s="327"/>
      <c r="F82" s="327"/>
      <c r="L82" s="327"/>
    </row>
    <row r="83" spans="2:12" s="326" customFormat="1" ht="9.9499999999999993" customHeight="1" x14ac:dyDescent="0.2">
      <c r="B83" s="327"/>
      <c r="C83" s="327"/>
      <c r="D83" s="327"/>
      <c r="F83" s="327"/>
      <c r="L83" s="327"/>
    </row>
    <row r="84" spans="2:12" s="326" customFormat="1" ht="9.9499999999999993" customHeight="1" x14ac:dyDescent="0.2">
      <c r="B84" s="327"/>
      <c r="C84" s="327"/>
      <c r="D84" s="327"/>
      <c r="F84" s="327"/>
      <c r="L84" s="327"/>
    </row>
    <row r="85" spans="2:12" s="326" customFormat="1" ht="9.9499999999999993" customHeight="1" x14ac:dyDescent="0.2">
      <c r="B85" s="327"/>
      <c r="C85" s="327"/>
      <c r="D85" s="327"/>
      <c r="F85" s="327"/>
      <c r="L85" s="327"/>
    </row>
    <row r="86" spans="2:12" s="326" customFormat="1" ht="9.9499999999999993" customHeight="1" x14ac:dyDescent="0.2">
      <c r="B86" s="327"/>
      <c r="C86" s="327"/>
      <c r="D86" s="327"/>
      <c r="F86" s="327"/>
      <c r="L86" s="327"/>
    </row>
    <row r="87" spans="2:12" s="326" customFormat="1" ht="9.9499999999999993" customHeight="1" x14ac:dyDescent="0.2">
      <c r="B87" s="327"/>
      <c r="C87" s="327"/>
      <c r="D87" s="327"/>
      <c r="F87" s="327"/>
      <c r="L87" s="327"/>
    </row>
    <row r="88" spans="2:12" s="326" customFormat="1" ht="9.9499999999999993" customHeight="1" x14ac:dyDescent="0.2">
      <c r="B88" s="327"/>
      <c r="C88" s="327"/>
      <c r="D88" s="327"/>
      <c r="F88" s="327"/>
      <c r="L88" s="327"/>
    </row>
    <row r="89" spans="2:12" s="326" customFormat="1" ht="9.9499999999999993" customHeight="1" x14ac:dyDescent="0.2">
      <c r="B89" s="327"/>
      <c r="C89" s="327"/>
      <c r="D89" s="327"/>
      <c r="F89" s="327"/>
      <c r="L89" s="327"/>
    </row>
    <row r="90" spans="2:12" s="326" customFormat="1" ht="9.9499999999999993" customHeight="1" x14ac:dyDescent="0.2">
      <c r="B90" s="327"/>
      <c r="C90" s="327"/>
      <c r="D90" s="327"/>
      <c r="F90" s="327"/>
      <c r="L90" s="327"/>
    </row>
    <row r="91" spans="2:12" s="326" customFormat="1" ht="9.9499999999999993" customHeight="1" x14ac:dyDescent="0.2">
      <c r="B91" s="327"/>
      <c r="C91" s="327"/>
      <c r="D91" s="327"/>
      <c r="F91" s="327"/>
      <c r="L91" s="327"/>
    </row>
    <row r="92" spans="2:12" s="326" customFormat="1" ht="9.9499999999999993" customHeight="1" x14ac:dyDescent="0.2">
      <c r="B92" s="327"/>
      <c r="C92" s="327"/>
      <c r="D92" s="327"/>
      <c r="F92" s="327"/>
      <c r="L92" s="327"/>
    </row>
    <row r="93" spans="2:12" s="326" customFormat="1" ht="9.9499999999999993" customHeight="1" x14ac:dyDescent="0.2">
      <c r="B93" s="327"/>
      <c r="C93" s="327"/>
      <c r="D93" s="327"/>
      <c r="F93" s="327"/>
      <c r="L93" s="327"/>
    </row>
    <row r="94" spans="2:12" s="326" customFormat="1" ht="9.9499999999999993" customHeight="1" x14ac:dyDescent="0.2">
      <c r="B94" s="327"/>
      <c r="C94" s="327"/>
      <c r="D94" s="327"/>
      <c r="F94" s="327"/>
      <c r="L94" s="327"/>
    </row>
    <row r="95" spans="2:12" s="326" customFormat="1" ht="9.9499999999999993" customHeight="1" x14ac:dyDescent="0.2">
      <c r="B95" s="327"/>
      <c r="C95" s="327"/>
      <c r="D95" s="327"/>
      <c r="F95" s="327"/>
      <c r="L95" s="327"/>
    </row>
    <row r="96" spans="2:12" s="326" customFormat="1" ht="9.9499999999999993" customHeight="1" x14ac:dyDescent="0.2">
      <c r="B96" s="327"/>
      <c r="C96" s="327"/>
      <c r="D96" s="327"/>
      <c r="F96" s="327"/>
      <c r="L96" s="327"/>
    </row>
    <row r="97" spans="2:12" s="326" customFormat="1" ht="9.9499999999999993" customHeight="1" x14ac:dyDescent="0.2">
      <c r="B97" s="327"/>
      <c r="C97" s="327"/>
      <c r="D97" s="327"/>
      <c r="F97" s="327"/>
      <c r="L97" s="327"/>
    </row>
    <row r="98" spans="2:12" s="326" customFormat="1" ht="9.9499999999999993" customHeight="1" x14ac:dyDescent="0.2">
      <c r="B98" s="327"/>
      <c r="C98" s="327"/>
      <c r="D98" s="327"/>
      <c r="F98" s="327"/>
      <c r="L98" s="327"/>
    </row>
    <row r="99" spans="2:12" s="326" customFormat="1" ht="9.9499999999999993" customHeight="1" x14ac:dyDescent="0.2">
      <c r="B99" s="327"/>
      <c r="C99" s="327"/>
      <c r="D99" s="327"/>
      <c r="F99" s="327"/>
      <c r="L99" s="327"/>
    </row>
    <row r="100" spans="2:12" s="326" customFormat="1" ht="9.9499999999999993" customHeight="1" x14ac:dyDescent="0.2">
      <c r="B100" s="327"/>
      <c r="C100" s="327"/>
      <c r="D100" s="327"/>
      <c r="F100" s="327"/>
      <c r="L100" s="327"/>
    </row>
    <row r="101" spans="2:12" s="326" customFormat="1" ht="9.9499999999999993" customHeight="1" x14ac:dyDescent="0.2">
      <c r="B101" s="327"/>
      <c r="C101" s="327"/>
      <c r="D101" s="327"/>
      <c r="F101" s="327"/>
      <c r="L101" s="327"/>
    </row>
    <row r="102" spans="2:12" s="326" customFormat="1" ht="9.9499999999999993" customHeight="1" x14ac:dyDescent="0.2">
      <c r="B102" s="327"/>
      <c r="C102" s="327"/>
      <c r="D102" s="327"/>
      <c r="F102" s="327"/>
      <c r="L102" s="327"/>
    </row>
    <row r="103" spans="2:12" s="326" customFormat="1" ht="9.9499999999999993" customHeight="1" x14ac:dyDescent="0.2">
      <c r="B103" s="327"/>
      <c r="C103" s="327"/>
      <c r="D103" s="327"/>
      <c r="F103" s="327"/>
      <c r="L103" s="327"/>
    </row>
    <row r="104" spans="2:12" s="326" customFormat="1" ht="9.9499999999999993" customHeight="1" x14ac:dyDescent="0.2">
      <c r="B104" s="327"/>
      <c r="C104" s="327"/>
      <c r="D104" s="327"/>
      <c r="F104" s="327"/>
      <c r="L104" s="327"/>
    </row>
    <row r="105" spans="2:12" s="326" customFormat="1" ht="9.9499999999999993" customHeight="1" x14ac:dyDescent="0.2">
      <c r="B105" s="327"/>
      <c r="C105" s="327"/>
      <c r="D105" s="327"/>
      <c r="F105" s="327"/>
      <c r="L105" s="327"/>
    </row>
    <row r="106" spans="2:12" s="326" customFormat="1" ht="9.9499999999999993" customHeight="1" x14ac:dyDescent="0.2">
      <c r="B106" s="327"/>
      <c r="C106" s="327"/>
      <c r="D106" s="327"/>
      <c r="F106" s="327"/>
      <c r="L106" s="327"/>
    </row>
    <row r="107" spans="2:12" s="326" customFormat="1" ht="9.9499999999999993" customHeight="1" x14ac:dyDescent="0.2">
      <c r="B107" s="327"/>
      <c r="C107" s="327"/>
      <c r="D107" s="327"/>
      <c r="F107" s="327"/>
      <c r="L107" s="327"/>
    </row>
    <row r="108" spans="2:12" s="326" customFormat="1" ht="9.9499999999999993" customHeight="1" x14ac:dyDescent="0.2">
      <c r="B108" s="327"/>
      <c r="C108" s="327"/>
      <c r="D108" s="327"/>
      <c r="F108" s="327"/>
      <c r="L108" s="327"/>
    </row>
    <row r="109" spans="2:12" s="326" customFormat="1" ht="9.9499999999999993" customHeight="1" x14ac:dyDescent="0.2">
      <c r="B109" s="327"/>
      <c r="C109" s="327"/>
      <c r="D109" s="327"/>
      <c r="F109" s="327"/>
      <c r="L109" s="327"/>
    </row>
    <row r="110" spans="2:12" s="326" customFormat="1" ht="9.9499999999999993" customHeight="1" x14ac:dyDescent="0.2">
      <c r="B110" s="327"/>
      <c r="C110" s="327"/>
      <c r="D110" s="327"/>
      <c r="F110" s="327"/>
      <c r="L110" s="327"/>
    </row>
    <row r="111" spans="2:12" s="326" customFormat="1" ht="9.9499999999999993" customHeight="1" x14ac:dyDescent="0.2">
      <c r="B111" s="327"/>
      <c r="C111" s="327"/>
      <c r="D111" s="327"/>
      <c r="F111" s="327"/>
      <c r="L111" s="327"/>
    </row>
    <row r="112" spans="2:12" s="326" customFormat="1" ht="9.9499999999999993" customHeight="1" x14ac:dyDescent="0.2">
      <c r="B112" s="327"/>
      <c r="C112" s="327"/>
      <c r="D112" s="327"/>
      <c r="F112" s="327"/>
      <c r="L112" s="327"/>
    </row>
    <row r="113" spans="2:12" s="326" customFormat="1" ht="9.9499999999999993" customHeight="1" x14ac:dyDescent="0.2">
      <c r="B113" s="327"/>
      <c r="C113" s="327"/>
      <c r="D113" s="327"/>
      <c r="F113" s="327"/>
      <c r="L113" s="327"/>
    </row>
    <row r="114" spans="2:12" s="326" customFormat="1" ht="9.9499999999999993" customHeight="1" x14ac:dyDescent="0.2">
      <c r="B114" s="327"/>
      <c r="C114" s="327"/>
      <c r="D114" s="327"/>
      <c r="F114" s="327"/>
      <c r="L114" s="327"/>
    </row>
    <row r="115" spans="2:12" s="326" customFormat="1" ht="9.9499999999999993" customHeight="1" x14ac:dyDescent="0.2">
      <c r="B115" s="327"/>
      <c r="C115" s="327"/>
      <c r="D115" s="327"/>
      <c r="F115" s="327"/>
      <c r="L115" s="327"/>
    </row>
    <row r="116" spans="2:12" s="326" customFormat="1" ht="9.9499999999999993" customHeight="1" x14ac:dyDescent="0.2">
      <c r="B116" s="327"/>
      <c r="C116" s="327"/>
      <c r="D116" s="327"/>
      <c r="F116" s="327"/>
      <c r="L116" s="327"/>
    </row>
    <row r="117" spans="2:12" s="326" customFormat="1" ht="9.9499999999999993" customHeight="1" x14ac:dyDescent="0.2">
      <c r="B117" s="327"/>
      <c r="C117" s="327"/>
      <c r="D117" s="327"/>
      <c r="F117" s="327"/>
      <c r="L117" s="327"/>
    </row>
    <row r="118" spans="2:12" s="326" customFormat="1" ht="9.9499999999999993" customHeight="1" x14ac:dyDescent="0.2">
      <c r="B118" s="327"/>
      <c r="C118" s="327"/>
      <c r="D118" s="327"/>
      <c r="F118" s="327"/>
      <c r="L118" s="327"/>
    </row>
    <row r="119" spans="2:12" s="326" customFormat="1" ht="9.9499999999999993" customHeight="1" x14ac:dyDescent="0.2">
      <c r="B119" s="327"/>
      <c r="C119" s="327"/>
      <c r="D119" s="327"/>
      <c r="F119" s="327"/>
      <c r="L119" s="327"/>
    </row>
    <row r="120" spans="2:12" s="326" customFormat="1" ht="9.9499999999999993" customHeight="1" x14ac:dyDescent="0.2">
      <c r="B120" s="327"/>
      <c r="C120" s="327"/>
      <c r="D120" s="327"/>
      <c r="F120" s="327"/>
      <c r="L120" s="327"/>
    </row>
    <row r="121" spans="2:12" s="326" customFormat="1" ht="9.9499999999999993" customHeight="1" x14ac:dyDescent="0.2">
      <c r="B121" s="327"/>
      <c r="C121" s="327"/>
      <c r="D121" s="327"/>
      <c r="F121" s="327"/>
      <c r="L121" s="327"/>
    </row>
    <row r="122" spans="2:12" s="326" customFormat="1" ht="9.9499999999999993" customHeight="1" x14ac:dyDescent="0.2">
      <c r="B122" s="327"/>
      <c r="C122" s="327"/>
      <c r="D122" s="327"/>
      <c r="E122" s="326">
        <v>21</v>
      </c>
      <c r="F122" s="327"/>
      <c r="L122" s="327"/>
    </row>
    <row r="123" spans="2:12" s="326" customFormat="1" ht="9.9499999999999993" customHeight="1" x14ac:dyDescent="0.2">
      <c r="B123" s="327"/>
      <c r="C123" s="327"/>
      <c r="D123" s="327"/>
      <c r="F123" s="327"/>
      <c r="L123" s="327"/>
    </row>
    <row r="124" spans="2:12" s="326" customFormat="1" ht="9.9499999999999993" customHeight="1" x14ac:dyDescent="0.2">
      <c r="B124" s="327"/>
      <c r="C124" s="327"/>
      <c r="D124" s="327"/>
      <c r="F124" s="327"/>
      <c r="L124" s="327"/>
    </row>
    <row r="125" spans="2:12" s="326" customFormat="1" ht="9.9499999999999993" customHeight="1" x14ac:dyDescent="0.2">
      <c r="B125" s="327"/>
      <c r="C125" s="327"/>
      <c r="D125" s="327"/>
      <c r="F125" s="327"/>
      <c r="L125" s="327"/>
    </row>
    <row r="126" spans="2:12" s="326" customFormat="1" ht="9.9499999999999993" customHeight="1" x14ac:dyDescent="0.2">
      <c r="B126" s="327"/>
      <c r="C126" s="327"/>
      <c r="D126" s="327"/>
      <c r="F126" s="327"/>
      <c r="L126" s="327"/>
    </row>
    <row r="127" spans="2:12" s="326" customFormat="1" ht="9.9499999999999993" customHeight="1" x14ac:dyDescent="0.2">
      <c r="B127" s="327"/>
      <c r="C127" s="327"/>
      <c r="D127" s="327"/>
      <c r="F127" s="327"/>
      <c r="L127" s="327"/>
    </row>
    <row r="128" spans="2:12" s="326" customFormat="1" ht="9.9499999999999993" customHeight="1" x14ac:dyDescent="0.2">
      <c r="B128" s="327"/>
      <c r="C128" s="327"/>
      <c r="D128" s="327"/>
      <c r="F128" s="327"/>
      <c r="L128" s="327"/>
    </row>
    <row r="129" spans="2:12" s="326" customFormat="1" ht="9.9499999999999993" customHeight="1" x14ac:dyDescent="0.2">
      <c r="B129" s="327"/>
      <c r="C129" s="327"/>
      <c r="D129" s="327"/>
      <c r="F129" s="327"/>
      <c r="L129" s="327"/>
    </row>
    <row r="130" spans="2:12" s="326" customFormat="1" ht="9.9499999999999993" customHeight="1" x14ac:dyDescent="0.2">
      <c r="B130" s="327"/>
      <c r="C130" s="327"/>
      <c r="D130" s="327"/>
      <c r="F130" s="327"/>
      <c r="L130" s="327"/>
    </row>
    <row r="131" spans="2:12" s="326" customFormat="1" ht="9.9499999999999993" customHeight="1" x14ac:dyDescent="0.2">
      <c r="B131" s="327"/>
      <c r="C131" s="327"/>
      <c r="D131" s="327"/>
      <c r="F131" s="327"/>
      <c r="L131" s="327"/>
    </row>
    <row r="132" spans="2:12" s="326" customFormat="1" ht="9.9499999999999993" customHeight="1" x14ac:dyDescent="0.2">
      <c r="B132" s="327"/>
      <c r="C132" s="327"/>
      <c r="D132" s="327"/>
      <c r="F132" s="327"/>
      <c r="L132" s="327"/>
    </row>
    <row r="133" spans="2:12" s="326" customFormat="1" ht="9.9499999999999993" customHeight="1" x14ac:dyDescent="0.2">
      <c r="B133" s="327"/>
      <c r="C133" s="327"/>
      <c r="D133" s="327"/>
      <c r="F133" s="327"/>
      <c r="L133" s="327"/>
    </row>
    <row r="134" spans="2:12" s="326" customFormat="1" ht="9.9499999999999993" customHeight="1" x14ac:dyDescent="0.2">
      <c r="B134" s="327"/>
      <c r="C134" s="327"/>
      <c r="D134" s="327"/>
      <c r="F134" s="327"/>
      <c r="L134" s="327"/>
    </row>
    <row r="135" spans="2:12" s="326" customFormat="1" ht="9.9499999999999993" customHeight="1" x14ac:dyDescent="0.2">
      <c r="B135" s="327"/>
      <c r="C135" s="327"/>
      <c r="D135" s="327"/>
      <c r="F135" s="327"/>
      <c r="L135" s="327"/>
    </row>
    <row r="136" spans="2:12" s="326" customFormat="1" ht="9.9499999999999993" customHeight="1" x14ac:dyDescent="0.2">
      <c r="B136" s="327"/>
      <c r="C136" s="327"/>
      <c r="D136" s="327"/>
      <c r="F136" s="327"/>
      <c r="L136" s="327"/>
    </row>
    <row r="137" spans="2:12" s="326" customFormat="1" ht="9.9499999999999993" customHeight="1" x14ac:dyDescent="0.2">
      <c r="B137" s="327"/>
      <c r="C137" s="327"/>
      <c r="D137" s="327"/>
      <c r="F137" s="327"/>
      <c r="L137" s="327"/>
    </row>
    <row r="138" spans="2:12" s="326" customFormat="1" ht="9.9499999999999993" customHeight="1" x14ac:dyDescent="0.2">
      <c r="B138" s="327"/>
      <c r="C138" s="327"/>
      <c r="D138" s="327"/>
      <c r="F138" s="327"/>
      <c r="L138" s="327"/>
    </row>
    <row r="139" spans="2:12" s="326" customFormat="1" ht="9.9499999999999993" customHeight="1" x14ac:dyDescent="0.2">
      <c r="B139" s="327"/>
      <c r="C139" s="327"/>
      <c r="D139" s="327"/>
      <c r="F139" s="327"/>
      <c r="L139" s="327"/>
    </row>
    <row r="140" spans="2:12" s="326" customFormat="1" ht="9.9499999999999993" customHeight="1" x14ac:dyDescent="0.2">
      <c r="B140" s="327"/>
      <c r="C140" s="327"/>
      <c r="D140" s="327"/>
      <c r="F140" s="327"/>
      <c r="L140" s="327"/>
    </row>
    <row r="141" spans="2:12" s="326" customFormat="1" ht="9.9499999999999993" customHeight="1" x14ac:dyDescent="0.2">
      <c r="B141" s="327"/>
      <c r="C141" s="327"/>
      <c r="D141" s="327"/>
      <c r="F141" s="327"/>
      <c r="L141" s="327"/>
    </row>
    <row r="142" spans="2:12" s="326" customFormat="1" ht="9.9499999999999993" customHeight="1" x14ac:dyDescent="0.2">
      <c r="B142" s="327"/>
      <c r="C142" s="327"/>
      <c r="D142" s="327"/>
      <c r="F142" s="327"/>
      <c r="L142" s="327"/>
    </row>
    <row r="143" spans="2:12" s="326" customFormat="1" ht="9.9499999999999993" customHeight="1" x14ac:dyDescent="0.2">
      <c r="B143" s="327"/>
      <c r="C143" s="327"/>
      <c r="D143" s="327"/>
      <c r="F143" s="327"/>
      <c r="L143" s="327"/>
    </row>
    <row r="144" spans="2:12" s="326" customFormat="1" ht="9.9499999999999993" customHeight="1" x14ac:dyDescent="0.2">
      <c r="B144" s="327"/>
      <c r="C144" s="327"/>
      <c r="D144" s="327"/>
      <c r="F144" s="327"/>
      <c r="L144" s="327"/>
    </row>
    <row r="145" spans="2:12" s="326" customFormat="1" ht="9.9499999999999993" customHeight="1" x14ac:dyDescent="0.2">
      <c r="B145" s="327"/>
      <c r="C145" s="327"/>
      <c r="D145" s="327"/>
      <c r="F145" s="327"/>
      <c r="L145" s="327"/>
    </row>
    <row r="146" spans="2:12" s="326" customFormat="1" ht="9.9499999999999993" customHeight="1" x14ac:dyDescent="0.2">
      <c r="B146" s="327"/>
      <c r="C146" s="327"/>
      <c r="D146" s="327"/>
      <c r="F146" s="327"/>
      <c r="L146" s="327"/>
    </row>
    <row r="147" spans="2:12" s="326" customFormat="1" ht="9.9499999999999993" customHeight="1" x14ac:dyDescent="0.2">
      <c r="B147" s="327"/>
      <c r="C147" s="327"/>
      <c r="D147" s="327"/>
      <c r="F147" s="327"/>
      <c r="L147" s="327"/>
    </row>
    <row r="148" spans="2:12" s="326" customFormat="1" ht="9.9499999999999993" customHeight="1" x14ac:dyDescent="0.2">
      <c r="B148" s="327"/>
      <c r="C148" s="327"/>
      <c r="D148" s="327"/>
      <c r="F148" s="327"/>
      <c r="L148" s="327"/>
    </row>
    <row r="149" spans="2:12" s="326" customFormat="1" ht="9.9499999999999993" customHeight="1" x14ac:dyDescent="0.2">
      <c r="B149" s="327"/>
      <c r="C149" s="327"/>
      <c r="D149" s="327"/>
      <c r="F149" s="327"/>
      <c r="L149" s="327"/>
    </row>
    <row r="150" spans="2:12" s="326" customFormat="1" ht="9.9499999999999993" customHeight="1" x14ac:dyDescent="0.2">
      <c r="B150" s="327"/>
      <c r="C150" s="327"/>
      <c r="D150" s="327"/>
      <c r="F150" s="327"/>
      <c r="L150" s="327"/>
    </row>
    <row r="151" spans="2:12" s="326" customFormat="1" ht="9.9499999999999993" customHeight="1" x14ac:dyDescent="0.2">
      <c r="B151" s="327"/>
      <c r="C151" s="327"/>
      <c r="D151" s="327"/>
      <c r="F151" s="327"/>
      <c r="L151" s="327"/>
    </row>
    <row r="152" spans="2:12" s="326" customFormat="1" ht="9.9499999999999993" customHeight="1" x14ac:dyDescent="0.2">
      <c r="B152" s="327"/>
      <c r="C152" s="327"/>
      <c r="D152" s="327"/>
      <c r="F152" s="327"/>
      <c r="L152" s="327"/>
    </row>
    <row r="153" spans="2:12" s="326" customFormat="1" ht="9.9499999999999993" customHeight="1" x14ac:dyDescent="0.2">
      <c r="B153" s="327"/>
      <c r="C153" s="327"/>
      <c r="D153" s="327"/>
      <c r="F153" s="327"/>
      <c r="L153" s="327"/>
    </row>
    <row r="154" spans="2:12" s="326" customFormat="1" ht="9.9499999999999993" customHeight="1" x14ac:dyDescent="0.2">
      <c r="B154" s="327"/>
      <c r="C154" s="327"/>
      <c r="D154" s="327"/>
      <c r="F154" s="327"/>
      <c r="L154" s="327"/>
    </row>
    <row r="155" spans="2:12" s="326" customFormat="1" ht="9.9499999999999993" customHeight="1" x14ac:dyDescent="0.2">
      <c r="B155" s="327"/>
      <c r="C155" s="327"/>
      <c r="D155" s="327"/>
      <c r="F155" s="327"/>
      <c r="L155" s="327"/>
    </row>
    <row r="156" spans="2:12" s="326" customFormat="1" ht="9.9499999999999993" customHeight="1" x14ac:dyDescent="0.2">
      <c r="B156" s="327"/>
      <c r="C156" s="327"/>
      <c r="D156" s="327"/>
      <c r="F156" s="327"/>
      <c r="L156" s="327"/>
    </row>
    <row r="157" spans="2:12" s="326" customFormat="1" ht="9.9499999999999993" customHeight="1" x14ac:dyDescent="0.2">
      <c r="B157" s="327"/>
      <c r="C157" s="327"/>
      <c r="D157" s="327"/>
      <c r="F157" s="327"/>
      <c r="L157" s="327"/>
    </row>
    <row r="158" spans="2:12" s="326" customFormat="1" ht="9.9499999999999993" customHeight="1" x14ac:dyDescent="0.2">
      <c r="B158" s="327"/>
      <c r="C158" s="327"/>
      <c r="D158" s="327"/>
      <c r="F158" s="327"/>
      <c r="L158" s="327"/>
    </row>
    <row r="159" spans="2:12" s="326" customFormat="1" ht="9.9499999999999993" customHeight="1" x14ac:dyDescent="0.2">
      <c r="B159" s="327"/>
      <c r="C159" s="327"/>
      <c r="D159" s="327"/>
      <c r="F159" s="327"/>
      <c r="L159" s="327"/>
    </row>
    <row r="160" spans="2:12" s="326" customFormat="1" ht="9.9499999999999993" customHeight="1" x14ac:dyDescent="0.2">
      <c r="B160" s="327"/>
      <c r="C160" s="327"/>
      <c r="D160" s="327"/>
      <c r="F160" s="327"/>
      <c r="L160" s="327"/>
    </row>
    <row r="161" spans="2:12" s="326" customFormat="1" ht="9.9499999999999993" customHeight="1" x14ac:dyDescent="0.2">
      <c r="B161" s="327"/>
      <c r="C161" s="327"/>
      <c r="D161" s="327"/>
      <c r="F161" s="327"/>
      <c r="L161" s="327"/>
    </row>
    <row r="162" spans="2:12" s="326" customFormat="1" ht="9.9499999999999993" customHeight="1" x14ac:dyDescent="0.2">
      <c r="B162" s="327"/>
      <c r="C162" s="327"/>
      <c r="D162" s="327"/>
      <c r="F162" s="327"/>
      <c r="L162" s="327"/>
    </row>
    <row r="163" spans="2:12" s="326" customFormat="1" ht="9.9499999999999993" customHeight="1" x14ac:dyDescent="0.2">
      <c r="B163" s="327"/>
      <c r="C163" s="327"/>
      <c r="D163" s="327"/>
      <c r="F163" s="327"/>
      <c r="L163" s="327"/>
    </row>
    <row r="164" spans="2:12" s="326" customFormat="1" ht="9.9499999999999993" customHeight="1" x14ac:dyDescent="0.2">
      <c r="B164" s="327"/>
      <c r="C164" s="327"/>
      <c r="D164" s="327"/>
      <c r="F164" s="327"/>
      <c r="L164" s="327"/>
    </row>
    <row r="165" spans="2:12" s="326" customFormat="1" ht="9.9499999999999993" customHeight="1" x14ac:dyDescent="0.2">
      <c r="B165" s="327"/>
      <c r="C165" s="327"/>
      <c r="D165" s="327"/>
      <c r="F165" s="327"/>
      <c r="L165" s="327"/>
    </row>
    <row r="166" spans="2:12" s="326" customFormat="1" ht="9.9499999999999993" customHeight="1" x14ac:dyDescent="0.2">
      <c r="B166" s="327"/>
      <c r="C166" s="327"/>
      <c r="D166" s="327"/>
      <c r="F166" s="327"/>
      <c r="L166" s="327"/>
    </row>
    <row r="167" spans="2:12" s="326" customFormat="1" ht="9.9499999999999993" customHeight="1" x14ac:dyDescent="0.2">
      <c r="B167" s="327"/>
      <c r="C167" s="327"/>
      <c r="D167" s="327"/>
      <c r="F167" s="327"/>
      <c r="L167" s="327"/>
    </row>
    <row r="168" spans="2:12" s="326" customFormat="1" ht="9.9499999999999993" customHeight="1" x14ac:dyDescent="0.2">
      <c r="B168" s="327"/>
      <c r="C168" s="327"/>
      <c r="D168" s="327"/>
      <c r="F168" s="327"/>
      <c r="L168" s="327"/>
    </row>
    <row r="169" spans="2:12" s="326" customFormat="1" ht="9.9499999999999993" customHeight="1" x14ac:dyDescent="0.2">
      <c r="B169" s="327"/>
      <c r="C169" s="327"/>
      <c r="D169" s="327"/>
      <c r="F169" s="327"/>
      <c r="L169" s="327"/>
    </row>
    <row r="170" spans="2:12" s="326" customFormat="1" ht="9.9499999999999993" customHeight="1" x14ac:dyDescent="0.2">
      <c r="B170" s="327"/>
      <c r="C170" s="327"/>
      <c r="D170" s="327"/>
      <c r="F170" s="327"/>
      <c r="L170" s="327"/>
    </row>
    <row r="171" spans="2:12" s="326" customFormat="1" ht="9.9499999999999993" customHeight="1" x14ac:dyDescent="0.2">
      <c r="B171" s="327"/>
      <c r="C171" s="327"/>
      <c r="D171" s="327"/>
      <c r="F171" s="327"/>
      <c r="L171" s="327"/>
    </row>
    <row r="172" spans="2:12" s="326" customFormat="1" ht="9.9499999999999993" customHeight="1" x14ac:dyDescent="0.2">
      <c r="B172" s="327"/>
      <c r="C172" s="327"/>
      <c r="D172" s="327"/>
      <c r="F172" s="327"/>
      <c r="L172" s="327"/>
    </row>
    <row r="173" spans="2:12" s="326" customFormat="1" ht="9.9499999999999993" customHeight="1" x14ac:dyDescent="0.2">
      <c r="B173" s="327"/>
      <c r="C173" s="327"/>
      <c r="D173" s="327"/>
      <c r="F173" s="327"/>
      <c r="L173" s="327"/>
    </row>
    <row r="174" spans="2:12" s="326" customFormat="1" ht="9.9499999999999993" customHeight="1" x14ac:dyDescent="0.2">
      <c r="B174" s="327"/>
      <c r="C174" s="327"/>
      <c r="D174" s="327"/>
      <c r="F174" s="327"/>
      <c r="L174" s="327"/>
    </row>
    <row r="175" spans="2:12" s="326" customFormat="1" ht="9.9499999999999993" customHeight="1" x14ac:dyDescent="0.2">
      <c r="B175" s="327"/>
      <c r="C175" s="327"/>
      <c r="D175" s="327"/>
      <c r="F175" s="327"/>
      <c r="L175" s="327"/>
    </row>
    <row r="176" spans="2:12" s="326" customFormat="1" ht="9.9499999999999993" customHeight="1" x14ac:dyDescent="0.2">
      <c r="B176" s="327"/>
      <c r="C176" s="327"/>
      <c r="D176" s="327"/>
      <c r="F176" s="327"/>
      <c r="L176" s="327"/>
    </row>
    <row r="177" spans="2:12" s="326" customFormat="1" ht="9.9499999999999993" customHeight="1" x14ac:dyDescent="0.2">
      <c r="B177" s="327"/>
      <c r="C177" s="327"/>
      <c r="D177" s="327"/>
      <c r="F177" s="327"/>
      <c r="L177" s="327"/>
    </row>
    <row r="178" spans="2:12" s="326" customFormat="1" ht="9.9499999999999993" customHeight="1" x14ac:dyDescent="0.2">
      <c r="B178" s="327"/>
      <c r="C178" s="327"/>
      <c r="D178" s="327"/>
      <c r="F178" s="327"/>
      <c r="L178" s="327"/>
    </row>
    <row r="179" spans="2:12" s="326" customFormat="1" ht="9.9499999999999993" customHeight="1" x14ac:dyDescent="0.2">
      <c r="B179" s="327"/>
      <c r="C179" s="327"/>
      <c r="D179" s="327"/>
      <c r="F179" s="327"/>
      <c r="L179" s="327"/>
    </row>
    <row r="180" spans="2:12" s="326" customFormat="1" ht="9.9499999999999993" customHeight="1" x14ac:dyDescent="0.2">
      <c r="B180" s="327"/>
      <c r="C180" s="327"/>
      <c r="D180" s="327"/>
      <c r="F180" s="327"/>
      <c r="L180" s="327"/>
    </row>
    <row r="181" spans="2:12" s="326" customFormat="1" ht="9.9499999999999993" customHeight="1" x14ac:dyDescent="0.2">
      <c r="B181" s="327"/>
      <c r="C181" s="327"/>
      <c r="D181" s="327"/>
      <c r="F181" s="327"/>
      <c r="L181" s="327"/>
    </row>
    <row r="182" spans="2:12" s="326" customFormat="1" ht="9.9499999999999993" customHeight="1" x14ac:dyDescent="0.2">
      <c r="B182" s="327"/>
      <c r="C182" s="327"/>
      <c r="D182" s="327"/>
      <c r="F182" s="327"/>
      <c r="L182" s="327"/>
    </row>
    <row r="183" spans="2:12" s="326" customFormat="1" ht="9.9499999999999993" customHeight="1" x14ac:dyDescent="0.2">
      <c r="B183" s="327"/>
      <c r="C183" s="327"/>
      <c r="D183" s="327"/>
      <c r="F183" s="327"/>
      <c r="L183" s="327"/>
    </row>
    <row r="184" spans="2:12" s="326" customFormat="1" ht="9.9499999999999993" customHeight="1" x14ac:dyDescent="0.2">
      <c r="B184" s="327"/>
      <c r="C184" s="327"/>
      <c r="D184" s="327"/>
      <c r="F184" s="327"/>
      <c r="L184" s="327"/>
    </row>
    <row r="185" spans="2:12" s="326" customFormat="1" ht="9.9499999999999993" customHeight="1" x14ac:dyDescent="0.2">
      <c r="B185" s="327"/>
      <c r="C185" s="327"/>
      <c r="D185" s="327"/>
      <c r="F185" s="327"/>
      <c r="L185" s="327"/>
    </row>
    <row r="186" spans="2:12" s="326" customFormat="1" ht="9.9499999999999993" customHeight="1" x14ac:dyDescent="0.2">
      <c r="B186" s="327"/>
      <c r="C186" s="327"/>
      <c r="D186" s="327"/>
      <c r="F186" s="327"/>
      <c r="L186" s="327"/>
    </row>
    <row r="187" spans="2:12" s="326" customFormat="1" ht="9.9499999999999993" customHeight="1" x14ac:dyDescent="0.2">
      <c r="B187" s="327"/>
      <c r="C187" s="327"/>
      <c r="D187" s="327"/>
      <c r="F187" s="327"/>
      <c r="L187" s="327"/>
    </row>
    <row r="188" spans="2:12" s="326" customFormat="1" ht="9.9499999999999993" customHeight="1" x14ac:dyDescent="0.2">
      <c r="B188" s="327"/>
      <c r="C188" s="327"/>
      <c r="D188" s="327"/>
      <c r="F188" s="327"/>
      <c r="L188" s="327"/>
    </row>
    <row r="189" spans="2:12" s="326" customFormat="1" ht="9.9499999999999993" customHeight="1" x14ac:dyDescent="0.2">
      <c r="B189" s="327"/>
      <c r="C189" s="327"/>
      <c r="D189" s="327"/>
      <c r="F189" s="327"/>
      <c r="L189" s="327"/>
    </row>
    <row r="190" spans="2:12" s="326" customFormat="1" ht="9.9499999999999993" customHeight="1" x14ac:dyDescent="0.2">
      <c r="B190" s="327"/>
      <c r="C190" s="327"/>
      <c r="D190" s="327"/>
      <c r="F190" s="327"/>
      <c r="L190" s="327"/>
    </row>
    <row r="191" spans="2:12" s="326" customFormat="1" ht="9.9499999999999993" customHeight="1" x14ac:dyDescent="0.2">
      <c r="B191" s="327"/>
      <c r="C191" s="327"/>
      <c r="D191" s="327"/>
      <c r="F191" s="327"/>
      <c r="L191" s="327"/>
    </row>
    <row r="192" spans="2:12" s="326" customFormat="1" ht="9.9499999999999993" customHeight="1" x14ac:dyDescent="0.2">
      <c r="B192" s="327"/>
      <c r="C192" s="327"/>
      <c r="D192" s="327"/>
      <c r="F192" s="327"/>
      <c r="L192" s="327"/>
    </row>
    <row r="193" spans="2:12" s="326" customFormat="1" ht="9.9499999999999993" customHeight="1" x14ac:dyDescent="0.2">
      <c r="B193" s="327"/>
      <c r="C193" s="327"/>
      <c r="D193" s="327"/>
      <c r="F193" s="327"/>
      <c r="L193" s="327"/>
    </row>
    <row r="194" spans="2:12" s="326" customFormat="1" ht="9.9499999999999993" customHeight="1" x14ac:dyDescent="0.2">
      <c r="B194" s="327"/>
      <c r="C194" s="327"/>
      <c r="D194" s="327"/>
      <c r="F194" s="327"/>
      <c r="L194" s="327"/>
    </row>
    <row r="195" spans="2:12" s="326" customFormat="1" ht="9.9499999999999993" customHeight="1" x14ac:dyDescent="0.2">
      <c r="B195" s="327"/>
      <c r="C195" s="327"/>
      <c r="D195" s="327"/>
      <c r="F195" s="327"/>
      <c r="L195" s="327"/>
    </row>
    <row r="196" spans="2:12" s="326" customFormat="1" ht="9.9499999999999993" customHeight="1" x14ac:dyDescent="0.2">
      <c r="B196" s="327"/>
      <c r="C196" s="327"/>
      <c r="D196" s="327"/>
      <c r="F196" s="327"/>
      <c r="L196" s="327"/>
    </row>
    <row r="197" spans="2:12" s="326" customFormat="1" ht="9.9499999999999993" customHeight="1" x14ac:dyDescent="0.2">
      <c r="B197" s="327"/>
      <c r="C197" s="327"/>
      <c r="D197" s="327"/>
      <c r="F197" s="327"/>
      <c r="L197" s="327"/>
    </row>
    <row r="198" spans="2:12" s="326" customFormat="1" ht="9.9499999999999993" customHeight="1" x14ac:dyDescent="0.2">
      <c r="B198" s="327"/>
      <c r="C198" s="327"/>
      <c r="D198" s="327"/>
      <c r="F198" s="327"/>
      <c r="L198" s="327"/>
    </row>
    <row r="199" spans="2:12" s="326" customFormat="1" ht="9.9499999999999993" customHeight="1" x14ac:dyDescent="0.2">
      <c r="B199" s="327"/>
      <c r="C199" s="327"/>
      <c r="D199" s="327"/>
      <c r="F199" s="327"/>
      <c r="L199" s="327"/>
    </row>
    <row r="200" spans="2:12" s="326" customFormat="1" ht="9.9499999999999993" customHeight="1" x14ac:dyDescent="0.2">
      <c r="B200" s="327"/>
      <c r="C200" s="327"/>
      <c r="D200" s="327"/>
      <c r="F200" s="327"/>
      <c r="L200" s="327"/>
    </row>
    <row r="201" spans="2:12" s="326" customFormat="1" ht="9.9499999999999993" customHeight="1" x14ac:dyDescent="0.2">
      <c r="B201" s="327"/>
      <c r="C201" s="327"/>
      <c r="D201" s="327"/>
      <c r="F201" s="327"/>
      <c r="L201" s="327"/>
    </row>
    <row r="202" spans="2:12" s="326" customFormat="1" ht="9.9499999999999993" customHeight="1" x14ac:dyDescent="0.2">
      <c r="B202" s="327"/>
      <c r="C202" s="327"/>
      <c r="D202" s="327"/>
      <c r="F202" s="327"/>
      <c r="L202" s="327"/>
    </row>
    <row r="203" spans="2:12" s="326" customFormat="1" ht="9.9499999999999993" customHeight="1" x14ac:dyDescent="0.2">
      <c r="B203" s="327"/>
      <c r="C203" s="327"/>
      <c r="D203" s="327"/>
      <c r="F203" s="327"/>
      <c r="L203" s="327"/>
    </row>
    <row r="204" spans="2:12" s="326" customFormat="1" ht="9.9499999999999993" customHeight="1" x14ac:dyDescent="0.2">
      <c r="B204" s="327"/>
      <c r="C204" s="327"/>
      <c r="D204" s="327"/>
      <c r="F204" s="327"/>
      <c r="L204" s="327"/>
    </row>
    <row r="205" spans="2:12" s="326" customFormat="1" ht="9.9499999999999993" customHeight="1" x14ac:dyDescent="0.2">
      <c r="B205" s="327"/>
      <c r="C205" s="327"/>
      <c r="D205" s="327"/>
      <c r="F205" s="327"/>
      <c r="L205" s="327"/>
    </row>
    <row r="206" spans="2:12" s="326" customFormat="1" ht="9.9499999999999993" customHeight="1" x14ac:dyDescent="0.2">
      <c r="B206" s="327"/>
      <c r="C206" s="327"/>
      <c r="D206" s="327"/>
      <c r="F206" s="327"/>
      <c r="L206" s="327"/>
    </row>
    <row r="207" spans="2:12" s="326" customFormat="1" ht="9.9499999999999993" customHeight="1" x14ac:dyDescent="0.2">
      <c r="B207" s="327"/>
      <c r="C207" s="327"/>
      <c r="D207" s="327"/>
      <c r="F207" s="327"/>
      <c r="L207" s="327"/>
    </row>
    <row r="208" spans="2:12" s="326" customFormat="1" ht="9.9499999999999993" customHeight="1" x14ac:dyDescent="0.2">
      <c r="B208" s="327"/>
      <c r="C208" s="327"/>
      <c r="D208" s="327"/>
      <c r="F208" s="327"/>
      <c r="L208" s="327"/>
    </row>
    <row r="209" spans="2:12" s="326" customFormat="1" ht="9.9499999999999993" customHeight="1" x14ac:dyDescent="0.2">
      <c r="B209" s="327"/>
      <c r="C209" s="327"/>
      <c r="D209" s="327"/>
      <c r="F209" s="327"/>
      <c r="L209" s="327"/>
    </row>
    <row r="210" spans="2:12" s="326" customFormat="1" ht="9.9499999999999993" customHeight="1" x14ac:dyDescent="0.2">
      <c r="B210" s="327"/>
      <c r="C210" s="327"/>
      <c r="D210" s="327"/>
      <c r="F210" s="327"/>
      <c r="L210" s="327"/>
    </row>
    <row r="211" spans="2:12" s="326" customFormat="1" ht="9.9499999999999993" customHeight="1" x14ac:dyDescent="0.2">
      <c r="B211" s="327"/>
      <c r="C211" s="327"/>
      <c r="D211" s="327"/>
      <c r="F211" s="327"/>
      <c r="L211" s="327"/>
    </row>
    <row r="212" spans="2:12" s="326" customFormat="1" ht="9.9499999999999993" customHeight="1" x14ac:dyDescent="0.2">
      <c r="B212" s="327"/>
      <c r="C212" s="327"/>
      <c r="D212" s="327"/>
      <c r="F212" s="327"/>
      <c r="L212" s="327"/>
    </row>
    <row r="213" spans="2:12" s="326" customFormat="1" ht="9.9499999999999993" customHeight="1" x14ac:dyDescent="0.2">
      <c r="B213" s="327"/>
      <c r="C213" s="327"/>
      <c r="D213" s="327"/>
      <c r="F213" s="327"/>
      <c r="L213" s="327"/>
    </row>
    <row r="214" spans="2:12" s="326" customFormat="1" ht="9.9499999999999993" customHeight="1" x14ac:dyDescent="0.2">
      <c r="B214" s="327"/>
      <c r="C214" s="327"/>
      <c r="D214" s="327"/>
      <c r="F214" s="327"/>
      <c r="L214" s="327"/>
    </row>
    <row r="215" spans="2:12" s="326" customFormat="1" ht="9.9499999999999993" customHeight="1" x14ac:dyDescent="0.2">
      <c r="B215" s="327"/>
      <c r="C215" s="327"/>
      <c r="D215" s="327"/>
      <c r="F215" s="327"/>
      <c r="L215" s="327"/>
    </row>
    <row r="216" spans="2:12" s="326" customFormat="1" ht="9.9499999999999993" customHeight="1" x14ac:dyDescent="0.2">
      <c r="B216" s="327"/>
      <c r="C216" s="327"/>
      <c r="D216" s="327"/>
      <c r="F216" s="327"/>
      <c r="L216" s="327"/>
    </row>
    <row r="217" spans="2:12" s="326" customFormat="1" ht="9.9499999999999993" customHeight="1" x14ac:dyDescent="0.2">
      <c r="B217" s="327"/>
      <c r="C217" s="327"/>
      <c r="D217" s="327"/>
      <c r="F217" s="327"/>
      <c r="L217" s="327"/>
    </row>
    <row r="218" spans="2:12" s="326" customFormat="1" ht="9.9499999999999993" customHeight="1" x14ac:dyDescent="0.2">
      <c r="B218" s="327"/>
      <c r="C218" s="327"/>
      <c r="D218" s="327"/>
      <c r="F218" s="327"/>
      <c r="L218" s="327"/>
    </row>
    <row r="219" spans="2:12" s="326" customFormat="1" ht="9.9499999999999993" customHeight="1" x14ac:dyDescent="0.2">
      <c r="B219" s="327"/>
      <c r="C219" s="327"/>
      <c r="D219" s="327"/>
      <c r="F219" s="327"/>
      <c r="L219" s="327"/>
    </row>
    <row r="220" spans="2:12" s="326" customFormat="1" ht="9.9499999999999993" customHeight="1" x14ac:dyDescent="0.2">
      <c r="B220" s="327"/>
      <c r="C220" s="327"/>
      <c r="D220" s="327"/>
      <c r="F220" s="327"/>
      <c r="L220" s="327"/>
    </row>
    <row r="221" spans="2:12" s="326" customFormat="1" ht="9.9499999999999993" customHeight="1" x14ac:dyDescent="0.2">
      <c r="B221" s="327"/>
      <c r="C221" s="327"/>
      <c r="D221" s="327"/>
      <c r="F221" s="327"/>
      <c r="L221" s="327"/>
    </row>
    <row r="222" spans="2:12" s="326" customFormat="1" ht="9.9499999999999993" customHeight="1" x14ac:dyDescent="0.2">
      <c r="B222" s="327"/>
      <c r="C222" s="327"/>
      <c r="D222" s="327"/>
      <c r="F222" s="327"/>
      <c r="L222" s="327"/>
    </row>
    <row r="223" spans="2:12" s="326" customFormat="1" ht="9.9499999999999993" customHeight="1" x14ac:dyDescent="0.2">
      <c r="B223" s="327"/>
      <c r="C223" s="327"/>
      <c r="D223" s="327"/>
      <c r="F223" s="327"/>
      <c r="L223" s="327"/>
    </row>
    <row r="224" spans="2:12" s="326" customFormat="1" ht="9.9499999999999993" customHeight="1" x14ac:dyDescent="0.2">
      <c r="B224" s="327"/>
      <c r="C224" s="327"/>
      <c r="D224" s="327"/>
      <c r="F224" s="327"/>
      <c r="L224" s="327"/>
    </row>
    <row r="225" spans="2:12" s="326" customFormat="1" ht="9.9499999999999993" customHeight="1" x14ac:dyDescent="0.2">
      <c r="B225" s="327"/>
      <c r="C225" s="327"/>
      <c r="D225" s="327"/>
      <c r="F225" s="327"/>
      <c r="L225" s="327"/>
    </row>
    <row r="226" spans="2:12" s="326" customFormat="1" ht="9.9499999999999993" customHeight="1" x14ac:dyDescent="0.2">
      <c r="B226" s="327"/>
      <c r="C226" s="327"/>
      <c r="D226" s="327"/>
      <c r="F226" s="327"/>
      <c r="L226" s="327"/>
    </row>
    <row r="227" spans="2:12" s="326" customFormat="1" ht="9.9499999999999993" customHeight="1" x14ac:dyDescent="0.2">
      <c r="B227" s="327"/>
      <c r="C227" s="327"/>
      <c r="D227" s="327"/>
      <c r="F227" s="327"/>
      <c r="L227" s="327"/>
    </row>
    <row r="228" spans="2:12" s="326" customFormat="1" ht="9.9499999999999993" customHeight="1" x14ac:dyDescent="0.2">
      <c r="B228" s="327"/>
      <c r="C228" s="327"/>
      <c r="D228" s="327"/>
      <c r="F228" s="327"/>
      <c r="L228" s="327"/>
    </row>
    <row r="229" spans="2:12" s="326" customFormat="1" ht="9.9499999999999993" customHeight="1" x14ac:dyDescent="0.2">
      <c r="B229" s="327"/>
      <c r="C229" s="327"/>
      <c r="D229" s="327"/>
      <c r="F229" s="327"/>
      <c r="L229" s="327"/>
    </row>
    <row r="230" spans="2:12" s="326" customFormat="1" ht="9.9499999999999993" customHeight="1" x14ac:dyDescent="0.2">
      <c r="B230" s="327"/>
      <c r="C230" s="327"/>
      <c r="D230" s="327"/>
      <c r="F230" s="327"/>
      <c r="L230" s="327"/>
    </row>
    <row r="231" spans="2:12" s="326" customFormat="1" ht="9.9499999999999993" customHeight="1" x14ac:dyDescent="0.2">
      <c r="B231" s="327"/>
      <c r="C231" s="327"/>
      <c r="D231" s="327"/>
      <c r="F231" s="327"/>
      <c r="L231" s="327"/>
    </row>
    <row r="232" spans="2:12" s="326" customFormat="1" ht="9.9499999999999993" customHeight="1" x14ac:dyDescent="0.2">
      <c r="B232" s="327"/>
      <c r="C232" s="327"/>
      <c r="D232" s="327"/>
      <c r="F232" s="327"/>
      <c r="L232" s="327"/>
    </row>
    <row r="233" spans="2:12" s="326" customFormat="1" ht="9.9499999999999993" customHeight="1" x14ac:dyDescent="0.2">
      <c r="B233" s="327"/>
      <c r="C233" s="327"/>
      <c r="D233" s="327"/>
      <c r="F233" s="327"/>
      <c r="L233" s="327"/>
    </row>
    <row r="234" spans="2:12" s="326" customFormat="1" ht="9.9499999999999993" customHeight="1" x14ac:dyDescent="0.2">
      <c r="B234" s="327"/>
      <c r="C234" s="327"/>
      <c r="D234" s="327"/>
      <c r="F234" s="327"/>
      <c r="L234" s="327"/>
    </row>
    <row r="235" spans="2:12" s="326" customFormat="1" ht="9.9499999999999993" customHeight="1" x14ac:dyDescent="0.2">
      <c r="B235" s="327"/>
      <c r="C235" s="327"/>
      <c r="D235" s="327"/>
      <c r="F235" s="327"/>
      <c r="L235" s="327"/>
    </row>
    <row r="236" spans="2:12" s="326" customFormat="1" ht="9.9499999999999993" customHeight="1" x14ac:dyDescent="0.2">
      <c r="B236" s="327"/>
      <c r="C236" s="327"/>
      <c r="D236" s="327"/>
      <c r="F236" s="327"/>
      <c r="L236" s="327"/>
    </row>
    <row r="237" spans="2:12" s="326" customFormat="1" ht="9.9499999999999993" customHeight="1" x14ac:dyDescent="0.2">
      <c r="B237" s="327"/>
      <c r="C237" s="327"/>
      <c r="D237" s="327"/>
      <c r="F237" s="327"/>
      <c r="L237" s="327"/>
    </row>
    <row r="238" spans="2:12" s="326" customFormat="1" ht="9.9499999999999993" customHeight="1" x14ac:dyDescent="0.2">
      <c r="B238" s="327"/>
      <c r="C238" s="327"/>
      <c r="D238" s="327"/>
      <c r="F238" s="327"/>
      <c r="L238" s="327"/>
    </row>
    <row r="239" spans="2:12" s="326" customFormat="1" ht="9.9499999999999993" customHeight="1" x14ac:dyDescent="0.2">
      <c r="B239" s="327"/>
      <c r="C239" s="327"/>
      <c r="D239" s="327"/>
      <c r="F239" s="327"/>
      <c r="L239" s="327"/>
    </row>
    <row r="240" spans="2:12" s="326" customFormat="1" ht="9.9499999999999993" customHeight="1" x14ac:dyDescent="0.2">
      <c r="B240" s="327"/>
      <c r="C240" s="327"/>
      <c r="D240" s="327"/>
      <c r="F240" s="327"/>
      <c r="L240" s="327"/>
    </row>
    <row r="241" spans="2:12" s="326" customFormat="1" ht="9.9499999999999993" customHeight="1" x14ac:dyDescent="0.2">
      <c r="B241" s="327"/>
      <c r="C241" s="327"/>
      <c r="D241" s="327"/>
      <c r="F241" s="327"/>
      <c r="L241" s="327"/>
    </row>
    <row r="242" spans="2:12" s="326" customFormat="1" ht="9.9499999999999993" customHeight="1" x14ac:dyDescent="0.2">
      <c r="B242" s="327"/>
      <c r="C242" s="327"/>
      <c r="D242" s="327"/>
      <c r="F242" s="327"/>
      <c r="L242" s="327"/>
    </row>
    <row r="243" spans="2:12" s="326" customFormat="1" ht="9.9499999999999993" customHeight="1" x14ac:dyDescent="0.2">
      <c r="B243" s="327"/>
      <c r="C243" s="327"/>
      <c r="D243" s="327"/>
      <c r="F243" s="327"/>
      <c r="L243" s="327"/>
    </row>
    <row r="244" spans="2:12" s="326" customFormat="1" ht="9.9499999999999993" customHeight="1" x14ac:dyDescent="0.2">
      <c r="B244" s="327"/>
      <c r="C244" s="327"/>
      <c r="D244" s="327"/>
      <c r="F244" s="327"/>
      <c r="L244" s="327"/>
    </row>
    <row r="245" spans="2:12" s="326" customFormat="1" ht="9.9499999999999993" customHeight="1" x14ac:dyDescent="0.2">
      <c r="B245" s="327"/>
      <c r="C245" s="327"/>
      <c r="D245" s="327"/>
      <c r="F245" s="327"/>
      <c r="L245" s="327"/>
    </row>
    <row r="246" spans="2:12" s="326" customFormat="1" ht="9.9499999999999993" customHeight="1" x14ac:dyDescent="0.2">
      <c r="B246" s="327"/>
      <c r="C246" s="327"/>
      <c r="D246" s="327"/>
      <c r="F246" s="327"/>
      <c r="L246" s="327"/>
    </row>
    <row r="247" spans="2:12" s="326" customFormat="1" ht="9.9499999999999993" customHeight="1" x14ac:dyDescent="0.2">
      <c r="B247" s="327"/>
      <c r="C247" s="327"/>
      <c r="D247" s="327"/>
      <c r="F247" s="327"/>
      <c r="L247" s="327"/>
    </row>
    <row r="248" spans="2:12" s="326" customFormat="1" ht="9.9499999999999993" customHeight="1" x14ac:dyDescent="0.2">
      <c r="B248" s="327"/>
      <c r="C248" s="327"/>
      <c r="D248" s="327"/>
      <c r="F248" s="327"/>
      <c r="L248" s="327"/>
    </row>
    <row r="249" spans="2:12" s="326" customFormat="1" ht="9.9499999999999993" customHeight="1" x14ac:dyDescent="0.2">
      <c r="B249" s="327"/>
      <c r="C249" s="327"/>
      <c r="D249" s="327"/>
      <c r="F249" s="327"/>
      <c r="L249" s="327"/>
    </row>
    <row r="250" spans="2:12" s="326" customFormat="1" ht="9.9499999999999993" customHeight="1" x14ac:dyDescent="0.2">
      <c r="B250" s="327"/>
      <c r="C250" s="327"/>
      <c r="D250" s="327"/>
      <c r="F250" s="327"/>
      <c r="L250" s="327"/>
    </row>
    <row r="251" spans="2:12" s="326" customFormat="1" ht="9.9499999999999993" customHeight="1" x14ac:dyDescent="0.2">
      <c r="B251" s="327"/>
      <c r="C251" s="327"/>
      <c r="D251" s="327"/>
      <c r="F251" s="327"/>
      <c r="L251" s="327"/>
    </row>
    <row r="252" spans="2:12" s="326" customFormat="1" ht="9.9499999999999993" customHeight="1" x14ac:dyDescent="0.2">
      <c r="B252" s="327"/>
      <c r="C252" s="327"/>
      <c r="D252" s="327"/>
      <c r="F252" s="327"/>
      <c r="L252" s="327"/>
    </row>
    <row r="253" spans="2:12" s="326" customFormat="1" ht="9.9499999999999993" customHeight="1" x14ac:dyDescent="0.2">
      <c r="B253" s="327"/>
      <c r="C253" s="327"/>
      <c r="D253" s="327"/>
      <c r="F253" s="327"/>
      <c r="L253" s="327"/>
    </row>
    <row r="254" spans="2:12" s="326" customFormat="1" ht="9.9499999999999993" customHeight="1" x14ac:dyDescent="0.2">
      <c r="B254" s="327"/>
      <c r="C254" s="327"/>
      <c r="D254" s="327"/>
      <c r="F254" s="327"/>
      <c r="L254" s="327"/>
    </row>
    <row r="255" spans="2:12" s="326" customFormat="1" ht="9.9499999999999993" customHeight="1" x14ac:dyDescent="0.2">
      <c r="B255" s="327"/>
      <c r="C255" s="327"/>
      <c r="D255" s="327"/>
      <c r="F255" s="327"/>
      <c r="L255" s="327"/>
    </row>
    <row r="256" spans="2:12" s="326" customFormat="1" ht="9.9499999999999993" customHeight="1" x14ac:dyDescent="0.2">
      <c r="B256" s="327"/>
      <c r="C256" s="327"/>
      <c r="D256" s="327"/>
      <c r="F256" s="327"/>
      <c r="L256" s="327"/>
    </row>
    <row r="257" spans="2:12" s="326" customFormat="1" ht="9.9499999999999993" customHeight="1" x14ac:dyDescent="0.2">
      <c r="B257" s="327"/>
      <c r="C257" s="327"/>
      <c r="D257" s="327"/>
      <c r="F257" s="327"/>
      <c r="L257" s="327"/>
    </row>
    <row r="258" spans="2:12" s="326" customFormat="1" ht="9.9499999999999993" customHeight="1" x14ac:dyDescent="0.2">
      <c r="B258" s="327"/>
      <c r="C258" s="327"/>
      <c r="D258" s="327"/>
      <c r="F258" s="327"/>
      <c r="L258" s="327"/>
    </row>
    <row r="259" spans="2:12" s="326" customFormat="1" ht="9.9499999999999993" customHeight="1" x14ac:dyDescent="0.2">
      <c r="B259" s="327"/>
      <c r="C259" s="327"/>
      <c r="D259" s="327"/>
      <c r="F259" s="327"/>
      <c r="L259" s="327"/>
    </row>
    <row r="260" spans="2:12" s="326" customFormat="1" ht="9.9499999999999993" customHeight="1" x14ac:dyDescent="0.2">
      <c r="B260" s="327"/>
      <c r="C260" s="327"/>
      <c r="D260" s="327"/>
      <c r="F260" s="327"/>
      <c r="L260" s="327"/>
    </row>
    <row r="261" spans="2:12" s="326" customFormat="1" ht="9.9499999999999993" customHeight="1" x14ac:dyDescent="0.2">
      <c r="B261" s="327"/>
      <c r="C261" s="327"/>
      <c r="D261" s="327"/>
      <c r="F261" s="327"/>
      <c r="L261" s="327"/>
    </row>
    <row r="262" spans="2:12" s="326" customFormat="1" ht="9.9499999999999993" customHeight="1" x14ac:dyDescent="0.2">
      <c r="B262" s="327"/>
      <c r="C262" s="327"/>
      <c r="D262" s="327"/>
      <c r="F262" s="327"/>
      <c r="L262" s="327"/>
    </row>
    <row r="263" spans="2:12" s="326" customFormat="1" ht="9.9499999999999993" customHeight="1" x14ac:dyDescent="0.2">
      <c r="B263" s="327"/>
      <c r="C263" s="327"/>
      <c r="D263" s="327"/>
      <c r="F263" s="327"/>
      <c r="L263" s="327"/>
    </row>
    <row r="264" spans="2:12" s="326" customFormat="1" ht="9.9499999999999993" customHeight="1" x14ac:dyDescent="0.2">
      <c r="B264" s="327"/>
      <c r="C264" s="327"/>
      <c r="D264" s="327"/>
      <c r="F264" s="327"/>
      <c r="L264" s="327"/>
    </row>
    <row r="265" spans="2:12" s="326" customFormat="1" ht="9.9499999999999993" customHeight="1" x14ac:dyDescent="0.2">
      <c r="B265" s="327"/>
      <c r="C265" s="327"/>
      <c r="D265" s="327"/>
      <c r="F265" s="327"/>
      <c r="L265" s="327"/>
    </row>
    <row r="266" spans="2:12" s="326" customFormat="1" ht="9.9499999999999993" customHeight="1" x14ac:dyDescent="0.2">
      <c r="B266" s="327"/>
      <c r="C266" s="327"/>
      <c r="D266" s="327"/>
      <c r="F266" s="327"/>
      <c r="L266" s="327"/>
    </row>
    <row r="267" spans="2:12" s="326" customFormat="1" ht="9.9499999999999993" customHeight="1" x14ac:dyDescent="0.2">
      <c r="B267" s="327"/>
      <c r="C267" s="327"/>
      <c r="D267" s="327"/>
      <c r="F267" s="327"/>
      <c r="L267" s="327"/>
    </row>
    <row r="268" spans="2:12" s="326" customFormat="1" ht="9.9499999999999993" customHeight="1" x14ac:dyDescent="0.2">
      <c r="B268" s="327"/>
      <c r="C268" s="327"/>
      <c r="D268" s="327"/>
      <c r="F268" s="327"/>
      <c r="L268" s="327"/>
    </row>
    <row r="269" spans="2:12" s="326" customFormat="1" ht="9.9499999999999993" customHeight="1" x14ac:dyDescent="0.2">
      <c r="B269" s="327"/>
      <c r="C269" s="327"/>
      <c r="D269" s="327"/>
      <c r="F269" s="327"/>
      <c r="L269" s="327"/>
    </row>
    <row r="270" spans="2:12" s="326" customFormat="1" ht="9.9499999999999993" customHeight="1" x14ac:dyDescent="0.2">
      <c r="B270" s="327"/>
      <c r="C270" s="327"/>
      <c r="D270" s="327"/>
      <c r="F270" s="327"/>
      <c r="L270" s="327"/>
    </row>
    <row r="271" spans="2:12" s="326" customFormat="1" ht="9.9499999999999993" customHeight="1" x14ac:dyDescent="0.2">
      <c r="B271" s="327"/>
      <c r="C271" s="327"/>
      <c r="D271" s="327"/>
      <c r="F271" s="327"/>
      <c r="L271" s="327"/>
    </row>
    <row r="272" spans="2:12" s="326" customFormat="1" ht="9.9499999999999993" customHeight="1" x14ac:dyDescent="0.2">
      <c r="B272" s="327"/>
      <c r="C272" s="327"/>
      <c r="D272" s="327"/>
      <c r="F272" s="327"/>
      <c r="L272" s="327"/>
    </row>
    <row r="273" spans="2:12" s="326" customFormat="1" ht="9.9499999999999993" customHeight="1" x14ac:dyDescent="0.2">
      <c r="B273" s="327"/>
      <c r="C273" s="327"/>
      <c r="D273" s="327"/>
      <c r="F273" s="327"/>
      <c r="L273" s="327"/>
    </row>
    <row r="274" spans="2:12" s="326" customFormat="1" ht="9.9499999999999993" customHeight="1" x14ac:dyDescent="0.2">
      <c r="B274" s="327"/>
      <c r="C274" s="327"/>
      <c r="D274" s="327"/>
      <c r="F274" s="327"/>
      <c r="L274" s="327"/>
    </row>
    <row r="275" spans="2:12" s="326" customFormat="1" ht="9.9499999999999993" customHeight="1" x14ac:dyDescent="0.2">
      <c r="B275" s="327"/>
      <c r="C275" s="327"/>
      <c r="D275" s="327"/>
      <c r="F275" s="327"/>
      <c r="L275" s="327"/>
    </row>
    <row r="276" spans="2:12" s="326" customFormat="1" ht="9.9499999999999993" customHeight="1" x14ac:dyDescent="0.2">
      <c r="B276" s="327"/>
      <c r="C276" s="327"/>
      <c r="D276" s="327"/>
      <c r="F276" s="327"/>
      <c r="L276" s="327"/>
    </row>
    <row r="277" spans="2:12" s="326" customFormat="1" ht="9.9499999999999993" customHeight="1" x14ac:dyDescent="0.2">
      <c r="B277" s="327"/>
      <c r="C277" s="327"/>
      <c r="D277" s="327"/>
      <c r="F277" s="327"/>
      <c r="L277" s="327"/>
    </row>
    <row r="278" spans="2:12" s="326" customFormat="1" ht="9.9499999999999993" customHeight="1" x14ac:dyDescent="0.2">
      <c r="B278" s="327"/>
      <c r="C278" s="327"/>
      <c r="D278" s="327"/>
      <c r="F278" s="327"/>
      <c r="L278" s="327"/>
    </row>
    <row r="279" spans="2:12" s="326" customFormat="1" ht="9.9499999999999993" customHeight="1" x14ac:dyDescent="0.2">
      <c r="B279" s="327"/>
      <c r="C279" s="327"/>
      <c r="D279" s="327"/>
      <c r="F279" s="327"/>
      <c r="L279" s="327"/>
    </row>
    <row r="280" spans="2:12" s="326" customFormat="1" ht="9.9499999999999993" customHeight="1" x14ac:dyDescent="0.2">
      <c r="B280" s="327"/>
      <c r="C280" s="327"/>
      <c r="D280" s="327"/>
      <c r="F280" s="327"/>
      <c r="L280" s="327"/>
    </row>
    <row r="281" spans="2:12" s="326" customFormat="1" ht="9.9499999999999993" customHeight="1" x14ac:dyDescent="0.2">
      <c r="B281" s="327"/>
      <c r="C281" s="327"/>
      <c r="D281" s="327"/>
      <c r="F281" s="327"/>
      <c r="L281" s="327"/>
    </row>
    <row r="282" spans="2:12" s="326" customFormat="1" ht="9.9499999999999993" customHeight="1" x14ac:dyDescent="0.2">
      <c r="B282" s="327"/>
      <c r="C282" s="327"/>
      <c r="D282" s="327"/>
      <c r="F282" s="327"/>
      <c r="L282" s="327"/>
    </row>
    <row r="283" spans="2:12" s="326" customFormat="1" ht="9.9499999999999993" customHeight="1" x14ac:dyDescent="0.2">
      <c r="B283" s="327"/>
      <c r="C283" s="327"/>
      <c r="D283" s="327"/>
      <c r="F283" s="327"/>
      <c r="L283" s="327"/>
    </row>
    <row r="284" spans="2:12" s="326" customFormat="1" ht="9.9499999999999993" customHeight="1" x14ac:dyDescent="0.2">
      <c r="B284" s="327"/>
      <c r="C284" s="327"/>
      <c r="D284" s="327"/>
      <c r="F284" s="327"/>
      <c r="L284" s="327"/>
    </row>
    <row r="285" spans="2:12" s="326" customFormat="1" ht="9.9499999999999993" customHeight="1" x14ac:dyDescent="0.2">
      <c r="B285" s="327"/>
      <c r="C285" s="327"/>
      <c r="D285" s="327"/>
      <c r="F285" s="327"/>
      <c r="L285" s="327"/>
    </row>
    <row r="286" spans="2:12" s="326" customFormat="1" ht="9.9499999999999993" customHeight="1" x14ac:dyDescent="0.2">
      <c r="B286" s="327"/>
      <c r="C286" s="327"/>
      <c r="D286" s="327"/>
      <c r="F286" s="327"/>
      <c r="L286" s="327"/>
    </row>
    <row r="287" spans="2:12" s="326" customFormat="1" ht="9.9499999999999993" customHeight="1" x14ac:dyDescent="0.2">
      <c r="B287" s="327"/>
      <c r="C287" s="327"/>
      <c r="D287" s="327"/>
      <c r="F287" s="327"/>
      <c r="L287" s="327"/>
    </row>
    <row r="288" spans="2:12" s="326" customFormat="1" ht="9.9499999999999993" customHeight="1" x14ac:dyDescent="0.2">
      <c r="B288" s="327"/>
      <c r="C288" s="327"/>
      <c r="D288" s="327"/>
      <c r="F288" s="327"/>
      <c r="L288" s="327"/>
    </row>
    <row r="289" spans="2:12" s="326" customFormat="1" ht="9.9499999999999993" customHeight="1" x14ac:dyDescent="0.2">
      <c r="B289" s="327"/>
      <c r="C289" s="327"/>
      <c r="D289" s="327"/>
      <c r="F289" s="327"/>
      <c r="L289" s="327"/>
    </row>
    <row r="290" spans="2:12" s="326" customFormat="1" ht="9.9499999999999993" customHeight="1" x14ac:dyDescent="0.2">
      <c r="B290" s="327"/>
      <c r="C290" s="327"/>
      <c r="D290" s="327"/>
      <c r="F290" s="327"/>
      <c r="L290" s="327"/>
    </row>
    <row r="291" spans="2:12" s="326" customFormat="1" ht="9.9499999999999993" customHeight="1" x14ac:dyDescent="0.2">
      <c r="B291" s="327"/>
      <c r="C291" s="327"/>
      <c r="D291" s="327"/>
      <c r="F291" s="327"/>
      <c r="L291" s="327"/>
    </row>
    <row r="292" spans="2:12" s="326" customFormat="1" ht="9.9499999999999993" customHeight="1" x14ac:dyDescent="0.2">
      <c r="B292" s="327"/>
      <c r="C292" s="327"/>
      <c r="D292" s="327"/>
      <c r="F292" s="327"/>
      <c r="L292" s="327"/>
    </row>
    <row r="293" spans="2:12" s="326" customFormat="1" ht="9.9499999999999993" customHeight="1" x14ac:dyDescent="0.2">
      <c r="B293" s="327"/>
      <c r="C293" s="327"/>
      <c r="D293" s="327"/>
      <c r="F293" s="327"/>
      <c r="L293" s="327"/>
    </row>
    <row r="294" spans="2:12" s="326" customFormat="1" ht="9.9499999999999993" customHeight="1" x14ac:dyDescent="0.2">
      <c r="B294" s="327"/>
      <c r="C294" s="327"/>
      <c r="D294" s="327"/>
      <c r="F294" s="327"/>
      <c r="L294" s="327"/>
    </row>
    <row r="295" spans="2:12" s="326" customFormat="1" ht="9.9499999999999993" customHeight="1" x14ac:dyDescent="0.2">
      <c r="B295" s="327"/>
      <c r="C295" s="327"/>
      <c r="D295" s="327"/>
      <c r="F295" s="327"/>
      <c r="L295" s="327"/>
    </row>
    <row r="296" spans="2:12" s="326" customFormat="1" ht="9.9499999999999993" customHeight="1" x14ac:dyDescent="0.2">
      <c r="B296" s="327"/>
      <c r="C296" s="327"/>
      <c r="D296" s="327"/>
      <c r="F296" s="327"/>
      <c r="L296" s="327"/>
    </row>
    <row r="297" spans="2:12" s="326" customFormat="1" ht="9.9499999999999993" customHeight="1" x14ac:dyDescent="0.2">
      <c r="B297" s="327"/>
      <c r="C297" s="327"/>
      <c r="D297" s="327"/>
      <c r="F297" s="327"/>
      <c r="L297" s="327"/>
    </row>
    <row r="298" spans="2:12" s="326" customFormat="1" ht="9.9499999999999993" customHeight="1" x14ac:dyDescent="0.2">
      <c r="B298" s="327"/>
      <c r="C298" s="327"/>
      <c r="D298" s="327"/>
      <c r="F298" s="327"/>
      <c r="L298" s="327"/>
    </row>
    <row r="299" spans="2:12" s="326" customFormat="1" ht="9.9499999999999993" customHeight="1" x14ac:dyDescent="0.2">
      <c r="B299" s="327"/>
      <c r="C299" s="327"/>
      <c r="D299" s="327"/>
      <c r="F299" s="327"/>
      <c r="L299" s="327"/>
    </row>
    <row r="300" spans="2:12" s="326" customFormat="1" ht="9.9499999999999993" customHeight="1" x14ac:dyDescent="0.2">
      <c r="B300" s="327"/>
      <c r="C300" s="327"/>
      <c r="D300" s="327"/>
      <c r="F300" s="327"/>
      <c r="L300" s="327"/>
    </row>
    <row r="301" spans="2:12" s="326" customFormat="1" ht="9.9499999999999993" customHeight="1" x14ac:dyDescent="0.2">
      <c r="B301" s="327"/>
      <c r="C301" s="327"/>
      <c r="D301" s="327"/>
      <c r="F301" s="327"/>
      <c r="L301" s="327"/>
    </row>
    <row r="302" spans="2:12" s="326" customFormat="1" ht="9.9499999999999993" customHeight="1" x14ac:dyDescent="0.2">
      <c r="B302" s="327"/>
      <c r="C302" s="327"/>
      <c r="D302" s="327"/>
      <c r="F302" s="327"/>
      <c r="L302" s="327"/>
    </row>
    <row r="303" spans="2:12" s="326" customFormat="1" ht="9.9499999999999993" customHeight="1" x14ac:dyDescent="0.2">
      <c r="B303" s="327"/>
      <c r="C303" s="327"/>
      <c r="D303" s="327"/>
      <c r="F303" s="327"/>
      <c r="L303" s="327"/>
    </row>
    <row r="304" spans="2:12" s="326" customFormat="1" ht="9.9499999999999993" customHeight="1" x14ac:dyDescent="0.2">
      <c r="B304" s="327"/>
      <c r="C304" s="327"/>
      <c r="D304" s="327"/>
      <c r="F304" s="327"/>
      <c r="L304" s="327"/>
    </row>
    <row r="305" spans="2:12" s="326" customFormat="1" ht="9.9499999999999993" customHeight="1" x14ac:dyDescent="0.2">
      <c r="B305" s="327"/>
      <c r="C305" s="327"/>
      <c r="D305" s="327"/>
      <c r="F305" s="327"/>
      <c r="L305" s="327"/>
    </row>
    <row r="306" spans="2:12" s="326" customFormat="1" ht="9.9499999999999993" customHeight="1" x14ac:dyDescent="0.2">
      <c r="B306" s="327"/>
      <c r="C306" s="327"/>
      <c r="D306" s="327"/>
      <c r="F306" s="327"/>
      <c r="L306" s="327"/>
    </row>
    <row r="307" spans="2:12" s="326" customFormat="1" ht="9.9499999999999993" customHeight="1" x14ac:dyDescent="0.2">
      <c r="B307" s="327"/>
      <c r="C307" s="327"/>
      <c r="D307" s="327"/>
      <c r="F307" s="327"/>
      <c r="L307" s="327"/>
    </row>
    <row r="308" spans="2:12" s="326" customFormat="1" ht="9.9499999999999993" customHeight="1" x14ac:dyDescent="0.2">
      <c r="B308" s="327"/>
      <c r="C308" s="327"/>
      <c r="D308" s="327"/>
      <c r="F308" s="327"/>
      <c r="L308" s="327"/>
    </row>
    <row r="309" spans="2:12" s="326" customFormat="1" ht="9.9499999999999993" customHeight="1" x14ac:dyDescent="0.2">
      <c r="B309" s="327"/>
      <c r="C309" s="327"/>
      <c r="D309" s="327"/>
      <c r="F309" s="327"/>
      <c r="L309" s="327"/>
    </row>
    <row r="310" spans="2:12" s="326" customFormat="1" ht="9.9499999999999993" customHeight="1" x14ac:dyDescent="0.2">
      <c r="B310" s="327"/>
      <c r="C310" s="327"/>
      <c r="D310" s="327"/>
      <c r="F310" s="327"/>
      <c r="L310" s="327"/>
    </row>
    <row r="311" spans="2:12" s="326" customFormat="1" ht="9.9499999999999993" customHeight="1" x14ac:dyDescent="0.2">
      <c r="B311" s="327"/>
      <c r="C311" s="327"/>
      <c r="D311" s="327"/>
      <c r="F311" s="327"/>
      <c r="L311" s="327"/>
    </row>
    <row r="312" spans="2:12" s="326" customFormat="1" ht="9.9499999999999993" customHeight="1" x14ac:dyDescent="0.2">
      <c r="B312" s="327"/>
      <c r="C312" s="327"/>
      <c r="D312" s="327"/>
      <c r="F312" s="327"/>
      <c r="L312" s="327"/>
    </row>
    <row r="313" spans="2:12" s="326" customFormat="1" ht="9.9499999999999993" customHeight="1" x14ac:dyDescent="0.2">
      <c r="B313" s="327"/>
      <c r="C313" s="327"/>
      <c r="D313" s="327"/>
      <c r="F313" s="327"/>
      <c r="L313" s="327"/>
    </row>
    <row r="314" spans="2:12" s="326" customFormat="1" ht="9.9499999999999993" customHeight="1" x14ac:dyDescent="0.2">
      <c r="B314" s="327"/>
      <c r="C314" s="327"/>
      <c r="D314" s="327"/>
      <c r="F314" s="327"/>
      <c r="L314" s="327"/>
    </row>
    <row r="315" spans="2:12" s="326" customFormat="1" ht="9.9499999999999993" customHeight="1" x14ac:dyDescent="0.2">
      <c r="B315" s="327"/>
      <c r="C315" s="327"/>
      <c r="D315" s="327"/>
      <c r="F315" s="327"/>
      <c r="L315" s="327"/>
    </row>
    <row r="316" spans="2:12" s="326" customFormat="1" ht="9.9499999999999993" customHeight="1" x14ac:dyDescent="0.2">
      <c r="B316" s="327"/>
      <c r="C316" s="327"/>
      <c r="D316" s="327"/>
      <c r="F316" s="327"/>
      <c r="L316" s="327"/>
    </row>
    <row r="317" spans="2:12" s="326" customFormat="1" ht="9.9499999999999993" customHeight="1" x14ac:dyDescent="0.2">
      <c r="B317" s="327"/>
      <c r="C317" s="327"/>
      <c r="D317" s="327"/>
      <c r="F317" s="327"/>
      <c r="L317" s="327"/>
    </row>
    <row r="318" spans="2:12" s="326" customFormat="1" ht="9.9499999999999993" customHeight="1" x14ac:dyDescent="0.2">
      <c r="B318" s="327"/>
      <c r="C318" s="327"/>
      <c r="D318" s="327"/>
      <c r="F318" s="327"/>
      <c r="L318" s="327"/>
    </row>
    <row r="319" spans="2:12" s="326" customFormat="1" ht="9.9499999999999993" customHeight="1" x14ac:dyDescent="0.2">
      <c r="B319" s="327"/>
      <c r="C319" s="327"/>
      <c r="D319" s="327"/>
      <c r="F319" s="327"/>
      <c r="L319" s="327"/>
    </row>
    <row r="320" spans="2:12" s="326" customFormat="1" ht="9.9499999999999993" customHeight="1" x14ac:dyDescent="0.2">
      <c r="B320" s="327"/>
      <c r="C320" s="327"/>
      <c r="D320" s="327"/>
      <c r="F320" s="327"/>
      <c r="L320" s="327"/>
    </row>
    <row r="321" spans="2:12" s="326" customFormat="1" ht="9.9499999999999993" customHeight="1" x14ac:dyDescent="0.2">
      <c r="B321" s="327"/>
      <c r="C321" s="327"/>
      <c r="D321" s="327"/>
      <c r="F321" s="327"/>
      <c r="L321" s="327"/>
    </row>
    <row r="322" spans="2:12" s="326" customFormat="1" ht="9.9499999999999993" customHeight="1" x14ac:dyDescent="0.2">
      <c r="B322" s="327"/>
      <c r="C322" s="327"/>
      <c r="D322" s="327"/>
      <c r="F322" s="327"/>
      <c r="L322" s="327"/>
    </row>
    <row r="323" spans="2:12" s="326" customFormat="1" ht="9.9499999999999993" customHeight="1" x14ac:dyDescent="0.2">
      <c r="B323" s="327"/>
      <c r="C323" s="327"/>
      <c r="D323" s="327"/>
      <c r="F323" s="327"/>
      <c r="L323" s="327"/>
    </row>
    <row r="324" spans="2:12" s="326" customFormat="1" ht="9.9499999999999993" customHeight="1" x14ac:dyDescent="0.2">
      <c r="B324" s="327"/>
      <c r="C324" s="327"/>
      <c r="D324" s="327"/>
      <c r="F324" s="327"/>
      <c r="L324" s="327"/>
    </row>
    <row r="325" spans="2:12" s="326" customFormat="1" ht="9.9499999999999993" customHeight="1" x14ac:dyDescent="0.2">
      <c r="B325" s="327"/>
      <c r="C325" s="327"/>
      <c r="D325" s="327"/>
      <c r="F325" s="327"/>
      <c r="L325" s="327"/>
    </row>
    <row r="326" spans="2:12" s="326" customFormat="1" ht="9.9499999999999993" customHeight="1" x14ac:dyDescent="0.2">
      <c r="B326" s="327"/>
      <c r="C326" s="327"/>
      <c r="D326" s="327"/>
      <c r="F326" s="327"/>
      <c r="L326" s="327"/>
    </row>
    <row r="327" spans="2:12" s="326" customFormat="1" ht="9.9499999999999993" customHeight="1" x14ac:dyDescent="0.2">
      <c r="B327" s="327"/>
      <c r="C327" s="327"/>
      <c r="D327" s="327"/>
      <c r="F327" s="327"/>
      <c r="L327" s="327"/>
    </row>
    <row r="328" spans="2:12" s="326" customFormat="1" ht="9.9499999999999993" customHeight="1" x14ac:dyDescent="0.2">
      <c r="B328" s="327"/>
      <c r="C328" s="327"/>
      <c r="D328" s="327"/>
      <c r="F328" s="327"/>
      <c r="L328" s="327"/>
    </row>
    <row r="329" spans="2:12" s="326" customFormat="1" ht="9.9499999999999993" customHeight="1" x14ac:dyDescent="0.2">
      <c r="B329" s="327"/>
      <c r="C329" s="327"/>
      <c r="D329" s="327"/>
      <c r="F329" s="327"/>
      <c r="L329" s="327"/>
    </row>
    <row r="330" spans="2:12" s="326" customFormat="1" ht="9.9499999999999993" customHeight="1" x14ac:dyDescent="0.2">
      <c r="B330" s="327"/>
      <c r="C330" s="327"/>
      <c r="D330" s="327"/>
      <c r="F330" s="327"/>
      <c r="L330" s="327"/>
    </row>
    <row r="331" spans="2:12" s="326" customFormat="1" ht="9.9499999999999993" customHeight="1" x14ac:dyDescent="0.2">
      <c r="B331" s="327"/>
      <c r="C331" s="327"/>
      <c r="D331" s="327"/>
      <c r="F331" s="327"/>
      <c r="L331" s="327"/>
    </row>
    <row r="332" spans="2:12" s="326" customFormat="1" ht="9.9499999999999993" customHeight="1" x14ac:dyDescent="0.2">
      <c r="B332" s="327"/>
      <c r="C332" s="327"/>
      <c r="D332" s="327"/>
      <c r="F332" s="327"/>
      <c r="L332" s="327"/>
    </row>
    <row r="333" spans="2:12" s="326" customFormat="1" ht="9.9499999999999993" customHeight="1" x14ac:dyDescent="0.2">
      <c r="B333" s="327"/>
      <c r="C333" s="327"/>
      <c r="D333" s="327"/>
      <c r="F333" s="327"/>
      <c r="L333" s="327"/>
    </row>
    <row r="334" spans="2:12" s="326" customFormat="1" ht="9.9499999999999993" customHeight="1" x14ac:dyDescent="0.2">
      <c r="B334" s="327"/>
      <c r="C334" s="327"/>
      <c r="D334" s="327"/>
      <c r="F334" s="327"/>
      <c r="L334" s="327"/>
    </row>
    <row r="335" spans="2:12" s="326" customFormat="1" ht="9.9499999999999993" customHeight="1" x14ac:dyDescent="0.2">
      <c r="B335" s="327"/>
      <c r="C335" s="327"/>
      <c r="D335" s="327"/>
      <c r="F335" s="327"/>
      <c r="L335" s="327"/>
    </row>
    <row r="336" spans="2:12" s="326" customFormat="1" ht="9.9499999999999993" customHeight="1" x14ac:dyDescent="0.2">
      <c r="B336" s="327"/>
      <c r="C336" s="327"/>
      <c r="D336" s="327"/>
      <c r="F336" s="327"/>
      <c r="L336" s="327"/>
    </row>
    <row r="337" spans="2:12" s="326" customFormat="1" ht="9.9499999999999993" customHeight="1" x14ac:dyDescent="0.2">
      <c r="B337" s="327"/>
      <c r="C337" s="327"/>
      <c r="D337" s="327"/>
      <c r="F337" s="327"/>
      <c r="L337" s="327"/>
    </row>
    <row r="338" spans="2:12" s="326" customFormat="1" ht="9.9499999999999993" customHeight="1" x14ac:dyDescent="0.2">
      <c r="B338" s="327"/>
      <c r="C338" s="327"/>
      <c r="D338" s="327"/>
      <c r="F338" s="327"/>
      <c r="L338" s="327"/>
    </row>
    <row r="339" spans="2:12" s="326" customFormat="1" ht="9.9499999999999993" customHeight="1" x14ac:dyDescent="0.2">
      <c r="B339" s="327"/>
      <c r="C339" s="327"/>
      <c r="D339" s="327"/>
      <c r="F339" s="327"/>
      <c r="L339" s="327"/>
    </row>
    <row r="340" spans="2:12" s="326" customFormat="1" ht="9.9499999999999993" customHeight="1" x14ac:dyDescent="0.2">
      <c r="B340" s="327"/>
      <c r="C340" s="327"/>
      <c r="D340" s="327"/>
      <c r="F340" s="327"/>
      <c r="L340" s="327"/>
    </row>
    <row r="341" spans="2:12" s="326" customFormat="1" ht="9.9499999999999993" customHeight="1" x14ac:dyDescent="0.2">
      <c r="B341" s="327"/>
      <c r="C341" s="327"/>
      <c r="D341" s="327"/>
      <c r="F341" s="327"/>
      <c r="L341" s="327"/>
    </row>
    <row r="342" spans="2:12" s="326" customFormat="1" ht="9.9499999999999993" customHeight="1" x14ac:dyDescent="0.2">
      <c r="B342" s="327"/>
      <c r="C342" s="327"/>
      <c r="D342" s="327"/>
      <c r="F342" s="327"/>
      <c r="L342" s="327"/>
    </row>
    <row r="343" spans="2:12" s="326" customFormat="1" ht="9.9499999999999993" customHeight="1" x14ac:dyDescent="0.2">
      <c r="B343" s="327"/>
      <c r="C343" s="327"/>
      <c r="D343" s="327"/>
      <c r="F343" s="327"/>
      <c r="L343" s="327"/>
    </row>
    <row r="344" spans="2:12" s="326" customFormat="1" ht="9.9499999999999993" customHeight="1" x14ac:dyDescent="0.2">
      <c r="B344" s="327"/>
      <c r="C344" s="327"/>
      <c r="D344" s="327"/>
      <c r="F344" s="327"/>
      <c r="L344" s="327"/>
    </row>
    <row r="345" spans="2:12" s="326" customFormat="1" ht="9.9499999999999993" customHeight="1" x14ac:dyDescent="0.2">
      <c r="B345" s="327"/>
      <c r="C345" s="327"/>
      <c r="D345" s="327"/>
      <c r="F345" s="327"/>
      <c r="L345" s="327"/>
    </row>
    <row r="346" spans="2:12" s="326" customFormat="1" ht="9.9499999999999993" customHeight="1" x14ac:dyDescent="0.2">
      <c r="B346" s="327"/>
      <c r="C346" s="327"/>
      <c r="D346" s="327"/>
      <c r="F346" s="327"/>
      <c r="L346" s="327"/>
    </row>
    <row r="347" spans="2:12" s="326" customFormat="1" ht="9.9499999999999993" customHeight="1" x14ac:dyDescent="0.2">
      <c r="B347" s="327"/>
      <c r="C347" s="327"/>
      <c r="D347" s="327"/>
      <c r="F347" s="327"/>
      <c r="L347" s="327"/>
    </row>
    <row r="348" spans="2:12" s="326" customFormat="1" ht="9.9499999999999993" customHeight="1" x14ac:dyDescent="0.2">
      <c r="B348" s="327"/>
      <c r="C348" s="327"/>
      <c r="D348" s="327"/>
      <c r="F348" s="327"/>
      <c r="L348" s="327"/>
    </row>
    <row r="349" spans="2:12" s="326" customFormat="1" ht="9.9499999999999993" customHeight="1" x14ac:dyDescent="0.2">
      <c r="B349" s="327"/>
      <c r="C349" s="327"/>
      <c r="D349" s="327"/>
      <c r="F349" s="327"/>
      <c r="L349" s="327"/>
    </row>
    <row r="350" spans="2:12" s="326" customFormat="1" ht="9.9499999999999993" customHeight="1" x14ac:dyDescent="0.2">
      <c r="B350" s="327"/>
      <c r="C350" s="327"/>
      <c r="D350" s="327"/>
      <c r="F350" s="327"/>
      <c r="L350" s="327"/>
    </row>
    <row r="351" spans="2:12" s="326" customFormat="1" ht="9.9499999999999993" customHeight="1" x14ac:dyDescent="0.2">
      <c r="B351" s="327"/>
      <c r="C351" s="327"/>
      <c r="D351" s="327"/>
      <c r="F351" s="327"/>
      <c r="L351" s="327"/>
    </row>
    <row r="352" spans="2:12" s="326" customFormat="1" ht="9.9499999999999993" customHeight="1" x14ac:dyDescent="0.2">
      <c r="B352" s="327"/>
      <c r="C352" s="327"/>
      <c r="D352" s="327"/>
      <c r="F352" s="327"/>
      <c r="L352" s="327"/>
    </row>
    <row r="353" spans="2:12" s="326" customFormat="1" ht="9.9499999999999993" customHeight="1" x14ac:dyDescent="0.2">
      <c r="B353" s="327"/>
      <c r="C353" s="327"/>
      <c r="D353" s="327"/>
      <c r="F353" s="327"/>
      <c r="L353" s="327"/>
    </row>
    <row r="354" spans="2:12" s="326" customFormat="1" ht="9.9499999999999993" customHeight="1" x14ac:dyDescent="0.2">
      <c r="B354" s="327"/>
      <c r="C354" s="327"/>
      <c r="D354" s="327"/>
      <c r="F354" s="327"/>
      <c r="L354" s="327"/>
    </row>
    <row r="355" spans="2:12" s="326" customFormat="1" ht="9.9499999999999993" customHeight="1" x14ac:dyDescent="0.2">
      <c r="B355" s="327"/>
      <c r="C355" s="327"/>
      <c r="D355" s="327"/>
      <c r="F355" s="327"/>
      <c r="L355" s="327"/>
    </row>
    <row r="356" spans="2:12" s="326" customFormat="1" ht="9.9499999999999993" customHeight="1" x14ac:dyDescent="0.2">
      <c r="B356" s="327"/>
      <c r="C356" s="327"/>
      <c r="D356" s="327"/>
      <c r="F356" s="327"/>
      <c r="L356" s="327"/>
    </row>
    <row r="357" spans="2:12" s="326" customFormat="1" ht="9.9499999999999993" customHeight="1" x14ac:dyDescent="0.2">
      <c r="B357" s="327"/>
      <c r="C357" s="327"/>
      <c r="D357" s="327"/>
      <c r="F357" s="327"/>
      <c r="L357" s="327"/>
    </row>
    <row r="358" spans="2:12" s="326" customFormat="1" ht="9.9499999999999993" customHeight="1" x14ac:dyDescent="0.2">
      <c r="B358" s="327"/>
      <c r="C358" s="327"/>
      <c r="D358" s="327"/>
      <c r="F358" s="327"/>
      <c r="L358" s="327"/>
    </row>
    <row r="359" spans="2:12" s="326" customFormat="1" ht="9.9499999999999993" customHeight="1" x14ac:dyDescent="0.2">
      <c r="B359" s="327"/>
      <c r="C359" s="327"/>
      <c r="D359" s="327"/>
      <c r="F359" s="327"/>
      <c r="L359" s="327"/>
    </row>
    <row r="360" spans="2:12" s="326" customFormat="1" ht="9.9499999999999993" customHeight="1" x14ac:dyDescent="0.2">
      <c r="B360" s="327"/>
      <c r="C360" s="327"/>
      <c r="D360" s="327"/>
      <c r="F360" s="327"/>
      <c r="L360" s="327"/>
    </row>
    <row r="361" spans="2:12" s="326" customFormat="1" ht="9.9499999999999993" customHeight="1" x14ac:dyDescent="0.2">
      <c r="B361" s="327"/>
      <c r="C361" s="327"/>
      <c r="D361" s="327"/>
      <c r="F361" s="327"/>
      <c r="L361" s="327"/>
    </row>
    <row r="362" spans="2:12" s="326" customFormat="1" ht="9.9499999999999993" customHeight="1" x14ac:dyDescent="0.2">
      <c r="B362" s="327"/>
      <c r="C362" s="327"/>
      <c r="D362" s="327"/>
      <c r="F362" s="327"/>
      <c r="L362" s="327"/>
    </row>
    <row r="363" spans="2:12" s="326" customFormat="1" ht="9.9499999999999993" customHeight="1" x14ac:dyDescent="0.2">
      <c r="B363" s="327"/>
      <c r="C363" s="327"/>
      <c r="D363" s="327"/>
      <c r="F363" s="327"/>
      <c r="L363" s="327"/>
    </row>
    <row r="364" spans="2:12" s="326" customFormat="1" ht="9.9499999999999993" customHeight="1" x14ac:dyDescent="0.2">
      <c r="B364" s="327"/>
      <c r="C364" s="327"/>
      <c r="D364" s="327"/>
      <c r="F364" s="327"/>
      <c r="L364" s="327"/>
    </row>
    <row r="365" spans="2:12" s="326" customFormat="1" ht="9.9499999999999993" customHeight="1" x14ac:dyDescent="0.2">
      <c r="B365" s="327"/>
      <c r="C365" s="327"/>
      <c r="D365" s="327"/>
      <c r="F365" s="327"/>
      <c r="L365" s="327"/>
    </row>
    <row r="366" spans="2:12" s="326" customFormat="1" ht="9.9499999999999993" customHeight="1" x14ac:dyDescent="0.2">
      <c r="B366" s="327"/>
      <c r="C366" s="327"/>
      <c r="D366" s="327"/>
      <c r="F366" s="327"/>
      <c r="L366" s="327"/>
    </row>
    <row r="367" spans="2:12" s="326" customFormat="1" ht="9.9499999999999993" customHeight="1" x14ac:dyDescent="0.2">
      <c r="B367" s="327"/>
      <c r="C367" s="327"/>
      <c r="D367" s="327"/>
      <c r="F367" s="327"/>
      <c r="L367" s="327"/>
    </row>
    <row r="368" spans="2:12" s="326" customFormat="1" ht="9.9499999999999993" customHeight="1" x14ac:dyDescent="0.2">
      <c r="B368" s="327"/>
      <c r="C368" s="327"/>
      <c r="D368" s="327"/>
      <c r="F368" s="327"/>
      <c r="L368" s="327"/>
    </row>
    <row r="369" spans="2:12" s="326" customFormat="1" ht="9.9499999999999993" customHeight="1" x14ac:dyDescent="0.2">
      <c r="B369" s="327"/>
      <c r="C369" s="327"/>
      <c r="D369" s="327"/>
      <c r="F369" s="327"/>
      <c r="L369" s="327"/>
    </row>
    <row r="370" spans="2:12" s="326" customFormat="1" ht="9.9499999999999993" customHeight="1" x14ac:dyDescent="0.2">
      <c r="B370" s="327"/>
      <c r="C370" s="327"/>
      <c r="D370" s="327"/>
      <c r="F370" s="327"/>
      <c r="L370" s="327"/>
    </row>
    <row r="371" spans="2:12" s="326" customFormat="1" ht="9.9499999999999993" customHeight="1" x14ac:dyDescent="0.2">
      <c r="B371" s="327"/>
      <c r="C371" s="327"/>
      <c r="D371" s="327"/>
      <c r="F371" s="327"/>
      <c r="L371" s="327"/>
    </row>
    <row r="372" spans="2:12" s="326" customFormat="1" ht="9.9499999999999993" customHeight="1" x14ac:dyDescent="0.2">
      <c r="B372" s="327"/>
      <c r="C372" s="327"/>
      <c r="D372" s="327"/>
      <c r="F372" s="327"/>
      <c r="L372" s="327"/>
    </row>
    <row r="373" spans="2:12" s="326" customFormat="1" ht="9.9499999999999993" customHeight="1" x14ac:dyDescent="0.2">
      <c r="B373" s="327"/>
      <c r="C373" s="327"/>
      <c r="D373" s="327"/>
      <c r="F373" s="327"/>
      <c r="L373" s="327"/>
    </row>
    <row r="374" spans="2:12" s="326" customFormat="1" ht="9.9499999999999993" customHeight="1" x14ac:dyDescent="0.2">
      <c r="B374" s="327"/>
      <c r="C374" s="327"/>
      <c r="D374" s="327"/>
      <c r="F374" s="327"/>
      <c r="L374" s="327"/>
    </row>
    <row r="375" spans="2:12" s="326" customFormat="1" ht="9.9499999999999993" customHeight="1" x14ac:dyDescent="0.2">
      <c r="B375" s="327"/>
      <c r="C375" s="327"/>
      <c r="D375" s="327"/>
      <c r="F375" s="327"/>
      <c r="L375" s="327"/>
    </row>
    <row r="376" spans="2:12" s="326" customFormat="1" ht="9.9499999999999993" customHeight="1" x14ac:dyDescent="0.2">
      <c r="B376" s="327"/>
      <c r="C376" s="327"/>
      <c r="D376" s="327"/>
      <c r="F376" s="327"/>
      <c r="L376" s="327"/>
    </row>
    <row r="377" spans="2:12" s="326" customFormat="1" ht="9.9499999999999993" customHeight="1" x14ac:dyDescent="0.2">
      <c r="B377" s="327"/>
      <c r="C377" s="327"/>
      <c r="D377" s="327"/>
      <c r="F377" s="327"/>
      <c r="L377" s="327"/>
    </row>
    <row r="378" spans="2:12" s="326" customFormat="1" ht="9.9499999999999993" customHeight="1" x14ac:dyDescent="0.2">
      <c r="B378" s="327"/>
      <c r="C378" s="327"/>
      <c r="D378" s="327"/>
      <c r="F378" s="327"/>
      <c r="L378" s="327"/>
    </row>
    <row r="379" spans="2:12" s="326" customFormat="1" ht="9.9499999999999993" customHeight="1" x14ac:dyDescent="0.2">
      <c r="B379" s="327"/>
      <c r="C379" s="327"/>
      <c r="D379" s="327"/>
      <c r="F379" s="327"/>
      <c r="L379" s="327"/>
    </row>
    <row r="380" spans="2:12" s="326" customFormat="1" ht="9.9499999999999993" customHeight="1" x14ac:dyDescent="0.2">
      <c r="B380" s="327"/>
      <c r="C380" s="327"/>
      <c r="D380" s="327"/>
      <c r="F380" s="327"/>
      <c r="L380" s="327"/>
    </row>
    <row r="381" spans="2:12" s="326" customFormat="1" ht="9.9499999999999993" customHeight="1" x14ac:dyDescent="0.2">
      <c r="B381" s="327"/>
      <c r="C381" s="327"/>
      <c r="D381" s="327"/>
      <c r="F381" s="327"/>
      <c r="L381" s="327"/>
    </row>
    <row r="382" spans="2:12" s="326" customFormat="1" ht="9.9499999999999993" customHeight="1" x14ac:dyDescent="0.2">
      <c r="B382" s="327"/>
      <c r="C382" s="327"/>
      <c r="D382" s="327"/>
      <c r="F382" s="327"/>
      <c r="L382" s="327"/>
    </row>
    <row r="383" spans="2:12" s="326" customFormat="1" ht="9.9499999999999993" customHeight="1" x14ac:dyDescent="0.2">
      <c r="B383" s="327"/>
      <c r="C383" s="327"/>
      <c r="D383" s="327"/>
      <c r="F383" s="327"/>
      <c r="L383" s="327"/>
    </row>
    <row r="384" spans="2:12" s="326" customFormat="1" ht="9.9499999999999993" customHeight="1" x14ac:dyDescent="0.2">
      <c r="B384" s="327"/>
      <c r="C384" s="327"/>
      <c r="D384" s="327"/>
      <c r="F384" s="327"/>
      <c r="L384" s="327"/>
    </row>
    <row r="385" spans="2:12" s="326" customFormat="1" ht="9.9499999999999993" customHeight="1" x14ac:dyDescent="0.2">
      <c r="B385" s="327"/>
      <c r="C385" s="327"/>
      <c r="D385" s="327"/>
      <c r="F385" s="327"/>
      <c r="L385" s="327"/>
    </row>
    <row r="386" spans="2:12" s="326" customFormat="1" ht="9.9499999999999993" customHeight="1" x14ac:dyDescent="0.2">
      <c r="B386" s="327"/>
      <c r="C386" s="327"/>
      <c r="D386" s="327"/>
      <c r="F386" s="327"/>
      <c r="L386" s="327"/>
    </row>
    <row r="387" spans="2:12" s="326" customFormat="1" ht="9.9499999999999993" customHeight="1" x14ac:dyDescent="0.2">
      <c r="B387" s="327"/>
      <c r="C387" s="327"/>
      <c r="D387" s="327"/>
      <c r="F387" s="327"/>
      <c r="L387" s="327"/>
    </row>
    <row r="388" spans="2:12" s="326" customFormat="1" ht="9.9499999999999993" customHeight="1" x14ac:dyDescent="0.2">
      <c r="B388" s="327"/>
      <c r="C388" s="327"/>
      <c r="D388" s="327"/>
      <c r="F388" s="327"/>
      <c r="L388" s="327"/>
    </row>
    <row r="389" spans="2:12" s="326" customFormat="1" ht="9.9499999999999993" customHeight="1" x14ac:dyDescent="0.2">
      <c r="B389" s="327"/>
      <c r="C389" s="327"/>
      <c r="D389" s="327"/>
      <c r="F389" s="327"/>
      <c r="L389" s="327"/>
    </row>
    <row r="390" spans="2:12" s="326" customFormat="1" ht="9.9499999999999993" customHeight="1" x14ac:dyDescent="0.2">
      <c r="B390" s="327"/>
      <c r="C390" s="327"/>
      <c r="D390" s="327"/>
      <c r="F390" s="327"/>
      <c r="L390" s="327"/>
    </row>
    <row r="391" spans="2:12" s="326" customFormat="1" ht="9.9499999999999993" customHeight="1" x14ac:dyDescent="0.2">
      <c r="B391" s="327"/>
      <c r="C391" s="327"/>
      <c r="D391" s="327"/>
      <c r="F391" s="327"/>
      <c r="L391" s="327"/>
    </row>
    <row r="392" spans="2:12" s="326" customFormat="1" ht="9.9499999999999993" customHeight="1" x14ac:dyDescent="0.2">
      <c r="B392" s="327"/>
      <c r="C392" s="327"/>
      <c r="D392" s="327"/>
      <c r="F392" s="327"/>
      <c r="L392" s="327"/>
    </row>
    <row r="393" spans="2:12" s="326" customFormat="1" ht="9.9499999999999993" customHeight="1" x14ac:dyDescent="0.2">
      <c r="B393" s="327"/>
      <c r="C393" s="327"/>
      <c r="D393" s="327"/>
      <c r="F393" s="327"/>
      <c r="L393" s="327"/>
    </row>
    <row r="394" spans="2:12" s="326" customFormat="1" ht="9.9499999999999993" customHeight="1" x14ac:dyDescent="0.2">
      <c r="B394" s="327"/>
      <c r="C394" s="327"/>
      <c r="D394" s="327"/>
      <c r="F394" s="327"/>
      <c r="L394" s="327"/>
    </row>
    <row r="395" spans="2:12" s="326" customFormat="1" ht="9.9499999999999993" customHeight="1" x14ac:dyDescent="0.2">
      <c r="B395" s="327"/>
      <c r="C395" s="327"/>
      <c r="D395" s="327"/>
      <c r="F395" s="327"/>
      <c r="L395" s="327"/>
    </row>
    <row r="396" spans="2:12" s="326" customFormat="1" ht="9.9499999999999993" customHeight="1" x14ac:dyDescent="0.2">
      <c r="B396" s="327"/>
      <c r="C396" s="327"/>
      <c r="D396" s="327"/>
      <c r="F396" s="327"/>
      <c r="L396" s="327"/>
    </row>
    <row r="397" spans="2:12" s="326" customFormat="1" ht="9.9499999999999993" customHeight="1" x14ac:dyDescent="0.2">
      <c r="B397" s="327"/>
      <c r="C397" s="327"/>
      <c r="D397" s="327"/>
      <c r="F397" s="327"/>
      <c r="L397" s="327"/>
    </row>
    <row r="398" spans="2:12" s="326" customFormat="1" ht="9.9499999999999993" customHeight="1" x14ac:dyDescent="0.2">
      <c r="B398" s="327"/>
      <c r="C398" s="327"/>
      <c r="D398" s="327"/>
      <c r="F398" s="327"/>
      <c r="L398" s="327"/>
    </row>
    <row r="399" spans="2:12" s="326" customFormat="1" ht="9.9499999999999993" customHeight="1" x14ac:dyDescent="0.2">
      <c r="B399" s="327"/>
      <c r="C399" s="327"/>
      <c r="D399" s="327"/>
      <c r="F399" s="327"/>
      <c r="L399" s="327"/>
    </row>
    <row r="400" spans="2:12" s="326" customFormat="1" ht="9.9499999999999993" customHeight="1" x14ac:dyDescent="0.2">
      <c r="B400" s="327"/>
      <c r="C400" s="327"/>
      <c r="D400" s="327"/>
      <c r="F400" s="327"/>
      <c r="L400" s="327"/>
    </row>
    <row r="401" spans="2:12" s="326" customFormat="1" ht="9.9499999999999993" customHeight="1" x14ac:dyDescent="0.2">
      <c r="B401" s="327"/>
      <c r="C401" s="327"/>
      <c r="D401" s="327"/>
      <c r="F401" s="327"/>
      <c r="L401" s="327"/>
    </row>
    <row r="402" spans="2:12" s="326" customFormat="1" ht="9.9499999999999993" customHeight="1" x14ac:dyDescent="0.2">
      <c r="B402" s="327"/>
      <c r="C402" s="327"/>
      <c r="D402" s="327"/>
      <c r="F402" s="327"/>
      <c r="L402" s="327"/>
    </row>
    <row r="403" spans="2:12" s="326" customFormat="1" ht="9.9499999999999993" customHeight="1" x14ac:dyDescent="0.2">
      <c r="B403" s="327"/>
      <c r="C403" s="327"/>
      <c r="D403" s="327"/>
      <c r="F403" s="327"/>
      <c r="L403" s="327"/>
    </row>
    <row r="404" spans="2:12" s="326" customFormat="1" ht="9.9499999999999993" customHeight="1" x14ac:dyDescent="0.2">
      <c r="B404" s="327"/>
      <c r="C404" s="327"/>
      <c r="D404" s="327"/>
      <c r="F404" s="327"/>
      <c r="L404" s="327"/>
    </row>
    <row r="405" spans="2:12" s="326" customFormat="1" ht="9.9499999999999993" customHeight="1" x14ac:dyDescent="0.2">
      <c r="B405" s="327"/>
      <c r="C405" s="327"/>
      <c r="D405" s="327"/>
      <c r="F405" s="327"/>
      <c r="L405" s="327"/>
    </row>
    <row r="406" spans="2:12" s="326" customFormat="1" ht="9.9499999999999993" customHeight="1" x14ac:dyDescent="0.2">
      <c r="B406" s="327"/>
      <c r="C406" s="327"/>
      <c r="D406" s="327"/>
      <c r="F406" s="327"/>
      <c r="L406" s="327"/>
    </row>
    <row r="407" spans="2:12" s="326" customFormat="1" ht="9.9499999999999993" customHeight="1" x14ac:dyDescent="0.2">
      <c r="B407" s="327"/>
      <c r="C407" s="327"/>
      <c r="D407" s="327"/>
      <c r="F407" s="327"/>
      <c r="L407" s="327"/>
    </row>
    <row r="408" spans="2:12" s="326" customFormat="1" ht="9.9499999999999993" customHeight="1" x14ac:dyDescent="0.2">
      <c r="B408" s="327"/>
      <c r="C408" s="327"/>
      <c r="D408" s="327"/>
      <c r="F408" s="327"/>
      <c r="L408" s="327"/>
    </row>
    <row r="409" spans="2:12" s="326" customFormat="1" ht="9.9499999999999993" customHeight="1" x14ac:dyDescent="0.2">
      <c r="B409" s="327"/>
      <c r="C409" s="327"/>
      <c r="D409" s="327"/>
      <c r="F409" s="327"/>
      <c r="L409" s="327"/>
    </row>
    <row r="410" spans="2:12" s="326" customFormat="1" ht="9.9499999999999993" customHeight="1" x14ac:dyDescent="0.2">
      <c r="B410" s="327"/>
      <c r="C410" s="327"/>
      <c r="D410" s="327"/>
      <c r="F410" s="327"/>
      <c r="L410" s="327"/>
    </row>
    <row r="411" spans="2:12" s="326" customFormat="1" ht="9.9499999999999993" customHeight="1" x14ac:dyDescent="0.2">
      <c r="B411" s="327"/>
      <c r="C411" s="327"/>
      <c r="D411" s="327"/>
      <c r="F411" s="327"/>
      <c r="L411" s="327"/>
    </row>
    <row r="412" spans="2:12" s="326" customFormat="1" ht="9.9499999999999993" customHeight="1" x14ac:dyDescent="0.2">
      <c r="B412" s="327"/>
      <c r="C412" s="327"/>
      <c r="D412" s="327"/>
      <c r="F412" s="327"/>
      <c r="L412" s="327"/>
    </row>
    <row r="413" spans="2:12" s="326" customFormat="1" ht="9.9499999999999993" customHeight="1" x14ac:dyDescent="0.2">
      <c r="B413" s="327"/>
      <c r="C413" s="327"/>
      <c r="D413" s="327"/>
      <c r="F413" s="327"/>
      <c r="L413" s="327"/>
    </row>
    <row r="414" spans="2:12" s="326" customFormat="1" ht="9.9499999999999993" customHeight="1" x14ac:dyDescent="0.2">
      <c r="B414" s="327"/>
      <c r="C414" s="327"/>
      <c r="D414" s="327"/>
      <c r="F414" s="327"/>
      <c r="L414" s="327"/>
    </row>
    <row r="415" spans="2:12" s="326" customFormat="1" ht="9.9499999999999993" customHeight="1" x14ac:dyDescent="0.2">
      <c r="B415" s="327"/>
      <c r="C415" s="327"/>
      <c r="D415" s="327"/>
      <c r="F415" s="327"/>
      <c r="L415" s="327"/>
    </row>
    <row r="416" spans="2:12" s="326" customFormat="1" ht="9.9499999999999993" customHeight="1" x14ac:dyDescent="0.2">
      <c r="B416" s="327"/>
      <c r="C416" s="327"/>
      <c r="D416" s="327"/>
      <c r="F416" s="327"/>
      <c r="L416" s="327"/>
    </row>
    <row r="417" spans="2:12" s="326" customFormat="1" ht="9.9499999999999993" customHeight="1" x14ac:dyDescent="0.2">
      <c r="B417" s="327"/>
      <c r="C417" s="327"/>
      <c r="D417" s="327"/>
      <c r="F417" s="327"/>
      <c r="L417" s="327"/>
    </row>
    <row r="418" spans="2:12" s="326" customFormat="1" ht="9.9499999999999993" customHeight="1" x14ac:dyDescent="0.2">
      <c r="B418" s="327"/>
      <c r="C418" s="327"/>
      <c r="D418" s="327"/>
      <c r="F418" s="327"/>
      <c r="L418" s="327"/>
    </row>
    <row r="419" spans="2:12" s="326" customFormat="1" ht="9.9499999999999993" customHeight="1" x14ac:dyDescent="0.2">
      <c r="B419" s="327"/>
      <c r="C419" s="327"/>
      <c r="D419" s="327"/>
      <c r="F419" s="327"/>
      <c r="L419" s="327"/>
    </row>
    <row r="420" spans="2:12" s="326" customFormat="1" ht="9.9499999999999993" customHeight="1" x14ac:dyDescent="0.2">
      <c r="B420" s="327"/>
      <c r="C420" s="327"/>
      <c r="D420" s="327"/>
      <c r="F420" s="327"/>
      <c r="L420" s="327"/>
    </row>
    <row r="421" spans="2:12" s="326" customFormat="1" ht="9.9499999999999993" customHeight="1" x14ac:dyDescent="0.2">
      <c r="B421" s="327"/>
      <c r="C421" s="327"/>
      <c r="D421" s="327"/>
      <c r="F421" s="327"/>
      <c r="L421" s="327"/>
    </row>
    <row r="422" spans="2:12" s="326" customFormat="1" ht="9.9499999999999993" customHeight="1" x14ac:dyDescent="0.2">
      <c r="B422" s="327"/>
      <c r="C422" s="327"/>
      <c r="D422" s="327"/>
      <c r="F422" s="327"/>
      <c r="L422" s="327"/>
    </row>
    <row r="423" spans="2:12" s="326" customFormat="1" ht="9.9499999999999993" customHeight="1" x14ac:dyDescent="0.2">
      <c r="B423" s="327"/>
      <c r="C423" s="327"/>
      <c r="D423" s="327"/>
      <c r="F423" s="327"/>
      <c r="L423" s="327"/>
    </row>
    <row r="424" spans="2:12" s="326" customFormat="1" ht="9.9499999999999993" customHeight="1" x14ac:dyDescent="0.2">
      <c r="B424" s="327"/>
      <c r="C424" s="327"/>
      <c r="D424" s="327"/>
      <c r="F424" s="327"/>
      <c r="L424" s="327"/>
    </row>
    <row r="425" spans="2:12" s="326" customFormat="1" ht="9.9499999999999993" customHeight="1" x14ac:dyDescent="0.2">
      <c r="B425" s="327"/>
      <c r="C425" s="327"/>
      <c r="D425" s="327"/>
      <c r="F425" s="327"/>
      <c r="L425" s="327"/>
    </row>
    <row r="426" spans="2:12" s="326" customFormat="1" ht="9.9499999999999993" customHeight="1" x14ac:dyDescent="0.2">
      <c r="B426" s="327"/>
      <c r="C426" s="327"/>
      <c r="D426" s="327"/>
      <c r="F426" s="327"/>
      <c r="L426" s="327"/>
    </row>
    <row r="427" spans="2:12" s="326" customFormat="1" ht="9.9499999999999993" customHeight="1" x14ac:dyDescent="0.2">
      <c r="B427" s="327"/>
      <c r="C427" s="327"/>
      <c r="D427" s="327"/>
      <c r="F427" s="327"/>
      <c r="L427" s="327"/>
    </row>
    <row r="428" spans="2:12" s="326" customFormat="1" ht="9.9499999999999993" customHeight="1" x14ac:dyDescent="0.2">
      <c r="B428" s="327"/>
      <c r="C428" s="327"/>
      <c r="D428" s="327"/>
      <c r="F428" s="327"/>
      <c r="L428" s="327"/>
    </row>
    <row r="429" spans="2:12" s="326" customFormat="1" ht="9.9499999999999993" customHeight="1" x14ac:dyDescent="0.2">
      <c r="B429" s="327"/>
      <c r="C429" s="327"/>
      <c r="D429" s="327"/>
      <c r="F429" s="327"/>
      <c r="L429" s="327"/>
    </row>
    <row r="430" spans="2:12" s="326" customFormat="1" ht="9.9499999999999993" customHeight="1" x14ac:dyDescent="0.2">
      <c r="B430" s="327"/>
      <c r="C430" s="327"/>
      <c r="D430" s="327"/>
      <c r="F430" s="327"/>
      <c r="L430" s="327"/>
    </row>
    <row r="431" spans="2:12" s="326" customFormat="1" ht="9.9499999999999993" customHeight="1" x14ac:dyDescent="0.2">
      <c r="B431" s="327"/>
      <c r="C431" s="327"/>
      <c r="D431" s="327"/>
      <c r="F431" s="327"/>
      <c r="L431" s="327"/>
    </row>
    <row r="432" spans="2:12" s="326" customFormat="1" ht="9.9499999999999993" customHeight="1" x14ac:dyDescent="0.2">
      <c r="B432" s="327"/>
      <c r="C432" s="327"/>
      <c r="D432" s="327"/>
      <c r="F432" s="327"/>
      <c r="L432" s="327"/>
    </row>
    <row r="433" spans="2:12" s="326" customFormat="1" ht="9.9499999999999993" customHeight="1" x14ac:dyDescent="0.2">
      <c r="B433" s="327"/>
      <c r="C433" s="327"/>
      <c r="D433" s="327"/>
      <c r="F433" s="327"/>
      <c r="L433" s="327"/>
    </row>
    <row r="434" spans="2:12" s="326" customFormat="1" ht="9.9499999999999993" customHeight="1" x14ac:dyDescent="0.2">
      <c r="B434" s="327"/>
      <c r="C434" s="327"/>
      <c r="D434" s="327"/>
      <c r="F434" s="327"/>
      <c r="L434" s="327"/>
    </row>
    <row r="435" spans="2:12" s="326" customFormat="1" ht="9.9499999999999993" customHeight="1" x14ac:dyDescent="0.2">
      <c r="B435" s="327"/>
      <c r="C435" s="327"/>
      <c r="D435" s="327"/>
      <c r="F435" s="327"/>
      <c r="L435" s="327"/>
    </row>
    <row r="436" spans="2:12" s="326" customFormat="1" ht="9.9499999999999993" customHeight="1" x14ac:dyDescent="0.2">
      <c r="B436" s="327"/>
      <c r="C436" s="327"/>
      <c r="D436" s="327"/>
      <c r="F436" s="327"/>
      <c r="L436" s="327"/>
    </row>
    <row r="437" spans="2:12" s="326" customFormat="1" ht="9.9499999999999993" customHeight="1" x14ac:dyDescent="0.2">
      <c r="B437" s="327"/>
      <c r="C437" s="327"/>
      <c r="D437" s="327"/>
      <c r="F437" s="327"/>
      <c r="L437" s="327"/>
    </row>
    <row r="438" spans="2:12" s="326" customFormat="1" ht="9.9499999999999993" customHeight="1" x14ac:dyDescent="0.2">
      <c r="B438" s="327"/>
      <c r="C438" s="327"/>
      <c r="D438" s="327"/>
      <c r="F438" s="327"/>
      <c r="L438" s="327"/>
    </row>
    <row r="439" spans="2:12" s="326" customFormat="1" ht="9.9499999999999993" customHeight="1" x14ac:dyDescent="0.2">
      <c r="B439" s="327"/>
      <c r="C439" s="327"/>
      <c r="D439" s="327"/>
      <c r="F439" s="327"/>
      <c r="L439" s="327"/>
    </row>
    <row r="440" spans="2:12" s="326" customFormat="1" ht="9.9499999999999993" customHeight="1" x14ac:dyDescent="0.2">
      <c r="B440" s="327"/>
      <c r="C440" s="327"/>
      <c r="D440" s="327"/>
      <c r="F440" s="327"/>
      <c r="L440" s="327"/>
    </row>
    <row r="441" spans="2:12" s="326" customFormat="1" ht="9.9499999999999993" customHeight="1" x14ac:dyDescent="0.2">
      <c r="B441" s="327"/>
      <c r="C441" s="327"/>
      <c r="D441" s="327"/>
      <c r="F441" s="327"/>
      <c r="L441" s="327"/>
    </row>
    <row r="442" spans="2:12" s="326" customFormat="1" ht="9.9499999999999993" customHeight="1" x14ac:dyDescent="0.2">
      <c r="B442" s="327"/>
      <c r="C442" s="327"/>
      <c r="D442" s="327"/>
      <c r="F442" s="327"/>
      <c r="L442" s="327"/>
    </row>
    <row r="443" spans="2:12" s="326" customFormat="1" ht="9.9499999999999993" customHeight="1" x14ac:dyDescent="0.2">
      <c r="B443" s="327"/>
      <c r="C443" s="327"/>
      <c r="D443" s="327"/>
      <c r="F443" s="327"/>
      <c r="L443" s="327"/>
    </row>
    <row r="444" spans="2:12" s="326" customFormat="1" ht="9.9499999999999993" customHeight="1" x14ac:dyDescent="0.2">
      <c r="B444" s="327"/>
      <c r="C444" s="327"/>
      <c r="D444" s="327"/>
      <c r="F444" s="327"/>
      <c r="L444" s="327"/>
    </row>
    <row r="445" spans="2:12" s="326" customFormat="1" ht="9.9499999999999993" customHeight="1" x14ac:dyDescent="0.2">
      <c r="B445" s="327"/>
      <c r="C445" s="327"/>
      <c r="D445" s="327"/>
      <c r="F445" s="327"/>
      <c r="L445" s="327"/>
    </row>
    <row r="446" spans="2:12" s="326" customFormat="1" ht="9.9499999999999993" customHeight="1" x14ac:dyDescent="0.2">
      <c r="B446" s="327"/>
      <c r="C446" s="327"/>
      <c r="D446" s="327"/>
      <c r="F446" s="327"/>
      <c r="L446" s="327"/>
    </row>
    <row r="447" spans="2:12" s="326" customFormat="1" ht="9.9499999999999993" customHeight="1" x14ac:dyDescent="0.2">
      <c r="B447" s="327"/>
      <c r="C447" s="327"/>
      <c r="D447" s="327"/>
      <c r="F447" s="327"/>
      <c r="L447" s="327"/>
    </row>
    <row r="448" spans="2:12" s="326" customFormat="1" ht="9.9499999999999993" customHeight="1" x14ac:dyDescent="0.2">
      <c r="B448" s="327"/>
      <c r="C448" s="327"/>
      <c r="D448" s="327"/>
      <c r="F448" s="327"/>
      <c r="L448" s="327"/>
    </row>
    <row r="449" spans="2:12" s="326" customFormat="1" ht="9.9499999999999993" customHeight="1" x14ac:dyDescent="0.2">
      <c r="B449" s="327"/>
      <c r="C449" s="327"/>
      <c r="D449" s="327"/>
      <c r="F449" s="327"/>
      <c r="L449" s="327"/>
    </row>
    <row r="450" spans="2:12" s="326" customFormat="1" ht="9.9499999999999993" customHeight="1" x14ac:dyDescent="0.2">
      <c r="B450" s="327"/>
      <c r="C450" s="327"/>
      <c r="D450" s="327"/>
      <c r="F450" s="327"/>
      <c r="L450" s="327"/>
    </row>
    <row r="451" spans="2:12" s="326" customFormat="1" ht="9.9499999999999993" customHeight="1" x14ac:dyDescent="0.2">
      <c r="B451" s="327"/>
      <c r="C451" s="327"/>
      <c r="D451" s="327"/>
      <c r="F451" s="327"/>
      <c r="L451" s="327"/>
    </row>
    <row r="452" spans="2:12" s="326" customFormat="1" ht="9.9499999999999993" customHeight="1" x14ac:dyDescent="0.2">
      <c r="B452" s="327"/>
      <c r="C452" s="327"/>
      <c r="D452" s="327"/>
      <c r="F452" s="327"/>
      <c r="L452" s="327"/>
    </row>
    <row r="453" spans="2:12" s="326" customFormat="1" ht="9.9499999999999993" customHeight="1" x14ac:dyDescent="0.2">
      <c r="B453" s="327"/>
      <c r="C453" s="327"/>
      <c r="D453" s="327"/>
      <c r="F453" s="327"/>
      <c r="L453" s="327"/>
    </row>
    <row r="454" spans="2:12" s="326" customFormat="1" ht="9.9499999999999993" customHeight="1" x14ac:dyDescent="0.2">
      <c r="B454" s="327"/>
      <c r="C454" s="327"/>
      <c r="D454" s="327"/>
      <c r="F454" s="327"/>
      <c r="L454" s="327"/>
    </row>
    <row r="455" spans="2:12" s="326" customFormat="1" ht="9.9499999999999993" customHeight="1" x14ac:dyDescent="0.2">
      <c r="B455" s="327"/>
      <c r="C455" s="327"/>
      <c r="D455" s="327"/>
      <c r="F455" s="327"/>
      <c r="L455" s="327"/>
    </row>
    <row r="456" spans="2:12" s="326" customFormat="1" ht="9.9499999999999993" customHeight="1" x14ac:dyDescent="0.2">
      <c r="B456" s="327"/>
      <c r="C456" s="327"/>
      <c r="D456" s="327"/>
      <c r="F456" s="327"/>
      <c r="L456" s="327"/>
    </row>
    <row r="457" spans="2:12" s="326" customFormat="1" ht="9.9499999999999993" customHeight="1" x14ac:dyDescent="0.2">
      <c r="B457" s="327"/>
      <c r="C457" s="327"/>
      <c r="D457" s="327"/>
      <c r="F457" s="327"/>
      <c r="L457" s="327"/>
    </row>
    <row r="458" spans="2:12" s="326" customFormat="1" ht="9.9499999999999993" customHeight="1" x14ac:dyDescent="0.2">
      <c r="B458" s="327"/>
      <c r="C458" s="327"/>
      <c r="D458" s="327"/>
      <c r="F458" s="327"/>
      <c r="L458" s="327"/>
    </row>
    <row r="459" spans="2:12" s="326" customFormat="1" ht="9.9499999999999993" customHeight="1" x14ac:dyDescent="0.2">
      <c r="B459" s="327"/>
      <c r="C459" s="327"/>
      <c r="D459" s="327"/>
      <c r="F459" s="327"/>
      <c r="L459" s="327"/>
    </row>
    <row r="460" spans="2:12" s="326" customFormat="1" ht="9.9499999999999993" customHeight="1" x14ac:dyDescent="0.2">
      <c r="B460" s="327"/>
      <c r="C460" s="327"/>
      <c r="D460" s="327"/>
      <c r="F460" s="327"/>
      <c r="L460" s="327"/>
    </row>
    <row r="461" spans="2:12" s="326" customFormat="1" ht="9.9499999999999993" customHeight="1" x14ac:dyDescent="0.2">
      <c r="B461" s="327"/>
      <c r="C461" s="327"/>
      <c r="D461" s="327"/>
      <c r="F461" s="327"/>
      <c r="L461" s="327"/>
    </row>
    <row r="462" spans="2:12" s="326" customFormat="1" ht="9.9499999999999993" customHeight="1" x14ac:dyDescent="0.2">
      <c r="B462" s="327"/>
      <c r="C462" s="327"/>
      <c r="D462" s="327"/>
      <c r="F462" s="327"/>
      <c r="L462" s="327"/>
    </row>
    <row r="463" spans="2:12" s="326" customFormat="1" ht="9.9499999999999993" customHeight="1" x14ac:dyDescent="0.2">
      <c r="B463" s="327"/>
      <c r="C463" s="327"/>
      <c r="D463" s="327"/>
      <c r="F463" s="327"/>
      <c r="L463" s="327"/>
    </row>
    <row r="464" spans="2:12" s="326" customFormat="1" ht="9.9499999999999993" customHeight="1" x14ac:dyDescent="0.2">
      <c r="B464" s="327"/>
      <c r="C464" s="327"/>
      <c r="D464" s="327"/>
      <c r="F464" s="327"/>
      <c r="L464" s="327"/>
    </row>
    <row r="465" spans="2:12" s="326" customFormat="1" ht="9.9499999999999993" customHeight="1" x14ac:dyDescent="0.2">
      <c r="B465" s="327"/>
      <c r="C465" s="327"/>
      <c r="D465" s="327"/>
      <c r="F465" s="327"/>
      <c r="L465" s="327"/>
    </row>
    <row r="466" spans="2:12" s="326" customFormat="1" ht="9.9499999999999993" customHeight="1" x14ac:dyDescent="0.2">
      <c r="B466" s="327"/>
      <c r="C466" s="327"/>
      <c r="D466" s="327"/>
      <c r="F466" s="327"/>
      <c r="L466" s="327"/>
    </row>
    <row r="467" spans="2:12" s="326" customFormat="1" ht="9.9499999999999993" customHeight="1" x14ac:dyDescent="0.2">
      <c r="B467" s="327"/>
      <c r="C467" s="327"/>
      <c r="D467" s="327"/>
      <c r="F467" s="327"/>
      <c r="L467" s="327"/>
    </row>
    <row r="468" spans="2:12" s="326" customFormat="1" ht="9.9499999999999993" customHeight="1" x14ac:dyDescent="0.2">
      <c r="B468" s="327"/>
      <c r="C468" s="327"/>
      <c r="D468" s="327"/>
      <c r="F468" s="327"/>
      <c r="L468" s="327"/>
    </row>
    <row r="469" spans="2:12" s="326" customFormat="1" ht="9.9499999999999993" customHeight="1" x14ac:dyDescent="0.2">
      <c r="B469" s="327"/>
      <c r="C469" s="327"/>
      <c r="D469" s="327"/>
      <c r="F469" s="327"/>
      <c r="L469" s="327"/>
    </row>
    <row r="470" spans="2:12" s="326" customFormat="1" ht="9.9499999999999993" customHeight="1" x14ac:dyDescent="0.2">
      <c r="B470" s="327"/>
      <c r="C470" s="327"/>
      <c r="D470" s="327"/>
      <c r="F470" s="327"/>
      <c r="L470" s="327"/>
    </row>
    <row r="471" spans="2:12" s="326" customFormat="1" ht="9.9499999999999993" customHeight="1" x14ac:dyDescent="0.2">
      <c r="B471" s="327"/>
      <c r="C471" s="327"/>
      <c r="D471" s="327"/>
      <c r="F471" s="327"/>
      <c r="L471" s="327"/>
    </row>
    <row r="472" spans="2:12" s="326" customFormat="1" ht="9.9499999999999993" customHeight="1" x14ac:dyDescent="0.2">
      <c r="B472" s="327"/>
      <c r="C472" s="327"/>
      <c r="D472" s="327"/>
      <c r="F472" s="327"/>
      <c r="L472" s="327"/>
    </row>
    <row r="473" spans="2:12" s="326" customFormat="1" ht="9.9499999999999993" customHeight="1" x14ac:dyDescent="0.2">
      <c r="B473" s="327"/>
      <c r="C473" s="327"/>
      <c r="D473" s="327"/>
      <c r="F473" s="327"/>
      <c r="L473" s="327"/>
    </row>
    <row r="474" spans="2:12" s="326" customFormat="1" ht="9.9499999999999993" customHeight="1" x14ac:dyDescent="0.2">
      <c r="B474" s="327"/>
      <c r="C474" s="327"/>
      <c r="D474" s="327"/>
      <c r="F474" s="327"/>
      <c r="L474" s="327"/>
    </row>
    <row r="475" spans="2:12" s="326" customFormat="1" ht="9.9499999999999993" customHeight="1" x14ac:dyDescent="0.2">
      <c r="B475" s="327"/>
      <c r="C475" s="327"/>
      <c r="D475" s="327"/>
      <c r="F475" s="327"/>
      <c r="L475" s="327"/>
    </row>
    <row r="476" spans="2:12" s="326" customFormat="1" ht="9.9499999999999993" customHeight="1" x14ac:dyDescent="0.2">
      <c r="B476" s="327"/>
      <c r="C476" s="327"/>
      <c r="D476" s="327"/>
      <c r="F476" s="327"/>
      <c r="L476" s="327"/>
    </row>
    <row r="477" spans="2:12" s="326" customFormat="1" ht="9.9499999999999993" customHeight="1" x14ac:dyDescent="0.2">
      <c r="B477" s="327"/>
      <c r="C477" s="327"/>
      <c r="D477" s="327"/>
      <c r="F477" s="327"/>
      <c r="L477" s="327"/>
    </row>
    <row r="478" spans="2:12" s="326" customFormat="1" ht="9.9499999999999993" customHeight="1" x14ac:dyDescent="0.2">
      <c r="B478" s="327"/>
      <c r="C478" s="327"/>
      <c r="D478" s="327"/>
      <c r="F478" s="327"/>
      <c r="L478" s="327"/>
    </row>
    <row r="479" spans="2:12" s="326" customFormat="1" ht="9.9499999999999993" customHeight="1" x14ac:dyDescent="0.2">
      <c r="B479" s="327"/>
      <c r="C479" s="327"/>
      <c r="D479" s="327"/>
      <c r="F479" s="327"/>
      <c r="L479" s="327"/>
    </row>
    <row r="480" spans="2:12" s="326" customFormat="1" ht="9.9499999999999993" customHeight="1" x14ac:dyDescent="0.2">
      <c r="B480" s="327"/>
      <c r="C480" s="327"/>
      <c r="D480" s="327"/>
      <c r="F480" s="327"/>
      <c r="L480" s="327"/>
    </row>
    <row r="481" spans="2:12" s="326" customFormat="1" ht="9.9499999999999993" customHeight="1" x14ac:dyDescent="0.2">
      <c r="B481" s="327"/>
      <c r="C481" s="327"/>
      <c r="D481" s="327"/>
      <c r="F481" s="327"/>
      <c r="L481" s="327"/>
    </row>
    <row r="482" spans="2:12" s="326" customFormat="1" ht="9.9499999999999993" customHeight="1" x14ac:dyDescent="0.2">
      <c r="B482" s="327"/>
      <c r="C482" s="327"/>
      <c r="D482" s="327"/>
      <c r="F482" s="327"/>
      <c r="L482" s="327"/>
    </row>
    <row r="483" spans="2:12" s="326" customFormat="1" ht="9.9499999999999993" customHeight="1" x14ac:dyDescent="0.2">
      <c r="B483" s="327"/>
      <c r="C483" s="327"/>
      <c r="D483" s="327"/>
      <c r="F483" s="327"/>
      <c r="L483" s="327"/>
    </row>
    <row r="484" spans="2:12" s="326" customFormat="1" ht="9.9499999999999993" customHeight="1" x14ac:dyDescent="0.2">
      <c r="B484" s="327"/>
      <c r="C484" s="327"/>
      <c r="D484" s="327"/>
      <c r="F484" s="327"/>
      <c r="L484" s="327"/>
    </row>
    <row r="485" spans="2:12" s="326" customFormat="1" ht="9.9499999999999993" customHeight="1" x14ac:dyDescent="0.2">
      <c r="B485" s="327"/>
      <c r="C485" s="327"/>
      <c r="D485" s="327"/>
      <c r="F485" s="327"/>
      <c r="L485" s="327"/>
    </row>
    <row r="486" spans="2:12" s="326" customFormat="1" ht="9.9499999999999993" customHeight="1" x14ac:dyDescent="0.2">
      <c r="B486" s="327"/>
      <c r="C486" s="327"/>
      <c r="D486" s="327"/>
      <c r="F486" s="327"/>
      <c r="L486" s="327"/>
    </row>
    <row r="487" spans="2:12" s="326" customFormat="1" ht="9.9499999999999993" customHeight="1" x14ac:dyDescent="0.2">
      <c r="B487" s="327"/>
      <c r="C487" s="327"/>
      <c r="D487" s="327"/>
      <c r="F487" s="327"/>
      <c r="L487" s="327"/>
    </row>
    <row r="488" spans="2:12" s="326" customFormat="1" ht="9.9499999999999993" customHeight="1" x14ac:dyDescent="0.2">
      <c r="B488" s="327"/>
      <c r="C488" s="327"/>
      <c r="D488" s="327"/>
      <c r="F488" s="327"/>
      <c r="L488" s="327"/>
    </row>
    <row r="489" spans="2:12" s="326" customFormat="1" ht="9.9499999999999993" customHeight="1" x14ac:dyDescent="0.2">
      <c r="B489" s="327"/>
      <c r="C489" s="327"/>
      <c r="D489" s="327"/>
      <c r="F489" s="327"/>
      <c r="L489" s="327"/>
    </row>
    <row r="490" spans="2:12" s="326" customFormat="1" ht="9.9499999999999993" customHeight="1" x14ac:dyDescent="0.2">
      <c r="B490" s="327"/>
      <c r="C490" s="327"/>
      <c r="D490" s="327"/>
      <c r="F490" s="327"/>
      <c r="L490" s="327"/>
    </row>
    <row r="491" spans="2:12" s="326" customFormat="1" ht="9.9499999999999993" customHeight="1" x14ac:dyDescent="0.2">
      <c r="B491" s="327"/>
      <c r="C491" s="327"/>
      <c r="D491" s="327"/>
      <c r="F491" s="327"/>
      <c r="L491" s="327"/>
    </row>
    <row r="492" spans="2:12" s="326" customFormat="1" ht="9.9499999999999993" customHeight="1" x14ac:dyDescent="0.2">
      <c r="B492" s="327"/>
      <c r="C492" s="327"/>
      <c r="D492" s="327"/>
      <c r="F492" s="327"/>
      <c r="L492" s="327"/>
    </row>
    <row r="493" spans="2:12" s="326" customFormat="1" ht="9.9499999999999993" customHeight="1" x14ac:dyDescent="0.2">
      <c r="B493" s="327"/>
      <c r="C493" s="327"/>
      <c r="D493" s="327"/>
      <c r="F493" s="327"/>
      <c r="L493" s="327"/>
    </row>
    <row r="494" spans="2:12" s="326" customFormat="1" ht="9.9499999999999993" customHeight="1" x14ac:dyDescent="0.2">
      <c r="B494" s="327"/>
      <c r="C494" s="327"/>
      <c r="D494" s="327"/>
      <c r="F494" s="327"/>
      <c r="L494" s="327"/>
    </row>
    <row r="495" spans="2:12" s="326" customFormat="1" ht="9.9499999999999993" customHeight="1" x14ac:dyDescent="0.2">
      <c r="B495" s="327"/>
      <c r="C495" s="327"/>
      <c r="D495" s="327"/>
      <c r="F495" s="327"/>
      <c r="L495" s="327"/>
    </row>
    <row r="496" spans="2:12" s="326" customFormat="1" ht="9.9499999999999993" customHeight="1" x14ac:dyDescent="0.2">
      <c r="B496" s="327"/>
      <c r="C496" s="327"/>
      <c r="D496" s="327"/>
      <c r="F496" s="327"/>
      <c r="L496" s="327"/>
    </row>
    <row r="497" spans="2:12" s="326" customFormat="1" ht="9.9499999999999993" customHeight="1" x14ac:dyDescent="0.2">
      <c r="B497" s="327"/>
      <c r="C497" s="327"/>
      <c r="D497" s="327"/>
      <c r="F497" s="327"/>
      <c r="L497" s="327"/>
    </row>
    <row r="498" spans="2:12" s="326" customFormat="1" ht="9.9499999999999993" customHeight="1" x14ac:dyDescent="0.2">
      <c r="B498" s="327"/>
      <c r="C498" s="327"/>
      <c r="D498" s="327"/>
      <c r="F498" s="327"/>
      <c r="L498" s="327"/>
    </row>
    <row r="499" spans="2:12" s="326" customFormat="1" ht="9.9499999999999993" customHeight="1" x14ac:dyDescent="0.2">
      <c r="B499" s="327"/>
      <c r="C499" s="327"/>
      <c r="D499" s="327"/>
      <c r="F499" s="327"/>
      <c r="L499" s="327"/>
    </row>
    <row r="500" spans="2:12" s="326" customFormat="1" ht="9.9499999999999993" customHeight="1" x14ac:dyDescent="0.2">
      <c r="B500" s="327"/>
      <c r="C500" s="327"/>
      <c r="D500" s="327"/>
      <c r="F500" s="327"/>
      <c r="L500" s="327"/>
    </row>
    <row r="501" spans="2:12" s="326" customFormat="1" ht="9.9499999999999993" customHeight="1" x14ac:dyDescent="0.2">
      <c r="B501" s="327"/>
      <c r="C501" s="327"/>
      <c r="D501" s="327"/>
      <c r="F501" s="327"/>
      <c r="L501" s="327"/>
    </row>
    <row r="502" spans="2:12" s="326" customFormat="1" ht="9.9499999999999993" customHeight="1" x14ac:dyDescent="0.2">
      <c r="B502" s="327"/>
      <c r="C502" s="327"/>
      <c r="D502" s="327"/>
      <c r="F502" s="327"/>
      <c r="L502" s="327"/>
    </row>
    <row r="503" spans="2:12" s="326" customFormat="1" ht="9.9499999999999993" customHeight="1" x14ac:dyDescent="0.2">
      <c r="B503" s="327"/>
      <c r="C503" s="327"/>
      <c r="D503" s="327"/>
      <c r="F503" s="327"/>
      <c r="L503" s="327"/>
    </row>
    <row r="504" spans="2:12" s="326" customFormat="1" ht="9.9499999999999993" customHeight="1" x14ac:dyDescent="0.2">
      <c r="B504" s="327"/>
      <c r="C504" s="327"/>
      <c r="D504" s="327"/>
      <c r="F504" s="327"/>
      <c r="L504" s="327"/>
    </row>
    <row r="505" spans="2:12" s="326" customFormat="1" ht="9.9499999999999993" customHeight="1" x14ac:dyDescent="0.2">
      <c r="B505" s="327"/>
      <c r="C505" s="327"/>
      <c r="D505" s="327"/>
      <c r="F505" s="327"/>
      <c r="L505" s="327"/>
    </row>
    <row r="506" spans="2:12" s="326" customFormat="1" ht="9.9499999999999993" customHeight="1" x14ac:dyDescent="0.2">
      <c r="B506" s="327"/>
      <c r="C506" s="327"/>
      <c r="D506" s="327"/>
      <c r="F506" s="327"/>
      <c r="L506" s="327"/>
    </row>
    <row r="507" spans="2:12" s="326" customFormat="1" ht="9.9499999999999993" customHeight="1" x14ac:dyDescent="0.2">
      <c r="B507" s="327"/>
      <c r="C507" s="327"/>
      <c r="D507" s="327"/>
      <c r="F507" s="327"/>
      <c r="L507" s="327"/>
    </row>
    <row r="508" spans="2:12" s="326" customFormat="1" ht="9.9499999999999993" customHeight="1" x14ac:dyDescent="0.2">
      <c r="B508" s="327"/>
      <c r="C508" s="327"/>
      <c r="D508" s="327"/>
      <c r="F508" s="327"/>
      <c r="L508" s="327"/>
    </row>
    <row r="509" spans="2:12" s="326" customFormat="1" ht="9.9499999999999993" customHeight="1" x14ac:dyDescent="0.2">
      <c r="B509" s="327"/>
      <c r="C509" s="327"/>
      <c r="D509" s="327"/>
      <c r="F509" s="327"/>
      <c r="L509" s="327"/>
    </row>
    <row r="510" spans="2:12" s="326" customFormat="1" ht="9.9499999999999993" customHeight="1" x14ac:dyDescent="0.2">
      <c r="B510" s="327"/>
      <c r="C510" s="327"/>
      <c r="D510" s="327"/>
      <c r="F510" s="327"/>
      <c r="L510" s="327"/>
    </row>
    <row r="511" spans="2:12" s="326" customFormat="1" ht="9.9499999999999993" customHeight="1" x14ac:dyDescent="0.2">
      <c r="B511" s="327"/>
      <c r="C511" s="327"/>
      <c r="D511" s="327"/>
      <c r="F511" s="327"/>
      <c r="L511" s="327"/>
    </row>
    <row r="512" spans="2:12" s="326" customFormat="1" ht="9.9499999999999993" customHeight="1" x14ac:dyDescent="0.2">
      <c r="B512" s="327"/>
      <c r="C512" s="327"/>
      <c r="D512" s="327"/>
      <c r="F512" s="327"/>
      <c r="L512" s="327"/>
    </row>
    <row r="513" spans="2:12" s="326" customFormat="1" ht="9.9499999999999993" customHeight="1" x14ac:dyDescent="0.2">
      <c r="B513" s="327"/>
      <c r="C513" s="327"/>
      <c r="D513" s="327"/>
      <c r="F513" s="327"/>
      <c r="L513" s="327"/>
    </row>
    <row r="514" spans="2:12" s="326" customFormat="1" ht="9.9499999999999993" customHeight="1" x14ac:dyDescent="0.2">
      <c r="B514" s="327"/>
      <c r="C514" s="327"/>
      <c r="D514" s="327"/>
      <c r="F514" s="327"/>
      <c r="L514" s="327"/>
    </row>
    <row r="515" spans="2:12" s="326" customFormat="1" ht="9.9499999999999993" customHeight="1" x14ac:dyDescent="0.2">
      <c r="B515" s="327"/>
      <c r="C515" s="327"/>
      <c r="D515" s="327"/>
      <c r="F515" s="327"/>
      <c r="L515" s="327"/>
    </row>
    <row r="516" spans="2:12" s="326" customFormat="1" ht="9.9499999999999993" customHeight="1" x14ac:dyDescent="0.2">
      <c r="B516" s="327"/>
      <c r="C516" s="327"/>
      <c r="D516" s="327"/>
      <c r="F516" s="327"/>
      <c r="L516" s="327"/>
    </row>
    <row r="517" spans="2:12" s="326" customFormat="1" ht="9.9499999999999993" customHeight="1" x14ac:dyDescent="0.2">
      <c r="B517" s="327"/>
      <c r="C517" s="327"/>
      <c r="D517" s="327"/>
      <c r="F517" s="327"/>
      <c r="L517" s="327"/>
    </row>
    <row r="518" spans="2:12" s="326" customFormat="1" ht="9.9499999999999993" customHeight="1" x14ac:dyDescent="0.2">
      <c r="B518" s="327"/>
      <c r="C518" s="327"/>
      <c r="D518" s="327"/>
      <c r="F518" s="327"/>
      <c r="L518" s="327"/>
    </row>
    <row r="519" spans="2:12" s="326" customFormat="1" ht="9.9499999999999993" customHeight="1" x14ac:dyDescent="0.2">
      <c r="B519" s="327"/>
      <c r="C519" s="327"/>
      <c r="D519" s="327"/>
      <c r="F519" s="327"/>
      <c r="L519" s="327"/>
    </row>
    <row r="520" spans="2:12" s="326" customFormat="1" ht="9.9499999999999993" customHeight="1" x14ac:dyDescent="0.2">
      <c r="B520" s="327"/>
      <c r="C520" s="327"/>
      <c r="D520" s="327"/>
      <c r="F520" s="327"/>
      <c r="L520" s="327"/>
    </row>
    <row r="521" spans="2:12" s="326" customFormat="1" ht="9.9499999999999993" customHeight="1" x14ac:dyDescent="0.2">
      <c r="B521" s="327"/>
      <c r="C521" s="327"/>
      <c r="D521" s="327"/>
      <c r="F521" s="327"/>
      <c r="L521" s="327"/>
    </row>
    <row r="522" spans="2:12" s="326" customFormat="1" ht="9.9499999999999993" customHeight="1" x14ac:dyDescent="0.2">
      <c r="B522" s="327"/>
      <c r="C522" s="327"/>
      <c r="D522" s="327"/>
      <c r="F522" s="327"/>
      <c r="L522" s="327"/>
    </row>
    <row r="523" spans="2:12" s="326" customFormat="1" ht="9.9499999999999993" customHeight="1" x14ac:dyDescent="0.2">
      <c r="B523" s="327"/>
      <c r="C523" s="327"/>
      <c r="D523" s="327"/>
      <c r="F523" s="327"/>
      <c r="L523" s="327"/>
    </row>
    <row r="524" spans="2:12" s="326" customFormat="1" ht="9.9499999999999993" customHeight="1" x14ac:dyDescent="0.2">
      <c r="B524" s="327"/>
      <c r="C524" s="327"/>
      <c r="D524" s="327"/>
      <c r="F524" s="327"/>
      <c r="L524" s="327"/>
    </row>
    <row r="525" spans="2:12" s="326" customFormat="1" ht="9.9499999999999993" customHeight="1" x14ac:dyDescent="0.2">
      <c r="B525" s="327"/>
      <c r="C525" s="327"/>
      <c r="D525" s="327"/>
      <c r="F525" s="327"/>
      <c r="L525" s="327"/>
    </row>
    <row r="526" spans="2:12" s="326" customFormat="1" ht="9.9499999999999993" customHeight="1" x14ac:dyDescent="0.2">
      <c r="B526" s="327"/>
      <c r="C526" s="327"/>
      <c r="D526" s="327"/>
      <c r="F526" s="327"/>
      <c r="L526" s="327"/>
    </row>
    <row r="527" spans="2:12" s="326" customFormat="1" ht="9.9499999999999993" customHeight="1" x14ac:dyDescent="0.2">
      <c r="B527" s="327"/>
      <c r="C527" s="327"/>
      <c r="D527" s="327"/>
      <c r="F527" s="327"/>
      <c r="L527" s="327"/>
    </row>
    <row r="528" spans="2:12" s="326" customFormat="1" ht="9.9499999999999993" customHeight="1" x14ac:dyDescent="0.2">
      <c r="B528" s="327"/>
      <c r="C528" s="327"/>
      <c r="D528" s="327"/>
      <c r="F528" s="327"/>
      <c r="L528" s="327"/>
    </row>
    <row r="529" spans="2:12" s="326" customFormat="1" ht="9.9499999999999993" customHeight="1" x14ac:dyDescent="0.2">
      <c r="B529" s="327"/>
      <c r="C529" s="327"/>
      <c r="D529" s="327"/>
      <c r="F529" s="327"/>
      <c r="L529" s="327"/>
    </row>
    <row r="530" spans="2:12" s="326" customFormat="1" ht="9.9499999999999993" customHeight="1" x14ac:dyDescent="0.2">
      <c r="B530" s="327"/>
      <c r="C530" s="327"/>
      <c r="D530" s="327"/>
      <c r="F530" s="327"/>
      <c r="L530" s="327"/>
    </row>
    <row r="531" spans="2:12" s="326" customFormat="1" ht="9.9499999999999993" customHeight="1" x14ac:dyDescent="0.2">
      <c r="B531" s="327"/>
      <c r="C531" s="327"/>
      <c r="D531" s="327"/>
      <c r="F531" s="327"/>
      <c r="L531" s="327"/>
    </row>
    <row r="532" spans="2:12" s="326" customFormat="1" ht="9.9499999999999993" customHeight="1" x14ac:dyDescent="0.2">
      <c r="B532" s="327"/>
      <c r="C532" s="327"/>
      <c r="D532" s="327"/>
      <c r="F532" s="327"/>
      <c r="L532" s="327"/>
    </row>
    <row r="533" spans="2:12" s="326" customFormat="1" ht="9.9499999999999993" customHeight="1" x14ac:dyDescent="0.2">
      <c r="B533" s="327"/>
      <c r="C533" s="327"/>
      <c r="D533" s="327"/>
      <c r="F533" s="327"/>
      <c r="L533" s="327"/>
    </row>
    <row r="534" spans="2:12" s="326" customFormat="1" ht="9.9499999999999993" customHeight="1" x14ac:dyDescent="0.2">
      <c r="B534" s="327"/>
      <c r="C534" s="327"/>
      <c r="D534" s="327"/>
      <c r="F534" s="327"/>
      <c r="L534" s="327"/>
    </row>
    <row r="535" spans="2:12" s="326" customFormat="1" ht="9.9499999999999993" customHeight="1" x14ac:dyDescent="0.2">
      <c r="B535" s="327"/>
      <c r="C535" s="327"/>
      <c r="D535" s="327"/>
      <c r="F535" s="327"/>
      <c r="L535" s="327"/>
    </row>
    <row r="536" spans="2:12" s="326" customFormat="1" ht="9.9499999999999993" customHeight="1" x14ac:dyDescent="0.2">
      <c r="B536" s="327"/>
      <c r="C536" s="327"/>
      <c r="D536" s="327"/>
      <c r="F536" s="327"/>
      <c r="L536" s="327"/>
    </row>
    <row r="537" spans="2:12" s="326" customFormat="1" ht="9.9499999999999993" customHeight="1" x14ac:dyDescent="0.2">
      <c r="B537" s="327"/>
      <c r="C537" s="327"/>
      <c r="D537" s="327"/>
      <c r="F537" s="327"/>
      <c r="L537" s="327"/>
    </row>
    <row r="538" spans="2:12" s="326" customFormat="1" ht="9.9499999999999993" customHeight="1" x14ac:dyDescent="0.2">
      <c r="B538" s="327"/>
      <c r="C538" s="327"/>
      <c r="D538" s="327"/>
      <c r="F538" s="327"/>
      <c r="L538" s="327"/>
    </row>
    <row r="539" spans="2:12" s="326" customFormat="1" ht="9.9499999999999993" customHeight="1" x14ac:dyDescent="0.2">
      <c r="B539" s="327"/>
      <c r="C539" s="327"/>
      <c r="D539" s="327"/>
      <c r="F539" s="327"/>
      <c r="L539" s="327"/>
    </row>
    <row r="540" spans="2:12" s="326" customFormat="1" ht="9.9499999999999993" customHeight="1" x14ac:dyDescent="0.2">
      <c r="B540" s="327"/>
      <c r="C540" s="327"/>
      <c r="D540" s="327"/>
      <c r="F540" s="327"/>
      <c r="L540" s="327"/>
    </row>
    <row r="541" spans="2:12" s="326" customFormat="1" ht="9.9499999999999993" customHeight="1" x14ac:dyDescent="0.2">
      <c r="B541" s="327"/>
      <c r="C541" s="327"/>
      <c r="D541" s="327"/>
      <c r="F541" s="327"/>
      <c r="L541" s="327"/>
    </row>
    <row r="542" spans="2:12" s="326" customFormat="1" ht="9.9499999999999993" customHeight="1" x14ac:dyDescent="0.2">
      <c r="B542" s="327"/>
      <c r="C542" s="327"/>
      <c r="D542" s="327"/>
      <c r="F542" s="327"/>
      <c r="L542" s="327"/>
    </row>
    <row r="543" spans="2:12" s="326" customFormat="1" ht="9.9499999999999993" customHeight="1" x14ac:dyDescent="0.2">
      <c r="B543" s="327"/>
      <c r="C543" s="327"/>
      <c r="D543" s="327"/>
      <c r="F543" s="327"/>
      <c r="L543" s="327"/>
    </row>
    <row r="544" spans="2:12" s="326" customFormat="1" ht="9.9499999999999993" customHeight="1" x14ac:dyDescent="0.2">
      <c r="B544" s="327"/>
      <c r="C544" s="327"/>
      <c r="D544" s="327"/>
      <c r="F544" s="327"/>
      <c r="L544" s="327"/>
    </row>
    <row r="545" spans="2:12" s="326" customFormat="1" ht="9.9499999999999993" customHeight="1" x14ac:dyDescent="0.2">
      <c r="B545" s="327"/>
      <c r="C545" s="327"/>
      <c r="D545" s="327"/>
      <c r="F545" s="327"/>
      <c r="L545" s="327"/>
    </row>
    <row r="546" spans="2:12" s="326" customFormat="1" ht="9.9499999999999993" customHeight="1" x14ac:dyDescent="0.2">
      <c r="B546" s="327"/>
      <c r="C546" s="327"/>
      <c r="D546" s="327"/>
      <c r="F546" s="327"/>
      <c r="L546" s="327"/>
    </row>
    <row r="547" spans="2:12" s="326" customFormat="1" ht="9.9499999999999993" customHeight="1" x14ac:dyDescent="0.2">
      <c r="B547" s="327"/>
      <c r="C547" s="327"/>
      <c r="D547" s="327"/>
      <c r="F547" s="327"/>
      <c r="L547" s="327"/>
    </row>
    <row r="548" spans="2:12" s="326" customFormat="1" ht="9.9499999999999993" customHeight="1" x14ac:dyDescent="0.2">
      <c r="B548" s="327"/>
      <c r="C548" s="327"/>
      <c r="D548" s="327"/>
      <c r="F548" s="327"/>
      <c r="L548" s="327"/>
    </row>
    <row r="549" spans="2:12" s="326" customFormat="1" ht="9.9499999999999993" customHeight="1" x14ac:dyDescent="0.2">
      <c r="B549" s="327"/>
      <c r="C549" s="327"/>
      <c r="D549" s="327"/>
      <c r="F549" s="327"/>
      <c r="L549" s="327"/>
    </row>
    <row r="550" spans="2:12" s="326" customFormat="1" ht="9.9499999999999993" customHeight="1" x14ac:dyDescent="0.2">
      <c r="B550" s="327"/>
      <c r="C550" s="327"/>
      <c r="D550" s="327"/>
      <c r="F550" s="327"/>
      <c r="L550" s="327"/>
    </row>
    <row r="551" spans="2:12" s="326" customFormat="1" ht="9.9499999999999993" customHeight="1" x14ac:dyDescent="0.2">
      <c r="B551" s="327"/>
      <c r="C551" s="327"/>
      <c r="D551" s="327"/>
      <c r="F551" s="327"/>
      <c r="L551" s="327"/>
    </row>
    <row r="552" spans="2:12" s="326" customFormat="1" ht="9.9499999999999993" customHeight="1" x14ac:dyDescent="0.2">
      <c r="B552" s="327"/>
      <c r="C552" s="327"/>
      <c r="D552" s="327"/>
      <c r="F552" s="327"/>
      <c r="L552" s="327"/>
    </row>
    <row r="553" spans="2:12" s="326" customFormat="1" ht="9.9499999999999993" customHeight="1" x14ac:dyDescent="0.2">
      <c r="B553" s="327"/>
      <c r="C553" s="327"/>
      <c r="D553" s="327"/>
      <c r="F553" s="327"/>
      <c r="L553" s="327"/>
    </row>
    <row r="554" spans="2:12" s="326" customFormat="1" ht="9.9499999999999993" customHeight="1" x14ac:dyDescent="0.2">
      <c r="B554" s="327"/>
      <c r="C554" s="327"/>
      <c r="D554" s="327"/>
      <c r="F554" s="327"/>
      <c r="L554" s="327"/>
    </row>
    <row r="555" spans="2:12" s="326" customFormat="1" ht="9.9499999999999993" customHeight="1" x14ac:dyDescent="0.2">
      <c r="B555" s="327"/>
      <c r="C555" s="327"/>
      <c r="D555" s="327"/>
      <c r="F555" s="327"/>
      <c r="L555" s="327"/>
    </row>
    <row r="556" spans="2:12" s="326" customFormat="1" ht="9.9499999999999993" customHeight="1" x14ac:dyDescent="0.2">
      <c r="B556" s="327"/>
      <c r="C556" s="327"/>
      <c r="D556" s="327"/>
      <c r="F556" s="327"/>
      <c r="L556" s="327"/>
    </row>
    <row r="557" spans="2:12" s="326" customFormat="1" ht="9.9499999999999993" customHeight="1" x14ac:dyDescent="0.2">
      <c r="B557" s="327"/>
      <c r="C557" s="327"/>
      <c r="D557" s="327"/>
      <c r="F557" s="327"/>
      <c r="L557" s="327"/>
    </row>
    <row r="558" spans="2:12" s="326" customFormat="1" ht="9.9499999999999993" customHeight="1" x14ac:dyDescent="0.2">
      <c r="B558" s="327"/>
      <c r="C558" s="327"/>
      <c r="D558" s="327"/>
      <c r="F558" s="327"/>
      <c r="L558" s="327"/>
    </row>
    <row r="559" spans="2:12" s="326" customFormat="1" ht="9.9499999999999993" customHeight="1" x14ac:dyDescent="0.2">
      <c r="B559" s="327"/>
      <c r="C559" s="327"/>
      <c r="D559" s="327"/>
      <c r="F559" s="327"/>
      <c r="L559" s="327"/>
    </row>
    <row r="560" spans="2:12" s="326" customFormat="1" ht="9.9499999999999993" customHeight="1" x14ac:dyDescent="0.2">
      <c r="B560" s="327"/>
      <c r="C560" s="327"/>
      <c r="D560" s="327"/>
      <c r="F560" s="327"/>
      <c r="L560" s="327"/>
    </row>
    <row r="561" spans="2:12" s="326" customFormat="1" ht="9.9499999999999993" customHeight="1" x14ac:dyDescent="0.2">
      <c r="B561" s="327"/>
      <c r="C561" s="327"/>
      <c r="D561" s="327"/>
      <c r="F561" s="327"/>
      <c r="L561" s="327"/>
    </row>
    <row r="562" spans="2:12" s="326" customFormat="1" ht="9.9499999999999993" customHeight="1" x14ac:dyDescent="0.2">
      <c r="B562" s="327"/>
      <c r="C562" s="327"/>
      <c r="D562" s="327"/>
      <c r="F562" s="327"/>
      <c r="L562" s="327"/>
    </row>
    <row r="563" spans="2:12" s="326" customFormat="1" ht="9.9499999999999993" customHeight="1" x14ac:dyDescent="0.2">
      <c r="B563" s="327"/>
      <c r="C563" s="327"/>
      <c r="D563" s="327"/>
      <c r="F563" s="327"/>
      <c r="L563" s="327"/>
    </row>
    <row r="564" spans="2:12" s="326" customFormat="1" ht="9.9499999999999993" customHeight="1" x14ac:dyDescent="0.2">
      <c r="B564" s="327"/>
      <c r="C564" s="327"/>
      <c r="D564" s="327"/>
      <c r="F564" s="327"/>
      <c r="L564" s="327"/>
    </row>
    <row r="565" spans="2:12" s="326" customFormat="1" ht="9.9499999999999993" customHeight="1" x14ac:dyDescent="0.2">
      <c r="B565" s="327"/>
      <c r="C565" s="327"/>
      <c r="D565" s="327"/>
      <c r="F565" s="327"/>
      <c r="L565" s="327"/>
    </row>
    <row r="566" spans="2:12" s="326" customFormat="1" ht="9.9499999999999993" customHeight="1" x14ac:dyDescent="0.2">
      <c r="B566" s="327"/>
      <c r="C566" s="327"/>
      <c r="D566" s="327"/>
      <c r="F566" s="327"/>
      <c r="L566" s="327"/>
    </row>
    <row r="567" spans="2:12" s="326" customFormat="1" ht="9.9499999999999993" customHeight="1" x14ac:dyDescent="0.2">
      <c r="B567" s="327"/>
      <c r="C567" s="327"/>
      <c r="D567" s="327"/>
      <c r="F567" s="327"/>
      <c r="L567" s="327"/>
    </row>
    <row r="568" spans="2:12" s="326" customFormat="1" ht="9.9499999999999993" customHeight="1" x14ac:dyDescent="0.2">
      <c r="B568" s="327"/>
      <c r="C568" s="327"/>
      <c r="D568" s="327"/>
      <c r="F568" s="327"/>
      <c r="L568" s="327"/>
    </row>
    <row r="569" spans="2:12" s="326" customFormat="1" ht="9.9499999999999993" customHeight="1" x14ac:dyDescent="0.2">
      <c r="B569" s="327"/>
      <c r="C569" s="327"/>
      <c r="D569" s="327"/>
      <c r="F569" s="327"/>
      <c r="L569" s="327"/>
    </row>
    <row r="570" spans="2:12" s="326" customFormat="1" ht="9.9499999999999993" customHeight="1" x14ac:dyDescent="0.2">
      <c r="B570" s="327"/>
      <c r="C570" s="327"/>
      <c r="D570" s="327"/>
      <c r="F570" s="327"/>
      <c r="L570" s="327"/>
    </row>
    <row r="571" spans="2:12" s="326" customFormat="1" ht="9.9499999999999993" customHeight="1" x14ac:dyDescent="0.2">
      <c r="B571" s="327"/>
      <c r="C571" s="327"/>
      <c r="D571" s="327"/>
      <c r="F571" s="327"/>
      <c r="L571" s="327"/>
    </row>
    <row r="572" spans="2:12" s="326" customFormat="1" ht="9.9499999999999993" customHeight="1" x14ac:dyDescent="0.2">
      <c r="B572" s="327"/>
      <c r="C572" s="327"/>
      <c r="D572" s="327"/>
      <c r="F572" s="327"/>
      <c r="L572" s="327"/>
    </row>
    <row r="573" spans="2:12" s="326" customFormat="1" ht="9.9499999999999993" customHeight="1" x14ac:dyDescent="0.2">
      <c r="B573" s="327"/>
      <c r="C573" s="327"/>
      <c r="D573" s="327"/>
      <c r="F573" s="327"/>
      <c r="L573" s="327"/>
    </row>
    <row r="574" spans="2:12" s="326" customFormat="1" ht="9.9499999999999993" customHeight="1" x14ac:dyDescent="0.2">
      <c r="B574" s="327"/>
      <c r="C574" s="327"/>
      <c r="D574" s="327"/>
      <c r="F574" s="327"/>
      <c r="L574" s="327"/>
    </row>
    <row r="575" spans="2:12" s="326" customFormat="1" ht="9.9499999999999993" customHeight="1" x14ac:dyDescent="0.2">
      <c r="B575" s="327"/>
      <c r="C575" s="327"/>
      <c r="D575" s="327"/>
      <c r="F575" s="327"/>
      <c r="L575" s="327"/>
    </row>
    <row r="576" spans="2:12" s="326" customFormat="1" ht="9.9499999999999993" customHeight="1" x14ac:dyDescent="0.2">
      <c r="B576" s="327"/>
      <c r="C576" s="327"/>
      <c r="D576" s="327"/>
      <c r="F576" s="327"/>
      <c r="L576" s="327"/>
    </row>
    <row r="577" spans="2:12" s="326" customFormat="1" ht="9.9499999999999993" customHeight="1" x14ac:dyDescent="0.2">
      <c r="B577" s="327"/>
      <c r="C577" s="327"/>
      <c r="D577" s="327"/>
      <c r="F577" s="327"/>
      <c r="L577" s="327"/>
    </row>
    <row r="578" spans="2:12" s="326" customFormat="1" ht="9.9499999999999993" customHeight="1" x14ac:dyDescent="0.2">
      <c r="B578" s="327"/>
      <c r="C578" s="327"/>
      <c r="D578" s="327"/>
      <c r="F578" s="327"/>
      <c r="L578" s="327"/>
    </row>
    <row r="579" spans="2:12" s="326" customFormat="1" ht="9.9499999999999993" customHeight="1" x14ac:dyDescent="0.2">
      <c r="B579" s="327"/>
      <c r="C579" s="327"/>
      <c r="D579" s="327"/>
      <c r="F579" s="327"/>
      <c r="L579" s="327"/>
    </row>
    <row r="580" spans="2:12" s="326" customFormat="1" ht="9.9499999999999993" customHeight="1" x14ac:dyDescent="0.2">
      <c r="B580" s="327"/>
      <c r="C580" s="327"/>
      <c r="D580" s="327"/>
      <c r="F580" s="327"/>
      <c r="L580" s="327"/>
    </row>
    <row r="581" spans="2:12" s="326" customFormat="1" ht="9.9499999999999993" customHeight="1" x14ac:dyDescent="0.2">
      <c r="B581" s="327"/>
      <c r="C581" s="327"/>
      <c r="D581" s="327"/>
      <c r="F581" s="327"/>
      <c r="L581" s="327"/>
    </row>
    <row r="582" spans="2:12" s="326" customFormat="1" ht="9.9499999999999993" customHeight="1" x14ac:dyDescent="0.2">
      <c r="B582" s="327"/>
      <c r="C582" s="327"/>
      <c r="D582" s="327"/>
      <c r="F582" s="327"/>
      <c r="L582" s="327"/>
    </row>
    <row r="583" spans="2:12" s="326" customFormat="1" ht="9.9499999999999993" customHeight="1" x14ac:dyDescent="0.2">
      <c r="B583" s="327"/>
      <c r="C583" s="327"/>
      <c r="D583" s="327"/>
      <c r="F583" s="327"/>
      <c r="L583" s="327"/>
    </row>
    <row r="584" spans="2:12" s="326" customFormat="1" ht="9.9499999999999993" customHeight="1" x14ac:dyDescent="0.2">
      <c r="B584" s="327"/>
      <c r="C584" s="327"/>
      <c r="D584" s="327"/>
      <c r="F584" s="327"/>
      <c r="L584" s="327"/>
    </row>
    <row r="585" spans="2:12" s="326" customFormat="1" ht="9.9499999999999993" customHeight="1" x14ac:dyDescent="0.2">
      <c r="B585" s="327"/>
      <c r="C585" s="327"/>
      <c r="D585" s="327"/>
      <c r="F585" s="327"/>
      <c r="L585" s="327"/>
    </row>
    <row r="586" spans="2:12" s="326" customFormat="1" ht="9.9499999999999993" customHeight="1" x14ac:dyDescent="0.2">
      <c r="B586" s="327"/>
      <c r="C586" s="327"/>
      <c r="D586" s="327"/>
      <c r="F586" s="327"/>
      <c r="L586" s="327"/>
    </row>
    <row r="587" spans="2:12" s="326" customFormat="1" ht="9.9499999999999993" customHeight="1" x14ac:dyDescent="0.2">
      <c r="B587" s="327"/>
      <c r="C587" s="327"/>
      <c r="D587" s="327"/>
      <c r="F587" s="327"/>
      <c r="L587" s="327"/>
    </row>
    <row r="588" spans="2:12" s="326" customFormat="1" ht="9.9499999999999993" customHeight="1" x14ac:dyDescent="0.2">
      <c r="B588" s="327"/>
      <c r="C588" s="327"/>
      <c r="D588" s="327"/>
      <c r="F588" s="327"/>
      <c r="L588" s="327"/>
    </row>
    <row r="589" spans="2:12" s="326" customFormat="1" ht="9.9499999999999993" customHeight="1" x14ac:dyDescent="0.2">
      <c r="B589" s="327"/>
      <c r="C589" s="327"/>
      <c r="D589" s="327"/>
      <c r="F589" s="327"/>
      <c r="L589" s="327"/>
    </row>
    <row r="590" spans="2:12" s="326" customFormat="1" ht="9.9499999999999993" customHeight="1" x14ac:dyDescent="0.2">
      <c r="B590" s="327"/>
      <c r="C590" s="327"/>
      <c r="D590" s="327"/>
      <c r="F590" s="327"/>
      <c r="L590" s="327"/>
    </row>
    <row r="591" spans="2:12" s="326" customFormat="1" ht="9.9499999999999993" customHeight="1" x14ac:dyDescent="0.2">
      <c r="B591" s="327"/>
      <c r="C591" s="327"/>
      <c r="D591" s="327"/>
      <c r="F591" s="327"/>
      <c r="L591" s="327"/>
    </row>
    <row r="592" spans="2:12" s="326" customFormat="1" ht="9.9499999999999993" customHeight="1" x14ac:dyDescent="0.2">
      <c r="B592" s="327"/>
      <c r="C592" s="327"/>
      <c r="D592" s="327"/>
      <c r="F592" s="327"/>
      <c r="L592" s="327"/>
    </row>
    <row r="593" spans="2:12" s="326" customFormat="1" ht="9.9499999999999993" customHeight="1" x14ac:dyDescent="0.2">
      <c r="B593" s="327"/>
      <c r="C593" s="327"/>
      <c r="D593" s="327"/>
      <c r="F593" s="327"/>
      <c r="L593" s="327"/>
    </row>
    <row r="594" spans="2:12" s="326" customFormat="1" ht="9.9499999999999993" customHeight="1" x14ac:dyDescent="0.2">
      <c r="B594" s="327"/>
      <c r="C594" s="327"/>
      <c r="D594" s="327"/>
      <c r="F594" s="327"/>
      <c r="L594" s="327"/>
    </row>
    <row r="595" spans="2:12" s="326" customFormat="1" ht="9.9499999999999993" customHeight="1" x14ac:dyDescent="0.2">
      <c r="B595" s="327"/>
      <c r="C595" s="327"/>
      <c r="D595" s="327"/>
      <c r="F595" s="327"/>
      <c r="L595" s="327"/>
    </row>
    <row r="596" spans="2:12" s="326" customFormat="1" ht="9.9499999999999993" customHeight="1" x14ac:dyDescent="0.2">
      <c r="B596" s="327"/>
      <c r="C596" s="327"/>
      <c r="D596" s="327"/>
      <c r="F596" s="327"/>
      <c r="L596" s="327"/>
    </row>
    <row r="597" spans="2:12" s="326" customFormat="1" ht="9.9499999999999993" customHeight="1" x14ac:dyDescent="0.2">
      <c r="B597" s="327"/>
      <c r="C597" s="327"/>
      <c r="D597" s="327"/>
      <c r="F597" s="327"/>
      <c r="L597" s="327"/>
    </row>
    <row r="598" spans="2:12" s="326" customFormat="1" ht="9.9499999999999993" customHeight="1" x14ac:dyDescent="0.2">
      <c r="B598" s="327"/>
      <c r="C598" s="327"/>
      <c r="D598" s="327"/>
      <c r="F598" s="327"/>
      <c r="L598" s="327"/>
    </row>
    <row r="599" spans="2:12" s="326" customFormat="1" ht="9.9499999999999993" customHeight="1" x14ac:dyDescent="0.2">
      <c r="B599" s="327"/>
      <c r="C599" s="327"/>
      <c r="D599" s="327"/>
      <c r="F599" s="327"/>
      <c r="L599" s="327"/>
    </row>
    <row r="600" spans="2:12" s="326" customFormat="1" ht="9.9499999999999993" customHeight="1" x14ac:dyDescent="0.2">
      <c r="B600" s="327"/>
      <c r="C600" s="327"/>
      <c r="D600" s="327"/>
      <c r="F600" s="327"/>
      <c r="L600" s="327"/>
    </row>
    <row r="601" spans="2:12" s="326" customFormat="1" ht="9.9499999999999993" customHeight="1" x14ac:dyDescent="0.2">
      <c r="B601" s="327"/>
      <c r="C601" s="327"/>
      <c r="D601" s="327"/>
      <c r="F601" s="327"/>
      <c r="L601" s="327"/>
    </row>
    <row r="602" spans="2:12" s="326" customFormat="1" ht="9.9499999999999993" customHeight="1" x14ac:dyDescent="0.2">
      <c r="B602" s="327"/>
      <c r="C602" s="327"/>
      <c r="D602" s="327"/>
      <c r="F602" s="327"/>
      <c r="L602" s="327"/>
    </row>
    <row r="603" spans="2:12" s="326" customFormat="1" ht="9.9499999999999993" customHeight="1" x14ac:dyDescent="0.2">
      <c r="B603" s="327"/>
      <c r="C603" s="327"/>
      <c r="D603" s="327"/>
      <c r="F603" s="327"/>
      <c r="L603" s="327"/>
    </row>
    <row r="604" spans="2:12" s="326" customFormat="1" ht="9.9499999999999993" customHeight="1" x14ac:dyDescent="0.2">
      <c r="B604" s="327"/>
      <c r="C604" s="327"/>
      <c r="D604" s="327"/>
      <c r="F604" s="327"/>
      <c r="L604" s="327"/>
    </row>
    <row r="605" spans="2:12" s="326" customFormat="1" ht="9.9499999999999993" customHeight="1" x14ac:dyDescent="0.2">
      <c r="B605" s="327"/>
      <c r="C605" s="327"/>
      <c r="D605" s="327"/>
      <c r="F605" s="327"/>
      <c r="L605" s="327"/>
    </row>
    <row r="606" spans="2:12" s="326" customFormat="1" ht="9.9499999999999993" customHeight="1" x14ac:dyDescent="0.2">
      <c r="B606" s="327"/>
      <c r="C606" s="327"/>
      <c r="D606" s="327"/>
      <c r="F606" s="327"/>
      <c r="L606" s="327"/>
    </row>
    <row r="607" spans="2:12" s="326" customFormat="1" ht="9.9499999999999993" customHeight="1" x14ac:dyDescent="0.2">
      <c r="B607" s="327"/>
      <c r="C607" s="327"/>
      <c r="D607" s="327"/>
      <c r="F607" s="327"/>
      <c r="L607" s="327"/>
    </row>
    <row r="608" spans="2:12" s="326" customFormat="1" ht="9.9499999999999993" customHeight="1" x14ac:dyDescent="0.2">
      <c r="B608" s="327"/>
      <c r="C608" s="327"/>
      <c r="D608" s="327"/>
      <c r="F608" s="327"/>
      <c r="L608" s="327"/>
    </row>
    <row r="609" spans="2:12" s="326" customFormat="1" ht="9.9499999999999993" customHeight="1" x14ac:dyDescent="0.2">
      <c r="B609" s="327"/>
      <c r="C609" s="327"/>
      <c r="D609" s="327"/>
      <c r="F609" s="327"/>
      <c r="L609" s="327"/>
    </row>
    <row r="610" spans="2:12" s="326" customFormat="1" ht="9.9499999999999993" customHeight="1" x14ac:dyDescent="0.2">
      <c r="B610" s="327"/>
      <c r="C610" s="327"/>
      <c r="D610" s="327"/>
      <c r="F610" s="327"/>
      <c r="L610" s="327"/>
    </row>
    <row r="611" spans="2:12" s="326" customFormat="1" ht="9.9499999999999993" customHeight="1" x14ac:dyDescent="0.2">
      <c r="B611" s="327"/>
      <c r="C611" s="327"/>
      <c r="D611" s="327"/>
      <c r="F611" s="327"/>
      <c r="L611" s="327"/>
    </row>
    <row r="612" spans="2:12" s="326" customFormat="1" ht="9.9499999999999993" customHeight="1" x14ac:dyDescent="0.2">
      <c r="B612" s="327"/>
      <c r="C612" s="327"/>
      <c r="D612" s="327"/>
      <c r="F612" s="327"/>
      <c r="L612" s="327"/>
    </row>
    <row r="613" spans="2:12" s="326" customFormat="1" ht="9.9499999999999993" customHeight="1" x14ac:dyDescent="0.2">
      <c r="B613" s="327"/>
      <c r="C613" s="327"/>
      <c r="D613" s="327"/>
      <c r="F613" s="327"/>
      <c r="L613" s="327"/>
    </row>
    <row r="614" spans="2:12" s="326" customFormat="1" ht="9.9499999999999993" customHeight="1" x14ac:dyDescent="0.2">
      <c r="B614" s="327"/>
      <c r="C614" s="327"/>
      <c r="D614" s="327"/>
      <c r="F614" s="327"/>
      <c r="L614" s="327"/>
    </row>
    <row r="615" spans="2:12" s="326" customFormat="1" ht="9.9499999999999993" customHeight="1" x14ac:dyDescent="0.2">
      <c r="B615" s="327"/>
      <c r="C615" s="327"/>
      <c r="D615" s="327"/>
      <c r="F615" s="327"/>
      <c r="L615" s="327"/>
    </row>
    <row r="616" spans="2:12" s="326" customFormat="1" ht="9.9499999999999993" customHeight="1" x14ac:dyDescent="0.2">
      <c r="B616" s="327"/>
      <c r="C616" s="327"/>
      <c r="D616" s="327"/>
      <c r="F616" s="327"/>
      <c r="L616" s="327"/>
    </row>
    <row r="617" spans="2:12" s="326" customFormat="1" ht="9.9499999999999993" customHeight="1" x14ac:dyDescent="0.2">
      <c r="B617" s="327"/>
      <c r="C617" s="327"/>
      <c r="D617" s="327"/>
      <c r="F617" s="327"/>
      <c r="L617" s="327"/>
    </row>
    <row r="618" spans="2:12" s="326" customFormat="1" ht="9.9499999999999993" customHeight="1" x14ac:dyDescent="0.2">
      <c r="B618" s="327"/>
      <c r="C618" s="327"/>
      <c r="D618" s="327"/>
      <c r="F618" s="327"/>
      <c r="L618" s="327"/>
    </row>
    <row r="619" spans="2:12" s="326" customFormat="1" ht="9.9499999999999993" customHeight="1" x14ac:dyDescent="0.2">
      <c r="B619" s="327"/>
      <c r="C619" s="327"/>
      <c r="D619" s="327"/>
      <c r="F619" s="327"/>
      <c r="L619" s="327"/>
    </row>
    <row r="620" spans="2:12" s="326" customFormat="1" ht="9.9499999999999993" customHeight="1" x14ac:dyDescent="0.2">
      <c r="B620" s="327"/>
      <c r="C620" s="327"/>
      <c r="D620" s="327"/>
      <c r="F620" s="327"/>
      <c r="L620" s="327"/>
    </row>
    <row r="621" spans="2:12" s="326" customFormat="1" ht="9.9499999999999993" customHeight="1" x14ac:dyDescent="0.2">
      <c r="B621" s="327"/>
      <c r="C621" s="327"/>
      <c r="D621" s="327"/>
      <c r="F621" s="327"/>
      <c r="L621" s="327"/>
    </row>
    <row r="622" spans="2:12" s="326" customFormat="1" ht="9.9499999999999993" customHeight="1" x14ac:dyDescent="0.2">
      <c r="B622" s="327"/>
      <c r="C622" s="327"/>
      <c r="D622" s="327"/>
      <c r="F622" s="327"/>
      <c r="L622" s="327"/>
    </row>
    <row r="623" spans="2:12" s="326" customFormat="1" ht="9.9499999999999993" customHeight="1" x14ac:dyDescent="0.2">
      <c r="B623" s="327"/>
      <c r="C623" s="327"/>
      <c r="D623" s="327"/>
      <c r="F623" s="327"/>
      <c r="L623" s="327"/>
    </row>
    <row r="624" spans="2:12" s="326" customFormat="1" ht="9.9499999999999993" customHeight="1" x14ac:dyDescent="0.2">
      <c r="B624" s="327"/>
      <c r="C624" s="327"/>
      <c r="D624" s="327"/>
      <c r="F624" s="327"/>
      <c r="L624" s="327"/>
    </row>
    <row r="625" spans="2:12" s="326" customFormat="1" ht="9.9499999999999993" customHeight="1" x14ac:dyDescent="0.2">
      <c r="B625" s="327"/>
      <c r="C625" s="327"/>
      <c r="D625" s="327"/>
      <c r="F625" s="327"/>
      <c r="L625" s="327"/>
    </row>
    <row r="626" spans="2:12" s="326" customFormat="1" ht="9.9499999999999993" customHeight="1" x14ac:dyDescent="0.2">
      <c r="B626" s="327"/>
      <c r="C626" s="327"/>
      <c r="D626" s="327"/>
      <c r="F626" s="327"/>
      <c r="L626" s="327"/>
    </row>
    <row r="627" spans="2:12" s="326" customFormat="1" ht="9.9499999999999993" customHeight="1" x14ac:dyDescent="0.2">
      <c r="B627" s="327"/>
      <c r="C627" s="327"/>
      <c r="D627" s="327"/>
      <c r="F627" s="327"/>
      <c r="L627" s="327"/>
    </row>
    <row r="628" spans="2:12" s="326" customFormat="1" ht="9.9499999999999993" customHeight="1" x14ac:dyDescent="0.2">
      <c r="B628" s="327"/>
      <c r="C628" s="327"/>
      <c r="D628" s="327"/>
      <c r="F628" s="327"/>
      <c r="L628" s="327"/>
    </row>
    <row r="629" spans="2:12" s="326" customFormat="1" ht="9.9499999999999993" customHeight="1" x14ac:dyDescent="0.2">
      <c r="B629" s="327"/>
      <c r="C629" s="327"/>
      <c r="D629" s="327"/>
      <c r="F629" s="327"/>
      <c r="L629" s="327"/>
    </row>
    <row r="630" spans="2:12" s="326" customFormat="1" ht="9.9499999999999993" customHeight="1" x14ac:dyDescent="0.2">
      <c r="B630" s="327"/>
      <c r="C630" s="327"/>
      <c r="D630" s="327"/>
      <c r="F630" s="327"/>
      <c r="L630" s="327"/>
    </row>
    <row r="631" spans="2:12" s="326" customFormat="1" ht="9.9499999999999993" customHeight="1" x14ac:dyDescent="0.2">
      <c r="B631" s="327"/>
      <c r="C631" s="327"/>
      <c r="D631" s="327"/>
      <c r="F631" s="327"/>
      <c r="L631" s="327"/>
    </row>
    <row r="632" spans="2:12" s="326" customFormat="1" ht="9.9499999999999993" customHeight="1" x14ac:dyDescent="0.2">
      <c r="B632" s="327"/>
      <c r="C632" s="327"/>
      <c r="D632" s="327"/>
      <c r="F632" s="327"/>
      <c r="L632" s="327"/>
    </row>
    <row r="633" spans="2:12" s="326" customFormat="1" ht="9.9499999999999993" customHeight="1" x14ac:dyDescent="0.2">
      <c r="B633" s="327"/>
      <c r="C633" s="327"/>
      <c r="D633" s="327"/>
      <c r="F633" s="327"/>
      <c r="L633" s="327"/>
    </row>
    <row r="634" spans="2:12" s="326" customFormat="1" ht="9.9499999999999993" customHeight="1" x14ac:dyDescent="0.2">
      <c r="B634" s="327"/>
      <c r="C634" s="327"/>
      <c r="D634" s="327"/>
      <c r="F634" s="327"/>
      <c r="L634" s="327"/>
    </row>
    <row r="635" spans="2:12" s="326" customFormat="1" ht="9.9499999999999993" customHeight="1" x14ac:dyDescent="0.2">
      <c r="B635" s="327"/>
      <c r="C635" s="327"/>
      <c r="D635" s="327"/>
      <c r="F635" s="327"/>
      <c r="L635" s="327"/>
    </row>
    <row r="636" spans="2:12" s="326" customFormat="1" ht="9.9499999999999993" customHeight="1" x14ac:dyDescent="0.2">
      <c r="B636" s="327"/>
      <c r="C636" s="327"/>
      <c r="D636" s="327"/>
      <c r="F636" s="327"/>
      <c r="L636" s="327"/>
    </row>
    <row r="637" spans="2:12" s="326" customFormat="1" ht="9.9499999999999993" customHeight="1" x14ac:dyDescent="0.2">
      <c r="B637" s="327"/>
      <c r="C637" s="327"/>
      <c r="D637" s="327"/>
      <c r="F637" s="327"/>
      <c r="L637" s="327"/>
    </row>
    <row r="638" spans="2:12" s="326" customFormat="1" ht="9.9499999999999993" customHeight="1" x14ac:dyDescent="0.2">
      <c r="B638" s="327"/>
      <c r="C638" s="327"/>
      <c r="D638" s="327"/>
      <c r="F638" s="327"/>
      <c r="L638" s="327"/>
    </row>
    <row r="639" spans="2:12" s="326" customFormat="1" ht="9.9499999999999993" customHeight="1" x14ac:dyDescent="0.2">
      <c r="B639" s="327"/>
      <c r="C639" s="327"/>
      <c r="D639" s="327"/>
      <c r="F639" s="327"/>
      <c r="L639" s="327"/>
    </row>
    <row r="640" spans="2:12" s="326" customFormat="1" ht="9.9499999999999993" customHeight="1" x14ac:dyDescent="0.2">
      <c r="B640" s="327"/>
      <c r="C640" s="327"/>
      <c r="D640" s="327"/>
      <c r="F640" s="327"/>
      <c r="L640" s="327"/>
    </row>
    <row r="641" spans="2:12" s="326" customFormat="1" ht="9.9499999999999993" customHeight="1" x14ac:dyDescent="0.2">
      <c r="B641" s="327"/>
      <c r="C641" s="327"/>
      <c r="D641" s="327"/>
      <c r="F641" s="327"/>
      <c r="L641" s="327"/>
    </row>
    <row r="642" spans="2:12" s="326" customFormat="1" ht="9.9499999999999993" customHeight="1" x14ac:dyDescent="0.2">
      <c r="B642" s="327"/>
      <c r="C642" s="327"/>
      <c r="D642" s="327"/>
      <c r="F642" s="327"/>
      <c r="L642" s="327"/>
    </row>
    <row r="643" spans="2:12" s="326" customFormat="1" ht="9.9499999999999993" customHeight="1" x14ac:dyDescent="0.2">
      <c r="B643" s="327"/>
      <c r="C643" s="327"/>
      <c r="D643" s="327"/>
      <c r="F643" s="327"/>
      <c r="L643" s="327"/>
    </row>
    <row r="644" spans="2:12" s="326" customFormat="1" ht="9.9499999999999993" customHeight="1" x14ac:dyDescent="0.2">
      <c r="B644" s="327"/>
      <c r="C644" s="327"/>
      <c r="D644" s="327"/>
      <c r="F644" s="327"/>
      <c r="L644" s="327"/>
    </row>
    <row r="645" spans="2:12" s="326" customFormat="1" ht="9.9499999999999993" customHeight="1" x14ac:dyDescent="0.2">
      <c r="B645" s="327"/>
      <c r="C645" s="327"/>
      <c r="D645" s="327"/>
      <c r="F645" s="327"/>
      <c r="L645" s="327"/>
    </row>
    <row r="646" spans="2:12" s="326" customFormat="1" ht="9.9499999999999993" customHeight="1" x14ac:dyDescent="0.2">
      <c r="B646" s="327"/>
      <c r="C646" s="327"/>
      <c r="D646" s="327"/>
      <c r="F646" s="327"/>
      <c r="L646" s="327"/>
    </row>
    <row r="647" spans="2:12" s="326" customFormat="1" ht="9.9499999999999993" customHeight="1" x14ac:dyDescent="0.2">
      <c r="B647" s="327"/>
      <c r="C647" s="327"/>
      <c r="D647" s="327"/>
      <c r="F647" s="327"/>
      <c r="L647" s="327"/>
    </row>
    <row r="648" spans="2:12" s="326" customFormat="1" ht="9.9499999999999993" customHeight="1" x14ac:dyDescent="0.2">
      <c r="B648" s="327"/>
      <c r="C648" s="327"/>
      <c r="D648" s="327"/>
      <c r="F648" s="327"/>
      <c r="L648" s="327"/>
    </row>
    <row r="649" spans="2:12" s="326" customFormat="1" ht="9.9499999999999993" customHeight="1" x14ac:dyDescent="0.2">
      <c r="B649" s="327"/>
      <c r="C649" s="327"/>
      <c r="D649" s="327"/>
      <c r="F649" s="327"/>
      <c r="L649" s="327"/>
    </row>
    <row r="650" spans="2:12" s="326" customFormat="1" ht="9.9499999999999993" customHeight="1" x14ac:dyDescent="0.2">
      <c r="B650" s="327"/>
      <c r="C650" s="327"/>
      <c r="D650" s="327"/>
      <c r="F650" s="327"/>
      <c r="L650" s="327"/>
    </row>
    <row r="651" spans="2:12" s="326" customFormat="1" ht="9.9499999999999993" customHeight="1" x14ac:dyDescent="0.2">
      <c r="B651" s="327"/>
      <c r="C651" s="327"/>
      <c r="D651" s="327"/>
      <c r="F651" s="327"/>
      <c r="L651" s="327"/>
    </row>
    <row r="652" spans="2:12" s="326" customFormat="1" ht="9.9499999999999993" customHeight="1" x14ac:dyDescent="0.2">
      <c r="B652" s="327"/>
      <c r="C652" s="327"/>
      <c r="D652" s="327"/>
      <c r="F652" s="327"/>
      <c r="L652" s="327"/>
    </row>
    <row r="653" spans="2:12" s="326" customFormat="1" ht="9.9499999999999993" customHeight="1" x14ac:dyDescent="0.2">
      <c r="B653" s="327"/>
      <c r="C653" s="327"/>
      <c r="D653" s="327"/>
      <c r="F653" s="327"/>
      <c r="L653" s="327"/>
    </row>
    <row r="654" spans="2:12" s="326" customFormat="1" ht="9.9499999999999993" customHeight="1" x14ac:dyDescent="0.2">
      <c r="B654" s="327"/>
      <c r="C654" s="327"/>
      <c r="D654" s="327"/>
      <c r="F654" s="327"/>
      <c r="L654" s="327"/>
    </row>
    <row r="655" spans="2:12" s="326" customFormat="1" ht="9.9499999999999993" customHeight="1" x14ac:dyDescent="0.2">
      <c r="B655" s="327"/>
      <c r="C655" s="327"/>
      <c r="D655" s="327"/>
      <c r="F655" s="327"/>
      <c r="L655" s="327"/>
    </row>
    <row r="656" spans="2:12" s="326" customFormat="1" ht="9.9499999999999993" customHeight="1" x14ac:dyDescent="0.2">
      <c r="B656" s="327"/>
      <c r="C656" s="327"/>
      <c r="D656" s="327"/>
      <c r="F656" s="327"/>
      <c r="L656" s="327"/>
    </row>
    <row r="657" spans="2:12" s="326" customFormat="1" ht="9.9499999999999993" customHeight="1" x14ac:dyDescent="0.2">
      <c r="B657" s="327"/>
      <c r="C657" s="327"/>
      <c r="D657" s="327"/>
      <c r="F657" s="327"/>
      <c r="L657" s="327"/>
    </row>
    <row r="658" spans="2:12" s="326" customFormat="1" ht="9.9499999999999993" customHeight="1" x14ac:dyDescent="0.2">
      <c r="B658" s="327"/>
      <c r="C658" s="327"/>
      <c r="D658" s="327"/>
      <c r="F658" s="327"/>
      <c r="L658" s="327"/>
    </row>
    <row r="659" spans="2:12" s="326" customFormat="1" ht="9.9499999999999993" customHeight="1" x14ac:dyDescent="0.2">
      <c r="B659" s="327"/>
      <c r="C659" s="327"/>
      <c r="D659" s="327"/>
      <c r="F659" s="327"/>
      <c r="L659" s="327"/>
    </row>
    <row r="660" spans="2:12" s="326" customFormat="1" ht="9.9499999999999993" customHeight="1" x14ac:dyDescent="0.2">
      <c r="B660" s="327"/>
      <c r="C660" s="327"/>
      <c r="D660" s="327"/>
      <c r="F660" s="327"/>
      <c r="L660" s="327"/>
    </row>
    <row r="661" spans="2:12" s="326" customFormat="1" ht="9.9499999999999993" customHeight="1" x14ac:dyDescent="0.2">
      <c r="B661" s="327"/>
      <c r="C661" s="327"/>
      <c r="D661" s="327"/>
      <c r="F661" s="327"/>
      <c r="L661" s="327"/>
    </row>
    <row r="662" spans="2:12" s="326" customFormat="1" ht="9.9499999999999993" customHeight="1" x14ac:dyDescent="0.2">
      <c r="B662" s="327"/>
      <c r="C662" s="327"/>
      <c r="D662" s="327"/>
      <c r="F662" s="327"/>
      <c r="L662" s="327"/>
    </row>
    <row r="663" spans="2:12" s="326" customFormat="1" ht="9.9499999999999993" customHeight="1" x14ac:dyDescent="0.2">
      <c r="B663" s="327"/>
      <c r="C663" s="327"/>
      <c r="D663" s="327"/>
      <c r="F663" s="327"/>
      <c r="L663" s="327"/>
    </row>
    <row r="664" spans="2:12" s="326" customFormat="1" ht="9.9499999999999993" customHeight="1" x14ac:dyDescent="0.2">
      <c r="B664" s="327"/>
      <c r="C664" s="327"/>
      <c r="D664" s="327"/>
      <c r="F664" s="327"/>
      <c r="L664" s="327"/>
    </row>
    <row r="665" spans="2:12" s="326" customFormat="1" ht="9.9499999999999993" customHeight="1" x14ac:dyDescent="0.2">
      <c r="B665" s="327"/>
      <c r="C665" s="327"/>
      <c r="D665" s="327"/>
      <c r="F665" s="327"/>
      <c r="L665" s="327"/>
    </row>
    <row r="666" spans="2:12" s="326" customFormat="1" ht="9.9499999999999993" customHeight="1" x14ac:dyDescent="0.2">
      <c r="B666" s="327"/>
      <c r="C666" s="327"/>
      <c r="D666" s="327"/>
      <c r="F666" s="327"/>
      <c r="L666" s="327"/>
    </row>
    <row r="667" spans="2:12" s="326" customFormat="1" ht="9.9499999999999993" customHeight="1" x14ac:dyDescent="0.2">
      <c r="B667" s="327"/>
      <c r="C667" s="327"/>
      <c r="D667" s="327"/>
      <c r="F667" s="327"/>
      <c r="L667" s="327"/>
    </row>
    <row r="668" spans="2:12" s="326" customFormat="1" ht="9.9499999999999993" customHeight="1" x14ac:dyDescent="0.2">
      <c r="B668" s="327"/>
      <c r="C668" s="327"/>
      <c r="D668" s="327"/>
      <c r="F668" s="327"/>
      <c r="L668" s="327"/>
    </row>
    <row r="669" spans="2:12" s="326" customFormat="1" ht="9.9499999999999993" customHeight="1" x14ac:dyDescent="0.2">
      <c r="B669" s="327"/>
      <c r="C669" s="327"/>
      <c r="D669" s="327"/>
      <c r="F669" s="327"/>
      <c r="L669" s="327"/>
    </row>
    <row r="670" spans="2:12" s="326" customFormat="1" ht="9.9499999999999993" customHeight="1" x14ac:dyDescent="0.2">
      <c r="B670" s="327"/>
      <c r="C670" s="327"/>
      <c r="D670" s="327"/>
      <c r="F670" s="327"/>
      <c r="L670" s="327"/>
    </row>
    <row r="671" spans="2:12" s="326" customFormat="1" ht="9.9499999999999993" customHeight="1" x14ac:dyDescent="0.2">
      <c r="B671" s="327"/>
      <c r="C671" s="327"/>
      <c r="D671" s="327"/>
      <c r="F671" s="327"/>
      <c r="L671" s="327"/>
    </row>
    <row r="672" spans="2:12" s="326" customFormat="1" ht="9.9499999999999993" customHeight="1" x14ac:dyDescent="0.2">
      <c r="B672" s="327"/>
      <c r="C672" s="327"/>
      <c r="D672" s="327"/>
      <c r="F672" s="327"/>
      <c r="L672" s="327"/>
    </row>
    <row r="673" spans="2:12" s="326" customFormat="1" ht="9.9499999999999993" customHeight="1" x14ac:dyDescent="0.2">
      <c r="B673" s="327"/>
      <c r="C673" s="327"/>
      <c r="D673" s="327"/>
      <c r="F673" s="327"/>
      <c r="L673" s="327"/>
    </row>
    <row r="674" spans="2:12" s="326" customFormat="1" ht="9.9499999999999993" customHeight="1" x14ac:dyDescent="0.2">
      <c r="B674" s="327"/>
      <c r="C674" s="327"/>
      <c r="D674" s="327"/>
      <c r="F674" s="327"/>
      <c r="L674" s="327"/>
    </row>
    <row r="675" spans="2:12" s="326" customFormat="1" ht="9.9499999999999993" customHeight="1" x14ac:dyDescent="0.2">
      <c r="B675" s="327"/>
      <c r="C675" s="327"/>
      <c r="D675" s="327"/>
      <c r="F675" s="327"/>
      <c r="L675" s="327"/>
    </row>
    <row r="676" spans="2:12" s="326" customFormat="1" ht="9.9499999999999993" customHeight="1" x14ac:dyDescent="0.2">
      <c r="B676" s="327"/>
      <c r="C676" s="327"/>
      <c r="D676" s="327"/>
      <c r="F676" s="327"/>
      <c r="L676" s="327"/>
    </row>
    <row r="677" spans="2:12" s="326" customFormat="1" ht="9.9499999999999993" customHeight="1" x14ac:dyDescent="0.2">
      <c r="B677" s="327"/>
      <c r="C677" s="327"/>
      <c r="D677" s="327"/>
      <c r="F677" s="327"/>
      <c r="L677" s="327"/>
    </row>
    <row r="678" spans="2:12" s="326" customFormat="1" ht="9.9499999999999993" customHeight="1" x14ac:dyDescent="0.2">
      <c r="B678" s="327"/>
      <c r="C678" s="327"/>
      <c r="D678" s="327"/>
      <c r="F678" s="327"/>
      <c r="L678" s="327"/>
    </row>
    <row r="679" spans="2:12" s="326" customFormat="1" ht="9.9499999999999993" customHeight="1" x14ac:dyDescent="0.2">
      <c r="B679" s="327"/>
      <c r="C679" s="327"/>
      <c r="D679" s="327"/>
      <c r="F679" s="327"/>
      <c r="L679" s="327"/>
    </row>
    <row r="680" spans="2:12" s="326" customFormat="1" ht="9.9499999999999993" customHeight="1" x14ac:dyDescent="0.2">
      <c r="B680" s="327"/>
      <c r="C680" s="327"/>
      <c r="D680" s="327"/>
      <c r="F680" s="327"/>
      <c r="L680" s="327"/>
    </row>
    <row r="681" spans="2:12" s="326" customFormat="1" ht="9.9499999999999993" customHeight="1" x14ac:dyDescent="0.2">
      <c r="B681" s="327"/>
      <c r="C681" s="327"/>
      <c r="D681" s="327"/>
      <c r="F681" s="327"/>
      <c r="L681" s="327"/>
    </row>
    <row r="682" spans="2:12" s="326" customFormat="1" ht="9.9499999999999993" customHeight="1" x14ac:dyDescent="0.2">
      <c r="B682" s="327"/>
      <c r="C682" s="327"/>
      <c r="D682" s="327"/>
      <c r="F682" s="327"/>
      <c r="L682" s="327"/>
    </row>
    <row r="683" spans="2:12" s="326" customFormat="1" ht="9.9499999999999993" customHeight="1" x14ac:dyDescent="0.2">
      <c r="B683" s="327"/>
      <c r="C683" s="327"/>
      <c r="D683" s="327"/>
      <c r="F683" s="327"/>
      <c r="L683" s="327"/>
    </row>
    <row r="684" spans="2:12" s="326" customFormat="1" ht="9.9499999999999993" customHeight="1" x14ac:dyDescent="0.2">
      <c r="B684" s="327"/>
      <c r="C684" s="327"/>
      <c r="D684" s="327"/>
      <c r="F684" s="327"/>
      <c r="L684" s="327"/>
    </row>
    <row r="685" spans="2:12" s="326" customFormat="1" ht="9.9499999999999993" customHeight="1" x14ac:dyDescent="0.2">
      <c r="B685" s="327"/>
      <c r="C685" s="327"/>
      <c r="D685" s="327"/>
      <c r="F685" s="327"/>
      <c r="L685" s="327"/>
    </row>
    <row r="686" spans="2:12" s="326" customFormat="1" ht="9.9499999999999993" customHeight="1" x14ac:dyDescent="0.2">
      <c r="B686" s="327"/>
      <c r="C686" s="327"/>
      <c r="D686" s="327"/>
      <c r="F686" s="327"/>
      <c r="L686" s="327"/>
    </row>
    <row r="687" spans="2:12" s="326" customFormat="1" ht="9.9499999999999993" customHeight="1" x14ac:dyDescent="0.2">
      <c r="B687" s="327"/>
      <c r="C687" s="327"/>
      <c r="D687" s="327"/>
      <c r="F687" s="327"/>
      <c r="L687" s="327"/>
    </row>
    <row r="688" spans="2:12" s="326" customFormat="1" ht="9.9499999999999993" customHeight="1" x14ac:dyDescent="0.2">
      <c r="B688" s="327"/>
      <c r="C688" s="327"/>
      <c r="D688" s="327"/>
      <c r="F688" s="327"/>
      <c r="L688" s="327"/>
    </row>
    <row r="689" spans="2:12" s="326" customFormat="1" ht="9.9499999999999993" customHeight="1" x14ac:dyDescent="0.2">
      <c r="B689" s="327"/>
      <c r="C689" s="327"/>
      <c r="D689" s="327"/>
      <c r="F689" s="327"/>
      <c r="L689" s="327"/>
    </row>
    <row r="690" spans="2:12" s="326" customFormat="1" ht="9.9499999999999993" customHeight="1" x14ac:dyDescent="0.2">
      <c r="B690" s="327"/>
      <c r="C690" s="327"/>
      <c r="D690" s="327"/>
      <c r="F690" s="327"/>
      <c r="L690" s="327"/>
    </row>
    <row r="691" spans="2:12" s="326" customFormat="1" ht="9.9499999999999993" customHeight="1" x14ac:dyDescent="0.2">
      <c r="B691" s="327"/>
      <c r="C691" s="327"/>
      <c r="D691" s="327"/>
      <c r="F691" s="327"/>
      <c r="L691" s="327"/>
    </row>
    <row r="692" spans="2:12" s="326" customFormat="1" ht="9.9499999999999993" customHeight="1" x14ac:dyDescent="0.2">
      <c r="B692" s="327"/>
      <c r="C692" s="327"/>
      <c r="D692" s="327"/>
      <c r="F692" s="327"/>
      <c r="L692" s="327"/>
    </row>
    <row r="693" spans="2:12" s="326" customFormat="1" ht="9.9499999999999993" customHeight="1" x14ac:dyDescent="0.2">
      <c r="B693" s="327"/>
      <c r="C693" s="327"/>
      <c r="D693" s="327"/>
      <c r="F693" s="327"/>
      <c r="L693" s="327"/>
    </row>
    <row r="694" spans="2:12" s="326" customFormat="1" ht="9.9499999999999993" customHeight="1" x14ac:dyDescent="0.2">
      <c r="B694" s="327"/>
      <c r="C694" s="327"/>
      <c r="D694" s="327"/>
      <c r="F694" s="327"/>
      <c r="L694" s="327"/>
    </row>
    <row r="695" spans="2:12" s="326" customFormat="1" ht="9.9499999999999993" customHeight="1" x14ac:dyDescent="0.2">
      <c r="B695" s="327"/>
      <c r="C695" s="327"/>
      <c r="D695" s="327"/>
      <c r="F695" s="327"/>
      <c r="L695" s="327"/>
    </row>
    <row r="696" spans="2:12" s="326" customFormat="1" ht="9.9499999999999993" customHeight="1" x14ac:dyDescent="0.2">
      <c r="B696" s="327"/>
      <c r="C696" s="327"/>
      <c r="D696" s="327"/>
      <c r="F696" s="327"/>
      <c r="L696" s="327"/>
    </row>
    <row r="697" spans="2:12" s="326" customFormat="1" ht="9.9499999999999993" customHeight="1" x14ac:dyDescent="0.2">
      <c r="B697" s="327"/>
      <c r="C697" s="327"/>
      <c r="D697" s="327"/>
      <c r="F697" s="327"/>
      <c r="L697" s="327"/>
    </row>
    <row r="698" spans="2:12" s="326" customFormat="1" ht="9.9499999999999993" customHeight="1" x14ac:dyDescent="0.2">
      <c r="B698" s="327"/>
      <c r="C698" s="327"/>
      <c r="D698" s="327"/>
      <c r="F698" s="327"/>
      <c r="L698" s="327"/>
    </row>
    <row r="699" spans="2:12" s="326" customFormat="1" ht="9.9499999999999993" customHeight="1" x14ac:dyDescent="0.2">
      <c r="B699" s="327"/>
      <c r="C699" s="327"/>
      <c r="D699" s="327"/>
      <c r="F699" s="327"/>
      <c r="L699" s="327"/>
    </row>
    <row r="700" spans="2:12" s="326" customFormat="1" ht="9.9499999999999993" customHeight="1" x14ac:dyDescent="0.2">
      <c r="B700" s="327"/>
      <c r="C700" s="327"/>
      <c r="D700" s="327"/>
      <c r="F700" s="327"/>
      <c r="L700" s="327"/>
    </row>
    <row r="701" spans="2:12" s="326" customFormat="1" ht="9.9499999999999993" customHeight="1" x14ac:dyDescent="0.2">
      <c r="B701" s="327"/>
      <c r="C701" s="327"/>
      <c r="D701" s="327"/>
      <c r="F701" s="327"/>
      <c r="L701" s="327"/>
    </row>
    <row r="702" spans="2:12" s="326" customFormat="1" ht="9.9499999999999993" customHeight="1" x14ac:dyDescent="0.2">
      <c r="B702" s="327"/>
      <c r="C702" s="327"/>
      <c r="D702" s="327"/>
      <c r="F702" s="327"/>
      <c r="L702" s="327"/>
    </row>
    <row r="703" spans="2:12" s="326" customFormat="1" ht="9.9499999999999993" customHeight="1" x14ac:dyDescent="0.2">
      <c r="B703" s="327"/>
      <c r="C703" s="327"/>
      <c r="D703" s="327"/>
      <c r="F703" s="327"/>
      <c r="L703" s="327"/>
    </row>
    <row r="704" spans="2:12" s="326" customFormat="1" ht="9.9499999999999993" customHeight="1" x14ac:dyDescent="0.2">
      <c r="B704" s="327"/>
      <c r="C704" s="327"/>
      <c r="D704" s="327"/>
      <c r="F704" s="327"/>
      <c r="L704" s="327"/>
    </row>
    <row r="705" spans="2:12" s="326" customFormat="1" ht="9.9499999999999993" customHeight="1" x14ac:dyDescent="0.2">
      <c r="B705" s="327"/>
      <c r="C705" s="327"/>
      <c r="D705" s="327"/>
      <c r="F705" s="327"/>
      <c r="L705" s="327"/>
    </row>
    <row r="706" spans="2:12" s="326" customFormat="1" ht="9.9499999999999993" customHeight="1" x14ac:dyDescent="0.2">
      <c r="B706" s="327"/>
      <c r="C706" s="327"/>
      <c r="D706" s="327"/>
      <c r="F706" s="327"/>
      <c r="L706" s="327"/>
    </row>
    <row r="707" spans="2:12" s="326" customFormat="1" ht="9.9499999999999993" customHeight="1" x14ac:dyDescent="0.2">
      <c r="B707" s="327"/>
      <c r="C707" s="327"/>
      <c r="D707" s="327"/>
      <c r="F707" s="327"/>
      <c r="L707" s="327"/>
    </row>
    <row r="708" spans="2:12" s="326" customFormat="1" ht="9.9499999999999993" customHeight="1" x14ac:dyDescent="0.2">
      <c r="B708" s="327"/>
      <c r="C708" s="327"/>
      <c r="D708" s="327"/>
      <c r="F708" s="327"/>
      <c r="L708" s="327"/>
    </row>
    <row r="709" spans="2:12" s="326" customFormat="1" ht="9.9499999999999993" customHeight="1" x14ac:dyDescent="0.2">
      <c r="B709" s="327"/>
      <c r="C709" s="327"/>
      <c r="D709" s="327"/>
      <c r="F709" s="327"/>
      <c r="L709" s="327"/>
    </row>
    <row r="710" spans="2:12" s="326" customFormat="1" ht="9.9499999999999993" customHeight="1" x14ac:dyDescent="0.2">
      <c r="B710" s="327"/>
      <c r="C710" s="327"/>
      <c r="D710" s="327"/>
      <c r="F710" s="327"/>
      <c r="L710" s="327"/>
    </row>
    <row r="711" spans="2:12" s="326" customFormat="1" ht="9.9499999999999993" customHeight="1" x14ac:dyDescent="0.2">
      <c r="B711" s="327"/>
      <c r="C711" s="327"/>
      <c r="D711" s="327"/>
      <c r="F711" s="327"/>
      <c r="L711" s="327"/>
    </row>
    <row r="712" spans="2:12" s="326" customFormat="1" ht="9.9499999999999993" customHeight="1" x14ac:dyDescent="0.2">
      <c r="B712" s="327"/>
      <c r="C712" s="327"/>
      <c r="D712" s="327"/>
      <c r="F712" s="327"/>
      <c r="L712" s="327"/>
    </row>
    <row r="713" spans="2:12" s="326" customFormat="1" ht="9.9499999999999993" customHeight="1" x14ac:dyDescent="0.2">
      <c r="B713" s="327"/>
      <c r="C713" s="327"/>
      <c r="D713" s="327"/>
      <c r="F713" s="327"/>
      <c r="L713" s="327"/>
    </row>
    <row r="714" spans="2:12" s="326" customFormat="1" ht="9.9499999999999993" customHeight="1" x14ac:dyDescent="0.2">
      <c r="B714" s="327"/>
      <c r="C714" s="327"/>
      <c r="D714" s="327"/>
      <c r="F714" s="327"/>
      <c r="L714" s="327"/>
    </row>
    <row r="715" spans="2:12" s="326" customFormat="1" ht="9.9499999999999993" customHeight="1" x14ac:dyDescent="0.2">
      <c r="B715" s="327"/>
      <c r="C715" s="327"/>
      <c r="D715" s="327"/>
      <c r="F715" s="327"/>
      <c r="L715" s="327"/>
    </row>
    <row r="716" spans="2:12" s="326" customFormat="1" ht="9.9499999999999993" customHeight="1" x14ac:dyDescent="0.2">
      <c r="B716" s="327"/>
      <c r="C716" s="327"/>
      <c r="D716" s="327"/>
      <c r="F716" s="327"/>
      <c r="L716" s="327"/>
    </row>
    <row r="717" spans="2:12" s="326" customFormat="1" ht="9.9499999999999993" customHeight="1" x14ac:dyDescent="0.2">
      <c r="B717" s="327"/>
      <c r="C717" s="327"/>
      <c r="D717" s="327"/>
      <c r="F717" s="327"/>
      <c r="L717" s="327"/>
    </row>
    <row r="718" spans="2:12" s="326" customFormat="1" ht="9.9499999999999993" customHeight="1" x14ac:dyDescent="0.2">
      <c r="B718" s="327"/>
      <c r="C718" s="327"/>
      <c r="D718" s="327"/>
      <c r="F718" s="327"/>
      <c r="L718" s="327"/>
    </row>
    <row r="719" spans="2:12" s="326" customFormat="1" ht="9.9499999999999993" customHeight="1" x14ac:dyDescent="0.2">
      <c r="B719" s="327"/>
      <c r="C719" s="327"/>
      <c r="D719" s="327"/>
      <c r="F719" s="327"/>
      <c r="L719" s="327"/>
    </row>
    <row r="720" spans="2:12" s="326" customFormat="1" ht="9.9499999999999993" customHeight="1" x14ac:dyDescent="0.2">
      <c r="B720" s="327"/>
      <c r="C720" s="327"/>
      <c r="D720" s="327"/>
      <c r="F720" s="327"/>
      <c r="L720" s="327"/>
    </row>
    <row r="721" spans="2:12" s="326" customFormat="1" ht="9.9499999999999993" customHeight="1" x14ac:dyDescent="0.2">
      <c r="B721" s="327"/>
      <c r="C721" s="327"/>
      <c r="D721" s="327"/>
      <c r="F721" s="327"/>
      <c r="L721" s="327"/>
    </row>
    <row r="722" spans="2:12" s="326" customFormat="1" ht="9.9499999999999993" customHeight="1" x14ac:dyDescent="0.2">
      <c r="B722" s="327"/>
      <c r="C722" s="327"/>
      <c r="D722" s="327"/>
      <c r="F722" s="327"/>
      <c r="L722" s="327"/>
    </row>
    <row r="723" spans="2:12" s="326" customFormat="1" ht="9.9499999999999993" customHeight="1" x14ac:dyDescent="0.2">
      <c r="B723" s="327"/>
      <c r="C723" s="327"/>
      <c r="D723" s="327"/>
      <c r="F723" s="327"/>
      <c r="L723" s="327"/>
    </row>
    <row r="724" spans="2:12" s="326" customFormat="1" ht="9.9499999999999993" customHeight="1" x14ac:dyDescent="0.2">
      <c r="B724" s="327"/>
      <c r="C724" s="327"/>
      <c r="D724" s="327"/>
      <c r="F724" s="327"/>
      <c r="L724" s="327"/>
    </row>
    <row r="725" spans="2:12" s="326" customFormat="1" ht="9.9499999999999993" customHeight="1" x14ac:dyDescent="0.2">
      <c r="B725" s="327"/>
      <c r="C725" s="327"/>
      <c r="D725" s="327"/>
      <c r="F725" s="327"/>
      <c r="L725" s="327"/>
    </row>
    <row r="726" spans="2:12" s="326" customFormat="1" ht="9.9499999999999993" customHeight="1" x14ac:dyDescent="0.2">
      <c r="B726" s="327"/>
      <c r="C726" s="327"/>
      <c r="D726" s="327"/>
      <c r="F726" s="327"/>
      <c r="L726" s="327"/>
    </row>
    <row r="727" spans="2:12" s="326" customFormat="1" ht="9.9499999999999993" customHeight="1" x14ac:dyDescent="0.2">
      <c r="B727" s="327"/>
      <c r="C727" s="327"/>
      <c r="D727" s="327"/>
      <c r="F727" s="327"/>
      <c r="L727" s="327"/>
    </row>
    <row r="728" spans="2:12" s="326" customFormat="1" ht="9.9499999999999993" customHeight="1" x14ac:dyDescent="0.2">
      <c r="B728" s="327"/>
      <c r="C728" s="327"/>
      <c r="D728" s="327"/>
      <c r="F728" s="327"/>
      <c r="L728" s="327"/>
    </row>
    <row r="729" spans="2:12" s="326" customFormat="1" ht="9.9499999999999993" customHeight="1" x14ac:dyDescent="0.2">
      <c r="B729" s="327"/>
      <c r="C729" s="327"/>
      <c r="D729" s="327"/>
      <c r="F729" s="327"/>
      <c r="L729" s="327"/>
    </row>
    <row r="730" spans="2:12" s="326" customFormat="1" ht="9.9499999999999993" customHeight="1" x14ac:dyDescent="0.2">
      <c r="B730" s="327"/>
      <c r="C730" s="327"/>
      <c r="D730" s="327"/>
      <c r="F730" s="327"/>
      <c r="L730" s="327"/>
    </row>
    <row r="731" spans="2:12" s="326" customFormat="1" ht="9.9499999999999993" customHeight="1" x14ac:dyDescent="0.2">
      <c r="B731" s="327"/>
      <c r="C731" s="327"/>
      <c r="D731" s="327"/>
      <c r="F731" s="327"/>
      <c r="L731" s="327"/>
    </row>
    <row r="732" spans="2:12" s="326" customFormat="1" ht="9.9499999999999993" customHeight="1" x14ac:dyDescent="0.2">
      <c r="B732" s="327"/>
      <c r="C732" s="327"/>
      <c r="D732" s="327"/>
      <c r="F732" s="327"/>
      <c r="L732" s="327"/>
    </row>
    <row r="733" spans="2:12" s="326" customFormat="1" ht="9.9499999999999993" customHeight="1" x14ac:dyDescent="0.2">
      <c r="B733" s="327"/>
      <c r="C733" s="327"/>
      <c r="D733" s="327"/>
      <c r="F733" s="327"/>
      <c r="L733" s="327"/>
    </row>
    <row r="734" spans="2:12" s="326" customFormat="1" ht="9.9499999999999993" customHeight="1" x14ac:dyDescent="0.2">
      <c r="B734" s="327"/>
      <c r="C734" s="327"/>
      <c r="D734" s="327"/>
      <c r="F734" s="327"/>
      <c r="L734" s="327"/>
    </row>
    <row r="735" spans="2:12" s="326" customFormat="1" ht="9.9499999999999993" customHeight="1" x14ac:dyDescent="0.2">
      <c r="B735" s="327"/>
      <c r="C735" s="327"/>
      <c r="D735" s="327"/>
      <c r="F735" s="327"/>
      <c r="L735" s="327"/>
    </row>
    <row r="736" spans="2:12" s="326" customFormat="1" ht="9.9499999999999993" customHeight="1" x14ac:dyDescent="0.2">
      <c r="B736" s="327"/>
      <c r="C736" s="327"/>
      <c r="D736" s="327"/>
      <c r="F736" s="327"/>
      <c r="L736" s="327"/>
    </row>
    <row r="737" spans="2:12" s="326" customFormat="1" ht="9.9499999999999993" customHeight="1" x14ac:dyDescent="0.2">
      <c r="B737" s="327"/>
      <c r="C737" s="327"/>
      <c r="D737" s="327"/>
      <c r="F737" s="327"/>
      <c r="L737" s="327"/>
    </row>
    <row r="738" spans="2:12" s="326" customFormat="1" ht="9.9499999999999993" customHeight="1" x14ac:dyDescent="0.2">
      <c r="B738" s="327"/>
      <c r="C738" s="327"/>
      <c r="D738" s="327"/>
      <c r="F738" s="327"/>
      <c r="L738" s="327"/>
    </row>
    <row r="739" spans="2:12" s="326" customFormat="1" ht="9.9499999999999993" customHeight="1" x14ac:dyDescent="0.2">
      <c r="B739" s="327"/>
      <c r="C739" s="327"/>
      <c r="D739" s="327"/>
      <c r="F739" s="327"/>
      <c r="L739" s="327"/>
    </row>
    <row r="740" spans="2:12" s="326" customFormat="1" ht="9.9499999999999993" customHeight="1" x14ac:dyDescent="0.2">
      <c r="B740" s="327"/>
      <c r="C740" s="327"/>
      <c r="D740" s="327"/>
      <c r="F740" s="327"/>
      <c r="L740" s="327"/>
    </row>
    <row r="741" spans="2:12" s="326" customFormat="1" ht="9.9499999999999993" customHeight="1" x14ac:dyDescent="0.2">
      <c r="B741" s="327"/>
      <c r="C741" s="327"/>
      <c r="D741" s="327"/>
      <c r="F741" s="327"/>
      <c r="L741" s="327"/>
    </row>
    <row r="742" spans="2:12" s="326" customFormat="1" ht="9.9499999999999993" customHeight="1" x14ac:dyDescent="0.2">
      <c r="B742" s="327"/>
      <c r="C742" s="327"/>
      <c r="D742" s="327"/>
      <c r="F742" s="327"/>
      <c r="L742" s="327"/>
    </row>
    <row r="743" spans="2:12" s="326" customFormat="1" ht="9.9499999999999993" customHeight="1" x14ac:dyDescent="0.2">
      <c r="B743" s="327"/>
      <c r="C743" s="327"/>
      <c r="D743" s="327"/>
      <c r="F743" s="327"/>
      <c r="L743" s="327"/>
    </row>
    <row r="744" spans="2:12" s="326" customFormat="1" ht="9.9499999999999993" customHeight="1" x14ac:dyDescent="0.2">
      <c r="B744" s="327"/>
      <c r="C744" s="327"/>
      <c r="D744" s="327"/>
      <c r="F744" s="327"/>
      <c r="L744" s="327"/>
    </row>
    <row r="745" spans="2:12" s="326" customFormat="1" ht="9.9499999999999993" customHeight="1" x14ac:dyDescent="0.2">
      <c r="B745" s="327"/>
      <c r="C745" s="327"/>
      <c r="D745" s="327"/>
      <c r="F745" s="327"/>
      <c r="L745" s="327"/>
    </row>
    <row r="746" spans="2:12" s="326" customFormat="1" ht="9.9499999999999993" customHeight="1" x14ac:dyDescent="0.2">
      <c r="B746" s="327"/>
      <c r="C746" s="327"/>
      <c r="D746" s="327"/>
      <c r="F746" s="327"/>
      <c r="L746" s="327"/>
    </row>
    <row r="747" spans="2:12" s="326" customFormat="1" ht="9.9499999999999993" customHeight="1" x14ac:dyDescent="0.2">
      <c r="B747" s="327"/>
      <c r="C747" s="327"/>
      <c r="D747" s="327"/>
      <c r="F747" s="327"/>
      <c r="L747" s="327"/>
    </row>
    <row r="748" spans="2:12" s="326" customFormat="1" ht="9.9499999999999993" customHeight="1" x14ac:dyDescent="0.2">
      <c r="B748" s="327"/>
      <c r="C748" s="327"/>
      <c r="D748" s="327"/>
      <c r="F748" s="327"/>
      <c r="L748" s="327"/>
    </row>
    <row r="749" spans="2:12" s="326" customFormat="1" ht="9.9499999999999993" customHeight="1" x14ac:dyDescent="0.2">
      <c r="B749" s="327"/>
      <c r="C749" s="327"/>
      <c r="D749" s="327"/>
      <c r="F749" s="327"/>
      <c r="L749" s="327"/>
    </row>
    <row r="750" spans="2:12" s="326" customFormat="1" ht="9.9499999999999993" customHeight="1" x14ac:dyDescent="0.2">
      <c r="B750" s="327"/>
      <c r="C750" s="327"/>
      <c r="D750" s="327"/>
      <c r="F750" s="327"/>
      <c r="L750" s="327"/>
    </row>
    <row r="751" spans="2:12" s="326" customFormat="1" ht="9.9499999999999993" customHeight="1" x14ac:dyDescent="0.2">
      <c r="B751" s="327"/>
      <c r="C751" s="327"/>
      <c r="D751" s="327"/>
      <c r="F751" s="327"/>
      <c r="L751" s="327"/>
    </row>
    <row r="752" spans="2:12" s="326" customFormat="1" ht="9.9499999999999993" customHeight="1" x14ac:dyDescent="0.2">
      <c r="B752" s="327"/>
      <c r="C752" s="327"/>
      <c r="D752" s="327"/>
      <c r="F752" s="327"/>
      <c r="L752" s="327"/>
    </row>
    <row r="753" spans="2:12" s="326" customFormat="1" ht="9.9499999999999993" customHeight="1" x14ac:dyDescent="0.2">
      <c r="B753" s="327"/>
      <c r="C753" s="327"/>
      <c r="D753" s="327"/>
      <c r="F753" s="327"/>
      <c r="L753" s="327"/>
    </row>
    <row r="754" spans="2:12" s="326" customFormat="1" ht="9.9499999999999993" customHeight="1" x14ac:dyDescent="0.2">
      <c r="B754" s="327"/>
      <c r="C754" s="327"/>
      <c r="D754" s="327"/>
      <c r="F754" s="327"/>
      <c r="L754" s="327"/>
    </row>
    <row r="755" spans="2:12" s="326" customFormat="1" ht="9.9499999999999993" customHeight="1" x14ac:dyDescent="0.2">
      <c r="B755" s="327"/>
      <c r="C755" s="327"/>
      <c r="D755" s="327"/>
      <c r="F755" s="327"/>
      <c r="L755" s="327"/>
    </row>
    <row r="756" spans="2:12" s="326" customFormat="1" ht="9.9499999999999993" customHeight="1" x14ac:dyDescent="0.2">
      <c r="B756" s="327"/>
      <c r="C756" s="327"/>
      <c r="D756" s="327"/>
      <c r="F756" s="327"/>
      <c r="L756" s="327"/>
    </row>
    <row r="757" spans="2:12" s="326" customFormat="1" ht="9.9499999999999993" customHeight="1" x14ac:dyDescent="0.2">
      <c r="B757" s="327"/>
      <c r="C757" s="327"/>
      <c r="D757" s="327"/>
      <c r="F757" s="327"/>
      <c r="L757" s="327"/>
    </row>
    <row r="758" spans="2:12" s="326" customFormat="1" ht="9.9499999999999993" customHeight="1" x14ac:dyDescent="0.2">
      <c r="B758" s="327"/>
      <c r="C758" s="327"/>
      <c r="D758" s="327"/>
      <c r="F758" s="327"/>
      <c r="L758" s="327"/>
    </row>
    <row r="759" spans="2:12" s="326" customFormat="1" ht="9.9499999999999993" customHeight="1" x14ac:dyDescent="0.2">
      <c r="B759" s="327"/>
      <c r="C759" s="327"/>
      <c r="D759" s="327"/>
      <c r="F759" s="327"/>
      <c r="L759" s="327"/>
    </row>
    <row r="760" spans="2:12" s="326" customFormat="1" ht="9.9499999999999993" customHeight="1" x14ac:dyDescent="0.2">
      <c r="B760" s="327"/>
      <c r="C760" s="327"/>
      <c r="D760" s="327"/>
      <c r="F760" s="327"/>
      <c r="L760" s="327"/>
    </row>
    <row r="761" spans="2:12" s="326" customFormat="1" ht="9.9499999999999993" customHeight="1" x14ac:dyDescent="0.2">
      <c r="B761" s="327"/>
      <c r="C761" s="327"/>
      <c r="D761" s="327"/>
      <c r="F761" s="327"/>
      <c r="L761" s="327"/>
    </row>
    <row r="762" spans="2:12" s="326" customFormat="1" ht="9.9499999999999993" customHeight="1" x14ac:dyDescent="0.2">
      <c r="B762" s="327"/>
      <c r="C762" s="327"/>
      <c r="D762" s="327"/>
      <c r="F762" s="327"/>
      <c r="L762" s="327"/>
    </row>
    <row r="763" spans="2:12" s="326" customFormat="1" ht="9.9499999999999993" customHeight="1" x14ac:dyDescent="0.2">
      <c r="B763" s="327"/>
      <c r="C763" s="327"/>
      <c r="D763" s="327"/>
      <c r="F763" s="327"/>
      <c r="L763" s="327"/>
    </row>
    <row r="764" spans="2:12" s="326" customFormat="1" ht="9.9499999999999993" customHeight="1" x14ac:dyDescent="0.2">
      <c r="B764" s="327"/>
      <c r="C764" s="327"/>
      <c r="D764" s="327"/>
      <c r="F764" s="327"/>
      <c r="L764" s="327"/>
    </row>
    <row r="765" spans="2:12" s="326" customFormat="1" ht="9.9499999999999993" customHeight="1" x14ac:dyDescent="0.2">
      <c r="B765" s="327"/>
      <c r="C765" s="327"/>
      <c r="D765" s="327"/>
      <c r="F765" s="327"/>
      <c r="L765" s="327"/>
    </row>
    <row r="766" spans="2:12" s="326" customFormat="1" ht="9.9499999999999993" customHeight="1" x14ac:dyDescent="0.2">
      <c r="B766" s="327"/>
      <c r="C766" s="327"/>
      <c r="D766" s="327"/>
      <c r="F766" s="327"/>
      <c r="L766" s="327"/>
    </row>
    <row r="767" spans="2:12" s="326" customFormat="1" ht="9.9499999999999993" customHeight="1" x14ac:dyDescent="0.2">
      <c r="B767" s="327"/>
      <c r="C767" s="327"/>
      <c r="D767" s="327"/>
      <c r="F767" s="327"/>
      <c r="L767" s="327"/>
    </row>
    <row r="768" spans="2:12" s="326" customFormat="1" ht="9.9499999999999993" customHeight="1" x14ac:dyDescent="0.2">
      <c r="B768" s="327"/>
      <c r="C768" s="327"/>
      <c r="D768" s="327"/>
      <c r="F768" s="327"/>
      <c r="L768" s="327"/>
    </row>
    <row r="769" spans="2:12" s="326" customFormat="1" ht="9.9499999999999993" customHeight="1" x14ac:dyDescent="0.2">
      <c r="B769" s="327"/>
      <c r="C769" s="327"/>
      <c r="D769" s="327"/>
      <c r="F769" s="327"/>
      <c r="L769" s="327"/>
    </row>
    <row r="770" spans="2:12" s="326" customFormat="1" ht="9.9499999999999993" customHeight="1" x14ac:dyDescent="0.2">
      <c r="B770" s="327"/>
      <c r="C770" s="327"/>
      <c r="D770" s="327"/>
      <c r="F770" s="327"/>
      <c r="L770" s="327"/>
    </row>
    <row r="771" spans="2:12" s="326" customFormat="1" ht="9.9499999999999993" customHeight="1" x14ac:dyDescent="0.2">
      <c r="B771" s="327"/>
      <c r="C771" s="327"/>
      <c r="D771" s="327"/>
      <c r="F771" s="327"/>
      <c r="L771" s="327"/>
    </row>
    <row r="772" spans="2:12" s="326" customFormat="1" ht="9.9499999999999993" customHeight="1" x14ac:dyDescent="0.2">
      <c r="B772" s="327"/>
      <c r="C772" s="327"/>
      <c r="D772" s="327"/>
      <c r="F772" s="327"/>
      <c r="L772" s="327"/>
    </row>
    <row r="773" spans="2:12" s="326" customFormat="1" ht="9.9499999999999993" customHeight="1" x14ac:dyDescent="0.2">
      <c r="B773" s="327"/>
      <c r="C773" s="327"/>
      <c r="D773" s="327"/>
      <c r="F773" s="327"/>
      <c r="L773" s="327"/>
    </row>
    <row r="774" spans="2:12" s="326" customFormat="1" ht="9.9499999999999993" customHeight="1" x14ac:dyDescent="0.2">
      <c r="B774" s="327"/>
      <c r="C774" s="327"/>
      <c r="D774" s="327"/>
      <c r="F774" s="327"/>
      <c r="L774" s="327"/>
    </row>
    <row r="775" spans="2:12" s="326" customFormat="1" ht="9.9499999999999993" customHeight="1" x14ac:dyDescent="0.2">
      <c r="B775" s="327"/>
      <c r="C775" s="327"/>
      <c r="D775" s="327"/>
      <c r="F775" s="327"/>
      <c r="L775" s="327"/>
    </row>
    <row r="776" spans="2:12" s="326" customFormat="1" ht="9.9499999999999993" customHeight="1" x14ac:dyDescent="0.2">
      <c r="B776" s="327"/>
      <c r="C776" s="327"/>
      <c r="D776" s="327"/>
      <c r="F776" s="327"/>
      <c r="L776" s="327"/>
    </row>
    <row r="777" spans="2:12" s="326" customFormat="1" ht="9.9499999999999993" customHeight="1" x14ac:dyDescent="0.2">
      <c r="B777" s="327"/>
      <c r="C777" s="327"/>
      <c r="D777" s="327"/>
      <c r="F777" s="327"/>
      <c r="L777" s="327"/>
    </row>
    <row r="778" spans="2:12" s="326" customFormat="1" ht="9.9499999999999993" customHeight="1" x14ac:dyDescent="0.2">
      <c r="B778" s="327"/>
      <c r="C778" s="327"/>
      <c r="D778" s="327"/>
      <c r="F778" s="327"/>
      <c r="L778" s="327"/>
    </row>
    <row r="779" spans="2:12" s="326" customFormat="1" ht="9.9499999999999993" customHeight="1" x14ac:dyDescent="0.2">
      <c r="B779" s="327"/>
      <c r="C779" s="327"/>
      <c r="D779" s="327"/>
      <c r="F779" s="327"/>
      <c r="L779" s="327"/>
    </row>
    <row r="780" spans="2:12" s="326" customFormat="1" ht="9.9499999999999993" customHeight="1" x14ac:dyDescent="0.2">
      <c r="B780" s="327"/>
      <c r="C780" s="327"/>
      <c r="D780" s="327"/>
      <c r="F780" s="327"/>
      <c r="L780" s="327"/>
    </row>
    <row r="781" spans="2:12" s="326" customFormat="1" ht="9.9499999999999993" customHeight="1" x14ac:dyDescent="0.2">
      <c r="B781" s="327"/>
      <c r="C781" s="327"/>
      <c r="D781" s="327"/>
      <c r="F781" s="327"/>
      <c r="L781" s="327"/>
    </row>
    <row r="782" spans="2:12" s="326" customFormat="1" ht="9.9499999999999993" customHeight="1" x14ac:dyDescent="0.2">
      <c r="B782" s="327"/>
      <c r="C782" s="327"/>
      <c r="D782" s="327"/>
      <c r="F782" s="327"/>
      <c r="L782" s="327"/>
    </row>
    <row r="783" spans="2:12" s="326" customFormat="1" ht="9.9499999999999993" customHeight="1" x14ac:dyDescent="0.2">
      <c r="B783" s="327"/>
      <c r="C783" s="327"/>
      <c r="D783" s="327"/>
      <c r="F783" s="327"/>
      <c r="L783" s="327"/>
    </row>
    <row r="784" spans="2:12" s="326" customFormat="1" ht="9.9499999999999993" customHeight="1" x14ac:dyDescent="0.2">
      <c r="B784" s="327"/>
      <c r="C784" s="327"/>
      <c r="D784" s="327"/>
      <c r="F784" s="327"/>
      <c r="L784" s="327"/>
    </row>
    <row r="785" spans="2:12" s="326" customFormat="1" ht="9.9499999999999993" customHeight="1" x14ac:dyDescent="0.2">
      <c r="B785" s="327"/>
      <c r="C785" s="327"/>
      <c r="D785" s="327"/>
      <c r="F785" s="327"/>
      <c r="L785" s="327"/>
    </row>
    <row r="786" spans="2:12" s="326" customFormat="1" ht="9.9499999999999993" customHeight="1" x14ac:dyDescent="0.2">
      <c r="B786" s="327"/>
      <c r="C786" s="327"/>
      <c r="D786" s="327"/>
      <c r="F786" s="327"/>
      <c r="L786" s="327"/>
    </row>
    <row r="787" spans="2:12" s="326" customFormat="1" ht="9.9499999999999993" customHeight="1" x14ac:dyDescent="0.2">
      <c r="B787" s="327"/>
      <c r="C787" s="327"/>
      <c r="D787" s="327"/>
      <c r="F787" s="327"/>
      <c r="L787" s="327"/>
    </row>
    <row r="788" spans="2:12" s="326" customFormat="1" ht="9.9499999999999993" customHeight="1" x14ac:dyDescent="0.2">
      <c r="B788" s="327"/>
      <c r="C788" s="327"/>
      <c r="D788" s="327"/>
      <c r="F788" s="327"/>
      <c r="L788" s="327"/>
    </row>
    <row r="789" spans="2:12" s="326" customFormat="1" ht="9.9499999999999993" customHeight="1" x14ac:dyDescent="0.2">
      <c r="B789" s="327"/>
      <c r="C789" s="327"/>
      <c r="D789" s="327"/>
      <c r="F789" s="327"/>
      <c r="L789" s="327"/>
    </row>
    <row r="790" spans="2:12" s="326" customFormat="1" ht="9.9499999999999993" customHeight="1" x14ac:dyDescent="0.2">
      <c r="B790" s="327"/>
      <c r="C790" s="327"/>
      <c r="D790" s="327"/>
      <c r="F790" s="327"/>
      <c r="L790" s="327"/>
    </row>
    <row r="791" spans="2:12" s="326" customFormat="1" ht="9.9499999999999993" customHeight="1" x14ac:dyDescent="0.2">
      <c r="B791" s="327"/>
      <c r="C791" s="327"/>
      <c r="D791" s="327"/>
      <c r="F791" s="327"/>
      <c r="L791" s="327"/>
    </row>
    <row r="792" spans="2:12" s="326" customFormat="1" ht="9.9499999999999993" customHeight="1" x14ac:dyDescent="0.2">
      <c r="B792" s="327"/>
      <c r="C792" s="327"/>
      <c r="D792" s="327"/>
      <c r="F792" s="327"/>
      <c r="L792" s="327"/>
    </row>
    <row r="793" spans="2:12" s="326" customFormat="1" ht="9.9499999999999993" customHeight="1" x14ac:dyDescent="0.2">
      <c r="B793" s="327"/>
      <c r="C793" s="327"/>
      <c r="D793" s="327"/>
      <c r="F793" s="327"/>
      <c r="L793" s="327"/>
    </row>
    <row r="794" spans="2:12" s="326" customFormat="1" ht="9.9499999999999993" customHeight="1" x14ac:dyDescent="0.2">
      <c r="B794" s="327"/>
      <c r="C794" s="327"/>
      <c r="D794" s="327"/>
      <c r="F794" s="327"/>
      <c r="L794" s="327"/>
    </row>
    <row r="795" spans="2:12" s="326" customFormat="1" ht="9.9499999999999993" customHeight="1" x14ac:dyDescent="0.2">
      <c r="B795" s="327"/>
      <c r="C795" s="327"/>
      <c r="D795" s="327"/>
      <c r="F795" s="327"/>
      <c r="L795" s="327"/>
    </row>
    <row r="796" spans="2:12" s="326" customFormat="1" ht="9.9499999999999993" customHeight="1" x14ac:dyDescent="0.2">
      <c r="B796" s="327"/>
      <c r="C796" s="327"/>
      <c r="D796" s="327"/>
      <c r="F796" s="327"/>
      <c r="L796" s="327"/>
    </row>
    <row r="797" spans="2:12" s="326" customFormat="1" ht="9.9499999999999993" customHeight="1" x14ac:dyDescent="0.2">
      <c r="B797" s="327"/>
      <c r="C797" s="327"/>
      <c r="D797" s="327"/>
      <c r="F797" s="327"/>
      <c r="L797" s="327"/>
    </row>
    <row r="798" spans="2:12" s="326" customFormat="1" ht="9.9499999999999993" customHeight="1" x14ac:dyDescent="0.2">
      <c r="B798" s="327"/>
      <c r="C798" s="327"/>
      <c r="D798" s="327"/>
      <c r="F798" s="327"/>
      <c r="L798" s="327"/>
    </row>
    <row r="799" spans="2:12" s="326" customFormat="1" ht="9.9499999999999993" customHeight="1" x14ac:dyDescent="0.2">
      <c r="B799" s="327"/>
      <c r="C799" s="327"/>
      <c r="D799" s="327"/>
      <c r="F799" s="327"/>
      <c r="L799" s="327"/>
    </row>
    <row r="800" spans="2:12" s="326" customFormat="1" ht="9.9499999999999993" customHeight="1" x14ac:dyDescent="0.2">
      <c r="B800" s="327"/>
      <c r="C800" s="327"/>
      <c r="D800" s="327"/>
      <c r="F800" s="327"/>
      <c r="L800" s="327"/>
    </row>
    <row r="801" spans="2:12" s="326" customFormat="1" ht="9.9499999999999993" customHeight="1" x14ac:dyDescent="0.2">
      <c r="B801" s="327"/>
      <c r="C801" s="327"/>
      <c r="D801" s="327"/>
      <c r="F801" s="327"/>
      <c r="L801" s="327"/>
    </row>
    <row r="802" spans="2:12" s="326" customFormat="1" ht="9.9499999999999993" customHeight="1" x14ac:dyDescent="0.2">
      <c r="B802" s="327"/>
      <c r="C802" s="327"/>
      <c r="D802" s="327"/>
      <c r="F802" s="327"/>
      <c r="L802" s="327"/>
    </row>
    <row r="803" spans="2:12" s="326" customFormat="1" ht="9.9499999999999993" customHeight="1" x14ac:dyDescent="0.2">
      <c r="B803" s="327"/>
      <c r="C803" s="327"/>
      <c r="D803" s="327"/>
      <c r="F803" s="327"/>
      <c r="L803" s="327"/>
    </row>
    <row r="804" spans="2:12" s="326" customFormat="1" ht="9.9499999999999993" customHeight="1" x14ac:dyDescent="0.2">
      <c r="B804" s="327"/>
      <c r="C804" s="327"/>
      <c r="D804" s="327"/>
      <c r="F804" s="327"/>
      <c r="L804" s="327"/>
    </row>
    <row r="805" spans="2:12" s="326" customFormat="1" ht="9.9499999999999993" customHeight="1" x14ac:dyDescent="0.2">
      <c r="B805" s="327"/>
      <c r="C805" s="327"/>
      <c r="D805" s="327"/>
      <c r="F805" s="327"/>
      <c r="L805" s="327"/>
    </row>
    <row r="806" spans="2:12" s="326" customFormat="1" ht="9.9499999999999993" customHeight="1" x14ac:dyDescent="0.2">
      <c r="B806" s="327"/>
      <c r="C806" s="327"/>
      <c r="D806" s="327"/>
      <c r="F806" s="327"/>
      <c r="L806" s="327"/>
    </row>
    <row r="807" spans="2:12" s="326" customFormat="1" ht="9.9499999999999993" customHeight="1" x14ac:dyDescent="0.2">
      <c r="B807" s="327"/>
      <c r="C807" s="327"/>
      <c r="D807" s="327"/>
      <c r="F807" s="327"/>
      <c r="L807" s="327"/>
    </row>
    <row r="808" spans="2:12" s="326" customFormat="1" ht="9.9499999999999993" customHeight="1" x14ac:dyDescent="0.2">
      <c r="B808" s="327"/>
      <c r="C808" s="327"/>
      <c r="D808" s="327"/>
      <c r="F808" s="327"/>
      <c r="L808" s="327"/>
    </row>
    <row r="809" spans="2:12" s="326" customFormat="1" ht="9.9499999999999993" customHeight="1" x14ac:dyDescent="0.2">
      <c r="B809" s="327"/>
      <c r="C809" s="327"/>
      <c r="D809" s="327"/>
      <c r="F809" s="327"/>
      <c r="L809" s="327"/>
    </row>
    <row r="810" spans="2:12" s="326" customFormat="1" ht="9.9499999999999993" customHeight="1" x14ac:dyDescent="0.2">
      <c r="B810" s="327"/>
      <c r="C810" s="327"/>
      <c r="D810" s="327"/>
      <c r="F810" s="327"/>
      <c r="L810" s="327"/>
    </row>
    <row r="811" spans="2:12" s="326" customFormat="1" ht="9.9499999999999993" customHeight="1" x14ac:dyDescent="0.2">
      <c r="B811" s="327"/>
      <c r="C811" s="327"/>
      <c r="D811" s="327"/>
      <c r="F811" s="327"/>
      <c r="L811" s="327"/>
    </row>
    <row r="812" spans="2:12" s="326" customFormat="1" ht="9.9499999999999993" customHeight="1" x14ac:dyDescent="0.2">
      <c r="B812" s="327"/>
      <c r="C812" s="327"/>
      <c r="D812" s="327"/>
      <c r="F812" s="327"/>
      <c r="L812" s="327"/>
    </row>
    <row r="813" spans="2:12" s="326" customFormat="1" ht="9.9499999999999993" customHeight="1" x14ac:dyDescent="0.2">
      <c r="B813" s="327"/>
      <c r="C813" s="327"/>
      <c r="D813" s="327"/>
      <c r="F813" s="327"/>
      <c r="L813" s="327"/>
    </row>
    <row r="814" spans="2:12" s="326" customFormat="1" ht="9.9499999999999993" customHeight="1" x14ac:dyDescent="0.2">
      <c r="B814" s="327"/>
      <c r="C814" s="327"/>
      <c r="D814" s="327"/>
      <c r="F814" s="327"/>
      <c r="L814" s="327"/>
    </row>
    <row r="815" spans="2:12" s="326" customFormat="1" ht="9.9499999999999993" customHeight="1" x14ac:dyDescent="0.2">
      <c r="B815" s="327"/>
      <c r="C815" s="327"/>
      <c r="D815" s="327"/>
      <c r="F815" s="327"/>
      <c r="L815" s="327"/>
    </row>
    <row r="816" spans="2:12" s="326" customFormat="1" ht="9.9499999999999993" customHeight="1" x14ac:dyDescent="0.2">
      <c r="B816" s="327"/>
      <c r="C816" s="327"/>
      <c r="D816" s="327"/>
      <c r="F816" s="327"/>
      <c r="L816" s="327"/>
    </row>
  </sheetData>
  <mergeCells count="1">
    <mergeCell ref="A1:M1"/>
  </mergeCells>
  <phoneticPr fontId="9" type="noConversion"/>
  <printOptions horizontalCentered="1"/>
  <pageMargins left="0.5" right="0.5" top="0.5" bottom="0.625" header="0.5" footer="0.5"/>
  <pageSetup scale="8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CM94"/>
  <sheetViews>
    <sheetView workbookViewId="0">
      <pane xSplit="3" ySplit="1" topLeftCell="D68" activePane="bottomRight" state="frozen"/>
      <selection activeCell="E44" sqref="E44"/>
      <selection pane="topRight" activeCell="E44" sqref="E44"/>
      <selection pane="bottomLeft" activeCell="E44" sqref="E44"/>
      <selection pane="bottomRight" activeCell="C87" sqref="C87"/>
    </sheetView>
  </sheetViews>
  <sheetFormatPr defaultColWidth="10.5703125" defaultRowHeight="12.75" x14ac:dyDescent="0.2"/>
  <cols>
    <col min="1" max="1" width="40.140625" style="1253" bestFit="1" customWidth="1"/>
    <col min="2" max="3" width="10.5703125" style="1254"/>
    <col min="4" max="6" width="10.5703125" style="1254" customWidth="1"/>
    <col min="7" max="90" width="10.5703125" style="1253" customWidth="1"/>
    <col min="91" max="16384" width="10.5703125" style="1253"/>
  </cols>
  <sheetData>
    <row r="1" spans="1:91" s="1441" customFormat="1" ht="38.25" customHeight="1" x14ac:dyDescent="0.2">
      <c r="A1" s="1439" t="s">
        <v>1629</v>
      </c>
      <c r="B1" s="1440" t="s">
        <v>440</v>
      </c>
      <c r="C1" s="1440" t="s">
        <v>674</v>
      </c>
      <c r="D1" s="1440"/>
      <c r="E1" s="1440"/>
      <c r="F1" s="1440" t="str">
        <f>SONPws!C1</f>
        <v>General Fund</v>
      </c>
      <c r="G1" s="1440" t="str">
        <f>SONPws!D1</f>
        <v xml:space="preserve">Debt Service </v>
      </c>
      <c r="H1" s="1440" t="s">
        <v>1611</v>
      </c>
      <c r="I1" s="1440" t="str">
        <f>SONPws!F1</f>
        <v>Categorical Grant In-aid</v>
      </c>
      <c r="J1" s="1440" t="str">
        <f>SONPws!G1</f>
        <v>Community Development Program</v>
      </c>
      <c r="K1" s="1440" t="str">
        <f>SONPws!H1</f>
        <v>Confiscated Property</v>
      </c>
      <c r="L1" s="1440" t="str">
        <f>SONPws!I1</f>
        <v>HOME Program</v>
      </c>
      <c r="M1" s="1440" t="str">
        <f>SONPws!J1</f>
        <v>HUD 108 Loan Program</v>
      </c>
      <c r="N1" s="1440" t="str">
        <f>SONPws!K1</f>
        <v>Advanced Transportation District</v>
      </c>
      <c r="O1" s="1440" t="str">
        <f>SONPws!L1</f>
        <v>Capital Improvements Management Services</v>
      </c>
      <c r="P1" s="1440" t="str">
        <f>SONPws!M1</f>
        <v>Capital Improvements Reserve</v>
      </c>
      <c r="Q1" s="1440" t="str">
        <f>SONPws!N1</f>
        <v>Community &amp; Visitors' Facilities</v>
      </c>
      <c r="R1" s="1440" t="str">
        <f>SONPws!O1</f>
        <v>Community Services</v>
      </c>
      <c r="S1" s="1440" t="str">
        <f>SONPws!S1</f>
        <v>Ready To Work</v>
      </c>
      <c r="T1" s="1440" t="str">
        <f>SONPws!P1</f>
        <v>Hotel Motel Cap Improvement</v>
      </c>
      <c r="U1" s="1440" t="str">
        <f>SONPws!Q1</f>
        <v>Parks Development and Expansion</v>
      </c>
      <c r="V1" s="1440" t="str">
        <f>SONPws!R1</f>
        <v>Early Education Development</v>
      </c>
      <c r="W1" s="1440" t="str">
        <f>SONPws!T1</f>
        <v>Parks Environmental and Sanitation</v>
      </c>
      <c r="X1" s="1440" t="str">
        <f>SONPws!U1</f>
        <v>Right of Ways</v>
      </c>
      <c r="Y1" s="1440" t="str">
        <f>SONPws!V1</f>
        <v>SA Housing Trust</v>
      </c>
      <c r="Z1" s="1440" t="str">
        <f>SONPws!W1</f>
        <v>Stormwater</v>
      </c>
      <c r="AA1" s="1440" t="str">
        <f>SONPws!X1</f>
        <v>Tax Increment Reinvestment Zone</v>
      </c>
      <c r="AB1" s="1440" t="str">
        <f>SONPws!Y1</f>
        <v>Pre 1999                    GO Bonds</v>
      </c>
      <c r="AC1" s="1440" t="str">
        <f>SONPws!Z1</f>
        <v>1999 GO Bonds</v>
      </c>
      <c r="AD1" s="1440" t="str">
        <f>SONPws!AA1</f>
        <v>Pre 2007 GO Bonds</v>
      </c>
      <c r="AE1" s="1440" t="str">
        <f>SONPws!AB1</f>
        <v>Pre 2012 GO Bonds</v>
      </c>
      <c r="AF1" s="1440" t="str">
        <f>SONPws!AC1</f>
        <v>2012 GO Bonds</v>
      </c>
      <c r="AG1" s="1440" t="str">
        <f>SONPws!AD1</f>
        <v>2017 GO Bonds</v>
      </c>
      <c r="AH1" s="1440" t="str">
        <f>SONPws!AE1</f>
        <v>2022 GO Bonds</v>
      </c>
      <c r="AI1" s="1440" t="str">
        <f>SONPws!AF1</f>
        <v>GO Project Fund</v>
      </c>
      <c r="AJ1" s="1440" t="str">
        <f>SONPws!AH1</f>
        <v>Pre 2016 CO's</v>
      </c>
      <c r="AK1" s="1440" t="str">
        <f>SONPws!AI1</f>
        <v>Pre 2017 CO's</v>
      </c>
      <c r="AL1" s="1440" t="str">
        <f>SONPws!AJ1</f>
        <v>Pre 2018 CO's</v>
      </c>
      <c r="AM1" s="1440" t="str">
        <f>SONPws!AK1</f>
        <v>Pre 2019 CO's</v>
      </c>
      <c r="AN1" s="1440" t="str">
        <f>SONPws!AL1</f>
        <v>2019 CO's</v>
      </c>
      <c r="AO1" s="1440" t="str">
        <f>SONPws!AM1</f>
        <v>2020 CO's</v>
      </c>
      <c r="AP1" s="1440" t="str">
        <f>SONPws!AN1</f>
        <v>2021 CO's</v>
      </c>
      <c r="AQ1" s="1440" t="str">
        <f>SONPws!AO1</f>
        <v>2022 CO's</v>
      </c>
      <c r="AR1" s="1440" t="str">
        <f>SONPws!AP1</f>
        <v>2023 CO's</v>
      </c>
      <c r="AS1" s="1440" t="str">
        <f>SONPws!AQ1</f>
        <v>2024 CO's</v>
      </c>
      <c r="AT1" s="1440" t="str">
        <f>SONPws!AR1</f>
        <v>CO Project Funds</v>
      </c>
      <c r="AU1" s="1440" t="str">
        <f>SONPws!AS1</f>
        <v>Edwards Aquifer Protection</v>
      </c>
      <c r="AV1" s="1440" t="str">
        <f>SONPws!AT1</f>
        <v>Improvement Projects</v>
      </c>
      <c r="AW1" s="1440" t="str">
        <f>SONPws!AU1</f>
        <v>Municipal Drainage Utility System</v>
      </c>
      <c r="AX1" s="1440" t="str">
        <f>SONPws!AV1</f>
        <v>Parks Development &amp; Expansion</v>
      </c>
      <c r="AY1" s="1440" t="str">
        <f>SONPws!AW1</f>
        <v>Tax Notes</v>
      </c>
      <c r="AZ1" s="1440" t="str">
        <f>SONPws!AX1</f>
        <v>Equipment Acquisition</v>
      </c>
      <c r="BA1" s="1440" t="str">
        <f>SONPws!AY1</f>
        <v>Carver Cultural          Center</v>
      </c>
      <c r="BB1" s="1440" t="str">
        <f>SONPws!AZ1</f>
        <v>City Cemeteries</v>
      </c>
      <c r="BC1" s="1440" t="str">
        <f>SONPws!BA1</f>
        <v>William C. Morris Endowment</v>
      </c>
      <c r="BD1" s="1440" t="str">
        <f>SONPws!BB1</f>
        <v>Boza Becica Endowment</v>
      </c>
      <c r="BE1" s="1440" t="s">
        <v>1412</v>
      </c>
      <c r="BF1" s="1440" t="str">
        <f>SONPws!BD1</f>
        <v>Prosper West San Antonio</v>
      </c>
      <c r="BG1" s="1440" t="str">
        <f>SONPws!BE1</f>
        <v xml:space="preserve">SA Education Facilities </v>
      </c>
      <c r="BH1" s="1440" t="str">
        <f>SONPws!BF1</f>
        <v>Council Aides</v>
      </c>
      <c r="BI1" s="1440" t="str">
        <f>SONPws!BG1</f>
        <v>SA Health      Facilities Corp</v>
      </c>
      <c r="BJ1" s="1440" t="str">
        <f>SONPws!BH1</f>
        <v>Visit                            San Antonio</v>
      </c>
      <c r="BK1" s="1440" t="str">
        <f>SONPws!BI1</f>
        <v>SA Industrial Develop Auth</v>
      </c>
      <c r="BL1" s="1440" t="str">
        <f>SONPws!BJ1</f>
        <v>Municipal Golf Associatation-SA</v>
      </c>
      <c r="BM1" s="1440" t="str">
        <f>SONPws!BK1</f>
        <v>Municipal Facilities Corporation</v>
      </c>
      <c r="BN1" s="1440" t="str">
        <f>SONPws!BL1</f>
        <v>Starbright</v>
      </c>
      <c r="BO1" s="1440" t="str">
        <f>SONPws!BM1</f>
        <v>SA Economic Dev Corp.</v>
      </c>
      <c r="BP1" s="1440" t="str">
        <f>SONPws!BN1</f>
        <v>San Antonio Housing Trust Foundation Inc.</v>
      </c>
      <c r="BQ1" s="1440" t="str">
        <f>SONPws!BO1</f>
        <v>SA Housing Trust Public Finance Corp.</v>
      </c>
      <c r="BR1" s="1440" t="str">
        <f>SONPws!BP1</f>
        <v>Hemisfair Park Redevelopment Corp</v>
      </c>
      <c r="BS1" s="1440" t="str">
        <f>SONPws!BQ1</f>
        <v>SAN ANTONIO EARLY CHILDHOOD EDUCATION</v>
      </c>
      <c r="BT1" s="1440" t="str">
        <f>SONPws!BR1</f>
        <v>TEXAS PUBLIC FACILITIES CORP.</v>
      </c>
      <c r="BU1" s="1440" t="str">
        <f>SONPws!BS1</f>
        <v>Urban Renewal Agency (OUR SA)</v>
      </c>
      <c r="BV1" s="1440" t="str">
        <f>SONPws!BT1</f>
        <v>Employee Health     Benefits</v>
      </c>
      <c r="BW1" s="1440" t="str">
        <f>SONPws!BU1</f>
        <v>Insurance Reserve</v>
      </c>
      <c r="BX1" s="1440" t="str">
        <f>SONPws!BV1</f>
        <v>Workers' Compensation</v>
      </c>
      <c r="BY1" s="1440" t="str">
        <f>SONPws!BW1</f>
        <v>Information Services</v>
      </c>
      <c r="BZ1" s="1440" t="str">
        <f>SONPws!BX1</f>
        <v>Other Internal Services</v>
      </c>
      <c r="CA1" s="1440" t="str">
        <f>SONPws!BY1</f>
        <v>Capital Improvements Management Services</v>
      </c>
      <c r="CB1" s="1440" t="str">
        <f>SONPws!BZ1</f>
        <v>General Long-term Debt</v>
      </c>
      <c r="CC1" s="1440" t="str">
        <f>SONPws!CA1</f>
        <v>Capital Assets</v>
      </c>
      <c r="CD1" s="1440" t="str">
        <f>SONPws!CB1</f>
        <v>SADA Change</v>
      </c>
      <c r="CE1" s="1440">
        <f>SONPws!CC1</f>
        <v>0</v>
      </c>
      <c r="CF1" s="1440" t="str">
        <f>SONPws!CD1</f>
        <v>Total Business-type Activities</v>
      </c>
      <c r="CG1" s="1440" t="str">
        <f>SONPws!CE1</f>
        <v>Aviation</v>
      </c>
      <c r="CH1" s="1440" t="str">
        <f>SONPws!CF1</f>
        <v>Solid Waste</v>
      </c>
      <c r="CI1" s="1440" t="str">
        <f>SONPws!CG1</f>
        <v>Parking</v>
      </c>
      <c r="CJ1" s="1440" t="str">
        <f>SONPws!CH1</f>
        <v>Market Square</v>
      </c>
      <c r="CK1" s="1440" t="str">
        <f>SONPws!CI1</f>
        <v>Development Services</v>
      </c>
    </row>
    <row r="2" spans="1:91" x14ac:dyDescent="0.2">
      <c r="A2" s="1253" t="s">
        <v>108</v>
      </c>
      <c r="B2" s="1254">
        <f>F2</f>
        <v>104792</v>
      </c>
      <c r="C2" s="1254">
        <f>F3</f>
        <v>351836</v>
      </c>
      <c r="E2" s="1254">
        <f>SUM(F2:CL2)</f>
        <v>953326</v>
      </c>
      <c r="F2" s="1254">
        <f>SONPws!C146</f>
        <v>104792</v>
      </c>
      <c r="G2" s="1254">
        <f>SONPws!D146</f>
        <v>41281</v>
      </c>
      <c r="H2" s="1254">
        <f>SONPws!E146</f>
        <v>27846</v>
      </c>
      <c r="I2" s="1254">
        <f>SONPws!F146</f>
        <v>2136</v>
      </c>
      <c r="J2" s="1254">
        <f>SONPws!G146</f>
        <v>85</v>
      </c>
      <c r="K2" s="1254">
        <f>SONPws!H146</f>
        <v>1121</v>
      </c>
      <c r="L2" s="1254">
        <f>SONPws!I146</f>
        <v>1110</v>
      </c>
      <c r="M2" s="1254">
        <f>SONPws!J146</f>
        <v>0</v>
      </c>
      <c r="N2" s="1254">
        <f>SONPws!K146</f>
        <v>2748</v>
      </c>
      <c r="O2" s="1254">
        <f>SONPws!L146</f>
        <v>0</v>
      </c>
      <c r="P2" s="1254">
        <f>SONPws!M146</f>
        <v>0</v>
      </c>
      <c r="Q2" s="1254">
        <f>SONPws!N146</f>
        <v>43349</v>
      </c>
      <c r="R2" s="1254">
        <f>SONPws!O146</f>
        <v>20239</v>
      </c>
      <c r="S2" s="1254">
        <f>SONPws!S146</f>
        <v>55</v>
      </c>
      <c r="T2" s="1254">
        <f>SONPws!P146</f>
        <v>331</v>
      </c>
      <c r="U2" s="1254">
        <f>SONPws!Q146</f>
        <v>4523</v>
      </c>
      <c r="V2" s="1254">
        <f>SONPws!R146</f>
        <v>14</v>
      </c>
      <c r="W2" s="1254">
        <f>SONPws!T146</f>
        <v>6</v>
      </c>
      <c r="X2" s="1254">
        <f>SONPws!U146</f>
        <v>657</v>
      </c>
      <c r="Y2" s="1254">
        <f>SONPws!V146</f>
        <v>299</v>
      </c>
      <c r="Z2" s="1254">
        <f>SONPws!W146</f>
        <v>8727</v>
      </c>
      <c r="AA2" s="1254">
        <f>SONPws!X146</f>
        <v>13421</v>
      </c>
      <c r="AB2" s="1254">
        <f>SONPws!Y146</f>
        <v>0</v>
      </c>
      <c r="AC2" s="1254">
        <f>SONPws!Z146</f>
        <v>0</v>
      </c>
      <c r="AD2" s="1254">
        <f>SONPws!AA146</f>
        <v>0</v>
      </c>
      <c r="AE2" s="1254">
        <f>SONPws!AB146</f>
        <v>1172</v>
      </c>
      <c r="AF2" s="1254">
        <f>SONPws!AC146</f>
        <v>3781</v>
      </c>
      <c r="AG2" s="1254">
        <f>SONPws!AD146</f>
        <v>34752</v>
      </c>
      <c r="AH2" s="1254">
        <f>SONPws!AE146</f>
        <v>80121</v>
      </c>
      <c r="AI2" s="1254">
        <f>SONPws!AF146</f>
        <v>28124</v>
      </c>
      <c r="AJ2" s="1254">
        <f>SONPws!AH146</f>
        <v>0</v>
      </c>
      <c r="AK2" s="1254">
        <f>SONPws!AI146</f>
        <v>0</v>
      </c>
      <c r="AL2" s="1254">
        <f>SONPws!AJ146</f>
        <v>0</v>
      </c>
      <c r="AM2" s="1254">
        <f>SONPws!AK146</f>
        <v>16005</v>
      </c>
      <c r="AN2" s="1254">
        <f>SONPws!AL146</f>
        <v>241</v>
      </c>
      <c r="AO2" s="1254">
        <f>SONPws!AM16</f>
        <v>416</v>
      </c>
      <c r="AP2" s="1254">
        <f>SONPws!AN16</f>
        <v>2269</v>
      </c>
      <c r="AQ2" s="1254">
        <f>SONPws!AO16</f>
        <v>406</v>
      </c>
      <c r="AR2" s="1254">
        <f>SONPws!AP16</f>
        <v>213</v>
      </c>
      <c r="AS2" s="1254">
        <f>SONPws!AQ16</f>
        <v>18875</v>
      </c>
      <c r="AT2" s="1254">
        <f>SONPws!AR146</f>
        <v>3151</v>
      </c>
      <c r="AU2" s="1254">
        <f>SONPws!AS146</f>
        <v>0</v>
      </c>
      <c r="AV2" s="1254">
        <f>SONPws!AT146</f>
        <v>21995</v>
      </c>
      <c r="AW2" s="1254">
        <f>SONPws!AU146</f>
        <v>25</v>
      </c>
      <c r="AX2" s="1254">
        <f>SONPws!AV146</f>
        <v>0</v>
      </c>
      <c r="AY2" s="1254">
        <f>SONPws!AW146</f>
        <v>11037</v>
      </c>
      <c r="AZ2" s="1254">
        <f>SONPws!AX146</f>
        <v>0</v>
      </c>
      <c r="BA2" s="1254">
        <f>SONPws!AY146</f>
        <v>84</v>
      </c>
      <c r="BB2" s="1254">
        <f>SONPws!AZ146</f>
        <v>1185</v>
      </c>
      <c r="BC2" s="1254">
        <f>SONPws!BA146</f>
        <v>75</v>
      </c>
      <c r="BD2" s="1254">
        <f>SONPws!BB146</f>
        <v>123</v>
      </c>
      <c r="BE2" s="1254">
        <f>SONPws!BC146</f>
        <v>309</v>
      </c>
      <c r="BF2" s="1254">
        <f>SONPws!BD146</f>
        <v>0</v>
      </c>
      <c r="BG2" s="1254">
        <f>SONPws!BE146</f>
        <v>293</v>
      </c>
      <c r="BH2" s="1254">
        <f>SONPws!BF146</f>
        <v>326</v>
      </c>
      <c r="BI2" s="1254">
        <f>SONPws!BG146</f>
        <v>0</v>
      </c>
      <c r="BJ2" s="1254">
        <f>SONPws!BH146</f>
        <v>10981</v>
      </c>
      <c r="BK2" s="1254">
        <f>SONPws!BI146</f>
        <v>29</v>
      </c>
      <c r="BL2" s="1254">
        <f>SONPws!BJ146</f>
        <v>3313</v>
      </c>
      <c r="BM2" s="1254">
        <f>SONPws!BK146</f>
        <v>24125</v>
      </c>
      <c r="BN2" s="1254">
        <f>SONPws!BL146</f>
        <v>290</v>
      </c>
      <c r="BO2" s="1254">
        <f>SONPws!BM146</f>
        <v>1791</v>
      </c>
      <c r="BP2" s="1254">
        <f>SONPws!BN146</f>
        <v>0</v>
      </c>
      <c r="BQ2" s="1254">
        <f>SONPws!BO146</f>
        <v>0</v>
      </c>
      <c r="BR2" s="1254">
        <f>SONPws!BP146</f>
        <v>569</v>
      </c>
      <c r="BS2" s="1254">
        <f>SONPws!BQ146</f>
        <v>144453</v>
      </c>
      <c r="BT2" s="1254">
        <f>SONPws!BR146</f>
        <v>31825</v>
      </c>
      <c r="BU2" s="1254">
        <f>SONPws!BS146</f>
        <v>478</v>
      </c>
      <c r="BV2" s="1512">
        <f>SONPws!BT146</f>
        <v>8029</v>
      </c>
      <c r="BW2" s="1512">
        <f>SONPws!BU146</f>
        <v>8074</v>
      </c>
      <c r="BX2" s="1512">
        <f>SONPws!BV146</f>
        <v>9444</v>
      </c>
      <c r="BY2" s="1512">
        <f>SONPws!BW146</f>
        <v>2036</v>
      </c>
      <c r="BZ2" s="1512">
        <f>SONPws!BX146</f>
        <v>31167</v>
      </c>
      <c r="CA2" s="1512">
        <f>SONPws!BY146</f>
        <v>218</v>
      </c>
      <c r="CB2" s="1254">
        <f>SONPws!BZ146</f>
        <v>0</v>
      </c>
      <c r="CC2" s="1254">
        <f>SONPws!CA146</f>
        <v>0</v>
      </c>
      <c r="CD2" s="1254">
        <f>SONPws!CB146</f>
        <v>0</v>
      </c>
      <c r="CE2" s="1254">
        <f>SONPws!CC146</f>
        <v>0</v>
      </c>
      <c r="CF2" s="1254">
        <v>0</v>
      </c>
      <c r="CG2" s="1512">
        <f>SONPws!CE146</f>
        <v>166457</v>
      </c>
      <c r="CH2" s="1512">
        <f>SONPws!CF146</f>
        <v>3867</v>
      </c>
      <c r="CI2" s="1512">
        <f>SONPws!CG146</f>
        <v>2154</v>
      </c>
      <c r="CJ2" s="1512">
        <f>SONPws!CH146</f>
        <v>92</v>
      </c>
      <c r="CK2" s="1512">
        <f>SONPws!CI146</f>
        <v>6216</v>
      </c>
    </row>
    <row r="3" spans="1:91" x14ac:dyDescent="0.2">
      <c r="A3" s="1253" t="s">
        <v>1344</v>
      </c>
      <c r="B3" s="1254">
        <f>G2</f>
        <v>41281</v>
      </c>
      <c r="C3" s="1254">
        <f>G3</f>
        <v>2050</v>
      </c>
      <c r="E3" s="1254">
        <f t="shared" ref="E3" si="0">SUM(F3:CL3)</f>
        <v>1982898</v>
      </c>
      <c r="F3" s="1254">
        <f>SONPws!C147</f>
        <v>351836</v>
      </c>
      <c r="G3" s="1254">
        <f>SONPws!D147</f>
        <v>2050</v>
      </c>
      <c r="H3" s="1254">
        <f>SONPws!E147</f>
        <v>80038</v>
      </c>
      <c r="I3" s="1254">
        <f>SONPws!F147</f>
        <v>421</v>
      </c>
      <c r="J3" s="1254">
        <f>SONPws!G147</f>
        <v>0</v>
      </c>
      <c r="K3" s="1254">
        <f>SONPws!H147</f>
        <v>3806</v>
      </c>
      <c r="L3" s="1254">
        <f>SONPws!I147</f>
        <v>3805</v>
      </c>
      <c r="M3" s="1254">
        <f>SONPws!J147</f>
        <v>0</v>
      </c>
      <c r="N3" s="1254">
        <f>SONPws!K147</f>
        <v>9940</v>
      </c>
      <c r="O3" s="1254">
        <f>SONPws!L147</f>
        <v>0</v>
      </c>
      <c r="P3" s="1254">
        <f>SONPws!M147</f>
        <v>0</v>
      </c>
      <c r="Q3" s="1254">
        <f>SONPws!N147</f>
        <v>124366</v>
      </c>
      <c r="R3" s="1254">
        <f>SONPws!O147</f>
        <v>85632</v>
      </c>
      <c r="S3" s="1254">
        <f>SONPws!S147</f>
        <v>19</v>
      </c>
      <c r="T3" s="1254">
        <f>SONPws!P147</f>
        <v>972</v>
      </c>
      <c r="U3" s="1254">
        <f>SONPws!Q147</f>
        <v>16754</v>
      </c>
      <c r="V3" s="1254">
        <f>SONPws!R147</f>
        <v>1</v>
      </c>
      <c r="W3" s="1254">
        <f>SONPws!T147</f>
        <v>12</v>
      </c>
      <c r="X3" s="1254">
        <f>SONPws!U147</f>
        <v>2229</v>
      </c>
      <c r="Y3" s="1254">
        <f>SONPws!V147</f>
        <v>11361</v>
      </c>
      <c r="Z3" s="1254">
        <f>SONPws!W147</f>
        <v>36076</v>
      </c>
      <c r="AA3" s="1254">
        <f>SONPws!X147</f>
        <v>45438</v>
      </c>
      <c r="AB3" s="1254">
        <f>SONPws!Y147</f>
        <v>0</v>
      </c>
      <c r="AC3" s="1254">
        <f>SONPws!Z147</f>
        <v>0</v>
      </c>
      <c r="AD3" s="1254">
        <f>SONPws!AA147</f>
        <v>0</v>
      </c>
      <c r="AE3" s="1254">
        <f>SONPws!AB147</f>
        <v>3979</v>
      </c>
      <c r="AF3" s="1254">
        <f>SONPws!AC147</f>
        <v>12836</v>
      </c>
      <c r="AG3" s="1254">
        <f>SONPws!AD147</f>
        <v>120524</v>
      </c>
      <c r="AH3" s="1254">
        <f>SONPws!AE147</f>
        <v>293952</v>
      </c>
      <c r="AI3" s="1254">
        <f>SONPws!AF147</f>
        <v>0</v>
      </c>
      <c r="AJ3" s="1254">
        <f>SONPws!AH147</f>
        <v>0</v>
      </c>
      <c r="AK3" s="1254">
        <f>SONPws!AI147</f>
        <v>0</v>
      </c>
      <c r="AL3" s="1254">
        <f>SONPws!AJ147</f>
        <v>0</v>
      </c>
      <c r="AM3" s="1254">
        <f>SONPws!AK147</f>
        <v>21319</v>
      </c>
      <c r="AN3" s="1254">
        <f>SONPws!AL147</f>
        <v>1073</v>
      </c>
      <c r="AO3" s="1254">
        <f>SONPws!AM17</f>
        <v>1485</v>
      </c>
      <c r="AP3" s="1254">
        <f>SONPws!AN17</f>
        <v>7701</v>
      </c>
      <c r="AQ3" s="1254">
        <f>SONPws!AO17</f>
        <v>17640</v>
      </c>
      <c r="AR3" s="1254">
        <f>SONPws!AP17</f>
        <v>729</v>
      </c>
      <c r="AS3" s="1254">
        <f>SONPws!AQ17</f>
        <v>72131</v>
      </c>
      <c r="AT3" s="1254">
        <f>SONPws!AR147</f>
        <v>0</v>
      </c>
      <c r="AU3" s="1254">
        <f>SONPws!AS147</f>
        <v>0</v>
      </c>
      <c r="AV3" s="1254">
        <f>SONPws!AT147</f>
        <v>0</v>
      </c>
      <c r="AW3" s="1254">
        <f>SONPws!AU147</f>
        <v>84</v>
      </c>
      <c r="AX3" s="1254">
        <f>SONPws!AV147</f>
        <v>0</v>
      </c>
      <c r="AY3" s="1254">
        <f>SONPws!AW147</f>
        <v>45851</v>
      </c>
      <c r="AZ3" s="1254">
        <f>SONPws!AX147</f>
        <v>0</v>
      </c>
      <c r="BA3" s="1254">
        <f>SONPws!AY147</f>
        <v>284</v>
      </c>
      <c r="BB3" s="1254">
        <f>SONPws!AZ147</f>
        <v>4023</v>
      </c>
      <c r="BC3" s="1254">
        <f>SONPws!BA147</f>
        <v>253</v>
      </c>
      <c r="BD3" s="1254">
        <f>SONPws!BB147</f>
        <v>417</v>
      </c>
      <c r="BE3" s="1254">
        <f>SONPws!BC147</f>
        <v>1048</v>
      </c>
      <c r="BF3" s="1254">
        <f>SONPws!BD147</f>
        <v>0</v>
      </c>
      <c r="BG3" s="1254">
        <f>SONPws!BE147</f>
        <v>0</v>
      </c>
      <c r="BH3" s="1254">
        <f>SONPws!BF147</f>
        <v>592</v>
      </c>
      <c r="BI3" s="1254">
        <f>SONPws!BG147</f>
        <v>0</v>
      </c>
      <c r="BJ3" s="1254">
        <f>SONPws!BH147</f>
        <v>0</v>
      </c>
      <c r="BK3" s="1254">
        <f>SONPws!BI147</f>
        <v>0</v>
      </c>
      <c r="BL3" s="1254">
        <f>SONPws!BJ147</f>
        <v>2136</v>
      </c>
      <c r="BM3" s="1254">
        <f>SONPws!BK147</f>
        <v>7</v>
      </c>
      <c r="BN3" s="1254">
        <f>SONPws!BL147</f>
        <v>0</v>
      </c>
      <c r="BO3" s="1254">
        <f>SONPws!BM147+SONPws!BM35</f>
        <v>700</v>
      </c>
      <c r="BP3" s="1254">
        <f>SONPws!BN147</f>
        <v>0</v>
      </c>
      <c r="BQ3" s="1254">
        <f>SONPws!BO147</f>
        <v>0</v>
      </c>
      <c r="BR3" s="1254">
        <f>SONPws!BP147</f>
        <v>3631</v>
      </c>
      <c r="BS3" s="1254">
        <f>SONPws!BQ147</f>
        <v>0</v>
      </c>
      <c r="BT3" s="1254">
        <f>SONPws!BR147</f>
        <v>0</v>
      </c>
      <c r="BU3" s="1254">
        <f>SONPws!BS147</f>
        <v>1623</v>
      </c>
      <c r="BV3" s="1254">
        <f>SONPws!BT147</f>
        <v>27074</v>
      </c>
      <c r="BW3" s="1254">
        <f>SONPws!BU147</f>
        <v>27457</v>
      </c>
      <c r="BX3" s="1254">
        <f>SONPws!BV147</f>
        <v>32145</v>
      </c>
      <c r="BY3" s="1254">
        <f>SONPws!BW147</f>
        <v>7072</v>
      </c>
      <c r="BZ3" s="1254">
        <f>SONPws!BX147</f>
        <v>104286</v>
      </c>
      <c r="CA3" s="1254">
        <f>SONPws!BY147</f>
        <v>1713</v>
      </c>
      <c r="CB3" s="1254">
        <f>SONPws!BZ147</f>
        <v>0</v>
      </c>
      <c r="CC3" s="1254">
        <f>SONPws!CA147</f>
        <v>0</v>
      </c>
      <c r="CD3" s="1254">
        <f>SONPws!CB147</f>
        <v>0</v>
      </c>
      <c r="CE3" s="1254">
        <f>SONPws!CC147</f>
        <v>0</v>
      </c>
      <c r="CF3" s="1254">
        <v>0</v>
      </c>
      <c r="CG3" s="1254">
        <f>SONPws!CE147</f>
        <v>359965</v>
      </c>
      <c r="CH3" s="1254">
        <f>SONPws!CF147</f>
        <v>4722</v>
      </c>
      <c r="CI3" s="1254">
        <f>SONPws!CG147</f>
        <v>7161</v>
      </c>
      <c r="CJ3" s="1254">
        <f>SONPws!CH147</f>
        <v>313</v>
      </c>
      <c r="CK3" s="1254">
        <f>SONPws!CI147</f>
        <v>22216</v>
      </c>
    </row>
    <row r="4" spans="1:91" x14ac:dyDescent="0.2">
      <c r="A4" s="1253" t="s">
        <v>1610</v>
      </c>
      <c r="B4" s="1254">
        <f>H2</f>
        <v>27846</v>
      </c>
      <c r="C4" s="1254">
        <f>H3</f>
        <v>80038</v>
      </c>
      <c r="G4" s="1254"/>
      <c r="H4" s="1254"/>
      <c r="I4" s="1254"/>
      <c r="J4" s="1254"/>
      <c r="K4" s="1254"/>
      <c r="L4" s="1254"/>
      <c r="M4" s="1254"/>
      <c r="N4" s="1254"/>
      <c r="O4" s="1254"/>
      <c r="P4" s="1254"/>
      <c r="Q4" s="1254"/>
      <c r="R4" s="1254"/>
      <c r="S4" s="1254"/>
      <c r="T4" s="1254"/>
      <c r="U4" s="1254"/>
      <c r="V4" s="1254"/>
      <c r="W4" s="1254"/>
      <c r="X4" s="1254"/>
      <c r="Y4" s="1254"/>
      <c r="Z4" s="1254"/>
      <c r="AA4" s="1254"/>
      <c r="AB4" s="1254"/>
      <c r="AC4" s="1254"/>
      <c r="AD4" s="1254"/>
      <c r="AE4" s="1254"/>
      <c r="AF4" s="1254"/>
      <c r="AG4" s="1254"/>
      <c r="AH4" s="1254"/>
      <c r="AI4" s="1254"/>
      <c r="AJ4" s="1254"/>
      <c r="AK4" s="1254"/>
      <c r="AL4" s="1254"/>
      <c r="AM4" s="1254"/>
      <c r="AN4" s="1254"/>
      <c r="AO4" s="1254"/>
      <c r="AP4" s="1254"/>
      <c r="AQ4" s="1254"/>
      <c r="AR4" s="1254"/>
      <c r="AS4" s="1254"/>
      <c r="AT4" s="1254"/>
      <c r="AU4" s="1254"/>
      <c r="AV4" s="1254"/>
      <c r="AW4" s="1254"/>
      <c r="AX4" s="1254"/>
      <c r="AY4" s="1254"/>
      <c r="AZ4" s="1254"/>
      <c r="BA4" s="1254"/>
      <c r="BB4" s="1254"/>
      <c r="BC4" s="1254"/>
      <c r="BD4" s="1254"/>
      <c r="BE4" s="1254"/>
      <c r="BF4" s="1254"/>
      <c r="BG4" s="1254"/>
      <c r="BH4" s="1254"/>
      <c r="BI4" s="1254"/>
      <c r="BJ4" s="1254"/>
      <c r="BK4" s="1254"/>
      <c r="BL4" s="1254"/>
      <c r="BM4" s="1254"/>
      <c r="BN4" s="1254"/>
      <c r="BO4" s="1254"/>
      <c r="BP4" s="1254"/>
      <c r="BQ4" s="1254"/>
      <c r="BR4" s="1254"/>
      <c r="BS4" s="1254"/>
      <c r="BT4" s="1254"/>
      <c r="BU4" s="1254"/>
      <c r="BV4" s="1254"/>
      <c r="BW4" s="1254"/>
      <c r="BX4" s="1254"/>
      <c r="BY4" s="1254"/>
      <c r="BZ4" s="1254"/>
      <c r="CA4" s="1254"/>
      <c r="CB4" s="1254"/>
      <c r="CC4" s="1254"/>
      <c r="CD4" s="1254"/>
      <c r="CE4" s="1254"/>
      <c r="CF4" s="1254"/>
      <c r="CG4" s="1254"/>
      <c r="CH4" s="1254"/>
      <c r="CI4" s="1254"/>
      <c r="CJ4" s="1254"/>
      <c r="CK4" s="1254"/>
    </row>
    <row r="5" spans="1:91" x14ac:dyDescent="0.2">
      <c r="A5" s="1253" t="s">
        <v>1345</v>
      </c>
      <c r="B5" s="1254">
        <f>I2</f>
        <v>2136</v>
      </c>
      <c r="C5" s="1254">
        <f>I3</f>
        <v>421</v>
      </c>
      <c r="G5" s="1254"/>
      <c r="H5" s="1254"/>
      <c r="I5" s="1254"/>
      <c r="J5" s="1254"/>
      <c r="K5" s="1254"/>
      <c r="L5" s="1254"/>
      <c r="M5" s="1254"/>
      <c r="N5" s="1254"/>
      <c r="O5" s="1254"/>
      <c r="P5" s="1254"/>
      <c r="Q5" s="1254"/>
      <c r="R5" s="1254"/>
      <c r="S5" s="1254"/>
      <c r="T5" s="1254"/>
      <c r="U5" s="1254"/>
      <c r="V5" s="1254"/>
      <c r="W5" s="1254"/>
      <c r="X5" s="1254"/>
      <c r="Y5" s="1254"/>
      <c r="Z5" s="1254"/>
      <c r="AA5" s="1254"/>
      <c r="AB5" s="1254"/>
      <c r="AC5" s="1254"/>
      <c r="AD5" s="1254"/>
      <c r="AE5" s="1254"/>
      <c r="AF5" s="1254"/>
      <c r="AG5" s="1254"/>
      <c r="AH5" s="1254"/>
      <c r="AI5" s="1254"/>
      <c r="AJ5" s="1254"/>
      <c r="AK5" s="1254"/>
      <c r="AL5" s="1254"/>
      <c r="AM5" s="1254"/>
      <c r="AN5" s="1254"/>
      <c r="AO5" s="1254"/>
      <c r="AP5" s="1254"/>
      <c r="AQ5" s="1254"/>
      <c r="AR5" s="1254"/>
      <c r="AS5" s="1254"/>
      <c r="AT5" s="1254"/>
      <c r="AU5" s="1254"/>
      <c r="AV5" s="1254"/>
      <c r="AW5" s="1254"/>
      <c r="AX5" s="1254"/>
      <c r="AY5" s="1254"/>
      <c r="AZ5" s="1254"/>
      <c r="BA5" s="1254"/>
      <c r="BB5" s="1254"/>
      <c r="BC5" s="1254"/>
      <c r="BD5" s="1254"/>
      <c r="BE5" s="1254"/>
      <c r="BF5" s="1254"/>
      <c r="BG5" s="1254"/>
      <c r="BH5" s="1254"/>
      <c r="BI5" s="1254"/>
      <c r="BJ5" s="1254"/>
      <c r="BK5" s="1254"/>
      <c r="BL5" s="1254"/>
      <c r="BM5" s="1254"/>
      <c r="BN5" s="1254"/>
      <c r="BO5" s="1254"/>
      <c r="BP5" s="1254"/>
      <c r="BQ5" s="1254"/>
      <c r="BR5" s="1254"/>
      <c r="BS5" s="1254"/>
      <c r="BT5" s="1254"/>
      <c r="BU5" s="1254"/>
      <c r="BV5" s="1254"/>
      <c r="BW5" s="1254"/>
      <c r="BX5" s="1254"/>
      <c r="BY5" s="1254"/>
      <c r="BZ5" s="1254"/>
      <c r="CA5" s="1254"/>
      <c r="CB5" s="1254"/>
      <c r="CC5" s="1254"/>
      <c r="CD5" s="1254"/>
      <c r="CE5" s="1254"/>
      <c r="CF5" s="1254"/>
      <c r="CG5" s="1254"/>
      <c r="CH5" s="1254"/>
      <c r="CI5" s="1254"/>
      <c r="CJ5" s="1254"/>
      <c r="CK5" s="1254"/>
      <c r="CL5" s="1254"/>
      <c r="CM5" s="1254"/>
    </row>
    <row r="6" spans="1:91" x14ac:dyDescent="0.2">
      <c r="A6" s="1253" t="s">
        <v>1346</v>
      </c>
      <c r="B6" s="1254">
        <f>J2</f>
        <v>85</v>
      </c>
      <c r="C6" s="1254">
        <f>J3</f>
        <v>0</v>
      </c>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c r="AG6" s="1254"/>
      <c r="AH6" s="1254"/>
      <c r="AI6" s="1254"/>
      <c r="AJ6" s="1254"/>
      <c r="AK6" s="1254"/>
      <c r="AL6" s="1254"/>
      <c r="AM6" s="1254"/>
      <c r="AN6" s="1254"/>
      <c r="AO6" s="1254"/>
      <c r="AP6" s="1254"/>
      <c r="AQ6" s="1254"/>
      <c r="AR6" s="1254"/>
      <c r="AS6" s="1254"/>
      <c r="AT6" s="1254"/>
      <c r="AU6" s="1254"/>
      <c r="AV6" s="1254"/>
      <c r="AW6" s="1254"/>
      <c r="AX6" s="1254"/>
      <c r="AY6" s="1254"/>
      <c r="AZ6" s="1254"/>
      <c r="BA6" s="1254"/>
      <c r="BB6" s="1254"/>
      <c r="BC6" s="1254"/>
      <c r="BD6" s="1254"/>
      <c r="BE6" s="1254"/>
      <c r="BF6" s="1254"/>
      <c r="BG6" s="1254"/>
      <c r="BH6" s="1254"/>
      <c r="BI6" s="1254"/>
      <c r="BJ6" s="1254"/>
      <c r="BK6" s="1254"/>
      <c r="BL6" s="1254"/>
      <c r="BM6" s="1254"/>
      <c r="BN6" s="1254"/>
      <c r="BO6" s="1254"/>
      <c r="BP6" s="1254"/>
      <c r="BQ6" s="1254"/>
      <c r="BR6" s="1254"/>
      <c r="BS6" s="1254"/>
      <c r="BT6" s="1254"/>
      <c r="BU6" s="1254"/>
      <c r="BV6" s="1254"/>
      <c r="BW6" s="1254"/>
      <c r="BX6" s="1254"/>
      <c r="BY6" s="1254"/>
      <c r="BZ6" s="1254"/>
      <c r="CA6" s="1254"/>
      <c r="CB6" s="1254"/>
      <c r="CC6" s="1254"/>
      <c r="CD6" s="1254"/>
      <c r="CE6" s="1254"/>
      <c r="CF6" s="1254"/>
      <c r="CG6" s="1254"/>
      <c r="CH6" s="1254"/>
      <c r="CI6" s="1254"/>
      <c r="CJ6" s="1254"/>
      <c r="CK6" s="1254"/>
      <c r="CL6" s="1254"/>
      <c r="CM6" s="1254"/>
    </row>
    <row r="7" spans="1:91" x14ac:dyDescent="0.2">
      <c r="A7" s="1253" t="s">
        <v>1347</v>
      </c>
      <c r="B7" s="1254">
        <f>K2</f>
        <v>1121</v>
      </c>
      <c r="C7" s="1254">
        <f>K3</f>
        <v>3806</v>
      </c>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c r="AG7" s="1254"/>
      <c r="AH7" s="1254"/>
      <c r="AI7" s="1254"/>
      <c r="AJ7" s="1254"/>
      <c r="AK7" s="1254"/>
      <c r="AL7" s="1254"/>
      <c r="AM7" s="1254"/>
      <c r="AN7" s="1254"/>
      <c r="AO7" s="1254"/>
      <c r="AP7" s="1254"/>
      <c r="AQ7" s="1254"/>
      <c r="AR7" s="1254"/>
      <c r="AS7" s="1254"/>
      <c r="AT7" s="1254"/>
      <c r="AU7" s="1254"/>
      <c r="AV7" s="1254"/>
      <c r="AW7" s="1254"/>
      <c r="AX7" s="1254"/>
      <c r="AY7" s="1254"/>
      <c r="AZ7" s="1254"/>
      <c r="BA7" s="1254"/>
      <c r="BB7" s="1254"/>
      <c r="BC7" s="1254"/>
      <c r="BD7" s="1254"/>
      <c r="BE7" s="1254"/>
      <c r="BF7" s="1254"/>
      <c r="BG7" s="1254"/>
      <c r="BH7" s="1254"/>
      <c r="BI7" s="1254"/>
      <c r="BJ7" s="1254"/>
      <c r="BK7" s="1254"/>
      <c r="BL7" s="1254"/>
      <c r="BM7" s="1254"/>
      <c r="BN7" s="1254"/>
      <c r="BO7" s="1254"/>
      <c r="BP7" s="1254"/>
      <c r="BQ7" s="1254"/>
      <c r="BR7" s="1254"/>
      <c r="BS7" s="1254"/>
      <c r="BT7" s="1254"/>
      <c r="BU7" s="1254"/>
      <c r="BV7" s="1254"/>
      <c r="BW7" s="1254"/>
      <c r="BX7" s="1254"/>
      <c r="BY7" s="1254"/>
      <c r="BZ7" s="1254"/>
      <c r="CA7" s="1254"/>
      <c r="CB7" s="1254"/>
      <c r="CC7" s="1254"/>
      <c r="CD7" s="1254"/>
      <c r="CE7" s="1254"/>
      <c r="CF7" s="1254"/>
      <c r="CG7" s="1254"/>
      <c r="CH7" s="1254"/>
      <c r="CI7" s="1254"/>
      <c r="CJ7" s="1254"/>
      <c r="CK7" s="1254"/>
      <c r="CL7" s="1254"/>
      <c r="CM7" s="1254"/>
    </row>
    <row r="8" spans="1:91" x14ac:dyDescent="0.2">
      <c r="A8" s="1253" t="s">
        <v>1348</v>
      </c>
      <c r="B8" s="1254">
        <f>L2</f>
        <v>1110</v>
      </c>
      <c r="C8" s="1254">
        <f>L3</f>
        <v>3805</v>
      </c>
    </row>
    <row r="9" spans="1:91" x14ac:dyDescent="0.2">
      <c r="A9" s="1253" t="s">
        <v>1349</v>
      </c>
      <c r="B9" s="1254">
        <f>M2</f>
        <v>0</v>
      </c>
      <c r="C9" s="1254">
        <f>M3</f>
        <v>0</v>
      </c>
    </row>
    <row r="10" spans="1:91" x14ac:dyDescent="0.2">
      <c r="A10" s="1253" t="s">
        <v>1350</v>
      </c>
      <c r="B10" s="1254">
        <f>N2</f>
        <v>2748</v>
      </c>
      <c r="C10" s="1254">
        <f>N3</f>
        <v>9940</v>
      </c>
    </row>
    <row r="11" spans="1:91" x14ac:dyDescent="0.2">
      <c r="A11" s="1253" t="s">
        <v>1351</v>
      </c>
      <c r="B11" s="1254">
        <f>Q2</f>
        <v>43349</v>
      </c>
      <c r="C11" s="1254">
        <f>Q3</f>
        <v>124366</v>
      </c>
    </row>
    <row r="12" spans="1:91" x14ac:dyDescent="0.2">
      <c r="A12" s="1253" t="s">
        <v>1352</v>
      </c>
      <c r="B12" s="1254">
        <f>R2</f>
        <v>20239</v>
      </c>
      <c r="C12" s="1254">
        <f>R3</f>
        <v>85632</v>
      </c>
    </row>
    <row r="13" spans="1:91" x14ac:dyDescent="0.2">
      <c r="A13" s="1253" t="s">
        <v>1543</v>
      </c>
      <c r="B13" s="1254">
        <f>S2</f>
        <v>55</v>
      </c>
      <c r="C13" s="1254">
        <f>S3</f>
        <v>19</v>
      </c>
    </row>
    <row r="14" spans="1:91" x14ac:dyDescent="0.2">
      <c r="A14" s="1253" t="s">
        <v>1353</v>
      </c>
      <c r="B14" s="1254">
        <f>T2</f>
        <v>331</v>
      </c>
      <c r="C14" s="1254">
        <f>T3</f>
        <v>972</v>
      </c>
    </row>
    <row r="15" spans="1:91" x14ac:dyDescent="0.2">
      <c r="A15" s="1253" t="s">
        <v>1354</v>
      </c>
      <c r="B15" s="1254">
        <f>U2</f>
        <v>4523</v>
      </c>
      <c r="C15" s="1254">
        <f>U3</f>
        <v>16754</v>
      </c>
    </row>
    <row r="16" spans="1:91" x14ac:dyDescent="0.2">
      <c r="A16" s="1253" t="s">
        <v>1355</v>
      </c>
      <c r="B16" s="1254">
        <f>V2</f>
        <v>14</v>
      </c>
      <c r="C16" s="1254">
        <f>V3</f>
        <v>1</v>
      </c>
    </row>
    <row r="17" spans="1:3" x14ac:dyDescent="0.2">
      <c r="A17" s="1253" t="s">
        <v>1356</v>
      </c>
      <c r="B17" s="1254">
        <f>W2</f>
        <v>6</v>
      </c>
      <c r="C17" s="1254">
        <f>W3</f>
        <v>12</v>
      </c>
    </row>
    <row r="18" spans="1:3" x14ac:dyDescent="0.2">
      <c r="A18" s="1253" t="s">
        <v>1357</v>
      </c>
      <c r="B18" s="1254">
        <f>X2</f>
        <v>657</v>
      </c>
      <c r="C18" s="1254">
        <f>X3</f>
        <v>2229</v>
      </c>
    </row>
    <row r="19" spans="1:3" x14ac:dyDescent="0.2">
      <c r="A19" s="1253" t="s">
        <v>1358</v>
      </c>
      <c r="B19" s="1254">
        <f>Y2</f>
        <v>299</v>
      </c>
      <c r="C19" s="1254">
        <f>Y3</f>
        <v>11361</v>
      </c>
    </row>
    <row r="20" spans="1:3" x14ac:dyDescent="0.2">
      <c r="A20" s="1253" t="s">
        <v>1359</v>
      </c>
      <c r="B20" s="1254">
        <f>Z2</f>
        <v>8727</v>
      </c>
      <c r="C20" s="1254">
        <f>Z3</f>
        <v>36076</v>
      </c>
    </row>
    <row r="21" spans="1:3" x14ac:dyDescent="0.2">
      <c r="A21" s="1253" t="s">
        <v>1360</v>
      </c>
      <c r="B21" s="1254">
        <f>AA2</f>
        <v>13421</v>
      </c>
      <c r="C21" s="1254">
        <f>AA3</f>
        <v>45438</v>
      </c>
    </row>
    <row r="22" spans="1:3" x14ac:dyDescent="0.2">
      <c r="A22" s="1253" t="s">
        <v>1361</v>
      </c>
      <c r="B22" s="1254">
        <f>AB2</f>
        <v>0</v>
      </c>
      <c r="C22" s="1254">
        <f>AB3</f>
        <v>0</v>
      </c>
    </row>
    <row r="23" spans="1:3" x14ac:dyDescent="0.2">
      <c r="A23" s="1253" t="s">
        <v>1362</v>
      </c>
      <c r="B23" s="1254">
        <f>AC2</f>
        <v>0</v>
      </c>
      <c r="C23" s="1254">
        <f>AC3</f>
        <v>0</v>
      </c>
    </row>
    <row r="24" spans="1:3" x14ac:dyDescent="0.2">
      <c r="A24" s="1253" t="s">
        <v>1408</v>
      </c>
      <c r="B24" s="1254">
        <f>AD2</f>
        <v>0</v>
      </c>
      <c r="C24" s="1254">
        <f>AD3</f>
        <v>0</v>
      </c>
    </row>
    <row r="25" spans="1:3" x14ac:dyDescent="0.2">
      <c r="A25" s="1253" t="s">
        <v>1363</v>
      </c>
      <c r="B25" s="1254">
        <f>AE2</f>
        <v>1172</v>
      </c>
      <c r="C25" s="1254">
        <f>AE3</f>
        <v>3979</v>
      </c>
    </row>
    <row r="26" spans="1:3" x14ac:dyDescent="0.2">
      <c r="A26" s="1253" t="s">
        <v>1364</v>
      </c>
      <c r="B26" s="1254">
        <f>AF2</f>
        <v>3781</v>
      </c>
      <c r="C26" s="1254">
        <f>AF3</f>
        <v>12836</v>
      </c>
    </row>
    <row r="27" spans="1:3" x14ac:dyDescent="0.2">
      <c r="A27" s="1253" t="s">
        <v>1365</v>
      </c>
      <c r="B27" s="1254">
        <f>AG2</f>
        <v>34752</v>
      </c>
      <c r="C27" s="1254">
        <f>AG3</f>
        <v>120524</v>
      </c>
    </row>
    <row r="28" spans="1:3" x14ac:dyDescent="0.2">
      <c r="A28" s="1253" t="s">
        <v>1569</v>
      </c>
      <c r="B28" s="1254">
        <f>AH2</f>
        <v>80121</v>
      </c>
      <c r="C28" s="1254">
        <f>AH3</f>
        <v>293952</v>
      </c>
    </row>
    <row r="29" spans="1:3" x14ac:dyDescent="0.2">
      <c r="A29" s="1253" t="s">
        <v>1366</v>
      </c>
      <c r="B29" s="1254">
        <f>AI2</f>
        <v>28124</v>
      </c>
      <c r="C29" s="1254">
        <f>AI3</f>
        <v>0</v>
      </c>
    </row>
    <row r="30" spans="1:3" x14ac:dyDescent="0.2">
      <c r="A30" s="1253" t="s">
        <v>1661</v>
      </c>
      <c r="B30" s="1254">
        <f>AL2</f>
        <v>0</v>
      </c>
      <c r="C30" s="1254">
        <f>AL3</f>
        <v>0</v>
      </c>
    </row>
    <row r="31" spans="1:3" x14ac:dyDescent="0.2">
      <c r="A31" s="1253" t="s">
        <v>1735</v>
      </c>
      <c r="B31" s="1254">
        <f>AM2</f>
        <v>16005</v>
      </c>
      <c r="C31" s="1254">
        <f>AM3</f>
        <v>21319</v>
      </c>
    </row>
    <row r="32" spans="1:3" x14ac:dyDescent="0.2">
      <c r="A32" s="1253" t="s">
        <v>1436</v>
      </c>
      <c r="B32" s="1254">
        <f>AN2</f>
        <v>241</v>
      </c>
      <c r="C32" s="1254">
        <f>AN3</f>
        <v>1073</v>
      </c>
    </row>
    <row r="33" spans="1:3" x14ac:dyDescent="0.2">
      <c r="A33" s="1253" t="s">
        <v>1458</v>
      </c>
      <c r="B33" s="1254">
        <f>AO2</f>
        <v>416</v>
      </c>
      <c r="C33" s="1254">
        <f>AO3</f>
        <v>1485</v>
      </c>
    </row>
    <row r="34" spans="1:3" x14ac:dyDescent="0.2">
      <c r="A34" s="1253" t="s">
        <v>1542</v>
      </c>
      <c r="B34" s="1254">
        <f>AP2</f>
        <v>2269</v>
      </c>
      <c r="C34" s="1254">
        <f>AP3</f>
        <v>7701</v>
      </c>
    </row>
    <row r="35" spans="1:3" x14ac:dyDescent="0.2">
      <c r="A35" s="1253" t="s">
        <v>1567</v>
      </c>
      <c r="B35" s="1254">
        <f>AQ2</f>
        <v>406</v>
      </c>
      <c r="C35" s="1254">
        <f>AQ3</f>
        <v>17640</v>
      </c>
    </row>
    <row r="36" spans="1:3" x14ac:dyDescent="0.2">
      <c r="A36" s="1253" t="s">
        <v>1627</v>
      </c>
      <c r="B36" s="1254">
        <f>AR2</f>
        <v>213</v>
      </c>
      <c r="C36" s="1254">
        <f>AR3</f>
        <v>729</v>
      </c>
    </row>
    <row r="37" spans="1:3" x14ac:dyDescent="0.2">
      <c r="A37" s="1253" t="s">
        <v>1733</v>
      </c>
      <c r="B37" s="1254">
        <f>AS2</f>
        <v>18875</v>
      </c>
      <c r="C37" s="1254">
        <f>AS3</f>
        <v>72131</v>
      </c>
    </row>
    <row r="38" spans="1:3" x14ac:dyDescent="0.2">
      <c r="A38" s="1253" t="s">
        <v>1367</v>
      </c>
      <c r="B38" s="1254">
        <f>AT2</f>
        <v>3151</v>
      </c>
      <c r="C38" s="1254">
        <f>AT3</f>
        <v>0</v>
      </c>
    </row>
    <row r="39" spans="1:3" x14ac:dyDescent="0.2">
      <c r="A39" s="1253" t="s">
        <v>1368</v>
      </c>
      <c r="B39" s="1254">
        <f>AU2</f>
        <v>0</v>
      </c>
      <c r="C39" s="1254">
        <f>AU3</f>
        <v>0</v>
      </c>
    </row>
    <row r="40" spans="1:3" x14ac:dyDescent="0.2">
      <c r="A40" s="1253" t="s">
        <v>1369</v>
      </c>
      <c r="B40" s="1254">
        <f>AV2</f>
        <v>21995</v>
      </c>
      <c r="C40" s="1254">
        <f>AV3</f>
        <v>0</v>
      </c>
    </row>
    <row r="41" spans="1:3" x14ac:dyDescent="0.2">
      <c r="A41" s="1253" t="s">
        <v>1370</v>
      </c>
      <c r="B41" s="1254">
        <f>AW2</f>
        <v>25</v>
      </c>
      <c r="C41" s="1254">
        <f>AW3</f>
        <v>84</v>
      </c>
    </row>
    <row r="42" spans="1:3" x14ac:dyDescent="0.2">
      <c r="A42" s="1253" t="s">
        <v>1371</v>
      </c>
      <c r="B42" s="1254">
        <f>AX2</f>
        <v>0</v>
      </c>
      <c r="C42" s="1254">
        <f>AX3</f>
        <v>0</v>
      </c>
    </row>
    <row r="43" spans="1:3" x14ac:dyDescent="0.2">
      <c r="A43" s="1253" t="s">
        <v>1372</v>
      </c>
      <c r="B43" s="1254">
        <f>AY2</f>
        <v>11037</v>
      </c>
      <c r="C43" s="1254">
        <f>AY3</f>
        <v>45851</v>
      </c>
    </row>
    <row r="44" spans="1:3" x14ac:dyDescent="0.2">
      <c r="A44" s="1253" t="s">
        <v>1373</v>
      </c>
      <c r="B44" s="1254">
        <f>AZ2</f>
        <v>0</v>
      </c>
      <c r="C44" s="1254">
        <f>AZ3</f>
        <v>0</v>
      </c>
    </row>
    <row r="45" spans="1:3" x14ac:dyDescent="0.2">
      <c r="A45" s="1253" t="s">
        <v>1374</v>
      </c>
      <c r="B45" s="1254">
        <f>BA2</f>
        <v>84</v>
      </c>
      <c r="C45" s="1254">
        <f>BA3</f>
        <v>284</v>
      </c>
    </row>
    <row r="46" spans="1:3" x14ac:dyDescent="0.2">
      <c r="A46" s="1253" t="s">
        <v>1375</v>
      </c>
      <c r="B46" s="1254">
        <f>BB2</f>
        <v>1185</v>
      </c>
      <c r="C46" s="1254">
        <f>BB3</f>
        <v>4023</v>
      </c>
    </row>
    <row r="47" spans="1:3" x14ac:dyDescent="0.2">
      <c r="A47" s="1253" t="s">
        <v>1376</v>
      </c>
      <c r="B47" s="1254">
        <f>BC2</f>
        <v>75</v>
      </c>
      <c r="C47" s="1254">
        <f>BC3</f>
        <v>253</v>
      </c>
    </row>
    <row r="48" spans="1:3" x14ac:dyDescent="0.2">
      <c r="A48" s="1253" t="s">
        <v>1377</v>
      </c>
      <c r="B48" s="1254">
        <f>BD2</f>
        <v>123</v>
      </c>
      <c r="C48" s="1254">
        <f>BD3</f>
        <v>417</v>
      </c>
    </row>
    <row r="49" spans="1:3" x14ac:dyDescent="0.2">
      <c r="A49" s="1253" t="s">
        <v>1412</v>
      </c>
      <c r="B49" s="1254">
        <f>BE2</f>
        <v>309</v>
      </c>
      <c r="C49" s="1254">
        <f>BE3</f>
        <v>1048</v>
      </c>
    </row>
    <row r="50" spans="1:3" x14ac:dyDescent="0.2">
      <c r="A50" s="1253" t="s">
        <v>1378</v>
      </c>
      <c r="B50" s="1254">
        <f>BF2</f>
        <v>0</v>
      </c>
      <c r="C50" s="1254">
        <f>BF3</f>
        <v>0</v>
      </c>
    </row>
    <row r="51" spans="1:3" x14ac:dyDescent="0.2">
      <c r="A51" s="1253" t="s">
        <v>1379</v>
      </c>
      <c r="B51" s="1254">
        <f>BG2</f>
        <v>293</v>
      </c>
      <c r="C51" s="1254">
        <f>BG3</f>
        <v>0</v>
      </c>
    </row>
    <row r="52" spans="1:3" x14ac:dyDescent="0.2">
      <c r="A52" s="1253" t="s">
        <v>1544</v>
      </c>
      <c r="B52" s="1254">
        <f>BH2</f>
        <v>326</v>
      </c>
      <c r="C52" s="1254">
        <f>BH3</f>
        <v>592</v>
      </c>
    </row>
    <row r="53" spans="1:3" x14ac:dyDescent="0.2">
      <c r="A53" s="1253" t="s">
        <v>1380</v>
      </c>
      <c r="B53" s="1254">
        <f>BI2</f>
        <v>0</v>
      </c>
      <c r="C53" s="1254">
        <f>BI3</f>
        <v>0</v>
      </c>
    </row>
    <row r="54" spans="1:3" x14ac:dyDescent="0.2">
      <c r="A54" s="1253" t="s">
        <v>1381</v>
      </c>
      <c r="B54" s="1254">
        <f>BJ2</f>
        <v>10981</v>
      </c>
      <c r="C54" s="1254">
        <f>BJ3</f>
        <v>0</v>
      </c>
    </row>
    <row r="55" spans="1:3" x14ac:dyDescent="0.2">
      <c r="A55" s="1253" t="s">
        <v>1382</v>
      </c>
      <c r="B55" s="1254">
        <f>BK2</f>
        <v>29</v>
      </c>
      <c r="C55" s="1254">
        <f>BK3</f>
        <v>0</v>
      </c>
    </row>
    <row r="56" spans="1:3" x14ac:dyDescent="0.2">
      <c r="A56" s="1253" t="s">
        <v>1142</v>
      </c>
      <c r="B56" s="1254">
        <f>BL2</f>
        <v>3313</v>
      </c>
      <c r="C56" s="1254">
        <f>BL3</f>
        <v>2136</v>
      </c>
    </row>
    <row r="57" spans="1:3" x14ac:dyDescent="0.2">
      <c r="A57" s="1253" t="s">
        <v>1383</v>
      </c>
      <c r="B57" s="1254">
        <f>BM2</f>
        <v>24125</v>
      </c>
      <c r="C57" s="1254">
        <f>BM3</f>
        <v>7</v>
      </c>
    </row>
    <row r="58" spans="1:3" x14ac:dyDescent="0.2">
      <c r="A58" s="1253" t="s">
        <v>247</v>
      </c>
      <c r="B58" s="1254">
        <f>BN2</f>
        <v>290</v>
      </c>
      <c r="C58" s="1254">
        <f>BN3</f>
        <v>0</v>
      </c>
    </row>
    <row r="59" spans="1:3" x14ac:dyDescent="0.2">
      <c r="A59" s="1253" t="s">
        <v>1384</v>
      </c>
      <c r="B59" s="1254">
        <f>BO2</f>
        <v>1791</v>
      </c>
      <c r="C59" s="1254">
        <f>BO3</f>
        <v>700</v>
      </c>
    </row>
    <row r="60" spans="1:3" x14ac:dyDescent="0.2">
      <c r="A60" s="1253" t="s">
        <v>1385</v>
      </c>
      <c r="B60" s="1254">
        <f>BP2</f>
        <v>0</v>
      </c>
      <c r="C60" s="1254">
        <f>BP3</f>
        <v>0</v>
      </c>
    </row>
    <row r="61" spans="1:3" x14ac:dyDescent="0.2">
      <c r="A61" s="1253" t="s">
        <v>1386</v>
      </c>
      <c r="B61" s="1254">
        <f>BQ2</f>
        <v>0</v>
      </c>
      <c r="C61" s="1254">
        <f>BQ3</f>
        <v>0</v>
      </c>
    </row>
    <row r="62" spans="1:3" x14ac:dyDescent="0.2">
      <c r="A62" s="1253" t="s">
        <v>1387</v>
      </c>
      <c r="B62" s="1254">
        <f>BR2</f>
        <v>569</v>
      </c>
      <c r="C62" s="1254">
        <f>BR3</f>
        <v>3631</v>
      </c>
    </row>
    <row r="63" spans="1:3" x14ac:dyDescent="0.2">
      <c r="A63" s="1253" t="s">
        <v>1388</v>
      </c>
      <c r="B63" s="1254">
        <f>BS2</f>
        <v>144453</v>
      </c>
      <c r="C63" s="1254">
        <f>BS3</f>
        <v>0</v>
      </c>
    </row>
    <row r="64" spans="1:3" x14ac:dyDescent="0.2">
      <c r="A64" s="1253" t="s">
        <v>1389</v>
      </c>
      <c r="B64" s="1254">
        <f>BT2</f>
        <v>31825</v>
      </c>
      <c r="C64" s="1254">
        <f>BT3</f>
        <v>0</v>
      </c>
    </row>
    <row r="65" spans="1:4" x14ac:dyDescent="0.2">
      <c r="A65" s="1253" t="s">
        <v>1390</v>
      </c>
      <c r="B65" s="1254">
        <f>BU2</f>
        <v>478</v>
      </c>
      <c r="C65" s="1254">
        <f>BU3</f>
        <v>1623</v>
      </c>
    </row>
    <row r="66" spans="1:4" x14ac:dyDescent="0.2">
      <c r="A66" s="1253" t="s">
        <v>1391</v>
      </c>
      <c r="B66" s="1254">
        <f>BV2</f>
        <v>8029</v>
      </c>
      <c r="C66" s="1254">
        <f>BV3</f>
        <v>27074</v>
      </c>
    </row>
    <row r="67" spans="1:4" x14ac:dyDescent="0.2">
      <c r="A67" s="1253" t="s">
        <v>1392</v>
      </c>
      <c r="B67" s="1254">
        <f>BW2</f>
        <v>8074</v>
      </c>
      <c r="C67" s="1254">
        <f>BW3</f>
        <v>27457</v>
      </c>
    </row>
    <row r="68" spans="1:4" x14ac:dyDescent="0.2">
      <c r="A68" s="1253" t="s">
        <v>1393</v>
      </c>
      <c r="B68" s="1254">
        <f>BX2</f>
        <v>9444</v>
      </c>
      <c r="C68" s="1254">
        <f>BX3</f>
        <v>32145</v>
      </c>
    </row>
    <row r="69" spans="1:4" x14ac:dyDescent="0.2">
      <c r="A69" s="1253" t="s">
        <v>1394</v>
      </c>
      <c r="B69" s="1254">
        <f>BY2</f>
        <v>2036</v>
      </c>
      <c r="C69" s="1254">
        <f>BY3</f>
        <v>7072</v>
      </c>
    </row>
    <row r="70" spans="1:4" x14ac:dyDescent="0.2">
      <c r="A70" s="1253" t="s">
        <v>1395</v>
      </c>
      <c r="B70" s="1254">
        <f>BZ2</f>
        <v>31167</v>
      </c>
      <c r="C70" s="1254">
        <f>BZ3</f>
        <v>104286</v>
      </c>
    </row>
    <row r="71" spans="1:4" x14ac:dyDescent="0.2">
      <c r="A71" s="1253" t="s">
        <v>1396</v>
      </c>
      <c r="B71" s="1254">
        <f>CA2</f>
        <v>218</v>
      </c>
      <c r="C71" s="1254">
        <f>CA3</f>
        <v>1713</v>
      </c>
    </row>
    <row r="72" spans="1:4" x14ac:dyDescent="0.2">
      <c r="A72" s="1253" t="s">
        <v>1397</v>
      </c>
      <c r="B72" s="1254">
        <f>SONPPF!C16+SONPPF!C30+SONPPF!C37+SONPPF!C44+SONPPF!C51</f>
        <v>166457</v>
      </c>
      <c r="C72" s="1254">
        <f>CG3</f>
        <v>359965</v>
      </c>
    </row>
    <row r="73" spans="1:4" x14ac:dyDescent="0.2">
      <c r="A73" s="1253" t="s">
        <v>1398</v>
      </c>
      <c r="B73" s="1254">
        <f>CH2</f>
        <v>3867</v>
      </c>
      <c r="C73" s="1254">
        <f>CH3</f>
        <v>4722</v>
      </c>
    </row>
    <row r="74" spans="1:4" x14ac:dyDescent="0.2">
      <c r="A74" s="1253" t="s">
        <v>1399</v>
      </c>
      <c r="B74" s="1254">
        <f>CI2</f>
        <v>2154</v>
      </c>
      <c r="C74" s="1254">
        <f>CI3</f>
        <v>7161</v>
      </c>
    </row>
    <row r="75" spans="1:4" x14ac:dyDescent="0.2">
      <c r="A75" s="1253" t="s">
        <v>1400</v>
      </c>
      <c r="B75" s="1254">
        <f>CJ2</f>
        <v>92</v>
      </c>
      <c r="C75" s="1254">
        <f>CJ3</f>
        <v>313</v>
      </c>
    </row>
    <row r="76" spans="1:4" x14ac:dyDescent="0.2">
      <c r="A76" s="1253" t="s">
        <v>1401</v>
      </c>
      <c r="B76" s="1254">
        <f>CK2</f>
        <v>6216</v>
      </c>
      <c r="C76" s="1254">
        <f>CK3</f>
        <v>22216</v>
      </c>
    </row>
    <row r="77" spans="1:4" x14ac:dyDescent="0.2">
      <c r="B77" s="1255">
        <f>SUM(B2:B76)</f>
        <v>953326</v>
      </c>
      <c r="C77" s="1255">
        <f>SUM(C2:C76)</f>
        <v>1982898</v>
      </c>
      <c r="D77" s="1256"/>
    </row>
    <row r="79" spans="1:4" x14ac:dyDescent="0.2">
      <c r="A79" s="1253" t="s">
        <v>1402</v>
      </c>
      <c r="B79" s="1254">
        <f>SONPCustodial!F13</f>
        <v>319</v>
      </c>
      <c r="C79" s="1254">
        <f>SONPCustodial!F15</f>
        <v>1083</v>
      </c>
    </row>
    <row r="80" spans="1:4" x14ac:dyDescent="0.2">
      <c r="A80" s="1253" t="s">
        <v>1546</v>
      </c>
      <c r="B80" s="1254">
        <f>SONPCustodial!H13</f>
        <v>0</v>
      </c>
      <c r="C80" s="1254">
        <f>SONPCustodial!H15</f>
        <v>0</v>
      </c>
    </row>
    <row r="81" spans="1:4" x14ac:dyDescent="0.2">
      <c r="A81" s="1253" t="s">
        <v>1403</v>
      </c>
      <c r="B81" s="1254">
        <f>SONPCustodial!J13</f>
        <v>1983</v>
      </c>
      <c r="C81" s="1254">
        <f>SONPCustodial!J15</f>
        <v>0</v>
      </c>
    </row>
    <row r="82" spans="1:4" x14ac:dyDescent="0.2">
      <c r="A82" s="1253" t="s">
        <v>1404</v>
      </c>
      <c r="B82" s="1254">
        <f>SONPCustodial!L13</f>
        <v>339</v>
      </c>
      <c r="C82" s="1254">
        <f>SONPCustodial!L15</f>
        <v>0</v>
      </c>
    </row>
    <row r="83" spans="1:4" x14ac:dyDescent="0.2">
      <c r="A83" s="1253" t="s">
        <v>1405</v>
      </c>
      <c r="B83" s="1254">
        <f>SONPCustodial!P13</f>
        <v>261</v>
      </c>
      <c r="C83" s="1254">
        <f>SONPCustodial!P15</f>
        <v>887</v>
      </c>
    </row>
    <row r="84" spans="1:4" x14ac:dyDescent="0.2">
      <c r="A84" s="1253" t="s">
        <v>1545</v>
      </c>
      <c r="B84" s="1254">
        <f>SONPCustodial!T13</f>
        <v>10</v>
      </c>
      <c r="C84" s="1254">
        <f>SONPCustodial!T15</f>
        <v>34</v>
      </c>
    </row>
    <row r="85" spans="1:4" x14ac:dyDescent="0.2">
      <c r="A85" s="1253" t="s">
        <v>1406</v>
      </c>
      <c r="B85" s="1254">
        <f>SONPCustodial!V13</f>
        <v>318</v>
      </c>
    </row>
    <row r="86" spans="1:4" x14ac:dyDescent="0.2">
      <c r="A86" s="1253" t="s">
        <v>1407</v>
      </c>
      <c r="B86" s="1254">
        <f>SONPCustodial!X13</f>
        <v>80</v>
      </c>
      <c r="C86" s="1254">
        <f>SONPCustodial!X15</f>
        <v>272</v>
      </c>
    </row>
    <row r="87" spans="1:4" x14ac:dyDescent="0.2">
      <c r="A87" s="1253" t="s">
        <v>1469</v>
      </c>
      <c r="B87" s="1254">
        <f>'SONPFF PensionHealth'!J13</f>
        <v>1465</v>
      </c>
      <c r="C87" s="1254">
        <f>'SONPFF PensionHealth'!J17</f>
        <v>4979</v>
      </c>
    </row>
    <row r="88" spans="1:4" x14ac:dyDescent="0.2">
      <c r="B88" s="1255">
        <f>SUM(B79:B87)</f>
        <v>4775</v>
      </c>
      <c r="C88" s="1255">
        <f>SUM(C79:C87)</f>
        <v>7255</v>
      </c>
      <c r="D88" s="1257"/>
    </row>
    <row r="92" spans="1:4" x14ac:dyDescent="0.2">
      <c r="A92" s="1438" t="s">
        <v>1630</v>
      </c>
      <c r="B92" s="384">
        <f>+B77-SONP!G10-SONP!G24</f>
        <v>0</v>
      </c>
      <c r="C92" s="384">
        <f>+C77-SONP!G11-SONP!G25-SONP!C42</f>
        <v>0</v>
      </c>
    </row>
    <row r="94" spans="1:4" x14ac:dyDescent="0.2">
      <c r="A94" s="1438" t="s">
        <v>1631</v>
      </c>
      <c r="B94" s="384">
        <f>SONPCustodial!Z13-'Cash&amp; Invest'!B88+'SONPFF PensionHealth'!J13</f>
        <v>0</v>
      </c>
      <c r="C94" s="384">
        <f>SONPCustodial!Z15-'Cash&amp; Invest'!C88+C87</f>
        <v>0</v>
      </c>
    </row>
  </sheetData>
  <phoneticPr fontId="163"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theme="6" tint="0.39997558519241921"/>
    <pageSetUpPr fitToPage="1"/>
  </sheetPr>
  <dimension ref="A1:P821"/>
  <sheetViews>
    <sheetView view="pageBreakPreview" zoomScaleNormal="100" workbookViewId="0">
      <selection activeCell="C78" sqref="C78"/>
    </sheetView>
  </sheetViews>
  <sheetFormatPr defaultColWidth="9.140625" defaultRowHeight="9.9499999999999993" customHeight="1" x14ac:dyDescent="0.2"/>
  <cols>
    <col min="1" max="1" width="31.5703125" style="314" customWidth="1"/>
    <col min="2" max="2" width="1.5703125" style="329" customWidth="1"/>
    <col min="3" max="3" width="12.5703125" style="314" customWidth="1"/>
    <col min="4" max="4" width="1.5703125" style="329" customWidth="1"/>
    <col min="5" max="5" width="12.5703125" style="314" customWidth="1"/>
    <col min="6" max="6" width="1.5703125" style="329" customWidth="1"/>
    <col min="7" max="7" width="12.5703125" style="314" customWidth="1"/>
    <col min="8" max="8" width="1.5703125" style="314" customWidth="1"/>
    <col min="9" max="9" width="12.140625" style="314" customWidth="1"/>
    <col min="10" max="10" width="1.5703125" style="314" hidden="1" customWidth="1"/>
    <col min="11" max="11" width="12.140625" style="314" hidden="1" customWidth="1"/>
    <col min="12" max="12" width="1.5703125" style="329" customWidth="1"/>
    <col min="13" max="13" width="12.140625" style="314" customWidth="1"/>
    <col min="14" max="14" width="7.5703125" style="314" customWidth="1"/>
    <col min="15" max="16384" width="9.140625" style="314"/>
  </cols>
  <sheetData>
    <row r="1" spans="1:14" s="247" customFormat="1" ht="16.5" customHeight="1" thickBot="1" x14ac:dyDescent="0.25">
      <c r="A1" s="1582" t="s">
        <v>1033</v>
      </c>
      <c r="B1" s="1582"/>
      <c r="C1" s="1582"/>
      <c r="D1" s="1582"/>
      <c r="E1" s="1582"/>
      <c r="F1" s="1582"/>
      <c r="G1" s="1582"/>
      <c r="H1" s="1582"/>
      <c r="I1" s="1582"/>
      <c r="J1" s="1582"/>
      <c r="K1" s="1582"/>
      <c r="L1" s="1582"/>
      <c r="M1" s="1582"/>
      <c r="N1" s="456"/>
    </row>
    <row r="2" spans="1:14" s="247" customFormat="1" ht="15" customHeight="1" x14ac:dyDescent="0.2">
      <c r="A2" s="700" t="s">
        <v>32</v>
      </c>
      <c r="B2" s="310"/>
      <c r="C2" s="310"/>
      <c r="D2" s="310"/>
      <c r="E2" s="310"/>
      <c r="F2" s="310"/>
      <c r="G2" s="310"/>
      <c r="H2" s="310"/>
      <c r="I2" s="310"/>
      <c r="J2" s="310"/>
      <c r="K2" s="310"/>
      <c r="L2" s="302"/>
      <c r="M2" s="302"/>
    </row>
    <row r="3" spans="1:14" s="247" customFormat="1" ht="15" customHeight="1" x14ac:dyDescent="0.2">
      <c r="A3" s="700" t="s">
        <v>65</v>
      </c>
      <c r="B3" s="310"/>
      <c r="C3" s="310"/>
      <c r="D3" s="310"/>
      <c r="E3" s="310"/>
      <c r="F3" s="310"/>
      <c r="G3" s="310"/>
      <c r="H3" s="310"/>
      <c r="I3" s="310"/>
      <c r="J3" s="310"/>
      <c r="K3" s="310"/>
      <c r="L3" s="302"/>
      <c r="M3" s="302"/>
    </row>
    <row r="4" spans="1:14" s="247" customFormat="1" ht="12.95" customHeight="1" x14ac:dyDescent="0.2">
      <c r="A4" s="1579" t="s">
        <v>1725</v>
      </c>
      <c r="B4" s="1579"/>
      <c r="C4" s="1579"/>
      <c r="D4" s="1579"/>
      <c r="E4" s="1579"/>
      <c r="F4" s="432"/>
      <c r="G4" s="432"/>
      <c r="H4" s="432"/>
      <c r="I4" s="432"/>
      <c r="J4" s="432"/>
      <c r="K4" s="432"/>
      <c r="L4" s="311"/>
      <c r="M4" s="311"/>
    </row>
    <row r="5" spans="1:14" s="247" customFormat="1" ht="12" customHeight="1" x14ac:dyDescent="0.2">
      <c r="A5" s="253" t="s">
        <v>972</v>
      </c>
      <c r="B5" s="433"/>
      <c r="C5" s="433"/>
      <c r="D5" s="433"/>
      <c r="E5" s="433"/>
      <c r="F5" s="433"/>
      <c r="G5" s="433"/>
      <c r="H5" s="433"/>
      <c r="I5" s="311"/>
    </row>
    <row r="6" spans="1:14" s="247" customFormat="1" ht="12" hidden="1" customHeight="1" x14ac:dyDescent="0.2">
      <c r="B6" s="433"/>
      <c r="C6" s="433"/>
      <c r="D6" s="433"/>
      <c r="E6" s="433"/>
      <c r="F6" s="433"/>
      <c r="G6" s="433"/>
      <c r="H6" s="433"/>
      <c r="I6" s="311"/>
    </row>
    <row r="7" spans="1:14" s="508" customFormat="1" ht="12.6" customHeight="1" x14ac:dyDescent="0.2">
      <c r="A7" s="507"/>
      <c r="B7" s="507"/>
      <c r="C7" s="310"/>
      <c r="D7" s="507"/>
      <c r="E7" s="507"/>
      <c r="F7" s="507"/>
      <c r="G7" s="507"/>
      <c r="H7" s="507"/>
      <c r="I7" s="507"/>
      <c r="J7" s="948"/>
      <c r="K7" s="948"/>
    </row>
    <row r="8" spans="1:14" s="212" customFormat="1" ht="12.6" customHeight="1" x14ac:dyDescent="0.2">
      <c r="A8" s="458"/>
      <c r="B8" s="458"/>
      <c r="C8" s="310" t="s">
        <v>235</v>
      </c>
      <c r="D8" s="458"/>
      <c r="E8" s="310" t="s">
        <v>238</v>
      </c>
      <c r="F8" s="310"/>
      <c r="G8" s="310"/>
      <c r="H8" s="458"/>
      <c r="I8" s="458"/>
      <c r="J8" s="458"/>
      <c r="K8" s="310" t="s">
        <v>720</v>
      </c>
      <c r="M8" s="310" t="s">
        <v>671</v>
      </c>
    </row>
    <row r="9" spans="1:14" s="336" customFormat="1" ht="12.6" customHeight="1" x14ac:dyDescent="0.2">
      <c r="B9" s="310"/>
      <c r="C9" s="310" t="s">
        <v>66</v>
      </c>
      <c r="D9" s="310"/>
      <c r="E9" s="445" t="s">
        <v>439</v>
      </c>
      <c r="F9" s="445"/>
      <c r="G9" s="443" t="s">
        <v>233</v>
      </c>
      <c r="I9" s="310" t="s">
        <v>859</v>
      </c>
      <c r="J9" s="310"/>
      <c r="K9" s="310" t="s">
        <v>237</v>
      </c>
      <c r="L9" s="310"/>
      <c r="M9" s="310" t="s">
        <v>1064</v>
      </c>
    </row>
    <row r="10" spans="1:14" s="336" customFormat="1" ht="12.6" customHeight="1" x14ac:dyDescent="0.2">
      <c r="B10" s="310"/>
      <c r="C10" s="945" t="s">
        <v>67</v>
      </c>
      <c r="D10" s="310"/>
      <c r="E10" s="945" t="s">
        <v>236</v>
      </c>
      <c r="F10" s="445"/>
      <c r="G10" s="446" t="s">
        <v>234</v>
      </c>
      <c r="I10" s="574" t="s">
        <v>236</v>
      </c>
      <c r="J10" s="360"/>
      <c r="K10" s="574" t="s">
        <v>236</v>
      </c>
      <c r="L10" s="360"/>
      <c r="M10" s="574" t="s">
        <v>1004</v>
      </c>
    </row>
    <row r="11" spans="1:14" s="253" customFormat="1" ht="9.9499999999999993" customHeight="1" x14ac:dyDescent="0.2">
      <c r="A11" s="417" t="s">
        <v>868</v>
      </c>
      <c r="H11" s="362"/>
      <c r="J11" s="361"/>
      <c r="L11" s="361"/>
    </row>
    <row r="12" spans="1:14" s="253" customFormat="1" ht="9.9499999999999993" hidden="1" customHeight="1" x14ac:dyDescent="0.2">
      <c r="A12" s="428" t="s">
        <v>869</v>
      </c>
    </row>
    <row r="13" spans="1:14" s="253" customFormat="1" ht="9.9499999999999993" hidden="1" customHeight="1" x14ac:dyDescent="0.2">
      <c r="A13" s="426" t="s">
        <v>829</v>
      </c>
      <c r="B13" s="254"/>
      <c r="C13" s="346">
        <f>SORECGFws!F5</f>
        <v>0</v>
      </c>
      <c r="D13" s="346"/>
      <c r="E13" s="346">
        <f>+SORECGFws!G5</f>
        <v>0</v>
      </c>
      <c r="F13" s="346"/>
      <c r="G13" s="346">
        <f>+SORECGFws!H5</f>
        <v>0</v>
      </c>
      <c r="H13" s="459"/>
      <c r="I13" s="346"/>
      <c r="J13" s="513"/>
      <c r="K13" s="346">
        <f>+SORECGFws!J5</f>
        <v>0</v>
      </c>
      <c r="L13" s="513"/>
      <c r="M13" s="454">
        <f t="shared" ref="M13:M26" si="0">SUM(B13:K13)</f>
        <v>0</v>
      </c>
      <c r="N13" s="253">
        <v>0</v>
      </c>
    </row>
    <row r="14" spans="1:14" s="253" customFormat="1" ht="9.9499999999999993" hidden="1" customHeight="1" x14ac:dyDescent="0.2">
      <c r="A14" s="426" t="s">
        <v>830</v>
      </c>
      <c r="B14" s="273"/>
      <c r="C14" s="273">
        <f>SORECGFws!F6</f>
        <v>0</v>
      </c>
      <c r="D14" s="273"/>
      <c r="E14" s="273">
        <f>+SORECGFws!G6</f>
        <v>0</v>
      </c>
      <c r="F14" s="273"/>
      <c r="G14" s="273">
        <f>+SORECGFws!H6</f>
        <v>0</v>
      </c>
      <c r="H14" s="362"/>
      <c r="I14" s="273"/>
      <c r="J14" s="342"/>
      <c r="K14" s="273">
        <f>+SORECGFws!J6</f>
        <v>0</v>
      </c>
      <c r="L14" s="342"/>
      <c r="M14" s="273">
        <f t="shared" si="0"/>
        <v>0</v>
      </c>
    </row>
    <row r="15" spans="1:14" s="253" customFormat="1" ht="9.9499999999999993" hidden="1" customHeight="1" x14ac:dyDescent="0.2">
      <c r="A15" s="426" t="s">
        <v>831</v>
      </c>
      <c r="B15" s="273"/>
      <c r="C15" s="273">
        <f>SORECGFws!F7</f>
        <v>0</v>
      </c>
      <c r="D15" s="273"/>
      <c r="E15" s="273">
        <f>+SORECGFws!G7</f>
        <v>0</v>
      </c>
      <c r="F15" s="273"/>
      <c r="G15" s="273">
        <f>+SORECGFws!H7</f>
        <v>0</v>
      </c>
      <c r="H15" s="362"/>
      <c r="I15" s="273"/>
      <c r="J15" s="342"/>
      <c r="K15" s="273">
        <f>+SORECGFws!J7</f>
        <v>0</v>
      </c>
      <c r="L15" s="342"/>
      <c r="M15" s="273">
        <f t="shared" si="0"/>
        <v>0</v>
      </c>
    </row>
    <row r="16" spans="1:14" s="253" customFormat="1" ht="9.9499999999999993" hidden="1" customHeight="1" x14ac:dyDescent="0.2">
      <c r="A16" s="426" t="s">
        <v>827</v>
      </c>
      <c r="B16" s="273"/>
      <c r="C16" s="273">
        <f>SORECGFws!F8</f>
        <v>0</v>
      </c>
      <c r="D16" s="273"/>
      <c r="E16" s="273">
        <f>+SORECGFws!G8</f>
        <v>0</v>
      </c>
      <c r="F16" s="273"/>
      <c r="G16" s="273">
        <f>+SORECGFws!H8</f>
        <v>0</v>
      </c>
      <c r="H16" s="362"/>
      <c r="I16" s="273"/>
      <c r="J16" s="342"/>
      <c r="K16" s="273">
        <f>+SORECGFws!J8</f>
        <v>0</v>
      </c>
      <c r="L16" s="342"/>
      <c r="M16" s="273">
        <f t="shared" si="0"/>
        <v>0</v>
      </c>
    </row>
    <row r="17" spans="1:16" s="253" customFormat="1" ht="9.9499999999999993" hidden="1" customHeight="1" x14ac:dyDescent="0.2">
      <c r="A17" s="426" t="s">
        <v>832</v>
      </c>
      <c r="B17" s="273"/>
      <c r="C17" s="273">
        <f>SORECGFws!F9</f>
        <v>0</v>
      </c>
      <c r="D17" s="273"/>
      <c r="E17" s="273">
        <f>+SORECGFws!G9</f>
        <v>0</v>
      </c>
      <c r="F17" s="273"/>
      <c r="G17" s="273">
        <f>+SORECGFws!H9</f>
        <v>0</v>
      </c>
      <c r="H17" s="362"/>
      <c r="I17" s="273"/>
      <c r="J17" s="342"/>
      <c r="K17" s="273">
        <f>+SORECGFws!J9</f>
        <v>0</v>
      </c>
      <c r="L17" s="342"/>
      <c r="M17" s="273">
        <f t="shared" si="0"/>
        <v>0</v>
      </c>
    </row>
    <row r="18" spans="1:16" s="253" customFormat="1" ht="9.9499999999999993" hidden="1" customHeight="1" x14ac:dyDescent="0.2">
      <c r="A18" s="426" t="s">
        <v>944</v>
      </c>
      <c r="B18" s="273"/>
      <c r="C18" s="273">
        <f>SORECGFws!F10</f>
        <v>0</v>
      </c>
      <c r="D18" s="273"/>
      <c r="E18" s="273">
        <f>+SORECGFws!G10</f>
        <v>0</v>
      </c>
      <c r="F18" s="273"/>
      <c r="G18" s="273">
        <f>+SORECGFws!H10</f>
        <v>0</v>
      </c>
      <c r="H18" s="362"/>
      <c r="I18" s="273"/>
      <c r="J18" s="342"/>
      <c r="K18" s="273">
        <f>+SORECGFws!J10</f>
        <v>0</v>
      </c>
      <c r="L18" s="342"/>
      <c r="M18" s="273">
        <f t="shared" si="0"/>
        <v>0</v>
      </c>
    </row>
    <row r="19" spans="1:16" s="253" customFormat="1" ht="9.9499999999999993" hidden="1" customHeight="1" x14ac:dyDescent="0.2">
      <c r="A19" s="425" t="s">
        <v>945</v>
      </c>
      <c r="B19" s="273"/>
      <c r="C19" s="273">
        <f>SORECGFws!F11</f>
        <v>0</v>
      </c>
      <c r="D19" s="273"/>
      <c r="E19" s="273">
        <f>+SORECGFws!G11</f>
        <v>0</v>
      </c>
      <c r="F19" s="273"/>
      <c r="G19" s="273">
        <f>+SORECGFws!H11</f>
        <v>0</v>
      </c>
      <c r="H19" s="362"/>
      <c r="I19" s="273"/>
      <c r="J19" s="342"/>
      <c r="K19" s="273">
        <f>+SORECGFws!J11</f>
        <v>0</v>
      </c>
      <c r="L19" s="342"/>
      <c r="M19" s="273">
        <f t="shared" si="0"/>
        <v>0</v>
      </c>
    </row>
    <row r="20" spans="1:16" s="253" customFormat="1" ht="9.9499999999999993" customHeight="1" x14ac:dyDescent="0.2">
      <c r="A20" s="425" t="s">
        <v>946</v>
      </c>
      <c r="B20" s="339"/>
      <c r="C20" s="339"/>
      <c r="D20" s="339"/>
      <c r="E20" s="339">
        <f>+SORECGFws!G12</f>
        <v>13655</v>
      </c>
      <c r="F20" s="339"/>
      <c r="G20" s="339">
        <f>+SORECGFws!H12</f>
        <v>1071</v>
      </c>
      <c r="H20" s="339"/>
      <c r="I20" s="339">
        <f>+SORECGFws!I12</f>
        <v>7498</v>
      </c>
      <c r="J20" s="339"/>
      <c r="K20" s="339">
        <f>+SORECGFws!J12</f>
        <v>0</v>
      </c>
      <c r="L20" s="339"/>
      <c r="M20" s="339">
        <f t="shared" si="0"/>
        <v>22224</v>
      </c>
    </row>
    <row r="21" spans="1:16" s="253" customFormat="1" ht="9.9499999999999993" hidden="1" customHeight="1" x14ac:dyDescent="0.2">
      <c r="A21" s="425" t="s">
        <v>947</v>
      </c>
      <c r="B21" s="273"/>
      <c r="C21" s="273"/>
      <c r="D21" s="273"/>
      <c r="E21" s="273">
        <f>+SORECGFws!G13</f>
        <v>0</v>
      </c>
      <c r="F21" s="273"/>
      <c r="G21" s="273">
        <f>+SORECGFws!H13</f>
        <v>0</v>
      </c>
      <c r="H21" s="362"/>
      <c r="I21" s="273">
        <f>+SORECGFws!I13</f>
        <v>0</v>
      </c>
      <c r="J21" s="342"/>
      <c r="K21" s="273">
        <f>+SORECGFws!J13</f>
        <v>0</v>
      </c>
      <c r="L21" s="342"/>
      <c r="M21" s="273">
        <f t="shared" si="0"/>
        <v>0</v>
      </c>
    </row>
    <row r="22" spans="1:16" s="253" customFormat="1" ht="9.9499999999999993" customHeight="1" x14ac:dyDescent="0.2">
      <c r="A22" s="425" t="s">
        <v>948</v>
      </c>
      <c r="B22" s="273"/>
      <c r="C22" s="273"/>
      <c r="D22" s="273"/>
      <c r="E22" s="273">
        <f>+SORECGFws!G14</f>
        <v>279</v>
      </c>
      <c r="F22" s="273"/>
      <c r="G22" s="273">
        <f>+SORECGFws!H14</f>
        <v>0</v>
      </c>
      <c r="H22" s="362"/>
      <c r="I22" s="273">
        <f>+SORECGFws!I14</f>
        <v>0</v>
      </c>
      <c r="J22" s="342"/>
      <c r="K22" s="273">
        <f>+SORECGFws!J14</f>
        <v>0</v>
      </c>
      <c r="L22" s="342"/>
      <c r="M22" s="273">
        <f t="shared" si="0"/>
        <v>279</v>
      </c>
    </row>
    <row r="23" spans="1:16" s="253" customFormat="1" ht="9.9499999999999993" hidden="1" customHeight="1" x14ac:dyDescent="0.2">
      <c r="A23" s="425" t="s">
        <v>16</v>
      </c>
      <c r="B23" s="273"/>
      <c r="C23" s="273"/>
      <c r="D23" s="273"/>
      <c r="F23" s="273"/>
      <c r="G23" s="273">
        <f>+SORECGFws!H15</f>
        <v>0</v>
      </c>
      <c r="H23" s="362"/>
      <c r="I23" s="273">
        <f>+SORECGFws!I15</f>
        <v>0</v>
      </c>
      <c r="J23" s="342"/>
      <c r="K23" s="273">
        <f>+SORECGFws!J15</f>
        <v>0</v>
      </c>
      <c r="L23" s="342"/>
      <c r="M23" s="273">
        <f t="shared" si="0"/>
        <v>0</v>
      </c>
    </row>
    <row r="24" spans="1:16" s="253" customFormat="1" ht="9.9499999999999993" customHeight="1" x14ac:dyDescent="0.2">
      <c r="A24" s="425" t="s">
        <v>775</v>
      </c>
      <c r="B24" s="273"/>
      <c r="C24" s="273"/>
      <c r="D24" s="273"/>
      <c r="E24" s="273">
        <f>+SORECGFws!G16</f>
        <v>1336</v>
      </c>
      <c r="F24" s="273"/>
      <c r="G24" s="273">
        <f>+SORECGFws!H16</f>
        <v>0</v>
      </c>
      <c r="H24" s="362"/>
      <c r="I24" s="273">
        <f>+SORECGFws!I16</f>
        <v>255</v>
      </c>
      <c r="J24" s="342"/>
      <c r="K24" s="273">
        <f>+SORECGFws!J16</f>
        <v>0</v>
      </c>
      <c r="L24" s="342"/>
      <c r="M24" s="273">
        <f t="shared" si="0"/>
        <v>1591</v>
      </c>
    </row>
    <row r="25" spans="1:16" s="253" customFormat="1" ht="9.9499999999999993" customHeight="1" x14ac:dyDescent="0.2">
      <c r="A25" s="349" t="s">
        <v>1664</v>
      </c>
      <c r="B25" s="273"/>
      <c r="C25" s="273"/>
      <c r="D25" s="273"/>
      <c r="E25" s="273">
        <f>+SORECGFws!G17</f>
        <v>109</v>
      </c>
      <c r="F25" s="273"/>
      <c r="G25" s="273">
        <f>+SORECGFws!H17</f>
        <v>283</v>
      </c>
      <c r="H25" s="362"/>
      <c r="I25" s="273">
        <f>+SORECGFws!I17</f>
        <v>544</v>
      </c>
      <c r="J25" s="342"/>
      <c r="K25" s="273">
        <f>+SORECGFws!J17</f>
        <v>0</v>
      </c>
      <c r="L25" s="342"/>
      <c r="M25" s="273">
        <f t="shared" si="0"/>
        <v>936</v>
      </c>
    </row>
    <row r="26" spans="1:16" s="253" customFormat="1" ht="9.9499999999999993" customHeight="1" x14ac:dyDescent="0.2">
      <c r="A26" s="425" t="s">
        <v>766</v>
      </c>
      <c r="B26" s="273"/>
      <c r="C26" s="273"/>
      <c r="D26" s="273"/>
      <c r="E26" s="273">
        <f>+SORECGFws!G18</f>
        <v>0</v>
      </c>
      <c r="F26" s="273"/>
      <c r="G26" s="273">
        <f>+SORECGFws!H18</f>
        <v>0</v>
      </c>
      <c r="H26" s="362"/>
      <c r="I26" s="273">
        <f>+SORECGFws!I18</f>
        <v>894</v>
      </c>
      <c r="J26" s="342"/>
      <c r="K26" s="273">
        <f>+SORECGFws!J18</f>
        <v>0</v>
      </c>
      <c r="L26" s="342"/>
      <c r="M26" s="273">
        <f t="shared" si="0"/>
        <v>894</v>
      </c>
    </row>
    <row r="27" spans="1:16" s="253" customFormat="1" ht="5.0999999999999996" customHeight="1" x14ac:dyDescent="0.2">
      <c r="A27" s="450"/>
      <c r="B27" s="254"/>
      <c r="C27" s="340"/>
      <c r="D27" s="254"/>
      <c r="E27" s="340"/>
      <c r="F27" s="273"/>
      <c r="G27" s="340"/>
      <c r="I27" s="340"/>
      <c r="J27" s="301"/>
      <c r="K27" s="340"/>
      <c r="L27" s="301"/>
      <c r="M27" s="340"/>
    </row>
    <row r="28" spans="1:16" s="253" customFormat="1" ht="11.1" customHeight="1" x14ac:dyDescent="0.2">
      <c r="A28" s="417" t="s">
        <v>950</v>
      </c>
      <c r="B28" s="254"/>
      <c r="C28" s="345">
        <f>SUM(C13:C26)</f>
        <v>0</v>
      </c>
      <c r="D28" s="254"/>
      <c r="E28" s="345">
        <f>SUM(E13:E26)</f>
        <v>15379</v>
      </c>
      <c r="F28" s="254"/>
      <c r="G28" s="345">
        <f>SUM(G13:G26)</f>
        <v>1354</v>
      </c>
      <c r="H28" s="255"/>
      <c r="I28" s="345">
        <f>SUM(I13:I26)</f>
        <v>9191</v>
      </c>
      <c r="J28" s="301"/>
      <c r="K28" s="345">
        <f>SUM(K13:K26)</f>
        <v>0</v>
      </c>
      <c r="L28" s="301"/>
      <c r="M28" s="345">
        <f>SUM(M13:M26)</f>
        <v>25924</v>
      </c>
    </row>
    <row r="29" spans="1:16" s="253" customFormat="1" ht="5.0999999999999996" customHeight="1" x14ac:dyDescent="0.2">
      <c r="A29" s="450"/>
      <c r="B29" s="254"/>
      <c r="C29" s="273"/>
      <c r="D29" s="254"/>
      <c r="E29" s="273"/>
      <c r="F29" s="273"/>
      <c r="G29" s="273"/>
      <c r="H29" s="362"/>
      <c r="I29" s="254"/>
      <c r="J29" s="301"/>
      <c r="K29" s="254"/>
      <c r="L29" s="301"/>
      <c r="M29" s="254"/>
    </row>
    <row r="30" spans="1:16" s="253" customFormat="1" ht="9.9499999999999993" customHeight="1" x14ac:dyDescent="0.2">
      <c r="A30" s="417" t="s">
        <v>590</v>
      </c>
      <c r="B30" s="254"/>
      <c r="C30" s="273"/>
      <c r="D30" s="254"/>
      <c r="E30" s="273"/>
      <c r="F30" s="273"/>
      <c r="G30" s="273"/>
      <c r="H30" s="362"/>
      <c r="I30" s="254"/>
      <c r="J30" s="301"/>
      <c r="K30" s="254"/>
      <c r="L30" s="301"/>
      <c r="M30" s="254"/>
    </row>
    <row r="31" spans="1:16" s="253" customFormat="1" ht="9.9499999999999993" customHeight="1" x14ac:dyDescent="0.2">
      <c r="A31" s="425" t="s">
        <v>952</v>
      </c>
      <c r="B31" s="347"/>
      <c r="C31" s="273"/>
      <c r="D31" s="347"/>
      <c r="E31" s="273"/>
      <c r="F31" s="273"/>
      <c r="G31" s="273"/>
      <c r="H31" s="362"/>
      <c r="I31" s="273"/>
      <c r="J31" s="364"/>
      <c r="K31" s="347"/>
      <c r="L31" s="364"/>
      <c r="M31" s="254"/>
    </row>
    <row r="32" spans="1:16" s="253" customFormat="1" ht="9.9499999999999993" customHeight="1" x14ac:dyDescent="0.2">
      <c r="A32" s="426" t="s">
        <v>953</v>
      </c>
      <c r="B32" s="273"/>
      <c r="C32" s="273"/>
      <c r="D32" s="273"/>
      <c r="E32" s="273">
        <f>+SORECGFws!G23</f>
        <v>0</v>
      </c>
      <c r="F32" s="273"/>
      <c r="G32" s="273">
        <f>+SORECGFws!H23</f>
        <v>0</v>
      </c>
      <c r="H32" s="362"/>
      <c r="I32" s="273">
        <f>+SORECGFws!I23</f>
        <v>0</v>
      </c>
      <c r="J32" s="342"/>
      <c r="K32" s="273">
        <f>SORECGFws!J23</f>
        <v>0</v>
      </c>
      <c r="L32" s="342"/>
      <c r="M32" s="273">
        <f t="shared" ref="M32:M55" si="1">SUM(B32:K32)</f>
        <v>0</v>
      </c>
      <c r="P32" s="351"/>
    </row>
    <row r="33" spans="1:16" s="253" customFormat="1" ht="9.75" customHeight="1" x14ac:dyDescent="0.2">
      <c r="A33" s="426" t="s">
        <v>954</v>
      </c>
      <c r="B33" s="273"/>
      <c r="C33" s="273"/>
      <c r="D33" s="273"/>
      <c r="E33" s="273">
        <f>+SORECGFws!G24</f>
        <v>0</v>
      </c>
      <c r="F33" s="273"/>
      <c r="G33" s="273">
        <f>+SORECGFws!H24</f>
        <v>948</v>
      </c>
      <c r="H33" s="362"/>
      <c r="I33" s="273">
        <f>+SORECGFws!I24</f>
        <v>0</v>
      </c>
      <c r="J33" s="342"/>
      <c r="K33" s="273">
        <f>SORECGFws!J24</f>
        <v>0</v>
      </c>
      <c r="L33" s="342"/>
      <c r="M33" s="273">
        <f t="shared" si="1"/>
        <v>948</v>
      </c>
      <c r="P33" s="351"/>
    </row>
    <row r="34" spans="1:16" s="253" customFormat="1" ht="9.9499999999999993" customHeight="1" x14ac:dyDescent="0.2">
      <c r="A34" s="426" t="s">
        <v>955</v>
      </c>
      <c r="B34" s="273"/>
      <c r="C34" s="273"/>
      <c r="D34" s="273"/>
      <c r="E34" s="273">
        <f>+SORECGFws!G25</f>
        <v>0</v>
      </c>
      <c r="F34" s="273"/>
      <c r="G34" s="273">
        <f>+SORECGFws!H25</f>
        <v>0</v>
      </c>
      <c r="H34" s="362"/>
      <c r="I34" s="273">
        <f>+SORECGFws!I25</f>
        <v>0</v>
      </c>
      <c r="J34" s="342"/>
      <c r="K34" s="273">
        <f>SORECGFws!J25</f>
        <v>0</v>
      </c>
      <c r="L34" s="342"/>
      <c r="M34" s="273">
        <f t="shared" si="1"/>
        <v>0</v>
      </c>
      <c r="P34" s="351"/>
    </row>
    <row r="35" spans="1:16" s="253" customFormat="1" ht="9.9499999999999993" customHeight="1" x14ac:dyDescent="0.2">
      <c r="A35" s="426" t="s">
        <v>956</v>
      </c>
      <c r="B35" s="273"/>
      <c r="C35" s="273"/>
      <c r="D35" s="273"/>
      <c r="E35" s="273">
        <f>+SORECGFws!G26</f>
        <v>0</v>
      </c>
      <c r="F35" s="273"/>
      <c r="G35" s="273">
        <f>+SORECGFws!H26</f>
        <v>0</v>
      </c>
      <c r="H35" s="362"/>
      <c r="I35" s="273">
        <f>+SORECGFws!I26</f>
        <v>0</v>
      </c>
      <c r="J35" s="342"/>
      <c r="K35" s="273">
        <f>SORECGFws!J26</f>
        <v>0</v>
      </c>
      <c r="L35" s="342"/>
      <c r="M35" s="273">
        <f t="shared" si="1"/>
        <v>0</v>
      </c>
      <c r="P35" s="351"/>
    </row>
    <row r="36" spans="1:16" s="253" customFormat="1" ht="9.9499999999999993" customHeight="1" x14ac:dyDescent="0.2">
      <c r="A36" s="426" t="s">
        <v>958</v>
      </c>
      <c r="B36" s="273"/>
      <c r="C36" s="273"/>
      <c r="D36" s="273"/>
      <c r="E36" s="273">
        <f>+SORECGFws!G27</f>
        <v>0</v>
      </c>
      <c r="F36" s="273"/>
      <c r="G36" s="273"/>
      <c r="H36" s="362"/>
      <c r="I36" s="273">
        <f>+SORECGFws!I27</f>
        <v>0</v>
      </c>
      <c r="J36" s="342"/>
      <c r="K36" s="273">
        <f>SORECGFws!J27</f>
        <v>0</v>
      </c>
      <c r="L36" s="342"/>
      <c r="M36" s="273">
        <f t="shared" si="1"/>
        <v>0</v>
      </c>
      <c r="P36" s="351"/>
    </row>
    <row r="37" spans="1:16" s="253" customFormat="1" ht="9.9499999999999993" customHeight="1" x14ac:dyDescent="0.2">
      <c r="A37" s="426" t="s">
        <v>959</v>
      </c>
      <c r="B37" s="273"/>
      <c r="C37" s="273"/>
      <c r="D37" s="273"/>
      <c r="E37" s="273">
        <f>+SORECGFws!G28</f>
        <v>527</v>
      </c>
      <c r="F37" s="273"/>
      <c r="G37" s="273">
        <f>+SORECGFws!H28</f>
        <v>0</v>
      </c>
      <c r="H37" s="362"/>
      <c r="I37" s="273">
        <f>+SORECGFws!I28</f>
        <v>0</v>
      </c>
      <c r="J37" s="342"/>
      <c r="K37" s="273">
        <f>SORECGFws!J28</f>
        <v>0</v>
      </c>
      <c r="L37" s="342"/>
      <c r="M37" s="273">
        <f t="shared" si="1"/>
        <v>527</v>
      </c>
      <c r="P37" s="351"/>
    </row>
    <row r="38" spans="1:16" s="253" customFormat="1" ht="9.9499999999999993" customHeight="1" x14ac:dyDescent="0.2">
      <c r="A38" s="426" t="s">
        <v>961</v>
      </c>
      <c r="B38" s="273"/>
      <c r="C38" s="273"/>
      <c r="D38" s="273"/>
      <c r="E38" s="273">
        <f>+SORECGFws!G29</f>
        <v>347</v>
      </c>
      <c r="F38" s="273"/>
      <c r="G38" s="273">
        <f>+SORECGFws!H29</f>
        <v>0</v>
      </c>
      <c r="H38" s="362"/>
      <c r="I38" s="273">
        <f>+SORECGFws!I29</f>
        <v>0</v>
      </c>
      <c r="J38" s="342"/>
      <c r="K38" s="273">
        <f>SORECGFws!J29</f>
        <v>0</v>
      </c>
      <c r="L38" s="342"/>
      <c r="M38" s="273">
        <f t="shared" si="1"/>
        <v>347</v>
      </c>
      <c r="P38" s="351"/>
    </row>
    <row r="39" spans="1:16" s="253" customFormat="1" ht="9.9499999999999993" hidden="1" customHeight="1" x14ac:dyDescent="0.2">
      <c r="A39" s="426" t="s">
        <v>960</v>
      </c>
      <c r="B39" s="273"/>
      <c r="C39" s="273"/>
      <c r="D39" s="273"/>
      <c r="E39" s="273">
        <f>+SORECGFws!G30</f>
        <v>0</v>
      </c>
      <c r="F39" s="273"/>
      <c r="G39" s="273">
        <f>+SORECGFws!H30</f>
        <v>0</v>
      </c>
      <c r="H39" s="362"/>
      <c r="I39" s="273">
        <f>+SORECGFws!I30</f>
        <v>0</v>
      </c>
      <c r="J39" s="342"/>
      <c r="K39" s="273">
        <f>SORECGFws!J30</f>
        <v>0</v>
      </c>
      <c r="L39" s="342"/>
      <c r="M39" s="273">
        <f t="shared" si="1"/>
        <v>0</v>
      </c>
      <c r="P39" s="351"/>
    </row>
    <row r="40" spans="1:16" s="253" customFormat="1" ht="9.9499999999999993" customHeight="1" x14ac:dyDescent="0.2">
      <c r="A40" s="426" t="s">
        <v>963</v>
      </c>
      <c r="B40" s="273"/>
      <c r="C40" s="273"/>
      <c r="D40" s="273"/>
      <c r="E40" s="273">
        <f>+SORECGFws!G31</f>
        <v>12793</v>
      </c>
      <c r="F40" s="273"/>
      <c r="G40" s="273">
        <f>+SORECGFws!H31</f>
        <v>0</v>
      </c>
      <c r="H40" s="362"/>
      <c r="I40" s="273">
        <f>+SORECGFws!I31</f>
        <v>9517</v>
      </c>
      <c r="J40" s="342"/>
      <c r="K40" s="273">
        <f>SORECGFws!J31</f>
        <v>0</v>
      </c>
      <c r="L40" s="342"/>
      <c r="M40" s="273">
        <f t="shared" si="1"/>
        <v>22310</v>
      </c>
      <c r="P40" s="351"/>
    </row>
    <row r="41" spans="1:16" s="253" customFormat="1" ht="9.9499999999999993" customHeight="1" x14ac:dyDescent="0.2">
      <c r="A41" s="426" t="s">
        <v>1191</v>
      </c>
      <c r="B41" s="273"/>
      <c r="C41" s="273"/>
      <c r="D41" s="273"/>
      <c r="E41" s="273">
        <f>+SORECGFws!G32</f>
        <v>0</v>
      </c>
      <c r="F41" s="273"/>
      <c r="G41" s="273">
        <f>+SORECGFws!H32</f>
        <v>0</v>
      </c>
      <c r="H41" s="362"/>
      <c r="I41" s="273">
        <f>+SORECGFws!I32</f>
        <v>0</v>
      </c>
      <c r="J41" s="342"/>
      <c r="K41" s="273">
        <f>SORECGFws!J32</f>
        <v>0</v>
      </c>
      <c r="L41" s="342"/>
      <c r="M41" s="273">
        <f t="shared" si="1"/>
        <v>0</v>
      </c>
      <c r="P41" s="351"/>
    </row>
    <row r="42" spans="1:16" s="253" customFormat="1" ht="9.9499999999999993" hidden="1" customHeight="1" x14ac:dyDescent="0.2">
      <c r="A42" s="426" t="s">
        <v>964</v>
      </c>
      <c r="B42" s="273"/>
      <c r="C42" s="273"/>
      <c r="D42" s="273"/>
      <c r="E42" s="273">
        <f>+SORECGFws!G33</f>
        <v>0</v>
      </c>
      <c r="F42" s="273"/>
      <c r="G42" s="273">
        <f>+SORECGFws!H33</f>
        <v>0</v>
      </c>
      <c r="H42" s="362"/>
      <c r="I42" s="273">
        <f>+SORECGFws!I33</f>
        <v>0</v>
      </c>
      <c r="J42" s="342"/>
      <c r="K42" s="273">
        <f>SORECGFws!J33</f>
        <v>0</v>
      </c>
      <c r="L42" s="342"/>
      <c r="M42" s="273">
        <f t="shared" si="1"/>
        <v>0</v>
      </c>
      <c r="P42" s="351"/>
    </row>
    <row r="43" spans="1:16" s="253" customFormat="1" ht="9.9499999999999993" customHeight="1" x14ac:dyDescent="0.2">
      <c r="A43" s="426" t="s">
        <v>1414</v>
      </c>
      <c r="B43" s="273"/>
      <c r="C43" s="273"/>
      <c r="D43" s="273"/>
      <c r="E43" s="273">
        <f>+SORECGFws!G34</f>
        <v>0</v>
      </c>
      <c r="F43" s="273"/>
      <c r="G43" s="273">
        <f>+SORECGFws!H34</f>
        <v>0</v>
      </c>
      <c r="H43" s="362"/>
      <c r="I43" s="273">
        <f>+SORECGFws!I34</f>
        <v>0</v>
      </c>
      <c r="J43" s="342"/>
      <c r="K43" s="273">
        <f>SORECGFws!J34</f>
        <v>0</v>
      </c>
      <c r="L43" s="342"/>
      <c r="M43" s="273">
        <f t="shared" si="1"/>
        <v>0</v>
      </c>
      <c r="P43" s="351"/>
    </row>
    <row r="44" spans="1:16" s="253" customFormat="1" ht="9.9499999999999993" hidden="1" customHeight="1" x14ac:dyDescent="0.2">
      <c r="A44" s="426" t="s">
        <v>706</v>
      </c>
      <c r="B44" s="254"/>
      <c r="C44" s="273"/>
      <c r="D44" s="254"/>
      <c r="E44" s="273">
        <f>+SORECGFws!G35</f>
        <v>0</v>
      </c>
      <c r="F44" s="273"/>
      <c r="G44" s="273">
        <f>+SORECGFws!H35</f>
        <v>0</v>
      </c>
      <c r="H44" s="362"/>
      <c r="I44" s="273">
        <f>+SORECGFws!I35</f>
        <v>0</v>
      </c>
      <c r="J44" s="342"/>
      <c r="K44" s="273">
        <f>SORECGFws!J35</f>
        <v>0</v>
      </c>
      <c r="L44" s="301"/>
      <c r="M44" s="273">
        <f t="shared" si="1"/>
        <v>0</v>
      </c>
      <c r="P44" s="349"/>
    </row>
    <row r="45" spans="1:16" s="253" customFormat="1" ht="9.9499999999999993" hidden="1" customHeight="1" x14ac:dyDescent="0.2">
      <c r="A45" s="425" t="s">
        <v>965</v>
      </c>
      <c r="B45" s="254"/>
      <c r="C45" s="273"/>
      <c r="D45" s="254"/>
      <c r="E45" s="273">
        <f>+SORECGFws!G36</f>
        <v>0</v>
      </c>
      <c r="F45" s="273"/>
      <c r="G45" s="273">
        <f>+SORECGFws!H36</f>
        <v>0</v>
      </c>
      <c r="H45" s="362"/>
      <c r="I45" s="273">
        <f>+SORECGFws!I36</f>
        <v>0</v>
      </c>
      <c r="J45" s="342"/>
      <c r="K45" s="273">
        <f>SORECGFws!J36</f>
        <v>0</v>
      </c>
      <c r="L45" s="301"/>
      <c r="M45" s="273">
        <f t="shared" si="1"/>
        <v>0</v>
      </c>
      <c r="P45" s="349"/>
    </row>
    <row r="46" spans="1:16" s="253" customFormat="1" ht="9.9499999999999993" hidden="1" customHeight="1" x14ac:dyDescent="0.2">
      <c r="A46" s="426" t="s">
        <v>966</v>
      </c>
      <c r="B46" s="254"/>
      <c r="C46" s="273"/>
      <c r="D46" s="254"/>
      <c r="E46" s="273">
        <f>+SORECGFws!G37</f>
        <v>0</v>
      </c>
      <c r="F46" s="273"/>
      <c r="G46" s="273">
        <f>+SORECGFws!H37</f>
        <v>0</v>
      </c>
      <c r="H46" s="362"/>
      <c r="I46" s="273">
        <f>+SORECGFws!I37</f>
        <v>0</v>
      </c>
      <c r="J46" s="342"/>
      <c r="K46" s="273">
        <f>SORECGFws!J37</f>
        <v>0</v>
      </c>
      <c r="L46" s="301"/>
      <c r="M46" s="273">
        <f t="shared" si="1"/>
        <v>0</v>
      </c>
      <c r="P46" s="351"/>
    </row>
    <row r="47" spans="1:16" s="253" customFormat="1" ht="9.9499999999999993" hidden="1" customHeight="1" x14ac:dyDescent="0.2">
      <c r="A47" s="426" t="s">
        <v>949</v>
      </c>
      <c r="B47" s="254"/>
      <c r="C47" s="273"/>
      <c r="D47" s="254"/>
      <c r="E47" s="273">
        <f>+SORECGFws!G38</f>
        <v>0</v>
      </c>
      <c r="F47" s="273"/>
      <c r="G47" s="273">
        <f>+SORECGFws!H38</f>
        <v>0</v>
      </c>
      <c r="H47" s="362"/>
      <c r="I47" s="273">
        <f>+SORECGFws!I38</f>
        <v>0</v>
      </c>
      <c r="J47" s="342"/>
      <c r="K47" s="273">
        <f>SORECGFws!J38</f>
        <v>0</v>
      </c>
      <c r="L47" s="301"/>
      <c r="M47" s="273">
        <f t="shared" si="1"/>
        <v>0</v>
      </c>
      <c r="P47" s="351"/>
    </row>
    <row r="48" spans="1:16" s="253" customFormat="1" ht="9.9499999999999993" hidden="1" customHeight="1" x14ac:dyDescent="0.2">
      <c r="A48" s="426" t="s">
        <v>91</v>
      </c>
      <c r="B48" s="254"/>
      <c r="C48" s="273"/>
      <c r="D48" s="254"/>
      <c r="E48" s="273">
        <f>+SORECGFws!G39</f>
        <v>0</v>
      </c>
      <c r="F48" s="273"/>
      <c r="G48" s="273">
        <f>+SORECGFws!H39</f>
        <v>0</v>
      </c>
      <c r="H48" s="362"/>
      <c r="I48" s="273"/>
      <c r="J48" s="342"/>
      <c r="K48" s="273">
        <f>SORECGFws!J39</f>
        <v>0</v>
      </c>
      <c r="L48" s="301"/>
      <c r="M48" s="273">
        <f t="shared" si="1"/>
        <v>0</v>
      </c>
      <c r="P48" s="351"/>
    </row>
    <row r="49" spans="1:16" s="253" customFormat="1" ht="9.9499999999999993" hidden="1" customHeight="1" x14ac:dyDescent="0.2">
      <c r="A49" s="426" t="s">
        <v>968</v>
      </c>
      <c r="B49" s="254"/>
      <c r="C49" s="273"/>
      <c r="D49" s="254"/>
      <c r="E49" s="273">
        <f>+SORECGFws!G40</f>
        <v>0</v>
      </c>
      <c r="F49" s="273"/>
      <c r="G49" s="273">
        <f>+SORECGFws!H40</f>
        <v>0</v>
      </c>
      <c r="H49" s="362"/>
      <c r="I49" s="273"/>
      <c r="J49" s="342"/>
      <c r="K49" s="273">
        <f>SORECGFws!J40</f>
        <v>0</v>
      </c>
      <c r="L49" s="301"/>
      <c r="M49" s="273">
        <f t="shared" si="1"/>
        <v>0</v>
      </c>
      <c r="P49" s="351"/>
    </row>
    <row r="50" spans="1:16" s="253" customFormat="1" ht="9.9499999999999993" customHeight="1" x14ac:dyDescent="0.2">
      <c r="A50" s="425" t="s">
        <v>1595</v>
      </c>
      <c r="B50" s="254"/>
      <c r="C50" s="273"/>
      <c r="D50" s="254"/>
      <c r="E50" s="273"/>
      <c r="F50" s="273"/>
      <c r="G50" s="273"/>
      <c r="H50" s="362"/>
      <c r="I50" s="273"/>
      <c r="J50" s="342"/>
      <c r="K50" s="273"/>
      <c r="L50" s="301"/>
      <c r="M50" s="273">
        <f t="shared" si="1"/>
        <v>0</v>
      </c>
      <c r="P50" s="351"/>
    </row>
    <row r="51" spans="1:16" s="253" customFormat="1" ht="9.9499999999999993" customHeight="1" x14ac:dyDescent="0.2">
      <c r="A51" s="426" t="s">
        <v>966</v>
      </c>
      <c r="B51" s="254"/>
      <c r="C51" s="273"/>
      <c r="D51" s="254"/>
      <c r="E51" s="273">
        <f>+SORECGFws!G42</f>
        <v>0</v>
      </c>
      <c r="F51" s="273"/>
      <c r="G51" s="273">
        <f>+SORECGFws!H42</f>
        <v>0</v>
      </c>
      <c r="H51" s="362"/>
      <c r="I51" s="273"/>
      <c r="J51" s="342"/>
      <c r="K51" s="273"/>
      <c r="L51" s="301"/>
      <c r="M51" s="273">
        <f t="shared" si="1"/>
        <v>0</v>
      </c>
      <c r="P51" s="351"/>
    </row>
    <row r="52" spans="1:16" s="253" customFormat="1" ht="9.9499999999999993" customHeight="1" x14ac:dyDescent="0.2">
      <c r="A52" s="426" t="s">
        <v>949</v>
      </c>
      <c r="B52" s="254"/>
      <c r="C52" s="273"/>
      <c r="D52" s="254"/>
      <c r="E52" s="273">
        <f>+SORECGFws!G43</f>
        <v>0</v>
      </c>
      <c r="F52" s="273"/>
      <c r="G52" s="273">
        <f>+SORECGFws!H43</f>
        <v>0</v>
      </c>
      <c r="H52" s="362"/>
      <c r="I52" s="273"/>
      <c r="J52" s="342"/>
      <c r="K52" s="273"/>
      <c r="L52" s="301"/>
      <c r="M52" s="273">
        <f t="shared" si="1"/>
        <v>0</v>
      </c>
      <c r="P52" s="351"/>
    </row>
    <row r="53" spans="1:16" s="253" customFormat="1" ht="9.9499999999999993" customHeight="1" x14ac:dyDescent="0.2">
      <c r="A53" s="425" t="s">
        <v>1641</v>
      </c>
      <c r="B53" s="254"/>
      <c r="C53" s="273"/>
      <c r="D53" s="254"/>
      <c r="E53" s="273"/>
      <c r="F53" s="273"/>
      <c r="G53" s="273"/>
      <c r="H53" s="362"/>
      <c r="I53" s="273"/>
      <c r="J53" s="342"/>
      <c r="K53" s="273"/>
      <c r="L53" s="301"/>
      <c r="M53" s="273">
        <f t="shared" si="1"/>
        <v>0</v>
      </c>
      <c r="P53" s="351"/>
    </row>
    <row r="54" spans="1:16" s="253" customFormat="1" ht="9.9499999999999993" customHeight="1" x14ac:dyDescent="0.2">
      <c r="A54" s="426" t="s">
        <v>966</v>
      </c>
      <c r="B54" s="254"/>
      <c r="C54" s="273"/>
      <c r="D54" s="254"/>
      <c r="E54" s="273">
        <f>SORECGFws!G45</f>
        <v>0</v>
      </c>
      <c r="F54" s="273"/>
      <c r="G54" s="273">
        <f>SORECGFws!H45</f>
        <v>62</v>
      </c>
      <c r="H54" s="362"/>
      <c r="I54" s="273">
        <f>SORECGFws!I45</f>
        <v>0</v>
      </c>
      <c r="J54" s="342"/>
      <c r="K54" s="273"/>
      <c r="L54" s="301"/>
      <c r="M54" s="273">
        <f t="shared" si="1"/>
        <v>62</v>
      </c>
      <c r="P54" s="351"/>
    </row>
    <row r="55" spans="1:16" s="253" customFormat="1" ht="9.9499999999999993" customHeight="1" x14ac:dyDescent="0.2">
      <c r="A55" s="426" t="s">
        <v>949</v>
      </c>
      <c r="B55" s="254"/>
      <c r="C55" s="273"/>
      <c r="D55" s="254"/>
      <c r="E55" s="273">
        <f>SORECGFws!G46</f>
        <v>0</v>
      </c>
      <c r="F55" s="273"/>
      <c r="G55" s="273">
        <f>SORECGFws!H46</f>
        <v>3</v>
      </c>
      <c r="H55" s="362"/>
      <c r="I55" s="273">
        <f>SORECGFws!I46</f>
        <v>0</v>
      </c>
      <c r="J55" s="342"/>
      <c r="K55" s="273"/>
      <c r="L55" s="301"/>
      <c r="M55" s="273">
        <f t="shared" si="1"/>
        <v>3</v>
      </c>
      <c r="P55" s="351"/>
    </row>
    <row r="56" spans="1:16" s="253" customFormat="1" ht="5.0999999999999996" customHeight="1" x14ac:dyDescent="0.2">
      <c r="A56" s="450"/>
      <c r="B56" s="254"/>
      <c r="C56" s="340"/>
      <c r="D56" s="254"/>
      <c r="E56" s="340"/>
      <c r="F56" s="273"/>
      <c r="G56" s="340"/>
      <c r="H56" s="362"/>
      <c r="I56" s="366"/>
      <c r="J56" s="301"/>
      <c r="K56" s="366"/>
      <c r="L56" s="301"/>
      <c r="M56" s="366"/>
    </row>
    <row r="57" spans="1:16" s="253" customFormat="1" ht="11.1" customHeight="1" x14ac:dyDescent="0.2">
      <c r="A57" s="417" t="s">
        <v>970</v>
      </c>
      <c r="B57" s="254"/>
      <c r="C57" s="345">
        <f>SUM(C32:C55)</f>
        <v>0</v>
      </c>
      <c r="D57" s="254"/>
      <c r="E57" s="345">
        <f t="shared" ref="E57" si="2">SUM(E32:E55)</f>
        <v>13667</v>
      </c>
      <c r="F57" s="254"/>
      <c r="G57" s="345">
        <f t="shared" ref="G57" si="3">SUM(G32:G55)</f>
        <v>1013</v>
      </c>
      <c r="H57" s="254"/>
      <c r="I57" s="345">
        <f t="shared" ref="I57" si="4">SUM(I32:I55)</f>
        <v>9517</v>
      </c>
      <c r="J57" s="254"/>
      <c r="K57" s="345">
        <f t="shared" ref="K57" si="5">SUM(K32:K55)</f>
        <v>0</v>
      </c>
      <c r="L57" s="254"/>
      <c r="M57" s="345">
        <f t="shared" ref="M57" si="6">SUM(M32:M55)</f>
        <v>24197</v>
      </c>
    </row>
    <row r="58" spans="1:16" s="253" customFormat="1" ht="5.0999999999999996" customHeight="1" x14ac:dyDescent="0.2">
      <c r="A58" s="450"/>
      <c r="B58" s="273"/>
      <c r="C58" s="340"/>
      <c r="D58" s="273"/>
      <c r="E58" s="340"/>
      <c r="F58" s="273"/>
      <c r="G58" s="273"/>
      <c r="H58" s="362"/>
      <c r="I58" s="273"/>
      <c r="J58" s="342"/>
      <c r="K58" s="273"/>
      <c r="L58" s="342"/>
      <c r="M58" s="273"/>
    </row>
    <row r="59" spans="1:16" s="253" customFormat="1" ht="9.9499999999999993" customHeight="1" x14ac:dyDescent="0.2">
      <c r="A59" s="417" t="s">
        <v>19</v>
      </c>
      <c r="B59" s="273"/>
      <c r="C59" s="273"/>
      <c r="D59" s="273"/>
      <c r="E59" s="273"/>
      <c r="F59" s="273"/>
      <c r="G59" s="273"/>
      <c r="H59" s="362"/>
      <c r="I59" s="273"/>
      <c r="J59" s="342"/>
      <c r="K59" s="273"/>
      <c r="L59" s="342"/>
      <c r="M59" s="273"/>
    </row>
    <row r="60" spans="1:16" s="253" customFormat="1" ht="9.9499999999999993" customHeight="1" x14ac:dyDescent="0.2">
      <c r="A60" s="428" t="s">
        <v>20</v>
      </c>
      <c r="B60" s="273"/>
      <c r="C60" s="341">
        <f>SUM(C28-C57)</f>
        <v>0</v>
      </c>
      <c r="D60" s="273"/>
      <c r="E60" s="341">
        <f>SUM(E28-E57)</f>
        <v>1712</v>
      </c>
      <c r="F60" s="273"/>
      <c r="G60" s="341">
        <f>SUM(G28-G57)</f>
        <v>341</v>
      </c>
      <c r="H60" s="273"/>
      <c r="I60" s="341">
        <f>SUM(I28-I57)</f>
        <v>-326</v>
      </c>
      <c r="J60" s="273"/>
      <c r="K60" s="341">
        <f>SUM(K28-K57)</f>
        <v>0</v>
      </c>
      <c r="L60" s="273"/>
      <c r="M60" s="341">
        <f>SUM(M28-M57)</f>
        <v>1727</v>
      </c>
    </row>
    <row r="61" spans="1:16" s="253" customFormat="1" ht="5.0999999999999996" customHeight="1" x14ac:dyDescent="0.2">
      <c r="A61" s="450"/>
      <c r="B61" s="273"/>
      <c r="C61" s="273"/>
      <c r="D61" s="273"/>
      <c r="E61" s="273"/>
      <c r="F61" s="273"/>
      <c r="G61" s="273"/>
      <c r="H61" s="273"/>
      <c r="I61" s="273"/>
      <c r="J61" s="273"/>
      <c r="K61" s="273"/>
      <c r="L61" s="273"/>
      <c r="M61" s="273"/>
    </row>
    <row r="62" spans="1:16" s="253" customFormat="1" ht="9.9499999999999993" customHeight="1" x14ac:dyDescent="0.2">
      <c r="A62" s="417" t="s">
        <v>34</v>
      </c>
      <c r="B62" s="273"/>
      <c r="C62" s="273"/>
      <c r="D62" s="273"/>
      <c r="E62" s="273"/>
      <c r="F62" s="273"/>
      <c r="G62" s="273"/>
      <c r="H62" s="362"/>
      <c r="I62" s="273"/>
      <c r="J62" s="342"/>
      <c r="K62" s="273"/>
      <c r="L62" s="342"/>
      <c r="M62" s="273"/>
    </row>
    <row r="63" spans="1:16" s="253" customFormat="1" ht="9.9499999999999993" hidden="1" customHeight="1" x14ac:dyDescent="0.2">
      <c r="A63" s="425" t="s">
        <v>667</v>
      </c>
      <c r="B63" s="273"/>
      <c r="C63" s="273">
        <f>SORECGFws!F53</f>
        <v>0</v>
      </c>
      <c r="D63" s="273"/>
      <c r="E63" s="273">
        <f>+SORECGFws!G53</f>
        <v>0</v>
      </c>
      <c r="F63" s="273"/>
      <c r="G63" s="273">
        <f>+SORECGFws!H53</f>
        <v>0</v>
      </c>
      <c r="H63" s="362"/>
      <c r="I63" s="273">
        <f>SORECGFws!I52</f>
        <v>0</v>
      </c>
      <c r="J63" s="342"/>
      <c r="K63" s="273">
        <f>+SORECGFws!J53</f>
        <v>0</v>
      </c>
      <c r="L63" s="342"/>
      <c r="M63" s="273">
        <f t="shared" ref="M63:M72" si="7">SUM(B63:K63)</f>
        <v>0</v>
      </c>
    </row>
    <row r="64" spans="1:16" s="253" customFormat="1" ht="9.9499999999999993" hidden="1" customHeight="1" x14ac:dyDescent="0.2">
      <c r="A64" s="425" t="s">
        <v>1235</v>
      </c>
      <c r="B64" s="273"/>
      <c r="C64" s="273">
        <f>SORECGFws!F54</f>
        <v>0</v>
      </c>
      <c r="D64" s="273"/>
      <c r="E64" s="273">
        <f>+SORECGFws!G54</f>
        <v>0</v>
      </c>
      <c r="F64" s="273"/>
      <c r="G64" s="273">
        <f>+SORECGFws!H54</f>
        <v>0</v>
      </c>
      <c r="H64" s="362"/>
      <c r="I64" s="273">
        <f>SORECGFws!I53</f>
        <v>0</v>
      </c>
      <c r="J64" s="342"/>
      <c r="K64" s="273">
        <f>+SORECGFws!J54</f>
        <v>0</v>
      </c>
      <c r="L64" s="342"/>
      <c r="M64" s="273">
        <f t="shared" si="7"/>
        <v>0</v>
      </c>
    </row>
    <row r="65" spans="1:13" s="253" customFormat="1" ht="9.9499999999999993" hidden="1" customHeight="1" x14ac:dyDescent="0.2">
      <c r="A65" s="425" t="s">
        <v>973</v>
      </c>
      <c r="B65" s="273"/>
      <c r="C65" s="273">
        <f>SORECGFws!F55</f>
        <v>0</v>
      </c>
      <c r="D65" s="273"/>
      <c r="E65" s="273">
        <f>+SORECGFws!G55</f>
        <v>0</v>
      </c>
      <c r="F65" s="273"/>
      <c r="G65" s="273">
        <f>+SORECGFws!H55</f>
        <v>0</v>
      </c>
      <c r="H65" s="362"/>
      <c r="I65" s="273">
        <f>SORECGFws!I54</f>
        <v>0</v>
      </c>
      <c r="J65" s="342"/>
      <c r="K65" s="273">
        <f>+SORECGFws!J55</f>
        <v>0</v>
      </c>
      <c r="L65" s="342"/>
      <c r="M65" s="273">
        <f t="shared" si="7"/>
        <v>0</v>
      </c>
    </row>
    <row r="66" spans="1:13" s="253" customFormat="1" ht="9.9499999999999993" hidden="1" customHeight="1" x14ac:dyDescent="0.2">
      <c r="A66" s="425" t="s">
        <v>666</v>
      </c>
      <c r="B66" s="273"/>
      <c r="C66" s="273">
        <f>SORECGFws!F56</f>
        <v>0</v>
      </c>
      <c r="D66" s="273"/>
      <c r="E66" s="273">
        <f>+SORECGFws!G56</f>
        <v>0</v>
      </c>
      <c r="F66" s="273"/>
      <c r="G66" s="273">
        <f>+SORECGFws!H56</f>
        <v>0</v>
      </c>
      <c r="H66" s="362"/>
      <c r="I66" s="273">
        <f>SORECGFws!I55</f>
        <v>0</v>
      </c>
      <c r="J66" s="342"/>
      <c r="K66" s="273">
        <f>+SORECGFws!J56</f>
        <v>0</v>
      </c>
      <c r="L66" s="342"/>
      <c r="M66" s="273">
        <f t="shared" si="7"/>
        <v>0</v>
      </c>
    </row>
    <row r="67" spans="1:13" s="253" customFormat="1" ht="9.9499999999999993" hidden="1" customHeight="1" x14ac:dyDescent="0.2">
      <c r="A67" s="425" t="s">
        <v>1581</v>
      </c>
      <c r="B67" s="273"/>
      <c r="C67" s="273">
        <f>SORECGFws!F57</f>
        <v>0</v>
      </c>
      <c r="D67" s="273"/>
      <c r="E67" s="273">
        <f>+SORECGFws!G57</f>
        <v>0</v>
      </c>
      <c r="F67" s="273"/>
      <c r="G67" s="273">
        <f>+SORECGFws!H57</f>
        <v>0</v>
      </c>
      <c r="H67" s="362"/>
      <c r="I67" s="273">
        <f>SORECGFws!I56</f>
        <v>0</v>
      </c>
      <c r="J67" s="342"/>
      <c r="K67" s="273">
        <f>+SORECGFws!J57</f>
        <v>0</v>
      </c>
      <c r="L67" s="342"/>
      <c r="M67" s="273">
        <f t="shared" ref="M67" si="8">SUM(B67:K67)</f>
        <v>0</v>
      </c>
    </row>
    <row r="68" spans="1:13" s="253" customFormat="1" ht="9.9499999999999993" hidden="1" customHeight="1" x14ac:dyDescent="0.2">
      <c r="A68" s="425" t="s">
        <v>1642</v>
      </c>
      <c r="B68" s="273"/>
      <c r="C68" s="273">
        <f>SORECGFws!F58</f>
        <v>0</v>
      </c>
      <c r="D68" s="273"/>
      <c r="E68" s="273">
        <f>+SORECGFws!G58</f>
        <v>0</v>
      </c>
      <c r="F68" s="273"/>
      <c r="G68" s="273">
        <f>+SORECGFws!H58</f>
        <v>0</v>
      </c>
      <c r="H68" s="362"/>
      <c r="I68" s="273">
        <f>SORECGFws!I57</f>
        <v>0</v>
      </c>
      <c r="J68" s="342"/>
      <c r="K68" s="273">
        <f>+SORECGFws!J58</f>
        <v>0</v>
      </c>
      <c r="L68" s="342"/>
      <c r="M68" s="273">
        <f t="shared" ref="M68" si="9">SUM(B68:K68)</f>
        <v>0</v>
      </c>
    </row>
    <row r="69" spans="1:13" s="253" customFormat="1" ht="9.9499999999999993" hidden="1" customHeight="1" x14ac:dyDescent="0.2">
      <c r="A69" s="425" t="s">
        <v>668</v>
      </c>
      <c r="B69" s="273"/>
      <c r="C69" s="273">
        <f>SORECGFws!F59</f>
        <v>0</v>
      </c>
      <c r="D69" s="273"/>
      <c r="E69" s="273">
        <f>+SORECGFws!G59</f>
        <v>0</v>
      </c>
      <c r="F69" s="273"/>
      <c r="G69" s="273">
        <f>+SORECGFws!H59</f>
        <v>0</v>
      </c>
      <c r="H69" s="362"/>
      <c r="I69" s="273">
        <f>SORECGFws!I56</f>
        <v>0</v>
      </c>
      <c r="J69" s="342"/>
      <c r="K69" s="273">
        <f>+SORECGFws!J59</f>
        <v>0</v>
      </c>
      <c r="L69" s="342"/>
      <c r="M69" s="273">
        <f t="shared" si="7"/>
        <v>0</v>
      </c>
    </row>
    <row r="70" spans="1:13" s="253" customFormat="1" ht="9.9499999999999993" hidden="1" customHeight="1" x14ac:dyDescent="0.2">
      <c r="A70" s="425" t="s">
        <v>404</v>
      </c>
      <c r="B70" s="273"/>
      <c r="C70" s="273">
        <f>SORECGFws!F60</f>
        <v>0</v>
      </c>
      <c r="D70" s="273"/>
      <c r="E70" s="273">
        <f>+SORECGFws!G60</f>
        <v>0</v>
      </c>
      <c r="F70" s="273"/>
      <c r="G70" s="273">
        <f>+SORECGFws!H60</f>
        <v>0</v>
      </c>
      <c r="H70" s="362"/>
      <c r="I70" s="273">
        <f>SORECGFws!I59</f>
        <v>0</v>
      </c>
      <c r="J70" s="342"/>
      <c r="K70" s="273">
        <f>+SORECGFws!J60</f>
        <v>0</v>
      </c>
      <c r="L70" s="342"/>
      <c r="M70" s="273">
        <f t="shared" si="7"/>
        <v>0</v>
      </c>
    </row>
    <row r="71" spans="1:13" s="253" customFormat="1" ht="9.9499999999999993" customHeight="1" x14ac:dyDescent="0.2">
      <c r="A71" s="425" t="s">
        <v>21</v>
      </c>
      <c r="B71" s="273"/>
      <c r="C71" s="273"/>
      <c r="D71" s="273"/>
      <c r="E71" s="273">
        <f>+SORECGFws!G61</f>
        <v>0</v>
      </c>
      <c r="F71" s="273"/>
      <c r="G71" s="273">
        <f>+SORECGFws!H61</f>
        <v>0</v>
      </c>
      <c r="H71" s="362"/>
      <c r="I71" s="273">
        <f>+SORECGFws!I61</f>
        <v>1</v>
      </c>
      <c r="J71" s="342"/>
      <c r="K71" s="273">
        <f>+SORECGFws!J61</f>
        <v>0</v>
      </c>
      <c r="L71" s="342"/>
      <c r="M71" s="273">
        <f t="shared" si="7"/>
        <v>1</v>
      </c>
    </row>
    <row r="72" spans="1:13" s="253" customFormat="1" ht="9.9499999999999993" customHeight="1" x14ac:dyDescent="0.2">
      <c r="A72" s="425" t="s">
        <v>22</v>
      </c>
      <c r="B72" s="273"/>
      <c r="C72" s="273"/>
      <c r="D72" s="273"/>
      <c r="E72" s="273">
        <f>+SORECGFws!G62</f>
        <v>-1483</v>
      </c>
      <c r="F72" s="273"/>
      <c r="G72" s="273">
        <f>+SORECGFws!H62</f>
        <v>0</v>
      </c>
      <c r="H72" s="362"/>
      <c r="I72" s="273">
        <f>+SORECGFws!I62</f>
        <v>0</v>
      </c>
      <c r="J72" s="342"/>
      <c r="K72" s="273">
        <f>+SORECGFws!J62</f>
        <v>0</v>
      </c>
      <c r="L72" s="342"/>
      <c r="M72" s="273">
        <f t="shared" si="7"/>
        <v>-1483</v>
      </c>
    </row>
    <row r="73" spans="1:13" s="253" customFormat="1" ht="5.0999999999999996" customHeight="1" x14ac:dyDescent="0.2">
      <c r="A73" s="450"/>
      <c r="B73" s="273"/>
      <c r="C73" s="340"/>
      <c r="D73" s="273"/>
      <c r="E73" s="340"/>
      <c r="F73" s="273"/>
      <c r="G73" s="340"/>
      <c r="H73" s="362"/>
      <c r="I73" s="340"/>
      <c r="J73" s="342"/>
      <c r="K73" s="340"/>
      <c r="L73" s="342"/>
      <c r="M73" s="340"/>
    </row>
    <row r="74" spans="1:13" s="253" customFormat="1" ht="11.1" customHeight="1" x14ac:dyDescent="0.2">
      <c r="A74" s="417" t="s">
        <v>1334</v>
      </c>
      <c r="B74" s="273"/>
      <c r="C74" s="273">
        <f>SUM(C63:C72)</f>
        <v>0</v>
      </c>
      <c r="D74" s="273"/>
      <c r="E74" s="273">
        <f>SUM(E63:E72)</f>
        <v>-1483</v>
      </c>
      <c r="F74" s="273"/>
      <c r="G74" s="273">
        <f>SUM(G63:G72)</f>
        <v>0</v>
      </c>
      <c r="H74" s="362"/>
      <c r="I74" s="273">
        <f>SUM(I63:I72)</f>
        <v>1</v>
      </c>
      <c r="J74" s="342"/>
      <c r="K74" s="273">
        <f>SUM(K63:K72)</f>
        <v>0</v>
      </c>
      <c r="L74" s="342"/>
      <c r="M74" s="273">
        <f>SUM(M63:M72)</f>
        <v>-1482</v>
      </c>
    </row>
    <row r="75" spans="1:13" s="253" customFormat="1" ht="5.0999999999999996" customHeight="1" x14ac:dyDescent="0.2">
      <c r="A75" s="450"/>
      <c r="B75" s="273"/>
      <c r="C75" s="340"/>
      <c r="D75" s="273"/>
      <c r="E75" s="340"/>
      <c r="F75" s="273"/>
      <c r="G75" s="340"/>
      <c r="H75" s="273"/>
      <c r="I75" s="340"/>
      <c r="J75" s="273"/>
      <c r="K75" s="340"/>
      <c r="L75" s="273"/>
      <c r="M75" s="340"/>
    </row>
    <row r="76" spans="1:13" s="253" customFormat="1" ht="9.9499999999999993" customHeight="1" x14ac:dyDescent="0.2">
      <c r="A76" s="417" t="s">
        <v>989</v>
      </c>
      <c r="C76" s="273">
        <f>+C60+C74</f>
        <v>0</v>
      </c>
      <c r="E76" s="273">
        <f>+E60+E74</f>
        <v>229</v>
      </c>
      <c r="G76" s="273">
        <f>+G60+G74</f>
        <v>341</v>
      </c>
      <c r="I76" s="273">
        <f>+I60+I74</f>
        <v>-325</v>
      </c>
      <c r="K76" s="273">
        <f>+K60+K74</f>
        <v>0</v>
      </c>
      <c r="L76" s="362"/>
      <c r="M76" s="273">
        <f>SUM(B76:K76)</f>
        <v>245</v>
      </c>
    </row>
    <row r="77" spans="1:13" s="253" customFormat="1" ht="5.0999999999999996" customHeight="1" x14ac:dyDescent="0.2">
      <c r="A77" s="418"/>
      <c r="H77" s="362"/>
      <c r="J77" s="362"/>
      <c r="L77" s="362"/>
    </row>
    <row r="78" spans="1:13" s="253" customFormat="1" ht="11.1" customHeight="1" x14ac:dyDescent="0.2">
      <c r="A78" s="418" t="s">
        <v>1719</v>
      </c>
      <c r="B78" s="273"/>
      <c r="C78" s="341"/>
      <c r="D78" s="273"/>
      <c r="E78" s="341">
        <v>-76</v>
      </c>
      <c r="F78" s="273"/>
      <c r="G78" s="455">
        <v>4665</v>
      </c>
      <c r="H78" s="362"/>
      <c r="I78" s="341">
        <v>0</v>
      </c>
      <c r="J78" s="342"/>
      <c r="K78" s="341">
        <v>0</v>
      </c>
      <c r="L78" s="342"/>
      <c r="M78" s="273">
        <f>SUM(B78:K78)</f>
        <v>4589</v>
      </c>
    </row>
    <row r="79" spans="1:13" s="253" customFormat="1" ht="5.0999999999999996" customHeight="1" x14ac:dyDescent="0.2">
      <c r="A79" s="418"/>
      <c r="B79" s="273"/>
      <c r="C79" s="273"/>
      <c r="D79" s="273"/>
      <c r="E79" s="273"/>
      <c r="F79" s="273"/>
      <c r="G79" s="450"/>
      <c r="H79" s="362"/>
      <c r="I79" s="273"/>
      <c r="J79" s="342"/>
      <c r="K79" s="273"/>
      <c r="L79" s="342"/>
      <c r="M79" s="340"/>
    </row>
    <row r="80" spans="1:13" s="253" customFormat="1" ht="11.1" hidden="1" customHeight="1" x14ac:dyDescent="0.2">
      <c r="A80" s="418" t="s">
        <v>1715</v>
      </c>
      <c r="B80" s="273"/>
      <c r="C80" s="273"/>
      <c r="D80" s="273"/>
      <c r="E80" s="273"/>
      <c r="F80" s="273"/>
      <c r="G80" s="450"/>
      <c r="H80" s="362"/>
      <c r="I80" s="273"/>
      <c r="J80" s="342"/>
      <c r="K80" s="273"/>
      <c r="L80" s="342"/>
      <c r="M80" s="273"/>
    </row>
    <row r="81" spans="1:13" s="253" customFormat="1" ht="5.0999999999999996" hidden="1" customHeight="1" x14ac:dyDescent="0.2">
      <c r="A81" s="418"/>
      <c r="B81" s="273"/>
      <c r="C81" s="273"/>
      <c r="D81" s="273"/>
      <c r="E81" s="273"/>
      <c r="F81" s="273"/>
      <c r="G81" s="450"/>
      <c r="H81" s="362"/>
      <c r="I81" s="273"/>
      <c r="J81" s="342"/>
      <c r="K81" s="273"/>
      <c r="L81" s="342"/>
      <c r="M81" s="273"/>
    </row>
    <row r="82" spans="1:13" s="253" customFormat="1" ht="11.1" hidden="1" customHeight="1" x14ac:dyDescent="0.2">
      <c r="A82" s="418" t="s">
        <v>1716</v>
      </c>
      <c r="B82" s="273"/>
      <c r="C82" s="273"/>
      <c r="D82" s="273"/>
      <c r="E82" s="273"/>
      <c r="F82" s="273"/>
      <c r="G82" s="450"/>
      <c r="H82" s="362"/>
      <c r="I82" s="273"/>
      <c r="J82" s="342"/>
      <c r="K82" s="273"/>
      <c r="L82" s="342"/>
      <c r="M82" s="273"/>
    </row>
    <row r="83" spans="1:13" s="253" customFormat="1" ht="5.0999999999999996" hidden="1" customHeight="1" x14ac:dyDescent="0.2">
      <c r="A83" s="418"/>
      <c r="B83" s="273"/>
      <c r="C83" s="273"/>
      <c r="D83" s="273"/>
      <c r="E83" s="273"/>
      <c r="F83" s="273"/>
      <c r="G83" s="450"/>
      <c r="H83" s="362"/>
      <c r="I83" s="273"/>
      <c r="J83" s="342"/>
      <c r="K83" s="273"/>
      <c r="L83" s="342"/>
      <c r="M83" s="273"/>
    </row>
    <row r="84" spans="1:13" s="253" customFormat="1" ht="11.1" hidden="1" customHeight="1" x14ac:dyDescent="0.2">
      <c r="A84" s="418" t="s">
        <v>1717</v>
      </c>
      <c r="B84" s="273"/>
      <c r="C84" s="273"/>
      <c r="D84" s="273"/>
      <c r="E84" s="273"/>
      <c r="F84" s="273"/>
      <c r="G84" s="450"/>
      <c r="H84" s="362"/>
      <c r="I84" s="273"/>
      <c r="J84" s="342"/>
      <c r="K84" s="273"/>
      <c r="L84" s="342"/>
      <c r="M84" s="273"/>
    </row>
    <row r="85" spans="1:13" s="253" customFormat="1" ht="5.0999999999999996" hidden="1" customHeight="1" x14ac:dyDescent="0.2">
      <c r="A85" s="418"/>
      <c r="B85" s="273"/>
      <c r="C85" s="273"/>
      <c r="D85" s="273"/>
      <c r="E85" s="273"/>
      <c r="F85" s="273"/>
      <c r="G85" s="450"/>
      <c r="H85" s="362"/>
      <c r="I85" s="273"/>
      <c r="J85" s="342"/>
      <c r="K85" s="273"/>
      <c r="L85" s="342"/>
      <c r="M85" s="273"/>
    </row>
    <row r="86" spans="1:13" s="253" customFormat="1" ht="11.1" hidden="1" customHeight="1" x14ac:dyDescent="0.2">
      <c r="A86" s="425" t="s">
        <v>1720</v>
      </c>
      <c r="B86" s="273"/>
      <c r="C86" s="341">
        <f>SUM(C78:C85)</f>
        <v>0</v>
      </c>
      <c r="D86" s="273"/>
      <c r="E86" s="341">
        <f>SUM(E78:E85)</f>
        <v>-76</v>
      </c>
      <c r="F86" s="273"/>
      <c r="G86" s="341">
        <f>SUM(G78:G85)</f>
        <v>4665</v>
      </c>
      <c r="H86" s="362"/>
      <c r="I86" s="341">
        <f>SUM(I78:I85)</f>
        <v>0</v>
      </c>
      <c r="J86" s="342"/>
      <c r="K86" s="273"/>
      <c r="L86" s="342"/>
      <c r="M86" s="341">
        <f>SUM(M78:M85)</f>
        <v>4589</v>
      </c>
    </row>
    <row r="87" spans="1:13" s="253" customFormat="1" ht="5.0999999999999996" customHeight="1" x14ac:dyDescent="0.2">
      <c r="A87" s="450"/>
      <c r="B87" s="273"/>
      <c r="C87" s="254"/>
      <c r="D87" s="273"/>
      <c r="E87" s="254"/>
      <c r="F87" s="273"/>
      <c r="G87" s="254"/>
      <c r="H87" s="362"/>
      <c r="I87" s="254"/>
      <c r="J87" s="342"/>
      <c r="K87" s="273"/>
      <c r="L87" s="342"/>
      <c r="M87" s="254"/>
    </row>
    <row r="88" spans="1:13" s="253" customFormat="1" ht="11.1" customHeight="1" thickBot="1" x14ac:dyDescent="0.25">
      <c r="A88" s="417" t="s">
        <v>1494</v>
      </c>
      <c r="C88" s="344">
        <f>+C86+C76</f>
        <v>0</v>
      </c>
      <c r="E88" s="344">
        <f>+E86+E76</f>
        <v>153</v>
      </c>
      <c r="G88" s="344">
        <f>+G86+G76</f>
        <v>5006</v>
      </c>
      <c r="I88" s="344">
        <f>+I86+I76</f>
        <v>-325</v>
      </c>
      <c r="K88" s="344">
        <f>+K76+K78</f>
        <v>0</v>
      </c>
      <c r="M88" s="344">
        <f>+M86+M76</f>
        <v>4834</v>
      </c>
    </row>
    <row r="89" spans="1:13" s="253" customFormat="1" ht="5.0999999999999996" customHeight="1" thickTop="1" x14ac:dyDescent="0.2">
      <c r="A89" s="418"/>
      <c r="H89" s="362"/>
      <c r="J89" s="362"/>
      <c r="L89" s="362"/>
    </row>
    <row r="90" spans="1:13" s="253" customFormat="1" ht="9.9499999999999993" customHeight="1" x14ac:dyDescent="0.2">
      <c r="A90" s="418"/>
      <c r="H90" s="362"/>
      <c r="J90" s="362"/>
      <c r="L90" s="362"/>
    </row>
    <row r="91" spans="1:13" s="511" customFormat="1" ht="9.9499999999999993" customHeight="1" x14ac:dyDescent="0.2">
      <c r="A91" s="1014" t="s">
        <v>992</v>
      </c>
      <c r="C91" s="511">
        <f>+'Grants BS'!C67-'Grants SOREC'!C88</f>
        <v>0</v>
      </c>
      <c r="E91" s="511">
        <f>+'Grants BS'!E67-'Grants SOREC'!E88</f>
        <v>0</v>
      </c>
      <c r="G91" s="511">
        <f>+'Grants BS'!G67-'Grants SOREC'!G88</f>
        <v>0</v>
      </c>
      <c r="I91" s="511">
        <f>+'Grants BS'!I67-'Grants SOREC'!I88</f>
        <v>0</v>
      </c>
      <c r="K91" s="511">
        <f>+'Grants BS'!K67-'Grants SOREC'!K88</f>
        <v>0</v>
      </c>
      <c r="M91" s="511">
        <f>+'Grants BS'!M67-'Grants SOREC'!M88</f>
        <v>0</v>
      </c>
    </row>
    <row r="92" spans="1:13" s="422" customFormat="1" ht="9.9499999999999993" customHeight="1" x14ac:dyDescent="0.2">
      <c r="B92" s="423"/>
      <c r="D92" s="423"/>
      <c r="F92" s="423"/>
      <c r="L92" s="423"/>
    </row>
    <row r="93" spans="1:13" s="422" customFormat="1" ht="9.9499999999999993" customHeight="1" x14ac:dyDescent="0.2">
      <c r="B93" s="423"/>
      <c r="D93" s="423"/>
      <c r="F93" s="423"/>
      <c r="L93" s="423"/>
    </row>
    <row r="94" spans="1:13" s="422" customFormat="1" ht="9.9499999999999993" customHeight="1" x14ac:dyDescent="0.2">
      <c r="B94" s="423"/>
      <c r="D94" s="423"/>
      <c r="F94" s="423"/>
      <c r="L94" s="423"/>
    </row>
    <row r="95" spans="1:13" s="422" customFormat="1" ht="9.9499999999999993" customHeight="1" x14ac:dyDescent="0.2">
      <c r="B95" s="423"/>
      <c r="D95" s="423"/>
      <c r="F95" s="423"/>
      <c r="L95" s="423"/>
    </row>
    <row r="96" spans="1:13" s="422" customFormat="1" ht="9.9499999999999993" customHeight="1" x14ac:dyDescent="0.2">
      <c r="B96" s="423"/>
      <c r="D96" s="423"/>
      <c r="F96" s="423"/>
      <c r="L96" s="423"/>
    </row>
    <row r="97" spans="2:12" s="422" customFormat="1" ht="9.9499999999999993" customHeight="1" x14ac:dyDescent="0.2">
      <c r="B97" s="423"/>
      <c r="D97" s="423"/>
      <c r="F97" s="423"/>
      <c r="L97" s="423"/>
    </row>
    <row r="98" spans="2:12" s="422" customFormat="1" ht="9.9499999999999993" customHeight="1" x14ac:dyDescent="0.2">
      <c r="B98" s="423"/>
      <c r="D98" s="423"/>
      <c r="F98" s="423"/>
      <c r="L98" s="423"/>
    </row>
    <row r="99" spans="2:12" s="422" customFormat="1" ht="9.9499999999999993" customHeight="1" x14ac:dyDescent="0.2">
      <c r="B99" s="423"/>
      <c r="D99" s="423"/>
      <c r="F99" s="423"/>
      <c r="L99" s="423"/>
    </row>
    <row r="100" spans="2:12" s="422" customFormat="1" ht="9.9499999999999993" customHeight="1" x14ac:dyDescent="0.2">
      <c r="B100" s="423"/>
      <c r="D100" s="423"/>
      <c r="F100" s="423"/>
      <c r="L100" s="423"/>
    </row>
    <row r="101" spans="2:12" s="422" customFormat="1" ht="9.9499999999999993" customHeight="1" x14ac:dyDescent="0.2">
      <c r="B101" s="423"/>
      <c r="D101" s="423"/>
      <c r="F101" s="423"/>
      <c r="L101" s="423"/>
    </row>
    <row r="102" spans="2:12" s="422" customFormat="1" ht="9.9499999999999993" customHeight="1" x14ac:dyDescent="0.2">
      <c r="B102" s="423"/>
      <c r="D102" s="423"/>
      <c r="F102" s="423"/>
      <c r="L102" s="423"/>
    </row>
    <row r="103" spans="2:12" s="422" customFormat="1" ht="9.9499999999999993" customHeight="1" x14ac:dyDescent="0.2">
      <c r="B103" s="423"/>
      <c r="D103" s="423"/>
      <c r="F103" s="423"/>
      <c r="L103" s="423"/>
    </row>
    <row r="104" spans="2:12" s="422" customFormat="1" ht="9.9499999999999993" customHeight="1" x14ac:dyDescent="0.2">
      <c r="B104" s="423"/>
      <c r="D104" s="423"/>
      <c r="F104" s="423"/>
      <c r="L104" s="423"/>
    </row>
    <row r="105" spans="2:12" s="422" customFormat="1" ht="9.9499999999999993" customHeight="1" x14ac:dyDescent="0.2">
      <c r="B105" s="423"/>
      <c r="D105" s="423"/>
      <c r="F105" s="423"/>
      <c r="L105" s="423"/>
    </row>
    <row r="106" spans="2:12" s="422" customFormat="1" ht="9.9499999999999993" customHeight="1" x14ac:dyDescent="0.2">
      <c r="B106" s="423"/>
      <c r="D106" s="423"/>
      <c r="F106" s="423"/>
      <c r="L106" s="423"/>
    </row>
    <row r="107" spans="2:12" s="422" customFormat="1" ht="9.9499999999999993" customHeight="1" x14ac:dyDescent="0.2">
      <c r="B107" s="423"/>
      <c r="D107" s="423"/>
      <c r="F107" s="423"/>
      <c r="L107" s="423"/>
    </row>
    <row r="108" spans="2:12" s="422" customFormat="1" ht="9.9499999999999993" customHeight="1" x14ac:dyDescent="0.2">
      <c r="B108" s="423"/>
      <c r="D108" s="423"/>
      <c r="F108" s="423"/>
      <c r="L108" s="423"/>
    </row>
    <row r="109" spans="2:12" s="422" customFormat="1" ht="9.9499999999999993" customHeight="1" x14ac:dyDescent="0.2">
      <c r="B109" s="423"/>
      <c r="D109" s="423"/>
      <c r="F109" s="423"/>
      <c r="L109" s="423"/>
    </row>
    <row r="110" spans="2:12" s="422" customFormat="1" ht="9.9499999999999993" customHeight="1" x14ac:dyDescent="0.2">
      <c r="B110" s="423"/>
      <c r="D110" s="423"/>
      <c r="F110" s="423"/>
      <c r="L110" s="423"/>
    </row>
    <row r="111" spans="2:12" s="422" customFormat="1" ht="9.9499999999999993" customHeight="1" x14ac:dyDescent="0.2">
      <c r="B111" s="423"/>
      <c r="D111" s="423"/>
      <c r="F111" s="423"/>
      <c r="L111" s="423"/>
    </row>
    <row r="112" spans="2:12" s="422" customFormat="1" ht="9.9499999999999993" customHeight="1" x14ac:dyDescent="0.2">
      <c r="B112" s="423"/>
      <c r="D112" s="423"/>
      <c r="F112" s="423"/>
      <c r="L112" s="423"/>
    </row>
    <row r="113" spans="2:12" s="422" customFormat="1" ht="9.9499999999999993" customHeight="1" x14ac:dyDescent="0.2">
      <c r="B113" s="423"/>
      <c r="D113" s="423"/>
      <c r="F113" s="423"/>
      <c r="L113" s="423"/>
    </row>
    <row r="114" spans="2:12" s="422" customFormat="1" ht="9.9499999999999993" customHeight="1" x14ac:dyDescent="0.2">
      <c r="B114" s="423"/>
      <c r="D114" s="423"/>
      <c r="F114" s="423"/>
      <c r="L114" s="423"/>
    </row>
    <row r="115" spans="2:12" s="422" customFormat="1" ht="9.9499999999999993" customHeight="1" x14ac:dyDescent="0.2">
      <c r="B115" s="423"/>
      <c r="D115" s="423"/>
      <c r="F115" s="423"/>
      <c r="L115" s="423"/>
    </row>
    <row r="116" spans="2:12" s="422" customFormat="1" ht="9.9499999999999993" customHeight="1" x14ac:dyDescent="0.2">
      <c r="B116" s="423"/>
      <c r="D116" s="423"/>
      <c r="F116" s="423"/>
      <c r="L116" s="423"/>
    </row>
    <row r="117" spans="2:12" s="422" customFormat="1" ht="9.9499999999999993" customHeight="1" x14ac:dyDescent="0.2">
      <c r="B117" s="423"/>
      <c r="D117" s="423"/>
      <c r="F117" s="423"/>
      <c r="L117" s="423"/>
    </row>
    <row r="118" spans="2:12" s="422" customFormat="1" ht="9.9499999999999993" customHeight="1" x14ac:dyDescent="0.2">
      <c r="B118" s="423"/>
      <c r="D118" s="423"/>
      <c r="F118" s="423"/>
      <c r="L118" s="423"/>
    </row>
    <row r="119" spans="2:12" s="422" customFormat="1" ht="9.9499999999999993" customHeight="1" x14ac:dyDescent="0.2">
      <c r="B119" s="423"/>
      <c r="D119" s="423"/>
      <c r="F119" s="423"/>
      <c r="L119" s="423"/>
    </row>
    <row r="120" spans="2:12" s="422" customFormat="1" ht="9.9499999999999993" customHeight="1" x14ac:dyDescent="0.2">
      <c r="B120" s="423"/>
      <c r="D120" s="423"/>
      <c r="F120" s="423"/>
      <c r="L120" s="423"/>
    </row>
    <row r="121" spans="2:12" s="422" customFormat="1" ht="9.9499999999999993" customHeight="1" x14ac:dyDescent="0.2">
      <c r="B121" s="423"/>
      <c r="D121" s="423"/>
      <c r="F121" s="423"/>
      <c r="L121" s="423"/>
    </row>
    <row r="122" spans="2:12" s="422" customFormat="1" ht="9.9499999999999993" customHeight="1" x14ac:dyDescent="0.2">
      <c r="B122" s="423"/>
      <c r="D122" s="423"/>
      <c r="F122" s="423"/>
      <c r="L122" s="423"/>
    </row>
    <row r="123" spans="2:12" s="422" customFormat="1" ht="9.9499999999999993" customHeight="1" x14ac:dyDescent="0.2">
      <c r="B123" s="423"/>
      <c r="D123" s="423"/>
      <c r="F123" s="423"/>
      <c r="L123" s="423"/>
    </row>
    <row r="124" spans="2:12" s="422" customFormat="1" ht="9.9499999999999993" customHeight="1" x14ac:dyDescent="0.2">
      <c r="B124" s="423"/>
      <c r="D124" s="423"/>
      <c r="F124" s="423"/>
      <c r="L124" s="423"/>
    </row>
    <row r="125" spans="2:12" s="422" customFormat="1" ht="9.9499999999999993" customHeight="1" x14ac:dyDescent="0.2">
      <c r="B125" s="423"/>
      <c r="D125" s="423"/>
      <c r="F125" s="423"/>
      <c r="L125" s="423"/>
    </row>
    <row r="126" spans="2:12" s="422" customFormat="1" ht="9.9499999999999993" customHeight="1" x14ac:dyDescent="0.2">
      <c r="B126" s="423"/>
      <c r="D126" s="423"/>
      <c r="F126" s="423"/>
      <c r="L126" s="423"/>
    </row>
    <row r="127" spans="2:12" s="422" customFormat="1" ht="9.9499999999999993" customHeight="1" x14ac:dyDescent="0.2">
      <c r="B127" s="423"/>
      <c r="D127" s="423"/>
      <c r="F127" s="423"/>
      <c r="L127" s="423"/>
    </row>
    <row r="128" spans="2:12" s="422" customFormat="1" ht="9.9499999999999993" customHeight="1" x14ac:dyDescent="0.2">
      <c r="B128" s="423"/>
      <c r="D128" s="423"/>
      <c r="F128" s="423"/>
      <c r="L128" s="423"/>
    </row>
    <row r="129" spans="2:12" s="422" customFormat="1" ht="9.9499999999999993" customHeight="1" x14ac:dyDescent="0.2">
      <c r="B129" s="423"/>
      <c r="D129" s="423"/>
      <c r="F129" s="423"/>
      <c r="L129" s="423"/>
    </row>
    <row r="130" spans="2:12" s="422" customFormat="1" ht="9.9499999999999993" customHeight="1" x14ac:dyDescent="0.2">
      <c r="B130" s="423"/>
      <c r="D130" s="423"/>
      <c r="F130" s="423"/>
      <c r="L130" s="423"/>
    </row>
    <row r="131" spans="2:12" s="422" customFormat="1" ht="9.9499999999999993" customHeight="1" x14ac:dyDescent="0.2">
      <c r="B131" s="423"/>
      <c r="D131" s="423"/>
      <c r="F131" s="423"/>
      <c r="L131" s="423"/>
    </row>
    <row r="132" spans="2:12" s="422" customFormat="1" ht="9.9499999999999993" customHeight="1" x14ac:dyDescent="0.2">
      <c r="B132" s="423"/>
      <c r="D132" s="423"/>
      <c r="F132" s="423"/>
      <c r="L132" s="423"/>
    </row>
    <row r="133" spans="2:12" s="422" customFormat="1" ht="9.9499999999999993" customHeight="1" x14ac:dyDescent="0.2">
      <c r="B133" s="423"/>
      <c r="D133" s="423"/>
      <c r="F133" s="423"/>
      <c r="L133" s="423"/>
    </row>
    <row r="134" spans="2:12" s="422" customFormat="1" ht="9.9499999999999993" customHeight="1" x14ac:dyDescent="0.2">
      <c r="B134" s="423"/>
      <c r="D134" s="423"/>
      <c r="F134" s="423"/>
      <c r="L134" s="423"/>
    </row>
    <row r="135" spans="2:12" s="422" customFormat="1" ht="9.9499999999999993" customHeight="1" x14ac:dyDescent="0.2">
      <c r="B135" s="423"/>
      <c r="D135" s="423"/>
      <c r="F135" s="423"/>
      <c r="L135" s="423"/>
    </row>
    <row r="136" spans="2:12" s="422" customFormat="1" ht="9.9499999999999993" customHeight="1" x14ac:dyDescent="0.2">
      <c r="B136" s="423"/>
      <c r="D136" s="423"/>
      <c r="F136" s="423"/>
      <c r="L136" s="423"/>
    </row>
    <row r="137" spans="2:12" s="422" customFormat="1" ht="9.9499999999999993" customHeight="1" x14ac:dyDescent="0.2">
      <c r="B137" s="423"/>
      <c r="D137" s="423"/>
      <c r="F137" s="423"/>
      <c r="L137" s="423"/>
    </row>
    <row r="138" spans="2:12" s="422" customFormat="1" ht="9.9499999999999993" customHeight="1" x14ac:dyDescent="0.2">
      <c r="B138" s="423"/>
      <c r="D138" s="423"/>
      <c r="F138" s="423"/>
      <c r="L138" s="423"/>
    </row>
    <row r="139" spans="2:12" s="422" customFormat="1" ht="9.9499999999999993" customHeight="1" x14ac:dyDescent="0.2">
      <c r="B139" s="423"/>
      <c r="D139" s="423"/>
      <c r="F139" s="423"/>
      <c r="L139" s="423"/>
    </row>
    <row r="140" spans="2:12" s="422" customFormat="1" ht="9.9499999999999993" customHeight="1" x14ac:dyDescent="0.2">
      <c r="B140" s="423"/>
      <c r="D140" s="423"/>
      <c r="F140" s="423"/>
      <c r="L140" s="423"/>
    </row>
    <row r="141" spans="2:12" s="422" customFormat="1" ht="9.9499999999999993" customHeight="1" x14ac:dyDescent="0.2">
      <c r="B141" s="423"/>
      <c r="D141" s="423"/>
      <c r="F141" s="423"/>
      <c r="L141" s="423"/>
    </row>
    <row r="142" spans="2:12" s="422" customFormat="1" ht="9.9499999999999993" customHeight="1" x14ac:dyDescent="0.2">
      <c r="B142" s="423"/>
      <c r="D142" s="423"/>
      <c r="F142" s="423"/>
      <c r="L142" s="423"/>
    </row>
    <row r="143" spans="2:12" s="422" customFormat="1" ht="9.9499999999999993" customHeight="1" x14ac:dyDescent="0.2">
      <c r="B143" s="423"/>
      <c r="D143" s="423"/>
      <c r="E143" s="422">
        <v>21</v>
      </c>
      <c r="F143" s="423"/>
      <c r="L143" s="423"/>
    </row>
    <row r="144" spans="2:12" s="422" customFormat="1" ht="9.9499999999999993" customHeight="1" x14ac:dyDescent="0.2">
      <c r="B144" s="423"/>
      <c r="D144" s="423"/>
      <c r="F144" s="423"/>
      <c r="L144" s="423"/>
    </row>
    <row r="145" spans="2:12" s="422" customFormat="1" ht="9.9499999999999993" customHeight="1" x14ac:dyDescent="0.2">
      <c r="B145" s="423"/>
      <c r="D145" s="423"/>
      <c r="F145" s="423"/>
      <c r="L145" s="423"/>
    </row>
    <row r="146" spans="2:12" s="422" customFormat="1" ht="9.9499999999999993" customHeight="1" x14ac:dyDescent="0.2">
      <c r="B146" s="423"/>
      <c r="D146" s="423"/>
      <c r="F146" s="423"/>
      <c r="L146" s="423"/>
    </row>
    <row r="147" spans="2:12" s="422" customFormat="1" ht="9.9499999999999993" customHeight="1" x14ac:dyDescent="0.2">
      <c r="B147" s="423"/>
      <c r="D147" s="423"/>
      <c r="F147" s="423"/>
      <c r="L147" s="423"/>
    </row>
    <row r="148" spans="2:12" s="422" customFormat="1" ht="9.9499999999999993" customHeight="1" x14ac:dyDescent="0.2">
      <c r="B148" s="423"/>
      <c r="D148" s="423"/>
      <c r="F148" s="423"/>
      <c r="L148" s="423"/>
    </row>
    <row r="149" spans="2:12" s="422" customFormat="1" ht="9.9499999999999993" customHeight="1" x14ac:dyDescent="0.2">
      <c r="B149" s="423"/>
      <c r="D149" s="423"/>
      <c r="F149" s="423"/>
      <c r="L149" s="423"/>
    </row>
    <row r="150" spans="2:12" s="422" customFormat="1" ht="9.9499999999999993" customHeight="1" x14ac:dyDescent="0.2">
      <c r="B150" s="423"/>
      <c r="D150" s="423"/>
      <c r="F150" s="423"/>
      <c r="L150" s="423"/>
    </row>
    <row r="151" spans="2:12" s="422" customFormat="1" ht="9.9499999999999993" customHeight="1" x14ac:dyDescent="0.2">
      <c r="B151" s="423"/>
      <c r="D151" s="423"/>
      <c r="F151" s="423"/>
      <c r="L151" s="423"/>
    </row>
    <row r="152" spans="2:12" s="422" customFormat="1" ht="9.9499999999999993" customHeight="1" x14ac:dyDescent="0.2">
      <c r="B152" s="423"/>
      <c r="D152" s="423"/>
      <c r="F152" s="423"/>
      <c r="L152" s="423"/>
    </row>
    <row r="153" spans="2:12" s="422" customFormat="1" ht="9.9499999999999993" customHeight="1" x14ac:dyDescent="0.2">
      <c r="B153" s="423"/>
      <c r="D153" s="423"/>
      <c r="F153" s="423"/>
      <c r="L153" s="423"/>
    </row>
    <row r="154" spans="2:12" s="422" customFormat="1" ht="9.9499999999999993" customHeight="1" x14ac:dyDescent="0.2">
      <c r="B154" s="423"/>
      <c r="D154" s="423"/>
      <c r="F154" s="423"/>
      <c r="L154" s="423"/>
    </row>
    <row r="155" spans="2:12" s="422" customFormat="1" ht="9.9499999999999993" customHeight="1" x14ac:dyDescent="0.2">
      <c r="B155" s="423"/>
      <c r="D155" s="423"/>
      <c r="F155" s="423"/>
      <c r="L155" s="423"/>
    </row>
    <row r="156" spans="2:12" s="422" customFormat="1" ht="9.9499999999999993" customHeight="1" x14ac:dyDescent="0.2">
      <c r="B156" s="423"/>
      <c r="D156" s="423"/>
      <c r="F156" s="423"/>
      <c r="L156" s="423"/>
    </row>
    <row r="157" spans="2:12" s="422" customFormat="1" ht="9.9499999999999993" customHeight="1" x14ac:dyDescent="0.2">
      <c r="B157" s="423"/>
      <c r="D157" s="423"/>
      <c r="F157" s="423"/>
      <c r="L157" s="423"/>
    </row>
    <row r="158" spans="2:12" s="422" customFormat="1" ht="9.9499999999999993" customHeight="1" x14ac:dyDescent="0.2">
      <c r="B158" s="423"/>
      <c r="D158" s="423"/>
      <c r="F158" s="423"/>
      <c r="L158" s="423"/>
    </row>
    <row r="159" spans="2:12" s="422" customFormat="1" ht="9.9499999999999993" customHeight="1" x14ac:dyDescent="0.2">
      <c r="B159" s="423"/>
      <c r="D159" s="423"/>
      <c r="F159" s="423"/>
      <c r="L159" s="423"/>
    </row>
    <row r="160" spans="2:12" s="422" customFormat="1" ht="9.9499999999999993" customHeight="1" x14ac:dyDescent="0.2">
      <c r="B160" s="423"/>
      <c r="D160" s="423"/>
      <c r="F160" s="423"/>
      <c r="L160" s="423"/>
    </row>
    <row r="161" spans="2:12" s="422" customFormat="1" ht="9.9499999999999993" customHeight="1" x14ac:dyDescent="0.2">
      <c r="B161" s="423"/>
      <c r="D161" s="423"/>
      <c r="F161" s="423"/>
      <c r="L161" s="423"/>
    </row>
    <row r="162" spans="2:12" s="422" customFormat="1" ht="9.9499999999999993" customHeight="1" x14ac:dyDescent="0.2">
      <c r="B162" s="423"/>
      <c r="D162" s="423"/>
      <c r="F162" s="423"/>
      <c r="L162" s="423"/>
    </row>
    <row r="163" spans="2:12" s="422" customFormat="1" ht="9.9499999999999993" customHeight="1" x14ac:dyDescent="0.2">
      <c r="B163" s="423"/>
      <c r="D163" s="423"/>
      <c r="F163" s="423"/>
      <c r="L163" s="423"/>
    </row>
    <row r="164" spans="2:12" s="422" customFormat="1" ht="9.9499999999999993" customHeight="1" x14ac:dyDescent="0.2">
      <c r="B164" s="423"/>
      <c r="D164" s="423"/>
      <c r="F164" s="423"/>
      <c r="L164" s="423"/>
    </row>
    <row r="165" spans="2:12" s="422" customFormat="1" ht="9.9499999999999993" customHeight="1" x14ac:dyDescent="0.2">
      <c r="B165" s="423"/>
      <c r="D165" s="423"/>
      <c r="F165" s="423"/>
      <c r="L165" s="423"/>
    </row>
    <row r="166" spans="2:12" s="422" customFormat="1" ht="9.9499999999999993" customHeight="1" x14ac:dyDescent="0.2">
      <c r="B166" s="423"/>
      <c r="D166" s="423"/>
      <c r="F166" s="423"/>
      <c r="L166" s="423"/>
    </row>
    <row r="167" spans="2:12" s="422" customFormat="1" ht="9.9499999999999993" customHeight="1" x14ac:dyDescent="0.2">
      <c r="B167" s="423"/>
      <c r="D167" s="423"/>
      <c r="F167" s="423"/>
      <c r="L167" s="423"/>
    </row>
    <row r="168" spans="2:12" s="422" customFormat="1" ht="9.9499999999999993" customHeight="1" x14ac:dyDescent="0.2">
      <c r="B168" s="423"/>
      <c r="D168" s="423"/>
      <c r="F168" s="423"/>
      <c r="L168" s="423"/>
    </row>
    <row r="169" spans="2:12" s="422" customFormat="1" ht="9.9499999999999993" customHeight="1" x14ac:dyDescent="0.2">
      <c r="B169" s="423"/>
      <c r="D169" s="423"/>
      <c r="F169" s="423"/>
      <c r="L169" s="423"/>
    </row>
    <row r="170" spans="2:12" s="422" customFormat="1" ht="9.9499999999999993" customHeight="1" x14ac:dyDescent="0.2">
      <c r="B170" s="423"/>
      <c r="D170" s="423"/>
      <c r="F170" s="423"/>
      <c r="L170" s="423"/>
    </row>
    <row r="171" spans="2:12" s="422" customFormat="1" ht="9.9499999999999993" customHeight="1" x14ac:dyDescent="0.2">
      <c r="B171" s="423"/>
      <c r="D171" s="423"/>
      <c r="F171" s="423"/>
      <c r="L171" s="423"/>
    </row>
    <row r="172" spans="2:12" s="422" customFormat="1" ht="9.9499999999999993" customHeight="1" x14ac:dyDescent="0.2">
      <c r="B172" s="423"/>
      <c r="D172" s="423"/>
      <c r="F172" s="423"/>
      <c r="L172" s="423"/>
    </row>
    <row r="173" spans="2:12" s="422" customFormat="1" ht="9.9499999999999993" customHeight="1" x14ac:dyDescent="0.2">
      <c r="B173" s="423"/>
      <c r="D173" s="423"/>
      <c r="F173" s="423"/>
      <c r="L173" s="423"/>
    </row>
    <row r="174" spans="2:12" s="422" customFormat="1" ht="9.9499999999999993" customHeight="1" x14ac:dyDescent="0.2">
      <c r="B174" s="423"/>
      <c r="D174" s="423"/>
      <c r="F174" s="423"/>
      <c r="L174" s="423"/>
    </row>
    <row r="175" spans="2:12" s="422" customFormat="1" ht="9.9499999999999993" customHeight="1" x14ac:dyDescent="0.2">
      <c r="B175" s="423"/>
      <c r="D175" s="423"/>
      <c r="F175" s="423"/>
      <c r="L175" s="423"/>
    </row>
    <row r="176" spans="2:12" s="422" customFormat="1" ht="9.9499999999999993" customHeight="1" x14ac:dyDescent="0.2">
      <c r="B176" s="423"/>
      <c r="D176" s="423"/>
      <c r="F176" s="423"/>
      <c r="L176" s="423"/>
    </row>
    <row r="177" spans="2:12" s="422" customFormat="1" ht="9.9499999999999993" customHeight="1" x14ac:dyDescent="0.2">
      <c r="B177" s="423"/>
      <c r="D177" s="423"/>
      <c r="F177" s="423"/>
      <c r="L177" s="423"/>
    </row>
    <row r="178" spans="2:12" s="422" customFormat="1" ht="9.9499999999999993" customHeight="1" x14ac:dyDescent="0.2">
      <c r="B178" s="423"/>
      <c r="D178" s="423"/>
      <c r="F178" s="423"/>
      <c r="L178" s="423"/>
    </row>
    <row r="179" spans="2:12" s="422" customFormat="1" ht="9.9499999999999993" customHeight="1" x14ac:dyDescent="0.2">
      <c r="B179" s="423"/>
      <c r="D179" s="423"/>
      <c r="F179" s="423"/>
      <c r="L179" s="423"/>
    </row>
    <row r="180" spans="2:12" s="422" customFormat="1" ht="9.9499999999999993" customHeight="1" x14ac:dyDescent="0.2">
      <c r="B180" s="423"/>
      <c r="D180" s="423"/>
      <c r="F180" s="423"/>
      <c r="L180" s="423"/>
    </row>
    <row r="181" spans="2:12" s="422" customFormat="1" ht="9.9499999999999993" customHeight="1" x14ac:dyDescent="0.2">
      <c r="B181" s="423"/>
      <c r="D181" s="423"/>
      <c r="F181" s="423"/>
      <c r="L181" s="423"/>
    </row>
    <row r="182" spans="2:12" s="422" customFormat="1" ht="9.9499999999999993" customHeight="1" x14ac:dyDescent="0.2">
      <c r="B182" s="423"/>
      <c r="D182" s="423"/>
      <c r="F182" s="423"/>
      <c r="L182" s="423"/>
    </row>
    <row r="183" spans="2:12" s="422" customFormat="1" ht="9.9499999999999993" customHeight="1" x14ac:dyDescent="0.2">
      <c r="B183" s="423"/>
      <c r="D183" s="423"/>
      <c r="F183" s="423"/>
      <c r="L183" s="423"/>
    </row>
    <row r="184" spans="2:12" s="422" customFormat="1" ht="9.9499999999999993" customHeight="1" x14ac:dyDescent="0.2">
      <c r="B184" s="423"/>
      <c r="D184" s="423"/>
      <c r="F184" s="423"/>
      <c r="L184" s="423"/>
    </row>
    <row r="185" spans="2:12" s="422" customFormat="1" ht="9.9499999999999993" customHeight="1" x14ac:dyDescent="0.2">
      <c r="B185" s="423"/>
      <c r="D185" s="423"/>
      <c r="F185" s="423"/>
      <c r="L185" s="423"/>
    </row>
    <row r="186" spans="2:12" s="422" customFormat="1" ht="9.9499999999999993" customHeight="1" x14ac:dyDescent="0.2">
      <c r="B186" s="423"/>
      <c r="D186" s="423"/>
      <c r="F186" s="423"/>
      <c r="L186" s="423"/>
    </row>
    <row r="187" spans="2:12" s="422" customFormat="1" ht="9.9499999999999993" customHeight="1" x14ac:dyDescent="0.2">
      <c r="B187" s="423"/>
      <c r="D187" s="423"/>
      <c r="F187" s="423"/>
      <c r="L187" s="423"/>
    </row>
    <row r="188" spans="2:12" s="422" customFormat="1" ht="9.9499999999999993" customHeight="1" x14ac:dyDescent="0.2">
      <c r="B188" s="423"/>
      <c r="D188" s="423"/>
      <c r="F188" s="423"/>
      <c r="L188" s="423"/>
    </row>
    <row r="189" spans="2:12" s="422" customFormat="1" ht="9.9499999999999993" customHeight="1" x14ac:dyDescent="0.2">
      <c r="B189" s="423"/>
      <c r="D189" s="423"/>
      <c r="F189" s="423"/>
      <c r="L189" s="423"/>
    </row>
    <row r="190" spans="2:12" s="422" customFormat="1" ht="9.9499999999999993" customHeight="1" x14ac:dyDescent="0.2">
      <c r="B190" s="423"/>
      <c r="D190" s="423"/>
      <c r="F190" s="423"/>
      <c r="L190" s="423"/>
    </row>
    <row r="191" spans="2:12" s="422" customFormat="1" ht="9.9499999999999993" customHeight="1" x14ac:dyDescent="0.2">
      <c r="B191" s="423"/>
      <c r="D191" s="423"/>
      <c r="F191" s="423"/>
      <c r="L191" s="423"/>
    </row>
    <row r="192" spans="2:12" s="422" customFormat="1" ht="9.9499999999999993" customHeight="1" x14ac:dyDescent="0.2">
      <c r="B192" s="423"/>
      <c r="D192" s="423"/>
      <c r="F192" s="423"/>
      <c r="L192" s="423"/>
    </row>
    <row r="193" spans="2:12" s="422" customFormat="1" ht="9.9499999999999993" customHeight="1" x14ac:dyDescent="0.2">
      <c r="B193" s="423"/>
      <c r="D193" s="423"/>
      <c r="F193" s="423"/>
      <c r="L193" s="423"/>
    </row>
    <row r="194" spans="2:12" s="422" customFormat="1" ht="9.9499999999999993" customHeight="1" x14ac:dyDescent="0.2">
      <c r="B194" s="423"/>
      <c r="D194" s="423"/>
      <c r="F194" s="423"/>
      <c r="L194" s="423"/>
    </row>
    <row r="195" spans="2:12" s="422" customFormat="1" ht="9.9499999999999993" customHeight="1" x14ac:dyDescent="0.2">
      <c r="B195" s="423"/>
      <c r="D195" s="423"/>
      <c r="F195" s="423"/>
      <c r="L195" s="423"/>
    </row>
    <row r="196" spans="2:12" s="422" customFormat="1" ht="9.9499999999999993" customHeight="1" x14ac:dyDescent="0.2">
      <c r="B196" s="423"/>
      <c r="D196" s="423"/>
      <c r="F196" s="423"/>
      <c r="L196" s="423"/>
    </row>
    <row r="197" spans="2:12" s="422" customFormat="1" ht="9.9499999999999993" customHeight="1" x14ac:dyDescent="0.2">
      <c r="B197" s="423"/>
      <c r="D197" s="423"/>
      <c r="F197" s="423"/>
      <c r="L197" s="423"/>
    </row>
    <row r="198" spans="2:12" s="422" customFormat="1" ht="9.9499999999999993" customHeight="1" x14ac:dyDescent="0.2">
      <c r="B198" s="423"/>
      <c r="D198" s="423"/>
      <c r="F198" s="423"/>
      <c r="L198" s="423"/>
    </row>
    <row r="199" spans="2:12" s="422" customFormat="1" ht="9.9499999999999993" customHeight="1" x14ac:dyDescent="0.2">
      <c r="B199" s="423"/>
      <c r="D199" s="423"/>
      <c r="F199" s="423"/>
      <c r="L199" s="423"/>
    </row>
    <row r="200" spans="2:12" s="422" customFormat="1" ht="9.9499999999999993" customHeight="1" x14ac:dyDescent="0.2">
      <c r="B200" s="423"/>
      <c r="D200" s="423"/>
      <c r="F200" s="423"/>
      <c r="L200" s="423"/>
    </row>
    <row r="201" spans="2:12" s="422" customFormat="1" ht="9.9499999999999993" customHeight="1" x14ac:dyDescent="0.2">
      <c r="B201" s="423"/>
      <c r="D201" s="423"/>
      <c r="F201" s="423"/>
      <c r="L201" s="423"/>
    </row>
    <row r="202" spans="2:12" s="422" customFormat="1" ht="9.9499999999999993" customHeight="1" x14ac:dyDescent="0.2">
      <c r="B202" s="423"/>
      <c r="D202" s="423"/>
      <c r="F202" s="423"/>
      <c r="L202" s="423"/>
    </row>
    <row r="203" spans="2:12" s="422" customFormat="1" ht="9.9499999999999993" customHeight="1" x14ac:dyDescent="0.2">
      <c r="B203" s="423"/>
      <c r="D203" s="423"/>
      <c r="F203" s="423"/>
      <c r="L203" s="423"/>
    </row>
    <row r="204" spans="2:12" s="422" customFormat="1" ht="9.9499999999999993" customHeight="1" x14ac:dyDescent="0.2">
      <c r="B204" s="423"/>
      <c r="D204" s="423"/>
      <c r="F204" s="423"/>
      <c r="L204" s="423"/>
    </row>
    <row r="205" spans="2:12" s="422" customFormat="1" ht="9.9499999999999993" customHeight="1" x14ac:dyDescent="0.2">
      <c r="B205" s="423"/>
      <c r="D205" s="423"/>
      <c r="F205" s="423"/>
      <c r="L205" s="423"/>
    </row>
    <row r="206" spans="2:12" s="422" customFormat="1" ht="9.9499999999999993" customHeight="1" x14ac:dyDescent="0.2">
      <c r="B206" s="423"/>
      <c r="D206" s="423"/>
      <c r="F206" s="423"/>
      <c r="L206" s="423"/>
    </row>
    <row r="207" spans="2:12" s="422" customFormat="1" ht="9.9499999999999993" customHeight="1" x14ac:dyDescent="0.2">
      <c r="B207" s="423"/>
      <c r="D207" s="423"/>
      <c r="F207" s="423"/>
      <c r="L207" s="423"/>
    </row>
    <row r="208" spans="2:12" s="422" customFormat="1" ht="9.9499999999999993" customHeight="1" x14ac:dyDescent="0.2">
      <c r="B208" s="423"/>
      <c r="D208" s="423"/>
      <c r="F208" s="423"/>
      <c r="L208" s="423"/>
    </row>
    <row r="209" spans="2:12" s="422" customFormat="1" ht="9.9499999999999993" customHeight="1" x14ac:dyDescent="0.2">
      <c r="B209" s="423"/>
      <c r="D209" s="423"/>
      <c r="F209" s="423"/>
      <c r="L209" s="423"/>
    </row>
    <row r="210" spans="2:12" s="422" customFormat="1" ht="9.9499999999999993" customHeight="1" x14ac:dyDescent="0.2">
      <c r="B210" s="423"/>
      <c r="D210" s="423"/>
      <c r="F210" s="423"/>
      <c r="L210" s="423"/>
    </row>
    <row r="211" spans="2:12" s="422" customFormat="1" ht="9.9499999999999993" customHeight="1" x14ac:dyDescent="0.2">
      <c r="B211" s="423"/>
      <c r="D211" s="423"/>
      <c r="F211" s="423"/>
      <c r="L211" s="423"/>
    </row>
    <row r="212" spans="2:12" s="422" customFormat="1" ht="9.9499999999999993" customHeight="1" x14ac:dyDescent="0.2">
      <c r="B212" s="423"/>
      <c r="D212" s="423"/>
      <c r="F212" s="423"/>
      <c r="L212" s="423"/>
    </row>
    <row r="213" spans="2:12" s="422" customFormat="1" ht="9.9499999999999993" customHeight="1" x14ac:dyDescent="0.2">
      <c r="B213" s="423"/>
      <c r="D213" s="423"/>
      <c r="F213" s="423"/>
      <c r="L213" s="423"/>
    </row>
    <row r="214" spans="2:12" s="422" customFormat="1" ht="9.9499999999999993" customHeight="1" x14ac:dyDescent="0.2">
      <c r="B214" s="423"/>
      <c r="D214" s="423"/>
      <c r="F214" s="423"/>
      <c r="L214" s="423"/>
    </row>
    <row r="215" spans="2:12" s="422" customFormat="1" ht="9.9499999999999993" customHeight="1" x14ac:dyDescent="0.2">
      <c r="B215" s="423"/>
      <c r="D215" s="423"/>
      <c r="F215" s="423"/>
      <c r="L215" s="423"/>
    </row>
    <row r="216" spans="2:12" s="422" customFormat="1" ht="9.9499999999999993" customHeight="1" x14ac:dyDescent="0.2">
      <c r="B216" s="423"/>
      <c r="D216" s="423"/>
      <c r="F216" s="423"/>
      <c r="L216" s="423"/>
    </row>
    <row r="217" spans="2:12" s="422" customFormat="1" ht="9.9499999999999993" customHeight="1" x14ac:dyDescent="0.2">
      <c r="B217" s="423"/>
      <c r="D217" s="423"/>
      <c r="F217" s="423"/>
      <c r="L217" s="423"/>
    </row>
    <row r="218" spans="2:12" s="422" customFormat="1" ht="9.9499999999999993" customHeight="1" x14ac:dyDescent="0.2">
      <c r="B218" s="423"/>
      <c r="D218" s="423"/>
      <c r="F218" s="423"/>
      <c r="L218" s="423"/>
    </row>
    <row r="219" spans="2:12" s="422" customFormat="1" ht="9.9499999999999993" customHeight="1" x14ac:dyDescent="0.2">
      <c r="B219" s="423"/>
      <c r="D219" s="423"/>
      <c r="F219" s="423"/>
      <c r="L219" s="423"/>
    </row>
    <row r="220" spans="2:12" s="422" customFormat="1" ht="9.9499999999999993" customHeight="1" x14ac:dyDescent="0.2">
      <c r="B220" s="423"/>
      <c r="D220" s="423"/>
      <c r="F220" s="423"/>
      <c r="L220" s="423"/>
    </row>
    <row r="221" spans="2:12" s="422" customFormat="1" ht="9.9499999999999993" customHeight="1" x14ac:dyDescent="0.2">
      <c r="B221" s="423"/>
      <c r="D221" s="423"/>
      <c r="F221" s="423"/>
      <c r="L221" s="423"/>
    </row>
    <row r="222" spans="2:12" s="422" customFormat="1" ht="9.9499999999999993" customHeight="1" x14ac:dyDescent="0.2">
      <c r="B222" s="423"/>
      <c r="D222" s="423"/>
      <c r="F222" s="423"/>
      <c r="L222" s="423"/>
    </row>
    <row r="223" spans="2:12" s="422" customFormat="1" ht="9.9499999999999993" customHeight="1" x14ac:dyDescent="0.2">
      <c r="B223" s="423"/>
      <c r="D223" s="423"/>
      <c r="F223" s="423"/>
      <c r="L223" s="423"/>
    </row>
    <row r="224" spans="2:12" s="422" customFormat="1" ht="9.9499999999999993" customHeight="1" x14ac:dyDescent="0.2">
      <c r="B224" s="423"/>
      <c r="D224" s="423"/>
      <c r="F224" s="423"/>
      <c r="L224" s="423"/>
    </row>
    <row r="225" spans="2:12" s="422" customFormat="1" ht="9.9499999999999993" customHeight="1" x14ac:dyDescent="0.2">
      <c r="B225" s="423"/>
      <c r="D225" s="423"/>
      <c r="F225" s="423"/>
      <c r="L225" s="423"/>
    </row>
    <row r="226" spans="2:12" s="422" customFormat="1" ht="9.9499999999999993" customHeight="1" x14ac:dyDescent="0.2">
      <c r="B226" s="423"/>
      <c r="D226" s="423"/>
      <c r="F226" s="423"/>
      <c r="L226" s="423"/>
    </row>
    <row r="227" spans="2:12" s="422" customFormat="1" ht="9.9499999999999993" customHeight="1" x14ac:dyDescent="0.2">
      <c r="B227" s="423"/>
      <c r="D227" s="423"/>
      <c r="F227" s="423"/>
      <c r="L227" s="423"/>
    </row>
    <row r="228" spans="2:12" s="422" customFormat="1" ht="9.9499999999999993" customHeight="1" x14ac:dyDescent="0.2">
      <c r="B228" s="423"/>
      <c r="D228" s="423"/>
      <c r="F228" s="423"/>
      <c r="L228" s="423"/>
    </row>
    <row r="229" spans="2:12" s="422" customFormat="1" ht="9.9499999999999993" customHeight="1" x14ac:dyDescent="0.2">
      <c r="B229" s="423"/>
      <c r="D229" s="423"/>
      <c r="F229" s="423"/>
      <c r="L229" s="423"/>
    </row>
    <row r="230" spans="2:12" s="422" customFormat="1" ht="9.9499999999999993" customHeight="1" x14ac:dyDescent="0.2">
      <c r="B230" s="423"/>
      <c r="D230" s="423"/>
      <c r="F230" s="423"/>
      <c r="L230" s="423"/>
    </row>
    <row r="231" spans="2:12" s="422" customFormat="1" ht="9.9499999999999993" customHeight="1" x14ac:dyDescent="0.2">
      <c r="B231" s="423"/>
      <c r="D231" s="423"/>
      <c r="F231" s="423"/>
      <c r="L231" s="423"/>
    </row>
    <row r="232" spans="2:12" s="422" customFormat="1" ht="9.9499999999999993" customHeight="1" x14ac:dyDescent="0.2">
      <c r="B232" s="423"/>
      <c r="D232" s="423"/>
      <c r="F232" s="423"/>
      <c r="L232" s="423"/>
    </row>
    <row r="233" spans="2:12" s="422" customFormat="1" ht="9.9499999999999993" customHeight="1" x14ac:dyDescent="0.2">
      <c r="B233" s="423"/>
      <c r="D233" s="423"/>
      <c r="F233" s="423"/>
      <c r="L233" s="423"/>
    </row>
    <row r="234" spans="2:12" s="422" customFormat="1" ht="9.9499999999999993" customHeight="1" x14ac:dyDescent="0.2">
      <c r="B234" s="423"/>
      <c r="D234" s="423"/>
      <c r="F234" s="423"/>
      <c r="L234" s="423"/>
    </row>
    <row r="235" spans="2:12" s="422" customFormat="1" ht="9.9499999999999993" customHeight="1" x14ac:dyDescent="0.2">
      <c r="B235" s="423"/>
      <c r="D235" s="423"/>
      <c r="F235" s="423"/>
      <c r="L235" s="423"/>
    </row>
    <row r="236" spans="2:12" s="422" customFormat="1" ht="9.9499999999999993" customHeight="1" x14ac:dyDescent="0.2">
      <c r="B236" s="423"/>
      <c r="D236" s="423"/>
      <c r="F236" s="423"/>
      <c r="L236" s="423"/>
    </row>
    <row r="237" spans="2:12" s="422" customFormat="1" ht="9.9499999999999993" customHeight="1" x14ac:dyDescent="0.2">
      <c r="B237" s="423"/>
      <c r="D237" s="423"/>
      <c r="F237" s="423"/>
      <c r="L237" s="423"/>
    </row>
    <row r="238" spans="2:12" s="422" customFormat="1" ht="9.9499999999999993" customHeight="1" x14ac:dyDescent="0.2">
      <c r="B238" s="423"/>
      <c r="D238" s="423"/>
      <c r="F238" s="423"/>
      <c r="L238" s="423"/>
    </row>
    <row r="239" spans="2:12" s="422" customFormat="1" ht="9.9499999999999993" customHeight="1" x14ac:dyDescent="0.2">
      <c r="B239" s="423"/>
      <c r="D239" s="423"/>
      <c r="F239" s="423"/>
      <c r="L239" s="423"/>
    </row>
    <row r="240" spans="2:12" s="422" customFormat="1" ht="9.9499999999999993" customHeight="1" x14ac:dyDescent="0.2">
      <c r="B240" s="423"/>
      <c r="D240" s="423"/>
      <c r="F240" s="423"/>
      <c r="L240" s="423"/>
    </row>
    <row r="241" spans="2:12" s="422" customFormat="1" ht="9.9499999999999993" customHeight="1" x14ac:dyDescent="0.2">
      <c r="B241" s="423"/>
      <c r="D241" s="423"/>
      <c r="F241" s="423"/>
      <c r="L241" s="423"/>
    </row>
    <row r="242" spans="2:12" s="422" customFormat="1" ht="9.9499999999999993" customHeight="1" x14ac:dyDescent="0.2">
      <c r="B242" s="423"/>
      <c r="D242" s="423"/>
      <c r="F242" s="423"/>
      <c r="L242" s="423"/>
    </row>
    <row r="243" spans="2:12" s="422" customFormat="1" ht="9.9499999999999993" customHeight="1" x14ac:dyDescent="0.2">
      <c r="B243" s="423"/>
      <c r="D243" s="423"/>
      <c r="F243" s="423"/>
      <c r="L243" s="423"/>
    </row>
    <row r="244" spans="2:12" s="422" customFormat="1" ht="9.9499999999999993" customHeight="1" x14ac:dyDescent="0.2">
      <c r="B244" s="423"/>
      <c r="D244" s="423"/>
      <c r="F244" s="423"/>
      <c r="L244" s="423"/>
    </row>
    <row r="245" spans="2:12" s="422" customFormat="1" ht="9.9499999999999993" customHeight="1" x14ac:dyDescent="0.2">
      <c r="B245" s="423"/>
      <c r="D245" s="423"/>
      <c r="F245" s="423"/>
      <c r="L245" s="423"/>
    </row>
    <row r="246" spans="2:12" s="422" customFormat="1" ht="9.9499999999999993" customHeight="1" x14ac:dyDescent="0.2">
      <c r="B246" s="423"/>
      <c r="D246" s="423"/>
      <c r="F246" s="423"/>
      <c r="L246" s="423"/>
    </row>
    <row r="247" spans="2:12" s="422" customFormat="1" ht="9.9499999999999993" customHeight="1" x14ac:dyDescent="0.2">
      <c r="B247" s="423"/>
      <c r="D247" s="423"/>
      <c r="F247" s="423"/>
      <c r="L247" s="423"/>
    </row>
    <row r="248" spans="2:12" s="422" customFormat="1" ht="9.9499999999999993" customHeight="1" x14ac:dyDescent="0.2">
      <c r="B248" s="423"/>
      <c r="D248" s="423"/>
      <c r="F248" s="423"/>
      <c r="L248" s="423"/>
    </row>
    <row r="249" spans="2:12" s="422" customFormat="1" ht="9.9499999999999993" customHeight="1" x14ac:dyDescent="0.2">
      <c r="B249" s="423"/>
      <c r="D249" s="423"/>
      <c r="F249" s="423"/>
      <c r="L249" s="423"/>
    </row>
    <row r="250" spans="2:12" s="422" customFormat="1" ht="9.9499999999999993" customHeight="1" x14ac:dyDescent="0.2">
      <c r="B250" s="423"/>
      <c r="D250" s="423"/>
      <c r="F250" s="423"/>
      <c r="L250" s="423"/>
    </row>
    <row r="251" spans="2:12" s="422" customFormat="1" ht="9.9499999999999993" customHeight="1" x14ac:dyDescent="0.2">
      <c r="B251" s="423"/>
      <c r="D251" s="423"/>
      <c r="F251" s="423"/>
      <c r="L251" s="423"/>
    </row>
    <row r="252" spans="2:12" s="422" customFormat="1" ht="9.9499999999999993" customHeight="1" x14ac:dyDescent="0.2">
      <c r="B252" s="423"/>
      <c r="D252" s="423"/>
      <c r="F252" s="423"/>
      <c r="L252" s="423"/>
    </row>
    <row r="253" spans="2:12" s="422" customFormat="1" ht="9.9499999999999993" customHeight="1" x14ac:dyDescent="0.2">
      <c r="B253" s="423"/>
      <c r="D253" s="423"/>
      <c r="F253" s="423"/>
      <c r="L253" s="423"/>
    </row>
    <row r="254" spans="2:12" s="422" customFormat="1" ht="9.9499999999999993" customHeight="1" x14ac:dyDescent="0.2">
      <c r="B254" s="423"/>
      <c r="D254" s="423"/>
      <c r="F254" s="423"/>
      <c r="L254" s="423"/>
    </row>
    <row r="255" spans="2:12" s="422" customFormat="1" ht="9.9499999999999993" customHeight="1" x14ac:dyDescent="0.2">
      <c r="B255" s="423"/>
      <c r="D255" s="423"/>
      <c r="F255" s="423"/>
      <c r="L255" s="423"/>
    </row>
    <row r="256" spans="2:12" s="422" customFormat="1" ht="9.9499999999999993" customHeight="1" x14ac:dyDescent="0.2">
      <c r="B256" s="423"/>
      <c r="D256" s="423"/>
      <c r="F256" s="423"/>
      <c r="L256" s="423"/>
    </row>
    <row r="257" spans="2:12" s="422" customFormat="1" ht="9.9499999999999993" customHeight="1" x14ac:dyDescent="0.2">
      <c r="B257" s="423"/>
      <c r="D257" s="423"/>
      <c r="F257" s="423"/>
      <c r="L257" s="423"/>
    </row>
    <row r="258" spans="2:12" s="422" customFormat="1" ht="9.9499999999999993" customHeight="1" x14ac:dyDescent="0.2">
      <c r="B258" s="423"/>
      <c r="D258" s="423"/>
      <c r="F258" s="423"/>
      <c r="L258" s="423"/>
    </row>
    <row r="259" spans="2:12" s="422" customFormat="1" ht="9.9499999999999993" customHeight="1" x14ac:dyDescent="0.2">
      <c r="B259" s="423"/>
      <c r="D259" s="423"/>
      <c r="F259" s="423"/>
      <c r="L259" s="423"/>
    </row>
    <row r="260" spans="2:12" s="422" customFormat="1" ht="9.9499999999999993" customHeight="1" x14ac:dyDescent="0.2">
      <c r="B260" s="423"/>
      <c r="D260" s="423"/>
      <c r="F260" s="423"/>
      <c r="L260" s="423"/>
    </row>
    <row r="261" spans="2:12" s="422" customFormat="1" ht="9.9499999999999993" customHeight="1" x14ac:dyDescent="0.2">
      <c r="B261" s="423"/>
      <c r="D261" s="423"/>
      <c r="F261" s="423"/>
      <c r="L261" s="423"/>
    </row>
    <row r="262" spans="2:12" s="422" customFormat="1" ht="9.9499999999999993" customHeight="1" x14ac:dyDescent="0.2">
      <c r="B262" s="423"/>
      <c r="D262" s="423"/>
      <c r="F262" s="423"/>
      <c r="L262" s="423"/>
    </row>
    <row r="263" spans="2:12" s="422" customFormat="1" ht="9.9499999999999993" customHeight="1" x14ac:dyDescent="0.2">
      <c r="B263" s="423"/>
      <c r="D263" s="423"/>
      <c r="F263" s="423"/>
      <c r="L263" s="423"/>
    </row>
    <row r="264" spans="2:12" s="422" customFormat="1" ht="9.9499999999999993" customHeight="1" x14ac:dyDescent="0.2">
      <c r="B264" s="423"/>
      <c r="D264" s="423"/>
      <c r="F264" s="423"/>
      <c r="L264" s="423"/>
    </row>
    <row r="265" spans="2:12" s="422" customFormat="1" ht="9.9499999999999993" customHeight="1" x14ac:dyDescent="0.2">
      <c r="B265" s="423"/>
      <c r="D265" s="423"/>
      <c r="F265" s="423"/>
      <c r="L265" s="423"/>
    </row>
    <row r="266" spans="2:12" s="422" customFormat="1" ht="9.9499999999999993" customHeight="1" x14ac:dyDescent="0.2">
      <c r="B266" s="423"/>
      <c r="D266" s="423"/>
      <c r="F266" s="423"/>
      <c r="L266" s="423"/>
    </row>
    <row r="267" spans="2:12" s="422" customFormat="1" ht="9.9499999999999993" customHeight="1" x14ac:dyDescent="0.2">
      <c r="B267" s="423"/>
      <c r="D267" s="423"/>
      <c r="F267" s="423"/>
      <c r="L267" s="423"/>
    </row>
    <row r="268" spans="2:12" s="422" customFormat="1" ht="9.9499999999999993" customHeight="1" x14ac:dyDescent="0.2">
      <c r="B268" s="423"/>
      <c r="D268" s="423"/>
      <c r="F268" s="423"/>
      <c r="L268" s="423"/>
    </row>
    <row r="269" spans="2:12" s="422" customFormat="1" ht="9.9499999999999993" customHeight="1" x14ac:dyDescent="0.2">
      <c r="B269" s="423"/>
      <c r="D269" s="423"/>
      <c r="F269" s="423"/>
      <c r="L269" s="423"/>
    </row>
    <row r="270" spans="2:12" s="422" customFormat="1" ht="9.9499999999999993" customHeight="1" x14ac:dyDescent="0.2">
      <c r="B270" s="423"/>
      <c r="D270" s="423"/>
      <c r="F270" s="423"/>
      <c r="L270" s="423"/>
    </row>
    <row r="271" spans="2:12" s="422" customFormat="1" ht="9.9499999999999993" customHeight="1" x14ac:dyDescent="0.2">
      <c r="B271" s="423"/>
      <c r="D271" s="423"/>
      <c r="F271" s="423"/>
      <c r="L271" s="423"/>
    </row>
    <row r="272" spans="2:12" s="422" customFormat="1" ht="9.9499999999999993" customHeight="1" x14ac:dyDescent="0.2">
      <c r="B272" s="423"/>
      <c r="D272" s="423"/>
      <c r="F272" s="423"/>
      <c r="L272" s="423"/>
    </row>
    <row r="273" spans="2:12" s="422" customFormat="1" ht="9.9499999999999993" customHeight="1" x14ac:dyDescent="0.2">
      <c r="B273" s="423"/>
      <c r="D273" s="423"/>
      <c r="F273" s="423"/>
      <c r="L273" s="423"/>
    </row>
    <row r="274" spans="2:12" s="422" customFormat="1" ht="9.9499999999999993" customHeight="1" x14ac:dyDescent="0.2">
      <c r="B274" s="423"/>
      <c r="D274" s="423"/>
      <c r="F274" s="423"/>
      <c r="L274" s="423"/>
    </row>
    <row r="275" spans="2:12" s="422" customFormat="1" ht="9.9499999999999993" customHeight="1" x14ac:dyDescent="0.2">
      <c r="B275" s="423"/>
      <c r="D275" s="423"/>
      <c r="F275" s="423"/>
      <c r="L275" s="423"/>
    </row>
    <row r="276" spans="2:12" s="422" customFormat="1" ht="9.9499999999999993" customHeight="1" x14ac:dyDescent="0.2">
      <c r="B276" s="423"/>
      <c r="D276" s="423"/>
      <c r="F276" s="423"/>
      <c r="L276" s="423"/>
    </row>
    <row r="277" spans="2:12" s="422" customFormat="1" ht="9.9499999999999993" customHeight="1" x14ac:dyDescent="0.2">
      <c r="B277" s="423"/>
      <c r="D277" s="423"/>
      <c r="F277" s="423"/>
      <c r="L277" s="423"/>
    </row>
    <row r="278" spans="2:12" s="422" customFormat="1" ht="9.9499999999999993" customHeight="1" x14ac:dyDescent="0.2">
      <c r="B278" s="423"/>
      <c r="D278" s="423"/>
      <c r="F278" s="423"/>
      <c r="L278" s="423"/>
    </row>
    <row r="279" spans="2:12" s="422" customFormat="1" ht="9.9499999999999993" customHeight="1" x14ac:dyDescent="0.2">
      <c r="B279" s="423"/>
      <c r="D279" s="423"/>
      <c r="F279" s="423"/>
      <c r="L279" s="423"/>
    </row>
    <row r="280" spans="2:12" s="422" customFormat="1" ht="9.9499999999999993" customHeight="1" x14ac:dyDescent="0.2">
      <c r="B280" s="423"/>
      <c r="D280" s="423"/>
      <c r="F280" s="423"/>
      <c r="L280" s="423"/>
    </row>
    <row r="281" spans="2:12" s="422" customFormat="1" ht="9.9499999999999993" customHeight="1" x14ac:dyDescent="0.2">
      <c r="B281" s="423"/>
      <c r="D281" s="423"/>
      <c r="F281" s="423"/>
      <c r="L281" s="423"/>
    </row>
    <row r="282" spans="2:12" s="326" customFormat="1" ht="9.9499999999999993" customHeight="1" x14ac:dyDescent="0.2">
      <c r="B282" s="327"/>
      <c r="D282" s="327"/>
      <c r="F282" s="327"/>
      <c r="L282" s="327"/>
    </row>
    <row r="283" spans="2:12" s="326" customFormat="1" ht="9.9499999999999993" customHeight="1" x14ac:dyDescent="0.2">
      <c r="B283" s="327"/>
      <c r="D283" s="327"/>
      <c r="F283" s="327"/>
      <c r="L283" s="327"/>
    </row>
    <row r="284" spans="2:12" s="326" customFormat="1" ht="9.9499999999999993" customHeight="1" x14ac:dyDescent="0.2">
      <c r="B284" s="327"/>
      <c r="D284" s="327"/>
      <c r="F284" s="327"/>
      <c r="L284" s="327"/>
    </row>
    <row r="285" spans="2:12" s="326" customFormat="1" ht="9.9499999999999993" customHeight="1" x14ac:dyDescent="0.2">
      <c r="B285" s="327"/>
      <c r="D285" s="327"/>
      <c r="F285" s="327"/>
      <c r="L285" s="327"/>
    </row>
    <row r="286" spans="2:12" s="326" customFormat="1" ht="9.9499999999999993" customHeight="1" x14ac:dyDescent="0.2">
      <c r="B286" s="327"/>
      <c r="D286" s="327"/>
      <c r="F286" s="327"/>
      <c r="L286" s="327"/>
    </row>
    <row r="287" spans="2:12" s="326" customFormat="1" ht="9.9499999999999993" customHeight="1" x14ac:dyDescent="0.2">
      <c r="B287" s="327"/>
      <c r="D287" s="327"/>
      <c r="F287" s="327"/>
      <c r="L287" s="327"/>
    </row>
    <row r="288" spans="2:12" s="326" customFormat="1" ht="9.9499999999999993" customHeight="1" x14ac:dyDescent="0.2">
      <c r="B288" s="327"/>
      <c r="D288" s="327"/>
      <c r="F288" s="327"/>
      <c r="L288" s="327"/>
    </row>
    <row r="289" spans="2:12" s="326" customFormat="1" ht="9.9499999999999993" customHeight="1" x14ac:dyDescent="0.2">
      <c r="B289" s="327"/>
      <c r="D289" s="327"/>
      <c r="F289" s="327"/>
      <c r="L289" s="327"/>
    </row>
    <row r="290" spans="2:12" s="326" customFormat="1" ht="9.9499999999999993" customHeight="1" x14ac:dyDescent="0.2">
      <c r="B290" s="327"/>
      <c r="D290" s="327"/>
      <c r="F290" s="327"/>
      <c r="L290" s="327"/>
    </row>
    <row r="291" spans="2:12" s="326" customFormat="1" ht="9.9499999999999993" customHeight="1" x14ac:dyDescent="0.2">
      <c r="B291" s="327"/>
      <c r="D291" s="327"/>
      <c r="F291" s="327"/>
      <c r="L291" s="327"/>
    </row>
    <row r="292" spans="2:12" s="326" customFormat="1" ht="9.9499999999999993" customHeight="1" x14ac:dyDescent="0.2">
      <c r="B292" s="327"/>
      <c r="D292" s="327"/>
      <c r="F292" s="327"/>
      <c r="L292" s="327"/>
    </row>
    <row r="293" spans="2:12" s="326" customFormat="1" ht="9.9499999999999993" customHeight="1" x14ac:dyDescent="0.2">
      <c r="B293" s="327"/>
      <c r="D293" s="327"/>
      <c r="F293" s="327"/>
      <c r="L293" s="327"/>
    </row>
    <row r="294" spans="2:12" s="326" customFormat="1" ht="9.9499999999999993" customHeight="1" x14ac:dyDescent="0.2">
      <c r="B294" s="327"/>
      <c r="D294" s="327"/>
      <c r="F294" s="327"/>
      <c r="L294" s="327"/>
    </row>
    <row r="295" spans="2:12" s="326" customFormat="1" ht="9.9499999999999993" customHeight="1" x14ac:dyDescent="0.2">
      <c r="B295" s="327"/>
      <c r="D295" s="327"/>
      <c r="F295" s="327"/>
      <c r="L295" s="327"/>
    </row>
    <row r="296" spans="2:12" s="326" customFormat="1" ht="9.9499999999999993" customHeight="1" x14ac:dyDescent="0.2">
      <c r="B296" s="327"/>
      <c r="D296" s="327"/>
      <c r="F296" s="327"/>
      <c r="L296" s="327"/>
    </row>
    <row r="297" spans="2:12" s="326" customFormat="1" ht="9.9499999999999993" customHeight="1" x14ac:dyDescent="0.2">
      <c r="B297" s="327"/>
      <c r="D297" s="327"/>
      <c r="F297" s="327"/>
      <c r="L297" s="327"/>
    </row>
    <row r="298" spans="2:12" s="326" customFormat="1" ht="9.9499999999999993" customHeight="1" x14ac:dyDescent="0.2">
      <c r="B298" s="327"/>
      <c r="D298" s="327"/>
      <c r="F298" s="327"/>
      <c r="L298" s="327"/>
    </row>
    <row r="299" spans="2:12" s="326" customFormat="1" ht="9.9499999999999993" customHeight="1" x14ac:dyDescent="0.2">
      <c r="B299" s="327"/>
      <c r="D299" s="327"/>
      <c r="F299" s="327"/>
      <c r="L299" s="327"/>
    </row>
    <row r="300" spans="2:12" s="326" customFormat="1" ht="9.9499999999999993" customHeight="1" x14ac:dyDescent="0.2">
      <c r="B300" s="327"/>
      <c r="D300" s="327"/>
      <c r="F300" s="327"/>
      <c r="L300" s="327"/>
    </row>
    <row r="301" spans="2:12" s="326" customFormat="1" ht="9.9499999999999993" customHeight="1" x14ac:dyDescent="0.2">
      <c r="B301" s="327"/>
      <c r="D301" s="327"/>
      <c r="F301" s="327"/>
      <c r="L301" s="327"/>
    </row>
    <row r="302" spans="2:12" s="326" customFormat="1" ht="9.9499999999999993" customHeight="1" x14ac:dyDescent="0.2">
      <c r="B302" s="327"/>
      <c r="D302" s="327"/>
      <c r="F302" s="327"/>
      <c r="L302" s="327"/>
    </row>
    <row r="303" spans="2:12" s="326" customFormat="1" ht="9.9499999999999993" customHeight="1" x14ac:dyDescent="0.2">
      <c r="B303" s="327"/>
      <c r="D303" s="327"/>
      <c r="F303" s="327"/>
      <c r="L303" s="327"/>
    </row>
    <row r="304" spans="2:12" s="326" customFormat="1" ht="9.9499999999999993" customHeight="1" x14ac:dyDescent="0.2">
      <c r="B304" s="327"/>
      <c r="D304" s="327"/>
      <c r="F304" s="327"/>
      <c r="L304" s="327"/>
    </row>
    <row r="305" spans="2:12" s="326" customFormat="1" ht="9.9499999999999993" customHeight="1" x14ac:dyDescent="0.2">
      <c r="B305" s="327"/>
      <c r="D305" s="327"/>
      <c r="F305" s="327"/>
      <c r="L305" s="327"/>
    </row>
    <row r="306" spans="2:12" s="326" customFormat="1" ht="9.9499999999999993" customHeight="1" x14ac:dyDescent="0.2">
      <c r="B306" s="327"/>
      <c r="D306" s="327"/>
      <c r="F306" s="327"/>
      <c r="L306" s="327"/>
    </row>
    <row r="307" spans="2:12" s="326" customFormat="1" ht="9.9499999999999993" customHeight="1" x14ac:dyDescent="0.2">
      <c r="B307" s="327"/>
      <c r="D307" s="327"/>
      <c r="F307" s="327"/>
      <c r="L307" s="327"/>
    </row>
    <row r="308" spans="2:12" s="326" customFormat="1" ht="9.9499999999999993" customHeight="1" x14ac:dyDescent="0.2">
      <c r="B308" s="327"/>
      <c r="D308" s="327"/>
      <c r="F308" s="327"/>
      <c r="L308" s="327"/>
    </row>
    <row r="309" spans="2:12" s="326" customFormat="1" ht="9.9499999999999993" customHeight="1" x14ac:dyDescent="0.2">
      <c r="B309" s="327"/>
      <c r="D309" s="327"/>
      <c r="F309" s="327"/>
      <c r="L309" s="327"/>
    </row>
    <row r="310" spans="2:12" s="326" customFormat="1" ht="9.9499999999999993" customHeight="1" x14ac:dyDescent="0.2">
      <c r="B310" s="327"/>
      <c r="D310" s="327"/>
      <c r="F310" s="327"/>
      <c r="L310" s="327"/>
    </row>
    <row r="311" spans="2:12" s="326" customFormat="1" ht="9.9499999999999993" customHeight="1" x14ac:dyDescent="0.2">
      <c r="B311" s="327"/>
      <c r="D311" s="327"/>
      <c r="F311" s="327"/>
      <c r="L311" s="327"/>
    </row>
    <row r="312" spans="2:12" s="326" customFormat="1" ht="9.9499999999999993" customHeight="1" x14ac:dyDescent="0.2">
      <c r="B312" s="327"/>
      <c r="D312" s="327"/>
      <c r="F312" s="327"/>
      <c r="L312" s="327"/>
    </row>
    <row r="313" spans="2:12" s="326" customFormat="1" ht="9.9499999999999993" customHeight="1" x14ac:dyDescent="0.2">
      <c r="B313" s="327"/>
      <c r="D313" s="327"/>
      <c r="F313" s="327"/>
      <c r="L313" s="327"/>
    </row>
    <row r="314" spans="2:12" s="326" customFormat="1" ht="9.9499999999999993" customHeight="1" x14ac:dyDescent="0.2">
      <c r="B314" s="327"/>
      <c r="D314" s="327"/>
      <c r="F314" s="327"/>
      <c r="L314" s="327"/>
    </row>
    <row r="315" spans="2:12" s="326" customFormat="1" ht="9.9499999999999993" customHeight="1" x14ac:dyDescent="0.2">
      <c r="B315" s="327"/>
      <c r="D315" s="327"/>
      <c r="F315" s="327"/>
      <c r="L315" s="327"/>
    </row>
    <row r="316" spans="2:12" s="326" customFormat="1" ht="9.9499999999999993" customHeight="1" x14ac:dyDescent="0.2">
      <c r="B316" s="327"/>
      <c r="D316" s="327"/>
      <c r="F316" s="327"/>
      <c r="L316" s="327"/>
    </row>
    <row r="317" spans="2:12" s="326" customFormat="1" ht="9.9499999999999993" customHeight="1" x14ac:dyDescent="0.2">
      <c r="B317" s="327"/>
      <c r="D317" s="327"/>
      <c r="F317" s="327"/>
      <c r="L317" s="327"/>
    </row>
    <row r="318" spans="2:12" s="326" customFormat="1" ht="9.9499999999999993" customHeight="1" x14ac:dyDescent="0.2">
      <c r="B318" s="327"/>
      <c r="D318" s="327"/>
      <c r="F318" s="327"/>
      <c r="L318" s="327"/>
    </row>
    <row r="319" spans="2:12" s="326" customFormat="1" ht="9.9499999999999993" customHeight="1" x14ac:dyDescent="0.2">
      <c r="B319" s="327"/>
      <c r="D319" s="327"/>
      <c r="F319" s="327"/>
      <c r="L319" s="327"/>
    </row>
    <row r="320" spans="2:12" s="326" customFormat="1" ht="9.9499999999999993" customHeight="1" x14ac:dyDescent="0.2">
      <c r="B320" s="327"/>
      <c r="D320" s="327"/>
      <c r="F320" s="327"/>
      <c r="L320" s="327"/>
    </row>
    <row r="321" spans="2:12" s="326" customFormat="1" ht="9.9499999999999993" customHeight="1" x14ac:dyDescent="0.2">
      <c r="B321" s="327"/>
      <c r="D321" s="327"/>
      <c r="F321" s="327"/>
      <c r="L321" s="327"/>
    </row>
    <row r="322" spans="2:12" s="326" customFormat="1" ht="9.9499999999999993" customHeight="1" x14ac:dyDescent="0.2">
      <c r="B322" s="327"/>
      <c r="D322" s="327"/>
      <c r="F322" s="327"/>
      <c r="L322" s="327"/>
    </row>
    <row r="323" spans="2:12" s="326" customFormat="1" ht="9.9499999999999993" customHeight="1" x14ac:dyDescent="0.2">
      <c r="B323" s="327"/>
      <c r="D323" s="327"/>
      <c r="F323" s="327"/>
      <c r="L323" s="327"/>
    </row>
    <row r="324" spans="2:12" s="326" customFormat="1" ht="9.9499999999999993" customHeight="1" x14ac:dyDescent="0.2">
      <c r="B324" s="327"/>
      <c r="D324" s="327"/>
      <c r="F324" s="327"/>
      <c r="L324" s="327"/>
    </row>
    <row r="325" spans="2:12" s="326" customFormat="1" ht="9.9499999999999993" customHeight="1" x14ac:dyDescent="0.2">
      <c r="B325" s="327"/>
      <c r="D325" s="327"/>
      <c r="F325" s="327"/>
      <c r="L325" s="327"/>
    </row>
    <row r="326" spans="2:12" s="326" customFormat="1" ht="9.9499999999999993" customHeight="1" x14ac:dyDescent="0.2">
      <c r="B326" s="327"/>
      <c r="D326" s="327"/>
      <c r="F326" s="327"/>
      <c r="L326" s="327"/>
    </row>
    <row r="327" spans="2:12" s="326" customFormat="1" ht="9.9499999999999993" customHeight="1" x14ac:dyDescent="0.2">
      <c r="B327" s="327"/>
      <c r="D327" s="327"/>
      <c r="F327" s="327"/>
      <c r="L327" s="327"/>
    </row>
    <row r="328" spans="2:12" s="326" customFormat="1" ht="9.9499999999999993" customHeight="1" x14ac:dyDescent="0.2">
      <c r="B328" s="327"/>
      <c r="D328" s="327"/>
      <c r="F328" s="327"/>
      <c r="L328" s="327"/>
    </row>
    <row r="329" spans="2:12" s="326" customFormat="1" ht="9.9499999999999993" customHeight="1" x14ac:dyDescent="0.2">
      <c r="B329" s="327"/>
      <c r="D329" s="327"/>
      <c r="F329" s="327"/>
      <c r="L329" s="327"/>
    </row>
    <row r="330" spans="2:12" s="326" customFormat="1" ht="9.9499999999999993" customHeight="1" x14ac:dyDescent="0.2">
      <c r="B330" s="327"/>
      <c r="D330" s="327"/>
      <c r="F330" s="327"/>
      <c r="L330" s="327"/>
    </row>
    <row r="331" spans="2:12" s="326" customFormat="1" ht="9.9499999999999993" customHeight="1" x14ac:dyDescent="0.2">
      <c r="B331" s="327"/>
      <c r="D331" s="327"/>
      <c r="F331" s="327"/>
      <c r="L331" s="327"/>
    </row>
    <row r="332" spans="2:12" s="326" customFormat="1" ht="9.9499999999999993" customHeight="1" x14ac:dyDescent="0.2">
      <c r="B332" s="327"/>
      <c r="D332" s="327"/>
      <c r="F332" s="327"/>
      <c r="L332" s="327"/>
    </row>
    <row r="333" spans="2:12" s="326" customFormat="1" ht="9.9499999999999993" customHeight="1" x14ac:dyDescent="0.2">
      <c r="B333" s="327"/>
      <c r="D333" s="327"/>
      <c r="F333" s="327"/>
      <c r="L333" s="327"/>
    </row>
    <row r="334" spans="2:12" s="326" customFormat="1" ht="9.9499999999999993" customHeight="1" x14ac:dyDescent="0.2">
      <c r="B334" s="327"/>
      <c r="D334" s="327"/>
      <c r="F334" s="327"/>
      <c r="L334" s="327"/>
    </row>
    <row r="335" spans="2:12" s="326" customFormat="1" ht="9.9499999999999993" customHeight="1" x14ac:dyDescent="0.2">
      <c r="B335" s="327"/>
      <c r="D335" s="327"/>
      <c r="F335" s="327"/>
      <c r="L335" s="327"/>
    </row>
    <row r="336" spans="2:12" s="326" customFormat="1" ht="9.9499999999999993" customHeight="1" x14ac:dyDescent="0.2">
      <c r="B336" s="327"/>
      <c r="D336" s="327"/>
      <c r="F336" s="327"/>
      <c r="L336" s="327"/>
    </row>
    <row r="337" spans="2:12" s="326" customFormat="1" ht="9.9499999999999993" customHeight="1" x14ac:dyDescent="0.2">
      <c r="B337" s="327"/>
      <c r="D337" s="327"/>
      <c r="F337" s="327"/>
      <c r="L337" s="327"/>
    </row>
    <row r="338" spans="2:12" s="326" customFormat="1" ht="9.9499999999999993" customHeight="1" x14ac:dyDescent="0.2">
      <c r="B338" s="327"/>
      <c r="D338" s="327"/>
      <c r="F338" s="327"/>
      <c r="L338" s="327"/>
    </row>
    <row r="339" spans="2:12" s="326" customFormat="1" ht="9.9499999999999993" customHeight="1" x14ac:dyDescent="0.2">
      <c r="B339" s="327"/>
      <c r="D339" s="327"/>
      <c r="F339" s="327"/>
      <c r="L339" s="327"/>
    </row>
    <row r="340" spans="2:12" s="326" customFormat="1" ht="9.9499999999999993" customHeight="1" x14ac:dyDescent="0.2">
      <c r="B340" s="327"/>
      <c r="D340" s="327"/>
      <c r="F340" s="327"/>
      <c r="L340" s="327"/>
    </row>
    <row r="341" spans="2:12" s="326" customFormat="1" ht="9.9499999999999993" customHeight="1" x14ac:dyDescent="0.2">
      <c r="B341" s="327"/>
      <c r="D341" s="327"/>
      <c r="F341" s="327"/>
      <c r="L341" s="327"/>
    </row>
    <row r="342" spans="2:12" s="326" customFormat="1" ht="9.9499999999999993" customHeight="1" x14ac:dyDescent="0.2">
      <c r="B342" s="327"/>
      <c r="D342" s="327"/>
      <c r="F342" s="327"/>
      <c r="L342" s="327"/>
    </row>
    <row r="343" spans="2:12" s="326" customFormat="1" ht="9.9499999999999993" customHeight="1" x14ac:dyDescent="0.2">
      <c r="B343" s="327"/>
      <c r="D343" s="327"/>
      <c r="F343" s="327"/>
      <c r="L343" s="327"/>
    </row>
    <row r="344" spans="2:12" s="326" customFormat="1" ht="9.9499999999999993" customHeight="1" x14ac:dyDescent="0.2">
      <c r="B344" s="327"/>
      <c r="D344" s="327"/>
      <c r="F344" s="327"/>
      <c r="L344" s="327"/>
    </row>
    <row r="345" spans="2:12" s="326" customFormat="1" ht="9.9499999999999993" customHeight="1" x14ac:dyDescent="0.2">
      <c r="B345" s="327"/>
      <c r="D345" s="327"/>
      <c r="F345" s="327"/>
      <c r="L345" s="327"/>
    </row>
    <row r="346" spans="2:12" s="326" customFormat="1" ht="9.9499999999999993" customHeight="1" x14ac:dyDescent="0.2">
      <c r="B346" s="327"/>
      <c r="D346" s="327"/>
      <c r="F346" s="327"/>
      <c r="L346" s="327"/>
    </row>
    <row r="347" spans="2:12" s="326" customFormat="1" ht="9.9499999999999993" customHeight="1" x14ac:dyDescent="0.2">
      <c r="B347" s="327"/>
      <c r="D347" s="327"/>
      <c r="F347" s="327"/>
      <c r="L347" s="327"/>
    </row>
    <row r="348" spans="2:12" s="326" customFormat="1" ht="9.9499999999999993" customHeight="1" x14ac:dyDescent="0.2">
      <c r="B348" s="327"/>
      <c r="D348" s="327"/>
      <c r="F348" s="327"/>
      <c r="L348" s="327"/>
    </row>
    <row r="349" spans="2:12" s="326" customFormat="1" ht="9.9499999999999993" customHeight="1" x14ac:dyDescent="0.2">
      <c r="B349" s="327"/>
      <c r="D349" s="327"/>
      <c r="F349" s="327"/>
      <c r="L349" s="327"/>
    </row>
    <row r="350" spans="2:12" s="326" customFormat="1" ht="9.9499999999999993" customHeight="1" x14ac:dyDescent="0.2">
      <c r="B350" s="327"/>
      <c r="D350" s="327"/>
      <c r="F350" s="327"/>
      <c r="L350" s="327"/>
    </row>
    <row r="351" spans="2:12" s="326" customFormat="1" ht="9.9499999999999993" customHeight="1" x14ac:dyDescent="0.2">
      <c r="B351" s="327"/>
      <c r="D351" s="327"/>
      <c r="F351" s="327"/>
      <c r="L351" s="327"/>
    </row>
    <row r="352" spans="2:12" s="326" customFormat="1" ht="9.9499999999999993" customHeight="1" x14ac:dyDescent="0.2">
      <c r="B352" s="327"/>
      <c r="D352" s="327"/>
      <c r="F352" s="327"/>
      <c r="L352" s="327"/>
    </row>
    <row r="353" spans="2:12" s="326" customFormat="1" ht="9.9499999999999993" customHeight="1" x14ac:dyDescent="0.2">
      <c r="B353" s="327"/>
      <c r="D353" s="327"/>
      <c r="F353" s="327"/>
      <c r="L353" s="327"/>
    </row>
    <row r="354" spans="2:12" s="326" customFormat="1" ht="9.9499999999999993" customHeight="1" x14ac:dyDescent="0.2">
      <c r="B354" s="327"/>
      <c r="D354" s="327"/>
      <c r="F354" s="327"/>
      <c r="L354" s="327"/>
    </row>
    <row r="355" spans="2:12" s="326" customFormat="1" ht="9.9499999999999993" customHeight="1" x14ac:dyDescent="0.2">
      <c r="B355" s="327"/>
      <c r="D355" s="327"/>
      <c r="F355" s="327"/>
      <c r="L355" s="327"/>
    </row>
    <row r="356" spans="2:12" s="326" customFormat="1" ht="9.9499999999999993" customHeight="1" x14ac:dyDescent="0.2">
      <c r="B356" s="327"/>
      <c r="D356" s="327"/>
      <c r="F356" s="327"/>
      <c r="L356" s="327"/>
    </row>
    <row r="357" spans="2:12" s="326" customFormat="1" ht="9.9499999999999993" customHeight="1" x14ac:dyDescent="0.2">
      <c r="B357" s="327"/>
      <c r="D357" s="327"/>
      <c r="F357" s="327"/>
      <c r="L357" s="327"/>
    </row>
    <row r="358" spans="2:12" s="326" customFormat="1" ht="9.9499999999999993" customHeight="1" x14ac:dyDescent="0.2">
      <c r="B358" s="327"/>
      <c r="D358" s="327"/>
      <c r="F358" s="327"/>
      <c r="L358" s="327"/>
    </row>
    <row r="359" spans="2:12" s="326" customFormat="1" ht="9.9499999999999993" customHeight="1" x14ac:dyDescent="0.2">
      <c r="B359" s="327"/>
      <c r="D359" s="327"/>
      <c r="F359" s="327"/>
      <c r="L359" s="327"/>
    </row>
    <row r="360" spans="2:12" s="326" customFormat="1" ht="9.9499999999999993" customHeight="1" x14ac:dyDescent="0.2">
      <c r="B360" s="327"/>
      <c r="D360" s="327"/>
      <c r="F360" s="327"/>
      <c r="L360" s="327"/>
    </row>
    <row r="361" spans="2:12" s="326" customFormat="1" ht="9.9499999999999993" customHeight="1" x14ac:dyDescent="0.2">
      <c r="B361" s="327"/>
      <c r="D361" s="327"/>
      <c r="F361" s="327"/>
      <c r="L361" s="327"/>
    </row>
    <row r="362" spans="2:12" s="326" customFormat="1" ht="9.9499999999999993" customHeight="1" x14ac:dyDescent="0.2">
      <c r="B362" s="327"/>
      <c r="D362" s="327"/>
      <c r="F362" s="327"/>
      <c r="L362" s="327"/>
    </row>
    <row r="363" spans="2:12" s="326" customFormat="1" ht="9.9499999999999993" customHeight="1" x14ac:dyDescent="0.2">
      <c r="B363" s="327"/>
      <c r="D363" s="327"/>
      <c r="F363" s="327"/>
      <c r="L363" s="327"/>
    </row>
    <row r="364" spans="2:12" s="326" customFormat="1" ht="9.9499999999999993" customHeight="1" x14ac:dyDescent="0.2">
      <c r="B364" s="327"/>
      <c r="D364" s="327"/>
      <c r="F364" s="327"/>
      <c r="L364" s="327"/>
    </row>
    <row r="365" spans="2:12" s="326" customFormat="1" ht="9.9499999999999993" customHeight="1" x14ac:dyDescent="0.2">
      <c r="B365" s="327"/>
      <c r="D365" s="327"/>
      <c r="F365" s="327"/>
      <c r="L365" s="327"/>
    </row>
    <row r="366" spans="2:12" s="326" customFormat="1" ht="9.9499999999999993" customHeight="1" x14ac:dyDescent="0.2">
      <c r="B366" s="327"/>
      <c r="D366" s="327"/>
      <c r="F366" s="327"/>
      <c r="L366" s="327"/>
    </row>
    <row r="367" spans="2:12" s="326" customFormat="1" ht="9.9499999999999993" customHeight="1" x14ac:dyDescent="0.2">
      <c r="B367" s="327"/>
      <c r="D367" s="327"/>
      <c r="F367" s="327"/>
      <c r="L367" s="327"/>
    </row>
    <row r="368" spans="2:12" s="326" customFormat="1" ht="9.9499999999999993" customHeight="1" x14ac:dyDescent="0.2">
      <c r="B368" s="327"/>
      <c r="D368" s="327"/>
      <c r="F368" s="327"/>
      <c r="L368" s="327"/>
    </row>
    <row r="369" spans="2:12" s="326" customFormat="1" ht="9.9499999999999993" customHeight="1" x14ac:dyDescent="0.2">
      <c r="B369" s="327"/>
      <c r="D369" s="327"/>
      <c r="F369" s="327"/>
      <c r="L369" s="327"/>
    </row>
    <row r="370" spans="2:12" s="326" customFormat="1" ht="9.9499999999999993" customHeight="1" x14ac:dyDescent="0.2">
      <c r="B370" s="327"/>
      <c r="D370" s="327"/>
      <c r="F370" s="327"/>
      <c r="L370" s="327"/>
    </row>
    <row r="371" spans="2:12" s="326" customFormat="1" ht="9.9499999999999993" customHeight="1" x14ac:dyDescent="0.2">
      <c r="B371" s="327"/>
      <c r="D371" s="327"/>
      <c r="F371" s="327"/>
      <c r="L371" s="327"/>
    </row>
    <row r="372" spans="2:12" s="326" customFormat="1" ht="9.9499999999999993" customHeight="1" x14ac:dyDescent="0.2">
      <c r="B372" s="327"/>
      <c r="D372" s="327"/>
      <c r="F372" s="327"/>
      <c r="L372" s="327"/>
    </row>
    <row r="373" spans="2:12" s="326" customFormat="1" ht="9.9499999999999993" customHeight="1" x14ac:dyDescent="0.2">
      <c r="B373" s="327"/>
      <c r="D373" s="327"/>
      <c r="F373" s="327"/>
      <c r="L373" s="327"/>
    </row>
    <row r="374" spans="2:12" s="326" customFormat="1" ht="9.9499999999999993" customHeight="1" x14ac:dyDescent="0.2">
      <c r="B374" s="327"/>
      <c r="D374" s="327"/>
      <c r="F374" s="327"/>
      <c r="L374" s="327"/>
    </row>
    <row r="375" spans="2:12" s="326" customFormat="1" ht="9.9499999999999993" customHeight="1" x14ac:dyDescent="0.2">
      <c r="B375" s="327"/>
      <c r="D375" s="327"/>
      <c r="F375" s="327"/>
      <c r="L375" s="327"/>
    </row>
    <row r="376" spans="2:12" s="326" customFormat="1" ht="9.9499999999999993" customHeight="1" x14ac:dyDescent="0.2">
      <c r="B376" s="327"/>
      <c r="D376" s="327"/>
      <c r="F376" s="327"/>
      <c r="L376" s="327"/>
    </row>
    <row r="377" spans="2:12" s="326" customFormat="1" ht="9.9499999999999993" customHeight="1" x14ac:dyDescent="0.2">
      <c r="B377" s="327"/>
      <c r="D377" s="327"/>
      <c r="F377" s="327"/>
      <c r="L377" s="327"/>
    </row>
    <row r="378" spans="2:12" s="326" customFormat="1" ht="9.9499999999999993" customHeight="1" x14ac:dyDescent="0.2">
      <c r="B378" s="327"/>
      <c r="D378" s="327"/>
      <c r="F378" s="327"/>
      <c r="L378" s="327"/>
    </row>
    <row r="379" spans="2:12" s="326" customFormat="1" ht="9.9499999999999993" customHeight="1" x14ac:dyDescent="0.2">
      <c r="B379" s="327"/>
      <c r="D379" s="327"/>
      <c r="F379" s="327"/>
      <c r="L379" s="327"/>
    </row>
    <row r="380" spans="2:12" s="326" customFormat="1" ht="9.9499999999999993" customHeight="1" x14ac:dyDescent="0.2">
      <c r="B380" s="327"/>
      <c r="D380" s="327"/>
      <c r="F380" s="327"/>
      <c r="L380" s="327"/>
    </row>
    <row r="381" spans="2:12" s="326" customFormat="1" ht="9.9499999999999993" customHeight="1" x14ac:dyDescent="0.2">
      <c r="B381" s="327"/>
      <c r="D381" s="327"/>
      <c r="F381" s="327"/>
      <c r="L381" s="327"/>
    </row>
    <row r="382" spans="2:12" s="326" customFormat="1" ht="9.9499999999999993" customHeight="1" x14ac:dyDescent="0.2">
      <c r="B382" s="327"/>
      <c r="D382" s="327"/>
      <c r="F382" s="327"/>
      <c r="L382" s="327"/>
    </row>
    <row r="383" spans="2:12" s="326" customFormat="1" ht="9.9499999999999993" customHeight="1" x14ac:dyDescent="0.2">
      <c r="B383" s="327"/>
      <c r="D383" s="327"/>
      <c r="F383" s="327"/>
      <c r="L383" s="327"/>
    </row>
    <row r="384" spans="2:12" s="326" customFormat="1" ht="9.9499999999999993" customHeight="1" x14ac:dyDescent="0.2">
      <c r="B384" s="327"/>
      <c r="D384" s="327"/>
      <c r="F384" s="327"/>
      <c r="L384" s="327"/>
    </row>
    <row r="385" spans="2:12" s="326" customFormat="1" ht="9.9499999999999993" customHeight="1" x14ac:dyDescent="0.2">
      <c r="B385" s="327"/>
      <c r="D385" s="327"/>
      <c r="F385" s="327"/>
      <c r="L385" s="327"/>
    </row>
    <row r="386" spans="2:12" s="326" customFormat="1" ht="9.9499999999999993" customHeight="1" x14ac:dyDescent="0.2">
      <c r="B386" s="327"/>
      <c r="D386" s="327"/>
      <c r="F386" s="327"/>
      <c r="L386" s="327"/>
    </row>
    <row r="387" spans="2:12" s="326" customFormat="1" ht="9.9499999999999993" customHeight="1" x14ac:dyDescent="0.2">
      <c r="B387" s="327"/>
      <c r="D387" s="327"/>
      <c r="F387" s="327"/>
      <c r="L387" s="327"/>
    </row>
    <row r="388" spans="2:12" s="326" customFormat="1" ht="9.9499999999999993" customHeight="1" x14ac:dyDescent="0.2">
      <c r="B388" s="327"/>
      <c r="D388" s="327"/>
      <c r="F388" s="327"/>
      <c r="L388" s="327"/>
    </row>
    <row r="389" spans="2:12" s="326" customFormat="1" ht="9.9499999999999993" customHeight="1" x14ac:dyDescent="0.2">
      <c r="B389" s="327"/>
      <c r="D389" s="327"/>
      <c r="F389" s="327"/>
      <c r="L389" s="327"/>
    </row>
    <row r="390" spans="2:12" s="326" customFormat="1" ht="9.9499999999999993" customHeight="1" x14ac:dyDescent="0.2">
      <c r="B390" s="327"/>
      <c r="D390" s="327"/>
      <c r="F390" s="327"/>
      <c r="L390" s="327"/>
    </row>
    <row r="391" spans="2:12" s="326" customFormat="1" ht="9.9499999999999993" customHeight="1" x14ac:dyDescent="0.2">
      <c r="B391" s="327"/>
      <c r="D391" s="327"/>
      <c r="F391" s="327"/>
      <c r="L391" s="327"/>
    </row>
    <row r="392" spans="2:12" s="326" customFormat="1" ht="9.9499999999999993" customHeight="1" x14ac:dyDescent="0.2">
      <c r="B392" s="327"/>
      <c r="D392" s="327"/>
      <c r="F392" s="327"/>
      <c r="L392" s="327"/>
    </row>
    <row r="393" spans="2:12" s="326" customFormat="1" ht="9.9499999999999993" customHeight="1" x14ac:dyDescent="0.2">
      <c r="B393" s="327"/>
      <c r="D393" s="327"/>
      <c r="F393" s="327"/>
      <c r="L393" s="327"/>
    </row>
    <row r="394" spans="2:12" s="326" customFormat="1" ht="9.9499999999999993" customHeight="1" x14ac:dyDescent="0.2">
      <c r="B394" s="327"/>
      <c r="D394" s="327"/>
      <c r="F394" s="327"/>
      <c r="L394" s="327"/>
    </row>
    <row r="395" spans="2:12" s="326" customFormat="1" ht="9.9499999999999993" customHeight="1" x14ac:dyDescent="0.2">
      <c r="B395" s="327"/>
      <c r="D395" s="327"/>
      <c r="F395" s="327"/>
      <c r="L395" s="327"/>
    </row>
    <row r="396" spans="2:12" s="326" customFormat="1" ht="9.9499999999999993" customHeight="1" x14ac:dyDescent="0.2">
      <c r="B396" s="327"/>
      <c r="D396" s="327"/>
      <c r="F396" s="327"/>
      <c r="L396" s="327"/>
    </row>
    <row r="397" spans="2:12" s="326" customFormat="1" ht="9.9499999999999993" customHeight="1" x14ac:dyDescent="0.2">
      <c r="B397" s="327"/>
      <c r="D397" s="327"/>
      <c r="F397" s="327"/>
      <c r="L397" s="327"/>
    </row>
    <row r="398" spans="2:12" s="326" customFormat="1" ht="9.9499999999999993" customHeight="1" x14ac:dyDescent="0.2">
      <c r="B398" s="327"/>
      <c r="D398" s="327"/>
      <c r="F398" s="327"/>
      <c r="L398" s="327"/>
    </row>
    <row r="399" spans="2:12" s="326" customFormat="1" ht="9.9499999999999993" customHeight="1" x14ac:dyDescent="0.2">
      <c r="B399" s="327"/>
      <c r="D399" s="327"/>
      <c r="F399" s="327"/>
      <c r="L399" s="327"/>
    </row>
    <row r="400" spans="2:12" s="326" customFormat="1" ht="9.9499999999999993" customHeight="1" x14ac:dyDescent="0.2">
      <c r="B400" s="327"/>
      <c r="D400" s="327"/>
      <c r="F400" s="327"/>
      <c r="L400" s="327"/>
    </row>
    <row r="401" spans="2:12" s="326" customFormat="1" ht="9.9499999999999993" customHeight="1" x14ac:dyDescent="0.2">
      <c r="B401" s="327"/>
      <c r="D401" s="327"/>
      <c r="F401" s="327"/>
      <c r="L401" s="327"/>
    </row>
    <row r="402" spans="2:12" s="326" customFormat="1" ht="9.9499999999999993" customHeight="1" x14ac:dyDescent="0.2">
      <c r="B402" s="327"/>
      <c r="D402" s="327"/>
      <c r="F402" s="327"/>
      <c r="L402" s="327"/>
    </row>
    <row r="403" spans="2:12" s="326" customFormat="1" ht="9.9499999999999993" customHeight="1" x14ac:dyDescent="0.2">
      <c r="B403" s="327"/>
      <c r="D403" s="327"/>
      <c r="F403" s="327"/>
      <c r="L403" s="327"/>
    </row>
    <row r="404" spans="2:12" s="326" customFormat="1" ht="9.9499999999999993" customHeight="1" x14ac:dyDescent="0.2">
      <c r="B404" s="327"/>
      <c r="D404" s="327"/>
      <c r="F404" s="327"/>
      <c r="L404" s="327"/>
    </row>
    <row r="405" spans="2:12" s="326" customFormat="1" ht="9.9499999999999993" customHeight="1" x14ac:dyDescent="0.2">
      <c r="B405" s="327"/>
      <c r="D405" s="327"/>
      <c r="F405" s="327"/>
      <c r="L405" s="327"/>
    </row>
    <row r="406" spans="2:12" s="326" customFormat="1" ht="9.9499999999999993" customHeight="1" x14ac:dyDescent="0.2">
      <c r="B406" s="327"/>
      <c r="D406" s="327"/>
      <c r="F406" s="327"/>
      <c r="L406" s="327"/>
    </row>
    <row r="407" spans="2:12" s="326" customFormat="1" ht="9.9499999999999993" customHeight="1" x14ac:dyDescent="0.2">
      <c r="B407" s="327"/>
      <c r="D407" s="327"/>
      <c r="F407" s="327"/>
      <c r="L407" s="327"/>
    </row>
    <row r="408" spans="2:12" s="326" customFormat="1" ht="9.9499999999999993" customHeight="1" x14ac:dyDescent="0.2">
      <c r="B408" s="327"/>
      <c r="D408" s="327"/>
      <c r="F408" s="327"/>
      <c r="L408" s="327"/>
    </row>
    <row r="409" spans="2:12" s="326" customFormat="1" ht="9.9499999999999993" customHeight="1" x14ac:dyDescent="0.2">
      <c r="B409" s="327"/>
      <c r="D409" s="327"/>
      <c r="F409" s="327"/>
      <c r="L409" s="327"/>
    </row>
    <row r="410" spans="2:12" s="326" customFormat="1" ht="9.9499999999999993" customHeight="1" x14ac:dyDescent="0.2">
      <c r="B410" s="327"/>
      <c r="D410" s="327"/>
      <c r="F410" s="327"/>
      <c r="L410" s="327"/>
    </row>
    <row r="411" spans="2:12" s="326" customFormat="1" ht="9.9499999999999993" customHeight="1" x14ac:dyDescent="0.2">
      <c r="B411" s="327"/>
      <c r="D411" s="327"/>
      <c r="F411" s="327"/>
      <c r="L411" s="327"/>
    </row>
    <row r="412" spans="2:12" s="326" customFormat="1" ht="9.9499999999999993" customHeight="1" x14ac:dyDescent="0.2">
      <c r="B412" s="327"/>
      <c r="D412" s="327"/>
      <c r="F412" s="327"/>
      <c r="L412" s="327"/>
    </row>
    <row r="413" spans="2:12" s="326" customFormat="1" ht="9.9499999999999993" customHeight="1" x14ac:dyDescent="0.2">
      <c r="B413" s="327"/>
      <c r="D413" s="327"/>
      <c r="F413" s="327"/>
      <c r="L413" s="327"/>
    </row>
    <row r="414" spans="2:12" s="326" customFormat="1" ht="9.9499999999999993" customHeight="1" x14ac:dyDescent="0.2">
      <c r="B414" s="327"/>
      <c r="D414" s="327"/>
      <c r="F414" s="327"/>
      <c r="L414" s="327"/>
    </row>
    <row r="415" spans="2:12" s="326" customFormat="1" ht="9.9499999999999993" customHeight="1" x14ac:dyDescent="0.2">
      <c r="B415" s="327"/>
      <c r="D415" s="327"/>
      <c r="F415" s="327"/>
      <c r="L415" s="327"/>
    </row>
    <row r="416" spans="2:12" s="326" customFormat="1" ht="9.9499999999999993" customHeight="1" x14ac:dyDescent="0.2">
      <c r="B416" s="327"/>
      <c r="D416" s="327"/>
      <c r="F416" s="327"/>
      <c r="L416" s="327"/>
    </row>
    <row r="417" spans="2:12" s="326" customFormat="1" ht="9.9499999999999993" customHeight="1" x14ac:dyDescent="0.2">
      <c r="B417" s="327"/>
      <c r="D417" s="327"/>
      <c r="F417" s="327"/>
      <c r="L417" s="327"/>
    </row>
    <row r="418" spans="2:12" s="326" customFormat="1" ht="9.9499999999999993" customHeight="1" x14ac:dyDescent="0.2">
      <c r="B418" s="327"/>
      <c r="D418" s="327"/>
      <c r="F418" s="327"/>
      <c r="L418" s="327"/>
    </row>
    <row r="419" spans="2:12" s="326" customFormat="1" ht="9.9499999999999993" customHeight="1" x14ac:dyDescent="0.2">
      <c r="B419" s="327"/>
      <c r="D419" s="327"/>
      <c r="F419" s="327"/>
      <c r="L419" s="327"/>
    </row>
    <row r="420" spans="2:12" s="326" customFormat="1" ht="9.9499999999999993" customHeight="1" x14ac:dyDescent="0.2">
      <c r="B420" s="327"/>
      <c r="D420" s="327"/>
      <c r="F420" s="327"/>
      <c r="L420" s="327"/>
    </row>
    <row r="421" spans="2:12" s="326" customFormat="1" ht="9.9499999999999993" customHeight="1" x14ac:dyDescent="0.2">
      <c r="B421" s="327"/>
      <c r="D421" s="327"/>
      <c r="F421" s="327"/>
      <c r="L421" s="327"/>
    </row>
    <row r="422" spans="2:12" s="326" customFormat="1" ht="9.9499999999999993" customHeight="1" x14ac:dyDescent="0.2">
      <c r="B422" s="327"/>
      <c r="D422" s="327"/>
      <c r="F422" s="327"/>
      <c r="L422" s="327"/>
    </row>
    <row r="423" spans="2:12" s="326" customFormat="1" ht="9.9499999999999993" customHeight="1" x14ac:dyDescent="0.2">
      <c r="B423" s="327"/>
      <c r="D423" s="327"/>
      <c r="F423" s="327"/>
      <c r="L423" s="327"/>
    </row>
    <row r="424" spans="2:12" s="326" customFormat="1" ht="9.9499999999999993" customHeight="1" x14ac:dyDescent="0.2">
      <c r="B424" s="327"/>
      <c r="D424" s="327"/>
      <c r="F424" s="327"/>
      <c r="L424" s="327"/>
    </row>
    <row r="425" spans="2:12" s="326" customFormat="1" ht="9.9499999999999993" customHeight="1" x14ac:dyDescent="0.2">
      <c r="B425" s="327"/>
      <c r="D425" s="327"/>
      <c r="F425" s="327"/>
      <c r="L425" s="327"/>
    </row>
    <row r="426" spans="2:12" s="326" customFormat="1" ht="9.9499999999999993" customHeight="1" x14ac:dyDescent="0.2">
      <c r="B426" s="327"/>
      <c r="D426" s="327"/>
      <c r="F426" s="327"/>
      <c r="L426" s="327"/>
    </row>
    <row r="427" spans="2:12" s="326" customFormat="1" ht="9.9499999999999993" customHeight="1" x14ac:dyDescent="0.2">
      <c r="B427" s="327"/>
      <c r="D427" s="327"/>
      <c r="F427" s="327"/>
      <c r="L427" s="327"/>
    </row>
    <row r="428" spans="2:12" s="326" customFormat="1" ht="9.9499999999999993" customHeight="1" x14ac:dyDescent="0.2">
      <c r="B428" s="327"/>
      <c r="D428" s="327"/>
      <c r="F428" s="327"/>
      <c r="L428" s="327"/>
    </row>
    <row r="429" spans="2:12" s="326" customFormat="1" ht="9.9499999999999993" customHeight="1" x14ac:dyDescent="0.2">
      <c r="B429" s="327"/>
      <c r="D429" s="327"/>
      <c r="F429" s="327"/>
      <c r="L429" s="327"/>
    </row>
    <row r="430" spans="2:12" s="326" customFormat="1" ht="9.9499999999999993" customHeight="1" x14ac:dyDescent="0.2">
      <c r="B430" s="327"/>
      <c r="D430" s="327"/>
      <c r="F430" s="327"/>
      <c r="L430" s="327"/>
    </row>
    <row r="431" spans="2:12" s="326" customFormat="1" ht="9.9499999999999993" customHeight="1" x14ac:dyDescent="0.2">
      <c r="B431" s="327"/>
      <c r="D431" s="327"/>
      <c r="F431" s="327"/>
      <c r="L431" s="327"/>
    </row>
    <row r="432" spans="2:12" s="326" customFormat="1" ht="9.9499999999999993" customHeight="1" x14ac:dyDescent="0.2">
      <c r="B432" s="327"/>
      <c r="D432" s="327"/>
      <c r="F432" s="327"/>
      <c r="L432" s="327"/>
    </row>
    <row r="433" spans="2:12" s="326" customFormat="1" ht="9.9499999999999993" customHeight="1" x14ac:dyDescent="0.2">
      <c r="B433" s="327"/>
      <c r="D433" s="327"/>
      <c r="F433" s="327"/>
      <c r="L433" s="327"/>
    </row>
    <row r="434" spans="2:12" s="326" customFormat="1" ht="9.9499999999999993" customHeight="1" x14ac:dyDescent="0.2">
      <c r="B434" s="327"/>
      <c r="D434" s="327"/>
      <c r="F434" s="327"/>
      <c r="L434" s="327"/>
    </row>
    <row r="435" spans="2:12" s="326" customFormat="1" ht="9.9499999999999993" customHeight="1" x14ac:dyDescent="0.2">
      <c r="B435" s="327"/>
      <c r="D435" s="327"/>
      <c r="F435" s="327"/>
      <c r="L435" s="327"/>
    </row>
    <row r="436" spans="2:12" s="326" customFormat="1" ht="9.9499999999999993" customHeight="1" x14ac:dyDescent="0.2">
      <c r="B436" s="327"/>
      <c r="D436" s="327"/>
      <c r="F436" s="327"/>
      <c r="L436" s="327"/>
    </row>
    <row r="437" spans="2:12" s="326" customFormat="1" ht="9.9499999999999993" customHeight="1" x14ac:dyDescent="0.2">
      <c r="B437" s="327"/>
      <c r="D437" s="327"/>
      <c r="F437" s="327"/>
      <c r="L437" s="327"/>
    </row>
    <row r="438" spans="2:12" s="326" customFormat="1" ht="9.9499999999999993" customHeight="1" x14ac:dyDescent="0.2">
      <c r="B438" s="327"/>
      <c r="D438" s="327"/>
      <c r="F438" s="327"/>
      <c r="L438" s="327"/>
    </row>
    <row r="439" spans="2:12" s="326" customFormat="1" ht="9.9499999999999993" customHeight="1" x14ac:dyDescent="0.2">
      <c r="B439" s="327"/>
      <c r="D439" s="327"/>
      <c r="F439" s="327"/>
      <c r="L439" s="327"/>
    </row>
    <row r="440" spans="2:12" s="326" customFormat="1" ht="9.9499999999999993" customHeight="1" x14ac:dyDescent="0.2">
      <c r="B440" s="327"/>
      <c r="D440" s="327"/>
      <c r="F440" s="327"/>
      <c r="L440" s="327"/>
    </row>
    <row r="441" spans="2:12" s="326" customFormat="1" ht="9.9499999999999993" customHeight="1" x14ac:dyDescent="0.2">
      <c r="B441" s="327"/>
      <c r="D441" s="327"/>
      <c r="F441" s="327"/>
      <c r="L441" s="327"/>
    </row>
    <row r="442" spans="2:12" s="326" customFormat="1" ht="9.9499999999999993" customHeight="1" x14ac:dyDescent="0.2">
      <c r="B442" s="327"/>
      <c r="D442" s="327"/>
      <c r="F442" s="327"/>
      <c r="L442" s="327"/>
    </row>
    <row r="443" spans="2:12" s="326" customFormat="1" ht="9.9499999999999993" customHeight="1" x14ac:dyDescent="0.2">
      <c r="B443" s="327"/>
      <c r="D443" s="327"/>
      <c r="F443" s="327"/>
      <c r="L443" s="327"/>
    </row>
    <row r="444" spans="2:12" s="326" customFormat="1" ht="9.9499999999999993" customHeight="1" x14ac:dyDescent="0.2">
      <c r="B444" s="327"/>
      <c r="D444" s="327"/>
      <c r="F444" s="327"/>
      <c r="L444" s="327"/>
    </row>
    <row r="445" spans="2:12" s="326" customFormat="1" ht="9.9499999999999993" customHeight="1" x14ac:dyDescent="0.2">
      <c r="B445" s="327"/>
      <c r="D445" s="327"/>
      <c r="F445" s="327"/>
      <c r="L445" s="327"/>
    </row>
    <row r="446" spans="2:12" s="326" customFormat="1" ht="9.9499999999999993" customHeight="1" x14ac:dyDescent="0.2">
      <c r="B446" s="327"/>
      <c r="D446" s="327"/>
      <c r="F446" s="327"/>
      <c r="L446" s="327"/>
    </row>
    <row r="447" spans="2:12" s="326" customFormat="1" ht="9.9499999999999993" customHeight="1" x14ac:dyDescent="0.2">
      <c r="B447" s="327"/>
      <c r="D447" s="327"/>
      <c r="F447" s="327"/>
      <c r="L447" s="327"/>
    </row>
    <row r="448" spans="2:12" s="326" customFormat="1" ht="9.9499999999999993" customHeight="1" x14ac:dyDescent="0.2">
      <c r="B448" s="327"/>
      <c r="D448" s="327"/>
      <c r="F448" s="327"/>
      <c r="L448" s="327"/>
    </row>
    <row r="449" spans="2:12" s="326" customFormat="1" ht="9.9499999999999993" customHeight="1" x14ac:dyDescent="0.2">
      <c r="B449" s="327"/>
      <c r="D449" s="327"/>
      <c r="F449" s="327"/>
      <c r="L449" s="327"/>
    </row>
    <row r="450" spans="2:12" s="326" customFormat="1" ht="9.9499999999999993" customHeight="1" x14ac:dyDescent="0.2">
      <c r="B450" s="327"/>
      <c r="D450" s="327"/>
      <c r="F450" s="327"/>
      <c r="L450" s="327"/>
    </row>
    <row r="451" spans="2:12" s="326" customFormat="1" ht="9.9499999999999993" customHeight="1" x14ac:dyDescent="0.2">
      <c r="B451" s="327"/>
      <c r="D451" s="327"/>
      <c r="F451" s="327"/>
      <c r="L451" s="327"/>
    </row>
    <row r="452" spans="2:12" s="326" customFormat="1" ht="9.9499999999999993" customHeight="1" x14ac:dyDescent="0.2">
      <c r="B452" s="327"/>
      <c r="D452" s="327"/>
      <c r="F452" s="327"/>
      <c r="L452" s="327"/>
    </row>
    <row r="453" spans="2:12" s="326" customFormat="1" ht="9.9499999999999993" customHeight="1" x14ac:dyDescent="0.2">
      <c r="B453" s="327"/>
      <c r="D453" s="327"/>
      <c r="F453" s="327"/>
      <c r="L453" s="327"/>
    </row>
    <row r="454" spans="2:12" s="326" customFormat="1" ht="9.9499999999999993" customHeight="1" x14ac:dyDescent="0.2">
      <c r="B454" s="327"/>
      <c r="D454" s="327"/>
      <c r="F454" s="327"/>
      <c r="L454" s="327"/>
    </row>
    <row r="455" spans="2:12" s="326" customFormat="1" ht="9.9499999999999993" customHeight="1" x14ac:dyDescent="0.2">
      <c r="B455" s="327"/>
      <c r="D455" s="327"/>
      <c r="F455" s="327"/>
      <c r="L455" s="327"/>
    </row>
    <row r="456" spans="2:12" s="326" customFormat="1" ht="9.9499999999999993" customHeight="1" x14ac:dyDescent="0.2">
      <c r="B456" s="327"/>
      <c r="D456" s="327"/>
      <c r="F456" s="327"/>
      <c r="L456" s="327"/>
    </row>
    <row r="457" spans="2:12" s="326" customFormat="1" ht="9.9499999999999993" customHeight="1" x14ac:dyDescent="0.2">
      <c r="B457" s="327"/>
      <c r="D457" s="327"/>
      <c r="F457" s="327"/>
      <c r="L457" s="327"/>
    </row>
    <row r="458" spans="2:12" s="326" customFormat="1" ht="9.9499999999999993" customHeight="1" x14ac:dyDescent="0.2">
      <c r="B458" s="327"/>
      <c r="D458" s="327"/>
      <c r="F458" s="327"/>
      <c r="L458" s="327"/>
    </row>
    <row r="459" spans="2:12" s="326" customFormat="1" ht="9.9499999999999993" customHeight="1" x14ac:dyDescent="0.2">
      <c r="B459" s="327"/>
      <c r="D459" s="327"/>
      <c r="F459" s="327"/>
      <c r="L459" s="327"/>
    </row>
    <row r="460" spans="2:12" s="326" customFormat="1" ht="9.9499999999999993" customHeight="1" x14ac:dyDescent="0.2">
      <c r="B460" s="327"/>
      <c r="D460" s="327"/>
      <c r="F460" s="327"/>
      <c r="L460" s="327"/>
    </row>
    <row r="461" spans="2:12" s="326" customFormat="1" ht="9.9499999999999993" customHeight="1" x14ac:dyDescent="0.2">
      <c r="B461" s="327"/>
      <c r="D461" s="327"/>
      <c r="F461" s="327"/>
      <c r="L461" s="327"/>
    </row>
    <row r="462" spans="2:12" s="326" customFormat="1" ht="9.9499999999999993" customHeight="1" x14ac:dyDescent="0.2">
      <c r="B462" s="327"/>
      <c r="D462" s="327"/>
      <c r="F462" s="327"/>
      <c r="L462" s="327"/>
    </row>
    <row r="463" spans="2:12" s="326" customFormat="1" ht="9.9499999999999993" customHeight="1" x14ac:dyDescent="0.2">
      <c r="B463" s="327"/>
      <c r="D463" s="327"/>
      <c r="F463" s="327"/>
      <c r="L463" s="327"/>
    </row>
    <row r="464" spans="2:12" s="326" customFormat="1" ht="9.9499999999999993" customHeight="1" x14ac:dyDescent="0.2">
      <c r="B464" s="327"/>
      <c r="D464" s="327"/>
      <c r="F464" s="327"/>
      <c r="L464" s="327"/>
    </row>
    <row r="465" spans="2:12" s="326" customFormat="1" ht="9.9499999999999993" customHeight="1" x14ac:dyDescent="0.2">
      <c r="B465" s="327"/>
      <c r="D465" s="327"/>
      <c r="F465" s="327"/>
      <c r="L465" s="327"/>
    </row>
    <row r="466" spans="2:12" s="326" customFormat="1" ht="9.9499999999999993" customHeight="1" x14ac:dyDescent="0.2">
      <c r="B466" s="327"/>
      <c r="D466" s="327"/>
      <c r="F466" s="327"/>
      <c r="L466" s="327"/>
    </row>
    <row r="467" spans="2:12" s="326" customFormat="1" ht="9.9499999999999993" customHeight="1" x14ac:dyDescent="0.2">
      <c r="B467" s="327"/>
      <c r="D467" s="327"/>
      <c r="F467" s="327"/>
      <c r="L467" s="327"/>
    </row>
    <row r="468" spans="2:12" s="326" customFormat="1" ht="9.9499999999999993" customHeight="1" x14ac:dyDescent="0.2">
      <c r="B468" s="327"/>
      <c r="D468" s="327"/>
      <c r="F468" s="327"/>
      <c r="L468" s="327"/>
    </row>
    <row r="469" spans="2:12" s="326" customFormat="1" ht="9.9499999999999993" customHeight="1" x14ac:dyDescent="0.2">
      <c r="B469" s="327"/>
      <c r="D469" s="327"/>
      <c r="F469" s="327"/>
      <c r="L469" s="327"/>
    </row>
    <row r="470" spans="2:12" s="326" customFormat="1" ht="9.9499999999999993" customHeight="1" x14ac:dyDescent="0.2">
      <c r="B470" s="327"/>
      <c r="D470" s="327"/>
      <c r="F470" s="327"/>
      <c r="L470" s="327"/>
    </row>
    <row r="471" spans="2:12" s="326" customFormat="1" ht="9.9499999999999993" customHeight="1" x14ac:dyDescent="0.2">
      <c r="B471" s="327"/>
      <c r="D471" s="327"/>
      <c r="F471" s="327"/>
      <c r="L471" s="327"/>
    </row>
    <row r="472" spans="2:12" s="326" customFormat="1" ht="9.9499999999999993" customHeight="1" x14ac:dyDescent="0.2">
      <c r="B472" s="327"/>
      <c r="D472" s="327"/>
      <c r="F472" s="327"/>
      <c r="L472" s="327"/>
    </row>
    <row r="473" spans="2:12" s="326" customFormat="1" ht="9.9499999999999993" customHeight="1" x14ac:dyDescent="0.2">
      <c r="B473" s="327"/>
      <c r="D473" s="327"/>
      <c r="F473" s="327"/>
      <c r="L473" s="327"/>
    </row>
    <row r="474" spans="2:12" s="326" customFormat="1" ht="9.9499999999999993" customHeight="1" x14ac:dyDescent="0.2">
      <c r="B474" s="327"/>
      <c r="D474" s="327"/>
      <c r="F474" s="327"/>
      <c r="L474" s="327"/>
    </row>
    <row r="475" spans="2:12" s="326" customFormat="1" ht="9.9499999999999993" customHeight="1" x14ac:dyDescent="0.2">
      <c r="B475" s="327"/>
      <c r="D475" s="327"/>
      <c r="F475" s="327"/>
      <c r="L475" s="327"/>
    </row>
    <row r="476" spans="2:12" s="326" customFormat="1" ht="9.9499999999999993" customHeight="1" x14ac:dyDescent="0.2">
      <c r="B476" s="327"/>
      <c r="D476" s="327"/>
      <c r="F476" s="327"/>
      <c r="L476" s="327"/>
    </row>
    <row r="477" spans="2:12" s="326" customFormat="1" ht="9.9499999999999993" customHeight="1" x14ac:dyDescent="0.2">
      <c r="B477" s="327"/>
      <c r="D477" s="327"/>
      <c r="F477" s="327"/>
      <c r="L477" s="327"/>
    </row>
    <row r="478" spans="2:12" s="326" customFormat="1" ht="9.9499999999999993" customHeight="1" x14ac:dyDescent="0.2">
      <c r="B478" s="327"/>
      <c r="D478" s="327"/>
      <c r="F478" s="327"/>
      <c r="L478" s="327"/>
    </row>
    <row r="479" spans="2:12" s="326" customFormat="1" ht="9.9499999999999993" customHeight="1" x14ac:dyDescent="0.2">
      <c r="B479" s="327"/>
      <c r="D479" s="327"/>
      <c r="F479" s="327"/>
      <c r="L479" s="327"/>
    </row>
    <row r="480" spans="2:12" s="326" customFormat="1" ht="9.9499999999999993" customHeight="1" x14ac:dyDescent="0.2">
      <c r="B480" s="327"/>
      <c r="D480" s="327"/>
      <c r="F480" s="327"/>
      <c r="L480" s="327"/>
    </row>
    <row r="481" spans="2:12" s="326" customFormat="1" ht="9.9499999999999993" customHeight="1" x14ac:dyDescent="0.2">
      <c r="B481" s="327"/>
      <c r="D481" s="327"/>
      <c r="F481" s="327"/>
      <c r="L481" s="327"/>
    </row>
    <row r="482" spans="2:12" s="326" customFormat="1" ht="9.9499999999999993" customHeight="1" x14ac:dyDescent="0.2">
      <c r="B482" s="327"/>
      <c r="D482" s="327"/>
      <c r="F482" s="327"/>
      <c r="L482" s="327"/>
    </row>
    <row r="483" spans="2:12" s="326" customFormat="1" ht="9.9499999999999993" customHeight="1" x14ac:dyDescent="0.2">
      <c r="B483" s="327"/>
      <c r="D483" s="327"/>
      <c r="F483" s="327"/>
      <c r="L483" s="327"/>
    </row>
    <row r="484" spans="2:12" s="326" customFormat="1" ht="9.9499999999999993" customHeight="1" x14ac:dyDescent="0.2">
      <c r="B484" s="327"/>
      <c r="D484" s="327"/>
      <c r="F484" s="327"/>
      <c r="L484" s="327"/>
    </row>
    <row r="485" spans="2:12" s="326" customFormat="1" ht="9.9499999999999993" customHeight="1" x14ac:dyDescent="0.2">
      <c r="B485" s="327"/>
      <c r="D485" s="327"/>
      <c r="F485" s="327"/>
      <c r="L485" s="327"/>
    </row>
    <row r="486" spans="2:12" s="326" customFormat="1" ht="9.9499999999999993" customHeight="1" x14ac:dyDescent="0.2">
      <c r="B486" s="327"/>
      <c r="D486" s="327"/>
      <c r="F486" s="327"/>
      <c r="L486" s="327"/>
    </row>
    <row r="487" spans="2:12" s="326" customFormat="1" ht="9.9499999999999993" customHeight="1" x14ac:dyDescent="0.2">
      <c r="B487" s="327"/>
      <c r="D487" s="327"/>
      <c r="F487" s="327"/>
      <c r="L487" s="327"/>
    </row>
    <row r="488" spans="2:12" s="326" customFormat="1" ht="9.9499999999999993" customHeight="1" x14ac:dyDescent="0.2">
      <c r="B488" s="327"/>
      <c r="D488" s="327"/>
      <c r="F488" s="327"/>
      <c r="L488" s="327"/>
    </row>
    <row r="489" spans="2:12" s="326" customFormat="1" ht="9.9499999999999993" customHeight="1" x14ac:dyDescent="0.2">
      <c r="B489" s="327"/>
      <c r="D489" s="327"/>
      <c r="F489" s="327"/>
      <c r="L489" s="327"/>
    </row>
    <row r="490" spans="2:12" s="326" customFormat="1" ht="9.9499999999999993" customHeight="1" x14ac:dyDescent="0.2">
      <c r="B490" s="327"/>
      <c r="D490" s="327"/>
      <c r="F490" s="327"/>
      <c r="L490" s="327"/>
    </row>
    <row r="491" spans="2:12" s="326" customFormat="1" ht="9.9499999999999993" customHeight="1" x14ac:dyDescent="0.2">
      <c r="B491" s="327"/>
      <c r="D491" s="327"/>
      <c r="F491" s="327"/>
      <c r="L491" s="327"/>
    </row>
    <row r="492" spans="2:12" s="326" customFormat="1" ht="9.9499999999999993" customHeight="1" x14ac:dyDescent="0.2">
      <c r="B492" s="327"/>
      <c r="D492" s="327"/>
      <c r="F492" s="327"/>
      <c r="L492" s="327"/>
    </row>
    <row r="493" spans="2:12" s="326" customFormat="1" ht="9.9499999999999993" customHeight="1" x14ac:dyDescent="0.2">
      <c r="B493" s="327"/>
      <c r="D493" s="327"/>
      <c r="F493" s="327"/>
      <c r="L493" s="327"/>
    </row>
    <row r="494" spans="2:12" s="326" customFormat="1" ht="9.9499999999999993" customHeight="1" x14ac:dyDescent="0.2">
      <c r="B494" s="327"/>
      <c r="D494" s="327"/>
      <c r="F494" s="327"/>
      <c r="L494" s="327"/>
    </row>
    <row r="495" spans="2:12" s="326" customFormat="1" ht="9.9499999999999993" customHeight="1" x14ac:dyDescent="0.2">
      <c r="B495" s="327"/>
      <c r="D495" s="327"/>
      <c r="F495" s="327"/>
      <c r="L495" s="327"/>
    </row>
    <row r="496" spans="2:12" s="326" customFormat="1" ht="9.9499999999999993" customHeight="1" x14ac:dyDescent="0.2">
      <c r="B496" s="327"/>
      <c r="D496" s="327"/>
      <c r="F496" s="327"/>
      <c r="L496" s="327"/>
    </row>
    <row r="497" spans="2:12" s="326" customFormat="1" ht="9.9499999999999993" customHeight="1" x14ac:dyDescent="0.2">
      <c r="B497" s="327"/>
      <c r="D497" s="327"/>
      <c r="F497" s="327"/>
      <c r="L497" s="327"/>
    </row>
    <row r="498" spans="2:12" s="326" customFormat="1" ht="9.9499999999999993" customHeight="1" x14ac:dyDescent="0.2">
      <c r="B498" s="327"/>
      <c r="D498" s="327"/>
      <c r="F498" s="327"/>
      <c r="L498" s="327"/>
    </row>
    <row r="499" spans="2:12" s="326" customFormat="1" ht="9.9499999999999993" customHeight="1" x14ac:dyDescent="0.2">
      <c r="B499" s="327"/>
      <c r="D499" s="327"/>
      <c r="F499" s="327"/>
      <c r="L499" s="327"/>
    </row>
    <row r="500" spans="2:12" s="326" customFormat="1" ht="9.9499999999999993" customHeight="1" x14ac:dyDescent="0.2">
      <c r="B500" s="327"/>
      <c r="D500" s="327"/>
      <c r="F500" s="327"/>
      <c r="L500" s="327"/>
    </row>
    <row r="501" spans="2:12" s="326" customFormat="1" ht="9.9499999999999993" customHeight="1" x14ac:dyDescent="0.2">
      <c r="B501" s="327"/>
      <c r="D501" s="327"/>
      <c r="F501" s="327"/>
      <c r="L501" s="327"/>
    </row>
    <row r="502" spans="2:12" s="326" customFormat="1" ht="9.9499999999999993" customHeight="1" x14ac:dyDescent="0.2">
      <c r="B502" s="327"/>
      <c r="D502" s="327"/>
      <c r="F502" s="327"/>
      <c r="L502" s="327"/>
    </row>
    <row r="503" spans="2:12" s="326" customFormat="1" ht="9.9499999999999993" customHeight="1" x14ac:dyDescent="0.2">
      <c r="B503" s="327"/>
      <c r="D503" s="327"/>
      <c r="F503" s="327"/>
      <c r="L503" s="327"/>
    </row>
    <row r="504" spans="2:12" s="326" customFormat="1" ht="9.9499999999999993" customHeight="1" x14ac:dyDescent="0.2">
      <c r="B504" s="327"/>
      <c r="D504" s="327"/>
      <c r="F504" s="327"/>
      <c r="L504" s="327"/>
    </row>
    <row r="505" spans="2:12" s="326" customFormat="1" ht="9.9499999999999993" customHeight="1" x14ac:dyDescent="0.2">
      <c r="B505" s="327"/>
      <c r="D505" s="327"/>
      <c r="F505" s="327"/>
      <c r="L505" s="327"/>
    </row>
    <row r="506" spans="2:12" s="326" customFormat="1" ht="9.9499999999999993" customHeight="1" x14ac:dyDescent="0.2">
      <c r="B506" s="327"/>
      <c r="D506" s="327"/>
      <c r="F506" s="327"/>
      <c r="L506" s="327"/>
    </row>
    <row r="507" spans="2:12" s="326" customFormat="1" ht="9.9499999999999993" customHeight="1" x14ac:dyDescent="0.2">
      <c r="B507" s="327"/>
      <c r="D507" s="327"/>
      <c r="F507" s="327"/>
      <c r="L507" s="327"/>
    </row>
    <row r="508" spans="2:12" s="326" customFormat="1" ht="9.9499999999999993" customHeight="1" x14ac:dyDescent="0.2">
      <c r="B508" s="327"/>
      <c r="D508" s="327"/>
      <c r="F508" s="327"/>
      <c r="L508" s="327"/>
    </row>
    <row r="509" spans="2:12" s="326" customFormat="1" ht="9.9499999999999993" customHeight="1" x14ac:dyDescent="0.2">
      <c r="B509" s="327"/>
      <c r="D509" s="327"/>
      <c r="F509" s="327"/>
      <c r="L509" s="327"/>
    </row>
    <row r="510" spans="2:12" s="326" customFormat="1" ht="9.9499999999999993" customHeight="1" x14ac:dyDescent="0.2">
      <c r="B510" s="327"/>
      <c r="D510" s="327"/>
      <c r="F510" s="327"/>
      <c r="L510" s="327"/>
    </row>
    <row r="511" spans="2:12" s="326" customFormat="1" ht="9.9499999999999993" customHeight="1" x14ac:dyDescent="0.2">
      <c r="B511" s="327"/>
      <c r="D511" s="327"/>
      <c r="F511" s="327"/>
      <c r="L511" s="327"/>
    </row>
    <row r="512" spans="2:12" s="326" customFormat="1" ht="9.9499999999999993" customHeight="1" x14ac:dyDescent="0.2">
      <c r="B512" s="327"/>
      <c r="D512" s="327"/>
      <c r="F512" s="327"/>
      <c r="L512" s="327"/>
    </row>
    <row r="513" spans="2:12" s="326" customFormat="1" ht="9.9499999999999993" customHeight="1" x14ac:dyDescent="0.2">
      <c r="B513" s="327"/>
      <c r="D513" s="327"/>
      <c r="F513" s="327"/>
      <c r="L513" s="327"/>
    </row>
    <row r="514" spans="2:12" s="326" customFormat="1" ht="9.9499999999999993" customHeight="1" x14ac:dyDescent="0.2">
      <c r="B514" s="327"/>
      <c r="D514" s="327"/>
      <c r="F514" s="327"/>
      <c r="L514" s="327"/>
    </row>
    <row r="515" spans="2:12" s="326" customFormat="1" ht="9.9499999999999993" customHeight="1" x14ac:dyDescent="0.2">
      <c r="B515" s="327"/>
      <c r="D515" s="327"/>
      <c r="F515" s="327"/>
      <c r="L515" s="327"/>
    </row>
    <row r="516" spans="2:12" s="326" customFormat="1" ht="9.9499999999999993" customHeight="1" x14ac:dyDescent="0.2">
      <c r="B516" s="327"/>
      <c r="D516" s="327"/>
      <c r="F516" s="327"/>
      <c r="L516" s="327"/>
    </row>
    <row r="517" spans="2:12" s="326" customFormat="1" ht="9.9499999999999993" customHeight="1" x14ac:dyDescent="0.2">
      <c r="B517" s="327"/>
      <c r="D517" s="327"/>
      <c r="F517" s="327"/>
      <c r="L517" s="327"/>
    </row>
    <row r="518" spans="2:12" s="326" customFormat="1" ht="9.9499999999999993" customHeight="1" x14ac:dyDescent="0.2">
      <c r="B518" s="327"/>
      <c r="D518" s="327"/>
      <c r="F518" s="327"/>
      <c r="L518" s="327"/>
    </row>
    <row r="519" spans="2:12" s="326" customFormat="1" ht="9.9499999999999993" customHeight="1" x14ac:dyDescent="0.2">
      <c r="B519" s="327"/>
      <c r="D519" s="327"/>
      <c r="F519" s="327"/>
      <c r="L519" s="327"/>
    </row>
    <row r="520" spans="2:12" s="326" customFormat="1" ht="9.9499999999999993" customHeight="1" x14ac:dyDescent="0.2">
      <c r="B520" s="327"/>
      <c r="D520" s="327"/>
      <c r="F520" s="327"/>
      <c r="L520" s="327"/>
    </row>
    <row r="521" spans="2:12" s="326" customFormat="1" ht="9.9499999999999993" customHeight="1" x14ac:dyDescent="0.2">
      <c r="B521" s="327"/>
      <c r="D521" s="327"/>
      <c r="F521" s="327"/>
      <c r="L521" s="327"/>
    </row>
    <row r="522" spans="2:12" s="326" customFormat="1" ht="9.9499999999999993" customHeight="1" x14ac:dyDescent="0.2">
      <c r="B522" s="327"/>
      <c r="D522" s="327"/>
      <c r="F522" s="327"/>
      <c r="L522" s="327"/>
    </row>
    <row r="523" spans="2:12" s="326" customFormat="1" ht="9.9499999999999993" customHeight="1" x14ac:dyDescent="0.2">
      <c r="B523" s="327"/>
      <c r="D523" s="327"/>
      <c r="F523" s="327"/>
      <c r="L523" s="327"/>
    </row>
    <row r="524" spans="2:12" s="326" customFormat="1" ht="9.9499999999999993" customHeight="1" x14ac:dyDescent="0.2">
      <c r="B524" s="327"/>
      <c r="D524" s="327"/>
      <c r="F524" s="327"/>
      <c r="L524" s="327"/>
    </row>
    <row r="525" spans="2:12" s="326" customFormat="1" ht="9.9499999999999993" customHeight="1" x14ac:dyDescent="0.2">
      <c r="B525" s="327"/>
      <c r="D525" s="327"/>
      <c r="F525" s="327"/>
      <c r="L525" s="327"/>
    </row>
    <row r="526" spans="2:12" s="326" customFormat="1" ht="9.9499999999999993" customHeight="1" x14ac:dyDescent="0.2">
      <c r="B526" s="327"/>
      <c r="D526" s="327"/>
      <c r="F526" s="327"/>
      <c r="L526" s="327"/>
    </row>
    <row r="527" spans="2:12" s="326" customFormat="1" ht="9.9499999999999993" customHeight="1" x14ac:dyDescent="0.2">
      <c r="B527" s="327"/>
      <c r="D527" s="327"/>
      <c r="F527" s="327"/>
      <c r="L527" s="327"/>
    </row>
    <row r="528" spans="2:12" s="326" customFormat="1" ht="9.9499999999999993" customHeight="1" x14ac:dyDescent="0.2">
      <c r="B528" s="327"/>
      <c r="D528" s="327"/>
      <c r="F528" s="327"/>
      <c r="L528" s="327"/>
    </row>
    <row r="529" spans="2:12" s="326" customFormat="1" ht="9.9499999999999993" customHeight="1" x14ac:dyDescent="0.2">
      <c r="B529" s="327"/>
      <c r="D529" s="327"/>
      <c r="F529" s="327"/>
      <c r="L529" s="327"/>
    </row>
    <row r="530" spans="2:12" s="326" customFormat="1" ht="9.9499999999999993" customHeight="1" x14ac:dyDescent="0.2">
      <c r="B530" s="327"/>
      <c r="D530" s="327"/>
      <c r="F530" s="327"/>
      <c r="L530" s="327"/>
    </row>
    <row r="531" spans="2:12" s="326" customFormat="1" ht="9.9499999999999993" customHeight="1" x14ac:dyDescent="0.2">
      <c r="B531" s="327"/>
      <c r="D531" s="327"/>
      <c r="F531" s="327"/>
      <c r="L531" s="327"/>
    </row>
    <row r="532" spans="2:12" s="326" customFormat="1" ht="9.9499999999999993" customHeight="1" x14ac:dyDescent="0.2">
      <c r="B532" s="327"/>
      <c r="D532" s="327"/>
      <c r="F532" s="327"/>
      <c r="L532" s="327"/>
    </row>
    <row r="533" spans="2:12" s="326" customFormat="1" ht="9.9499999999999993" customHeight="1" x14ac:dyDescent="0.2">
      <c r="B533" s="327"/>
      <c r="D533" s="327"/>
      <c r="F533" s="327"/>
      <c r="L533" s="327"/>
    </row>
    <row r="534" spans="2:12" s="326" customFormat="1" ht="9.9499999999999993" customHeight="1" x14ac:dyDescent="0.2">
      <c r="B534" s="327"/>
      <c r="D534" s="327"/>
      <c r="F534" s="327"/>
      <c r="L534" s="327"/>
    </row>
    <row r="535" spans="2:12" s="326" customFormat="1" ht="9.9499999999999993" customHeight="1" x14ac:dyDescent="0.2">
      <c r="B535" s="327"/>
      <c r="D535" s="327"/>
      <c r="F535" s="327"/>
      <c r="L535" s="327"/>
    </row>
    <row r="536" spans="2:12" s="326" customFormat="1" ht="9.9499999999999993" customHeight="1" x14ac:dyDescent="0.2">
      <c r="B536" s="327"/>
      <c r="D536" s="327"/>
      <c r="F536" s="327"/>
      <c r="L536" s="327"/>
    </row>
    <row r="537" spans="2:12" s="326" customFormat="1" ht="9.9499999999999993" customHeight="1" x14ac:dyDescent="0.2">
      <c r="B537" s="327"/>
      <c r="D537" s="327"/>
      <c r="F537" s="327"/>
      <c r="L537" s="327"/>
    </row>
    <row r="538" spans="2:12" s="326" customFormat="1" ht="9.9499999999999993" customHeight="1" x14ac:dyDescent="0.2">
      <c r="B538" s="327"/>
      <c r="D538" s="327"/>
      <c r="F538" s="327"/>
      <c r="L538" s="327"/>
    </row>
    <row r="539" spans="2:12" s="326" customFormat="1" ht="9.9499999999999993" customHeight="1" x14ac:dyDescent="0.2">
      <c r="B539" s="327"/>
      <c r="D539" s="327"/>
      <c r="F539" s="327"/>
      <c r="L539" s="327"/>
    </row>
    <row r="540" spans="2:12" s="326" customFormat="1" ht="9.9499999999999993" customHeight="1" x14ac:dyDescent="0.2">
      <c r="B540" s="327"/>
      <c r="D540" s="327"/>
      <c r="F540" s="327"/>
      <c r="L540" s="327"/>
    </row>
    <row r="541" spans="2:12" s="326" customFormat="1" ht="9.9499999999999993" customHeight="1" x14ac:dyDescent="0.2">
      <c r="B541" s="327"/>
      <c r="D541" s="327"/>
      <c r="F541" s="327"/>
      <c r="L541" s="327"/>
    </row>
    <row r="542" spans="2:12" s="326" customFormat="1" ht="9.9499999999999993" customHeight="1" x14ac:dyDescent="0.2">
      <c r="B542" s="327"/>
      <c r="D542" s="327"/>
      <c r="F542" s="327"/>
      <c r="L542" s="327"/>
    </row>
    <row r="543" spans="2:12" s="326" customFormat="1" ht="9.9499999999999993" customHeight="1" x14ac:dyDescent="0.2">
      <c r="B543" s="327"/>
      <c r="D543" s="327"/>
      <c r="F543" s="327"/>
      <c r="L543" s="327"/>
    </row>
    <row r="544" spans="2:12" s="326" customFormat="1" ht="9.9499999999999993" customHeight="1" x14ac:dyDescent="0.2">
      <c r="B544" s="327"/>
      <c r="D544" s="327"/>
      <c r="F544" s="327"/>
      <c r="L544" s="327"/>
    </row>
    <row r="545" spans="2:12" s="326" customFormat="1" ht="9.9499999999999993" customHeight="1" x14ac:dyDescent="0.2">
      <c r="B545" s="327"/>
      <c r="D545" s="327"/>
      <c r="F545" s="327"/>
      <c r="L545" s="327"/>
    </row>
    <row r="546" spans="2:12" s="326" customFormat="1" ht="9.9499999999999993" customHeight="1" x14ac:dyDescent="0.2">
      <c r="B546" s="327"/>
      <c r="D546" s="327"/>
      <c r="F546" s="327"/>
      <c r="L546" s="327"/>
    </row>
    <row r="547" spans="2:12" s="326" customFormat="1" ht="9.9499999999999993" customHeight="1" x14ac:dyDescent="0.2">
      <c r="B547" s="327"/>
      <c r="D547" s="327"/>
      <c r="F547" s="327"/>
      <c r="L547" s="327"/>
    </row>
    <row r="548" spans="2:12" s="326" customFormat="1" ht="9.9499999999999993" customHeight="1" x14ac:dyDescent="0.2">
      <c r="B548" s="327"/>
      <c r="D548" s="327"/>
      <c r="F548" s="327"/>
      <c r="L548" s="327"/>
    </row>
    <row r="549" spans="2:12" s="326" customFormat="1" ht="9.9499999999999993" customHeight="1" x14ac:dyDescent="0.2">
      <c r="B549" s="327"/>
      <c r="D549" s="327"/>
      <c r="F549" s="327"/>
      <c r="L549" s="327"/>
    </row>
    <row r="550" spans="2:12" s="326" customFormat="1" ht="9.9499999999999993" customHeight="1" x14ac:dyDescent="0.2">
      <c r="B550" s="327"/>
      <c r="D550" s="327"/>
      <c r="F550" s="327"/>
      <c r="L550" s="327"/>
    </row>
    <row r="551" spans="2:12" s="326" customFormat="1" ht="9.9499999999999993" customHeight="1" x14ac:dyDescent="0.2">
      <c r="B551" s="327"/>
      <c r="D551" s="327"/>
      <c r="F551" s="327"/>
      <c r="L551" s="327"/>
    </row>
    <row r="552" spans="2:12" s="326" customFormat="1" ht="9.9499999999999993" customHeight="1" x14ac:dyDescent="0.2">
      <c r="B552" s="327"/>
      <c r="D552" s="327"/>
      <c r="F552" s="327"/>
      <c r="L552" s="327"/>
    </row>
    <row r="553" spans="2:12" s="326" customFormat="1" ht="9.9499999999999993" customHeight="1" x14ac:dyDescent="0.2">
      <c r="B553" s="327"/>
      <c r="D553" s="327"/>
      <c r="F553" s="327"/>
      <c r="L553" s="327"/>
    </row>
    <row r="554" spans="2:12" s="326" customFormat="1" ht="9.9499999999999993" customHeight="1" x14ac:dyDescent="0.2">
      <c r="B554" s="327"/>
      <c r="D554" s="327"/>
      <c r="F554" s="327"/>
      <c r="L554" s="327"/>
    </row>
    <row r="555" spans="2:12" s="326" customFormat="1" ht="9.9499999999999993" customHeight="1" x14ac:dyDescent="0.2">
      <c r="B555" s="327"/>
      <c r="D555" s="327"/>
      <c r="F555" s="327"/>
      <c r="L555" s="327"/>
    </row>
    <row r="556" spans="2:12" s="326" customFormat="1" ht="9.9499999999999993" customHeight="1" x14ac:dyDescent="0.2">
      <c r="B556" s="327"/>
      <c r="D556" s="327"/>
      <c r="F556" s="327"/>
      <c r="L556" s="327"/>
    </row>
    <row r="557" spans="2:12" s="326" customFormat="1" ht="9.9499999999999993" customHeight="1" x14ac:dyDescent="0.2">
      <c r="B557" s="327"/>
      <c r="D557" s="327"/>
      <c r="F557" s="327"/>
      <c r="L557" s="327"/>
    </row>
    <row r="558" spans="2:12" s="326" customFormat="1" ht="9.9499999999999993" customHeight="1" x14ac:dyDescent="0.2">
      <c r="B558" s="327"/>
      <c r="D558" s="327"/>
      <c r="F558" s="327"/>
      <c r="L558" s="327"/>
    </row>
    <row r="559" spans="2:12" s="326" customFormat="1" ht="9.9499999999999993" customHeight="1" x14ac:dyDescent="0.2">
      <c r="B559" s="327"/>
      <c r="D559" s="327"/>
      <c r="F559" s="327"/>
      <c r="L559" s="327"/>
    </row>
    <row r="560" spans="2:12" s="326" customFormat="1" ht="9.9499999999999993" customHeight="1" x14ac:dyDescent="0.2">
      <c r="B560" s="327"/>
      <c r="D560" s="327"/>
      <c r="F560" s="327"/>
      <c r="L560" s="327"/>
    </row>
    <row r="561" spans="2:12" s="326" customFormat="1" ht="9.9499999999999993" customHeight="1" x14ac:dyDescent="0.2">
      <c r="B561" s="327"/>
      <c r="D561" s="327"/>
      <c r="F561" s="327"/>
      <c r="L561" s="327"/>
    </row>
    <row r="562" spans="2:12" s="326" customFormat="1" ht="9.9499999999999993" customHeight="1" x14ac:dyDescent="0.2">
      <c r="B562" s="327"/>
      <c r="D562" s="327"/>
      <c r="F562" s="327"/>
      <c r="L562" s="327"/>
    </row>
    <row r="563" spans="2:12" s="326" customFormat="1" ht="9.9499999999999993" customHeight="1" x14ac:dyDescent="0.2">
      <c r="B563" s="327"/>
      <c r="D563" s="327"/>
      <c r="F563" s="327"/>
      <c r="L563" s="327"/>
    </row>
    <row r="564" spans="2:12" s="326" customFormat="1" ht="9.9499999999999993" customHeight="1" x14ac:dyDescent="0.2">
      <c r="B564" s="327"/>
      <c r="D564" s="327"/>
      <c r="F564" s="327"/>
      <c r="L564" s="327"/>
    </row>
    <row r="565" spans="2:12" s="326" customFormat="1" ht="9.9499999999999993" customHeight="1" x14ac:dyDescent="0.2">
      <c r="B565" s="327"/>
      <c r="D565" s="327"/>
      <c r="F565" s="327"/>
      <c r="L565" s="327"/>
    </row>
    <row r="566" spans="2:12" s="326" customFormat="1" ht="9.9499999999999993" customHeight="1" x14ac:dyDescent="0.2">
      <c r="B566" s="327"/>
      <c r="D566" s="327"/>
      <c r="F566" s="327"/>
      <c r="L566" s="327"/>
    </row>
    <row r="567" spans="2:12" s="326" customFormat="1" ht="9.9499999999999993" customHeight="1" x14ac:dyDescent="0.2">
      <c r="B567" s="327"/>
      <c r="D567" s="327"/>
      <c r="F567" s="327"/>
      <c r="L567" s="327"/>
    </row>
    <row r="568" spans="2:12" s="326" customFormat="1" ht="9.9499999999999993" customHeight="1" x14ac:dyDescent="0.2">
      <c r="B568" s="327"/>
      <c r="D568" s="327"/>
      <c r="F568" s="327"/>
      <c r="L568" s="327"/>
    </row>
    <row r="569" spans="2:12" s="326" customFormat="1" ht="9.9499999999999993" customHeight="1" x14ac:dyDescent="0.2">
      <c r="B569" s="327"/>
      <c r="D569" s="327"/>
      <c r="F569" s="327"/>
      <c r="L569" s="327"/>
    </row>
    <row r="570" spans="2:12" s="326" customFormat="1" ht="9.9499999999999993" customHeight="1" x14ac:dyDescent="0.2">
      <c r="B570" s="327"/>
      <c r="D570" s="327"/>
      <c r="F570" s="327"/>
      <c r="L570" s="327"/>
    </row>
    <row r="571" spans="2:12" s="326" customFormat="1" ht="9.9499999999999993" customHeight="1" x14ac:dyDescent="0.2">
      <c r="B571" s="327"/>
      <c r="D571" s="327"/>
      <c r="F571" s="327"/>
      <c r="L571" s="327"/>
    </row>
    <row r="572" spans="2:12" s="326" customFormat="1" ht="9.9499999999999993" customHeight="1" x14ac:dyDescent="0.2">
      <c r="B572" s="327"/>
      <c r="D572" s="327"/>
      <c r="F572" s="327"/>
      <c r="L572" s="327"/>
    </row>
    <row r="573" spans="2:12" s="326" customFormat="1" ht="9.9499999999999993" customHeight="1" x14ac:dyDescent="0.2">
      <c r="B573" s="327"/>
      <c r="D573" s="327"/>
      <c r="F573" s="327"/>
      <c r="L573" s="327"/>
    </row>
    <row r="574" spans="2:12" s="326" customFormat="1" ht="9.9499999999999993" customHeight="1" x14ac:dyDescent="0.2">
      <c r="B574" s="327"/>
      <c r="D574" s="327"/>
      <c r="F574" s="327"/>
      <c r="L574" s="327"/>
    </row>
    <row r="575" spans="2:12" s="326" customFormat="1" ht="9.9499999999999993" customHeight="1" x14ac:dyDescent="0.2">
      <c r="B575" s="327"/>
      <c r="D575" s="327"/>
      <c r="F575" s="327"/>
      <c r="L575" s="327"/>
    </row>
    <row r="576" spans="2:12" s="326" customFormat="1" ht="9.9499999999999993" customHeight="1" x14ac:dyDescent="0.2">
      <c r="B576" s="327"/>
      <c r="D576" s="327"/>
      <c r="F576" s="327"/>
      <c r="L576" s="327"/>
    </row>
    <row r="577" spans="2:12" s="326" customFormat="1" ht="9.9499999999999993" customHeight="1" x14ac:dyDescent="0.2">
      <c r="B577" s="327"/>
      <c r="D577" s="327"/>
      <c r="F577" s="327"/>
      <c r="L577" s="327"/>
    </row>
    <row r="578" spans="2:12" s="326" customFormat="1" ht="9.9499999999999993" customHeight="1" x14ac:dyDescent="0.2">
      <c r="B578" s="327"/>
      <c r="D578" s="327"/>
      <c r="F578" s="327"/>
      <c r="L578" s="327"/>
    </row>
    <row r="579" spans="2:12" s="326" customFormat="1" ht="9.9499999999999993" customHeight="1" x14ac:dyDescent="0.2">
      <c r="B579" s="327"/>
      <c r="D579" s="327"/>
      <c r="F579" s="327"/>
      <c r="L579" s="327"/>
    </row>
    <row r="580" spans="2:12" s="326" customFormat="1" ht="9.9499999999999993" customHeight="1" x14ac:dyDescent="0.2">
      <c r="B580" s="327"/>
      <c r="D580" s="327"/>
      <c r="F580" s="327"/>
      <c r="L580" s="327"/>
    </row>
    <row r="581" spans="2:12" s="326" customFormat="1" ht="9.9499999999999993" customHeight="1" x14ac:dyDescent="0.2">
      <c r="B581" s="327"/>
      <c r="D581" s="327"/>
      <c r="F581" s="327"/>
      <c r="L581" s="327"/>
    </row>
    <row r="582" spans="2:12" s="326" customFormat="1" ht="9.9499999999999993" customHeight="1" x14ac:dyDescent="0.2">
      <c r="B582" s="327"/>
      <c r="D582" s="327"/>
      <c r="F582" s="327"/>
      <c r="L582" s="327"/>
    </row>
    <row r="583" spans="2:12" s="326" customFormat="1" ht="9.9499999999999993" customHeight="1" x14ac:dyDescent="0.2">
      <c r="B583" s="327"/>
      <c r="D583" s="327"/>
      <c r="F583" s="327"/>
      <c r="L583" s="327"/>
    </row>
    <row r="584" spans="2:12" s="326" customFormat="1" ht="9.9499999999999993" customHeight="1" x14ac:dyDescent="0.2">
      <c r="B584" s="327"/>
      <c r="D584" s="327"/>
      <c r="F584" s="327"/>
      <c r="L584" s="327"/>
    </row>
    <row r="585" spans="2:12" s="326" customFormat="1" ht="9.9499999999999993" customHeight="1" x14ac:dyDescent="0.2">
      <c r="B585" s="327"/>
      <c r="D585" s="327"/>
      <c r="F585" s="327"/>
      <c r="L585" s="327"/>
    </row>
    <row r="586" spans="2:12" s="326" customFormat="1" ht="9.9499999999999993" customHeight="1" x14ac:dyDescent="0.2">
      <c r="B586" s="327"/>
      <c r="D586" s="327"/>
      <c r="F586" s="327"/>
      <c r="L586" s="327"/>
    </row>
    <row r="587" spans="2:12" s="326" customFormat="1" ht="9.9499999999999993" customHeight="1" x14ac:dyDescent="0.2">
      <c r="B587" s="327"/>
      <c r="D587" s="327"/>
      <c r="F587" s="327"/>
      <c r="L587" s="327"/>
    </row>
    <row r="588" spans="2:12" s="326" customFormat="1" ht="9.9499999999999993" customHeight="1" x14ac:dyDescent="0.2">
      <c r="B588" s="327"/>
      <c r="D588" s="327"/>
      <c r="F588" s="327"/>
      <c r="L588" s="327"/>
    </row>
    <row r="589" spans="2:12" s="326" customFormat="1" ht="9.9499999999999993" customHeight="1" x14ac:dyDescent="0.2">
      <c r="B589" s="327"/>
      <c r="D589" s="327"/>
      <c r="F589" s="327"/>
      <c r="L589" s="327"/>
    </row>
    <row r="590" spans="2:12" s="326" customFormat="1" ht="9.9499999999999993" customHeight="1" x14ac:dyDescent="0.2">
      <c r="B590" s="327"/>
      <c r="D590" s="327"/>
      <c r="F590" s="327"/>
      <c r="L590" s="327"/>
    </row>
    <row r="591" spans="2:12" s="326" customFormat="1" ht="9.9499999999999993" customHeight="1" x14ac:dyDescent="0.2">
      <c r="B591" s="327"/>
      <c r="D591" s="327"/>
      <c r="F591" s="327"/>
      <c r="L591" s="327"/>
    </row>
    <row r="592" spans="2:12" s="326" customFormat="1" ht="9.9499999999999993" customHeight="1" x14ac:dyDescent="0.2">
      <c r="B592" s="327"/>
      <c r="D592" s="327"/>
      <c r="F592" s="327"/>
      <c r="L592" s="327"/>
    </row>
    <row r="593" spans="2:12" s="326" customFormat="1" ht="9.9499999999999993" customHeight="1" x14ac:dyDescent="0.2">
      <c r="B593" s="327"/>
      <c r="D593" s="327"/>
      <c r="F593" s="327"/>
      <c r="L593" s="327"/>
    </row>
    <row r="594" spans="2:12" s="326" customFormat="1" ht="9.9499999999999993" customHeight="1" x14ac:dyDescent="0.2">
      <c r="B594" s="327"/>
      <c r="D594" s="327"/>
      <c r="F594" s="327"/>
      <c r="L594" s="327"/>
    </row>
    <row r="595" spans="2:12" s="326" customFormat="1" ht="9.9499999999999993" customHeight="1" x14ac:dyDescent="0.2">
      <c r="B595" s="327"/>
      <c r="D595" s="327"/>
      <c r="F595" s="327"/>
      <c r="L595" s="327"/>
    </row>
    <row r="596" spans="2:12" s="326" customFormat="1" ht="9.9499999999999993" customHeight="1" x14ac:dyDescent="0.2">
      <c r="B596" s="327"/>
      <c r="D596" s="327"/>
      <c r="F596" s="327"/>
      <c r="L596" s="327"/>
    </row>
    <row r="597" spans="2:12" s="326" customFormat="1" ht="9.9499999999999993" customHeight="1" x14ac:dyDescent="0.2">
      <c r="B597" s="327"/>
      <c r="D597" s="327"/>
      <c r="F597" s="327"/>
      <c r="L597" s="327"/>
    </row>
    <row r="598" spans="2:12" s="326" customFormat="1" ht="9.9499999999999993" customHeight="1" x14ac:dyDescent="0.2">
      <c r="B598" s="327"/>
      <c r="D598" s="327"/>
      <c r="F598" s="327"/>
      <c r="L598" s="327"/>
    </row>
    <row r="599" spans="2:12" s="326" customFormat="1" ht="9.9499999999999993" customHeight="1" x14ac:dyDescent="0.2">
      <c r="B599" s="327"/>
      <c r="D599" s="327"/>
      <c r="F599" s="327"/>
      <c r="L599" s="327"/>
    </row>
    <row r="600" spans="2:12" s="326" customFormat="1" ht="9.9499999999999993" customHeight="1" x14ac:dyDescent="0.2">
      <c r="B600" s="327"/>
      <c r="D600" s="327"/>
      <c r="F600" s="327"/>
      <c r="L600" s="327"/>
    </row>
    <row r="601" spans="2:12" s="326" customFormat="1" ht="9.9499999999999993" customHeight="1" x14ac:dyDescent="0.2">
      <c r="B601" s="327"/>
      <c r="D601" s="327"/>
      <c r="F601" s="327"/>
      <c r="L601" s="327"/>
    </row>
    <row r="602" spans="2:12" s="326" customFormat="1" ht="9.9499999999999993" customHeight="1" x14ac:dyDescent="0.2">
      <c r="B602" s="327"/>
      <c r="D602" s="327"/>
      <c r="F602" s="327"/>
      <c r="L602" s="327"/>
    </row>
    <row r="603" spans="2:12" s="326" customFormat="1" ht="9.9499999999999993" customHeight="1" x14ac:dyDescent="0.2">
      <c r="B603" s="327"/>
      <c r="D603" s="327"/>
      <c r="F603" s="327"/>
      <c r="L603" s="327"/>
    </row>
    <row r="604" spans="2:12" s="326" customFormat="1" ht="9.9499999999999993" customHeight="1" x14ac:dyDescent="0.2">
      <c r="B604" s="327"/>
      <c r="D604" s="327"/>
      <c r="F604" s="327"/>
      <c r="L604" s="327"/>
    </row>
    <row r="605" spans="2:12" s="326" customFormat="1" ht="9.9499999999999993" customHeight="1" x14ac:dyDescent="0.2">
      <c r="B605" s="327"/>
      <c r="D605" s="327"/>
      <c r="F605" s="327"/>
      <c r="L605" s="327"/>
    </row>
    <row r="606" spans="2:12" s="326" customFormat="1" ht="9.9499999999999993" customHeight="1" x14ac:dyDescent="0.2">
      <c r="B606" s="327"/>
      <c r="D606" s="327"/>
      <c r="F606" s="327"/>
      <c r="L606" s="327"/>
    </row>
    <row r="607" spans="2:12" s="326" customFormat="1" ht="9.9499999999999993" customHeight="1" x14ac:dyDescent="0.2">
      <c r="B607" s="327"/>
      <c r="D607" s="327"/>
      <c r="F607" s="327"/>
      <c r="L607" s="327"/>
    </row>
    <row r="608" spans="2:12" s="326" customFormat="1" ht="9.9499999999999993" customHeight="1" x14ac:dyDescent="0.2">
      <c r="B608" s="327"/>
      <c r="D608" s="327"/>
      <c r="F608" s="327"/>
      <c r="L608" s="327"/>
    </row>
    <row r="609" spans="2:12" s="326" customFormat="1" ht="9.9499999999999993" customHeight="1" x14ac:dyDescent="0.2">
      <c r="B609" s="327"/>
      <c r="D609" s="327"/>
      <c r="F609" s="327"/>
      <c r="L609" s="327"/>
    </row>
    <row r="610" spans="2:12" s="326" customFormat="1" ht="9.9499999999999993" customHeight="1" x14ac:dyDescent="0.2">
      <c r="B610" s="327"/>
      <c r="D610" s="327"/>
      <c r="F610" s="327"/>
      <c r="L610" s="327"/>
    </row>
    <row r="611" spans="2:12" s="326" customFormat="1" ht="9.9499999999999993" customHeight="1" x14ac:dyDescent="0.2">
      <c r="B611" s="327"/>
      <c r="D611" s="327"/>
      <c r="F611" s="327"/>
      <c r="L611" s="327"/>
    </row>
    <row r="612" spans="2:12" s="326" customFormat="1" ht="9.9499999999999993" customHeight="1" x14ac:dyDescent="0.2">
      <c r="B612" s="327"/>
      <c r="D612" s="327"/>
      <c r="F612" s="327"/>
      <c r="L612" s="327"/>
    </row>
    <row r="613" spans="2:12" s="326" customFormat="1" ht="9.9499999999999993" customHeight="1" x14ac:dyDescent="0.2">
      <c r="B613" s="327"/>
      <c r="D613" s="327"/>
      <c r="F613" s="327"/>
      <c r="L613" s="327"/>
    </row>
    <row r="614" spans="2:12" s="326" customFormat="1" ht="9.9499999999999993" customHeight="1" x14ac:dyDescent="0.2">
      <c r="B614" s="327"/>
      <c r="D614" s="327"/>
      <c r="F614" s="327"/>
      <c r="L614" s="327"/>
    </row>
    <row r="615" spans="2:12" s="326" customFormat="1" ht="9.9499999999999993" customHeight="1" x14ac:dyDescent="0.2">
      <c r="B615" s="327"/>
      <c r="D615" s="327"/>
      <c r="F615" s="327"/>
      <c r="L615" s="327"/>
    </row>
    <row r="616" spans="2:12" s="326" customFormat="1" ht="9.9499999999999993" customHeight="1" x14ac:dyDescent="0.2">
      <c r="B616" s="327"/>
      <c r="D616" s="327"/>
      <c r="F616" s="327"/>
      <c r="L616" s="327"/>
    </row>
    <row r="617" spans="2:12" s="326" customFormat="1" ht="9.9499999999999993" customHeight="1" x14ac:dyDescent="0.2">
      <c r="B617" s="327"/>
      <c r="D617" s="327"/>
      <c r="F617" s="327"/>
      <c r="L617" s="327"/>
    </row>
    <row r="618" spans="2:12" s="326" customFormat="1" ht="9.9499999999999993" customHeight="1" x14ac:dyDescent="0.2">
      <c r="B618" s="327"/>
      <c r="D618" s="327"/>
      <c r="F618" s="327"/>
      <c r="L618" s="327"/>
    </row>
    <row r="619" spans="2:12" s="326" customFormat="1" ht="9.9499999999999993" customHeight="1" x14ac:dyDescent="0.2">
      <c r="B619" s="327"/>
      <c r="D619" s="327"/>
      <c r="F619" s="327"/>
      <c r="L619" s="327"/>
    </row>
    <row r="620" spans="2:12" s="326" customFormat="1" ht="9.9499999999999993" customHeight="1" x14ac:dyDescent="0.2">
      <c r="B620" s="327"/>
      <c r="D620" s="327"/>
      <c r="F620" s="327"/>
      <c r="L620" s="327"/>
    </row>
    <row r="621" spans="2:12" s="326" customFormat="1" ht="9.9499999999999993" customHeight="1" x14ac:dyDescent="0.2">
      <c r="B621" s="327"/>
      <c r="D621" s="327"/>
      <c r="F621" s="327"/>
      <c r="L621" s="327"/>
    </row>
    <row r="622" spans="2:12" s="326" customFormat="1" ht="9.9499999999999993" customHeight="1" x14ac:dyDescent="0.2">
      <c r="B622" s="327"/>
      <c r="D622" s="327"/>
      <c r="F622" s="327"/>
      <c r="L622" s="327"/>
    </row>
    <row r="623" spans="2:12" s="326" customFormat="1" ht="9.9499999999999993" customHeight="1" x14ac:dyDescent="0.2">
      <c r="B623" s="327"/>
      <c r="D623" s="327"/>
      <c r="F623" s="327"/>
      <c r="L623" s="327"/>
    </row>
    <row r="624" spans="2:12" s="326" customFormat="1" ht="9.9499999999999993" customHeight="1" x14ac:dyDescent="0.2">
      <c r="B624" s="327"/>
      <c r="D624" s="327"/>
      <c r="F624" s="327"/>
      <c r="L624" s="327"/>
    </row>
    <row r="625" spans="2:12" s="326" customFormat="1" ht="9.9499999999999993" customHeight="1" x14ac:dyDescent="0.2">
      <c r="B625" s="327"/>
      <c r="D625" s="327"/>
      <c r="F625" s="327"/>
      <c r="L625" s="327"/>
    </row>
    <row r="626" spans="2:12" s="326" customFormat="1" ht="9.9499999999999993" customHeight="1" x14ac:dyDescent="0.2">
      <c r="B626" s="327"/>
      <c r="D626" s="327"/>
      <c r="F626" s="327"/>
      <c r="L626" s="327"/>
    </row>
    <row r="627" spans="2:12" s="326" customFormat="1" ht="9.9499999999999993" customHeight="1" x14ac:dyDescent="0.2">
      <c r="B627" s="327"/>
      <c r="D627" s="327"/>
      <c r="F627" s="327"/>
      <c r="L627" s="327"/>
    </row>
    <row r="628" spans="2:12" s="326" customFormat="1" ht="9.9499999999999993" customHeight="1" x14ac:dyDescent="0.2">
      <c r="B628" s="327"/>
      <c r="D628" s="327"/>
      <c r="F628" s="327"/>
      <c r="L628" s="327"/>
    </row>
    <row r="629" spans="2:12" s="326" customFormat="1" ht="9.9499999999999993" customHeight="1" x14ac:dyDescent="0.2">
      <c r="B629" s="327"/>
      <c r="D629" s="327"/>
      <c r="F629" s="327"/>
      <c r="L629" s="327"/>
    </row>
    <row r="630" spans="2:12" s="326" customFormat="1" ht="9.9499999999999993" customHeight="1" x14ac:dyDescent="0.2">
      <c r="B630" s="327"/>
      <c r="D630" s="327"/>
      <c r="F630" s="327"/>
      <c r="L630" s="327"/>
    </row>
    <row r="631" spans="2:12" s="326" customFormat="1" ht="9.9499999999999993" customHeight="1" x14ac:dyDescent="0.2">
      <c r="B631" s="327"/>
      <c r="D631" s="327"/>
      <c r="F631" s="327"/>
      <c r="L631" s="327"/>
    </row>
    <row r="632" spans="2:12" s="326" customFormat="1" ht="9.9499999999999993" customHeight="1" x14ac:dyDescent="0.2">
      <c r="B632" s="327"/>
      <c r="D632" s="327"/>
      <c r="F632" s="327"/>
      <c r="L632" s="327"/>
    </row>
    <row r="633" spans="2:12" s="326" customFormat="1" ht="9.9499999999999993" customHeight="1" x14ac:dyDescent="0.2">
      <c r="B633" s="327"/>
      <c r="D633" s="327"/>
      <c r="F633" s="327"/>
      <c r="L633" s="327"/>
    </row>
    <row r="634" spans="2:12" s="326" customFormat="1" ht="9.9499999999999993" customHeight="1" x14ac:dyDescent="0.2">
      <c r="B634" s="327"/>
      <c r="D634" s="327"/>
      <c r="F634" s="327"/>
      <c r="L634" s="327"/>
    </row>
    <row r="635" spans="2:12" s="326" customFormat="1" ht="9.9499999999999993" customHeight="1" x14ac:dyDescent="0.2">
      <c r="B635" s="327"/>
      <c r="D635" s="327"/>
      <c r="F635" s="327"/>
      <c r="L635" s="327"/>
    </row>
    <row r="636" spans="2:12" s="326" customFormat="1" ht="9.9499999999999993" customHeight="1" x14ac:dyDescent="0.2">
      <c r="B636" s="327"/>
      <c r="D636" s="327"/>
      <c r="F636" s="327"/>
      <c r="L636" s="327"/>
    </row>
    <row r="637" spans="2:12" s="326" customFormat="1" ht="9.9499999999999993" customHeight="1" x14ac:dyDescent="0.2">
      <c r="B637" s="327"/>
      <c r="D637" s="327"/>
      <c r="F637" s="327"/>
      <c r="L637" s="327"/>
    </row>
    <row r="638" spans="2:12" s="326" customFormat="1" ht="9.9499999999999993" customHeight="1" x14ac:dyDescent="0.2">
      <c r="B638" s="327"/>
      <c r="D638" s="327"/>
      <c r="F638" s="327"/>
      <c r="L638" s="327"/>
    </row>
    <row r="639" spans="2:12" s="326" customFormat="1" ht="9.9499999999999993" customHeight="1" x14ac:dyDescent="0.2">
      <c r="B639" s="327"/>
      <c r="D639" s="327"/>
      <c r="F639" s="327"/>
      <c r="L639" s="327"/>
    </row>
    <row r="640" spans="2:12" s="326" customFormat="1" ht="9.9499999999999993" customHeight="1" x14ac:dyDescent="0.2">
      <c r="B640" s="327"/>
      <c r="D640" s="327"/>
      <c r="F640" s="327"/>
      <c r="L640" s="327"/>
    </row>
    <row r="641" spans="2:12" s="326" customFormat="1" ht="9.9499999999999993" customHeight="1" x14ac:dyDescent="0.2">
      <c r="B641" s="327"/>
      <c r="D641" s="327"/>
      <c r="F641" s="327"/>
      <c r="L641" s="327"/>
    </row>
    <row r="642" spans="2:12" s="326" customFormat="1" ht="9.9499999999999993" customHeight="1" x14ac:dyDescent="0.2">
      <c r="B642" s="327"/>
      <c r="D642" s="327"/>
      <c r="F642" s="327"/>
      <c r="L642" s="327"/>
    </row>
    <row r="643" spans="2:12" s="326" customFormat="1" ht="9.9499999999999993" customHeight="1" x14ac:dyDescent="0.2">
      <c r="B643" s="327"/>
      <c r="D643" s="327"/>
      <c r="F643" s="327"/>
      <c r="L643" s="327"/>
    </row>
    <row r="644" spans="2:12" s="326" customFormat="1" ht="9.9499999999999993" customHeight="1" x14ac:dyDescent="0.2">
      <c r="B644" s="327"/>
      <c r="D644" s="327"/>
      <c r="F644" s="327"/>
      <c r="L644" s="327"/>
    </row>
    <row r="645" spans="2:12" s="326" customFormat="1" ht="9.9499999999999993" customHeight="1" x14ac:dyDescent="0.2">
      <c r="B645" s="327"/>
      <c r="D645" s="327"/>
      <c r="F645" s="327"/>
      <c r="L645" s="327"/>
    </row>
    <row r="646" spans="2:12" s="326" customFormat="1" ht="9.9499999999999993" customHeight="1" x14ac:dyDescent="0.2">
      <c r="B646" s="327"/>
      <c r="D646" s="327"/>
      <c r="F646" s="327"/>
      <c r="L646" s="327"/>
    </row>
    <row r="647" spans="2:12" s="326" customFormat="1" ht="9.9499999999999993" customHeight="1" x14ac:dyDescent="0.2">
      <c r="B647" s="327"/>
      <c r="D647" s="327"/>
      <c r="F647" s="327"/>
      <c r="L647" s="327"/>
    </row>
    <row r="648" spans="2:12" s="326" customFormat="1" ht="9.9499999999999993" customHeight="1" x14ac:dyDescent="0.2">
      <c r="B648" s="327"/>
      <c r="D648" s="327"/>
      <c r="F648" s="327"/>
      <c r="L648" s="327"/>
    </row>
    <row r="649" spans="2:12" s="326" customFormat="1" ht="9.9499999999999993" customHeight="1" x14ac:dyDescent="0.2">
      <c r="B649" s="327"/>
      <c r="D649" s="327"/>
      <c r="F649" s="327"/>
      <c r="L649" s="327"/>
    </row>
    <row r="650" spans="2:12" s="326" customFormat="1" ht="9.9499999999999993" customHeight="1" x14ac:dyDescent="0.2">
      <c r="B650" s="327"/>
      <c r="D650" s="327"/>
      <c r="F650" s="327"/>
      <c r="L650" s="327"/>
    </row>
    <row r="651" spans="2:12" s="326" customFormat="1" ht="9.9499999999999993" customHeight="1" x14ac:dyDescent="0.2">
      <c r="B651" s="327"/>
      <c r="D651" s="327"/>
      <c r="F651" s="327"/>
      <c r="L651" s="327"/>
    </row>
    <row r="652" spans="2:12" s="326" customFormat="1" ht="9.9499999999999993" customHeight="1" x14ac:dyDescent="0.2">
      <c r="B652" s="327"/>
      <c r="D652" s="327"/>
      <c r="F652" s="327"/>
      <c r="L652" s="327"/>
    </row>
    <row r="653" spans="2:12" s="326" customFormat="1" ht="9.9499999999999993" customHeight="1" x14ac:dyDescent="0.2">
      <c r="B653" s="327"/>
      <c r="D653" s="327"/>
      <c r="F653" s="327"/>
      <c r="L653" s="327"/>
    </row>
    <row r="654" spans="2:12" s="326" customFormat="1" ht="9.9499999999999993" customHeight="1" x14ac:dyDescent="0.2">
      <c r="B654" s="327"/>
      <c r="D654" s="327"/>
      <c r="F654" s="327"/>
      <c r="L654" s="327"/>
    </row>
    <row r="655" spans="2:12" s="326" customFormat="1" ht="9.9499999999999993" customHeight="1" x14ac:dyDescent="0.2">
      <c r="B655" s="327"/>
      <c r="D655" s="327"/>
      <c r="F655" s="327"/>
      <c r="L655" s="327"/>
    </row>
    <row r="656" spans="2:12" s="326" customFormat="1" ht="9.9499999999999993" customHeight="1" x14ac:dyDescent="0.2">
      <c r="B656" s="327"/>
      <c r="D656" s="327"/>
      <c r="F656" s="327"/>
      <c r="L656" s="327"/>
    </row>
    <row r="657" spans="2:12" s="326" customFormat="1" ht="9.9499999999999993" customHeight="1" x14ac:dyDescent="0.2">
      <c r="B657" s="327"/>
      <c r="D657" s="327"/>
      <c r="F657" s="327"/>
      <c r="L657" s="327"/>
    </row>
    <row r="658" spans="2:12" s="326" customFormat="1" ht="9.9499999999999993" customHeight="1" x14ac:dyDescent="0.2">
      <c r="B658" s="327"/>
      <c r="D658" s="327"/>
      <c r="F658" s="327"/>
      <c r="L658" s="327"/>
    </row>
    <row r="659" spans="2:12" s="326" customFormat="1" ht="9.9499999999999993" customHeight="1" x14ac:dyDescent="0.2">
      <c r="B659" s="327"/>
      <c r="D659" s="327"/>
      <c r="F659" s="327"/>
      <c r="L659" s="327"/>
    </row>
    <row r="660" spans="2:12" s="326" customFormat="1" ht="9.9499999999999993" customHeight="1" x14ac:dyDescent="0.2">
      <c r="B660" s="327"/>
      <c r="D660" s="327"/>
      <c r="F660" s="327"/>
      <c r="L660" s="327"/>
    </row>
    <row r="661" spans="2:12" s="326" customFormat="1" ht="9.9499999999999993" customHeight="1" x14ac:dyDescent="0.2">
      <c r="B661" s="327"/>
      <c r="D661" s="327"/>
      <c r="F661" s="327"/>
      <c r="L661" s="327"/>
    </row>
    <row r="662" spans="2:12" s="326" customFormat="1" ht="9.9499999999999993" customHeight="1" x14ac:dyDescent="0.2">
      <c r="B662" s="327"/>
      <c r="D662" s="327"/>
      <c r="F662" s="327"/>
      <c r="L662" s="327"/>
    </row>
    <row r="663" spans="2:12" s="326" customFormat="1" ht="9.9499999999999993" customHeight="1" x14ac:dyDescent="0.2">
      <c r="B663" s="327"/>
      <c r="D663" s="327"/>
      <c r="F663" s="327"/>
      <c r="L663" s="327"/>
    </row>
    <row r="664" spans="2:12" s="326" customFormat="1" ht="9.9499999999999993" customHeight="1" x14ac:dyDescent="0.2">
      <c r="B664" s="327"/>
      <c r="D664" s="327"/>
      <c r="F664" s="327"/>
      <c r="L664" s="327"/>
    </row>
    <row r="665" spans="2:12" s="326" customFormat="1" ht="9.9499999999999993" customHeight="1" x14ac:dyDescent="0.2">
      <c r="B665" s="327"/>
      <c r="D665" s="327"/>
      <c r="F665" s="327"/>
      <c r="L665" s="327"/>
    </row>
    <row r="666" spans="2:12" s="326" customFormat="1" ht="9.9499999999999993" customHeight="1" x14ac:dyDescent="0.2">
      <c r="B666" s="327"/>
      <c r="D666" s="327"/>
      <c r="F666" s="327"/>
      <c r="L666" s="327"/>
    </row>
    <row r="667" spans="2:12" s="326" customFormat="1" ht="9.9499999999999993" customHeight="1" x14ac:dyDescent="0.2">
      <c r="B667" s="327"/>
      <c r="D667" s="327"/>
      <c r="F667" s="327"/>
      <c r="L667" s="327"/>
    </row>
    <row r="668" spans="2:12" s="326" customFormat="1" ht="9.9499999999999993" customHeight="1" x14ac:dyDescent="0.2">
      <c r="B668" s="327"/>
      <c r="D668" s="327"/>
      <c r="F668" s="327"/>
      <c r="L668" s="327"/>
    </row>
    <row r="669" spans="2:12" s="326" customFormat="1" ht="9.9499999999999993" customHeight="1" x14ac:dyDescent="0.2">
      <c r="B669" s="327"/>
      <c r="D669" s="327"/>
      <c r="F669" s="327"/>
      <c r="L669" s="327"/>
    </row>
    <row r="670" spans="2:12" s="326" customFormat="1" ht="9.9499999999999993" customHeight="1" x14ac:dyDescent="0.2">
      <c r="B670" s="327"/>
      <c r="D670" s="327"/>
      <c r="F670" s="327"/>
      <c r="L670" s="327"/>
    </row>
    <row r="671" spans="2:12" s="326" customFormat="1" ht="9.9499999999999993" customHeight="1" x14ac:dyDescent="0.2">
      <c r="B671" s="327"/>
      <c r="D671" s="327"/>
      <c r="F671" s="327"/>
      <c r="L671" s="327"/>
    </row>
    <row r="672" spans="2:12" s="326" customFormat="1" ht="9.9499999999999993" customHeight="1" x14ac:dyDescent="0.2">
      <c r="B672" s="327"/>
      <c r="D672" s="327"/>
      <c r="F672" s="327"/>
      <c r="L672" s="327"/>
    </row>
    <row r="673" spans="2:12" s="326" customFormat="1" ht="9.9499999999999993" customHeight="1" x14ac:dyDescent="0.2">
      <c r="B673" s="327"/>
      <c r="D673" s="327"/>
      <c r="F673" s="327"/>
      <c r="L673" s="327"/>
    </row>
    <row r="674" spans="2:12" s="326" customFormat="1" ht="9.9499999999999993" customHeight="1" x14ac:dyDescent="0.2">
      <c r="B674" s="327"/>
      <c r="D674" s="327"/>
      <c r="F674" s="327"/>
      <c r="L674" s="327"/>
    </row>
    <row r="675" spans="2:12" s="326" customFormat="1" ht="9.9499999999999993" customHeight="1" x14ac:dyDescent="0.2">
      <c r="B675" s="327"/>
      <c r="D675" s="327"/>
      <c r="F675" s="327"/>
      <c r="L675" s="327"/>
    </row>
    <row r="676" spans="2:12" s="326" customFormat="1" ht="9.9499999999999993" customHeight="1" x14ac:dyDescent="0.2">
      <c r="B676" s="327"/>
      <c r="D676" s="327"/>
      <c r="F676" s="327"/>
      <c r="L676" s="327"/>
    </row>
    <row r="677" spans="2:12" s="326" customFormat="1" ht="9.9499999999999993" customHeight="1" x14ac:dyDescent="0.2">
      <c r="B677" s="327"/>
      <c r="D677" s="327"/>
      <c r="F677" s="327"/>
      <c r="L677" s="327"/>
    </row>
    <row r="678" spans="2:12" s="326" customFormat="1" ht="9.9499999999999993" customHeight="1" x14ac:dyDescent="0.2">
      <c r="B678" s="327"/>
      <c r="D678" s="327"/>
      <c r="F678" s="327"/>
      <c r="L678" s="327"/>
    </row>
    <row r="679" spans="2:12" s="326" customFormat="1" ht="9.9499999999999993" customHeight="1" x14ac:dyDescent="0.2">
      <c r="B679" s="327"/>
      <c r="D679" s="327"/>
      <c r="F679" s="327"/>
      <c r="L679" s="327"/>
    </row>
    <row r="680" spans="2:12" s="326" customFormat="1" ht="9.9499999999999993" customHeight="1" x14ac:dyDescent="0.2">
      <c r="B680" s="327"/>
      <c r="D680" s="327"/>
      <c r="F680" s="327"/>
      <c r="L680" s="327"/>
    </row>
    <row r="681" spans="2:12" s="326" customFormat="1" ht="9.9499999999999993" customHeight="1" x14ac:dyDescent="0.2">
      <c r="B681" s="327"/>
      <c r="D681" s="327"/>
      <c r="F681" s="327"/>
      <c r="L681" s="327"/>
    </row>
    <row r="682" spans="2:12" s="326" customFormat="1" ht="9.9499999999999993" customHeight="1" x14ac:dyDescent="0.2">
      <c r="B682" s="327"/>
      <c r="D682" s="327"/>
      <c r="F682" s="327"/>
      <c r="L682" s="327"/>
    </row>
    <row r="683" spans="2:12" s="326" customFormat="1" ht="9.9499999999999993" customHeight="1" x14ac:dyDescent="0.2">
      <c r="B683" s="327"/>
      <c r="D683" s="327"/>
      <c r="F683" s="327"/>
      <c r="L683" s="327"/>
    </row>
    <row r="684" spans="2:12" s="326" customFormat="1" ht="9.9499999999999993" customHeight="1" x14ac:dyDescent="0.2">
      <c r="B684" s="327"/>
      <c r="D684" s="327"/>
      <c r="F684" s="327"/>
      <c r="L684" s="327"/>
    </row>
    <row r="685" spans="2:12" s="326" customFormat="1" ht="9.9499999999999993" customHeight="1" x14ac:dyDescent="0.2">
      <c r="B685" s="327"/>
      <c r="D685" s="327"/>
      <c r="F685" s="327"/>
      <c r="L685" s="327"/>
    </row>
    <row r="686" spans="2:12" s="326" customFormat="1" ht="9.9499999999999993" customHeight="1" x14ac:dyDescent="0.2">
      <c r="B686" s="327"/>
      <c r="D686" s="327"/>
      <c r="F686" s="327"/>
      <c r="L686" s="327"/>
    </row>
    <row r="687" spans="2:12" s="326" customFormat="1" ht="9.9499999999999993" customHeight="1" x14ac:dyDescent="0.2">
      <c r="B687" s="327"/>
      <c r="D687" s="327"/>
      <c r="F687" s="327"/>
      <c r="L687" s="327"/>
    </row>
    <row r="688" spans="2:12" s="326" customFormat="1" ht="9.9499999999999993" customHeight="1" x14ac:dyDescent="0.2">
      <c r="B688" s="327"/>
      <c r="D688" s="327"/>
      <c r="F688" s="327"/>
      <c r="L688" s="327"/>
    </row>
    <row r="689" spans="2:12" s="326" customFormat="1" ht="9.9499999999999993" customHeight="1" x14ac:dyDescent="0.2">
      <c r="B689" s="327"/>
      <c r="D689" s="327"/>
      <c r="F689" s="327"/>
      <c r="L689" s="327"/>
    </row>
    <row r="690" spans="2:12" s="326" customFormat="1" ht="9.9499999999999993" customHeight="1" x14ac:dyDescent="0.2">
      <c r="B690" s="327"/>
      <c r="D690" s="327"/>
      <c r="F690" s="327"/>
      <c r="L690" s="327"/>
    </row>
    <row r="691" spans="2:12" s="326" customFormat="1" ht="9.9499999999999993" customHeight="1" x14ac:dyDescent="0.2">
      <c r="B691" s="327"/>
      <c r="D691" s="327"/>
      <c r="F691" s="327"/>
      <c r="L691" s="327"/>
    </row>
    <row r="692" spans="2:12" s="326" customFormat="1" ht="9.9499999999999993" customHeight="1" x14ac:dyDescent="0.2">
      <c r="B692" s="327"/>
      <c r="D692" s="327"/>
      <c r="F692" s="327"/>
      <c r="L692" s="327"/>
    </row>
    <row r="693" spans="2:12" s="326" customFormat="1" ht="9.9499999999999993" customHeight="1" x14ac:dyDescent="0.2">
      <c r="B693" s="327"/>
      <c r="D693" s="327"/>
      <c r="F693" s="327"/>
      <c r="L693" s="327"/>
    </row>
    <row r="694" spans="2:12" s="326" customFormat="1" ht="9.9499999999999993" customHeight="1" x14ac:dyDescent="0.2">
      <c r="B694" s="327"/>
      <c r="D694" s="327"/>
      <c r="F694" s="327"/>
      <c r="L694" s="327"/>
    </row>
    <row r="695" spans="2:12" s="326" customFormat="1" ht="9.9499999999999993" customHeight="1" x14ac:dyDescent="0.2">
      <c r="B695" s="327"/>
      <c r="D695" s="327"/>
      <c r="F695" s="327"/>
      <c r="L695" s="327"/>
    </row>
    <row r="696" spans="2:12" s="326" customFormat="1" ht="9.9499999999999993" customHeight="1" x14ac:dyDescent="0.2">
      <c r="B696" s="327"/>
      <c r="D696" s="327"/>
      <c r="F696" s="327"/>
      <c r="L696" s="327"/>
    </row>
    <row r="697" spans="2:12" s="326" customFormat="1" ht="9.9499999999999993" customHeight="1" x14ac:dyDescent="0.2">
      <c r="B697" s="327"/>
      <c r="D697" s="327"/>
      <c r="F697" s="327"/>
      <c r="L697" s="327"/>
    </row>
    <row r="698" spans="2:12" s="326" customFormat="1" ht="9.9499999999999993" customHeight="1" x14ac:dyDescent="0.2">
      <c r="B698" s="327"/>
      <c r="D698" s="327"/>
      <c r="F698" s="327"/>
      <c r="L698" s="327"/>
    </row>
    <row r="699" spans="2:12" s="326" customFormat="1" ht="9.9499999999999993" customHeight="1" x14ac:dyDescent="0.2">
      <c r="B699" s="327"/>
      <c r="D699" s="327"/>
      <c r="F699" s="327"/>
      <c r="L699" s="327"/>
    </row>
    <row r="700" spans="2:12" s="326" customFormat="1" ht="9.9499999999999993" customHeight="1" x14ac:dyDescent="0.2">
      <c r="B700" s="327"/>
      <c r="D700" s="327"/>
      <c r="F700" s="327"/>
      <c r="L700" s="327"/>
    </row>
    <row r="701" spans="2:12" s="326" customFormat="1" ht="9.9499999999999993" customHeight="1" x14ac:dyDescent="0.2">
      <c r="B701" s="327"/>
      <c r="D701" s="327"/>
      <c r="F701" s="327"/>
      <c r="L701" s="327"/>
    </row>
    <row r="702" spans="2:12" s="326" customFormat="1" ht="9.9499999999999993" customHeight="1" x14ac:dyDescent="0.2">
      <c r="B702" s="327"/>
      <c r="D702" s="327"/>
      <c r="F702" s="327"/>
      <c r="L702" s="327"/>
    </row>
    <row r="703" spans="2:12" s="326" customFormat="1" ht="9.9499999999999993" customHeight="1" x14ac:dyDescent="0.2">
      <c r="B703" s="327"/>
      <c r="D703" s="327"/>
      <c r="F703" s="327"/>
      <c r="L703" s="327"/>
    </row>
    <row r="704" spans="2:12" s="326" customFormat="1" ht="9.9499999999999993" customHeight="1" x14ac:dyDescent="0.2">
      <c r="B704" s="327"/>
      <c r="D704" s="327"/>
      <c r="F704" s="327"/>
      <c r="L704" s="327"/>
    </row>
    <row r="705" spans="2:12" s="326" customFormat="1" ht="9.9499999999999993" customHeight="1" x14ac:dyDescent="0.2">
      <c r="B705" s="327"/>
      <c r="D705" s="327"/>
      <c r="F705" s="327"/>
      <c r="L705" s="327"/>
    </row>
    <row r="706" spans="2:12" s="326" customFormat="1" ht="9.9499999999999993" customHeight="1" x14ac:dyDescent="0.2">
      <c r="B706" s="327"/>
      <c r="D706" s="327"/>
      <c r="F706" s="327"/>
      <c r="L706" s="327"/>
    </row>
    <row r="707" spans="2:12" s="326" customFormat="1" ht="9.9499999999999993" customHeight="1" x14ac:dyDescent="0.2">
      <c r="B707" s="327"/>
      <c r="D707" s="327"/>
      <c r="F707" s="327"/>
      <c r="L707" s="327"/>
    </row>
    <row r="708" spans="2:12" s="326" customFormat="1" ht="9.9499999999999993" customHeight="1" x14ac:dyDescent="0.2">
      <c r="B708" s="327"/>
      <c r="D708" s="327"/>
      <c r="F708" s="327"/>
      <c r="L708" s="327"/>
    </row>
    <row r="709" spans="2:12" s="326" customFormat="1" ht="9.9499999999999993" customHeight="1" x14ac:dyDescent="0.2">
      <c r="B709" s="327"/>
      <c r="D709" s="327"/>
      <c r="F709" s="327"/>
      <c r="L709" s="327"/>
    </row>
    <row r="710" spans="2:12" s="326" customFormat="1" ht="9.9499999999999993" customHeight="1" x14ac:dyDescent="0.2">
      <c r="B710" s="327"/>
      <c r="D710" s="327"/>
      <c r="F710" s="327"/>
      <c r="L710" s="327"/>
    </row>
    <row r="711" spans="2:12" s="326" customFormat="1" ht="9.9499999999999993" customHeight="1" x14ac:dyDescent="0.2">
      <c r="B711" s="327"/>
      <c r="D711" s="327"/>
      <c r="F711" s="327"/>
      <c r="L711" s="327"/>
    </row>
    <row r="712" spans="2:12" s="326" customFormat="1" ht="9.9499999999999993" customHeight="1" x14ac:dyDescent="0.2">
      <c r="B712" s="327"/>
      <c r="D712" s="327"/>
      <c r="F712" s="327"/>
      <c r="L712" s="327"/>
    </row>
    <row r="713" spans="2:12" s="326" customFormat="1" ht="9.9499999999999993" customHeight="1" x14ac:dyDescent="0.2">
      <c r="B713" s="327"/>
      <c r="D713" s="327"/>
      <c r="F713" s="327"/>
      <c r="L713" s="327"/>
    </row>
    <row r="714" spans="2:12" s="326" customFormat="1" ht="9.9499999999999993" customHeight="1" x14ac:dyDescent="0.2">
      <c r="B714" s="327"/>
      <c r="D714" s="327"/>
      <c r="F714" s="327"/>
      <c r="L714" s="327"/>
    </row>
    <row r="715" spans="2:12" s="326" customFormat="1" ht="9.9499999999999993" customHeight="1" x14ac:dyDescent="0.2">
      <c r="B715" s="327"/>
      <c r="D715" s="327"/>
      <c r="F715" s="327"/>
      <c r="L715" s="327"/>
    </row>
    <row r="716" spans="2:12" s="326" customFormat="1" ht="9.9499999999999993" customHeight="1" x14ac:dyDescent="0.2">
      <c r="B716" s="327"/>
      <c r="D716" s="327"/>
      <c r="F716" s="327"/>
      <c r="L716" s="327"/>
    </row>
    <row r="717" spans="2:12" s="326" customFormat="1" ht="9.9499999999999993" customHeight="1" x14ac:dyDescent="0.2">
      <c r="B717" s="327"/>
      <c r="D717" s="327"/>
      <c r="F717" s="327"/>
      <c r="L717" s="327"/>
    </row>
    <row r="718" spans="2:12" s="326" customFormat="1" ht="9.9499999999999993" customHeight="1" x14ac:dyDescent="0.2">
      <c r="B718" s="327"/>
      <c r="D718" s="327"/>
      <c r="F718" s="327"/>
      <c r="L718" s="327"/>
    </row>
    <row r="719" spans="2:12" s="326" customFormat="1" ht="9.9499999999999993" customHeight="1" x14ac:dyDescent="0.2">
      <c r="B719" s="327"/>
      <c r="D719" s="327"/>
      <c r="F719" s="327"/>
      <c r="L719" s="327"/>
    </row>
    <row r="720" spans="2:12" s="326" customFormat="1" ht="9.9499999999999993" customHeight="1" x14ac:dyDescent="0.2">
      <c r="B720" s="327"/>
      <c r="D720" s="327"/>
      <c r="F720" s="327"/>
      <c r="L720" s="327"/>
    </row>
    <row r="721" spans="2:12" s="326" customFormat="1" ht="9.9499999999999993" customHeight="1" x14ac:dyDescent="0.2">
      <c r="B721" s="327"/>
      <c r="D721" s="327"/>
      <c r="F721" s="327"/>
      <c r="L721" s="327"/>
    </row>
    <row r="722" spans="2:12" s="326" customFormat="1" ht="9.9499999999999993" customHeight="1" x14ac:dyDescent="0.2">
      <c r="B722" s="327"/>
      <c r="D722" s="327"/>
      <c r="F722" s="327"/>
      <c r="L722" s="327"/>
    </row>
    <row r="723" spans="2:12" s="326" customFormat="1" ht="9.9499999999999993" customHeight="1" x14ac:dyDescent="0.2">
      <c r="B723" s="327"/>
      <c r="D723" s="327"/>
      <c r="F723" s="327"/>
      <c r="L723" s="327"/>
    </row>
    <row r="724" spans="2:12" s="326" customFormat="1" ht="9.9499999999999993" customHeight="1" x14ac:dyDescent="0.2">
      <c r="B724" s="327"/>
      <c r="D724" s="327"/>
      <c r="F724" s="327"/>
      <c r="L724" s="327"/>
    </row>
    <row r="725" spans="2:12" s="326" customFormat="1" ht="9.9499999999999993" customHeight="1" x14ac:dyDescent="0.2">
      <c r="B725" s="327"/>
      <c r="D725" s="327"/>
      <c r="F725" s="327"/>
      <c r="L725" s="327"/>
    </row>
    <row r="726" spans="2:12" s="326" customFormat="1" ht="9.9499999999999993" customHeight="1" x14ac:dyDescent="0.2">
      <c r="B726" s="327"/>
      <c r="D726" s="327"/>
      <c r="F726" s="327"/>
      <c r="L726" s="327"/>
    </row>
    <row r="727" spans="2:12" s="326" customFormat="1" ht="9.9499999999999993" customHeight="1" x14ac:dyDescent="0.2">
      <c r="B727" s="327"/>
      <c r="D727" s="327"/>
      <c r="F727" s="327"/>
      <c r="L727" s="327"/>
    </row>
    <row r="728" spans="2:12" s="326" customFormat="1" ht="9.9499999999999993" customHeight="1" x14ac:dyDescent="0.2">
      <c r="B728" s="327"/>
      <c r="D728" s="327"/>
      <c r="F728" s="327"/>
      <c r="L728" s="327"/>
    </row>
    <row r="729" spans="2:12" s="326" customFormat="1" ht="9.9499999999999993" customHeight="1" x14ac:dyDescent="0.2">
      <c r="B729" s="327"/>
      <c r="D729" s="327"/>
      <c r="F729" s="327"/>
      <c r="L729" s="327"/>
    </row>
    <row r="730" spans="2:12" s="326" customFormat="1" ht="9.9499999999999993" customHeight="1" x14ac:dyDescent="0.2">
      <c r="B730" s="327"/>
      <c r="D730" s="327"/>
      <c r="F730" s="327"/>
      <c r="L730" s="327"/>
    </row>
    <row r="731" spans="2:12" s="326" customFormat="1" ht="9.9499999999999993" customHeight="1" x14ac:dyDescent="0.2">
      <c r="B731" s="327"/>
      <c r="D731" s="327"/>
      <c r="F731" s="327"/>
      <c r="L731" s="327"/>
    </row>
    <row r="732" spans="2:12" s="326" customFormat="1" ht="9.9499999999999993" customHeight="1" x14ac:dyDescent="0.2">
      <c r="B732" s="327"/>
      <c r="D732" s="327"/>
      <c r="F732" s="327"/>
      <c r="L732" s="327"/>
    </row>
    <row r="733" spans="2:12" s="326" customFormat="1" ht="9.9499999999999993" customHeight="1" x14ac:dyDescent="0.2">
      <c r="B733" s="327"/>
      <c r="D733" s="327"/>
      <c r="F733" s="327"/>
      <c r="L733" s="327"/>
    </row>
    <row r="734" spans="2:12" s="326" customFormat="1" ht="9.9499999999999993" customHeight="1" x14ac:dyDescent="0.2">
      <c r="B734" s="327"/>
      <c r="D734" s="327"/>
      <c r="F734" s="327"/>
      <c r="L734" s="327"/>
    </row>
    <row r="735" spans="2:12" s="326" customFormat="1" ht="9.9499999999999993" customHeight="1" x14ac:dyDescent="0.2">
      <c r="B735" s="327"/>
      <c r="D735" s="327"/>
      <c r="F735" s="327"/>
      <c r="L735" s="327"/>
    </row>
    <row r="736" spans="2:12" s="326" customFormat="1" ht="9.9499999999999993" customHeight="1" x14ac:dyDescent="0.2">
      <c r="B736" s="327"/>
      <c r="D736" s="327"/>
      <c r="F736" s="327"/>
      <c r="L736" s="327"/>
    </row>
    <row r="737" spans="2:12" s="326" customFormat="1" ht="9.9499999999999993" customHeight="1" x14ac:dyDescent="0.2">
      <c r="B737" s="327"/>
      <c r="D737" s="327"/>
      <c r="F737" s="327"/>
      <c r="L737" s="327"/>
    </row>
    <row r="738" spans="2:12" s="326" customFormat="1" ht="9.9499999999999993" customHeight="1" x14ac:dyDescent="0.2">
      <c r="B738" s="327"/>
      <c r="D738" s="327"/>
      <c r="F738" s="327"/>
      <c r="L738" s="327"/>
    </row>
    <row r="739" spans="2:12" s="326" customFormat="1" ht="9.9499999999999993" customHeight="1" x14ac:dyDescent="0.2">
      <c r="B739" s="327"/>
      <c r="D739" s="327"/>
      <c r="F739" s="327"/>
      <c r="L739" s="327"/>
    </row>
    <row r="740" spans="2:12" s="326" customFormat="1" ht="9.9499999999999993" customHeight="1" x14ac:dyDescent="0.2">
      <c r="B740" s="327"/>
      <c r="D740" s="327"/>
      <c r="F740" s="327"/>
      <c r="L740" s="327"/>
    </row>
    <row r="741" spans="2:12" s="326" customFormat="1" ht="9.9499999999999993" customHeight="1" x14ac:dyDescent="0.2">
      <c r="B741" s="327"/>
      <c r="D741" s="327"/>
      <c r="F741" s="327"/>
      <c r="L741" s="327"/>
    </row>
    <row r="742" spans="2:12" s="326" customFormat="1" ht="9.9499999999999993" customHeight="1" x14ac:dyDescent="0.2">
      <c r="B742" s="327"/>
      <c r="D742" s="327"/>
      <c r="F742" s="327"/>
      <c r="L742" s="327"/>
    </row>
    <row r="743" spans="2:12" s="326" customFormat="1" ht="9.9499999999999993" customHeight="1" x14ac:dyDescent="0.2">
      <c r="B743" s="327"/>
      <c r="D743" s="327"/>
      <c r="F743" s="327"/>
      <c r="L743" s="327"/>
    </row>
    <row r="744" spans="2:12" s="326" customFormat="1" ht="9.9499999999999993" customHeight="1" x14ac:dyDescent="0.2">
      <c r="B744" s="327"/>
      <c r="D744" s="327"/>
      <c r="F744" s="327"/>
      <c r="L744" s="327"/>
    </row>
    <row r="745" spans="2:12" s="326" customFormat="1" ht="9.9499999999999993" customHeight="1" x14ac:dyDescent="0.2">
      <c r="B745" s="327"/>
      <c r="D745" s="327"/>
      <c r="F745" s="327"/>
      <c r="L745" s="327"/>
    </row>
    <row r="746" spans="2:12" s="326" customFormat="1" ht="9.9499999999999993" customHeight="1" x14ac:dyDescent="0.2">
      <c r="B746" s="327"/>
      <c r="D746" s="327"/>
      <c r="F746" s="327"/>
      <c r="L746" s="327"/>
    </row>
    <row r="747" spans="2:12" s="326" customFormat="1" ht="9.9499999999999993" customHeight="1" x14ac:dyDescent="0.2">
      <c r="B747" s="327"/>
      <c r="D747" s="327"/>
      <c r="F747" s="327"/>
      <c r="L747" s="327"/>
    </row>
    <row r="748" spans="2:12" s="326" customFormat="1" ht="9.9499999999999993" customHeight="1" x14ac:dyDescent="0.2">
      <c r="B748" s="327"/>
      <c r="D748" s="327"/>
      <c r="F748" s="327"/>
      <c r="L748" s="327"/>
    </row>
    <row r="749" spans="2:12" s="326" customFormat="1" ht="9.9499999999999993" customHeight="1" x14ac:dyDescent="0.2">
      <c r="B749" s="327"/>
      <c r="D749" s="327"/>
      <c r="F749" s="327"/>
      <c r="L749" s="327"/>
    </row>
    <row r="750" spans="2:12" s="326" customFormat="1" ht="9.9499999999999993" customHeight="1" x14ac:dyDescent="0.2">
      <c r="B750" s="327"/>
      <c r="D750" s="327"/>
      <c r="F750" s="327"/>
      <c r="L750" s="327"/>
    </row>
    <row r="751" spans="2:12" s="326" customFormat="1" ht="9.9499999999999993" customHeight="1" x14ac:dyDescent="0.2">
      <c r="B751" s="327"/>
      <c r="D751" s="327"/>
      <c r="F751" s="327"/>
      <c r="L751" s="327"/>
    </row>
    <row r="752" spans="2:12" s="326" customFormat="1" ht="9.9499999999999993" customHeight="1" x14ac:dyDescent="0.2">
      <c r="B752" s="327"/>
      <c r="D752" s="327"/>
      <c r="F752" s="327"/>
      <c r="L752" s="327"/>
    </row>
    <row r="753" spans="2:12" s="326" customFormat="1" ht="9.9499999999999993" customHeight="1" x14ac:dyDescent="0.2">
      <c r="B753" s="327"/>
      <c r="D753" s="327"/>
      <c r="F753" s="327"/>
      <c r="L753" s="327"/>
    </row>
    <row r="754" spans="2:12" s="326" customFormat="1" ht="9.9499999999999993" customHeight="1" x14ac:dyDescent="0.2">
      <c r="B754" s="327"/>
      <c r="D754" s="327"/>
      <c r="F754" s="327"/>
      <c r="L754" s="327"/>
    </row>
    <row r="755" spans="2:12" s="326" customFormat="1" ht="9.9499999999999993" customHeight="1" x14ac:dyDescent="0.2">
      <c r="B755" s="327"/>
      <c r="D755" s="327"/>
      <c r="F755" s="327"/>
      <c r="L755" s="327"/>
    </row>
    <row r="756" spans="2:12" s="326" customFormat="1" ht="9.9499999999999993" customHeight="1" x14ac:dyDescent="0.2">
      <c r="B756" s="327"/>
      <c r="D756" s="327"/>
      <c r="F756" s="327"/>
      <c r="L756" s="327"/>
    </row>
    <row r="757" spans="2:12" s="326" customFormat="1" ht="9.9499999999999993" customHeight="1" x14ac:dyDescent="0.2">
      <c r="B757" s="327"/>
      <c r="D757" s="327"/>
      <c r="F757" s="327"/>
      <c r="L757" s="327"/>
    </row>
    <row r="758" spans="2:12" s="326" customFormat="1" ht="9.9499999999999993" customHeight="1" x14ac:dyDescent="0.2">
      <c r="B758" s="327"/>
      <c r="D758" s="327"/>
      <c r="F758" s="327"/>
      <c r="L758" s="327"/>
    </row>
    <row r="759" spans="2:12" s="326" customFormat="1" ht="9.9499999999999993" customHeight="1" x14ac:dyDescent="0.2">
      <c r="B759" s="327"/>
      <c r="D759" s="327"/>
      <c r="F759" s="327"/>
      <c r="L759" s="327"/>
    </row>
    <row r="760" spans="2:12" s="326" customFormat="1" ht="9.9499999999999993" customHeight="1" x14ac:dyDescent="0.2">
      <c r="B760" s="327"/>
      <c r="D760" s="327"/>
      <c r="F760" s="327"/>
      <c r="L760" s="327"/>
    </row>
    <row r="761" spans="2:12" s="326" customFormat="1" ht="9.9499999999999993" customHeight="1" x14ac:dyDescent="0.2">
      <c r="B761" s="327"/>
      <c r="D761" s="327"/>
      <c r="F761" s="327"/>
      <c r="L761" s="327"/>
    </row>
    <row r="762" spans="2:12" s="326" customFormat="1" ht="9.9499999999999993" customHeight="1" x14ac:dyDescent="0.2">
      <c r="B762" s="327"/>
      <c r="D762" s="327"/>
      <c r="F762" s="327"/>
      <c r="L762" s="327"/>
    </row>
    <row r="763" spans="2:12" s="326" customFormat="1" ht="9.9499999999999993" customHeight="1" x14ac:dyDescent="0.2">
      <c r="B763" s="327"/>
      <c r="D763" s="327"/>
      <c r="F763" s="327"/>
      <c r="L763" s="327"/>
    </row>
    <row r="764" spans="2:12" s="326" customFormat="1" ht="9.9499999999999993" customHeight="1" x14ac:dyDescent="0.2">
      <c r="B764" s="327"/>
      <c r="D764" s="327"/>
      <c r="F764" s="327"/>
      <c r="L764" s="327"/>
    </row>
    <row r="765" spans="2:12" s="326" customFormat="1" ht="9.9499999999999993" customHeight="1" x14ac:dyDescent="0.2">
      <c r="B765" s="327"/>
      <c r="D765" s="327"/>
      <c r="F765" s="327"/>
      <c r="L765" s="327"/>
    </row>
    <row r="766" spans="2:12" s="326" customFormat="1" ht="9.9499999999999993" customHeight="1" x14ac:dyDescent="0.2">
      <c r="B766" s="327"/>
      <c r="D766" s="327"/>
      <c r="F766" s="327"/>
      <c r="L766" s="327"/>
    </row>
    <row r="767" spans="2:12" s="326" customFormat="1" ht="9.9499999999999993" customHeight="1" x14ac:dyDescent="0.2">
      <c r="B767" s="327"/>
      <c r="D767" s="327"/>
      <c r="F767" s="327"/>
      <c r="L767" s="327"/>
    </row>
    <row r="768" spans="2:12" s="326" customFormat="1" ht="9.9499999999999993" customHeight="1" x14ac:dyDescent="0.2">
      <c r="B768" s="327"/>
      <c r="D768" s="327"/>
      <c r="F768" s="327"/>
      <c r="L768" s="327"/>
    </row>
    <row r="769" spans="2:12" s="326" customFormat="1" ht="9.9499999999999993" customHeight="1" x14ac:dyDescent="0.2">
      <c r="B769" s="327"/>
      <c r="D769" s="327"/>
      <c r="F769" s="327"/>
      <c r="L769" s="327"/>
    </row>
    <row r="770" spans="2:12" s="326" customFormat="1" ht="9.9499999999999993" customHeight="1" x14ac:dyDescent="0.2">
      <c r="B770" s="327"/>
      <c r="D770" s="327"/>
      <c r="F770" s="327"/>
      <c r="L770" s="327"/>
    </row>
    <row r="771" spans="2:12" s="326" customFormat="1" ht="9.9499999999999993" customHeight="1" x14ac:dyDescent="0.2">
      <c r="B771" s="327"/>
      <c r="D771" s="327"/>
      <c r="F771" s="327"/>
      <c r="L771" s="327"/>
    </row>
    <row r="772" spans="2:12" s="326" customFormat="1" ht="9.9499999999999993" customHeight="1" x14ac:dyDescent="0.2">
      <c r="B772" s="327"/>
      <c r="D772" s="327"/>
      <c r="F772" s="327"/>
      <c r="L772" s="327"/>
    </row>
    <row r="773" spans="2:12" s="326" customFormat="1" ht="9.9499999999999993" customHeight="1" x14ac:dyDescent="0.2">
      <c r="B773" s="327"/>
      <c r="D773" s="327"/>
      <c r="F773" s="327"/>
      <c r="L773" s="327"/>
    </row>
    <row r="774" spans="2:12" s="326" customFormat="1" ht="9.9499999999999993" customHeight="1" x14ac:dyDescent="0.2">
      <c r="B774" s="327"/>
      <c r="D774" s="327"/>
      <c r="F774" s="327"/>
      <c r="L774" s="327"/>
    </row>
    <row r="775" spans="2:12" s="326" customFormat="1" ht="9.9499999999999993" customHeight="1" x14ac:dyDescent="0.2">
      <c r="B775" s="327"/>
      <c r="D775" s="327"/>
      <c r="F775" s="327"/>
      <c r="L775" s="327"/>
    </row>
    <row r="776" spans="2:12" s="326" customFormat="1" ht="9.9499999999999993" customHeight="1" x14ac:dyDescent="0.2">
      <c r="B776" s="327"/>
      <c r="D776" s="327"/>
      <c r="F776" s="327"/>
      <c r="L776" s="327"/>
    </row>
    <row r="777" spans="2:12" s="326" customFormat="1" ht="9.9499999999999993" customHeight="1" x14ac:dyDescent="0.2">
      <c r="B777" s="327"/>
      <c r="D777" s="327"/>
      <c r="F777" s="327"/>
      <c r="L777" s="327"/>
    </row>
    <row r="778" spans="2:12" s="326" customFormat="1" ht="9.9499999999999993" customHeight="1" x14ac:dyDescent="0.2">
      <c r="B778" s="327"/>
      <c r="D778" s="327"/>
      <c r="F778" s="327"/>
      <c r="L778" s="327"/>
    </row>
    <row r="779" spans="2:12" s="326" customFormat="1" ht="9.9499999999999993" customHeight="1" x14ac:dyDescent="0.2">
      <c r="B779" s="327"/>
      <c r="D779" s="327"/>
      <c r="F779" s="327"/>
      <c r="L779" s="327"/>
    </row>
    <row r="780" spans="2:12" s="326" customFormat="1" ht="9.9499999999999993" customHeight="1" x14ac:dyDescent="0.2">
      <c r="B780" s="327"/>
      <c r="D780" s="327"/>
      <c r="F780" s="327"/>
      <c r="L780" s="327"/>
    </row>
    <row r="781" spans="2:12" s="326" customFormat="1" ht="9.9499999999999993" customHeight="1" x14ac:dyDescent="0.2">
      <c r="B781" s="327"/>
      <c r="D781" s="327"/>
      <c r="F781" s="327"/>
      <c r="L781" s="327"/>
    </row>
    <row r="782" spans="2:12" s="326" customFormat="1" ht="9.9499999999999993" customHeight="1" x14ac:dyDescent="0.2">
      <c r="B782" s="327"/>
      <c r="D782" s="327"/>
      <c r="F782" s="327"/>
      <c r="L782" s="327"/>
    </row>
    <row r="783" spans="2:12" s="326" customFormat="1" ht="9.9499999999999993" customHeight="1" x14ac:dyDescent="0.2">
      <c r="B783" s="327"/>
      <c r="D783" s="327"/>
      <c r="F783" s="327"/>
      <c r="L783" s="327"/>
    </row>
    <row r="784" spans="2:12" s="326" customFormat="1" ht="9.9499999999999993" customHeight="1" x14ac:dyDescent="0.2">
      <c r="B784" s="327"/>
      <c r="D784" s="327"/>
      <c r="F784" s="327"/>
      <c r="L784" s="327"/>
    </row>
    <row r="785" spans="2:12" s="326" customFormat="1" ht="9.9499999999999993" customHeight="1" x14ac:dyDescent="0.2">
      <c r="B785" s="327"/>
      <c r="D785" s="327"/>
      <c r="F785" s="327"/>
      <c r="L785" s="327"/>
    </row>
    <row r="786" spans="2:12" s="326" customFormat="1" ht="9.9499999999999993" customHeight="1" x14ac:dyDescent="0.2">
      <c r="B786" s="327"/>
      <c r="D786" s="327"/>
      <c r="F786" s="327"/>
      <c r="L786" s="327"/>
    </row>
    <row r="787" spans="2:12" s="326" customFormat="1" ht="9.9499999999999993" customHeight="1" x14ac:dyDescent="0.2">
      <c r="B787" s="327"/>
      <c r="D787" s="327"/>
      <c r="F787" s="327"/>
      <c r="L787" s="327"/>
    </row>
    <row r="788" spans="2:12" s="326" customFormat="1" ht="9.9499999999999993" customHeight="1" x14ac:dyDescent="0.2">
      <c r="B788" s="327"/>
      <c r="D788" s="327"/>
      <c r="F788" s="327"/>
      <c r="L788" s="327"/>
    </row>
    <row r="789" spans="2:12" s="326" customFormat="1" ht="9.9499999999999993" customHeight="1" x14ac:dyDescent="0.2">
      <c r="B789" s="327"/>
      <c r="D789" s="327"/>
      <c r="F789" s="327"/>
      <c r="L789" s="327"/>
    </row>
    <row r="790" spans="2:12" s="326" customFormat="1" ht="9.9499999999999993" customHeight="1" x14ac:dyDescent="0.2">
      <c r="B790" s="327"/>
      <c r="D790" s="327"/>
      <c r="F790" s="327"/>
      <c r="L790" s="327"/>
    </row>
    <row r="791" spans="2:12" s="326" customFormat="1" ht="9.9499999999999993" customHeight="1" x14ac:dyDescent="0.2">
      <c r="B791" s="327"/>
      <c r="D791" s="327"/>
      <c r="F791" s="327"/>
      <c r="L791" s="327"/>
    </row>
    <row r="792" spans="2:12" s="326" customFormat="1" ht="9.9499999999999993" customHeight="1" x14ac:dyDescent="0.2">
      <c r="B792" s="327"/>
      <c r="D792" s="327"/>
      <c r="F792" s="327"/>
      <c r="L792" s="327"/>
    </row>
    <row r="793" spans="2:12" s="326" customFormat="1" ht="9.9499999999999993" customHeight="1" x14ac:dyDescent="0.2">
      <c r="B793" s="327"/>
      <c r="D793" s="327"/>
      <c r="F793" s="327"/>
      <c r="L793" s="327"/>
    </row>
    <row r="794" spans="2:12" s="326" customFormat="1" ht="9.9499999999999993" customHeight="1" x14ac:dyDescent="0.2">
      <c r="B794" s="327"/>
      <c r="D794" s="327"/>
      <c r="F794" s="327"/>
      <c r="L794" s="327"/>
    </row>
    <row r="795" spans="2:12" s="326" customFormat="1" ht="9.9499999999999993" customHeight="1" x14ac:dyDescent="0.2">
      <c r="B795" s="327"/>
      <c r="D795" s="327"/>
      <c r="F795" s="327"/>
      <c r="L795" s="327"/>
    </row>
    <row r="796" spans="2:12" s="326" customFormat="1" ht="9.9499999999999993" customHeight="1" x14ac:dyDescent="0.2">
      <c r="B796" s="327"/>
      <c r="D796" s="327"/>
      <c r="F796" s="327"/>
      <c r="L796" s="327"/>
    </row>
    <row r="797" spans="2:12" s="326" customFormat="1" ht="9.9499999999999993" customHeight="1" x14ac:dyDescent="0.2">
      <c r="B797" s="327"/>
      <c r="D797" s="327"/>
      <c r="F797" s="327"/>
      <c r="L797" s="327"/>
    </row>
    <row r="798" spans="2:12" s="326" customFormat="1" ht="9.9499999999999993" customHeight="1" x14ac:dyDescent="0.2">
      <c r="B798" s="327"/>
      <c r="D798" s="327"/>
      <c r="F798" s="327"/>
      <c r="L798" s="327"/>
    </row>
    <row r="799" spans="2:12" s="326" customFormat="1" ht="9.9499999999999993" customHeight="1" x14ac:dyDescent="0.2">
      <c r="B799" s="327"/>
      <c r="D799" s="327"/>
      <c r="F799" s="327"/>
      <c r="L799" s="327"/>
    </row>
    <row r="800" spans="2:12" s="326" customFormat="1" ht="9.9499999999999993" customHeight="1" x14ac:dyDescent="0.2">
      <c r="B800" s="327"/>
      <c r="D800" s="327"/>
      <c r="F800" s="327"/>
      <c r="L800" s="327"/>
    </row>
    <row r="801" spans="2:12" s="326" customFormat="1" ht="9.9499999999999993" customHeight="1" x14ac:dyDescent="0.2">
      <c r="B801" s="327"/>
      <c r="D801" s="327"/>
      <c r="F801" s="327"/>
      <c r="L801" s="327"/>
    </row>
    <row r="802" spans="2:12" s="326" customFormat="1" ht="9.9499999999999993" customHeight="1" x14ac:dyDescent="0.2">
      <c r="B802" s="327"/>
      <c r="D802" s="327"/>
      <c r="F802" s="327"/>
      <c r="L802" s="327"/>
    </row>
    <row r="803" spans="2:12" s="326" customFormat="1" ht="9.9499999999999993" customHeight="1" x14ac:dyDescent="0.2">
      <c r="B803" s="327"/>
      <c r="D803" s="327"/>
      <c r="F803" s="327"/>
      <c r="L803" s="327"/>
    </row>
    <row r="804" spans="2:12" s="326" customFormat="1" ht="9.9499999999999993" customHeight="1" x14ac:dyDescent="0.2">
      <c r="B804" s="327"/>
      <c r="D804" s="327"/>
      <c r="F804" s="327"/>
      <c r="L804" s="327"/>
    </row>
    <row r="805" spans="2:12" s="326" customFormat="1" ht="9.9499999999999993" customHeight="1" x14ac:dyDescent="0.2">
      <c r="B805" s="327"/>
      <c r="D805" s="327"/>
      <c r="F805" s="327"/>
      <c r="L805" s="327"/>
    </row>
    <row r="806" spans="2:12" s="326" customFormat="1" ht="9.9499999999999993" customHeight="1" x14ac:dyDescent="0.2">
      <c r="B806" s="327"/>
      <c r="D806" s="327"/>
      <c r="F806" s="327"/>
      <c r="L806" s="327"/>
    </row>
    <row r="807" spans="2:12" s="326" customFormat="1" ht="9.9499999999999993" customHeight="1" x14ac:dyDescent="0.2">
      <c r="B807" s="327"/>
      <c r="D807" s="327"/>
      <c r="F807" s="327"/>
      <c r="L807" s="327"/>
    </row>
    <row r="808" spans="2:12" s="326" customFormat="1" ht="9.9499999999999993" customHeight="1" x14ac:dyDescent="0.2">
      <c r="B808" s="327"/>
      <c r="D808" s="327"/>
      <c r="F808" s="327"/>
      <c r="L808" s="327"/>
    </row>
    <row r="809" spans="2:12" s="326" customFormat="1" ht="9.9499999999999993" customHeight="1" x14ac:dyDescent="0.2">
      <c r="B809" s="327"/>
      <c r="D809" s="327"/>
      <c r="F809" s="327"/>
      <c r="L809" s="327"/>
    </row>
    <row r="810" spans="2:12" s="326" customFormat="1" ht="9.9499999999999993" customHeight="1" x14ac:dyDescent="0.2">
      <c r="B810" s="327"/>
      <c r="D810" s="327"/>
      <c r="F810" s="327"/>
      <c r="L810" s="327"/>
    </row>
    <row r="811" spans="2:12" s="326" customFormat="1" ht="9.9499999999999993" customHeight="1" x14ac:dyDescent="0.2">
      <c r="B811" s="327"/>
      <c r="D811" s="327"/>
      <c r="F811" s="327"/>
      <c r="L811" s="327"/>
    </row>
    <row r="812" spans="2:12" s="326" customFormat="1" ht="9.9499999999999993" customHeight="1" x14ac:dyDescent="0.2">
      <c r="B812" s="327"/>
      <c r="D812" s="327"/>
      <c r="F812" s="327"/>
      <c r="L812" s="327"/>
    </row>
    <row r="813" spans="2:12" s="326" customFormat="1" ht="9.9499999999999993" customHeight="1" x14ac:dyDescent="0.2">
      <c r="B813" s="327"/>
      <c r="D813" s="327"/>
      <c r="F813" s="327"/>
      <c r="L813" s="327"/>
    </row>
    <row r="814" spans="2:12" s="326" customFormat="1" ht="9.9499999999999993" customHeight="1" x14ac:dyDescent="0.2">
      <c r="B814" s="327"/>
      <c r="D814" s="327"/>
      <c r="F814" s="327"/>
      <c r="L814" s="327"/>
    </row>
    <row r="815" spans="2:12" s="326" customFormat="1" ht="9.9499999999999993" customHeight="1" x14ac:dyDescent="0.2">
      <c r="B815" s="327"/>
      <c r="D815" s="327"/>
      <c r="F815" s="327"/>
      <c r="L815" s="327"/>
    </row>
    <row r="816" spans="2:12" s="326" customFormat="1" ht="9.9499999999999993" customHeight="1" x14ac:dyDescent="0.2">
      <c r="B816" s="327"/>
      <c r="D816" s="327"/>
      <c r="F816" s="327"/>
      <c r="L816" s="327"/>
    </row>
    <row r="817" spans="2:12" s="326" customFormat="1" ht="9.9499999999999993" customHeight="1" x14ac:dyDescent="0.2">
      <c r="B817" s="327"/>
      <c r="D817" s="327"/>
      <c r="F817" s="327"/>
      <c r="L817" s="327"/>
    </row>
    <row r="818" spans="2:12" s="326" customFormat="1" ht="9.9499999999999993" customHeight="1" x14ac:dyDescent="0.2">
      <c r="B818" s="327"/>
      <c r="D818" s="327"/>
      <c r="F818" s="327"/>
      <c r="L818" s="327"/>
    </row>
    <row r="819" spans="2:12" s="326" customFormat="1" ht="9.9499999999999993" customHeight="1" x14ac:dyDescent="0.2">
      <c r="B819" s="327"/>
      <c r="D819" s="327"/>
      <c r="F819" s="327"/>
      <c r="L819" s="327"/>
    </row>
    <row r="820" spans="2:12" s="326" customFormat="1" ht="9.9499999999999993" customHeight="1" x14ac:dyDescent="0.2">
      <c r="B820" s="327"/>
      <c r="D820" s="327"/>
      <c r="F820" s="327"/>
      <c r="L820" s="327"/>
    </row>
    <row r="821" spans="2:12" s="326" customFormat="1" ht="9.9499999999999993" customHeight="1" x14ac:dyDescent="0.2">
      <c r="B821" s="327"/>
      <c r="D821" s="327"/>
      <c r="F821" s="327"/>
      <c r="L821" s="327"/>
    </row>
  </sheetData>
  <mergeCells count="2">
    <mergeCell ref="A1:M1"/>
    <mergeCell ref="A4:E4"/>
  </mergeCells>
  <phoneticPr fontId="9" type="noConversion"/>
  <printOptions horizontalCentered="1"/>
  <pageMargins left="0.5" right="0.5" top="0.5" bottom="0.625" header="0.5" footer="0.5"/>
  <pageSetup scale="9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theme="6" tint="0.39997558519241921"/>
  </sheetPr>
  <dimension ref="A1:BK122"/>
  <sheetViews>
    <sheetView view="pageBreakPreview" zoomScaleNormal="100" workbookViewId="0">
      <pane xSplit="1" ySplit="11" topLeftCell="B12" activePane="bottomRight" state="frozen"/>
      <selection activeCell="Z13" activeCellId="3" sqref="Z18 Z17 Z15 Z13"/>
      <selection pane="topRight" activeCell="Z13" activeCellId="3" sqref="Z18 Z17 Z15 Z13"/>
      <selection pane="bottomLeft" activeCell="Z13" activeCellId="3" sqref="Z18 Z17 Z15 Z13"/>
      <selection pane="bottomRight" activeCell="Z13" activeCellId="3" sqref="Z18 Z17 Z15 Z13"/>
    </sheetView>
  </sheetViews>
  <sheetFormatPr defaultColWidth="9.140625" defaultRowHeight="12.75" x14ac:dyDescent="0.2"/>
  <cols>
    <col min="1" max="1" width="38.5703125" style="434" customWidth="1"/>
    <col min="2" max="2" width="1.42578125" style="523" customWidth="1"/>
    <col min="3" max="3" width="14.42578125" style="437" customWidth="1"/>
    <col min="4" max="4" width="1.42578125" style="523" customWidth="1"/>
    <col min="5" max="5" width="14" style="437" hidden="1" customWidth="1"/>
    <col min="6" max="6" width="1.42578125" style="523" hidden="1" customWidth="1"/>
    <col min="7" max="7" width="13.5703125" style="437" hidden="1" customWidth="1"/>
    <col min="8" max="8" width="1.42578125" style="523" hidden="1" customWidth="1"/>
    <col min="9" max="9" width="11.42578125" style="437" customWidth="1"/>
    <col min="10" max="10" width="1.42578125" style="523" customWidth="1"/>
    <col min="11" max="11" width="10.85546875" style="437" customWidth="1"/>
    <col min="12" max="12" width="1.42578125" style="523" customWidth="1"/>
    <col min="13" max="13" width="13.5703125" style="437" customWidth="1"/>
    <col min="14" max="14" width="1.42578125" style="523" customWidth="1"/>
    <col min="15" max="15" width="12.5703125" style="523" bestFit="1" customWidth="1"/>
    <col min="16" max="16" width="1.42578125" style="523" customWidth="1"/>
    <col min="17" max="17" width="13.5703125" style="437" customWidth="1"/>
    <col min="18" max="18" width="1.42578125" style="523" customWidth="1"/>
    <col min="19" max="19" width="13.5703125" style="437" customWidth="1"/>
    <col min="20" max="20" width="1.42578125" style="523" customWidth="1"/>
    <col min="21" max="21" width="11.5703125" style="437" customWidth="1"/>
    <col min="22" max="22" width="1.42578125" style="523" customWidth="1"/>
    <col min="23" max="23" width="13.5703125" style="437" customWidth="1"/>
    <col min="24" max="24" width="1.42578125" style="523" customWidth="1"/>
    <col min="25" max="25" width="13.5703125" style="437" customWidth="1"/>
    <col min="26" max="26" width="1.42578125" style="523" hidden="1" customWidth="1"/>
    <col min="27" max="27" width="13.42578125" style="437" hidden="1" customWidth="1"/>
    <col min="28" max="28" width="1.42578125" style="523" customWidth="1"/>
    <col min="29" max="29" width="13.5703125" style="437" customWidth="1"/>
    <col min="30" max="30" width="1.42578125" style="523" hidden="1" customWidth="1"/>
    <col min="31" max="31" width="13.5703125" style="437" hidden="1" customWidth="1"/>
    <col min="32" max="32" width="1.42578125" style="523" customWidth="1"/>
    <col min="33" max="33" width="13.5703125" style="437" customWidth="1"/>
    <col min="34" max="34" width="1.42578125" style="437" customWidth="1"/>
    <col min="35" max="35" width="12.42578125" style="437" customWidth="1"/>
    <col min="36" max="16384" width="9.140625" style="202"/>
  </cols>
  <sheetData>
    <row r="1" spans="1:35" s="462" customFormat="1" ht="22.7" customHeight="1"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row>
    <row r="2" spans="1:35" s="531" customFormat="1" ht="17.25" x14ac:dyDescent="0.2">
      <c r="A2" s="700" t="s">
        <v>461</v>
      </c>
      <c r="B2" s="713"/>
      <c r="C2" s="713"/>
      <c r="D2" s="713"/>
      <c r="E2" s="713"/>
      <c r="F2" s="713"/>
      <c r="G2" s="713"/>
      <c r="H2" s="713"/>
      <c r="I2" s="719"/>
      <c r="J2" s="713"/>
      <c r="L2" s="713"/>
      <c r="M2" s="713"/>
      <c r="N2" s="713"/>
      <c r="O2" s="713"/>
      <c r="P2" s="713"/>
      <c r="Q2" s="713"/>
      <c r="R2" s="713"/>
      <c r="S2" s="713"/>
      <c r="T2" s="713"/>
      <c r="V2" s="713"/>
      <c r="X2" s="713"/>
      <c r="Z2" s="713"/>
      <c r="AB2" s="700"/>
      <c r="AD2" s="713"/>
      <c r="AE2" s="713"/>
      <c r="AF2" s="713"/>
      <c r="AG2" s="713"/>
    </row>
    <row r="3" spans="1:35" s="531" customFormat="1" ht="17.25" x14ac:dyDescent="0.2">
      <c r="A3" s="700" t="s">
        <v>271</v>
      </c>
      <c r="B3" s="713"/>
      <c r="C3" s="713"/>
      <c r="D3" s="713"/>
      <c r="E3" s="713"/>
      <c r="F3" s="713"/>
      <c r="G3" s="713"/>
      <c r="H3" s="713"/>
      <c r="I3" s="719"/>
      <c r="J3" s="713"/>
      <c r="L3" s="713"/>
      <c r="M3" s="713"/>
      <c r="N3" s="713"/>
      <c r="O3" s="713"/>
      <c r="P3" s="713"/>
      <c r="Q3" s="713"/>
      <c r="R3" s="713"/>
      <c r="S3" s="713"/>
      <c r="T3" s="713"/>
      <c r="V3" s="713"/>
      <c r="X3" s="713"/>
      <c r="Z3" s="713"/>
      <c r="AB3" s="700"/>
      <c r="AD3" s="713"/>
      <c r="AE3" s="713"/>
      <c r="AF3" s="713"/>
      <c r="AG3" s="713"/>
    </row>
    <row r="4" spans="1:35" s="532" customFormat="1" ht="15" x14ac:dyDescent="0.2">
      <c r="A4" s="506" t="s">
        <v>1724</v>
      </c>
      <c r="B4" s="506"/>
      <c r="C4" s="506"/>
      <c r="D4" s="506"/>
      <c r="E4" s="506"/>
      <c r="F4" s="506"/>
      <c r="G4" s="506"/>
      <c r="H4" s="943"/>
      <c r="I4" s="536"/>
      <c r="J4" s="536"/>
      <c r="L4" s="506"/>
      <c r="M4" s="506"/>
      <c r="N4" s="506"/>
      <c r="O4" s="506"/>
      <c r="P4" s="506"/>
      <c r="Q4" s="506"/>
      <c r="R4" s="506"/>
      <c r="S4" s="506"/>
      <c r="V4" s="506"/>
      <c r="X4" s="506"/>
      <c r="AB4" s="506"/>
      <c r="AD4" s="506"/>
      <c r="AE4" s="506"/>
      <c r="AF4" s="506"/>
      <c r="AG4" s="506"/>
    </row>
    <row r="5" spans="1:35" s="253" customFormat="1" ht="12" x14ac:dyDescent="0.2">
      <c r="A5" s="253" t="s">
        <v>972</v>
      </c>
      <c r="B5" s="718"/>
      <c r="C5" s="718"/>
      <c r="D5" s="718"/>
      <c r="E5" s="718"/>
      <c r="F5" s="718"/>
      <c r="G5" s="718"/>
      <c r="H5" s="718"/>
      <c r="I5" s="720"/>
      <c r="J5" s="718"/>
      <c r="L5" s="718"/>
      <c r="M5" s="718"/>
      <c r="N5" s="718"/>
      <c r="O5" s="718"/>
      <c r="P5" s="718"/>
      <c r="Q5" s="721"/>
      <c r="R5" s="718"/>
      <c r="S5" s="721"/>
      <c r="T5" s="718"/>
      <c r="V5" s="718"/>
      <c r="X5" s="718"/>
      <c r="Z5" s="718"/>
      <c r="AD5" s="718"/>
      <c r="AE5" s="718"/>
      <c r="AF5" s="718"/>
      <c r="AG5" s="718"/>
    </row>
    <row r="6" spans="1:35" s="253" customFormat="1" ht="12" x14ac:dyDescent="0.2">
      <c r="B6" s="718"/>
      <c r="C6" s="718"/>
      <c r="D6" s="718"/>
      <c r="E6" s="718"/>
      <c r="F6" s="718"/>
      <c r="G6" s="718"/>
      <c r="H6" s="718"/>
      <c r="I6" s="720"/>
      <c r="J6" s="718"/>
      <c r="L6" s="718"/>
      <c r="M6" s="718"/>
      <c r="N6" s="718"/>
      <c r="O6" s="718"/>
      <c r="P6" s="718"/>
      <c r="Q6" s="721"/>
      <c r="R6" s="718"/>
      <c r="S6" s="721"/>
      <c r="T6" s="718"/>
      <c r="V6" s="718"/>
      <c r="X6" s="718"/>
      <c r="Z6" s="718"/>
      <c r="AB6" s="718"/>
      <c r="AD6" s="718"/>
      <c r="AE6" s="718"/>
      <c r="AF6" s="718"/>
      <c r="AG6" s="718"/>
    </row>
    <row r="7" spans="1:35" s="198" customFormat="1" ht="12.6" customHeight="1" x14ac:dyDescent="0.2">
      <c r="A7" s="445"/>
      <c r="B7" s="443"/>
      <c r="C7" s="443"/>
      <c r="D7" s="443"/>
      <c r="E7" s="443"/>
      <c r="F7" s="443"/>
      <c r="G7" s="445"/>
      <c r="H7" s="443"/>
      <c r="I7" s="445"/>
      <c r="J7" s="443"/>
      <c r="K7" s="443"/>
      <c r="L7" s="443"/>
      <c r="M7" s="445"/>
      <c r="N7" s="443"/>
      <c r="O7" s="443"/>
      <c r="P7" s="443"/>
      <c r="Q7" s="445"/>
      <c r="R7" s="443"/>
      <c r="S7" s="445"/>
      <c r="T7" s="443"/>
      <c r="U7" s="445"/>
      <c r="V7" s="443"/>
      <c r="W7" s="445"/>
      <c r="X7" s="443"/>
      <c r="Y7" s="445"/>
      <c r="Z7" s="443"/>
      <c r="AA7" s="443"/>
      <c r="AB7" s="443"/>
      <c r="AC7" s="443"/>
      <c r="AD7" s="443"/>
      <c r="AE7" s="443"/>
      <c r="AF7" s="443"/>
      <c r="AG7" s="443"/>
      <c r="AH7" s="443"/>
      <c r="AI7" s="443" t="s">
        <v>671</v>
      </c>
    </row>
    <row r="8" spans="1:35" s="198" customFormat="1" ht="12.6" customHeight="1" x14ac:dyDescent="0.2">
      <c r="A8" s="445"/>
      <c r="B8" s="443"/>
      <c r="C8" s="445"/>
      <c r="D8" s="443"/>
      <c r="E8" s="443" t="s">
        <v>861</v>
      </c>
      <c r="F8" s="443"/>
      <c r="G8" s="416"/>
      <c r="H8" s="443"/>
      <c r="I8" s="445"/>
      <c r="J8" s="443"/>
      <c r="K8" s="445"/>
      <c r="L8" s="443"/>
      <c r="M8" s="445"/>
      <c r="N8" s="443"/>
      <c r="O8" s="443" t="s">
        <v>224</v>
      </c>
      <c r="P8" s="443"/>
      <c r="Q8" s="443"/>
      <c r="R8" s="443"/>
      <c r="S8" s="443"/>
      <c r="T8" s="443"/>
      <c r="U8" s="445"/>
      <c r="V8" s="443"/>
      <c r="W8" s="445"/>
      <c r="X8" s="443"/>
      <c r="Y8" s="445"/>
      <c r="Z8" s="443"/>
      <c r="AA8" s="445"/>
      <c r="AB8" s="443"/>
      <c r="AC8" s="443" t="s">
        <v>1000</v>
      </c>
      <c r="AD8" s="443"/>
      <c r="AE8" s="443"/>
      <c r="AF8" s="443"/>
      <c r="AG8" s="443" t="s">
        <v>224</v>
      </c>
      <c r="AH8" s="443"/>
      <c r="AI8" s="445" t="s">
        <v>256</v>
      </c>
    </row>
    <row r="9" spans="1:35" s="198" customFormat="1" ht="12.6" customHeight="1" x14ac:dyDescent="0.2">
      <c r="A9" s="445"/>
      <c r="B9" s="445"/>
      <c r="C9" s="443" t="s">
        <v>239</v>
      </c>
      <c r="D9" s="445"/>
      <c r="E9" s="443" t="s">
        <v>222</v>
      </c>
      <c r="F9" s="445"/>
      <c r="G9" s="443" t="s">
        <v>861</v>
      </c>
      <c r="H9" s="445"/>
      <c r="I9" s="445" t="s">
        <v>595</v>
      </c>
      <c r="J9" s="445"/>
      <c r="K9" s="463"/>
      <c r="L9" s="445"/>
      <c r="M9" s="443"/>
      <c r="N9" s="445"/>
      <c r="O9" s="443" t="s">
        <v>439</v>
      </c>
      <c r="P9" s="445"/>
      <c r="Q9" s="443" t="s">
        <v>1184</v>
      </c>
      <c r="R9" s="445"/>
      <c r="S9" s="443"/>
      <c r="T9" s="445"/>
      <c r="U9" s="443"/>
      <c r="V9" s="445"/>
      <c r="W9" s="443" t="s">
        <v>437</v>
      </c>
      <c r="X9" s="445"/>
      <c r="Y9" s="463"/>
      <c r="Z9" s="445"/>
      <c r="AA9" s="443"/>
      <c r="AB9" s="445"/>
      <c r="AC9" s="445" t="s">
        <v>204</v>
      </c>
      <c r="AD9" s="445"/>
      <c r="AE9" s="445"/>
      <c r="AF9" s="445"/>
      <c r="AG9" s="443" t="s">
        <v>1202</v>
      </c>
      <c r="AH9" s="445"/>
      <c r="AI9" s="443" t="s">
        <v>1064</v>
      </c>
    </row>
    <row r="10" spans="1:35" s="198" customFormat="1" ht="12.6" customHeight="1" x14ac:dyDescent="0.2">
      <c r="A10" s="445"/>
      <c r="B10" s="443"/>
      <c r="C10" s="443" t="s">
        <v>240</v>
      </c>
      <c r="D10" s="443"/>
      <c r="E10" s="443" t="s">
        <v>228</v>
      </c>
      <c r="F10" s="443"/>
      <c r="G10" s="443" t="s">
        <v>231</v>
      </c>
      <c r="H10" s="443"/>
      <c r="I10" s="443" t="s">
        <v>597</v>
      </c>
      <c r="J10" s="443"/>
      <c r="K10" s="443" t="s">
        <v>238</v>
      </c>
      <c r="L10" s="443"/>
      <c r="M10" s="443" t="s">
        <v>102</v>
      </c>
      <c r="N10" s="443"/>
      <c r="O10" s="443" t="s">
        <v>223</v>
      </c>
      <c r="P10" s="443"/>
      <c r="Q10" s="443" t="s">
        <v>1185</v>
      </c>
      <c r="R10" s="443"/>
      <c r="S10" s="443" t="s">
        <v>1502</v>
      </c>
      <c r="T10" s="443"/>
      <c r="U10" s="443" t="s">
        <v>1009</v>
      </c>
      <c r="V10" s="443"/>
      <c r="W10" s="443" t="s">
        <v>322</v>
      </c>
      <c r="X10" s="443"/>
      <c r="Y10" s="443" t="s">
        <v>226</v>
      </c>
      <c r="Z10" s="443"/>
      <c r="AA10" s="443" t="s">
        <v>439</v>
      </c>
      <c r="AB10" s="443"/>
      <c r="AC10" s="443" t="s">
        <v>207</v>
      </c>
      <c r="AD10" s="443"/>
      <c r="AE10" s="443" t="s">
        <v>242</v>
      </c>
      <c r="AF10" s="443"/>
      <c r="AG10" s="443" t="s">
        <v>223</v>
      </c>
      <c r="AH10" s="443"/>
      <c r="AI10" s="443" t="s">
        <v>866</v>
      </c>
    </row>
    <row r="11" spans="1:35" s="198" customFormat="1" ht="12.6" customHeight="1" x14ac:dyDescent="0.2">
      <c r="A11" s="445"/>
      <c r="B11" s="443"/>
      <c r="C11" s="446" t="s">
        <v>241</v>
      </c>
      <c r="D11" s="443"/>
      <c r="E11" s="446" t="s">
        <v>838</v>
      </c>
      <c r="F11" s="443"/>
      <c r="G11" s="446" t="s">
        <v>232</v>
      </c>
      <c r="H11" s="443"/>
      <c r="I11" s="446" t="s">
        <v>60</v>
      </c>
      <c r="J11" s="443"/>
      <c r="K11" s="446" t="s">
        <v>838</v>
      </c>
      <c r="L11" s="443"/>
      <c r="M11" s="446" t="s">
        <v>1008</v>
      </c>
      <c r="N11" s="443"/>
      <c r="O11" s="446" t="s">
        <v>225</v>
      </c>
      <c r="P11" s="443"/>
      <c r="Q11" s="446" t="s">
        <v>439</v>
      </c>
      <c r="R11" s="443"/>
      <c r="S11" s="446" t="s">
        <v>1503</v>
      </c>
      <c r="T11" s="443"/>
      <c r="U11" s="446" t="s">
        <v>101</v>
      </c>
      <c r="V11" s="443"/>
      <c r="W11" s="446" t="s">
        <v>219</v>
      </c>
      <c r="X11" s="443"/>
      <c r="Y11" s="446" t="s">
        <v>1014</v>
      </c>
      <c r="Z11" s="443"/>
      <c r="AA11" s="446" t="s">
        <v>838</v>
      </c>
      <c r="AB11" s="443"/>
      <c r="AC11" s="446" t="s">
        <v>205</v>
      </c>
      <c r="AD11" s="443"/>
      <c r="AE11" s="446" t="s">
        <v>172</v>
      </c>
      <c r="AF11" s="443"/>
      <c r="AG11" s="446" t="s">
        <v>1203</v>
      </c>
      <c r="AH11" s="443"/>
      <c r="AI11" s="446" t="s">
        <v>15</v>
      </c>
    </row>
    <row r="12" spans="1:35" s="439" customFormat="1" ht="9.9499999999999993" customHeight="1" x14ac:dyDescent="0.2">
      <c r="A12" s="417" t="s">
        <v>672</v>
      </c>
      <c r="B12" s="438"/>
      <c r="C12" s="438"/>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row>
    <row r="13" spans="1:35" s="449" customFormat="1" ht="9.9499999999999993" customHeight="1" x14ac:dyDescent="0.2">
      <c r="A13" s="425" t="s">
        <v>673</v>
      </c>
      <c r="B13" s="448"/>
      <c r="C13" s="461">
        <f>+BSGFws!K3</f>
        <v>0</v>
      </c>
      <c r="D13" s="448"/>
      <c r="E13" s="461">
        <f>+BSGFws!L3</f>
        <v>0</v>
      </c>
      <c r="F13" s="448"/>
      <c r="G13" s="461">
        <f>+BSGFws!M3</f>
        <v>0</v>
      </c>
      <c r="H13" s="448"/>
      <c r="I13" s="461">
        <f>+BSGFws!N3</f>
        <v>42452</v>
      </c>
      <c r="J13" s="448"/>
      <c r="K13" s="461">
        <f>+BSGFws!O3</f>
        <v>0</v>
      </c>
      <c r="L13" s="448"/>
      <c r="M13" s="461">
        <f>+BSGFws!P3</f>
        <v>0</v>
      </c>
      <c r="N13" s="448"/>
      <c r="O13" s="461">
        <f>+BSGFws!Q3</f>
        <v>0</v>
      </c>
      <c r="P13" s="448"/>
      <c r="Q13" s="461">
        <f>BSGFws!R3</f>
        <v>0</v>
      </c>
      <c r="R13" s="448"/>
      <c r="S13" s="461">
        <f>BSGFws!S3</f>
        <v>0</v>
      </c>
      <c r="T13" s="448">
        <v>0</v>
      </c>
      <c r="U13" s="461">
        <f>+BSGFws!U3</f>
        <v>0</v>
      </c>
      <c r="V13" s="448"/>
      <c r="W13" s="461">
        <f>+BSGFws!V3</f>
        <v>0</v>
      </c>
      <c r="X13" s="448"/>
      <c r="Y13" s="461">
        <f>+BSGFws!W3</f>
        <v>0</v>
      </c>
      <c r="Z13" s="448"/>
      <c r="AA13" s="461"/>
      <c r="AB13" s="448"/>
      <c r="AC13" s="461">
        <f>+BSGFws!X3</f>
        <v>0</v>
      </c>
      <c r="AD13" s="448"/>
      <c r="AE13" s="461"/>
      <c r="AF13" s="448"/>
      <c r="AG13" s="461">
        <f>+BSGFws!T3</f>
        <v>0</v>
      </c>
      <c r="AH13" s="448"/>
      <c r="AI13" s="461">
        <f t="shared" ref="AI13:AI31" si="0">SUM(C13:AG13)</f>
        <v>42452</v>
      </c>
    </row>
    <row r="14" spans="1:35" s="451" customFormat="1" ht="9.9499999999999993" customHeight="1" x14ac:dyDescent="0.2">
      <c r="A14" s="425" t="s">
        <v>674</v>
      </c>
      <c r="B14" s="450"/>
      <c r="C14" s="450">
        <f>+BSGFws!K4</f>
        <v>0</v>
      </c>
      <c r="D14" s="450"/>
      <c r="E14" s="450">
        <f>+BSGFws!L4</f>
        <v>0</v>
      </c>
      <c r="F14" s="450"/>
      <c r="G14" s="450">
        <f>+BSGFws!M4</f>
        <v>0</v>
      </c>
      <c r="H14" s="450"/>
      <c r="I14" s="450">
        <f>+BSGFws!N4</f>
        <v>118252</v>
      </c>
      <c r="J14" s="450"/>
      <c r="K14" s="450">
        <f>+BSGFws!O4</f>
        <v>0</v>
      </c>
      <c r="L14" s="450"/>
      <c r="M14" s="450">
        <f>+BSGFws!P4</f>
        <v>0</v>
      </c>
      <c r="N14" s="450"/>
      <c r="O14" s="450">
        <f>+BSGFws!Q4</f>
        <v>0</v>
      </c>
      <c r="P14" s="450"/>
      <c r="Q14" s="450">
        <f>BSGFws!R4</f>
        <v>0</v>
      </c>
      <c r="R14" s="450"/>
      <c r="S14" s="450">
        <f>BSGFws!S4</f>
        <v>0</v>
      </c>
      <c r="T14" s="450"/>
      <c r="U14" s="450">
        <f>+BSGFws!U4</f>
        <v>0</v>
      </c>
      <c r="V14" s="450"/>
      <c r="W14" s="450">
        <f>+BSGFws!V4</f>
        <v>0</v>
      </c>
      <c r="X14" s="450"/>
      <c r="Y14" s="450">
        <f>+BSGFws!W4</f>
        <v>0</v>
      </c>
      <c r="Z14" s="450"/>
      <c r="AA14" s="450"/>
      <c r="AB14" s="450"/>
      <c r="AC14" s="450">
        <f>+BSGFws!X4</f>
        <v>0</v>
      </c>
      <c r="AD14" s="450"/>
      <c r="AE14" s="450"/>
      <c r="AF14" s="450"/>
      <c r="AG14" s="450">
        <f>+BSGFws!T4</f>
        <v>0</v>
      </c>
      <c r="AH14" s="450"/>
      <c r="AI14" s="450">
        <f t="shared" si="0"/>
        <v>118252</v>
      </c>
    </row>
    <row r="15" spans="1:35" s="451" customFormat="1" ht="9.9499999999999993" customHeight="1" x14ac:dyDescent="0.2">
      <c r="A15" s="425" t="s">
        <v>252</v>
      </c>
      <c r="B15" s="450"/>
      <c r="C15" s="450">
        <f>+BSGFws!K5</f>
        <v>0</v>
      </c>
      <c r="D15" s="450"/>
      <c r="E15" s="450">
        <f>+BSGFws!L5</f>
        <v>0</v>
      </c>
      <c r="F15" s="450"/>
      <c r="G15" s="450">
        <f>+BSGFws!M5</f>
        <v>0</v>
      </c>
      <c r="H15" s="450"/>
      <c r="I15" s="450">
        <f>+BSGFws!N5</f>
        <v>503</v>
      </c>
      <c r="J15" s="450"/>
      <c r="K15" s="450">
        <f>+BSGFws!O5</f>
        <v>0</v>
      </c>
      <c r="L15" s="450"/>
      <c r="M15" s="450">
        <f>+BSGFws!P5</f>
        <v>0</v>
      </c>
      <c r="N15" s="450"/>
      <c r="O15" s="450">
        <f>+BSGFws!Q5</f>
        <v>0</v>
      </c>
      <c r="P15" s="450"/>
      <c r="Q15" s="450">
        <f>BSGFws!R5</f>
        <v>0</v>
      </c>
      <c r="R15" s="450"/>
      <c r="S15" s="450">
        <f>BSGFws!S5</f>
        <v>0</v>
      </c>
      <c r="T15" s="450"/>
      <c r="U15" s="450">
        <f>+BSGFws!U5</f>
        <v>0</v>
      </c>
      <c r="V15" s="450"/>
      <c r="W15" s="450">
        <f>+BSGFws!V5</f>
        <v>0</v>
      </c>
      <c r="X15" s="450"/>
      <c r="Y15" s="450">
        <f>+BSGFws!W5</f>
        <v>0</v>
      </c>
      <c r="Z15" s="450"/>
      <c r="AA15" s="450"/>
      <c r="AB15" s="450"/>
      <c r="AC15" s="450">
        <f>+BSGFws!X5</f>
        <v>0</v>
      </c>
      <c r="AD15" s="450"/>
      <c r="AE15" s="450"/>
      <c r="AF15" s="450"/>
      <c r="AG15" s="450">
        <f>+BSGFws!T5</f>
        <v>0</v>
      </c>
      <c r="AH15" s="450"/>
      <c r="AI15" s="450">
        <f t="shared" si="0"/>
        <v>503</v>
      </c>
    </row>
    <row r="16" spans="1:35" s="451" customFormat="1" ht="9.9499999999999993" hidden="1" customHeight="1" x14ac:dyDescent="0.2">
      <c r="A16" s="425" t="s">
        <v>763</v>
      </c>
      <c r="B16" s="450"/>
      <c r="C16" s="450">
        <f>+BSGFws!K6</f>
        <v>0</v>
      </c>
      <c r="D16" s="450"/>
      <c r="E16" s="450">
        <f>+BSGFws!L6</f>
        <v>0</v>
      </c>
      <c r="F16" s="450"/>
      <c r="G16" s="450">
        <f>+BSGFws!M6</f>
        <v>0</v>
      </c>
      <c r="H16" s="450"/>
      <c r="I16" s="450">
        <f>+BSGFws!N6</f>
        <v>0</v>
      </c>
      <c r="J16" s="450"/>
      <c r="K16" s="450">
        <f>+BSGFws!O6</f>
        <v>0</v>
      </c>
      <c r="L16" s="450"/>
      <c r="M16" s="450">
        <f>+BSGFws!P6</f>
        <v>0</v>
      </c>
      <c r="N16" s="450"/>
      <c r="O16" s="450">
        <f>+BSGFws!Q6</f>
        <v>0</v>
      </c>
      <c r="P16" s="450"/>
      <c r="Q16" s="450">
        <f>BSGFws!R6</f>
        <v>0</v>
      </c>
      <c r="R16" s="450"/>
      <c r="S16" s="450">
        <f>BSGFws!S6</f>
        <v>0</v>
      </c>
      <c r="T16" s="450"/>
      <c r="U16" s="450">
        <f>+BSGFws!U6</f>
        <v>0</v>
      </c>
      <c r="V16" s="450"/>
      <c r="W16" s="450">
        <f>+BSGFws!V6</f>
        <v>0</v>
      </c>
      <c r="X16" s="450"/>
      <c r="Y16" s="450">
        <f>+BSGFws!W6</f>
        <v>0</v>
      </c>
      <c r="Z16" s="450"/>
      <c r="AA16" s="450"/>
      <c r="AB16" s="450"/>
      <c r="AC16" s="450">
        <f>+BSGFws!X6</f>
        <v>0</v>
      </c>
      <c r="AD16" s="450"/>
      <c r="AE16" s="450"/>
      <c r="AF16" s="450"/>
      <c r="AG16" s="450">
        <f>+BSGFws!T6</f>
        <v>0</v>
      </c>
      <c r="AH16" s="450"/>
      <c r="AI16" s="450">
        <f t="shared" si="0"/>
        <v>0</v>
      </c>
    </row>
    <row r="17" spans="1:63" s="451" customFormat="1" ht="9.9499999999999993" hidden="1" customHeight="1" x14ac:dyDescent="0.2">
      <c r="A17" s="425" t="s">
        <v>683</v>
      </c>
      <c r="B17" s="450"/>
      <c r="C17" s="450">
        <f>+BSGFws!K7</f>
        <v>0</v>
      </c>
      <c r="D17" s="450"/>
      <c r="E17" s="450">
        <f>+BSGFws!L7</f>
        <v>0</v>
      </c>
      <c r="F17" s="450"/>
      <c r="G17" s="450">
        <f>+BSGFws!M7</f>
        <v>0</v>
      </c>
      <c r="H17" s="450"/>
      <c r="I17" s="450">
        <f>+BSGFws!N7</f>
        <v>0</v>
      </c>
      <c r="J17" s="450"/>
      <c r="K17" s="450">
        <f>+BSGFws!O7</f>
        <v>0</v>
      </c>
      <c r="L17" s="450"/>
      <c r="M17" s="450">
        <f>+BSGFws!P7</f>
        <v>0</v>
      </c>
      <c r="N17" s="450"/>
      <c r="O17" s="450">
        <f>+BSGFws!Q7</f>
        <v>0</v>
      </c>
      <c r="P17" s="450"/>
      <c r="Q17" s="450">
        <f>BSGFws!R7</f>
        <v>0</v>
      </c>
      <c r="R17" s="450"/>
      <c r="S17" s="450">
        <f>BSGFws!S7</f>
        <v>0</v>
      </c>
      <c r="T17" s="450"/>
      <c r="U17" s="450">
        <f>+BSGFws!U7</f>
        <v>0</v>
      </c>
      <c r="V17" s="450"/>
      <c r="W17" s="450">
        <f>+BSGFws!V7</f>
        <v>0</v>
      </c>
      <c r="X17" s="450"/>
      <c r="Y17" s="450">
        <f>+BSGFws!W7</f>
        <v>0</v>
      </c>
      <c r="Z17" s="450"/>
      <c r="AA17" s="450"/>
      <c r="AB17" s="450"/>
      <c r="AC17" s="450">
        <f>+BSGFws!X7</f>
        <v>0</v>
      </c>
      <c r="AD17" s="450"/>
      <c r="AE17" s="450"/>
      <c r="AF17" s="450"/>
      <c r="AG17" s="450">
        <f>+BSGFws!T7</f>
        <v>0</v>
      </c>
      <c r="AH17" s="450"/>
      <c r="AI17" s="450">
        <f t="shared" si="0"/>
        <v>0</v>
      </c>
    </row>
    <row r="18" spans="1:63" s="451" customFormat="1" ht="9.9499999999999993" hidden="1" customHeight="1" x14ac:dyDescent="0.2">
      <c r="A18" s="425" t="s">
        <v>840</v>
      </c>
      <c r="B18" s="450"/>
      <c r="C18" s="450">
        <f>+BSGFws!K8</f>
        <v>0</v>
      </c>
      <c r="D18" s="450"/>
      <c r="E18" s="450">
        <f>+BSGFws!L8</f>
        <v>0</v>
      </c>
      <c r="F18" s="450"/>
      <c r="G18" s="450">
        <f>+BSGFws!M8</f>
        <v>0</v>
      </c>
      <c r="H18" s="450"/>
      <c r="I18" s="450">
        <f>+BSGFws!N8</f>
        <v>0</v>
      </c>
      <c r="J18" s="450"/>
      <c r="K18" s="450">
        <f>+BSGFws!O8</f>
        <v>0</v>
      </c>
      <c r="L18" s="450"/>
      <c r="M18" s="450">
        <f>+BSGFws!P8</f>
        <v>0</v>
      </c>
      <c r="N18" s="450"/>
      <c r="O18" s="450">
        <f>+BSGFws!Q8</f>
        <v>0</v>
      </c>
      <c r="P18" s="450"/>
      <c r="Q18" s="450">
        <f>BSGFws!R8</f>
        <v>0</v>
      </c>
      <c r="R18" s="450"/>
      <c r="S18" s="450">
        <f>BSGFws!S8</f>
        <v>0</v>
      </c>
      <c r="T18" s="450"/>
      <c r="U18" s="450">
        <f>+BSGFws!U8</f>
        <v>0</v>
      </c>
      <c r="V18" s="450"/>
      <c r="W18" s="450">
        <f>+BSGFws!V8</f>
        <v>0</v>
      </c>
      <c r="X18" s="450"/>
      <c r="Y18" s="450">
        <f>+BSGFws!W8</f>
        <v>0</v>
      </c>
      <c r="Z18" s="450"/>
      <c r="AA18" s="450"/>
      <c r="AB18" s="450"/>
      <c r="AC18" s="450">
        <f>+BSGFws!X8</f>
        <v>0</v>
      </c>
      <c r="AD18" s="450"/>
      <c r="AE18" s="450"/>
      <c r="AF18" s="450"/>
      <c r="AG18" s="450">
        <f>+BSGFws!T8</f>
        <v>0</v>
      </c>
      <c r="AH18" s="450"/>
      <c r="AI18" s="450">
        <f t="shared" si="0"/>
        <v>0</v>
      </c>
    </row>
    <row r="19" spans="1:63" s="451" customFormat="1" ht="9.9499999999999993" customHeight="1" x14ac:dyDescent="0.2">
      <c r="A19" s="425" t="s">
        <v>1773</v>
      </c>
      <c r="B19" s="450"/>
      <c r="C19" s="450">
        <f>+BSGFws!K9</f>
        <v>0</v>
      </c>
      <c r="D19" s="450"/>
      <c r="E19" s="450">
        <f>+BSGFws!L9</f>
        <v>0</v>
      </c>
      <c r="F19" s="450"/>
      <c r="G19" s="450">
        <f>+BSGFws!M9</f>
        <v>0</v>
      </c>
      <c r="H19" s="450"/>
      <c r="I19" s="450">
        <f>+BSGFws!N9</f>
        <v>7406</v>
      </c>
      <c r="J19" s="450"/>
      <c r="K19" s="450">
        <f>+BSGFws!O9</f>
        <v>0</v>
      </c>
      <c r="L19" s="450"/>
      <c r="M19" s="450">
        <f>+BSGFws!P9</f>
        <v>0</v>
      </c>
      <c r="N19" s="450"/>
      <c r="O19" s="450">
        <f>+BSGFws!Q9</f>
        <v>0</v>
      </c>
      <c r="P19" s="450"/>
      <c r="Q19" s="450">
        <f>BSGFws!R9</f>
        <v>0</v>
      </c>
      <c r="R19" s="450"/>
      <c r="S19" s="450">
        <f>BSGFws!S9</f>
        <v>0</v>
      </c>
      <c r="T19" s="450"/>
      <c r="U19" s="450">
        <f>+BSGFws!U9</f>
        <v>0</v>
      </c>
      <c r="V19" s="450"/>
      <c r="W19" s="450">
        <f>+BSGFws!V9</f>
        <v>0</v>
      </c>
      <c r="X19" s="450"/>
      <c r="Y19" s="450">
        <f>+BSGFws!W9</f>
        <v>0</v>
      </c>
      <c r="Z19" s="450"/>
      <c r="AA19" s="450"/>
      <c r="AB19" s="450"/>
      <c r="AC19" s="450">
        <f>+BSGFws!X9</f>
        <v>0</v>
      </c>
      <c r="AD19" s="450"/>
      <c r="AE19" s="450"/>
      <c r="AF19" s="450"/>
      <c r="AG19" s="450">
        <f>+BSGFws!T9</f>
        <v>0</v>
      </c>
      <c r="AH19" s="450"/>
      <c r="AI19" s="450">
        <f t="shared" si="0"/>
        <v>7406</v>
      </c>
    </row>
    <row r="20" spans="1:63" s="451" customFormat="1" ht="9.9499999999999993" customHeight="1" x14ac:dyDescent="0.2">
      <c r="A20" s="425" t="s">
        <v>63</v>
      </c>
      <c r="B20" s="450"/>
      <c r="C20" s="450">
        <f>+BSGFws!K10</f>
        <v>0</v>
      </c>
      <c r="D20" s="450"/>
      <c r="E20" s="450">
        <f>+BSGFws!L10</f>
        <v>0</v>
      </c>
      <c r="F20" s="450"/>
      <c r="G20" s="450">
        <f>+BSGFws!M10</f>
        <v>0</v>
      </c>
      <c r="H20" s="450"/>
      <c r="I20" s="450">
        <f>+BSGFws!N10</f>
        <v>1800</v>
      </c>
      <c r="J20" s="450"/>
      <c r="K20" s="450">
        <f>+BSGFws!O10</f>
        <v>0</v>
      </c>
      <c r="L20" s="450"/>
      <c r="M20" s="450">
        <f>+BSGFws!P10</f>
        <v>0</v>
      </c>
      <c r="N20" s="450"/>
      <c r="O20" s="450">
        <f>+BSGFws!Q10</f>
        <v>0</v>
      </c>
      <c r="P20" s="450"/>
      <c r="Q20" s="450">
        <f>BSGFws!R10</f>
        <v>0</v>
      </c>
      <c r="R20" s="450"/>
      <c r="S20" s="450">
        <f>BSGFws!S10</f>
        <v>0</v>
      </c>
      <c r="T20" s="450"/>
      <c r="U20" s="450">
        <f>+BSGFws!U10</f>
        <v>0</v>
      </c>
      <c r="V20" s="450"/>
      <c r="W20" s="450">
        <f>+BSGFws!V10</f>
        <v>0</v>
      </c>
      <c r="X20" s="450"/>
      <c r="Y20" s="450">
        <f>+BSGFws!W10</f>
        <v>0</v>
      </c>
      <c r="Z20" s="450"/>
      <c r="AA20" s="450"/>
      <c r="AB20" s="450"/>
      <c r="AC20" s="450">
        <f>+BSGFws!X10</f>
        <v>0</v>
      </c>
      <c r="AD20" s="450"/>
      <c r="AE20" s="450"/>
      <c r="AF20" s="450"/>
      <c r="AG20" s="450">
        <f>+BSGFws!T10</f>
        <v>0</v>
      </c>
      <c r="AH20" s="450"/>
      <c r="AI20" s="450">
        <f t="shared" si="0"/>
        <v>1800</v>
      </c>
    </row>
    <row r="21" spans="1:63" s="451" customFormat="1" ht="9.9499999999999993" customHeight="1" x14ac:dyDescent="0.2">
      <c r="A21" s="425" t="s">
        <v>1216</v>
      </c>
      <c r="B21" s="450"/>
      <c r="C21" s="450">
        <f>+BSGFws!K11</f>
        <v>0</v>
      </c>
      <c r="D21" s="450"/>
      <c r="E21" s="450">
        <f>+BSGFws!L11</f>
        <v>0</v>
      </c>
      <c r="F21" s="450"/>
      <c r="G21" s="450">
        <f>+BSGFws!M11</f>
        <v>0</v>
      </c>
      <c r="H21" s="450"/>
      <c r="I21" s="450">
        <f>+BSGFws!N11</f>
        <v>1455</v>
      </c>
      <c r="J21" s="450"/>
      <c r="K21" s="450">
        <f>+BSGFws!O11</f>
        <v>0</v>
      </c>
      <c r="L21" s="450"/>
      <c r="M21" s="450">
        <f>+BSGFws!P11</f>
        <v>0</v>
      </c>
      <c r="N21" s="450"/>
      <c r="O21" s="450">
        <f>+BSGFws!Q11</f>
        <v>0</v>
      </c>
      <c r="P21" s="450"/>
      <c r="Q21" s="450">
        <f>BSGFws!R11</f>
        <v>0</v>
      </c>
      <c r="R21" s="450"/>
      <c r="S21" s="450">
        <f>BSGFws!S11</f>
        <v>0</v>
      </c>
      <c r="T21" s="450"/>
      <c r="U21" s="450">
        <f>+BSGFws!U11</f>
        <v>0</v>
      </c>
      <c r="V21" s="450"/>
      <c r="W21" s="450">
        <f>+BSGFws!V11</f>
        <v>0</v>
      </c>
      <c r="X21" s="450"/>
      <c r="Y21" s="450">
        <f>+BSGFws!W11</f>
        <v>0</v>
      </c>
      <c r="Z21" s="450"/>
      <c r="AA21" s="450"/>
      <c r="AB21" s="450"/>
      <c r="AC21" s="450">
        <f>+BSGFws!X11</f>
        <v>0</v>
      </c>
      <c r="AD21" s="450"/>
      <c r="AE21" s="450"/>
      <c r="AF21" s="450"/>
      <c r="AG21" s="450">
        <f>+BSGFws!T11</f>
        <v>0</v>
      </c>
      <c r="AH21" s="450"/>
      <c r="AI21" s="450">
        <f t="shared" si="0"/>
        <v>1455</v>
      </c>
    </row>
    <row r="22" spans="1:63" s="451" customFormat="1" ht="9.9499999999999993" customHeight="1" x14ac:dyDescent="0.2">
      <c r="A22" s="425" t="s">
        <v>685</v>
      </c>
      <c r="B22" s="450"/>
      <c r="C22" s="450">
        <f>+BSGFws!K12</f>
        <v>0</v>
      </c>
      <c r="D22" s="450"/>
      <c r="E22" s="450">
        <f>+BSGFws!L12</f>
        <v>0</v>
      </c>
      <c r="F22" s="450"/>
      <c r="G22" s="450">
        <f>+BSGFws!M12</f>
        <v>0</v>
      </c>
      <c r="H22" s="450"/>
      <c r="I22" s="450">
        <f>+BSGFws!N12</f>
        <v>0</v>
      </c>
      <c r="J22" s="450"/>
      <c r="K22" s="450">
        <f>+BSGFws!O12</f>
        <v>0</v>
      </c>
      <c r="L22" s="450"/>
      <c r="M22" s="450">
        <f>+BSGFws!P12</f>
        <v>0</v>
      </c>
      <c r="N22" s="450"/>
      <c r="O22" s="450">
        <f>+BSGFws!Q12</f>
        <v>0</v>
      </c>
      <c r="P22" s="450"/>
      <c r="Q22" s="450">
        <f>BSGFws!R12</f>
        <v>0</v>
      </c>
      <c r="R22" s="450"/>
      <c r="S22" s="450">
        <f>BSGFws!S12</f>
        <v>0</v>
      </c>
      <c r="T22" s="450"/>
      <c r="U22" s="450">
        <f>+BSGFws!U12</f>
        <v>0</v>
      </c>
      <c r="V22" s="450"/>
      <c r="W22" s="450">
        <f>+BSGFws!V12</f>
        <v>0</v>
      </c>
      <c r="X22" s="450"/>
      <c r="Y22" s="450">
        <f>+BSGFws!W12</f>
        <v>0</v>
      </c>
      <c r="Z22" s="450"/>
      <c r="AA22" s="450"/>
      <c r="AB22" s="450"/>
      <c r="AC22" s="450">
        <f>+BSGFws!X12</f>
        <v>0</v>
      </c>
      <c r="AD22" s="450"/>
      <c r="AE22" s="450"/>
      <c r="AF22" s="450"/>
      <c r="AG22" s="450">
        <f>+BSGFws!T12</f>
        <v>0</v>
      </c>
      <c r="AH22" s="450"/>
      <c r="AI22" s="450">
        <f t="shared" si="0"/>
        <v>0</v>
      </c>
    </row>
    <row r="23" spans="1:63" s="451" customFormat="1" ht="9.9499999999999993" customHeight="1" x14ac:dyDescent="0.2">
      <c r="A23" s="426" t="s">
        <v>673</v>
      </c>
      <c r="B23" s="450"/>
      <c r="C23" s="450">
        <f>+BSGFws!K13</f>
        <v>2748</v>
      </c>
      <c r="D23" s="450"/>
      <c r="E23" s="450">
        <f>+BSGFws!L13</f>
        <v>0</v>
      </c>
      <c r="F23" s="450"/>
      <c r="G23" s="450">
        <f>+BSGFws!M13</f>
        <v>0</v>
      </c>
      <c r="H23" s="450"/>
      <c r="I23" s="450">
        <f>+BSGFws!N13</f>
        <v>897</v>
      </c>
      <c r="J23" s="450"/>
      <c r="K23" s="450">
        <f>+BSGFws!O13</f>
        <v>20239</v>
      </c>
      <c r="L23" s="450"/>
      <c r="M23" s="450">
        <f>+BSGFws!P13</f>
        <v>331</v>
      </c>
      <c r="N23" s="450"/>
      <c r="O23" s="450">
        <f>+BSGFws!Q13</f>
        <v>4523</v>
      </c>
      <c r="P23" s="450"/>
      <c r="Q23" s="450">
        <f>BSGFws!R13</f>
        <v>14</v>
      </c>
      <c r="R23" s="450"/>
      <c r="S23" s="450">
        <f>BSGFws!S13</f>
        <v>55</v>
      </c>
      <c r="T23" s="450"/>
      <c r="U23" s="450">
        <f>+BSGFws!U13</f>
        <v>657</v>
      </c>
      <c r="V23" s="450"/>
      <c r="W23" s="450">
        <f>+BSGFws!V13</f>
        <v>299</v>
      </c>
      <c r="X23" s="450"/>
      <c r="Y23" s="450">
        <f>+BSGFws!W13</f>
        <v>8727</v>
      </c>
      <c r="Z23" s="450"/>
      <c r="AA23" s="450"/>
      <c r="AB23" s="450"/>
      <c r="AC23" s="450">
        <f>+BSGFws!X13</f>
        <v>13421</v>
      </c>
      <c r="AD23" s="450"/>
      <c r="AE23" s="450"/>
      <c r="AF23" s="450"/>
      <c r="AG23" s="450">
        <f>+BSGFws!T13</f>
        <v>6</v>
      </c>
      <c r="AH23" s="450"/>
      <c r="AI23" s="450">
        <f t="shared" si="0"/>
        <v>51917</v>
      </c>
    </row>
    <row r="24" spans="1:63" s="451" customFormat="1" ht="9.9499999999999993" customHeight="1" x14ac:dyDescent="0.2">
      <c r="A24" s="426" t="s">
        <v>674</v>
      </c>
      <c r="B24" s="450"/>
      <c r="C24" s="450">
        <f>+BSGFws!K14</f>
        <v>9940</v>
      </c>
      <c r="D24" s="450"/>
      <c r="E24" s="450">
        <f>+BSGFws!L14</f>
        <v>0</v>
      </c>
      <c r="F24" s="450"/>
      <c r="G24" s="450">
        <f>+BSGFws!M14</f>
        <v>0</v>
      </c>
      <c r="H24" s="450"/>
      <c r="I24" s="450">
        <f>+BSGFws!N14</f>
        <v>6114</v>
      </c>
      <c r="J24" s="450"/>
      <c r="K24" s="450">
        <f>+BSGFws!O14</f>
        <v>85632</v>
      </c>
      <c r="L24" s="450"/>
      <c r="M24" s="450">
        <f>+BSGFws!P14</f>
        <v>972</v>
      </c>
      <c r="N24" s="450"/>
      <c r="O24" s="450">
        <f>+BSGFws!Q14</f>
        <v>16754</v>
      </c>
      <c r="P24" s="450"/>
      <c r="Q24" s="450">
        <f>BSGFws!R14</f>
        <v>1</v>
      </c>
      <c r="R24" s="450"/>
      <c r="S24" s="450">
        <f>BSGFws!S14</f>
        <v>19</v>
      </c>
      <c r="T24" s="450"/>
      <c r="U24" s="450">
        <f>+BSGFws!U14</f>
        <v>2229</v>
      </c>
      <c r="V24" s="450"/>
      <c r="W24" s="450">
        <f>+BSGFws!V14</f>
        <v>11361</v>
      </c>
      <c r="X24" s="450"/>
      <c r="Y24" s="450">
        <f>+BSGFws!W14</f>
        <v>36076</v>
      </c>
      <c r="Z24" s="450"/>
      <c r="AA24" s="450"/>
      <c r="AB24" s="450"/>
      <c r="AC24" s="450">
        <f>+BSGFws!X14</f>
        <v>45438</v>
      </c>
      <c r="AD24" s="450"/>
      <c r="AE24" s="450"/>
      <c r="AF24" s="450"/>
      <c r="AG24" s="450">
        <f>+BSGFws!T14</f>
        <v>12</v>
      </c>
      <c r="AH24" s="450"/>
      <c r="AI24" s="450">
        <f t="shared" si="0"/>
        <v>214548</v>
      </c>
    </row>
    <row r="25" spans="1:63" s="451" customFormat="1" ht="9.9499999999999993" customHeight="1" x14ac:dyDescent="0.2">
      <c r="A25" s="426" t="s">
        <v>252</v>
      </c>
      <c r="B25" s="450"/>
      <c r="C25" s="450">
        <f>+BSGFws!K15</f>
        <v>4150</v>
      </c>
      <c r="D25" s="450"/>
      <c r="E25" s="450">
        <f>+BSGFws!L15</f>
        <v>0</v>
      </c>
      <c r="F25" s="450"/>
      <c r="G25" s="450">
        <f>+BSGFws!M15</f>
        <v>0</v>
      </c>
      <c r="H25" s="450"/>
      <c r="I25" s="450">
        <f>+BSGFws!N15</f>
        <v>12305</v>
      </c>
      <c r="J25" s="450"/>
      <c r="K25" s="450">
        <f>+BSGFws!O15</f>
        <v>36101</v>
      </c>
      <c r="L25" s="450"/>
      <c r="M25" s="450">
        <f>+BSGFws!P15</f>
        <v>2771</v>
      </c>
      <c r="N25" s="450"/>
      <c r="O25" s="450">
        <f>+BSGFws!Q15</f>
        <v>104</v>
      </c>
      <c r="P25" s="450"/>
      <c r="Q25" s="450">
        <f>BSGFws!R15</f>
        <v>8340</v>
      </c>
      <c r="R25" s="450"/>
      <c r="S25" s="450">
        <f>BSGFws!S15</f>
        <v>8340</v>
      </c>
      <c r="T25" s="450"/>
      <c r="U25" s="450">
        <f>+BSGFws!U15</f>
        <v>791</v>
      </c>
      <c r="V25" s="450"/>
      <c r="W25" s="450">
        <f>+BSGFws!V15</f>
        <v>616</v>
      </c>
      <c r="X25" s="450"/>
      <c r="Y25" s="450">
        <f>+BSGFws!W15</f>
        <v>4571</v>
      </c>
      <c r="Z25" s="450"/>
      <c r="AA25" s="450"/>
      <c r="AB25" s="450"/>
      <c r="AC25" s="450">
        <f>+BSGFws!X15</f>
        <v>312</v>
      </c>
      <c r="AD25" s="450"/>
      <c r="AE25" s="450"/>
      <c r="AF25" s="450"/>
      <c r="AG25" s="450">
        <f>+BSGFws!T15</f>
        <v>911</v>
      </c>
      <c r="AH25" s="450"/>
      <c r="AI25" s="450">
        <f t="shared" si="0"/>
        <v>79312</v>
      </c>
    </row>
    <row r="26" spans="1:63" s="451" customFormat="1" ht="9.9499999999999993" customHeight="1" x14ac:dyDescent="0.2">
      <c r="A26" s="426" t="s">
        <v>763</v>
      </c>
      <c r="B26" s="450"/>
      <c r="C26" s="450">
        <f>+BSGFws!K16</f>
        <v>0</v>
      </c>
      <c r="D26" s="450"/>
      <c r="E26" s="450">
        <f>+BSGFws!L16</f>
        <v>0</v>
      </c>
      <c r="F26" s="450"/>
      <c r="G26" s="450">
        <f>+BSGFws!M16</f>
        <v>0</v>
      </c>
      <c r="H26" s="450"/>
      <c r="I26" s="450">
        <f>+BSGFws!N16</f>
        <v>38</v>
      </c>
      <c r="J26" s="450"/>
      <c r="K26" s="450">
        <f>+BSGFws!O16</f>
        <v>119</v>
      </c>
      <c r="L26" s="450"/>
      <c r="M26" s="450">
        <f>+BSGFws!P16</f>
        <v>0</v>
      </c>
      <c r="N26" s="450"/>
      <c r="O26" s="450">
        <f>+BSGFws!Q16</f>
        <v>0</v>
      </c>
      <c r="P26" s="450"/>
      <c r="Q26" s="450">
        <f>BSGFws!R16</f>
        <v>0</v>
      </c>
      <c r="R26" s="450"/>
      <c r="S26" s="450">
        <f>BSGFws!S16</f>
        <v>0</v>
      </c>
      <c r="T26" s="450"/>
      <c r="U26" s="450">
        <f>+BSGFws!U16</f>
        <v>0</v>
      </c>
      <c r="V26" s="450"/>
      <c r="W26" s="450">
        <f>+BSGFws!V16</f>
        <v>0</v>
      </c>
      <c r="X26" s="450"/>
      <c r="Y26" s="450">
        <f>+BSGFws!W16</f>
        <v>41</v>
      </c>
      <c r="Z26" s="450"/>
      <c r="AA26" s="450"/>
      <c r="AB26" s="450"/>
      <c r="AC26" s="450">
        <f>+BSGFws!X16</f>
        <v>0</v>
      </c>
      <c r="AD26" s="450"/>
      <c r="AE26" s="450"/>
      <c r="AF26" s="450"/>
      <c r="AG26" s="450">
        <f>+BSGFws!T16</f>
        <v>0</v>
      </c>
      <c r="AH26" s="450"/>
      <c r="AI26" s="450">
        <f t="shared" si="0"/>
        <v>198</v>
      </c>
    </row>
    <row r="27" spans="1:63" s="451" customFormat="1" ht="9.9499999999999993" customHeight="1" x14ac:dyDescent="0.2">
      <c r="A27" s="426" t="s">
        <v>683</v>
      </c>
      <c r="B27" s="450"/>
      <c r="C27" s="450">
        <f>+BSGFws!K17</f>
        <v>0</v>
      </c>
      <c r="D27" s="450"/>
      <c r="E27" s="450">
        <f>+BSGFws!L17</f>
        <v>0</v>
      </c>
      <c r="F27" s="450"/>
      <c r="G27" s="450">
        <f>+BSGFws!M17</f>
        <v>0</v>
      </c>
      <c r="H27" s="450"/>
      <c r="I27" s="450">
        <f>+BSGFws!N17</f>
        <v>0</v>
      </c>
      <c r="J27" s="450"/>
      <c r="K27" s="450">
        <f>+BSGFws!O17</f>
        <v>15</v>
      </c>
      <c r="L27" s="450"/>
      <c r="M27" s="450">
        <f>+BSGFws!P17</f>
        <v>0</v>
      </c>
      <c r="N27" s="450"/>
      <c r="O27" s="450">
        <f>+BSGFws!Q17</f>
        <v>0</v>
      </c>
      <c r="P27" s="450"/>
      <c r="Q27" s="450">
        <f>BSGFws!R17</f>
        <v>0</v>
      </c>
      <c r="R27" s="450"/>
      <c r="S27" s="450">
        <f>BSGFws!S17</f>
        <v>0</v>
      </c>
      <c r="T27" s="450"/>
      <c r="U27" s="450">
        <f>+BSGFws!U17</f>
        <v>0</v>
      </c>
      <c r="V27" s="450"/>
      <c r="W27" s="450">
        <f>+BSGFws!V17</f>
        <v>0</v>
      </c>
      <c r="X27" s="450"/>
      <c r="Y27" s="450">
        <f>+BSGFws!W17</f>
        <v>0</v>
      </c>
      <c r="Z27" s="450"/>
      <c r="AA27" s="450"/>
      <c r="AB27" s="450"/>
      <c r="AC27" s="450">
        <f>+BSGFws!X17</f>
        <v>0</v>
      </c>
      <c r="AD27" s="450"/>
      <c r="AE27" s="450"/>
      <c r="AF27" s="450"/>
      <c r="AG27" s="450">
        <f>+BSGFws!T17</f>
        <v>0</v>
      </c>
      <c r="AH27" s="450"/>
      <c r="AI27" s="450">
        <f t="shared" si="0"/>
        <v>15</v>
      </c>
    </row>
    <row r="28" spans="1:63" s="451" customFormat="1" ht="9.9499999999999993" customHeight="1" x14ac:dyDescent="0.2">
      <c r="A28" s="426" t="s">
        <v>840</v>
      </c>
      <c r="B28" s="450"/>
      <c r="C28" s="450">
        <f>+BSGFws!K18</f>
        <v>0</v>
      </c>
      <c r="D28" s="450"/>
      <c r="E28" s="450">
        <f>+BSGFws!L18</f>
        <v>0</v>
      </c>
      <c r="F28" s="450"/>
      <c r="G28" s="450">
        <f>+BSGFws!M18</f>
        <v>0</v>
      </c>
      <c r="H28" s="450"/>
      <c r="I28" s="450">
        <f>+BSGFws!N18</f>
        <v>0</v>
      </c>
      <c r="J28" s="450"/>
      <c r="K28" s="450">
        <f>+BSGFws!O18</f>
        <v>2792</v>
      </c>
      <c r="L28" s="450"/>
      <c r="M28" s="450">
        <f>+BSGFws!P18</f>
        <v>0</v>
      </c>
      <c r="N28" s="450"/>
      <c r="O28" s="450">
        <f>+BSGFws!Q18</f>
        <v>0</v>
      </c>
      <c r="P28" s="450"/>
      <c r="Q28" s="450">
        <f>BSGFws!R18</f>
        <v>0</v>
      </c>
      <c r="R28" s="450"/>
      <c r="S28" s="450">
        <f>BSGFws!S18</f>
        <v>0</v>
      </c>
      <c r="T28" s="450"/>
      <c r="U28" s="450">
        <f>+BSGFws!U18</f>
        <v>0</v>
      </c>
      <c r="V28" s="450"/>
      <c r="W28" s="450">
        <f>+BSGFws!V18</f>
        <v>0</v>
      </c>
      <c r="X28" s="450"/>
      <c r="Y28" s="450">
        <f>+BSGFws!W18</f>
        <v>0</v>
      </c>
      <c r="Z28" s="450"/>
      <c r="AA28" s="450"/>
      <c r="AB28" s="450"/>
      <c r="AC28" s="450">
        <f>+BSGFws!X18</f>
        <v>0</v>
      </c>
      <c r="AD28" s="450"/>
      <c r="AE28" s="450"/>
      <c r="AF28" s="450"/>
      <c r="AG28" s="450">
        <f>+BSGFws!T18</f>
        <v>0</v>
      </c>
      <c r="AH28" s="450"/>
      <c r="AI28" s="450">
        <f t="shared" si="0"/>
        <v>2792</v>
      </c>
    </row>
    <row r="29" spans="1:63" s="451" customFormat="1" ht="9.9499999999999993" customHeight="1" x14ac:dyDescent="0.2">
      <c r="A29" s="426" t="s">
        <v>1773</v>
      </c>
      <c r="B29" s="450"/>
      <c r="C29" s="450">
        <f>+BSGFws!K19</f>
        <v>0</v>
      </c>
      <c r="D29" s="450"/>
      <c r="E29" s="450">
        <f>+BSGFws!L19</f>
        <v>0</v>
      </c>
      <c r="F29" s="450"/>
      <c r="G29" s="450">
        <f>+BSGFws!M19</f>
        <v>0</v>
      </c>
      <c r="H29" s="450"/>
      <c r="I29" s="450">
        <f>+BSGFws!N19</f>
        <v>19176</v>
      </c>
      <c r="J29" s="450"/>
      <c r="K29" s="450">
        <f>+BSGFws!O19</f>
        <v>12843</v>
      </c>
      <c r="L29" s="450"/>
      <c r="M29" s="450">
        <f>+BSGFws!P19</f>
        <v>0</v>
      </c>
      <c r="N29" s="450"/>
      <c r="O29" s="450">
        <f>+BSGFws!Q19</f>
        <v>0</v>
      </c>
      <c r="P29" s="450"/>
      <c r="Q29" s="450">
        <f>BSGFws!R19</f>
        <v>0</v>
      </c>
      <c r="R29" s="450"/>
      <c r="S29" s="450">
        <f>BSGFws!S19</f>
        <v>0</v>
      </c>
      <c r="T29" s="450"/>
      <c r="U29" s="450">
        <f>+BSGFws!U19</f>
        <v>0</v>
      </c>
      <c r="V29" s="450"/>
      <c r="W29" s="450">
        <f>+BSGFws!V19</f>
        <v>0</v>
      </c>
      <c r="X29" s="450"/>
      <c r="Y29" s="450">
        <f>+BSGFws!W19</f>
        <v>0</v>
      </c>
      <c r="Z29" s="450"/>
      <c r="AA29" s="450"/>
      <c r="AB29" s="450"/>
      <c r="AC29" s="450">
        <f>+BSGFws!X19</f>
        <v>0</v>
      </c>
      <c r="AD29" s="450"/>
      <c r="AE29" s="450"/>
      <c r="AF29" s="450"/>
      <c r="AG29" s="450">
        <f>+BSGFws!T19</f>
        <v>0</v>
      </c>
      <c r="AH29" s="450"/>
      <c r="AI29" s="450">
        <f t="shared" si="0"/>
        <v>32019</v>
      </c>
      <c r="AJ29" s="450"/>
      <c r="AK29" s="450">
        <f>+BSGFws!AS19</f>
        <v>0</v>
      </c>
      <c r="AL29" s="450"/>
      <c r="AM29" s="450">
        <f>+BSGFws!AT19</f>
        <v>0</v>
      </c>
      <c r="AN29" s="450"/>
      <c r="AO29" s="450">
        <f>+BSGFws!AU19</f>
        <v>0</v>
      </c>
      <c r="AP29" s="450"/>
      <c r="AQ29" s="450">
        <f>+BSGFws!AV19</f>
        <v>0</v>
      </c>
      <c r="AR29" s="450"/>
      <c r="AS29" s="450">
        <f>+BSGFws!AW19</f>
        <v>0</v>
      </c>
      <c r="AT29" s="450"/>
      <c r="AU29" s="450">
        <f>BSGFws!AX19</f>
        <v>0</v>
      </c>
      <c r="AV29" s="450"/>
      <c r="AW29" s="450">
        <f>BSGFws!AY19</f>
        <v>0</v>
      </c>
      <c r="AX29" s="450"/>
      <c r="AY29" s="450">
        <f>+BSGFws!BA19</f>
        <v>0</v>
      </c>
      <c r="AZ29" s="450"/>
      <c r="BA29" s="450">
        <f>+BSGFws!BB19</f>
        <v>0</v>
      </c>
      <c r="BB29" s="450"/>
      <c r="BC29" s="450">
        <f>+BSGFws!BC19</f>
        <v>0</v>
      </c>
      <c r="BD29" s="450"/>
      <c r="BE29" s="450"/>
      <c r="BF29" s="450"/>
      <c r="BG29" s="450">
        <f>+BSGFws!BD19</f>
        <v>0</v>
      </c>
      <c r="BH29" s="450"/>
      <c r="BI29" s="450"/>
      <c r="BJ29" s="450"/>
      <c r="BK29" s="450">
        <f>+BSGFws!AZ19</f>
        <v>0</v>
      </c>
    </row>
    <row r="30" spans="1:63" s="451" customFormat="1" ht="9.9499999999999993" hidden="1" customHeight="1" x14ac:dyDescent="0.2">
      <c r="A30" s="426" t="s">
        <v>63</v>
      </c>
      <c r="B30" s="450"/>
      <c r="C30" s="450">
        <f>+BSGFws!K20</f>
        <v>0</v>
      </c>
      <c r="D30" s="450"/>
      <c r="E30" s="450">
        <f>+BSGFws!L20</f>
        <v>0</v>
      </c>
      <c r="F30" s="450"/>
      <c r="G30" s="450">
        <f>+BSGFws!M20</f>
        <v>0</v>
      </c>
      <c r="H30" s="450"/>
      <c r="I30" s="450">
        <f>+BSGFws!N20</f>
        <v>0</v>
      </c>
      <c r="J30" s="450"/>
      <c r="K30" s="450">
        <f>+BSGFws!O20</f>
        <v>0</v>
      </c>
      <c r="L30" s="450"/>
      <c r="M30" s="450">
        <f>+BSGFws!P20</f>
        <v>0</v>
      </c>
      <c r="N30" s="450"/>
      <c r="O30" s="450">
        <f>+BSGFws!Q20</f>
        <v>0</v>
      </c>
      <c r="P30" s="450"/>
      <c r="Q30" s="450">
        <f>BSGFws!R20</f>
        <v>0</v>
      </c>
      <c r="R30" s="450"/>
      <c r="S30" s="450">
        <f>BSGFws!S20</f>
        <v>0</v>
      </c>
      <c r="T30" s="450"/>
      <c r="U30" s="450">
        <f>+BSGFws!U20</f>
        <v>0</v>
      </c>
      <c r="V30" s="450"/>
      <c r="W30" s="450">
        <f>+BSGFws!V20</f>
        <v>0</v>
      </c>
      <c r="X30" s="450"/>
      <c r="Y30" s="450">
        <f>+BSGFws!W20</f>
        <v>0</v>
      </c>
      <c r="Z30" s="450"/>
      <c r="AA30" s="450"/>
      <c r="AB30" s="450"/>
      <c r="AC30" s="450">
        <f>+BSGFws!X20</f>
        <v>0</v>
      </c>
      <c r="AD30" s="450"/>
      <c r="AE30" s="450"/>
      <c r="AF30" s="450"/>
      <c r="AG30" s="450">
        <f>+BSGFws!T20</f>
        <v>0</v>
      </c>
      <c r="AH30" s="450"/>
      <c r="AI30" s="450">
        <f t="shared" si="0"/>
        <v>0</v>
      </c>
    </row>
    <row r="31" spans="1:63" s="451" customFormat="1" ht="9.9499999999999993" customHeight="1" x14ac:dyDescent="0.2">
      <c r="A31" s="426" t="s">
        <v>592</v>
      </c>
      <c r="B31" s="450"/>
      <c r="C31" s="450">
        <f>+BSGFws!K21</f>
        <v>0</v>
      </c>
      <c r="D31" s="450"/>
      <c r="E31" s="450">
        <f>+BSGFws!L21</f>
        <v>0</v>
      </c>
      <c r="F31" s="450"/>
      <c r="G31" s="450">
        <f>+BSGFws!M21</f>
        <v>0</v>
      </c>
      <c r="H31" s="450"/>
      <c r="I31" s="450">
        <f>+BSGFws!N21</f>
        <v>18</v>
      </c>
      <c r="J31" s="450"/>
      <c r="K31" s="450">
        <f>+BSGFws!O21</f>
        <v>1772</v>
      </c>
      <c r="L31" s="450"/>
      <c r="M31" s="450">
        <f>+BSGFws!P21</f>
        <v>0</v>
      </c>
      <c r="N31" s="450"/>
      <c r="O31" s="450">
        <f>+BSGFws!Q21</f>
        <v>0</v>
      </c>
      <c r="P31" s="450"/>
      <c r="Q31" s="450">
        <f>BSGFws!R21</f>
        <v>0</v>
      </c>
      <c r="R31" s="450"/>
      <c r="S31" s="450">
        <f>BSGFws!S21</f>
        <v>0</v>
      </c>
      <c r="T31" s="450"/>
      <c r="U31" s="450">
        <f>+BSGFws!U21</f>
        <v>363</v>
      </c>
      <c r="V31" s="450"/>
      <c r="W31" s="450">
        <f>+BSGFws!V20</f>
        <v>0</v>
      </c>
      <c r="X31" s="450"/>
      <c r="Y31" s="450">
        <f>+BSGFws!W21</f>
        <v>0</v>
      </c>
      <c r="Z31" s="450"/>
      <c r="AA31" s="450"/>
      <c r="AB31" s="450"/>
      <c r="AC31" s="450">
        <f>+BSGFws!X21</f>
        <v>473</v>
      </c>
      <c r="AD31" s="450"/>
      <c r="AE31" s="450"/>
      <c r="AF31" s="450"/>
      <c r="AG31" s="450">
        <f>+BSGFws!T21</f>
        <v>0</v>
      </c>
      <c r="AH31" s="450"/>
      <c r="AI31" s="450">
        <f t="shared" si="0"/>
        <v>2626</v>
      </c>
    </row>
    <row r="32" spans="1:63" s="451" customFormat="1" ht="5.0999999999999996" customHeight="1" x14ac:dyDescent="0.2">
      <c r="A32" s="418"/>
      <c r="B32" s="450"/>
      <c r="C32" s="452"/>
      <c r="D32" s="450"/>
      <c r="E32" s="452"/>
      <c r="F32" s="450"/>
      <c r="G32" s="452"/>
      <c r="H32" s="450"/>
      <c r="I32" s="452"/>
      <c r="J32" s="450"/>
      <c r="K32" s="452"/>
      <c r="L32" s="450"/>
      <c r="M32" s="452"/>
      <c r="N32" s="450"/>
      <c r="O32" s="452"/>
      <c r="P32" s="450"/>
      <c r="Q32" s="452"/>
      <c r="R32" s="450"/>
      <c r="S32" s="452"/>
      <c r="T32" s="450"/>
      <c r="U32" s="452"/>
      <c r="V32" s="450"/>
      <c r="W32" s="452"/>
      <c r="X32" s="450"/>
      <c r="Y32" s="452"/>
      <c r="Z32" s="450"/>
      <c r="AA32" s="452"/>
      <c r="AB32" s="450"/>
      <c r="AC32" s="452"/>
      <c r="AD32" s="450"/>
      <c r="AE32" s="452"/>
      <c r="AF32" s="450"/>
      <c r="AG32" s="452"/>
      <c r="AH32" s="450"/>
      <c r="AI32" s="452"/>
    </row>
    <row r="33" spans="1:35" s="451" customFormat="1" ht="11.1" customHeight="1" thickBot="1" x14ac:dyDescent="0.25">
      <c r="A33" s="417" t="s">
        <v>687</v>
      </c>
      <c r="B33" s="450"/>
      <c r="C33" s="453">
        <f>SUM(C13:C31)</f>
        <v>16838</v>
      </c>
      <c r="D33" s="450"/>
      <c r="E33" s="453">
        <f>SUM(E13:E31)</f>
        <v>0</v>
      </c>
      <c r="F33" s="450"/>
      <c r="G33" s="453">
        <f>SUM(G13:G31)</f>
        <v>0</v>
      </c>
      <c r="H33" s="450"/>
      <c r="I33" s="453">
        <f>SUM(I13:I31)</f>
        <v>210416</v>
      </c>
      <c r="J33" s="450"/>
      <c r="K33" s="453">
        <f>SUM(K13:K31)</f>
        <v>159513</v>
      </c>
      <c r="L33" s="450"/>
      <c r="M33" s="453">
        <f>SUM(M13:M31)</f>
        <v>4074</v>
      </c>
      <c r="N33" s="450"/>
      <c r="O33" s="453">
        <f>SUM(O13:O31)</f>
        <v>21381</v>
      </c>
      <c r="P33" s="450"/>
      <c r="Q33" s="453">
        <f>SUM(Q13:Q31)</f>
        <v>8355</v>
      </c>
      <c r="R33" s="450"/>
      <c r="S33" s="453">
        <f>SUM(S13:S31)</f>
        <v>8414</v>
      </c>
      <c r="T33" s="450"/>
      <c r="U33" s="453">
        <f>SUM(U13:U31)</f>
        <v>4040</v>
      </c>
      <c r="V33" s="450"/>
      <c r="W33" s="453">
        <f>SUM(W13:W31)</f>
        <v>12276</v>
      </c>
      <c r="X33" s="450"/>
      <c r="Y33" s="453">
        <f>SUM(Y13:Y31)</f>
        <v>49415</v>
      </c>
      <c r="Z33" s="450"/>
      <c r="AA33" s="453">
        <f>SUM(AA13:AA31)</f>
        <v>0</v>
      </c>
      <c r="AB33" s="450"/>
      <c r="AC33" s="453">
        <f>SUM(AC13:AC31)</f>
        <v>59644</v>
      </c>
      <c r="AD33" s="450"/>
      <c r="AE33" s="453">
        <f>SUM(AE13:AE31)</f>
        <v>0</v>
      </c>
      <c r="AF33" s="450"/>
      <c r="AG33" s="453">
        <f>SUM(AG13:AG31)</f>
        <v>929</v>
      </c>
      <c r="AH33" s="461"/>
      <c r="AI33" s="453">
        <f>SUM(AI13:AI31)</f>
        <v>555295</v>
      </c>
    </row>
    <row r="34" spans="1:35" s="451" customFormat="1" ht="5.0999999999999996" customHeight="1" thickTop="1" x14ac:dyDescent="0.2">
      <c r="A34" s="418"/>
      <c r="B34" s="450"/>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0"/>
      <c r="AF34" s="450"/>
      <c r="AG34" s="450"/>
      <c r="AH34" s="450"/>
      <c r="AI34" s="450"/>
    </row>
    <row r="35" spans="1:35" s="451" customFormat="1" ht="24" x14ac:dyDescent="0.2">
      <c r="A35" s="1241" t="s">
        <v>1699</v>
      </c>
      <c r="B35" s="450"/>
      <c r="C35" s="450"/>
      <c r="D35" s="450"/>
      <c r="E35" s="450"/>
      <c r="F35" s="450"/>
      <c r="G35" s="450"/>
      <c r="H35" s="450"/>
      <c r="I35" s="450"/>
      <c r="J35" s="450"/>
      <c r="K35" s="450"/>
      <c r="L35" s="450"/>
      <c r="M35" s="450"/>
      <c r="N35" s="450"/>
      <c r="O35" s="450"/>
      <c r="P35" s="450"/>
      <c r="Q35" s="450"/>
      <c r="R35" s="450"/>
      <c r="S35" s="450"/>
      <c r="T35" s="450"/>
      <c r="U35" s="450"/>
      <c r="V35" s="450"/>
      <c r="W35" s="450"/>
      <c r="X35" s="450"/>
      <c r="Y35" s="450"/>
      <c r="Z35" s="450"/>
      <c r="AA35" s="450"/>
      <c r="AB35" s="450"/>
      <c r="AC35" s="450"/>
      <c r="AD35" s="450"/>
      <c r="AE35" s="450"/>
      <c r="AF35" s="450"/>
      <c r="AG35" s="450"/>
      <c r="AH35" s="450"/>
      <c r="AI35" s="450"/>
    </row>
    <row r="36" spans="1:35" s="451" customFormat="1" ht="9.9499999999999993" customHeight="1" x14ac:dyDescent="0.2">
      <c r="A36" s="428" t="s">
        <v>751</v>
      </c>
      <c r="B36" s="450"/>
      <c r="C36" s="450"/>
      <c r="D36" s="450"/>
      <c r="E36" s="450"/>
      <c r="F36" s="450"/>
      <c r="G36" s="450"/>
      <c r="H36" s="450"/>
      <c r="I36" s="450"/>
      <c r="J36" s="450"/>
      <c r="K36" s="450"/>
      <c r="L36" s="450"/>
      <c r="M36" s="450"/>
      <c r="N36" s="450"/>
      <c r="O36" s="450"/>
      <c r="P36" s="450"/>
      <c r="Q36" s="450"/>
      <c r="R36" s="450"/>
      <c r="S36" s="450"/>
      <c r="T36" s="450"/>
      <c r="U36" s="450"/>
      <c r="V36" s="450"/>
      <c r="W36" s="450"/>
      <c r="X36" s="450"/>
      <c r="Y36" s="450"/>
      <c r="Z36" s="450"/>
      <c r="AA36" s="450"/>
      <c r="AB36" s="450"/>
      <c r="AC36" s="450"/>
      <c r="AD36" s="450"/>
      <c r="AE36" s="450"/>
      <c r="AF36" s="450"/>
      <c r="AG36" s="450"/>
      <c r="AH36" s="450"/>
      <c r="AI36" s="450"/>
    </row>
    <row r="37" spans="1:35" s="451" customFormat="1" ht="9.9499999999999993" customHeight="1" x14ac:dyDescent="0.2">
      <c r="A37" s="425" t="s">
        <v>688</v>
      </c>
      <c r="B37" s="450"/>
      <c r="C37" s="461">
        <f>+BSGFws!K28</f>
        <v>0</v>
      </c>
      <c r="D37" s="450"/>
      <c r="E37" s="461">
        <f>+BSGFws!L28</f>
        <v>0</v>
      </c>
      <c r="F37" s="450"/>
      <c r="G37" s="461">
        <f>+BSGFws!M28</f>
        <v>0</v>
      </c>
      <c r="H37" s="450"/>
      <c r="I37" s="461">
        <f>+BSGFws!N28</f>
        <v>1389</v>
      </c>
      <c r="J37" s="450"/>
      <c r="K37" s="461">
        <f>+BSGFws!O28</f>
        <v>0</v>
      </c>
      <c r="L37" s="450"/>
      <c r="M37" s="461">
        <f>+BSGFws!P28</f>
        <v>0</v>
      </c>
      <c r="N37" s="450"/>
      <c r="O37" s="461">
        <f>+BSGFws!Q28</f>
        <v>0</v>
      </c>
      <c r="P37" s="450"/>
      <c r="Q37" s="461">
        <f>BSGFws!R28</f>
        <v>0</v>
      </c>
      <c r="R37" s="450"/>
      <c r="S37" s="461">
        <f>BSGFws!S28</f>
        <v>0</v>
      </c>
      <c r="T37" s="450"/>
      <c r="U37" s="461">
        <f>+BSGFws!U28</f>
        <v>0</v>
      </c>
      <c r="V37" s="450"/>
      <c r="W37" s="461">
        <f>+BSGFws!V28</f>
        <v>0</v>
      </c>
      <c r="X37" s="450"/>
      <c r="Y37" s="461">
        <f>+BSGFws!W28</f>
        <v>0</v>
      </c>
      <c r="Z37" s="450"/>
      <c r="AA37" s="461"/>
      <c r="AB37" s="450"/>
      <c r="AC37" s="461">
        <f>+BSGFws!X28</f>
        <v>0</v>
      </c>
      <c r="AD37" s="450"/>
      <c r="AE37" s="461"/>
      <c r="AF37" s="450"/>
      <c r="AG37" s="461">
        <f>+BSGFws!T28</f>
        <v>0</v>
      </c>
      <c r="AH37" s="450"/>
      <c r="AI37" s="461">
        <f t="shared" ref="AI37:AI53" si="1">SUM(C37:AG37)</f>
        <v>1389</v>
      </c>
    </row>
    <row r="38" spans="1:35" s="451" customFormat="1" ht="9.9499999999999993" customHeight="1" x14ac:dyDescent="0.2">
      <c r="A38" s="425" t="s">
        <v>847</v>
      </c>
      <c r="B38" s="450"/>
      <c r="C38" s="450">
        <f>+BSGFws!K29</f>
        <v>0</v>
      </c>
      <c r="D38" s="450"/>
      <c r="E38" s="450">
        <f>+BSGFws!L29</f>
        <v>0</v>
      </c>
      <c r="F38" s="450"/>
      <c r="G38" s="450">
        <f>+BSGFws!M29</f>
        <v>0</v>
      </c>
      <c r="H38" s="450"/>
      <c r="I38" s="450">
        <f>+BSGFws!N29</f>
        <v>8090</v>
      </c>
      <c r="J38" s="450"/>
      <c r="K38" s="450">
        <f>+BSGFws!O29</f>
        <v>0</v>
      </c>
      <c r="L38" s="450"/>
      <c r="M38" s="450">
        <f>+BSGFws!P29</f>
        <v>0</v>
      </c>
      <c r="N38" s="450"/>
      <c r="O38" s="450">
        <f>+BSGFws!Q29</f>
        <v>0</v>
      </c>
      <c r="P38" s="450"/>
      <c r="Q38" s="450">
        <f>BSGFws!R29</f>
        <v>0</v>
      </c>
      <c r="R38" s="450"/>
      <c r="S38" s="450">
        <f>BSGFws!S29</f>
        <v>0</v>
      </c>
      <c r="T38" s="450"/>
      <c r="U38" s="450">
        <f>+BSGFws!U29</f>
        <v>0</v>
      </c>
      <c r="V38" s="450"/>
      <c r="W38" s="450">
        <f>+BSGFws!V29</f>
        <v>0</v>
      </c>
      <c r="X38" s="450"/>
      <c r="Y38" s="450">
        <f>+BSGFws!W29</f>
        <v>0</v>
      </c>
      <c r="Z38" s="450"/>
      <c r="AA38" s="450"/>
      <c r="AB38" s="450"/>
      <c r="AC38" s="450">
        <f>+BSGFws!X29</f>
        <v>0</v>
      </c>
      <c r="AD38" s="450"/>
      <c r="AE38" s="450"/>
      <c r="AF38" s="450"/>
      <c r="AG38" s="450">
        <f>+BSGFws!T29</f>
        <v>0</v>
      </c>
      <c r="AH38" s="450"/>
      <c r="AI38" s="450">
        <f t="shared" si="1"/>
        <v>8090</v>
      </c>
    </row>
    <row r="39" spans="1:35" s="451" customFormat="1" ht="9.9499999999999993" customHeight="1" x14ac:dyDescent="0.2">
      <c r="A39" s="425" t="s">
        <v>690</v>
      </c>
      <c r="B39" s="450"/>
      <c r="C39" s="450">
        <f>+BSGFws!K30</f>
        <v>0</v>
      </c>
      <c r="D39" s="450"/>
      <c r="E39" s="450">
        <f>+BSGFws!L30</f>
        <v>0</v>
      </c>
      <c r="F39" s="450"/>
      <c r="G39" s="450">
        <f>+BSGFws!M30</f>
        <v>0</v>
      </c>
      <c r="H39" s="450"/>
      <c r="I39" s="450">
        <f>+BSGFws!N30</f>
        <v>133</v>
      </c>
      <c r="J39" s="450"/>
      <c r="K39" s="450">
        <f>+BSGFws!O30</f>
        <v>0</v>
      </c>
      <c r="L39" s="450"/>
      <c r="M39" s="450">
        <f>+BSGFws!P30</f>
        <v>0</v>
      </c>
      <c r="N39" s="450"/>
      <c r="O39" s="450">
        <f>+BSGFws!Q30</f>
        <v>0</v>
      </c>
      <c r="P39" s="450"/>
      <c r="Q39" s="450">
        <f>BSGFws!R30</f>
        <v>0</v>
      </c>
      <c r="R39" s="450"/>
      <c r="S39" s="450">
        <f>BSGFws!S30</f>
        <v>0</v>
      </c>
      <c r="T39" s="450"/>
      <c r="U39" s="450">
        <f>+BSGFws!U30</f>
        <v>0</v>
      </c>
      <c r="V39" s="450"/>
      <c r="W39" s="450">
        <f>+BSGFws!V30</f>
        <v>0</v>
      </c>
      <c r="X39" s="450"/>
      <c r="Y39" s="450">
        <f>+BSGFws!W30</f>
        <v>0</v>
      </c>
      <c r="Z39" s="450"/>
      <c r="AA39" s="450"/>
      <c r="AB39" s="450"/>
      <c r="AC39" s="450">
        <f>+BSGFws!X30</f>
        <v>0</v>
      </c>
      <c r="AD39" s="450"/>
      <c r="AE39" s="450"/>
      <c r="AF39" s="450"/>
      <c r="AG39" s="450">
        <f>+BSGFws!T30</f>
        <v>0</v>
      </c>
      <c r="AH39" s="450"/>
      <c r="AI39" s="450">
        <f t="shared" si="1"/>
        <v>133</v>
      </c>
    </row>
    <row r="40" spans="1:35" s="451" customFormat="1" ht="9.9499999999999993" hidden="1" customHeight="1" x14ac:dyDescent="0.2">
      <c r="A40" s="425" t="s">
        <v>691</v>
      </c>
      <c r="B40" s="450"/>
      <c r="C40" s="450"/>
      <c r="D40" s="450"/>
      <c r="E40" s="450">
        <f>+BSGFws!L31</f>
        <v>0</v>
      </c>
      <c r="F40" s="450"/>
      <c r="G40" s="450">
        <f>+BSGFws!M31</f>
        <v>0</v>
      </c>
      <c r="H40" s="450"/>
      <c r="I40" s="450">
        <f>+BSGFws!N31</f>
        <v>0</v>
      </c>
      <c r="J40" s="450"/>
      <c r="K40" s="450">
        <f>+BSGFws!O31</f>
        <v>0</v>
      </c>
      <c r="L40" s="450"/>
      <c r="M40" s="450">
        <f>+BSGFws!P31</f>
        <v>0</v>
      </c>
      <c r="N40" s="450"/>
      <c r="O40" s="450">
        <f>+BSGFws!Q31</f>
        <v>0</v>
      </c>
      <c r="P40" s="450"/>
      <c r="Q40" s="450">
        <f>BSGFws!R31</f>
        <v>0</v>
      </c>
      <c r="R40" s="450"/>
      <c r="S40" s="450">
        <f>BSGFws!S31</f>
        <v>0</v>
      </c>
      <c r="T40" s="450"/>
      <c r="U40" s="450">
        <f>+BSGFws!U31</f>
        <v>0</v>
      </c>
      <c r="V40" s="450"/>
      <c r="W40" s="450">
        <f>+BSGFws!V31</f>
        <v>0</v>
      </c>
      <c r="X40" s="450"/>
      <c r="Y40" s="450"/>
      <c r="Z40" s="450"/>
      <c r="AA40" s="450"/>
      <c r="AB40" s="450"/>
      <c r="AC40" s="450"/>
      <c r="AD40" s="450"/>
      <c r="AE40" s="450"/>
      <c r="AF40" s="450"/>
      <c r="AG40" s="450">
        <f>+BSGFws!T31</f>
        <v>0</v>
      </c>
      <c r="AH40" s="450"/>
      <c r="AI40" s="450">
        <f t="shared" si="1"/>
        <v>0</v>
      </c>
    </row>
    <row r="41" spans="1:35" s="451" customFormat="1" ht="9.9499999999999993" hidden="1" customHeight="1" x14ac:dyDescent="0.2">
      <c r="A41" s="425" t="s">
        <v>692</v>
      </c>
      <c r="B41" s="450"/>
      <c r="C41" s="450">
        <f>+BSGFws!K32</f>
        <v>0</v>
      </c>
      <c r="D41" s="450"/>
      <c r="E41" s="450">
        <f>+BSGFws!L32</f>
        <v>0</v>
      </c>
      <c r="F41" s="450"/>
      <c r="G41" s="450">
        <f>+BSGFws!M32</f>
        <v>0</v>
      </c>
      <c r="H41" s="450"/>
      <c r="I41" s="450">
        <f>+BSGFws!N32</f>
        <v>0</v>
      </c>
      <c r="J41" s="450"/>
      <c r="K41" s="450">
        <f>+BSGFws!O32</f>
        <v>0</v>
      </c>
      <c r="L41" s="450"/>
      <c r="M41" s="450">
        <f>+BSGFws!P32</f>
        <v>0</v>
      </c>
      <c r="N41" s="450"/>
      <c r="O41" s="450">
        <f>+BSGFws!Q32</f>
        <v>0</v>
      </c>
      <c r="P41" s="450"/>
      <c r="Q41" s="450">
        <f>BSGFws!R32</f>
        <v>0</v>
      </c>
      <c r="R41" s="450"/>
      <c r="S41" s="450">
        <f>BSGFws!S32</f>
        <v>0</v>
      </c>
      <c r="T41" s="450"/>
      <c r="U41" s="450">
        <f>+BSGFws!U32</f>
        <v>0</v>
      </c>
      <c r="V41" s="450"/>
      <c r="W41" s="450">
        <f>+BSGFws!V32</f>
        <v>0</v>
      </c>
      <c r="X41" s="450"/>
      <c r="Y41" s="450">
        <f>+BSGFws!W32</f>
        <v>0</v>
      </c>
      <c r="Z41" s="450"/>
      <c r="AA41" s="450"/>
      <c r="AB41" s="450"/>
      <c r="AC41" s="450">
        <f>+BSGFws!X32</f>
        <v>0</v>
      </c>
      <c r="AD41" s="450"/>
      <c r="AE41" s="450"/>
      <c r="AF41" s="450"/>
      <c r="AG41" s="450">
        <f>+BSGFws!T32</f>
        <v>0</v>
      </c>
      <c r="AH41" s="450"/>
      <c r="AI41" s="450">
        <f t="shared" si="1"/>
        <v>0</v>
      </c>
    </row>
    <row r="42" spans="1:35" s="451" customFormat="1" ht="9.9499999999999993" hidden="1" customHeight="1" x14ac:dyDescent="0.2">
      <c r="A42" s="425" t="s">
        <v>848</v>
      </c>
      <c r="B42" s="450"/>
      <c r="C42" s="450">
        <f>+BSGFws!K33</f>
        <v>0</v>
      </c>
      <c r="D42" s="450"/>
      <c r="E42" s="450">
        <f>+BSGFws!L33</f>
        <v>0</v>
      </c>
      <c r="F42" s="450"/>
      <c r="G42" s="450">
        <f>+BSGFws!M33</f>
        <v>0</v>
      </c>
      <c r="H42" s="450"/>
      <c r="I42" s="450">
        <f>+BSGFws!N33</f>
        <v>0</v>
      </c>
      <c r="J42" s="450"/>
      <c r="K42" s="450">
        <f>+BSGFws!O33</f>
        <v>0</v>
      </c>
      <c r="L42" s="450"/>
      <c r="M42" s="450">
        <f>+BSGFws!P33</f>
        <v>0</v>
      </c>
      <c r="N42" s="450"/>
      <c r="O42" s="450">
        <f>+BSGFws!Q33</f>
        <v>0</v>
      </c>
      <c r="P42" s="450"/>
      <c r="Q42" s="450">
        <f>BSGFws!R33</f>
        <v>0</v>
      </c>
      <c r="R42" s="450"/>
      <c r="S42" s="450">
        <f>BSGFws!S33</f>
        <v>0</v>
      </c>
      <c r="T42" s="450"/>
      <c r="U42" s="450">
        <f>+BSGFws!U33</f>
        <v>0</v>
      </c>
      <c r="V42" s="450"/>
      <c r="W42" s="450">
        <f>+BSGFws!V33</f>
        <v>0</v>
      </c>
      <c r="X42" s="450"/>
      <c r="Y42" s="450">
        <f>+BSGFws!W33</f>
        <v>0</v>
      </c>
      <c r="Z42" s="450"/>
      <c r="AA42" s="450"/>
      <c r="AB42" s="450"/>
      <c r="AC42" s="450">
        <f>+BSGFws!X33</f>
        <v>0</v>
      </c>
      <c r="AD42" s="450"/>
      <c r="AE42" s="450"/>
      <c r="AF42" s="450"/>
      <c r="AG42" s="450">
        <f>+BSGFws!T33</f>
        <v>0</v>
      </c>
      <c r="AH42" s="450"/>
      <c r="AI42" s="450">
        <f t="shared" si="1"/>
        <v>0</v>
      </c>
    </row>
    <row r="43" spans="1:35" s="451" customFormat="1" ht="9.9499999999999993" hidden="1" customHeight="1" x14ac:dyDescent="0.2">
      <c r="A43" s="425" t="s">
        <v>604</v>
      </c>
      <c r="B43" s="450"/>
      <c r="C43" s="450">
        <f>+BSGFws!K34</f>
        <v>0</v>
      </c>
      <c r="D43" s="450"/>
      <c r="E43" s="450">
        <f>+BSGFws!L34</f>
        <v>0</v>
      </c>
      <c r="F43" s="450"/>
      <c r="G43" s="450">
        <f>+BSGFws!M34</f>
        <v>0</v>
      </c>
      <c r="H43" s="450"/>
      <c r="I43" s="450">
        <f>+BSGFws!N34</f>
        <v>0</v>
      </c>
      <c r="J43" s="450"/>
      <c r="K43" s="450">
        <f>+BSGFws!O34</f>
        <v>0</v>
      </c>
      <c r="L43" s="450"/>
      <c r="M43" s="450">
        <f>+BSGFws!P34</f>
        <v>0</v>
      </c>
      <c r="N43" s="450"/>
      <c r="O43" s="450">
        <f>+BSGFws!Q34</f>
        <v>0</v>
      </c>
      <c r="P43" s="450"/>
      <c r="Q43" s="450">
        <f>BSGFws!R34</f>
        <v>0</v>
      </c>
      <c r="R43" s="450"/>
      <c r="S43" s="450">
        <f>BSGFws!S34</f>
        <v>0</v>
      </c>
      <c r="T43" s="450"/>
      <c r="U43" s="450">
        <f>+BSGFws!U34</f>
        <v>0</v>
      </c>
      <c r="V43" s="450"/>
      <c r="W43" s="450">
        <f>+BSGFws!V33</f>
        <v>0</v>
      </c>
      <c r="X43" s="450"/>
      <c r="Y43" s="450">
        <f>+BSGFws!W34</f>
        <v>0</v>
      </c>
      <c r="Z43" s="450"/>
      <c r="AA43" s="450"/>
      <c r="AB43" s="450"/>
      <c r="AC43" s="450">
        <f>+BSGFws!X34</f>
        <v>0</v>
      </c>
      <c r="AD43" s="450"/>
      <c r="AE43" s="450"/>
      <c r="AF43" s="450"/>
      <c r="AG43" s="450">
        <f>+BSGFws!T34</f>
        <v>0</v>
      </c>
      <c r="AH43" s="450"/>
      <c r="AI43" s="450">
        <f t="shared" si="1"/>
        <v>0</v>
      </c>
    </row>
    <row r="44" spans="1:35" s="451" customFormat="1" ht="9.9499999999999993" hidden="1" customHeight="1" x14ac:dyDescent="0.2">
      <c r="A44" s="425" t="s">
        <v>593</v>
      </c>
      <c r="B44" s="450"/>
      <c r="C44" s="450">
        <f>+BSGFws!K35</f>
        <v>0</v>
      </c>
      <c r="D44" s="450"/>
      <c r="E44" s="450">
        <f>+BSGFws!L35</f>
        <v>0</v>
      </c>
      <c r="F44" s="450"/>
      <c r="G44" s="450">
        <f>+BSGFws!M35</f>
        <v>0</v>
      </c>
      <c r="H44" s="450"/>
      <c r="I44" s="450">
        <f>+BSGFws!N35</f>
        <v>0</v>
      </c>
      <c r="J44" s="450"/>
      <c r="K44" s="450">
        <f>+BSGFws!O35</f>
        <v>0</v>
      </c>
      <c r="L44" s="450"/>
      <c r="M44" s="450">
        <f>+BSGFws!P35</f>
        <v>0</v>
      </c>
      <c r="N44" s="450"/>
      <c r="O44" s="450">
        <f>+BSGFws!Q35</f>
        <v>0</v>
      </c>
      <c r="P44" s="450"/>
      <c r="Q44" s="450">
        <f>BSGFws!R35</f>
        <v>0</v>
      </c>
      <c r="R44" s="450"/>
      <c r="S44" s="450">
        <f>BSGFws!S35</f>
        <v>0</v>
      </c>
      <c r="T44" s="450"/>
      <c r="U44" s="450">
        <f>+BSGFws!U35</f>
        <v>0</v>
      </c>
      <c r="V44" s="450"/>
      <c r="W44" s="450">
        <f>+BSGFws!V34</f>
        <v>0</v>
      </c>
      <c r="X44" s="450"/>
      <c r="Y44" s="450">
        <f>+BSGFws!W35</f>
        <v>0</v>
      </c>
      <c r="Z44" s="450"/>
      <c r="AA44" s="450"/>
      <c r="AB44" s="450"/>
      <c r="AC44" s="450">
        <f>+BSGFws!X35</f>
        <v>0</v>
      </c>
      <c r="AD44" s="450"/>
      <c r="AE44" s="450"/>
      <c r="AF44" s="450"/>
      <c r="AG44" s="450">
        <f>+BSGFws!T35</f>
        <v>0</v>
      </c>
      <c r="AH44" s="450"/>
      <c r="AI44" s="450">
        <f t="shared" si="1"/>
        <v>0</v>
      </c>
    </row>
    <row r="45" spans="1:35" s="450" customFormat="1" ht="9.9499999999999993" customHeight="1" x14ac:dyDescent="0.2">
      <c r="A45" s="425" t="s">
        <v>1304</v>
      </c>
      <c r="C45" s="450">
        <f>+BSGFws!K36</f>
        <v>0</v>
      </c>
      <c r="E45" s="450">
        <f>+BSGFws!L36</f>
        <v>0</v>
      </c>
      <c r="G45" s="450">
        <f>+BSGFws!M36</f>
        <v>0</v>
      </c>
      <c r="I45" s="450">
        <f>+BSGFws!N36</f>
        <v>0</v>
      </c>
      <c r="K45" s="450">
        <f>+BSGFws!O36</f>
        <v>0</v>
      </c>
      <c r="M45" s="450">
        <f>+BSGFws!P36</f>
        <v>0</v>
      </c>
      <c r="O45" s="450">
        <f>+BSGFws!Q36</f>
        <v>0</v>
      </c>
      <c r="Q45" s="450">
        <f>BSGFws!R36</f>
        <v>0</v>
      </c>
      <c r="S45" s="450">
        <f>BSGFws!S36</f>
        <v>0</v>
      </c>
      <c r="U45" s="450">
        <f>+BSGFws!U36</f>
        <v>0</v>
      </c>
      <c r="W45" s="450">
        <f>+BSGFws!V35</f>
        <v>0</v>
      </c>
      <c r="Y45" s="450">
        <f>+BSGFws!W36</f>
        <v>0</v>
      </c>
      <c r="AC45" s="450">
        <f>+BSGFws!X36</f>
        <v>0</v>
      </c>
      <c r="AG45" s="450">
        <f>+BSGFws!T36</f>
        <v>0</v>
      </c>
      <c r="AI45" s="450">
        <f t="shared" si="1"/>
        <v>0</v>
      </c>
    </row>
    <row r="46" spans="1:35" s="450" customFormat="1" ht="9.9499999999999993" customHeight="1" x14ac:dyDescent="0.2">
      <c r="A46" s="426" t="s">
        <v>688</v>
      </c>
      <c r="C46" s="450">
        <f>+BSGFws!K37</f>
        <v>42</v>
      </c>
      <c r="E46" s="450">
        <f>+BSGFws!L37</f>
        <v>0</v>
      </c>
      <c r="G46" s="450">
        <f>+BSGFws!M37</f>
        <v>0</v>
      </c>
      <c r="I46" s="450">
        <f>+BSGFws!N37</f>
        <v>1764</v>
      </c>
      <c r="K46" s="450">
        <f>+BSGFws!O37</f>
        <v>2521</v>
      </c>
      <c r="M46" s="450">
        <f>+BSGFws!P37</f>
        <v>0</v>
      </c>
      <c r="O46" s="450">
        <f>+BSGFws!Q37</f>
        <v>0</v>
      </c>
      <c r="Q46" s="450">
        <f>BSGFws!R37</f>
        <v>0</v>
      </c>
      <c r="S46" s="450">
        <f>BSGFws!S37</f>
        <v>0</v>
      </c>
      <c r="U46" s="450">
        <f>+BSGFws!U37</f>
        <v>8</v>
      </c>
      <c r="W46" s="450">
        <f>+BSGFws!V36</f>
        <v>0</v>
      </c>
      <c r="Y46" s="450">
        <f>+BSGFws!W37</f>
        <v>374</v>
      </c>
      <c r="AC46" s="450">
        <f>+BSGFws!X37</f>
        <v>993</v>
      </c>
      <c r="AG46" s="450">
        <f>+BSGFws!T37</f>
        <v>180</v>
      </c>
      <c r="AI46" s="450">
        <f t="shared" si="1"/>
        <v>5882</v>
      </c>
    </row>
    <row r="47" spans="1:35" s="450" customFormat="1" ht="9.9499999999999993" customHeight="1" x14ac:dyDescent="0.2">
      <c r="A47" s="426" t="s">
        <v>847</v>
      </c>
      <c r="C47" s="450">
        <f>+BSGFws!K38</f>
        <v>54</v>
      </c>
      <c r="E47" s="450">
        <f>+BSGFws!L38</f>
        <v>0</v>
      </c>
      <c r="G47" s="450">
        <f>+BSGFws!M38</f>
        <v>0</v>
      </c>
      <c r="I47" s="450">
        <f>+BSGFws!N38</f>
        <v>11921</v>
      </c>
      <c r="K47" s="450">
        <f>+BSGFws!O38</f>
        <v>1781</v>
      </c>
      <c r="M47" s="450">
        <f>+BSGFws!P38</f>
        <v>0</v>
      </c>
      <c r="O47" s="450">
        <f>+BSGFws!Q38</f>
        <v>0</v>
      </c>
      <c r="Q47" s="450">
        <f>BSGFws!R38</f>
        <v>324</v>
      </c>
      <c r="S47" s="450">
        <f>BSGFws!S38</f>
        <v>137</v>
      </c>
      <c r="U47" s="450">
        <f>+BSGFws!U38</f>
        <v>29</v>
      </c>
      <c r="W47" s="450">
        <f>+BSGFws!V37</f>
        <v>0</v>
      </c>
      <c r="Y47" s="450">
        <f>+BSGFws!W38</f>
        <v>299</v>
      </c>
      <c r="AC47" s="450">
        <f>+BSGFws!X38</f>
        <v>49</v>
      </c>
      <c r="AG47" s="450">
        <f>+BSGFws!T38</f>
        <v>108</v>
      </c>
      <c r="AI47" s="450">
        <f t="shared" si="1"/>
        <v>14702</v>
      </c>
    </row>
    <row r="48" spans="1:35" s="450" customFormat="1" ht="9.9499999999999993" customHeight="1" x14ac:dyDescent="0.2">
      <c r="A48" s="426" t="s">
        <v>690</v>
      </c>
      <c r="C48" s="450">
        <f>+BSGFws!K39</f>
        <v>84</v>
      </c>
      <c r="E48" s="450">
        <f>+BSGFws!L39</f>
        <v>0</v>
      </c>
      <c r="G48" s="450">
        <f>+BSGFws!M39</f>
        <v>0</v>
      </c>
      <c r="I48" s="450">
        <f>+BSGFws!N39</f>
        <v>416</v>
      </c>
      <c r="K48" s="450">
        <f>+BSGFws!O39</f>
        <v>294</v>
      </c>
      <c r="M48" s="450">
        <f>+BSGFws!P39</f>
        <v>0</v>
      </c>
      <c r="O48" s="450">
        <f>+BSGFws!Q39</f>
        <v>0</v>
      </c>
      <c r="Q48" s="450">
        <f>BSGFws!R39</f>
        <v>732</v>
      </c>
      <c r="S48" s="450">
        <f>BSGFws!S39</f>
        <v>35</v>
      </c>
      <c r="U48" s="450">
        <f>+BSGFws!U39</f>
        <v>58</v>
      </c>
      <c r="W48" s="450">
        <f>+BSGFws!V38</f>
        <v>0</v>
      </c>
      <c r="Y48" s="450">
        <f>+BSGFws!W39</f>
        <v>407</v>
      </c>
      <c r="AC48" s="450">
        <f>+BSGFws!X39</f>
        <v>14</v>
      </c>
      <c r="AG48" s="450">
        <f>+BSGFws!T39</f>
        <v>144</v>
      </c>
      <c r="AI48" s="450">
        <f t="shared" si="1"/>
        <v>2184</v>
      </c>
    </row>
    <row r="49" spans="1:35" s="450" customFormat="1" ht="9.9499999999999993" customHeight="1" x14ac:dyDescent="0.2">
      <c r="A49" s="426" t="s">
        <v>691</v>
      </c>
      <c r="C49" s="450">
        <f>BSGFws!K40</f>
        <v>0</v>
      </c>
      <c r="E49" s="450">
        <f>+BSGFws!L40</f>
        <v>0</v>
      </c>
      <c r="G49" s="450">
        <f>+BSGFws!M40</f>
        <v>0</v>
      </c>
      <c r="I49" s="450">
        <f>+BSGFws!N40</f>
        <v>0</v>
      </c>
      <c r="K49" s="450">
        <f>+BSGFws!O40</f>
        <v>2</v>
      </c>
      <c r="M49" s="450">
        <f>+BSGFws!P40</f>
        <v>0</v>
      </c>
      <c r="O49" s="450">
        <f>+BSGFws!Q40</f>
        <v>0</v>
      </c>
      <c r="Q49" s="450">
        <f>BSGFws!R40</f>
        <v>0</v>
      </c>
      <c r="S49" s="450">
        <f>BSGFws!S40</f>
        <v>0</v>
      </c>
      <c r="U49" s="450">
        <f>+BSGFws!U40</f>
        <v>0</v>
      </c>
      <c r="W49" s="450">
        <f>+BSGFws!V39</f>
        <v>0</v>
      </c>
      <c r="Y49" s="450">
        <f>BSGFws!W40</f>
        <v>0</v>
      </c>
      <c r="AC49" s="450">
        <f>BSGFws!X40</f>
        <v>0</v>
      </c>
      <c r="AG49" s="450">
        <f>+BSGFws!T40</f>
        <v>0</v>
      </c>
      <c r="AI49" s="450">
        <f t="shared" si="1"/>
        <v>2</v>
      </c>
    </row>
    <row r="50" spans="1:35" s="450" customFormat="1" ht="9.9499999999999993" customHeight="1" x14ac:dyDescent="0.2">
      <c r="A50" s="426" t="s">
        <v>692</v>
      </c>
      <c r="C50" s="450">
        <f>+BSGFws!K41</f>
        <v>0</v>
      </c>
      <c r="E50" s="450">
        <f>+BSGFws!L41</f>
        <v>0</v>
      </c>
      <c r="G50" s="450">
        <f>+BSGFws!M41</f>
        <v>0</v>
      </c>
      <c r="I50" s="450">
        <f>+BSGFws!N41</f>
        <v>125</v>
      </c>
      <c r="K50" s="450">
        <f>+BSGFws!O41</f>
        <v>196</v>
      </c>
      <c r="M50" s="450">
        <f>+BSGFws!P41</f>
        <v>0</v>
      </c>
      <c r="O50" s="450">
        <f>+BSGFws!Q41</f>
        <v>0</v>
      </c>
      <c r="Q50" s="450">
        <f>BSGFws!R41</f>
        <v>1</v>
      </c>
      <c r="S50" s="450">
        <f>BSGFws!S41</f>
        <v>1</v>
      </c>
      <c r="U50" s="450">
        <f>+BSGFws!U41</f>
        <v>0</v>
      </c>
      <c r="W50" s="450">
        <f>+BSGFws!V40</f>
        <v>0</v>
      </c>
      <c r="Y50" s="450">
        <f>+BSGFws!W41</f>
        <v>0</v>
      </c>
      <c r="AC50" s="450">
        <f>+BSGFws!X41</f>
        <v>0</v>
      </c>
      <c r="AG50" s="450">
        <f>+BSGFws!T41</f>
        <v>0</v>
      </c>
      <c r="AI50" s="450">
        <f t="shared" si="1"/>
        <v>323</v>
      </c>
    </row>
    <row r="51" spans="1:35" s="450" customFormat="1" ht="9.9499999999999993" hidden="1" customHeight="1" x14ac:dyDescent="0.2">
      <c r="A51" s="426" t="s">
        <v>848</v>
      </c>
      <c r="C51" s="450">
        <f>+BSGFws!K42</f>
        <v>0</v>
      </c>
      <c r="E51" s="450">
        <f>+BSGFws!L42</f>
        <v>0</v>
      </c>
      <c r="G51" s="450">
        <f>+BSGFws!M42</f>
        <v>0</v>
      </c>
      <c r="I51" s="450">
        <f>+BSGFws!N42</f>
        <v>0</v>
      </c>
      <c r="K51" s="450">
        <f>+BSGFws!O42</f>
        <v>0</v>
      </c>
      <c r="M51" s="450">
        <f>+BSGFws!P42</f>
        <v>0</v>
      </c>
      <c r="O51" s="450">
        <f>+BSGFws!Q42</f>
        <v>0</v>
      </c>
      <c r="Q51" s="450">
        <f>BSGFws!R42</f>
        <v>0</v>
      </c>
      <c r="S51" s="450">
        <f>BSGFws!S42</f>
        <v>0</v>
      </c>
      <c r="U51" s="450">
        <f>+BSGFws!U42</f>
        <v>0</v>
      </c>
      <c r="Y51" s="450">
        <f>+BSGFws!W42</f>
        <v>0</v>
      </c>
      <c r="AC51" s="450">
        <f>+BSGFws!X42</f>
        <v>0</v>
      </c>
      <c r="AG51" s="450">
        <f>+BSGFws!T42</f>
        <v>0</v>
      </c>
      <c r="AI51" s="450">
        <f t="shared" si="1"/>
        <v>0</v>
      </c>
    </row>
    <row r="52" spans="1:35" s="450" customFormat="1" ht="9.9499999999999993" customHeight="1" x14ac:dyDescent="0.2">
      <c r="A52" s="426" t="s">
        <v>604</v>
      </c>
      <c r="C52" s="450">
        <f>+BSGFws!K43</f>
        <v>0</v>
      </c>
      <c r="E52" s="450">
        <f>+BSGFws!L43</f>
        <v>0</v>
      </c>
      <c r="G52" s="450">
        <f>+BSGFws!M43</f>
        <v>0</v>
      </c>
      <c r="I52" s="450">
        <f>+BSGFws!N43</f>
        <v>0</v>
      </c>
      <c r="K52" s="450">
        <f>+BSGFws!O43</f>
        <v>0</v>
      </c>
      <c r="M52" s="450">
        <f>+BSGFws!P43</f>
        <v>1800</v>
      </c>
      <c r="O52" s="450">
        <f>+BSGFws!Q43</f>
        <v>0</v>
      </c>
      <c r="Q52" s="450">
        <f>BSGFws!R43</f>
        <v>7298</v>
      </c>
      <c r="S52" s="450">
        <f>BSGFws!S43</f>
        <v>8241</v>
      </c>
      <c r="U52" s="450">
        <f>+BSGFws!U43</f>
        <v>0</v>
      </c>
      <c r="W52" s="450">
        <f>+BSGFws!V42</f>
        <v>0</v>
      </c>
      <c r="Y52" s="450">
        <f>+BSGFws!W43</f>
        <v>0</v>
      </c>
      <c r="AC52" s="450">
        <f>+BSGFws!X43</f>
        <v>0</v>
      </c>
      <c r="AG52" s="450">
        <f>+BSGFws!T43</f>
        <v>600</v>
      </c>
      <c r="AI52" s="450">
        <f t="shared" si="1"/>
        <v>17939</v>
      </c>
    </row>
    <row r="53" spans="1:35" s="450" customFormat="1" ht="9.9499999999999993" hidden="1" customHeight="1" x14ac:dyDescent="0.2">
      <c r="A53" s="426" t="s">
        <v>593</v>
      </c>
      <c r="C53" s="450">
        <f>+BSGFws!K44</f>
        <v>0</v>
      </c>
      <c r="E53" s="450">
        <f>+BSGFws!L44</f>
        <v>0</v>
      </c>
      <c r="G53" s="450">
        <f>+BSGFws!M44</f>
        <v>0</v>
      </c>
      <c r="I53" s="450">
        <f>+BSGFws!N44</f>
        <v>0</v>
      </c>
      <c r="K53" s="450">
        <f>+BSGFws!O44</f>
        <v>0</v>
      </c>
      <c r="M53" s="450">
        <f>+BSGFws!P44</f>
        <v>0</v>
      </c>
      <c r="O53" s="450">
        <f>+BSGFws!Q44</f>
        <v>0</v>
      </c>
      <c r="Q53" s="450">
        <f>+BSGFws!R44</f>
        <v>0</v>
      </c>
      <c r="S53" s="450">
        <f>+BSGFws!S44</f>
        <v>0</v>
      </c>
      <c r="U53" s="450">
        <f>+BSGFws!U44</f>
        <v>0</v>
      </c>
      <c r="W53" s="450">
        <f>+BSGFws!V43</f>
        <v>0</v>
      </c>
      <c r="Y53" s="450">
        <f>+BSGFws!W44</f>
        <v>0</v>
      </c>
      <c r="AA53" s="450">
        <f>+BSGFws!S44</f>
        <v>0</v>
      </c>
      <c r="AC53" s="450">
        <f>+BSGFws!X44</f>
        <v>0</v>
      </c>
      <c r="AE53" s="450">
        <f>+BSGFws!R44</f>
        <v>0</v>
      </c>
      <c r="AG53" s="450">
        <f>+BSGFws!T44</f>
        <v>0</v>
      </c>
      <c r="AI53" s="450">
        <f t="shared" si="1"/>
        <v>0</v>
      </c>
    </row>
    <row r="54" spans="1:35" s="451" customFormat="1" ht="5.0999999999999996" customHeight="1" x14ac:dyDescent="0.2">
      <c r="A54" s="425"/>
      <c r="B54" s="450"/>
      <c r="C54" s="452"/>
      <c r="D54" s="450"/>
      <c r="E54" s="452"/>
      <c r="F54" s="450"/>
      <c r="G54" s="452"/>
      <c r="H54" s="450"/>
      <c r="I54" s="452"/>
      <c r="J54" s="450"/>
      <c r="K54" s="452"/>
      <c r="L54" s="450"/>
      <c r="M54" s="452"/>
      <c r="N54" s="450"/>
      <c r="O54" s="452"/>
      <c r="P54" s="450"/>
      <c r="Q54" s="452"/>
      <c r="R54" s="450"/>
      <c r="S54" s="452"/>
      <c r="T54" s="450"/>
      <c r="U54" s="452"/>
      <c r="V54" s="450"/>
      <c r="W54" s="452"/>
      <c r="X54" s="450"/>
      <c r="Y54" s="452"/>
      <c r="Z54" s="450"/>
      <c r="AA54" s="452"/>
      <c r="AB54" s="450"/>
      <c r="AC54" s="452"/>
      <c r="AD54" s="450"/>
      <c r="AE54" s="452"/>
      <c r="AF54" s="450"/>
      <c r="AG54" s="452"/>
      <c r="AH54" s="450"/>
      <c r="AI54" s="452"/>
    </row>
    <row r="55" spans="1:35" s="451" customFormat="1" ht="11.1" customHeight="1" x14ac:dyDescent="0.2">
      <c r="A55" s="428" t="s">
        <v>702</v>
      </c>
      <c r="B55" s="450"/>
      <c r="C55" s="450">
        <f>SUM(C37:C53)</f>
        <v>180</v>
      </c>
      <c r="D55" s="450"/>
      <c r="E55" s="450">
        <f>SUM(E37:E53)</f>
        <v>0</v>
      </c>
      <c r="F55" s="450"/>
      <c r="G55" s="450">
        <f>SUM(G37:G53)</f>
        <v>0</v>
      </c>
      <c r="H55" s="450"/>
      <c r="I55" s="450">
        <f>SUM(I37:I53)</f>
        <v>23838</v>
      </c>
      <c r="J55" s="450"/>
      <c r="K55" s="450">
        <f>SUM(K37:K53)</f>
        <v>4794</v>
      </c>
      <c r="L55" s="450"/>
      <c r="M55" s="450">
        <f>SUM(M37:M53)</f>
        <v>1800</v>
      </c>
      <c r="N55" s="450"/>
      <c r="O55" s="450">
        <f>SUM(O37:O53)</f>
        <v>0</v>
      </c>
      <c r="P55" s="450"/>
      <c r="Q55" s="450">
        <f>SUM(Q37:Q53)</f>
        <v>8355</v>
      </c>
      <c r="R55" s="450"/>
      <c r="S55" s="450">
        <f>SUM(S37:S53)</f>
        <v>8414</v>
      </c>
      <c r="T55" s="450"/>
      <c r="U55" s="450">
        <f>SUM(U37:U53)</f>
        <v>95</v>
      </c>
      <c r="V55" s="450"/>
      <c r="W55" s="450">
        <f>SUM(W37:W53)</f>
        <v>0</v>
      </c>
      <c r="X55" s="450"/>
      <c r="Y55" s="450">
        <f>SUM(Y37:Y53)</f>
        <v>1080</v>
      </c>
      <c r="Z55" s="450"/>
      <c r="AA55" s="450">
        <f>SUM(AA37:AA53)</f>
        <v>0</v>
      </c>
      <c r="AB55" s="450"/>
      <c r="AC55" s="450">
        <f>SUM(AC37:AC53)</f>
        <v>1056</v>
      </c>
      <c r="AD55" s="450"/>
      <c r="AE55" s="450">
        <f>SUM(AE37:AE53)</f>
        <v>0</v>
      </c>
      <c r="AF55" s="450"/>
      <c r="AG55" s="450">
        <f>SUM(AG37:AG53)</f>
        <v>1032</v>
      </c>
      <c r="AH55" s="450"/>
      <c r="AI55" s="450">
        <f>SUM(AI37:AI53)</f>
        <v>50644</v>
      </c>
    </row>
    <row r="56" spans="1:35" s="451" customFormat="1" ht="5.0999999999999996" customHeight="1" x14ac:dyDescent="0.2">
      <c r="A56" s="428"/>
      <c r="B56" s="450"/>
      <c r="C56" s="452"/>
      <c r="D56" s="450"/>
      <c r="E56" s="452"/>
      <c r="F56" s="450"/>
      <c r="G56" s="452"/>
      <c r="H56" s="450"/>
      <c r="I56" s="452"/>
      <c r="J56" s="450"/>
      <c r="K56" s="452"/>
      <c r="L56" s="450"/>
      <c r="M56" s="452"/>
      <c r="N56" s="450"/>
      <c r="O56" s="452"/>
      <c r="P56" s="450"/>
      <c r="Q56" s="452"/>
      <c r="R56" s="450"/>
      <c r="S56" s="452"/>
      <c r="T56" s="450"/>
      <c r="U56" s="452"/>
      <c r="V56" s="450"/>
      <c r="W56" s="452"/>
      <c r="X56" s="450"/>
      <c r="Y56" s="452"/>
      <c r="Z56" s="450"/>
      <c r="AA56" s="452"/>
      <c r="AB56" s="450"/>
      <c r="AC56" s="452"/>
      <c r="AD56" s="450"/>
      <c r="AE56" s="452"/>
      <c r="AF56" s="450"/>
      <c r="AG56" s="452"/>
      <c r="AH56" s="450"/>
      <c r="AI56" s="452"/>
    </row>
    <row r="57" spans="1:35" s="253" customFormat="1" ht="9.9499999999999993" hidden="1" customHeight="1" x14ac:dyDescent="0.2">
      <c r="A57" s="428"/>
      <c r="B57" s="254"/>
      <c r="C57" s="254"/>
      <c r="D57" s="254"/>
      <c r="E57" s="254"/>
      <c r="F57" s="254"/>
      <c r="G57" s="254"/>
      <c r="H57" s="254"/>
      <c r="I57" s="254"/>
      <c r="J57" s="509"/>
      <c r="K57" s="254"/>
      <c r="L57" s="254"/>
      <c r="M57" s="254"/>
      <c r="N57" s="254"/>
      <c r="O57" s="254"/>
    </row>
    <row r="58" spans="1:35" s="253" customFormat="1" ht="9.9499999999999993" customHeight="1" x14ac:dyDescent="0.2">
      <c r="A58" s="707" t="s">
        <v>1206</v>
      </c>
      <c r="B58" s="254"/>
      <c r="C58" s="345"/>
      <c r="D58" s="254"/>
      <c r="E58" s="254"/>
      <c r="F58" s="254"/>
      <c r="G58" s="254"/>
      <c r="H58" s="254"/>
      <c r="I58" s="345">
        <f>BSGFws!N47</f>
        <v>29752</v>
      </c>
      <c r="J58" s="254"/>
      <c r="K58" s="450">
        <f>BSGFws!O47</f>
        <v>44277</v>
      </c>
      <c r="L58" s="254"/>
      <c r="M58" s="254">
        <f>BSGFws!P47</f>
        <v>1009</v>
      </c>
      <c r="N58" s="254"/>
      <c r="O58" s="254"/>
      <c r="P58" s="254"/>
      <c r="Q58" s="254"/>
      <c r="R58" s="254"/>
      <c r="S58" s="254"/>
      <c r="T58" s="254"/>
      <c r="U58" s="254"/>
      <c r="V58" s="254"/>
      <c r="W58" s="254">
        <f>BSGFws!V47</f>
        <v>502</v>
      </c>
      <c r="X58" s="254"/>
      <c r="Y58" s="254"/>
      <c r="Z58" s="254"/>
      <c r="AA58" s="254"/>
      <c r="AB58" s="254"/>
      <c r="AC58" s="273">
        <f>BSGFws!X47</f>
        <v>0</v>
      </c>
      <c r="AD58" s="254"/>
      <c r="AE58" s="254"/>
      <c r="AF58" s="254"/>
      <c r="AG58" s="254"/>
      <c r="AH58" s="254"/>
      <c r="AI58" s="450">
        <f>SUM(C58:AG58)</f>
        <v>75540</v>
      </c>
    </row>
    <row r="59" spans="1:35" s="253" customFormat="1" ht="5.0999999999999996" customHeight="1" x14ac:dyDescent="0.2">
      <c r="A59" s="428"/>
      <c r="B59" s="254"/>
      <c r="C59" s="254"/>
      <c r="D59" s="254"/>
      <c r="E59" s="254"/>
      <c r="F59" s="254"/>
      <c r="G59" s="254"/>
      <c r="H59" s="254"/>
      <c r="I59" s="254"/>
      <c r="J59" s="254"/>
      <c r="K59" s="366"/>
      <c r="L59" s="254"/>
      <c r="M59" s="366"/>
      <c r="N59" s="254"/>
      <c r="O59" s="366"/>
      <c r="P59" s="254"/>
      <c r="Q59" s="366"/>
      <c r="R59" s="254"/>
      <c r="S59" s="366"/>
      <c r="T59" s="254"/>
      <c r="U59" s="366"/>
      <c r="V59" s="254"/>
      <c r="W59" s="366"/>
      <c r="X59" s="254"/>
      <c r="Y59" s="366"/>
      <c r="Z59" s="254"/>
      <c r="AA59" s="366"/>
      <c r="AB59" s="254"/>
      <c r="AC59" s="366"/>
      <c r="AD59" s="254"/>
      <c r="AE59" s="366"/>
      <c r="AF59" s="254"/>
      <c r="AG59" s="366"/>
      <c r="AH59" s="254"/>
      <c r="AI59" s="366"/>
    </row>
    <row r="60" spans="1:35" s="253" customFormat="1" ht="9.9499999999999993" hidden="1" customHeight="1" x14ac:dyDescent="0.2">
      <c r="A60" s="428"/>
      <c r="B60" s="254"/>
      <c r="C60" s="254"/>
      <c r="D60" s="254"/>
      <c r="E60" s="254"/>
      <c r="F60" s="254"/>
      <c r="G60" s="254"/>
      <c r="H60" s="254"/>
      <c r="I60" s="254"/>
      <c r="J60" s="509"/>
      <c r="K60" s="254"/>
      <c r="L60" s="254"/>
      <c r="M60" s="254"/>
      <c r="N60" s="254"/>
      <c r="O60" s="254"/>
    </row>
    <row r="61" spans="1:35" s="451" customFormat="1" ht="9.9499999999999993" customHeight="1" x14ac:dyDescent="0.2">
      <c r="A61" s="428" t="s">
        <v>1480</v>
      </c>
      <c r="B61" s="450"/>
      <c r="C61" s="450"/>
      <c r="D61" s="450"/>
      <c r="E61" s="450"/>
      <c r="F61" s="450"/>
      <c r="G61" s="450"/>
      <c r="H61" s="450"/>
      <c r="I61" s="450"/>
      <c r="J61" s="450"/>
      <c r="K61" s="450"/>
      <c r="L61" s="450"/>
      <c r="M61" s="450"/>
      <c r="N61" s="450"/>
      <c r="O61" s="450"/>
      <c r="P61" s="450"/>
      <c r="Q61" s="450"/>
      <c r="R61" s="450"/>
      <c r="S61" s="450"/>
      <c r="T61" s="450"/>
      <c r="U61" s="450"/>
      <c r="V61" s="450"/>
      <c r="W61" s="450"/>
      <c r="X61" s="450"/>
      <c r="Y61" s="450"/>
      <c r="Z61" s="450"/>
      <c r="AA61" s="450"/>
      <c r="AB61" s="450"/>
      <c r="AC61" s="450"/>
      <c r="AD61" s="450"/>
      <c r="AE61" s="450"/>
      <c r="AF61" s="450"/>
      <c r="AG61" s="450"/>
      <c r="AH61" s="450"/>
      <c r="AI61" s="450"/>
    </row>
    <row r="62" spans="1:35" s="451" customFormat="1" ht="9.9499999999999993" customHeight="1" x14ac:dyDescent="0.2">
      <c r="A62" s="776" t="s">
        <v>392</v>
      </c>
      <c r="B62" s="450"/>
      <c r="C62" s="450">
        <f>+BSGFws!K50</f>
        <v>0</v>
      </c>
      <c r="D62" s="450"/>
      <c r="E62" s="450"/>
      <c r="F62" s="450"/>
      <c r="G62" s="450"/>
      <c r="H62" s="450"/>
      <c r="I62" s="450">
        <f>+BSGFws!N50</f>
        <v>38</v>
      </c>
      <c r="J62" s="450"/>
      <c r="K62" s="450">
        <f>+BSGFws!O50</f>
        <v>2926</v>
      </c>
      <c r="L62" s="450"/>
      <c r="M62" s="450">
        <f>+BSGFws!P50</f>
        <v>0</v>
      </c>
      <c r="N62" s="450"/>
      <c r="O62" s="450">
        <f>+BSGFws!Q50</f>
        <v>0</v>
      </c>
      <c r="P62" s="450"/>
      <c r="Q62" s="450">
        <f>BSGFws!R50</f>
        <v>0</v>
      </c>
      <c r="R62" s="450"/>
      <c r="S62" s="450">
        <f>BSGFws!S50</f>
        <v>0</v>
      </c>
      <c r="T62" s="450"/>
      <c r="U62" s="450">
        <f>+BSGFws!U50</f>
        <v>0</v>
      </c>
      <c r="V62" s="450"/>
      <c r="W62" s="450">
        <f>+BSGFws!V50</f>
        <v>0</v>
      </c>
      <c r="X62" s="450"/>
      <c r="Y62" s="450">
        <f>+BSGFws!W50</f>
        <v>41</v>
      </c>
      <c r="Z62" s="450"/>
      <c r="AA62" s="450">
        <f>+BSGFws!S50</f>
        <v>0</v>
      </c>
      <c r="AB62" s="450"/>
      <c r="AC62" s="450">
        <f>+BSGFws!X50</f>
        <v>0</v>
      </c>
      <c r="AD62" s="450"/>
      <c r="AE62" s="450"/>
      <c r="AF62" s="450"/>
      <c r="AG62" s="450">
        <f>+BSGFws!T50</f>
        <v>0</v>
      </c>
      <c r="AH62" s="450"/>
      <c r="AI62" s="450">
        <f>SUM(C62:AG62)</f>
        <v>3005</v>
      </c>
    </row>
    <row r="63" spans="1:35" s="451" customFormat="1" ht="9.9499999999999993" customHeight="1" x14ac:dyDescent="0.2">
      <c r="A63" s="776" t="s">
        <v>789</v>
      </c>
      <c r="B63" s="450"/>
      <c r="C63" s="450">
        <f>+BSGFws!K51</f>
        <v>16658</v>
      </c>
      <c r="D63" s="450"/>
      <c r="E63" s="450"/>
      <c r="F63" s="450"/>
      <c r="G63" s="450"/>
      <c r="H63" s="450"/>
      <c r="I63" s="450">
        <f>+BSGFws!N51</f>
        <v>1825</v>
      </c>
      <c r="J63" s="450"/>
      <c r="K63" s="450">
        <f>+BSGFws!O51</f>
        <v>65595</v>
      </c>
      <c r="L63" s="450"/>
      <c r="M63" s="450">
        <f>+BSGFws!P51</f>
        <v>1265</v>
      </c>
      <c r="N63" s="450"/>
      <c r="O63" s="450">
        <f>+BSGFws!Q51</f>
        <v>21381</v>
      </c>
      <c r="P63" s="450"/>
      <c r="Q63" s="450">
        <f>BSGFws!R51</f>
        <v>0</v>
      </c>
      <c r="R63" s="450"/>
      <c r="S63" s="450">
        <f>BSGFws!S51</f>
        <v>0</v>
      </c>
      <c r="T63" s="450"/>
      <c r="U63" s="450">
        <f>+BSGFws!U51</f>
        <v>3945</v>
      </c>
      <c r="V63" s="450"/>
      <c r="W63" s="450">
        <f>+BSGFws!V51</f>
        <v>0</v>
      </c>
      <c r="X63" s="450"/>
      <c r="Y63" s="450">
        <f>+BSGFws!W51</f>
        <v>48294</v>
      </c>
      <c r="Z63" s="450"/>
      <c r="AA63" s="450">
        <f>+BSGFws!S51</f>
        <v>0</v>
      </c>
      <c r="AB63" s="450"/>
      <c r="AC63" s="450">
        <f>+BSGFws!X51</f>
        <v>58588</v>
      </c>
      <c r="AD63" s="450"/>
      <c r="AE63" s="450"/>
      <c r="AF63" s="450"/>
      <c r="AG63" s="450">
        <f>+BSGFws!T51</f>
        <v>0</v>
      </c>
      <c r="AH63" s="450"/>
      <c r="AI63" s="450">
        <f>SUM(C63:AG63)</f>
        <v>217551</v>
      </c>
    </row>
    <row r="64" spans="1:35" s="451" customFormat="1" ht="9.9499999999999993" customHeight="1" x14ac:dyDescent="0.2">
      <c r="A64" s="776" t="s">
        <v>393</v>
      </c>
      <c r="B64" s="450"/>
      <c r="C64" s="450">
        <f>+BSGFws!K52</f>
        <v>0</v>
      </c>
      <c r="D64" s="450"/>
      <c r="E64" s="450"/>
      <c r="F64" s="450"/>
      <c r="G64" s="450"/>
      <c r="H64" s="450"/>
      <c r="I64" s="450">
        <f>+BSGFws!N52</f>
        <v>154963</v>
      </c>
      <c r="J64" s="450"/>
      <c r="K64" s="450">
        <f>+BSGFws!O52</f>
        <v>43498</v>
      </c>
      <c r="L64" s="450"/>
      <c r="M64" s="450">
        <f>+BSGFws!P52</f>
        <v>0</v>
      </c>
      <c r="N64" s="450"/>
      <c r="O64" s="450">
        <f>+BSGFws!Q52</f>
        <v>0</v>
      </c>
      <c r="P64" s="450"/>
      <c r="Q64" s="450">
        <f>BSGFws!R52</f>
        <v>0</v>
      </c>
      <c r="R64" s="450"/>
      <c r="S64" s="450">
        <f>BSGFws!S52</f>
        <v>0</v>
      </c>
      <c r="T64" s="450"/>
      <c r="U64" s="450">
        <f>+BSGFws!U52</f>
        <v>0</v>
      </c>
      <c r="V64" s="450"/>
      <c r="W64" s="450">
        <f>+BSGFws!V52</f>
        <v>11774</v>
      </c>
      <c r="X64" s="450"/>
      <c r="Y64" s="450">
        <f>+BSGFws!W52</f>
        <v>0</v>
      </c>
      <c r="Z64" s="450"/>
      <c r="AA64" s="450">
        <f>+BSGFws!S52</f>
        <v>0</v>
      </c>
      <c r="AB64" s="450"/>
      <c r="AC64" s="450">
        <f>+BSGFws!X52</f>
        <v>0</v>
      </c>
      <c r="AD64" s="450"/>
      <c r="AE64" s="450"/>
      <c r="AF64" s="450"/>
      <c r="AG64" s="450">
        <f>+BSGFws!T52</f>
        <v>0</v>
      </c>
      <c r="AH64" s="450"/>
      <c r="AI64" s="450">
        <f>SUM(C64:AG64)</f>
        <v>210235</v>
      </c>
    </row>
    <row r="65" spans="1:35" s="451" customFormat="1" ht="9.9499999999999993" hidden="1" customHeight="1" x14ac:dyDescent="0.2">
      <c r="A65" s="776" t="s">
        <v>394</v>
      </c>
      <c r="B65" s="450"/>
      <c r="C65" s="450">
        <f>+BSGFws!K53</f>
        <v>0</v>
      </c>
      <c r="D65" s="450"/>
      <c r="E65" s="450"/>
      <c r="F65" s="450"/>
      <c r="G65" s="450"/>
      <c r="H65" s="450"/>
      <c r="I65" s="450">
        <f>+BSGFws!N53</f>
        <v>0</v>
      </c>
      <c r="J65" s="450"/>
      <c r="K65" s="450">
        <f>+BSGFws!O53</f>
        <v>0</v>
      </c>
      <c r="L65" s="450"/>
      <c r="M65" s="450">
        <f>+BSGFws!P53</f>
        <v>0</v>
      </c>
      <c r="N65" s="450"/>
      <c r="O65" s="450">
        <f>+BSGFws!Q53</f>
        <v>0</v>
      </c>
      <c r="P65" s="450"/>
      <c r="Q65" s="450">
        <f>BSGFws!R53</f>
        <v>0</v>
      </c>
      <c r="R65" s="450"/>
      <c r="S65" s="450">
        <f>BSGFws!S53</f>
        <v>0</v>
      </c>
      <c r="T65" s="450"/>
      <c r="U65" s="450">
        <f>+BSGFws!U53</f>
        <v>0</v>
      </c>
      <c r="V65" s="450"/>
      <c r="W65" s="450">
        <f>+BSGFws!V53</f>
        <v>0</v>
      </c>
      <c r="X65" s="450"/>
      <c r="Y65" s="450">
        <f>+BSGFws!W53</f>
        <v>0</v>
      </c>
      <c r="Z65" s="450"/>
      <c r="AA65" s="450">
        <f>+BSGFws!S53</f>
        <v>0</v>
      </c>
      <c r="AB65" s="450"/>
      <c r="AC65" s="450">
        <f>+BSGFws!X53</f>
        <v>0</v>
      </c>
      <c r="AD65" s="450"/>
      <c r="AE65" s="450"/>
      <c r="AF65" s="450"/>
      <c r="AG65" s="450">
        <f>+BSGFws!T53</f>
        <v>0</v>
      </c>
      <c r="AH65" s="450"/>
      <c r="AI65" s="450">
        <f>SUM(C65:AG65)</f>
        <v>0</v>
      </c>
    </row>
    <row r="66" spans="1:35" s="451" customFormat="1" ht="9.9499999999999993" customHeight="1" x14ac:dyDescent="0.2">
      <c r="A66" s="220" t="s">
        <v>395</v>
      </c>
      <c r="B66" s="450"/>
      <c r="C66" s="450">
        <f>+BSGFws!K54</f>
        <v>0</v>
      </c>
      <c r="D66" s="450"/>
      <c r="E66" s="450"/>
      <c r="F66" s="450"/>
      <c r="G66" s="450"/>
      <c r="H66" s="450"/>
      <c r="I66" s="450">
        <f>+BSGFws!N54</f>
        <v>0</v>
      </c>
      <c r="J66" s="450"/>
      <c r="K66" s="450">
        <f>+BSGFws!O54</f>
        <v>-1577</v>
      </c>
      <c r="L66" s="450"/>
      <c r="M66" s="450">
        <f>+BSGFws!P54</f>
        <v>0</v>
      </c>
      <c r="N66" s="450"/>
      <c r="O66" s="450">
        <f>+BSGFws!Q54</f>
        <v>0</v>
      </c>
      <c r="P66" s="450"/>
      <c r="Q66" s="450">
        <f>BSGFws!R54</f>
        <v>0</v>
      </c>
      <c r="R66" s="450"/>
      <c r="S66" s="450">
        <f>BSGFws!S54</f>
        <v>0</v>
      </c>
      <c r="T66" s="450"/>
      <c r="U66" s="450">
        <f>+BSGFws!U54</f>
        <v>0</v>
      </c>
      <c r="V66" s="450"/>
      <c r="W66" s="450">
        <f>+BSGFws!V54</f>
        <v>0</v>
      </c>
      <c r="X66" s="450"/>
      <c r="Y66" s="450">
        <f>+BSGFws!W54</f>
        <v>0</v>
      </c>
      <c r="Z66" s="450"/>
      <c r="AA66" s="450">
        <f>+BSGFws!S54</f>
        <v>0</v>
      </c>
      <c r="AB66" s="450"/>
      <c r="AC66" s="450">
        <f>+BSGFws!X54</f>
        <v>0</v>
      </c>
      <c r="AD66" s="450"/>
      <c r="AE66" s="450"/>
      <c r="AF66" s="450"/>
      <c r="AG66" s="450">
        <f>+BSGFws!T54</f>
        <v>-103</v>
      </c>
      <c r="AH66" s="450"/>
      <c r="AI66" s="450">
        <f>SUM(C66:AG66)</f>
        <v>-1680</v>
      </c>
    </row>
    <row r="67" spans="1:35" s="451" customFormat="1" ht="5.0999999999999996" customHeight="1" x14ac:dyDescent="0.2">
      <c r="A67" s="425"/>
      <c r="B67" s="450"/>
      <c r="C67" s="452"/>
      <c r="D67" s="450"/>
      <c r="E67" s="452"/>
      <c r="F67" s="450"/>
      <c r="G67" s="452"/>
      <c r="H67" s="450"/>
      <c r="I67" s="452"/>
      <c r="J67" s="450"/>
      <c r="K67" s="452"/>
      <c r="L67" s="450"/>
      <c r="M67" s="452"/>
      <c r="N67" s="450"/>
      <c r="O67" s="452"/>
      <c r="P67" s="450"/>
      <c r="Q67" s="452"/>
      <c r="R67" s="450"/>
      <c r="S67" s="452"/>
      <c r="T67" s="450"/>
      <c r="U67" s="452"/>
      <c r="V67" s="450"/>
      <c r="W67" s="452"/>
      <c r="X67" s="450"/>
      <c r="Y67" s="452"/>
      <c r="Z67" s="450"/>
      <c r="AA67" s="452"/>
      <c r="AB67" s="450"/>
      <c r="AC67" s="452"/>
      <c r="AD67" s="450"/>
      <c r="AE67" s="452"/>
      <c r="AF67" s="450"/>
      <c r="AG67" s="452"/>
      <c r="AH67" s="450"/>
      <c r="AI67" s="452"/>
    </row>
    <row r="68" spans="1:35" s="451" customFormat="1" ht="11.1" customHeight="1" x14ac:dyDescent="0.2">
      <c r="A68" s="428" t="s">
        <v>1479</v>
      </c>
      <c r="B68" s="450"/>
      <c r="C68" s="455">
        <f>SUM(C62:C66)</f>
        <v>16658</v>
      </c>
      <c r="D68" s="450"/>
      <c r="E68" s="455">
        <f>SUM(E63:E66)</f>
        <v>0</v>
      </c>
      <c r="F68" s="450"/>
      <c r="G68" s="455">
        <f>SUM(G63:G66)</f>
        <v>0</v>
      </c>
      <c r="H68" s="450"/>
      <c r="I68" s="455">
        <f>SUM(I62:I66)</f>
        <v>156826</v>
      </c>
      <c r="J68" s="450"/>
      <c r="K68" s="455">
        <f>SUM(K62:K66)</f>
        <v>110442</v>
      </c>
      <c r="L68" s="450"/>
      <c r="M68" s="455">
        <f>SUM(M62:M66)</f>
        <v>1265</v>
      </c>
      <c r="N68" s="450"/>
      <c r="O68" s="455">
        <f>SUM(O62:O66)</f>
        <v>21381</v>
      </c>
      <c r="P68" s="450"/>
      <c r="Q68" s="455">
        <f>SUM(Q62:Q66)</f>
        <v>0</v>
      </c>
      <c r="R68" s="450"/>
      <c r="S68" s="455">
        <f>SUM(S62:S66)</f>
        <v>0</v>
      </c>
      <c r="T68" s="450"/>
      <c r="U68" s="455">
        <f>SUM(U62:U66)</f>
        <v>3945</v>
      </c>
      <c r="V68" s="450"/>
      <c r="W68" s="455">
        <f>SUM(W62:W66)</f>
        <v>11774</v>
      </c>
      <c r="X68" s="450"/>
      <c r="Y68" s="455">
        <f>SUM(Y62:Y66)</f>
        <v>48335</v>
      </c>
      <c r="Z68" s="450"/>
      <c r="AA68" s="455">
        <f>SUM(AA63:AA66)</f>
        <v>0</v>
      </c>
      <c r="AB68" s="450"/>
      <c r="AC68" s="455">
        <f>SUM(AC62:AC66)</f>
        <v>58588</v>
      </c>
      <c r="AD68" s="450"/>
      <c r="AE68" s="455">
        <f>SUM(AE63:AE66)</f>
        <v>0</v>
      </c>
      <c r="AF68" s="450"/>
      <c r="AG68" s="455">
        <f>SUM(AG62:AG66)</f>
        <v>-103</v>
      </c>
      <c r="AH68" s="450"/>
      <c r="AI68" s="455">
        <f>SUM(AI62:AI66)</f>
        <v>429111</v>
      </c>
    </row>
    <row r="69" spans="1:35" s="451" customFormat="1" ht="5.0999999999999996" customHeight="1" x14ac:dyDescent="0.2">
      <c r="A69" s="418"/>
      <c r="B69" s="450"/>
      <c r="C69" s="450"/>
      <c r="D69" s="450"/>
      <c r="E69" s="450"/>
      <c r="F69" s="450"/>
      <c r="G69" s="450"/>
      <c r="H69" s="450"/>
      <c r="I69" s="450"/>
      <c r="J69" s="450"/>
      <c r="K69" s="450"/>
      <c r="L69" s="450"/>
      <c r="M69" s="450"/>
      <c r="N69" s="450"/>
      <c r="O69" s="450"/>
      <c r="P69" s="450"/>
      <c r="Q69" s="450"/>
      <c r="R69" s="450"/>
      <c r="S69" s="450"/>
      <c r="T69" s="450"/>
      <c r="U69" s="450"/>
      <c r="V69" s="450"/>
      <c r="W69" s="450"/>
      <c r="X69" s="450"/>
      <c r="Y69" s="450"/>
      <c r="Z69" s="450"/>
      <c r="AA69" s="450"/>
      <c r="AB69" s="450"/>
      <c r="AC69" s="450"/>
      <c r="AD69" s="450"/>
      <c r="AE69" s="450"/>
      <c r="AF69" s="450"/>
      <c r="AG69" s="450"/>
      <c r="AH69" s="450"/>
      <c r="AI69" s="450"/>
    </row>
    <row r="70" spans="1:35" s="449" customFormat="1" ht="24.75" thickBot="1" x14ac:dyDescent="0.25">
      <c r="A70" s="1365" t="s">
        <v>1753</v>
      </c>
      <c r="C70" s="1366">
        <f>C55+C68+C58</f>
        <v>16838</v>
      </c>
      <c r="E70" s="1366">
        <f>E55+E68+E58</f>
        <v>0</v>
      </c>
      <c r="G70" s="1366">
        <f>G55+G68+G58</f>
        <v>0</v>
      </c>
      <c r="I70" s="1366">
        <f>I55+I68+I58</f>
        <v>210416</v>
      </c>
      <c r="K70" s="1366">
        <f>K55+K68+K58</f>
        <v>159513</v>
      </c>
      <c r="M70" s="1366">
        <f>M55+M68+M58</f>
        <v>4074</v>
      </c>
      <c r="O70" s="1366">
        <f>O55+O68+O58</f>
        <v>21381</v>
      </c>
      <c r="Q70" s="1366">
        <f>Q55+Q68+Q58</f>
        <v>8355</v>
      </c>
      <c r="S70" s="1366">
        <f>S55+S68+S58</f>
        <v>8414</v>
      </c>
      <c r="U70" s="1366">
        <f>U55+U68+U58</f>
        <v>4040</v>
      </c>
      <c r="W70" s="1366">
        <f>W55+W68+W58</f>
        <v>12276</v>
      </c>
      <c r="Y70" s="1366">
        <f>Y55+Y68+Y58</f>
        <v>49415</v>
      </c>
      <c r="AA70" s="1366">
        <f>AA55+AA68+AA58</f>
        <v>0</v>
      </c>
      <c r="AC70" s="1366">
        <f>AC55+AC68+AC58</f>
        <v>59644</v>
      </c>
      <c r="AE70" s="1366">
        <f>AE55+AE68+AE58</f>
        <v>0</v>
      </c>
      <c r="AG70" s="1366">
        <f>AG55+AG68+AG58</f>
        <v>929</v>
      </c>
      <c r="AI70" s="1366">
        <f>AI55+AI68+AI58</f>
        <v>555295</v>
      </c>
    </row>
    <row r="71" spans="1:35" s="449" customFormat="1" ht="5.0999999999999996" customHeight="1" thickTop="1" x14ac:dyDescent="0.2">
      <c r="A71" s="417"/>
      <c r="B71" s="448"/>
      <c r="C71" s="461"/>
      <c r="D71" s="448"/>
      <c r="E71" s="461"/>
      <c r="F71" s="448"/>
      <c r="G71" s="461"/>
      <c r="H71" s="448"/>
      <c r="I71" s="461"/>
      <c r="J71" s="448"/>
      <c r="K71" s="461"/>
      <c r="L71" s="448"/>
      <c r="M71" s="461"/>
      <c r="N71" s="448"/>
      <c r="O71" s="461"/>
      <c r="P71" s="448"/>
      <c r="Q71" s="461"/>
      <c r="R71" s="448"/>
      <c r="S71" s="461"/>
      <c r="T71" s="448"/>
      <c r="U71" s="461"/>
      <c r="V71" s="448"/>
      <c r="W71" s="461"/>
      <c r="X71" s="448"/>
      <c r="Y71" s="461"/>
      <c r="Z71" s="448"/>
      <c r="AA71" s="461"/>
      <c r="AB71" s="448"/>
      <c r="AC71" s="461"/>
      <c r="AD71" s="448"/>
      <c r="AE71" s="461"/>
      <c r="AF71" s="448"/>
      <c r="AG71" s="461"/>
      <c r="AH71" s="448"/>
      <c r="AI71" s="461"/>
    </row>
    <row r="72" spans="1:35" s="439" customFormat="1" ht="9.9499999999999993" customHeight="1" x14ac:dyDescent="0.2">
      <c r="A72" s="41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c r="AI72" s="438"/>
    </row>
    <row r="73" spans="1:35" s="442" customFormat="1" ht="9.9499999999999993" customHeight="1" x14ac:dyDescent="0.2">
      <c r="A73" s="440"/>
      <c r="B73" s="440"/>
      <c r="C73" s="440">
        <f>C33-C70</f>
        <v>0</v>
      </c>
      <c r="D73" s="440"/>
      <c r="E73" s="440">
        <f>E33-E70</f>
        <v>0</v>
      </c>
      <c r="F73" s="440"/>
      <c r="G73" s="440">
        <f>G33-G70</f>
        <v>0</v>
      </c>
      <c r="H73" s="440"/>
      <c r="I73" s="440">
        <f>I33-I70</f>
        <v>0</v>
      </c>
      <c r="J73" s="440"/>
      <c r="K73" s="440">
        <f>K33-K70</f>
        <v>0</v>
      </c>
      <c r="L73" s="440"/>
      <c r="M73" s="440">
        <f>M33-M70</f>
        <v>0</v>
      </c>
      <c r="N73" s="440"/>
      <c r="O73" s="440">
        <f>O33-O70</f>
        <v>0</v>
      </c>
      <c r="P73" s="440"/>
      <c r="Q73" s="440">
        <f>Q33-Q70</f>
        <v>0</v>
      </c>
      <c r="R73" s="440"/>
      <c r="S73" s="440">
        <f>S33-S70</f>
        <v>0</v>
      </c>
      <c r="T73" s="440"/>
      <c r="U73" s="440">
        <f>U33-U70</f>
        <v>0</v>
      </c>
      <c r="V73" s="440"/>
      <c r="W73" s="440">
        <f>W33-W70</f>
        <v>0</v>
      </c>
      <c r="X73" s="440"/>
      <c r="Y73" s="440">
        <f>Y33-Y70</f>
        <v>0</v>
      </c>
      <c r="Z73" s="440"/>
      <c r="AA73" s="440">
        <f>AA33-AA70</f>
        <v>0</v>
      </c>
      <c r="AB73" s="440"/>
      <c r="AC73" s="440">
        <f>AC33-AC70</f>
        <v>0</v>
      </c>
      <c r="AD73" s="440"/>
      <c r="AE73" s="440">
        <f>AE33-AE70</f>
        <v>0</v>
      </c>
      <c r="AF73" s="440"/>
      <c r="AG73" s="440">
        <f>AG33-AG70</f>
        <v>0</v>
      </c>
      <c r="AH73" s="440"/>
      <c r="AI73" s="440">
        <f>AI33-AI70</f>
        <v>0</v>
      </c>
    </row>
    <row r="74" spans="1:35" s="439" customFormat="1" ht="12" x14ac:dyDescent="0.2">
      <c r="A74" s="418"/>
      <c r="B74" s="528"/>
      <c r="C74" s="438"/>
      <c r="D74" s="528"/>
      <c r="E74" s="438"/>
      <c r="F74" s="528"/>
      <c r="G74" s="438"/>
      <c r="H74" s="528"/>
      <c r="I74" s="438"/>
      <c r="J74" s="528"/>
      <c r="K74" s="438"/>
      <c r="L74" s="528"/>
      <c r="M74" s="438"/>
      <c r="N74" s="528"/>
      <c r="O74" s="438"/>
      <c r="P74" s="528"/>
      <c r="Q74" s="438"/>
      <c r="R74" s="528"/>
      <c r="S74" s="438"/>
      <c r="T74" s="528"/>
      <c r="U74" s="438"/>
      <c r="V74" s="528"/>
      <c r="W74" s="438"/>
      <c r="X74" s="528"/>
      <c r="Y74" s="438"/>
      <c r="Z74" s="528"/>
      <c r="AA74" s="438"/>
      <c r="AB74" s="528"/>
      <c r="AC74" s="438"/>
      <c r="AD74" s="528"/>
      <c r="AE74" s="438"/>
      <c r="AF74" s="528"/>
      <c r="AG74" s="438"/>
      <c r="AH74" s="438"/>
      <c r="AI74" s="438"/>
    </row>
    <row r="75" spans="1:35" s="439" customFormat="1" ht="12" x14ac:dyDescent="0.2">
      <c r="A75" s="418"/>
      <c r="B75" s="1239" t="s">
        <v>392</v>
      </c>
      <c r="C75" s="440">
        <f>+C16+C18+C26+C28-C62</f>
        <v>0</v>
      </c>
      <c r="D75" s="528"/>
      <c r="E75" s="438"/>
      <c r="F75" s="528"/>
      <c r="G75" s="438"/>
      <c r="H75" s="528"/>
      <c r="I75" s="440">
        <f>+I16+I18+I26+I28-I62</f>
        <v>0</v>
      </c>
      <c r="J75" s="528"/>
      <c r="K75" s="440">
        <f>+K16+K18+K26+K28-K62+K27</f>
        <v>0</v>
      </c>
      <c r="L75" s="528"/>
      <c r="M75" s="440">
        <f>+M16+M18+M26+M28-M62</f>
        <v>0</v>
      </c>
      <c r="N75" s="528"/>
      <c r="O75" s="440">
        <f>+O16+O18+O26+O28-O62</f>
        <v>0</v>
      </c>
      <c r="P75" s="528"/>
      <c r="Q75" s="440">
        <f>+Q16+Q18+Q26+Q28-Q62</f>
        <v>0</v>
      </c>
      <c r="R75" s="528"/>
      <c r="S75" s="440">
        <f>+S16+S18+S26+S28-S62</f>
        <v>0</v>
      </c>
      <c r="T75" s="528"/>
      <c r="U75" s="440">
        <f>+U16+U18+U26+U28-U62</f>
        <v>0</v>
      </c>
      <c r="V75" s="528"/>
      <c r="W75" s="440">
        <f>+W16+W18+W26+W28-W62</f>
        <v>0</v>
      </c>
      <c r="X75" s="528"/>
      <c r="Y75" s="440">
        <f>+Y16+Y18+Y26+Y28-Y62</f>
        <v>0</v>
      </c>
      <c r="Z75" s="528"/>
      <c r="AA75" s="438"/>
      <c r="AB75" s="528"/>
      <c r="AC75" s="440">
        <f>+AC16+AC18+AC26+AC28-AC62</f>
        <v>0</v>
      </c>
      <c r="AD75" s="528"/>
      <c r="AE75" s="438"/>
      <c r="AF75" s="528"/>
      <c r="AG75" s="440">
        <f>+AG16+AG18+AG26+AG28-AG62</f>
        <v>0</v>
      </c>
      <c r="AH75" s="438"/>
      <c r="AI75" s="440">
        <f>+AI16+AI18+AI26+AI28-AI62+AI27</f>
        <v>0</v>
      </c>
    </row>
    <row r="76" spans="1:35" s="439" customFormat="1" ht="12" x14ac:dyDescent="0.2">
      <c r="A76" s="418"/>
      <c r="B76" s="528"/>
      <c r="C76" s="438"/>
      <c r="D76" s="528"/>
      <c r="E76" s="438"/>
      <c r="F76" s="528"/>
      <c r="G76" s="438"/>
      <c r="H76" s="528"/>
      <c r="I76" s="438"/>
      <c r="J76" s="528"/>
      <c r="K76" s="438"/>
      <c r="L76" s="528"/>
      <c r="M76" s="438"/>
      <c r="N76" s="528"/>
      <c r="O76" s="438"/>
      <c r="P76" s="528"/>
      <c r="Q76" s="438"/>
      <c r="R76" s="528"/>
      <c r="S76" s="438"/>
      <c r="T76" s="528"/>
      <c r="U76" s="438"/>
      <c r="V76" s="528"/>
      <c r="W76" s="438"/>
      <c r="X76" s="528"/>
      <c r="Y76" s="438"/>
      <c r="Z76" s="528"/>
      <c r="AA76" s="438"/>
      <c r="AB76" s="528"/>
      <c r="AC76" s="438"/>
      <c r="AD76" s="528"/>
      <c r="AE76" s="438"/>
      <c r="AF76" s="528"/>
      <c r="AG76" s="438"/>
      <c r="AH76" s="438"/>
      <c r="AI76" s="438"/>
    </row>
    <row r="77" spans="1:35" s="439" customFormat="1" ht="12" x14ac:dyDescent="0.2">
      <c r="A77" s="418"/>
      <c r="B77" s="528"/>
      <c r="C77" s="438"/>
      <c r="D77" s="528"/>
      <c r="E77" s="438"/>
      <c r="F77" s="528"/>
      <c r="G77" s="438"/>
      <c r="H77" s="528"/>
      <c r="I77" s="438"/>
      <c r="J77" s="528"/>
      <c r="K77" s="438"/>
      <c r="L77" s="528"/>
      <c r="M77" s="438"/>
      <c r="N77" s="528"/>
      <c r="O77" s="438"/>
      <c r="P77" s="528"/>
      <c r="Q77" s="438"/>
      <c r="R77" s="528"/>
      <c r="S77" s="438"/>
      <c r="T77" s="528"/>
      <c r="U77" s="438"/>
      <c r="V77" s="528"/>
      <c r="W77" s="438"/>
      <c r="X77" s="528"/>
      <c r="Y77" s="438"/>
      <c r="Z77" s="528"/>
      <c r="AA77" s="438"/>
      <c r="AB77" s="528"/>
      <c r="AC77" s="438"/>
      <c r="AD77" s="528"/>
      <c r="AE77" s="438"/>
      <c r="AF77" s="528"/>
      <c r="AG77" s="438"/>
      <c r="AH77" s="438"/>
      <c r="AI77" s="438"/>
    </row>
    <row r="78" spans="1:35" s="439" customFormat="1" ht="12" x14ac:dyDescent="0.2">
      <c r="A78" s="418"/>
      <c r="B78" s="528"/>
      <c r="C78" s="438"/>
      <c r="D78" s="528"/>
      <c r="E78" s="438"/>
      <c r="F78" s="528"/>
      <c r="G78" s="438"/>
      <c r="H78" s="528"/>
      <c r="I78" s="438"/>
      <c r="J78" s="528"/>
      <c r="K78" s="438"/>
      <c r="L78" s="528"/>
      <c r="M78" s="438"/>
      <c r="N78" s="528"/>
      <c r="O78" s="438"/>
      <c r="P78" s="528"/>
      <c r="Q78" s="438"/>
      <c r="R78" s="528"/>
      <c r="S78" s="438"/>
      <c r="T78" s="528"/>
      <c r="U78" s="438"/>
      <c r="V78" s="528"/>
      <c r="W78" s="438"/>
      <c r="X78" s="528"/>
      <c r="Y78" s="438"/>
      <c r="Z78" s="528"/>
      <c r="AA78" s="438"/>
      <c r="AB78" s="528"/>
      <c r="AC78" s="438"/>
      <c r="AD78" s="528"/>
      <c r="AE78" s="438"/>
      <c r="AF78" s="528"/>
      <c r="AG78" s="438"/>
      <c r="AH78" s="438"/>
      <c r="AI78" s="438"/>
    </row>
    <row r="79" spans="1:35" s="439" customFormat="1" ht="12" x14ac:dyDescent="0.2">
      <c r="A79" s="418"/>
      <c r="B79" s="528"/>
      <c r="C79" s="438"/>
      <c r="D79" s="528"/>
      <c r="E79" s="438"/>
      <c r="F79" s="528"/>
      <c r="G79" s="438"/>
      <c r="H79" s="528"/>
      <c r="I79" s="438"/>
      <c r="J79" s="528"/>
      <c r="K79" s="438"/>
      <c r="L79" s="528"/>
      <c r="M79" s="438"/>
      <c r="N79" s="528"/>
      <c r="O79" s="438"/>
      <c r="P79" s="528"/>
      <c r="Q79" s="438"/>
      <c r="R79" s="528"/>
      <c r="S79" s="438"/>
      <c r="T79" s="528"/>
      <c r="U79" s="438"/>
      <c r="V79" s="528"/>
      <c r="W79" s="438"/>
      <c r="X79" s="528"/>
      <c r="Y79" s="438"/>
      <c r="Z79" s="528"/>
      <c r="AA79" s="438"/>
      <c r="AB79" s="528"/>
      <c r="AC79" s="438"/>
      <c r="AD79" s="528"/>
      <c r="AE79" s="438"/>
      <c r="AF79" s="528"/>
      <c r="AG79" s="438"/>
      <c r="AH79" s="438"/>
      <c r="AI79" s="438"/>
    </row>
    <row r="80" spans="1:35" s="439" customFormat="1" ht="12" x14ac:dyDescent="0.2">
      <c r="A80" s="418"/>
      <c r="B80" s="528"/>
      <c r="C80" s="438"/>
      <c r="D80" s="528"/>
      <c r="E80" s="438"/>
      <c r="F80" s="528"/>
      <c r="G80" s="438"/>
      <c r="H80" s="528"/>
      <c r="I80" s="438"/>
      <c r="J80" s="528"/>
      <c r="K80" s="438"/>
      <c r="L80" s="528"/>
      <c r="M80" s="438"/>
      <c r="N80" s="528"/>
      <c r="O80" s="438"/>
      <c r="P80" s="528"/>
      <c r="Q80" s="438"/>
      <c r="R80" s="528"/>
      <c r="S80" s="438"/>
      <c r="T80" s="528"/>
      <c r="U80" s="438"/>
      <c r="V80" s="528"/>
      <c r="W80" s="438"/>
      <c r="X80" s="528"/>
      <c r="Y80" s="438"/>
      <c r="Z80" s="528"/>
      <c r="AA80" s="438"/>
      <c r="AB80" s="528"/>
      <c r="AC80" s="438"/>
      <c r="AD80" s="528"/>
      <c r="AE80" s="438"/>
      <c r="AF80" s="528"/>
      <c r="AG80" s="438"/>
      <c r="AH80" s="438"/>
      <c r="AI80" s="438"/>
    </row>
    <row r="81" spans="1:35" s="439" customFormat="1" ht="12" x14ac:dyDescent="0.2">
      <c r="A81" s="418"/>
      <c r="B81" s="528"/>
      <c r="C81" s="438"/>
      <c r="D81" s="528"/>
      <c r="E81" s="438"/>
      <c r="F81" s="528"/>
      <c r="G81" s="438"/>
      <c r="H81" s="528"/>
      <c r="I81" s="438"/>
      <c r="J81" s="528"/>
      <c r="K81" s="438"/>
      <c r="L81" s="528"/>
      <c r="M81" s="438"/>
      <c r="N81" s="528"/>
      <c r="O81" s="438"/>
      <c r="P81" s="528"/>
      <c r="Q81" s="438"/>
      <c r="R81" s="528"/>
      <c r="S81" s="438"/>
      <c r="T81" s="528"/>
      <c r="U81" s="438"/>
      <c r="V81" s="528"/>
      <c r="W81" s="438"/>
      <c r="X81" s="528"/>
      <c r="Y81" s="438"/>
      <c r="Z81" s="528"/>
      <c r="AA81" s="438"/>
      <c r="AB81" s="528"/>
      <c r="AC81" s="438"/>
      <c r="AD81" s="528"/>
      <c r="AE81" s="438"/>
      <c r="AF81" s="528"/>
      <c r="AG81" s="438"/>
      <c r="AH81" s="438"/>
      <c r="AI81" s="438"/>
    </row>
    <row r="82" spans="1:35" s="439" customFormat="1" ht="12" x14ac:dyDescent="0.2">
      <c r="A82" s="418"/>
      <c r="B82" s="528"/>
      <c r="C82" s="438"/>
      <c r="D82" s="528"/>
      <c r="E82" s="438"/>
      <c r="F82" s="528"/>
      <c r="G82" s="438"/>
      <c r="H82" s="528"/>
      <c r="I82" s="438"/>
      <c r="J82" s="528"/>
      <c r="K82" s="438"/>
      <c r="L82" s="528"/>
      <c r="M82" s="438"/>
      <c r="N82" s="528"/>
      <c r="O82" s="438"/>
      <c r="P82" s="528"/>
      <c r="Q82" s="438"/>
      <c r="R82" s="528"/>
      <c r="S82" s="438"/>
      <c r="T82" s="528"/>
      <c r="U82" s="438"/>
      <c r="V82" s="528"/>
      <c r="W82" s="438"/>
      <c r="X82" s="528"/>
      <c r="Y82" s="438"/>
      <c r="Z82" s="528"/>
      <c r="AA82" s="438"/>
      <c r="AB82" s="528"/>
      <c r="AC82" s="438"/>
      <c r="AD82" s="528"/>
      <c r="AE82" s="438"/>
      <c r="AF82" s="528"/>
      <c r="AG82" s="438"/>
      <c r="AH82" s="438"/>
      <c r="AI82" s="438"/>
    </row>
    <row r="83" spans="1:35" s="439" customFormat="1" ht="12" x14ac:dyDescent="0.2">
      <c r="A83" s="418"/>
      <c r="B83" s="528"/>
      <c r="C83" s="438"/>
      <c r="D83" s="528"/>
      <c r="E83" s="438"/>
      <c r="F83" s="528"/>
      <c r="G83" s="438"/>
      <c r="H83" s="528"/>
      <c r="I83" s="438"/>
      <c r="J83" s="528"/>
      <c r="K83" s="438"/>
      <c r="L83" s="528"/>
      <c r="M83" s="438"/>
      <c r="N83" s="528"/>
      <c r="O83" s="438"/>
      <c r="P83" s="528"/>
      <c r="Q83" s="438"/>
      <c r="R83" s="528"/>
      <c r="S83" s="438"/>
      <c r="T83" s="528"/>
      <c r="U83" s="438"/>
      <c r="V83" s="528"/>
      <c r="W83" s="438"/>
      <c r="X83" s="528"/>
      <c r="Y83" s="438"/>
      <c r="Z83" s="528"/>
      <c r="AA83" s="438"/>
      <c r="AB83" s="528"/>
      <c r="AC83" s="438"/>
      <c r="AD83" s="528"/>
      <c r="AE83" s="438"/>
      <c r="AF83" s="528"/>
      <c r="AG83" s="438"/>
      <c r="AH83" s="438"/>
      <c r="AI83" s="438"/>
    </row>
    <row r="84" spans="1:35" s="439" customFormat="1" ht="12" x14ac:dyDescent="0.2">
      <c r="A84" s="418"/>
      <c r="B84" s="528"/>
      <c r="C84" s="438"/>
      <c r="D84" s="528"/>
      <c r="E84" s="438"/>
      <c r="F84" s="528"/>
      <c r="G84" s="438"/>
      <c r="H84" s="528"/>
      <c r="I84" s="438"/>
      <c r="J84" s="528"/>
      <c r="K84" s="438"/>
      <c r="L84" s="528"/>
      <c r="M84" s="438"/>
      <c r="N84" s="528"/>
      <c r="O84" s="438"/>
      <c r="P84" s="528"/>
      <c r="Q84" s="438"/>
      <c r="R84" s="528"/>
      <c r="S84" s="438"/>
      <c r="T84" s="528"/>
      <c r="U84" s="438"/>
      <c r="V84" s="528"/>
      <c r="W84" s="438"/>
      <c r="X84" s="528"/>
      <c r="Y84" s="438"/>
      <c r="Z84" s="528"/>
      <c r="AA84" s="438"/>
      <c r="AB84" s="528"/>
      <c r="AC84" s="438"/>
      <c r="AD84" s="528"/>
      <c r="AE84" s="438"/>
      <c r="AF84" s="528"/>
      <c r="AG84" s="438"/>
      <c r="AH84" s="438"/>
      <c r="AI84" s="438"/>
    </row>
    <row r="85" spans="1:35" s="439" customFormat="1" ht="12" x14ac:dyDescent="0.2">
      <c r="A85" s="418"/>
      <c r="B85" s="528"/>
      <c r="C85" s="438"/>
      <c r="D85" s="528"/>
      <c r="E85" s="438"/>
      <c r="F85" s="528"/>
      <c r="G85" s="438"/>
      <c r="H85" s="528"/>
      <c r="I85" s="438"/>
      <c r="J85" s="528"/>
      <c r="K85" s="438"/>
      <c r="L85" s="528"/>
      <c r="M85" s="438"/>
      <c r="N85" s="528"/>
      <c r="O85" s="438"/>
      <c r="P85" s="528"/>
      <c r="Q85" s="438"/>
      <c r="R85" s="528"/>
      <c r="S85" s="438"/>
      <c r="T85" s="528"/>
      <c r="U85" s="438"/>
      <c r="V85" s="528"/>
      <c r="W85" s="438"/>
      <c r="X85" s="528"/>
      <c r="Y85" s="438"/>
      <c r="Z85" s="528"/>
      <c r="AA85" s="438"/>
      <c r="AB85" s="528"/>
      <c r="AC85" s="438"/>
      <c r="AD85" s="528"/>
      <c r="AE85" s="438"/>
      <c r="AF85" s="528"/>
      <c r="AG85" s="438"/>
      <c r="AH85" s="438"/>
      <c r="AI85" s="438"/>
    </row>
    <row r="86" spans="1:35" s="439" customFormat="1" ht="12" x14ac:dyDescent="0.2">
      <c r="A86" s="418"/>
      <c r="B86" s="528"/>
      <c r="C86" s="438"/>
      <c r="D86" s="528"/>
      <c r="E86" s="438"/>
      <c r="F86" s="528"/>
      <c r="G86" s="438"/>
      <c r="H86" s="528"/>
      <c r="I86" s="438"/>
      <c r="J86" s="528"/>
      <c r="K86" s="438"/>
      <c r="L86" s="528"/>
      <c r="M86" s="438"/>
      <c r="N86" s="528"/>
      <c r="O86" s="438"/>
      <c r="P86" s="528"/>
      <c r="Q86" s="438"/>
      <c r="R86" s="528"/>
      <c r="S86" s="438"/>
      <c r="T86" s="528"/>
      <c r="U86" s="438"/>
      <c r="V86" s="528"/>
      <c r="W86" s="438"/>
      <c r="X86" s="528"/>
      <c r="Y86" s="438"/>
      <c r="Z86" s="528"/>
      <c r="AA86" s="438"/>
      <c r="AB86" s="528"/>
      <c r="AC86" s="438"/>
      <c r="AD86" s="528"/>
      <c r="AE86" s="438"/>
      <c r="AF86" s="528"/>
      <c r="AG86" s="438"/>
      <c r="AH86" s="438"/>
      <c r="AI86" s="438"/>
    </row>
    <row r="87" spans="1:35" s="439" customFormat="1" ht="12" x14ac:dyDescent="0.2">
      <c r="A87" s="418"/>
      <c r="B87" s="528"/>
      <c r="C87" s="438"/>
      <c r="D87" s="528"/>
      <c r="E87" s="438"/>
      <c r="F87" s="528"/>
      <c r="G87" s="438"/>
      <c r="H87" s="528"/>
      <c r="I87" s="438"/>
      <c r="J87" s="528"/>
      <c r="K87" s="438"/>
      <c r="L87" s="528"/>
      <c r="M87" s="438"/>
      <c r="N87" s="528"/>
      <c r="O87" s="438"/>
      <c r="P87" s="528"/>
      <c r="Q87" s="438"/>
      <c r="R87" s="528"/>
      <c r="S87" s="438"/>
      <c r="T87" s="528"/>
      <c r="U87" s="438"/>
      <c r="V87" s="528"/>
      <c r="W87" s="438"/>
      <c r="X87" s="528"/>
      <c r="Y87" s="438"/>
      <c r="Z87" s="528"/>
      <c r="AA87" s="438"/>
      <c r="AB87" s="528"/>
      <c r="AC87" s="438"/>
      <c r="AD87" s="528"/>
      <c r="AE87" s="438"/>
      <c r="AF87" s="528"/>
      <c r="AG87" s="438"/>
      <c r="AH87" s="438"/>
      <c r="AI87" s="438"/>
    </row>
    <row r="88" spans="1:35" s="439" customFormat="1" ht="12" x14ac:dyDescent="0.2">
      <c r="A88" s="418"/>
      <c r="B88" s="528"/>
      <c r="C88" s="438"/>
      <c r="D88" s="528"/>
      <c r="E88" s="438"/>
      <c r="F88" s="528"/>
      <c r="G88" s="438"/>
      <c r="H88" s="528"/>
      <c r="I88" s="438"/>
      <c r="J88" s="528"/>
      <c r="K88" s="438"/>
      <c r="L88" s="528"/>
      <c r="M88" s="438"/>
      <c r="N88" s="528"/>
      <c r="O88" s="528"/>
      <c r="P88" s="528"/>
      <c r="Q88" s="438"/>
      <c r="R88" s="528"/>
      <c r="S88" s="438"/>
      <c r="T88" s="528"/>
      <c r="U88" s="438"/>
      <c r="V88" s="528"/>
      <c r="W88" s="438"/>
      <c r="X88" s="528"/>
      <c r="Y88" s="438"/>
      <c r="Z88" s="528"/>
      <c r="AA88" s="438"/>
      <c r="AB88" s="528"/>
      <c r="AC88" s="438"/>
      <c r="AD88" s="528"/>
      <c r="AE88" s="438"/>
      <c r="AF88" s="528"/>
      <c r="AG88" s="438"/>
      <c r="AH88" s="438"/>
      <c r="AI88" s="438"/>
    </row>
    <row r="89" spans="1:35" s="439" customFormat="1" ht="12" x14ac:dyDescent="0.2">
      <c r="A89" s="418"/>
      <c r="B89" s="528"/>
      <c r="C89" s="438"/>
      <c r="D89" s="528"/>
      <c r="E89" s="438"/>
      <c r="F89" s="528"/>
      <c r="G89" s="438"/>
      <c r="H89" s="528"/>
      <c r="I89" s="438"/>
      <c r="J89" s="528"/>
      <c r="K89" s="438"/>
      <c r="L89" s="528"/>
      <c r="M89" s="438"/>
      <c r="N89" s="528"/>
      <c r="O89" s="528"/>
      <c r="P89" s="528"/>
      <c r="Q89" s="438"/>
      <c r="R89" s="528"/>
      <c r="S89" s="438"/>
      <c r="T89" s="528"/>
      <c r="U89" s="438"/>
      <c r="V89" s="528"/>
      <c r="W89" s="438"/>
      <c r="X89" s="528"/>
      <c r="Y89" s="438"/>
      <c r="Z89" s="528"/>
      <c r="AA89" s="438"/>
      <c r="AB89" s="528"/>
      <c r="AC89" s="438"/>
      <c r="AD89" s="528"/>
      <c r="AE89" s="438"/>
      <c r="AF89" s="528"/>
      <c r="AG89" s="438"/>
      <c r="AH89" s="438"/>
      <c r="AI89" s="438"/>
    </row>
    <row r="90" spans="1:35" s="439" customFormat="1" ht="12" x14ac:dyDescent="0.2">
      <c r="A90" s="418"/>
      <c r="B90" s="528"/>
      <c r="C90" s="438"/>
      <c r="D90" s="528"/>
      <c r="E90" s="438"/>
      <c r="F90" s="528"/>
      <c r="G90" s="438"/>
      <c r="H90" s="528"/>
      <c r="I90" s="438"/>
      <c r="J90" s="528"/>
      <c r="K90" s="438"/>
      <c r="L90" s="528"/>
      <c r="M90" s="438"/>
      <c r="N90" s="528"/>
      <c r="O90" s="528"/>
      <c r="P90" s="528"/>
      <c r="Q90" s="438"/>
      <c r="R90" s="528"/>
      <c r="S90" s="438"/>
      <c r="T90" s="528"/>
      <c r="U90" s="438"/>
      <c r="V90" s="528"/>
      <c r="W90" s="438"/>
      <c r="X90" s="528"/>
      <c r="Y90" s="438"/>
      <c r="Z90" s="528"/>
      <c r="AA90" s="438"/>
      <c r="AB90" s="528"/>
      <c r="AC90" s="438"/>
      <c r="AD90" s="528"/>
      <c r="AE90" s="438"/>
      <c r="AF90" s="528"/>
      <c r="AG90" s="438"/>
      <c r="AH90" s="438"/>
      <c r="AI90" s="438"/>
    </row>
    <row r="91" spans="1:35" s="439" customFormat="1" ht="12" x14ac:dyDescent="0.2">
      <c r="A91" s="418"/>
      <c r="B91" s="528"/>
      <c r="C91" s="438"/>
      <c r="D91" s="528"/>
      <c r="E91" s="438"/>
      <c r="F91" s="528"/>
      <c r="G91" s="438"/>
      <c r="H91" s="528"/>
      <c r="I91" s="438"/>
      <c r="J91" s="528"/>
      <c r="K91" s="438"/>
      <c r="L91" s="528"/>
      <c r="M91" s="438"/>
      <c r="N91" s="528"/>
      <c r="O91" s="528"/>
      <c r="P91" s="528"/>
      <c r="Q91" s="438"/>
      <c r="R91" s="528"/>
      <c r="S91" s="438"/>
      <c r="T91" s="528"/>
      <c r="U91" s="438"/>
      <c r="V91" s="528"/>
      <c r="W91" s="438"/>
      <c r="X91" s="528"/>
      <c r="Y91" s="438"/>
      <c r="Z91" s="528"/>
      <c r="AA91" s="438"/>
      <c r="AB91" s="528"/>
      <c r="AC91" s="438"/>
      <c r="AD91" s="528"/>
      <c r="AE91" s="438"/>
      <c r="AF91" s="528"/>
      <c r="AG91" s="438"/>
      <c r="AH91" s="438"/>
      <c r="AI91" s="438"/>
    </row>
    <row r="92" spans="1:35" s="439" customFormat="1" ht="12" x14ac:dyDescent="0.2">
      <c r="A92" s="418"/>
      <c r="B92" s="528"/>
      <c r="C92" s="438"/>
      <c r="D92" s="528"/>
      <c r="E92" s="438"/>
      <c r="F92" s="528"/>
      <c r="G92" s="438"/>
      <c r="H92" s="528"/>
      <c r="I92" s="438"/>
      <c r="J92" s="528"/>
      <c r="K92" s="438"/>
      <c r="L92" s="528"/>
      <c r="M92" s="438"/>
      <c r="N92" s="528"/>
      <c r="O92" s="528"/>
      <c r="P92" s="528"/>
      <c r="Q92" s="438"/>
      <c r="R92" s="528"/>
      <c r="S92" s="438"/>
      <c r="T92" s="528"/>
      <c r="U92" s="438"/>
      <c r="V92" s="528"/>
      <c r="W92" s="438"/>
      <c r="X92" s="528"/>
      <c r="Y92" s="438"/>
      <c r="Z92" s="528"/>
      <c r="AA92" s="438"/>
      <c r="AB92" s="528"/>
      <c r="AC92" s="438"/>
      <c r="AD92" s="528"/>
      <c r="AE92" s="438"/>
      <c r="AF92" s="528"/>
      <c r="AG92" s="438"/>
      <c r="AH92" s="438"/>
      <c r="AI92" s="438"/>
    </row>
    <row r="93" spans="1:35" s="439" customFormat="1" ht="12" x14ac:dyDescent="0.2">
      <c r="A93" s="418"/>
      <c r="B93" s="528"/>
      <c r="C93" s="438"/>
      <c r="D93" s="528"/>
      <c r="E93" s="438"/>
      <c r="F93" s="528"/>
      <c r="G93" s="438"/>
      <c r="H93" s="528"/>
      <c r="I93" s="438"/>
      <c r="J93" s="528"/>
      <c r="K93" s="438"/>
      <c r="L93" s="528"/>
      <c r="M93" s="438"/>
      <c r="N93" s="528"/>
      <c r="O93" s="528"/>
      <c r="P93" s="528"/>
      <c r="Q93" s="438"/>
      <c r="R93" s="528"/>
      <c r="S93" s="438"/>
      <c r="T93" s="528"/>
      <c r="U93" s="438"/>
      <c r="V93" s="528"/>
      <c r="W93" s="438"/>
      <c r="X93" s="528"/>
      <c r="Y93" s="438"/>
      <c r="Z93" s="528"/>
      <c r="AA93" s="438"/>
      <c r="AB93" s="528"/>
      <c r="AC93" s="438"/>
      <c r="AD93" s="528"/>
      <c r="AE93" s="438"/>
      <c r="AF93" s="528"/>
      <c r="AG93" s="438"/>
      <c r="AH93" s="438"/>
      <c r="AI93" s="438"/>
    </row>
    <row r="94" spans="1:35" s="439" customFormat="1" ht="12" x14ac:dyDescent="0.2">
      <c r="A94" s="418"/>
      <c r="B94" s="528"/>
      <c r="C94" s="438"/>
      <c r="D94" s="528"/>
      <c r="E94" s="438"/>
      <c r="F94" s="528"/>
      <c r="G94" s="438"/>
      <c r="H94" s="528"/>
      <c r="I94" s="438"/>
      <c r="J94" s="528"/>
      <c r="K94" s="438"/>
      <c r="L94" s="528"/>
      <c r="M94" s="438"/>
      <c r="N94" s="528"/>
      <c r="O94" s="528"/>
      <c r="P94" s="528"/>
      <c r="Q94" s="438"/>
      <c r="R94" s="528"/>
      <c r="S94" s="438"/>
      <c r="T94" s="528"/>
      <c r="U94" s="438"/>
      <c r="V94" s="528"/>
      <c r="W94" s="438"/>
      <c r="X94" s="528"/>
      <c r="Y94" s="438"/>
      <c r="Z94" s="528"/>
      <c r="AA94" s="438"/>
      <c r="AB94" s="528"/>
      <c r="AC94" s="438"/>
      <c r="AD94" s="528"/>
      <c r="AE94" s="438"/>
      <c r="AF94" s="528"/>
      <c r="AG94" s="438"/>
      <c r="AH94" s="438"/>
      <c r="AI94" s="438"/>
    </row>
    <row r="95" spans="1:35" s="439" customFormat="1" ht="12" x14ac:dyDescent="0.2">
      <c r="A95" s="418"/>
      <c r="B95" s="528"/>
      <c r="C95" s="438"/>
      <c r="D95" s="528"/>
      <c r="E95" s="438"/>
      <c r="F95" s="528"/>
      <c r="G95" s="438"/>
      <c r="H95" s="528"/>
      <c r="I95" s="438"/>
      <c r="J95" s="528"/>
      <c r="K95" s="438"/>
      <c r="L95" s="528"/>
      <c r="M95" s="438"/>
      <c r="N95" s="528"/>
      <c r="O95" s="528"/>
      <c r="P95" s="528"/>
      <c r="Q95" s="438"/>
      <c r="R95" s="528"/>
      <c r="S95" s="438"/>
      <c r="T95" s="528"/>
      <c r="U95" s="438"/>
      <c r="V95" s="528"/>
      <c r="W95" s="438"/>
      <c r="X95" s="528"/>
      <c r="Y95" s="438"/>
      <c r="Z95" s="528"/>
      <c r="AA95" s="438"/>
      <c r="AB95" s="528"/>
      <c r="AC95" s="438"/>
      <c r="AD95" s="528"/>
      <c r="AE95" s="438"/>
      <c r="AF95" s="528"/>
      <c r="AG95" s="438"/>
      <c r="AH95" s="438"/>
      <c r="AI95" s="438"/>
    </row>
    <row r="96" spans="1:35" s="439" customFormat="1" ht="12" x14ac:dyDescent="0.2">
      <c r="A96" s="418"/>
      <c r="B96" s="528"/>
      <c r="C96" s="438"/>
      <c r="D96" s="528"/>
      <c r="E96" s="438"/>
      <c r="F96" s="528"/>
      <c r="G96" s="438"/>
      <c r="H96" s="528"/>
      <c r="I96" s="438"/>
      <c r="J96" s="528"/>
      <c r="K96" s="438"/>
      <c r="L96" s="528"/>
      <c r="M96" s="438"/>
      <c r="N96" s="528"/>
      <c r="O96" s="528"/>
      <c r="P96" s="528"/>
      <c r="Q96" s="438"/>
      <c r="R96" s="528"/>
      <c r="S96" s="438"/>
      <c r="T96" s="528"/>
      <c r="U96" s="438"/>
      <c r="V96" s="528"/>
      <c r="W96" s="438"/>
      <c r="X96" s="528"/>
      <c r="Y96" s="438"/>
      <c r="Z96" s="528"/>
      <c r="AA96" s="438"/>
      <c r="AB96" s="528"/>
      <c r="AC96" s="438"/>
      <c r="AD96" s="528"/>
      <c r="AE96" s="438"/>
      <c r="AF96" s="528"/>
      <c r="AG96" s="438"/>
      <c r="AH96" s="438"/>
      <c r="AI96" s="438"/>
    </row>
    <row r="97" spans="1:35" s="439" customFormat="1" ht="12" x14ac:dyDescent="0.2">
      <c r="A97" s="418"/>
      <c r="B97" s="528"/>
      <c r="C97" s="438"/>
      <c r="D97" s="528"/>
      <c r="E97" s="438"/>
      <c r="F97" s="528"/>
      <c r="G97" s="438"/>
      <c r="H97" s="528"/>
      <c r="I97" s="438"/>
      <c r="J97" s="528"/>
      <c r="K97" s="438"/>
      <c r="L97" s="528"/>
      <c r="M97" s="438"/>
      <c r="N97" s="528"/>
      <c r="O97" s="528"/>
      <c r="P97" s="528"/>
      <c r="Q97" s="438"/>
      <c r="R97" s="528"/>
      <c r="S97" s="438"/>
      <c r="T97" s="528"/>
      <c r="U97" s="438"/>
      <c r="V97" s="528"/>
      <c r="W97" s="438"/>
      <c r="X97" s="528"/>
      <c r="Y97" s="438"/>
      <c r="Z97" s="528"/>
      <c r="AA97" s="438"/>
      <c r="AB97" s="528"/>
      <c r="AC97" s="438"/>
      <c r="AD97" s="528"/>
      <c r="AE97" s="438"/>
      <c r="AF97" s="528"/>
      <c r="AG97" s="438"/>
      <c r="AH97" s="438"/>
      <c r="AI97" s="438"/>
    </row>
    <row r="98" spans="1:35" s="439" customFormat="1" ht="12" x14ac:dyDescent="0.2">
      <c r="A98" s="418"/>
      <c r="B98" s="528"/>
      <c r="C98" s="438"/>
      <c r="D98" s="528"/>
      <c r="E98" s="438"/>
      <c r="F98" s="528"/>
      <c r="G98" s="438"/>
      <c r="H98" s="528"/>
      <c r="I98" s="438"/>
      <c r="J98" s="528"/>
      <c r="K98" s="438"/>
      <c r="L98" s="528"/>
      <c r="M98" s="438"/>
      <c r="N98" s="528"/>
      <c r="O98" s="528"/>
      <c r="P98" s="528"/>
      <c r="Q98" s="438"/>
      <c r="R98" s="528"/>
      <c r="S98" s="438"/>
      <c r="T98" s="528"/>
      <c r="U98" s="438"/>
      <c r="V98" s="528"/>
      <c r="W98" s="438"/>
      <c r="X98" s="528"/>
      <c r="Y98" s="438"/>
      <c r="Z98" s="528"/>
      <c r="AA98" s="438"/>
      <c r="AB98" s="528"/>
      <c r="AC98" s="438"/>
      <c r="AD98" s="528"/>
      <c r="AE98" s="438"/>
      <c r="AF98" s="528"/>
      <c r="AG98" s="438"/>
      <c r="AH98" s="438"/>
      <c r="AI98" s="438"/>
    </row>
    <row r="99" spans="1:35" s="439" customFormat="1" ht="12" x14ac:dyDescent="0.2">
      <c r="A99" s="418"/>
      <c r="B99" s="528"/>
      <c r="C99" s="438"/>
      <c r="D99" s="528"/>
      <c r="E99" s="438"/>
      <c r="F99" s="528"/>
      <c r="G99" s="438"/>
      <c r="H99" s="528"/>
      <c r="I99" s="438"/>
      <c r="J99" s="528"/>
      <c r="K99" s="438"/>
      <c r="L99" s="528"/>
      <c r="M99" s="438"/>
      <c r="N99" s="528"/>
      <c r="O99" s="528"/>
      <c r="P99" s="528"/>
      <c r="Q99" s="438"/>
      <c r="R99" s="528"/>
      <c r="S99" s="438"/>
      <c r="T99" s="528"/>
      <c r="U99" s="438"/>
      <c r="V99" s="528"/>
      <c r="W99" s="438"/>
      <c r="X99" s="528"/>
      <c r="Y99" s="438"/>
      <c r="Z99" s="528"/>
      <c r="AA99" s="438"/>
      <c r="AB99" s="528"/>
      <c r="AC99" s="438"/>
      <c r="AD99" s="528"/>
      <c r="AE99" s="438"/>
      <c r="AF99" s="528"/>
      <c r="AG99" s="438"/>
      <c r="AH99" s="438"/>
      <c r="AI99" s="438"/>
    </row>
    <row r="100" spans="1:35" s="439" customFormat="1" ht="12" x14ac:dyDescent="0.2">
      <c r="A100" s="418"/>
      <c r="B100" s="528"/>
      <c r="C100" s="438"/>
      <c r="D100" s="528"/>
      <c r="E100" s="438"/>
      <c r="F100" s="528"/>
      <c r="G100" s="438"/>
      <c r="H100" s="528"/>
      <c r="I100" s="438"/>
      <c r="J100" s="528"/>
      <c r="K100" s="438"/>
      <c r="L100" s="528"/>
      <c r="M100" s="438"/>
      <c r="N100" s="528"/>
      <c r="O100" s="528"/>
      <c r="P100" s="528"/>
      <c r="Q100" s="438"/>
      <c r="R100" s="528"/>
      <c r="S100" s="438"/>
      <c r="T100" s="528"/>
      <c r="U100" s="438"/>
      <c r="V100" s="528"/>
      <c r="W100" s="438"/>
      <c r="X100" s="528"/>
      <c r="Y100" s="438"/>
      <c r="Z100" s="528"/>
      <c r="AA100" s="438"/>
      <c r="AB100" s="528"/>
      <c r="AC100" s="438"/>
      <c r="AD100" s="528"/>
      <c r="AE100" s="438"/>
      <c r="AF100" s="528"/>
      <c r="AG100" s="438"/>
      <c r="AH100" s="438"/>
      <c r="AI100" s="438"/>
    </row>
    <row r="101" spans="1:35" s="439" customFormat="1" ht="12" x14ac:dyDescent="0.2">
      <c r="A101" s="418"/>
      <c r="B101" s="528"/>
      <c r="C101" s="438"/>
      <c r="D101" s="528"/>
      <c r="E101" s="438"/>
      <c r="F101" s="528"/>
      <c r="G101" s="438"/>
      <c r="H101" s="528"/>
      <c r="I101" s="438"/>
      <c r="J101" s="528"/>
      <c r="K101" s="438"/>
      <c r="L101" s="528"/>
      <c r="M101" s="438"/>
      <c r="N101" s="528"/>
      <c r="O101" s="528"/>
      <c r="P101" s="528"/>
      <c r="Q101" s="438"/>
      <c r="R101" s="528"/>
      <c r="S101" s="438"/>
      <c r="T101" s="528"/>
      <c r="U101" s="438"/>
      <c r="V101" s="528"/>
      <c r="W101" s="438"/>
      <c r="X101" s="528"/>
      <c r="Y101" s="438"/>
      <c r="Z101" s="528"/>
      <c r="AA101" s="438"/>
      <c r="AB101" s="528"/>
      <c r="AC101" s="438"/>
      <c r="AD101" s="528"/>
      <c r="AE101" s="438"/>
      <c r="AF101" s="528"/>
      <c r="AG101" s="438"/>
      <c r="AH101" s="438"/>
      <c r="AI101" s="438"/>
    </row>
    <row r="122" spans="7:7" x14ac:dyDescent="0.2">
      <c r="G122" s="437">
        <v>21</v>
      </c>
    </row>
  </sheetData>
  <mergeCells count="1">
    <mergeCell ref="A1:AI1"/>
  </mergeCells>
  <phoneticPr fontId="9" type="noConversion"/>
  <printOptions horizontalCentered="1"/>
  <pageMargins left="0.5" right="0.5" top="0.5" bottom="0.625" header="0.5" footer="0.5"/>
  <pageSetup scale="56"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theme="6" tint="0.39997558519241921"/>
  </sheetPr>
  <dimension ref="A1:AT189"/>
  <sheetViews>
    <sheetView view="pageBreakPreview" zoomScaleNormal="100" workbookViewId="0">
      <pane xSplit="1" ySplit="11" topLeftCell="B21" activePane="bottomRight" state="frozen"/>
      <selection activeCell="Z13" activeCellId="3" sqref="Z18 Z17 Z15 Z13"/>
      <selection pane="topRight" activeCell="Z13" activeCellId="3" sqref="Z18 Z17 Z15 Z13"/>
      <selection pane="bottomLeft" activeCell="Z13" activeCellId="3" sqref="Z18 Z17 Z15 Z13"/>
      <selection pane="bottomRight" activeCell="Z13" activeCellId="3" sqref="Z18 Z17 Z15 Z13"/>
    </sheetView>
  </sheetViews>
  <sheetFormatPr defaultColWidth="9.140625" defaultRowHeight="12.75" x14ac:dyDescent="0.2"/>
  <cols>
    <col min="1" max="1" width="34.42578125" style="434" customWidth="1"/>
    <col min="2" max="2" width="1.42578125" style="523" customWidth="1"/>
    <col min="3" max="3" width="14.5703125" style="437" customWidth="1"/>
    <col min="4" max="4" width="1.42578125" style="523" hidden="1" customWidth="1"/>
    <col min="5" max="5" width="14.42578125" style="437" hidden="1" customWidth="1"/>
    <col min="6" max="6" width="1.42578125" style="523" hidden="1" customWidth="1"/>
    <col min="7" max="7" width="13.42578125" style="437" hidden="1" customWidth="1"/>
    <col min="8" max="8" width="1.42578125" style="523" customWidth="1"/>
    <col min="9" max="9" width="11.140625" style="437" customWidth="1"/>
    <col min="10" max="10" width="1.42578125" style="523" customWidth="1"/>
    <col min="11" max="11" width="11.140625" style="437" bestFit="1" customWidth="1"/>
    <col min="12" max="12" width="1.42578125" style="523" customWidth="1"/>
    <col min="13" max="13" width="13.5703125" style="437" customWidth="1"/>
    <col min="14" max="14" width="1.42578125" style="523" customWidth="1"/>
    <col min="15" max="15" width="12.5703125" style="523" bestFit="1" customWidth="1"/>
    <col min="16" max="16" width="1.42578125" style="523" customWidth="1"/>
    <col min="17" max="17" width="13.5703125" style="437" customWidth="1"/>
    <col min="18" max="18" width="1.42578125" style="523" customWidth="1"/>
    <col min="19" max="19" width="13.5703125" style="437" customWidth="1"/>
    <col min="20" max="20" width="1.42578125" style="523" customWidth="1"/>
    <col min="21" max="21" width="13.5703125" style="437" customWidth="1"/>
    <col min="22" max="22" width="1.42578125" style="523" customWidth="1"/>
    <col min="23" max="23" width="13.5703125" style="437" customWidth="1"/>
    <col min="24" max="24" width="1.42578125" style="523" customWidth="1"/>
    <col min="25" max="25" width="13.5703125" style="437" customWidth="1"/>
    <col min="26" max="26" width="1.42578125" style="523" hidden="1" customWidth="1"/>
    <col min="27" max="27" width="13.42578125" style="437" hidden="1" customWidth="1"/>
    <col min="28" max="28" width="1.42578125" style="523" customWidth="1"/>
    <col min="29" max="29" width="13.5703125" style="437" customWidth="1"/>
    <col min="30" max="30" width="1.42578125" style="523" customWidth="1"/>
    <col min="31" max="31" width="13.5703125" style="437" hidden="1" customWidth="1"/>
    <col min="32" max="32" width="1.42578125" style="523" hidden="1" customWidth="1"/>
    <col min="33" max="33" width="13.5703125" style="437" customWidth="1"/>
    <col min="34" max="34" width="1.42578125" style="437" customWidth="1"/>
    <col min="35" max="35" width="13.5703125" style="437" customWidth="1"/>
    <col min="36" max="46" width="9.140625" style="434"/>
    <col min="47" max="16384" width="9.140625" style="202"/>
  </cols>
  <sheetData>
    <row r="1" spans="1:46" s="520" customFormat="1" ht="20.25"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row>
    <row r="2" spans="1:46" s="715" customFormat="1" ht="17.25" x14ac:dyDescent="0.2">
      <c r="A2" s="700" t="s">
        <v>32</v>
      </c>
      <c r="B2" s="713"/>
      <c r="C2" s="713"/>
      <c r="D2" s="713"/>
      <c r="E2" s="713"/>
      <c r="F2" s="713"/>
      <c r="G2" s="713"/>
      <c r="H2" s="713"/>
      <c r="I2" s="713"/>
      <c r="J2" s="713"/>
      <c r="K2" s="714"/>
      <c r="L2" s="713"/>
      <c r="M2" s="713"/>
      <c r="N2" s="713"/>
      <c r="O2" s="713"/>
      <c r="P2" s="713"/>
      <c r="Q2" s="714"/>
      <c r="R2" s="713"/>
      <c r="S2" s="714"/>
      <c r="T2" s="713"/>
      <c r="U2" s="714"/>
      <c r="V2" s="713"/>
      <c r="W2" s="714"/>
      <c r="X2" s="713"/>
      <c r="Y2" s="714"/>
      <c r="Z2" s="713"/>
      <c r="AA2" s="714"/>
      <c r="AB2" s="700"/>
      <c r="AC2" s="713"/>
      <c r="AD2" s="713"/>
      <c r="AE2" s="713"/>
      <c r="AF2" s="713"/>
      <c r="AG2" s="713"/>
      <c r="AH2" s="714"/>
      <c r="AI2" s="714"/>
    </row>
    <row r="3" spans="1:46" s="715" customFormat="1" ht="17.25" x14ac:dyDescent="0.2">
      <c r="A3" s="700" t="s">
        <v>271</v>
      </c>
      <c r="B3" s="713"/>
      <c r="C3" s="713"/>
      <c r="D3" s="713"/>
      <c r="E3" s="713"/>
      <c r="F3" s="713"/>
      <c r="G3" s="713"/>
      <c r="H3" s="713"/>
      <c r="I3" s="713"/>
      <c r="J3" s="713"/>
      <c r="K3" s="714"/>
      <c r="L3" s="713"/>
      <c r="M3" s="713"/>
      <c r="N3" s="713"/>
      <c r="O3" s="713"/>
      <c r="P3" s="713"/>
      <c r="Q3" s="714"/>
      <c r="R3" s="713"/>
      <c r="S3" s="714"/>
      <c r="T3" s="713"/>
      <c r="U3" s="714"/>
      <c r="V3" s="713"/>
      <c r="W3" s="714"/>
      <c r="X3" s="713"/>
      <c r="Y3" s="714"/>
      <c r="Z3" s="713"/>
      <c r="AA3" s="714"/>
      <c r="AB3" s="700"/>
      <c r="AC3" s="713"/>
      <c r="AD3" s="713"/>
      <c r="AE3" s="713"/>
      <c r="AF3" s="713"/>
      <c r="AG3" s="713"/>
      <c r="AH3" s="714"/>
      <c r="AI3" s="714"/>
    </row>
    <row r="4" spans="1:46" s="157" customFormat="1" ht="15" x14ac:dyDescent="0.2">
      <c r="A4" s="1579" t="s">
        <v>1725</v>
      </c>
      <c r="B4" s="1579"/>
      <c r="C4" s="1579"/>
      <c r="D4" s="1579"/>
      <c r="E4" s="1579"/>
      <c r="F4" s="1579"/>
      <c r="G4" s="1579"/>
      <c r="H4" s="506"/>
      <c r="I4" s="506"/>
      <c r="J4" s="943"/>
      <c r="K4" s="717"/>
      <c r="L4" s="506"/>
      <c r="M4" s="506"/>
      <c r="N4" s="506"/>
      <c r="O4" s="506"/>
      <c r="P4" s="506"/>
      <c r="Q4" s="717"/>
      <c r="R4" s="506"/>
      <c r="S4" s="717"/>
      <c r="T4" s="717"/>
      <c r="U4" s="717"/>
      <c r="V4" s="717"/>
      <c r="W4" s="717"/>
      <c r="X4" s="717"/>
      <c r="Y4" s="717"/>
      <c r="Z4" s="717"/>
      <c r="AA4" s="717"/>
      <c r="AB4" s="506"/>
      <c r="AC4" s="506"/>
      <c r="AD4" s="506"/>
      <c r="AE4" s="506"/>
      <c r="AF4" s="506"/>
      <c r="AG4" s="506"/>
      <c r="AH4" s="717"/>
      <c r="AI4" s="717"/>
    </row>
    <row r="5" spans="1:46" s="253" customFormat="1" ht="12" x14ac:dyDescent="0.2">
      <c r="A5" s="253" t="s">
        <v>972</v>
      </c>
      <c r="B5" s="718"/>
      <c r="C5" s="718"/>
      <c r="D5" s="718"/>
      <c r="E5" s="718"/>
      <c r="F5" s="718"/>
      <c r="G5" s="718"/>
      <c r="H5" s="718"/>
      <c r="I5" s="718"/>
      <c r="J5" s="718"/>
      <c r="L5" s="718"/>
      <c r="M5" s="718"/>
      <c r="N5" s="718"/>
      <c r="O5" s="718"/>
      <c r="P5" s="718"/>
      <c r="R5" s="718"/>
      <c r="T5" s="718"/>
      <c r="V5" s="718"/>
      <c r="X5" s="718"/>
      <c r="Z5" s="718"/>
      <c r="AC5" s="718"/>
      <c r="AD5" s="718"/>
      <c r="AE5" s="718"/>
      <c r="AF5" s="718"/>
      <c r="AG5" s="718"/>
    </row>
    <row r="6" spans="1:46" ht="12.6" customHeight="1" x14ac:dyDescent="0.2">
      <c r="B6" s="212"/>
      <c r="C6" s="212"/>
      <c r="D6" s="212"/>
      <c r="E6" s="212"/>
      <c r="F6" s="212"/>
      <c r="G6" s="212"/>
      <c r="H6" s="212"/>
      <c r="I6" s="212"/>
      <c r="J6" s="212"/>
      <c r="L6" s="212"/>
      <c r="N6" s="212"/>
      <c r="O6" s="212"/>
      <c r="P6" s="212"/>
      <c r="R6" s="212"/>
      <c r="T6" s="212"/>
      <c r="V6" s="212"/>
      <c r="X6" s="212"/>
      <c r="Z6" s="212"/>
      <c r="AB6" s="212"/>
      <c r="AD6" s="212"/>
      <c r="AE6" s="212"/>
      <c r="AF6" s="212"/>
      <c r="AG6" s="212"/>
    </row>
    <row r="7" spans="1:46" s="198" customFormat="1" ht="12.6" customHeight="1" x14ac:dyDescent="0.2">
      <c r="A7" s="445"/>
      <c r="B7" s="443"/>
      <c r="C7" s="443"/>
      <c r="D7" s="443"/>
      <c r="E7" s="443"/>
      <c r="F7" s="443"/>
      <c r="G7" s="445"/>
      <c r="H7" s="443"/>
      <c r="I7" s="445"/>
      <c r="J7" s="443"/>
      <c r="K7" s="443"/>
      <c r="L7" s="443"/>
      <c r="M7" s="445"/>
      <c r="N7" s="443"/>
      <c r="O7" s="443"/>
      <c r="P7" s="443"/>
      <c r="Q7" s="445"/>
      <c r="R7" s="443"/>
      <c r="S7" s="445"/>
      <c r="T7" s="443"/>
      <c r="U7" s="445"/>
      <c r="V7" s="443"/>
      <c r="W7" s="445"/>
      <c r="X7" s="443"/>
      <c r="Y7" s="445"/>
      <c r="Z7" s="443"/>
      <c r="AA7" s="443"/>
      <c r="AB7" s="443"/>
      <c r="AC7" s="443"/>
      <c r="AD7" s="443"/>
      <c r="AE7" s="443"/>
      <c r="AF7" s="443"/>
      <c r="AG7" s="443"/>
      <c r="AH7" s="443"/>
      <c r="AI7" s="443" t="s">
        <v>671</v>
      </c>
      <c r="AJ7" s="445"/>
      <c r="AK7" s="445"/>
      <c r="AL7" s="445"/>
      <c r="AM7" s="445"/>
      <c r="AN7" s="445"/>
      <c r="AO7" s="445"/>
      <c r="AP7" s="445"/>
      <c r="AQ7" s="445"/>
      <c r="AR7" s="445"/>
      <c r="AS7" s="445"/>
      <c r="AT7" s="445"/>
    </row>
    <row r="8" spans="1:46" s="198" customFormat="1" ht="12.6" customHeight="1" x14ac:dyDescent="0.2">
      <c r="A8" s="445"/>
      <c r="B8" s="443"/>
      <c r="C8" s="445"/>
      <c r="D8" s="443"/>
      <c r="E8" s="443" t="s">
        <v>861</v>
      </c>
      <c r="F8" s="443"/>
      <c r="G8" s="445"/>
      <c r="H8" s="443"/>
      <c r="I8" s="416"/>
      <c r="J8" s="443"/>
      <c r="K8" s="445"/>
      <c r="L8" s="443"/>
      <c r="M8" s="445"/>
      <c r="N8" s="443"/>
      <c r="O8" s="443" t="s">
        <v>224</v>
      </c>
      <c r="P8" s="443"/>
      <c r="Q8" s="443"/>
      <c r="R8" s="443"/>
      <c r="S8" s="443"/>
      <c r="T8" s="443"/>
      <c r="U8" s="445"/>
      <c r="V8" s="443"/>
      <c r="W8" s="445"/>
      <c r="X8" s="443"/>
      <c r="Y8" s="445"/>
      <c r="Z8" s="443"/>
      <c r="AA8" s="445"/>
      <c r="AB8" s="443"/>
      <c r="AC8" s="443" t="s">
        <v>1000</v>
      </c>
      <c r="AD8" s="443"/>
      <c r="AE8" s="443"/>
      <c r="AF8" s="443"/>
      <c r="AG8" s="443" t="s">
        <v>224</v>
      </c>
      <c r="AH8" s="443"/>
      <c r="AI8" s="445" t="s">
        <v>256</v>
      </c>
      <c r="AJ8" s="445"/>
      <c r="AK8" s="445"/>
      <c r="AL8" s="445"/>
      <c r="AM8" s="445"/>
      <c r="AN8" s="445"/>
      <c r="AO8" s="445"/>
      <c r="AP8" s="445"/>
      <c r="AQ8" s="445"/>
      <c r="AR8" s="445"/>
      <c r="AS8" s="445"/>
      <c r="AT8" s="445"/>
    </row>
    <row r="9" spans="1:46" s="198" customFormat="1" ht="12.6" customHeight="1" x14ac:dyDescent="0.2">
      <c r="A9" s="445"/>
      <c r="B9" s="445"/>
      <c r="C9" s="443" t="s">
        <v>239</v>
      </c>
      <c r="D9" s="445"/>
      <c r="E9" s="443" t="s">
        <v>222</v>
      </c>
      <c r="F9" s="445"/>
      <c r="G9" s="443" t="s">
        <v>861</v>
      </c>
      <c r="H9" s="445"/>
      <c r="I9" s="445" t="s">
        <v>238</v>
      </c>
      <c r="J9" s="445"/>
      <c r="K9" s="463"/>
      <c r="L9" s="445"/>
      <c r="M9" s="443"/>
      <c r="N9" s="445"/>
      <c r="O9" s="443" t="s">
        <v>439</v>
      </c>
      <c r="P9" s="445"/>
      <c r="Q9" s="443" t="s">
        <v>1184</v>
      </c>
      <c r="R9" s="445"/>
      <c r="S9" s="443"/>
      <c r="T9" s="445"/>
      <c r="V9" s="445"/>
      <c r="W9" s="443" t="s">
        <v>437</v>
      </c>
      <c r="X9" s="445"/>
      <c r="Y9" s="463"/>
      <c r="Z9" s="445"/>
      <c r="AA9" s="443"/>
      <c r="AB9" s="445"/>
      <c r="AC9" s="445" t="s">
        <v>204</v>
      </c>
      <c r="AD9" s="445"/>
      <c r="AE9" s="445"/>
      <c r="AF9" s="445"/>
      <c r="AG9" s="443" t="s">
        <v>1202</v>
      </c>
      <c r="AH9" s="445"/>
      <c r="AI9" s="443" t="s">
        <v>1064</v>
      </c>
      <c r="AJ9" s="445"/>
      <c r="AK9" s="445"/>
      <c r="AL9" s="445"/>
      <c r="AM9" s="445"/>
      <c r="AN9" s="445"/>
      <c r="AO9" s="445"/>
      <c r="AP9" s="445"/>
      <c r="AQ9" s="445"/>
      <c r="AR9" s="445"/>
      <c r="AS9" s="445"/>
      <c r="AT9" s="445"/>
    </row>
    <row r="10" spans="1:46" s="198" customFormat="1" ht="12.6" customHeight="1" x14ac:dyDescent="0.2">
      <c r="A10" s="445"/>
      <c r="B10" s="443"/>
      <c r="C10" s="443" t="s">
        <v>240</v>
      </c>
      <c r="D10" s="443"/>
      <c r="E10" s="443" t="s">
        <v>228</v>
      </c>
      <c r="F10" s="443"/>
      <c r="G10" s="443" t="s">
        <v>231</v>
      </c>
      <c r="H10" s="443"/>
      <c r="I10" s="443" t="s">
        <v>597</v>
      </c>
      <c r="J10" s="443"/>
      <c r="K10" s="443" t="s">
        <v>238</v>
      </c>
      <c r="L10" s="443"/>
      <c r="M10" s="443" t="s">
        <v>102</v>
      </c>
      <c r="N10" s="443"/>
      <c r="O10" s="443" t="s">
        <v>223</v>
      </c>
      <c r="P10" s="443"/>
      <c r="Q10" s="443" t="s">
        <v>1185</v>
      </c>
      <c r="R10" s="443"/>
      <c r="S10" s="443" t="s">
        <v>1502</v>
      </c>
      <c r="T10" s="443"/>
      <c r="U10" s="443" t="s">
        <v>1009</v>
      </c>
      <c r="V10" s="443"/>
      <c r="W10" s="443" t="s">
        <v>322</v>
      </c>
      <c r="X10" s="443"/>
      <c r="Y10" s="443" t="s">
        <v>226</v>
      </c>
      <c r="Z10" s="443"/>
      <c r="AA10" s="443" t="s">
        <v>439</v>
      </c>
      <c r="AB10" s="443"/>
      <c r="AC10" s="443" t="s">
        <v>207</v>
      </c>
      <c r="AD10" s="443"/>
      <c r="AE10" s="443" t="s">
        <v>242</v>
      </c>
      <c r="AF10" s="443"/>
      <c r="AG10" s="443" t="s">
        <v>223</v>
      </c>
      <c r="AH10" s="443"/>
      <c r="AI10" s="443" t="s">
        <v>866</v>
      </c>
      <c r="AJ10" s="445"/>
      <c r="AK10" s="445"/>
      <c r="AL10" s="445"/>
      <c r="AM10" s="445"/>
      <c r="AN10" s="445"/>
      <c r="AO10" s="445"/>
      <c r="AP10" s="445"/>
      <c r="AQ10" s="445"/>
      <c r="AR10" s="445"/>
      <c r="AS10" s="445"/>
      <c r="AT10" s="445"/>
    </row>
    <row r="11" spans="1:46" s="198" customFormat="1" ht="12.6" customHeight="1" x14ac:dyDescent="0.2">
      <c r="A11" s="445"/>
      <c r="B11" s="443"/>
      <c r="C11" s="446" t="s">
        <v>241</v>
      </c>
      <c r="D11" s="443"/>
      <c r="E11" s="446" t="s">
        <v>838</v>
      </c>
      <c r="F11" s="443"/>
      <c r="G11" s="446" t="s">
        <v>232</v>
      </c>
      <c r="H11" s="443"/>
      <c r="I11" s="446" t="s">
        <v>60</v>
      </c>
      <c r="J11" s="443"/>
      <c r="K11" s="446" t="s">
        <v>838</v>
      </c>
      <c r="L11" s="443"/>
      <c r="M11" s="446" t="s">
        <v>1008</v>
      </c>
      <c r="N11" s="443"/>
      <c r="O11" s="446" t="s">
        <v>225</v>
      </c>
      <c r="P11" s="443"/>
      <c r="Q11" s="446" t="s">
        <v>439</v>
      </c>
      <c r="R11" s="443"/>
      <c r="S11" s="446" t="s">
        <v>1503</v>
      </c>
      <c r="T11" s="443"/>
      <c r="U11" s="446" t="s">
        <v>101</v>
      </c>
      <c r="V11" s="443"/>
      <c r="W11" s="446" t="s">
        <v>219</v>
      </c>
      <c r="X11" s="443"/>
      <c r="Y11" s="446" t="s">
        <v>1014</v>
      </c>
      <c r="Z11" s="443"/>
      <c r="AA11" s="446" t="s">
        <v>838</v>
      </c>
      <c r="AB11" s="443"/>
      <c r="AC11" s="446" t="s">
        <v>205</v>
      </c>
      <c r="AD11" s="443"/>
      <c r="AE11" s="446" t="s">
        <v>172</v>
      </c>
      <c r="AF11" s="443"/>
      <c r="AG11" s="446" t="s">
        <v>1203</v>
      </c>
      <c r="AH11" s="443"/>
      <c r="AI11" s="446" t="s">
        <v>15</v>
      </c>
      <c r="AJ11" s="445"/>
      <c r="AK11" s="445"/>
      <c r="AL11" s="445"/>
      <c r="AM11" s="445"/>
      <c r="AN11" s="445"/>
      <c r="AO11" s="445"/>
      <c r="AP11" s="445"/>
      <c r="AQ11" s="445"/>
      <c r="AR11" s="445"/>
      <c r="AS11" s="445"/>
      <c r="AT11" s="445"/>
    </row>
    <row r="12" spans="1:46" s="439" customFormat="1" ht="9.9499999999999993" customHeight="1" x14ac:dyDescent="0.2">
      <c r="A12" s="417" t="s">
        <v>868</v>
      </c>
      <c r="B12" s="438"/>
      <c r="C12" s="438"/>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18"/>
      <c r="AK12" s="418"/>
      <c r="AL12" s="418"/>
      <c r="AM12" s="418"/>
      <c r="AN12" s="418"/>
      <c r="AO12" s="418"/>
      <c r="AP12" s="418"/>
      <c r="AQ12" s="418"/>
      <c r="AR12" s="418"/>
      <c r="AS12" s="418"/>
      <c r="AT12" s="418"/>
    </row>
    <row r="13" spans="1:46" s="439" customFormat="1" ht="9.9499999999999993" customHeight="1" x14ac:dyDescent="0.2">
      <c r="A13" s="428" t="s">
        <v>869</v>
      </c>
      <c r="B13" s="438"/>
      <c r="C13" s="438"/>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c r="AJ13" s="418"/>
      <c r="AK13" s="418"/>
      <c r="AL13" s="418"/>
      <c r="AM13" s="418"/>
      <c r="AN13" s="418"/>
      <c r="AO13" s="418"/>
      <c r="AP13" s="418"/>
      <c r="AQ13" s="418"/>
      <c r="AR13" s="418"/>
      <c r="AS13" s="418"/>
      <c r="AT13" s="418"/>
    </row>
    <row r="14" spans="1:46" s="449" customFormat="1" ht="9.9499999999999993" customHeight="1" x14ac:dyDescent="0.2">
      <c r="A14" s="426" t="s">
        <v>829</v>
      </c>
      <c r="B14" s="448"/>
      <c r="C14" s="461">
        <f>+SORECGFws!K5</f>
        <v>0</v>
      </c>
      <c r="D14" s="448"/>
      <c r="E14" s="461">
        <f>+SORECGFws!L5</f>
        <v>0</v>
      </c>
      <c r="F14" s="448"/>
      <c r="G14" s="461">
        <f>+SORECGFws!M5</f>
        <v>0</v>
      </c>
      <c r="H14" s="448"/>
      <c r="I14" s="461">
        <f>+SORECGFws!N5</f>
        <v>0</v>
      </c>
      <c r="J14" s="448"/>
      <c r="K14" s="461">
        <f>+SORECGFws!O5</f>
        <v>6207</v>
      </c>
      <c r="L14" s="448"/>
      <c r="M14" s="461">
        <f>+SORECGFws!P5</f>
        <v>0</v>
      </c>
      <c r="N14" s="448"/>
      <c r="O14" s="461">
        <f>+SORECGFws!Q5</f>
        <v>0</v>
      </c>
      <c r="P14" s="448"/>
      <c r="Q14" s="461">
        <f>SORECGFws!R5</f>
        <v>0</v>
      </c>
      <c r="R14" s="448"/>
      <c r="S14" s="461">
        <f>SORECGFws!S5</f>
        <v>0</v>
      </c>
      <c r="T14" s="448"/>
      <c r="U14" s="461">
        <f>+SORECGFws!U5</f>
        <v>0</v>
      </c>
      <c r="V14" s="448"/>
      <c r="W14" s="461">
        <f>+SORECGFws!V5</f>
        <v>0</v>
      </c>
      <c r="X14" s="448"/>
      <c r="Y14" s="461">
        <f>+SORECGFws!W5</f>
        <v>0</v>
      </c>
      <c r="Z14" s="448"/>
      <c r="AA14" s="461"/>
      <c r="AB14" s="448"/>
      <c r="AC14" s="461">
        <f>+SORECGFws!X5</f>
        <v>44540</v>
      </c>
      <c r="AD14" s="448"/>
      <c r="AE14" s="461"/>
      <c r="AF14" s="448"/>
      <c r="AG14" s="461">
        <f>+SORECGFws!T5</f>
        <v>0</v>
      </c>
      <c r="AH14" s="448"/>
      <c r="AI14" s="461">
        <f t="shared" ref="AI14:AI27" si="0">SUM(C14:AG14)</f>
        <v>50747</v>
      </c>
      <c r="AJ14" s="448"/>
      <c r="AK14" s="448"/>
      <c r="AL14" s="448"/>
      <c r="AM14" s="448"/>
      <c r="AN14" s="448"/>
      <c r="AO14" s="448"/>
      <c r="AP14" s="448"/>
      <c r="AQ14" s="448"/>
      <c r="AR14" s="448"/>
      <c r="AS14" s="448"/>
      <c r="AT14" s="448"/>
    </row>
    <row r="15" spans="1:46" s="451" customFormat="1" ht="9.9499999999999993" customHeight="1" x14ac:dyDescent="0.2">
      <c r="A15" s="426" t="s">
        <v>830</v>
      </c>
      <c r="B15" s="450"/>
      <c r="C15" s="450">
        <f>+SORECGFws!K6</f>
        <v>24731</v>
      </c>
      <c r="D15" s="450"/>
      <c r="E15" s="450">
        <f>+SORECGFws!L6</f>
        <v>0</v>
      </c>
      <c r="F15" s="450"/>
      <c r="G15" s="450">
        <f>+SORECGFws!M6</f>
        <v>0</v>
      </c>
      <c r="H15" s="450"/>
      <c r="I15" s="450">
        <f>+SORECGFws!N6</f>
        <v>0</v>
      </c>
      <c r="J15" s="450"/>
      <c r="K15" s="450">
        <f>+SORECGFws!O6</f>
        <v>0</v>
      </c>
      <c r="L15" s="450"/>
      <c r="M15" s="450">
        <f>+SORECGFws!P6</f>
        <v>0</v>
      </c>
      <c r="N15" s="450"/>
      <c r="O15" s="450">
        <f>+SORECGFws!Q6</f>
        <v>0</v>
      </c>
      <c r="P15" s="450"/>
      <c r="Q15" s="450">
        <f>SORECGFws!R6</f>
        <v>50240</v>
      </c>
      <c r="R15" s="450"/>
      <c r="S15" s="450">
        <f>SORECGFws!S6</f>
        <v>50240</v>
      </c>
      <c r="T15" s="450"/>
      <c r="U15" s="450">
        <f>+SORECGFws!U6</f>
        <v>0</v>
      </c>
      <c r="V15" s="450"/>
      <c r="W15" s="450">
        <f>+SORECGFws!V6</f>
        <v>0</v>
      </c>
      <c r="X15" s="450"/>
      <c r="Y15" s="450">
        <f>+SORECGFws!W6</f>
        <v>0</v>
      </c>
      <c r="Z15" s="450"/>
      <c r="AA15" s="450"/>
      <c r="AB15" s="450"/>
      <c r="AC15" s="450">
        <f>+SORECGFws!X6</f>
        <v>0</v>
      </c>
      <c r="AD15" s="450"/>
      <c r="AE15" s="450"/>
      <c r="AF15" s="450"/>
      <c r="AG15" s="450">
        <f>+SORECGFws!T6</f>
        <v>0</v>
      </c>
      <c r="AH15" s="450"/>
      <c r="AI15" s="450">
        <f t="shared" si="0"/>
        <v>125211</v>
      </c>
      <c r="AJ15" s="450"/>
      <c r="AK15" s="450"/>
      <c r="AL15" s="450"/>
      <c r="AM15" s="450"/>
      <c r="AN15" s="450"/>
      <c r="AO15" s="450"/>
      <c r="AP15" s="450"/>
      <c r="AQ15" s="450"/>
      <c r="AR15" s="450"/>
      <c r="AS15" s="450"/>
      <c r="AT15" s="450"/>
    </row>
    <row r="16" spans="1:46" s="451" customFormat="1" ht="9.9499999999999993" hidden="1" customHeight="1" x14ac:dyDescent="0.2">
      <c r="A16" s="426" t="s">
        <v>831</v>
      </c>
      <c r="B16" s="450"/>
      <c r="C16" s="450">
        <f>+SORECGFws!K7</f>
        <v>0</v>
      </c>
      <c r="D16" s="450"/>
      <c r="E16" s="450">
        <f>+SORECGFws!L7</f>
        <v>0</v>
      </c>
      <c r="F16" s="450"/>
      <c r="G16" s="450">
        <f>+SORECGFws!M7</f>
        <v>0</v>
      </c>
      <c r="H16" s="450"/>
      <c r="I16" s="450">
        <f>+SORECGFws!N7</f>
        <v>0</v>
      </c>
      <c r="J16" s="450"/>
      <c r="K16" s="450">
        <f>+SORECGFws!O7</f>
        <v>0</v>
      </c>
      <c r="L16" s="450"/>
      <c r="M16" s="450">
        <f>+SORECGFws!P7</f>
        <v>0</v>
      </c>
      <c r="N16" s="450"/>
      <c r="O16" s="450">
        <f>+SORECGFws!Q7</f>
        <v>0</v>
      </c>
      <c r="P16" s="450"/>
      <c r="Q16" s="450">
        <f>SORECGFws!R7</f>
        <v>0</v>
      </c>
      <c r="R16" s="450"/>
      <c r="S16" s="450">
        <f>SORECGFws!S7</f>
        <v>0</v>
      </c>
      <c r="T16" s="450"/>
      <c r="U16" s="450">
        <f>+SORECGFws!U7</f>
        <v>0</v>
      </c>
      <c r="V16" s="450"/>
      <c r="W16" s="450">
        <f>+SORECGFws!V7</f>
        <v>0</v>
      </c>
      <c r="X16" s="450"/>
      <c r="Y16" s="450">
        <f>+SORECGFws!W7</f>
        <v>0</v>
      </c>
      <c r="Z16" s="450"/>
      <c r="AA16" s="450"/>
      <c r="AB16" s="450"/>
      <c r="AC16" s="450">
        <f>+SORECGFws!X7</f>
        <v>0</v>
      </c>
      <c r="AD16" s="450"/>
      <c r="AE16" s="450"/>
      <c r="AF16" s="450"/>
      <c r="AG16" s="450">
        <f>+SORECGFws!T7</f>
        <v>0</v>
      </c>
      <c r="AH16" s="450"/>
      <c r="AI16" s="450">
        <f t="shared" si="0"/>
        <v>0</v>
      </c>
      <c r="AJ16" s="450"/>
      <c r="AK16" s="450"/>
      <c r="AL16" s="450"/>
      <c r="AM16" s="450"/>
      <c r="AN16" s="450"/>
      <c r="AO16" s="450"/>
      <c r="AP16" s="450"/>
      <c r="AQ16" s="450"/>
      <c r="AR16" s="450"/>
      <c r="AS16" s="450"/>
      <c r="AT16" s="450"/>
    </row>
    <row r="17" spans="1:46" s="451" customFormat="1" ht="9.9499999999999993" customHeight="1" x14ac:dyDescent="0.2">
      <c r="A17" s="426" t="s">
        <v>827</v>
      </c>
      <c r="B17" s="450"/>
      <c r="C17" s="450">
        <f>+SORECGFws!K8</f>
        <v>0</v>
      </c>
      <c r="D17" s="450"/>
      <c r="E17" s="450">
        <f>+SORECGFws!L8</f>
        <v>0</v>
      </c>
      <c r="F17" s="450"/>
      <c r="G17" s="450">
        <f>+SORECGFws!M8</f>
        <v>0</v>
      </c>
      <c r="H17" s="450"/>
      <c r="I17" s="450">
        <f>+SORECGFws!N8</f>
        <v>0</v>
      </c>
      <c r="J17" s="450"/>
      <c r="K17" s="450">
        <f>+SORECGFws!O8</f>
        <v>1718</v>
      </c>
      <c r="L17" s="450"/>
      <c r="M17" s="450">
        <f>+SORECGFws!P8</f>
        <v>0</v>
      </c>
      <c r="N17" s="450"/>
      <c r="O17" s="450">
        <f>+SORECGFws!Q8</f>
        <v>0</v>
      </c>
      <c r="P17" s="450"/>
      <c r="Q17" s="450">
        <f>SORECGFws!R8</f>
        <v>0</v>
      </c>
      <c r="R17" s="450"/>
      <c r="S17" s="450">
        <f>SORECGFws!S8</f>
        <v>0</v>
      </c>
      <c r="T17" s="450"/>
      <c r="U17" s="450">
        <f>+SORECGFws!U8</f>
        <v>0</v>
      </c>
      <c r="V17" s="450"/>
      <c r="W17" s="450">
        <f>+SORECGFws!V8</f>
        <v>0</v>
      </c>
      <c r="X17" s="450"/>
      <c r="Y17" s="450">
        <f>+SORECGFws!W8</f>
        <v>0</v>
      </c>
      <c r="Z17" s="450"/>
      <c r="AA17" s="450"/>
      <c r="AB17" s="450"/>
      <c r="AC17" s="450">
        <f>+SORECGFws!X8</f>
        <v>0</v>
      </c>
      <c r="AD17" s="450"/>
      <c r="AE17" s="450"/>
      <c r="AF17" s="450"/>
      <c r="AG17" s="450">
        <f>+SORECGFws!T8</f>
        <v>0</v>
      </c>
      <c r="AH17" s="450"/>
      <c r="AI17" s="450">
        <f t="shared" si="0"/>
        <v>1718</v>
      </c>
      <c r="AJ17" s="450"/>
      <c r="AK17" s="450"/>
      <c r="AL17" s="450"/>
      <c r="AM17" s="450"/>
      <c r="AN17" s="450"/>
      <c r="AO17" s="450"/>
      <c r="AP17" s="450"/>
      <c r="AQ17" s="450"/>
      <c r="AR17" s="450"/>
      <c r="AS17" s="450"/>
      <c r="AT17" s="450"/>
    </row>
    <row r="18" spans="1:46" s="451" customFormat="1" ht="9.9499999999999993" customHeight="1" x14ac:dyDescent="0.2">
      <c r="A18" s="426" t="s">
        <v>832</v>
      </c>
      <c r="B18" s="450"/>
      <c r="C18" s="450">
        <f>+SORECGFws!K9</f>
        <v>0</v>
      </c>
      <c r="D18" s="450"/>
      <c r="E18" s="450">
        <f>+SORECGFws!L9</f>
        <v>0</v>
      </c>
      <c r="F18" s="450"/>
      <c r="G18" s="450">
        <f>+SORECGFws!M9</f>
        <v>0</v>
      </c>
      <c r="H18" s="450"/>
      <c r="I18" s="450">
        <f>+SORECGFws!N9</f>
        <v>77249</v>
      </c>
      <c r="J18" s="450"/>
      <c r="K18" s="450">
        <f>+SORECGFws!O9</f>
        <v>10725</v>
      </c>
      <c r="L18" s="450"/>
      <c r="M18" s="450">
        <f>+SORECGFws!P9</f>
        <v>22074</v>
      </c>
      <c r="N18" s="450"/>
      <c r="O18" s="450">
        <f>+SORECGFws!Q9</f>
        <v>0</v>
      </c>
      <c r="P18" s="450"/>
      <c r="Q18" s="450">
        <f>SORECGFws!R9</f>
        <v>0</v>
      </c>
      <c r="R18" s="450"/>
      <c r="S18" s="450">
        <f>SORECGFws!S9</f>
        <v>0</v>
      </c>
      <c r="T18" s="450"/>
      <c r="U18" s="450">
        <f>+SORECGFws!U9</f>
        <v>0</v>
      </c>
      <c r="V18" s="450"/>
      <c r="W18" s="450">
        <f>+SORECGFws!V9</f>
        <v>0</v>
      </c>
      <c r="X18" s="450"/>
      <c r="Y18" s="450">
        <f>+SORECGFws!W9</f>
        <v>0</v>
      </c>
      <c r="Z18" s="450"/>
      <c r="AA18" s="450"/>
      <c r="AB18" s="450"/>
      <c r="AC18" s="450">
        <f>+SORECGFws!X9</f>
        <v>0</v>
      </c>
      <c r="AD18" s="450"/>
      <c r="AE18" s="450"/>
      <c r="AF18" s="450"/>
      <c r="AG18" s="450">
        <f>+SORECGFws!T9</f>
        <v>0</v>
      </c>
      <c r="AH18" s="450"/>
      <c r="AI18" s="450">
        <f t="shared" si="0"/>
        <v>110048</v>
      </c>
      <c r="AJ18" s="450"/>
      <c r="AK18" s="450"/>
      <c r="AL18" s="450"/>
      <c r="AM18" s="450"/>
      <c r="AN18" s="450"/>
      <c r="AO18" s="450"/>
      <c r="AP18" s="450"/>
      <c r="AQ18" s="450"/>
      <c r="AR18" s="450"/>
      <c r="AS18" s="450"/>
      <c r="AT18" s="450"/>
    </row>
    <row r="19" spans="1:46" s="451" customFormat="1" ht="9.9499999999999993" customHeight="1" x14ac:dyDescent="0.2">
      <c r="A19" s="426" t="s">
        <v>944</v>
      </c>
      <c r="B19" s="450"/>
      <c r="C19" s="450">
        <f>+SORECGFws!K10</f>
        <v>0</v>
      </c>
      <c r="D19" s="450"/>
      <c r="E19" s="450">
        <f>+SORECGFws!L10</f>
        <v>0</v>
      </c>
      <c r="F19" s="450"/>
      <c r="G19" s="450">
        <f>+SORECGFws!M10</f>
        <v>0</v>
      </c>
      <c r="H19" s="450"/>
      <c r="I19" s="450">
        <f>+SORECGFws!N10</f>
        <v>747</v>
      </c>
      <c r="J19" s="450"/>
      <c r="K19" s="450">
        <f>+SORECGFws!O10</f>
        <v>0</v>
      </c>
      <c r="L19" s="450"/>
      <c r="M19" s="450">
        <f>+SORECGFws!P10</f>
        <v>214</v>
      </c>
      <c r="N19" s="450"/>
      <c r="O19" s="450">
        <f>+SORECGFws!Q10</f>
        <v>0</v>
      </c>
      <c r="P19" s="450"/>
      <c r="Q19" s="450">
        <f>SORECGFws!R10</f>
        <v>0</v>
      </c>
      <c r="R19" s="450"/>
      <c r="S19" s="450">
        <f>SORECGFws!S10</f>
        <v>0</v>
      </c>
      <c r="T19" s="450"/>
      <c r="U19" s="450">
        <f>+SORECGFws!U10</f>
        <v>0</v>
      </c>
      <c r="V19" s="450"/>
      <c r="W19" s="450">
        <f>+SORECGFws!V10</f>
        <v>0</v>
      </c>
      <c r="X19" s="450"/>
      <c r="Y19" s="450">
        <f>+SORECGFws!W10</f>
        <v>0</v>
      </c>
      <c r="Z19" s="450"/>
      <c r="AA19" s="450"/>
      <c r="AB19" s="450"/>
      <c r="AC19" s="450">
        <f>+SORECGFws!X10</f>
        <v>0</v>
      </c>
      <c r="AD19" s="450"/>
      <c r="AE19" s="450"/>
      <c r="AF19" s="450"/>
      <c r="AG19" s="450">
        <f>+SORECGFws!T10</f>
        <v>0</v>
      </c>
      <c r="AH19" s="450"/>
      <c r="AI19" s="450">
        <f t="shared" si="0"/>
        <v>961</v>
      </c>
      <c r="AJ19" s="450"/>
      <c r="AK19" s="450"/>
      <c r="AL19" s="450"/>
      <c r="AM19" s="450"/>
      <c r="AN19" s="450"/>
      <c r="AO19" s="450"/>
      <c r="AP19" s="450"/>
      <c r="AQ19" s="450"/>
      <c r="AR19" s="450"/>
      <c r="AS19" s="450"/>
      <c r="AT19" s="450"/>
    </row>
    <row r="20" spans="1:46" s="451" customFormat="1" ht="9.9499999999999993" hidden="1" customHeight="1" x14ac:dyDescent="0.2">
      <c r="A20" s="425" t="s">
        <v>945</v>
      </c>
      <c r="B20" s="450"/>
      <c r="C20" s="450">
        <f>+SORECGFws!K11</f>
        <v>0</v>
      </c>
      <c r="D20" s="450"/>
      <c r="E20" s="450">
        <f>+SORECGFws!L11</f>
        <v>0</v>
      </c>
      <c r="F20" s="450"/>
      <c r="G20" s="450">
        <f>+SORECGFws!M11</f>
        <v>0</v>
      </c>
      <c r="H20" s="450"/>
      <c r="I20" s="450">
        <f>+SORECGFws!N11</f>
        <v>0</v>
      </c>
      <c r="J20" s="450"/>
      <c r="K20" s="450">
        <f>+SORECGFws!O11</f>
        <v>0</v>
      </c>
      <c r="L20" s="450"/>
      <c r="M20" s="450">
        <f>+SORECGFws!P11</f>
        <v>0</v>
      </c>
      <c r="N20" s="450"/>
      <c r="O20" s="450">
        <f>+SORECGFws!Q11</f>
        <v>0</v>
      </c>
      <c r="P20" s="450"/>
      <c r="Q20" s="450">
        <f>SORECGFws!R11</f>
        <v>0</v>
      </c>
      <c r="R20" s="450"/>
      <c r="S20" s="450">
        <f>SORECGFws!S11</f>
        <v>0</v>
      </c>
      <c r="T20" s="450"/>
      <c r="U20" s="450">
        <f>+SORECGFws!U11</f>
        <v>0</v>
      </c>
      <c r="V20" s="450"/>
      <c r="W20" s="450">
        <f>+SORECGFws!V11</f>
        <v>0</v>
      </c>
      <c r="X20" s="450"/>
      <c r="Y20" s="450">
        <f>+SORECGFws!W11</f>
        <v>0</v>
      </c>
      <c r="Z20" s="450"/>
      <c r="AA20" s="450"/>
      <c r="AB20" s="450"/>
      <c r="AC20" s="450">
        <f>+SORECGFws!X11</f>
        <v>0</v>
      </c>
      <c r="AD20" s="450"/>
      <c r="AE20" s="450"/>
      <c r="AF20" s="450"/>
      <c r="AG20" s="450">
        <f>+SORECGFws!T11</f>
        <v>0</v>
      </c>
      <c r="AH20" s="450"/>
      <c r="AI20" s="450">
        <f t="shared" si="0"/>
        <v>0</v>
      </c>
      <c r="AJ20" s="450"/>
      <c r="AK20" s="450"/>
      <c r="AL20" s="450"/>
      <c r="AM20" s="450"/>
      <c r="AN20" s="450"/>
      <c r="AO20" s="450"/>
      <c r="AP20" s="450"/>
      <c r="AQ20" s="450"/>
      <c r="AR20" s="450"/>
      <c r="AS20" s="450"/>
      <c r="AT20" s="450"/>
    </row>
    <row r="21" spans="1:46" s="451" customFormat="1" ht="9.9499999999999993" customHeight="1" x14ac:dyDescent="0.2">
      <c r="A21" s="425" t="s">
        <v>946</v>
      </c>
      <c r="B21" s="450"/>
      <c r="C21" s="450">
        <f>+SORECGFws!K12</f>
        <v>0</v>
      </c>
      <c r="D21" s="450"/>
      <c r="E21" s="450">
        <f>+SORECGFws!L12</f>
        <v>0</v>
      </c>
      <c r="F21" s="450"/>
      <c r="G21" s="450">
        <f>+SORECGFws!M12</f>
        <v>0</v>
      </c>
      <c r="H21" s="450"/>
      <c r="I21" s="450">
        <f>+SORECGFws!N12</f>
        <v>7940</v>
      </c>
      <c r="J21" s="450"/>
      <c r="K21" s="450">
        <f>+SORECGFws!O12</f>
        <v>6365</v>
      </c>
      <c r="L21" s="450"/>
      <c r="M21" s="450">
        <f>+SORECGFws!P12</f>
        <v>0</v>
      </c>
      <c r="N21" s="450"/>
      <c r="O21" s="450">
        <f>+SORECGFws!Q12</f>
        <v>0</v>
      </c>
      <c r="P21" s="450"/>
      <c r="Q21" s="450">
        <f>SORECGFws!R12</f>
        <v>0</v>
      </c>
      <c r="R21" s="450"/>
      <c r="S21" s="450">
        <f>SORECGFws!S12</f>
        <v>0</v>
      </c>
      <c r="T21" s="450"/>
      <c r="U21" s="450">
        <f>+SORECGFws!U12</f>
        <v>0</v>
      </c>
      <c r="V21" s="450"/>
      <c r="W21" s="450">
        <f>+SORECGFws!V12</f>
        <v>0</v>
      </c>
      <c r="X21" s="450"/>
      <c r="Y21" s="450">
        <f>+SORECGFws!W12</f>
        <v>0</v>
      </c>
      <c r="Z21" s="450"/>
      <c r="AA21" s="450"/>
      <c r="AB21" s="450"/>
      <c r="AC21" s="450">
        <f>+SORECGFws!X12</f>
        <v>0</v>
      </c>
      <c r="AD21" s="450"/>
      <c r="AE21" s="450"/>
      <c r="AF21" s="450"/>
      <c r="AG21" s="450">
        <f>+SORECGFws!T12</f>
        <v>0</v>
      </c>
      <c r="AH21" s="450"/>
      <c r="AI21" s="450">
        <f t="shared" si="0"/>
        <v>14305</v>
      </c>
      <c r="AJ21" s="450"/>
      <c r="AK21" s="450"/>
      <c r="AL21" s="450"/>
      <c r="AM21" s="450"/>
      <c r="AN21" s="450"/>
      <c r="AO21" s="450"/>
      <c r="AP21" s="450"/>
      <c r="AQ21" s="450"/>
      <c r="AR21" s="450"/>
      <c r="AS21" s="450"/>
      <c r="AT21" s="450"/>
    </row>
    <row r="22" spans="1:46" s="451" customFormat="1" ht="9.9499999999999993" hidden="1" customHeight="1" x14ac:dyDescent="0.2">
      <c r="A22" s="425" t="s">
        <v>947</v>
      </c>
      <c r="B22" s="450"/>
      <c r="C22" s="450">
        <f>+SORECGFws!K13</f>
        <v>0</v>
      </c>
      <c r="D22" s="450"/>
      <c r="E22" s="450">
        <f>+SORECGFws!L13</f>
        <v>0</v>
      </c>
      <c r="F22" s="450"/>
      <c r="G22" s="450">
        <f>+SORECGFws!M13</f>
        <v>0</v>
      </c>
      <c r="H22" s="450"/>
      <c r="I22" s="450">
        <f>+SORECGFws!N13</f>
        <v>0</v>
      </c>
      <c r="J22" s="450"/>
      <c r="K22" s="450">
        <f>+SORECGFws!O13</f>
        <v>0</v>
      </c>
      <c r="L22" s="450"/>
      <c r="M22" s="450">
        <f>+SORECGFws!P13</f>
        <v>0</v>
      </c>
      <c r="N22" s="450"/>
      <c r="O22" s="450">
        <f>+SORECGFws!Q13</f>
        <v>0</v>
      </c>
      <c r="P22" s="450"/>
      <c r="Q22" s="450">
        <f>SORECGFws!R13</f>
        <v>0</v>
      </c>
      <c r="R22" s="450"/>
      <c r="S22" s="450">
        <f>SORECGFws!S13</f>
        <v>0</v>
      </c>
      <c r="T22" s="450"/>
      <c r="U22" s="450">
        <f>+SORECGFws!U13</f>
        <v>0</v>
      </c>
      <c r="V22" s="450"/>
      <c r="W22" s="450">
        <f>+SORECGFws!V13</f>
        <v>0</v>
      </c>
      <c r="X22" s="450"/>
      <c r="Y22" s="450">
        <f>+SORECGFws!W13</f>
        <v>0</v>
      </c>
      <c r="Z22" s="450"/>
      <c r="AA22" s="450"/>
      <c r="AB22" s="450"/>
      <c r="AC22" s="450">
        <f>+SORECGFws!X13</f>
        <v>0</v>
      </c>
      <c r="AD22" s="450"/>
      <c r="AE22" s="450"/>
      <c r="AF22" s="450"/>
      <c r="AG22" s="450">
        <f>+SORECGFws!T13</f>
        <v>0</v>
      </c>
      <c r="AH22" s="450"/>
      <c r="AI22" s="450">
        <f t="shared" si="0"/>
        <v>0</v>
      </c>
      <c r="AJ22" s="450"/>
      <c r="AK22" s="450"/>
      <c r="AL22" s="450"/>
      <c r="AM22" s="450"/>
      <c r="AN22" s="450"/>
      <c r="AO22" s="450"/>
      <c r="AP22" s="450"/>
      <c r="AQ22" s="450"/>
      <c r="AR22" s="450"/>
      <c r="AS22" s="450"/>
      <c r="AT22" s="450"/>
    </row>
    <row r="23" spans="1:46" s="451" customFormat="1" ht="9.9499999999999993" customHeight="1" x14ac:dyDescent="0.2">
      <c r="A23" s="425" t="s">
        <v>948</v>
      </c>
      <c r="B23" s="450"/>
      <c r="C23" s="450">
        <f>+SORECGFws!K14</f>
        <v>0</v>
      </c>
      <c r="D23" s="450"/>
      <c r="E23" s="450">
        <f>+SORECGFws!L14</f>
        <v>0</v>
      </c>
      <c r="F23" s="450"/>
      <c r="G23" s="450">
        <f>+SORECGFws!M14</f>
        <v>0</v>
      </c>
      <c r="H23" s="450"/>
      <c r="I23" s="450">
        <f>+SORECGFws!N14</f>
        <v>40523</v>
      </c>
      <c r="J23" s="450"/>
      <c r="K23" s="450">
        <f>+SORECGFws!O14</f>
        <v>13740</v>
      </c>
      <c r="L23" s="450"/>
      <c r="M23" s="450">
        <f>+SORECGFws!P14</f>
        <v>0</v>
      </c>
      <c r="N23" s="450"/>
      <c r="O23" s="450">
        <f>+SORECGFws!Q14</f>
        <v>0</v>
      </c>
      <c r="P23" s="450"/>
      <c r="Q23" s="450">
        <f>SORECGFws!R14</f>
        <v>0</v>
      </c>
      <c r="R23" s="450"/>
      <c r="S23" s="450">
        <f>SORECGFws!S14</f>
        <v>0</v>
      </c>
      <c r="T23" s="450"/>
      <c r="U23" s="450">
        <f>+SORECGFws!U14</f>
        <v>5033</v>
      </c>
      <c r="V23" s="450"/>
      <c r="W23" s="450">
        <f>+SORECGFws!V14</f>
        <v>0</v>
      </c>
      <c r="X23" s="450"/>
      <c r="Y23" s="450">
        <f>+SORECGFws!W14</f>
        <v>63659</v>
      </c>
      <c r="Z23" s="450"/>
      <c r="AA23" s="450"/>
      <c r="AB23" s="450"/>
      <c r="AC23" s="450">
        <f>+SORECGFws!X14</f>
        <v>0</v>
      </c>
      <c r="AD23" s="450"/>
      <c r="AE23" s="450"/>
      <c r="AF23" s="450"/>
      <c r="AG23" s="450">
        <f>+SORECGFws!T14</f>
        <v>11356</v>
      </c>
      <c r="AH23" s="450"/>
      <c r="AI23" s="450">
        <f t="shared" si="0"/>
        <v>134311</v>
      </c>
      <c r="AJ23" s="450"/>
      <c r="AK23" s="450"/>
      <c r="AL23" s="450"/>
      <c r="AM23" s="450"/>
      <c r="AN23" s="450"/>
      <c r="AO23" s="450"/>
      <c r="AP23" s="450"/>
      <c r="AQ23" s="450"/>
      <c r="AR23" s="450"/>
      <c r="AS23" s="450"/>
      <c r="AT23" s="450"/>
    </row>
    <row r="24" spans="1:46" s="451" customFormat="1" ht="9.9499999999999993" customHeight="1" x14ac:dyDescent="0.2">
      <c r="A24" s="425" t="s">
        <v>16</v>
      </c>
      <c r="B24" s="450"/>
      <c r="C24" s="450">
        <f>+SORECGFws!K15</f>
        <v>0</v>
      </c>
      <c r="D24" s="450"/>
      <c r="E24" s="450">
        <f>+SORECGFws!L15</f>
        <v>0</v>
      </c>
      <c r="F24" s="450"/>
      <c r="G24" s="450">
        <f>+SORECGFws!M15</f>
        <v>0</v>
      </c>
      <c r="H24" s="450"/>
      <c r="I24" s="450">
        <f>+SORECGFws!N15</f>
        <v>0</v>
      </c>
      <c r="J24" s="450"/>
      <c r="K24" s="450">
        <f>+SORECGFws!O15</f>
        <v>304</v>
      </c>
      <c r="L24" s="450"/>
      <c r="M24" s="450">
        <f>+SORECGFws!P15</f>
        <v>0</v>
      </c>
      <c r="N24" s="450"/>
      <c r="O24" s="450">
        <f>+SORECGFws!Q15</f>
        <v>0</v>
      </c>
      <c r="P24" s="450"/>
      <c r="Q24" s="450">
        <f>SORECGFws!R15</f>
        <v>0</v>
      </c>
      <c r="R24" s="450"/>
      <c r="S24" s="450">
        <f>SORECGFws!S15</f>
        <v>0</v>
      </c>
      <c r="T24" s="450"/>
      <c r="U24" s="450">
        <f>+SORECGFws!U15</f>
        <v>0</v>
      </c>
      <c r="V24" s="450"/>
      <c r="W24" s="450">
        <f>+SORECGFws!V15</f>
        <v>0</v>
      </c>
      <c r="X24" s="450"/>
      <c r="Y24" s="450">
        <f>+SORECGFws!W15</f>
        <v>0</v>
      </c>
      <c r="Z24" s="450"/>
      <c r="AA24" s="450"/>
      <c r="AB24" s="450"/>
      <c r="AC24" s="450">
        <f>+SORECGFws!X15</f>
        <v>0</v>
      </c>
      <c r="AD24" s="450"/>
      <c r="AE24" s="450"/>
      <c r="AF24" s="450"/>
      <c r="AG24" s="450">
        <f>+SORECGFws!T15</f>
        <v>0</v>
      </c>
      <c r="AH24" s="450"/>
      <c r="AI24" s="450">
        <f t="shared" si="0"/>
        <v>304</v>
      </c>
      <c r="AJ24" s="450"/>
      <c r="AK24" s="450"/>
      <c r="AL24" s="450"/>
      <c r="AM24" s="450"/>
      <c r="AN24" s="450"/>
      <c r="AO24" s="450"/>
      <c r="AP24" s="450"/>
      <c r="AQ24" s="450"/>
      <c r="AR24" s="450"/>
      <c r="AS24" s="450"/>
      <c r="AT24" s="450"/>
    </row>
    <row r="25" spans="1:46" s="451" customFormat="1" ht="9.9499999999999993" customHeight="1" x14ac:dyDescent="0.2">
      <c r="A25" s="425" t="s">
        <v>775</v>
      </c>
      <c r="B25" s="450"/>
      <c r="C25" s="450">
        <f>+SORECGFws!K16</f>
        <v>0</v>
      </c>
      <c r="D25" s="450"/>
      <c r="E25" s="450">
        <f>+SORECGFws!L16</f>
        <v>0</v>
      </c>
      <c r="F25" s="450"/>
      <c r="G25" s="450">
        <f>+SORECGFws!M16</f>
        <v>0</v>
      </c>
      <c r="H25" s="450"/>
      <c r="I25" s="450">
        <f>+SORECGFws!N16</f>
        <v>1000</v>
      </c>
      <c r="J25" s="450"/>
      <c r="K25" s="450">
        <f>+SORECGFws!O16</f>
        <v>8561</v>
      </c>
      <c r="L25" s="450"/>
      <c r="M25" s="450">
        <f>+SORECGFws!P16</f>
        <v>12</v>
      </c>
      <c r="N25" s="450"/>
      <c r="O25" s="450">
        <f>+SORECGFws!Q16</f>
        <v>0</v>
      </c>
      <c r="P25" s="450"/>
      <c r="Q25" s="450">
        <f>SORECGFws!R16</f>
        <v>38410</v>
      </c>
      <c r="R25" s="450"/>
      <c r="S25" s="450">
        <f>SORECGFws!S16</f>
        <v>2898</v>
      </c>
      <c r="T25" s="450"/>
      <c r="U25" s="450">
        <f>+SORECGFws!U16</f>
        <v>1</v>
      </c>
      <c r="V25" s="450"/>
      <c r="W25" s="450">
        <f>+SORECGFws!V16</f>
        <v>0</v>
      </c>
      <c r="X25" s="450"/>
      <c r="Y25" s="450">
        <f>+SORECGFws!W16</f>
        <v>36</v>
      </c>
      <c r="Z25" s="450"/>
      <c r="AA25" s="450"/>
      <c r="AB25" s="450"/>
      <c r="AC25" s="450">
        <f>+SORECGFws!X16</f>
        <v>0</v>
      </c>
      <c r="AD25" s="450"/>
      <c r="AE25" s="450"/>
      <c r="AF25" s="450"/>
      <c r="AG25" s="450">
        <f>+SORECGFws!T16</f>
        <v>0</v>
      </c>
      <c r="AH25" s="450"/>
      <c r="AI25" s="450">
        <f t="shared" si="0"/>
        <v>50918</v>
      </c>
      <c r="AJ25" s="450"/>
      <c r="AK25" s="450"/>
      <c r="AL25" s="450"/>
      <c r="AM25" s="450"/>
      <c r="AN25" s="450"/>
      <c r="AO25" s="450"/>
      <c r="AP25" s="450"/>
      <c r="AQ25" s="450"/>
      <c r="AR25" s="450"/>
      <c r="AS25" s="450"/>
      <c r="AT25" s="450"/>
    </row>
    <row r="26" spans="1:46" s="451" customFormat="1" ht="9.9499999999999993" customHeight="1" x14ac:dyDescent="0.2">
      <c r="A26" s="349" t="s">
        <v>1664</v>
      </c>
      <c r="B26" s="450"/>
      <c r="C26" s="450">
        <f>+SORECGFws!K17</f>
        <v>895</v>
      </c>
      <c r="D26" s="450"/>
      <c r="E26" s="450">
        <f>+SORECGFws!L17</f>
        <v>0</v>
      </c>
      <c r="F26" s="450"/>
      <c r="G26" s="450">
        <f>+SORECGFws!M17</f>
        <v>0</v>
      </c>
      <c r="H26" s="450"/>
      <c r="I26" s="450">
        <f>+SORECGFws!N17</f>
        <v>9101</v>
      </c>
      <c r="J26" s="450"/>
      <c r="K26" s="450">
        <f>+SORECGFws!O17</f>
        <v>6658</v>
      </c>
      <c r="L26" s="450"/>
      <c r="M26" s="450">
        <f>+SORECGFws!P17</f>
        <v>272</v>
      </c>
      <c r="N26" s="450"/>
      <c r="O26" s="450">
        <f>+SORECGFws!Q17</f>
        <v>1705</v>
      </c>
      <c r="P26" s="450"/>
      <c r="Q26" s="450">
        <f>SORECGFws!R17</f>
        <v>62</v>
      </c>
      <c r="R26" s="450"/>
      <c r="S26" s="450">
        <f>SORECGFws!S17</f>
        <v>78</v>
      </c>
      <c r="T26" s="450"/>
      <c r="U26" s="450">
        <f>+SORECGFws!U17</f>
        <v>182</v>
      </c>
      <c r="V26" s="450"/>
      <c r="W26" s="450">
        <f>+SORECGFws!V17</f>
        <v>811</v>
      </c>
      <c r="X26" s="450"/>
      <c r="Y26" s="450">
        <f>+SORECGFws!W17</f>
        <v>3141</v>
      </c>
      <c r="Z26" s="450"/>
      <c r="AA26" s="450"/>
      <c r="AB26" s="450"/>
      <c r="AC26" s="450">
        <f>+SORECGFws!X17</f>
        <v>3389</v>
      </c>
      <c r="AD26" s="450"/>
      <c r="AE26" s="450"/>
      <c r="AF26" s="450"/>
      <c r="AG26" s="450">
        <f>+SORECGFws!T17</f>
        <v>4</v>
      </c>
      <c r="AH26" s="450"/>
      <c r="AI26" s="450">
        <f t="shared" si="0"/>
        <v>26298</v>
      </c>
      <c r="AJ26" s="450"/>
      <c r="AK26" s="450"/>
      <c r="AL26" s="450"/>
      <c r="AM26" s="450"/>
      <c r="AN26" s="450"/>
      <c r="AO26" s="450"/>
      <c r="AP26" s="450"/>
      <c r="AQ26" s="450"/>
      <c r="AR26" s="450"/>
      <c r="AS26" s="450"/>
      <c r="AT26" s="450"/>
    </row>
    <row r="27" spans="1:46" s="451" customFormat="1" ht="9.9499999999999993" customHeight="1" x14ac:dyDescent="0.2">
      <c r="A27" s="425" t="s">
        <v>766</v>
      </c>
      <c r="B27" s="450"/>
      <c r="C27" s="455">
        <f>+SORECGFws!K18</f>
        <v>0</v>
      </c>
      <c r="D27" s="450"/>
      <c r="E27" s="455">
        <f>+SORECGFws!L18</f>
        <v>0</v>
      </c>
      <c r="F27" s="450"/>
      <c r="G27" s="455">
        <f>+SORECGFws!M18</f>
        <v>0</v>
      </c>
      <c r="H27" s="450"/>
      <c r="I27" s="455">
        <f>+SORECGFws!N18</f>
        <v>10</v>
      </c>
      <c r="J27" s="450"/>
      <c r="K27" s="455">
        <f>+SORECGFws!O18</f>
        <v>2665</v>
      </c>
      <c r="L27" s="450"/>
      <c r="M27" s="455">
        <f>+SORECGFws!P18</f>
        <v>0</v>
      </c>
      <c r="N27" s="450"/>
      <c r="O27" s="455">
        <f>+SORECGFws!Q18</f>
        <v>0</v>
      </c>
      <c r="P27" s="450"/>
      <c r="Q27" s="455">
        <f>SORECGFws!R18</f>
        <v>0</v>
      </c>
      <c r="R27" s="450"/>
      <c r="S27" s="455">
        <f>SORECGFws!S18</f>
        <v>0</v>
      </c>
      <c r="T27" s="450"/>
      <c r="U27" s="455">
        <f>+SORECGFws!U18</f>
        <v>0</v>
      </c>
      <c r="V27" s="450"/>
      <c r="W27" s="455">
        <f>+SORECGFws!V18</f>
        <v>0</v>
      </c>
      <c r="X27" s="450"/>
      <c r="Y27" s="455">
        <f>+SORECGFws!W18</f>
        <v>0</v>
      </c>
      <c r="Z27" s="450"/>
      <c r="AA27" s="455"/>
      <c r="AB27" s="450"/>
      <c r="AC27" s="455">
        <f>+SORECGFws!X18</f>
        <v>0</v>
      </c>
      <c r="AD27" s="450"/>
      <c r="AE27" s="455"/>
      <c r="AF27" s="450"/>
      <c r="AG27" s="455">
        <f>+SORECGFws!T18</f>
        <v>0</v>
      </c>
      <c r="AH27" s="450"/>
      <c r="AI27" s="450">
        <f t="shared" si="0"/>
        <v>2675</v>
      </c>
      <c r="AJ27" s="450"/>
      <c r="AK27" s="450"/>
      <c r="AL27" s="450"/>
      <c r="AM27" s="450"/>
      <c r="AN27" s="450"/>
      <c r="AO27" s="450"/>
      <c r="AP27" s="450"/>
      <c r="AQ27" s="450"/>
      <c r="AR27" s="450"/>
      <c r="AS27" s="450"/>
      <c r="AT27" s="450"/>
    </row>
    <row r="28" spans="1:46" s="451" customFormat="1" ht="5.0999999999999996" customHeight="1" x14ac:dyDescent="0.2">
      <c r="A28" s="450"/>
      <c r="B28" s="450"/>
      <c r="C28" s="452"/>
      <c r="D28" s="450"/>
      <c r="E28" s="452"/>
      <c r="F28" s="450"/>
      <c r="G28" s="452"/>
      <c r="H28" s="450"/>
      <c r="I28" s="452"/>
      <c r="J28" s="450"/>
      <c r="K28" s="452"/>
      <c r="L28" s="450"/>
      <c r="M28" s="452"/>
      <c r="N28" s="450"/>
      <c r="O28" s="452"/>
      <c r="P28" s="450"/>
      <c r="Q28" s="452"/>
      <c r="R28" s="450"/>
      <c r="S28" s="452"/>
      <c r="T28" s="450"/>
      <c r="U28" s="452"/>
      <c r="V28" s="450"/>
      <c r="W28" s="452"/>
      <c r="X28" s="450"/>
      <c r="Y28" s="452"/>
      <c r="Z28" s="450"/>
      <c r="AA28" s="452"/>
      <c r="AB28" s="450"/>
      <c r="AC28" s="452"/>
      <c r="AD28" s="450"/>
      <c r="AE28" s="452"/>
      <c r="AF28" s="450"/>
      <c r="AG28" s="452"/>
      <c r="AH28" s="450"/>
      <c r="AI28" s="452"/>
      <c r="AJ28" s="450"/>
      <c r="AK28" s="450"/>
      <c r="AL28" s="450"/>
      <c r="AM28" s="450"/>
      <c r="AN28" s="450"/>
      <c r="AO28" s="450"/>
      <c r="AP28" s="450"/>
      <c r="AQ28" s="450"/>
      <c r="AR28" s="450"/>
      <c r="AS28" s="450"/>
      <c r="AT28" s="450"/>
    </row>
    <row r="29" spans="1:46" s="451" customFormat="1" ht="11.1" customHeight="1" x14ac:dyDescent="0.2">
      <c r="A29" s="417" t="s">
        <v>950</v>
      </c>
      <c r="B29" s="450"/>
      <c r="C29" s="455">
        <f>SUM(C14:C27)</f>
        <v>25626</v>
      </c>
      <c r="D29" s="450"/>
      <c r="E29" s="455">
        <f>SUM(E14:E27)</f>
        <v>0</v>
      </c>
      <c r="F29" s="450"/>
      <c r="G29" s="455">
        <f>SUM(G14:G27)</f>
        <v>0</v>
      </c>
      <c r="H29" s="450"/>
      <c r="I29" s="455">
        <f>SUM(I14:I27)</f>
        <v>136570</v>
      </c>
      <c r="J29" s="450"/>
      <c r="K29" s="455">
        <f>SUM(K14:K27)</f>
        <v>56943</v>
      </c>
      <c r="L29" s="450"/>
      <c r="M29" s="455">
        <f>SUM(M14:M27)</f>
        <v>22572</v>
      </c>
      <c r="N29" s="450"/>
      <c r="O29" s="455">
        <f>SUM(O14:O27)</f>
        <v>1705</v>
      </c>
      <c r="P29" s="450"/>
      <c r="Q29" s="455">
        <f>SUM(Q14:Q27)</f>
        <v>88712</v>
      </c>
      <c r="R29" s="450"/>
      <c r="S29" s="455">
        <f>SUM(S14:S27)</f>
        <v>53216</v>
      </c>
      <c r="T29" s="450"/>
      <c r="U29" s="455">
        <f>SUM(U14:U27)</f>
        <v>5216</v>
      </c>
      <c r="V29" s="450"/>
      <c r="W29" s="455">
        <f>SUM(W14:W27)</f>
        <v>811</v>
      </c>
      <c r="X29" s="450"/>
      <c r="Y29" s="455">
        <f>SUM(Y14:Y27)</f>
        <v>66836</v>
      </c>
      <c r="Z29" s="450"/>
      <c r="AA29" s="455">
        <f>SUM(AA14:AA27)</f>
        <v>0</v>
      </c>
      <c r="AB29" s="450"/>
      <c r="AC29" s="455">
        <f>SUM(AC14:AC27)</f>
        <v>47929</v>
      </c>
      <c r="AD29" s="450"/>
      <c r="AE29" s="455">
        <f>SUM(AE14:AE27)</f>
        <v>0</v>
      </c>
      <c r="AF29" s="450"/>
      <c r="AG29" s="455">
        <f>SUM(AG14:AG27)</f>
        <v>11360</v>
      </c>
      <c r="AH29" s="450"/>
      <c r="AI29" s="455">
        <f>SUM(AI14:AI27)</f>
        <v>517496</v>
      </c>
      <c r="AJ29" s="450"/>
      <c r="AK29" s="450"/>
      <c r="AL29" s="450"/>
      <c r="AM29" s="450"/>
      <c r="AN29" s="450"/>
      <c r="AO29" s="450"/>
      <c r="AP29" s="450"/>
      <c r="AQ29" s="450"/>
      <c r="AR29" s="450"/>
      <c r="AS29" s="450"/>
      <c r="AT29" s="450"/>
    </row>
    <row r="30" spans="1:46" s="451" customFormat="1" ht="5.0999999999999996" customHeight="1" x14ac:dyDescent="0.2">
      <c r="A30" s="450"/>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c r="AJ30" s="450"/>
      <c r="AK30" s="450"/>
      <c r="AL30" s="450"/>
      <c r="AM30" s="450"/>
      <c r="AN30" s="450"/>
      <c r="AO30" s="450"/>
      <c r="AP30" s="450"/>
      <c r="AQ30" s="450"/>
      <c r="AR30" s="450"/>
      <c r="AS30" s="450"/>
      <c r="AT30" s="450"/>
    </row>
    <row r="31" spans="1:46" s="451" customFormat="1" ht="9.9499999999999993" customHeight="1" x14ac:dyDescent="0.2">
      <c r="A31" s="417" t="s">
        <v>590</v>
      </c>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450"/>
      <c r="AJ31" s="450"/>
      <c r="AK31" s="450"/>
      <c r="AL31" s="450"/>
      <c r="AM31" s="450"/>
      <c r="AN31" s="450"/>
      <c r="AO31" s="450"/>
      <c r="AP31" s="450"/>
      <c r="AQ31" s="450"/>
      <c r="AR31" s="450"/>
      <c r="AS31" s="450"/>
      <c r="AT31" s="450"/>
    </row>
    <row r="32" spans="1:46" s="451" customFormat="1" ht="9.9499999999999993" customHeight="1" x14ac:dyDescent="0.2">
      <c r="A32" s="425" t="s">
        <v>952</v>
      </c>
      <c r="B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0"/>
      <c r="AF32" s="450"/>
      <c r="AG32" s="450"/>
      <c r="AH32" s="450"/>
      <c r="AI32" s="450"/>
      <c r="AJ32" s="450"/>
      <c r="AK32" s="450"/>
      <c r="AL32" s="450"/>
      <c r="AM32" s="450"/>
      <c r="AN32" s="450"/>
      <c r="AO32" s="450"/>
      <c r="AP32" s="450"/>
      <c r="AQ32" s="450"/>
      <c r="AR32" s="450"/>
      <c r="AS32" s="450"/>
      <c r="AT32" s="450"/>
    </row>
    <row r="33" spans="1:46" s="451" customFormat="1" ht="9.9499999999999993" customHeight="1" x14ac:dyDescent="0.2">
      <c r="A33" s="426" t="s">
        <v>953</v>
      </c>
      <c r="B33" s="450"/>
      <c r="C33" s="450">
        <f>+SORECGFws!K23</f>
        <v>0</v>
      </c>
      <c r="D33" s="450"/>
      <c r="E33" s="450">
        <f>+SORECGFws!L23</f>
        <v>0</v>
      </c>
      <c r="F33" s="450"/>
      <c r="G33" s="450">
        <f>+SORECGFws!M23</f>
        <v>0</v>
      </c>
      <c r="H33" s="450"/>
      <c r="I33" s="450">
        <f>+SORECGFws!N23</f>
        <v>0</v>
      </c>
      <c r="J33" s="450"/>
      <c r="K33" s="450">
        <f>+SORECGFws!O23</f>
        <v>5574</v>
      </c>
      <c r="L33" s="450"/>
      <c r="M33" s="450">
        <f>+SORECGFws!P23</f>
        <v>0</v>
      </c>
      <c r="N33" s="450"/>
      <c r="O33" s="450">
        <f>+SORECGFws!Q23</f>
        <v>0</v>
      </c>
      <c r="P33" s="450"/>
      <c r="Q33" s="450">
        <f>SORECGFws!R23</f>
        <v>0</v>
      </c>
      <c r="R33" s="450"/>
      <c r="S33" s="450">
        <f>SORECGFws!S23</f>
        <v>0</v>
      </c>
      <c r="T33" s="450"/>
      <c r="U33" s="450">
        <f>+SORECGFws!U23</f>
        <v>0</v>
      </c>
      <c r="V33" s="450"/>
      <c r="W33" s="450">
        <f>+SORECGFws!V23</f>
        <v>0</v>
      </c>
      <c r="X33" s="450"/>
      <c r="Y33" s="450">
        <f>+SORECGFws!W23</f>
        <v>0</v>
      </c>
      <c r="Z33" s="450"/>
      <c r="AA33" s="450"/>
      <c r="AB33" s="450"/>
      <c r="AC33" s="450">
        <f>+SORECGFws!X23</f>
        <v>0</v>
      </c>
      <c r="AD33" s="450"/>
      <c r="AE33" s="450"/>
      <c r="AF33" s="450"/>
      <c r="AG33" s="450">
        <f>+SORECGFws!T23</f>
        <v>0</v>
      </c>
      <c r="AH33" s="450"/>
      <c r="AI33" s="450">
        <f t="shared" ref="AI33:AI56" si="1">SUM(C33:AG33)</f>
        <v>5574</v>
      </c>
      <c r="AJ33" s="450"/>
      <c r="AK33" s="450"/>
      <c r="AL33" s="450"/>
      <c r="AM33" s="450"/>
      <c r="AN33" s="450"/>
      <c r="AO33" s="450"/>
      <c r="AP33" s="450"/>
      <c r="AQ33" s="450"/>
      <c r="AR33" s="450"/>
      <c r="AS33" s="450"/>
      <c r="AT33" s="450"/>
    </row>
    <row r="34" spans="1:46" s="451" customFormat="1" ht="9.9499999999999993" customHeight="1" x14ac:dyDescent="0.2">
      <c r="A34" s="426" t="s">
        <v>954</v>
      </c>
      <c r="B34" s="450"/>
      <c r="C34" s="450">
        <f>+SORECGFws!K24</f>
        <v>0</v>
      </c>
      <c r="D34" s="450"/>
      <c r="E34" s="450">
        <f>+SORECGFws!L24</f>
        <v>0</v>
      </c>
      <c r="F34" s="450"/>
      <c r="G34" s="450">
        <f>+SORECGFws!M24</f>
        <v>0</v>
      </c>
      <c r="H34" s="450"/>
      <c r="I34" s="450">
        <f>+SORECGFws!N24</f>
        <v>0</v>
      </c>
      <c r="J34" s="450"/>
      <c r="K34" s="450">
        <f>+SORECGFws!O24</f>
        <v>9700</v>
      </c>
      <c r="L34" s="450"/>
      <c r="M34" s="450">
        <f>+SORECGFws!P24</f>
        <v>0</v>
      </c>
      <c r="N34" s="450"/>
      <c r="O34" s="450">
        <f>+SORECGFws!Q24</f>
        <v>0</v>
      </c>
      <c r="P34" s="450"/>
      <c r="Q34" s="450">
        <f>SORECGFws!R24</f>
        <v>0</v>
      </c>
      <c r="R34" s="450"/>
      <c r="S34" s="450">
        <f>SORECGFws!S24</f>
        <v>0</v>
      </c>
      <c r="T34" s="450"/>
      <c r="U34" s="450">
        <f>+SORECGFws!U24</f>
        <v>0</v>
      </c>
      <c r="V34" s="450"/>
      <c r="W34" s="450">
        <f>+SORECGFws!V24</f>
        <v>0</v>
      </c>
      <c r="X34" s="450"/>
      <c r="Y34" s="450">
        <f>+SORECGFws!W24</f>
        <v>0</v>
      </c>
      <c r="Z34" s="450"/>
      <c r="AA34" s="450"/>
      <c r="AB34" s="450"/>
      <c r="AC34" s="450">
        <f>+SORECGFws!X24</f>
        <v>0</v>
      </c>
      <c r="AD34" s="450"/>
      <c r="AE34" s="450"/>
      <c r="AF34" s="450"/>
      <c r="AG34" s="450">
        <f>+SORECGFws!T24</f>
        <v>0</v>
      </c>
      <c r="AH34" s="450"/>
      <c r="AI34" s="450">
        <f t="shared" si="1"/>
        <v>9700</v>
      </c>
      <c r="AJ34" s="450"/>
      <c r="AK34" s="450"/>
      <c r="AL34" s="450"/>
      <c r="AM34" s="450"/>
      <c r="AN34" s="450"/>
      <c r="AO34" s="450"/>
      <c r="AP34" s="450"/>
      <c r="AQ34" s="450"/>
      <c r="AR34" s="450"/>
      <c r="AS34" s="450"/>
      <c r="AT34" s="450"/>
    </row>
    <row r="35" spans="1:46" s="451" customFormat="1" ht="9.9499999999999993" customHeight="1" x14ac:dyDescent="0.2">
      <c r="A35" s="426" t="s">
        <v>955</v>
      </c>
      <c r="B35" s="450"/>
      <c r="C35" s="450">
        <f>+SORECGFws!K25</f>
        <v>8384</v>
      </c>
      <c r="D35" s="450"/>
      <c r="E35" s="450">
        <f>+SORECGFws!L25</f>
        <v>0</v>
      </c>
      <c r="F35" s="450"/>
      <c r="G35" s="450">
        <f>+SORECGFws!M25</f>
        <v>0</v>
      </c>
      <c r="H35" s="450"/>
      <c r="I35" s="450">
        <f>+SORECGFws!N25</f>
        <v>0</v>
      </c>
      <c r="J35" s="450"/>
      <c r="K35" s="450">
        <f>+SORECGFws!O25</f>
        <v>4733</v>
      </c>
      <c r="L35" s="450"/>
      <c r="M35" s="450">
        <f>+SORECGFws!P25</f>
        <v>0</v>
      </c>
      <c r="N35" s="450"/>
      <c r="O35" s="450">
        <f>+SORECGFws!Q25</f>
        <v>0</v>
      </c>
      <c r="P35" s="450"/>
      <c r="Q35" s="450">
        <f>SORECGFws!R25</f>
        <v>0</v>
      </c>
      <c r="R35" s="450"/>
      <c r="S35" s="450">
        <f>SORECGFws!S25</f>
        <v>0</v>
      </c>
      <c r="T35" s="450"/>
      <c r="U35" s="450">
        <f>+SORECGFws!U25</f>
        <v>4002</v>
      </c>
      <c r="V35" s="450"/>
      <c r="W35" s="450">
        <f>+SORECGFws!V25</f>
        <v>0</v>
      </c>
      <c r="X35" s="450"/>
      <c r="Y35" s="450">
        <f>+SORECGFws!W25</f>
        <v>46284</v>
      </c>
      <c r="Z35" s="450"/>
      <c r="AA35" s="450"/>
      <c r="AB35" s="450"/>
      <c r="AC35" s="450">
        <f>+SORECGFws!X25</f>
        <v>0</v>
      </c>
      <c r="AD35" s="450"/>
      <c r="AE35" s="450"/>
      <c r="AF35" s="450"/>
      <c r="AG35" s="450">
        <f>+SORECGFws!T25</f>
        <v>0</v>
      </c>
      <c r="AH35" s="450"/>
      <c r="AI35" s="450">
        <f t="shared" si="1"/>
        <v>63403</v>
      </c>
      <c r="AJ35" s="450"/>
      <c r="AK35" s="450"/>
      <c r="AL35" s="450"/>
      <c r="AM35" s="450"/>
      <c r="AN35" s="450"/>
      <c r="AO35" s="450"/>
      <c r="AP35" s="450"/>
      <c r="AQ35" s="450"/>
      <c r="AR35" s="450"/>
      <c r="AS35" s="450"/>
      <c r="AT35" s="450"/>
    </row>
    <row r="36" spans="1:46" s="451" customFormat="1" ht="9.9499999999999993" customHeight="1" x14ac:dyDescent="0.2">
      <c r="A36" s="426" t="s">
        <v>956</v>
      </c>
      <c r="B36" s="450"/>
      <c r="C36" s="450">
        <f>+SORECGFws!K26</f>
        <v>0</v>
      </c>
      <c r="D36" s="450"/>
      <c r="E36" s="450">
        <f>+SORECGFws!L26</f>
        <v>0</v>
      </c>
      <c r="F36" s="450"/>
      <c r="G36" s="450">
        <f>+SORECGFws!M26</f>
        <v>0</v>
      </c>
      <c r="H36" s="450"/>
      <c r="I36" s="450"/>
      <c r="J36" s="450"/>
      <c r="K36" s="450">
        <f>+SORECGFws!O26</f>
        <v>9082</v>
      </c>
      <c r="L36" s="450"/>
      <c r="M36" s="450">
        <f>+SORECGFws!P26</f>
        <v>0</v>
      </c>
      <c r="N36" s="450"/>
      <c r="O36" s="450">
        <f>+SORECGFws!Q26</f>
        <v>0</v>
      </c>
      <c r="P36" s="450"/>
      <c r="Q36" s="450">
        <f>SORECGFws!R26</f>
        <v>0</v>
      </c>
      <c r="R36" s="450"/>
      <c r="S36" s="450">
        <f>SORECGFws!S26</f>
        <v>0</v>
      </c>
      <c r="T36" s="450"/>
      <c r="U36" s="450">
        <f>+SORECGFws!U26</f>
        <v>0</v>
      </c>
      <c r="V36" s="450"/>
      <c r="W36" s="450">
        <f>+SORECGFws!V26</f>
        <v>0</v>
      </c>
      <c r="X36" s="450"/>
      <c r="Y36" s="450">
        <f>+SORECGFws!W26</f>
        <v>0</v>
      </c>
      <c r="Z36" s="450"/>
      <c r="AA36" s="450"/>
      <c r="AB36" s="450"/>
      <c r="AC36" s="450">
        <f>+SORECGFws!X26</f>
        <v>0</v>
      </c>
      <c r="AD36" s="450"/>
      <c r="AE36" s="450"/>
      <c r="AF36" s="450"/>
      <c r="AG36" s="450">
        <f>+SORECGFws!T26</f>
        <v>0</v>
      </c>
      <c r="AH36" s="450"/>
      <c r="AI36" s="450">
        <f t="shared" si="1"/>
        <v>9082</v>
      </c>
      <c r="AJ36" s="450"/>
      <c r="AK36" s="450"/>
      <c r="AL36" s="450"/>
      <c r="AM36" s="450"/>
      <c r="AN36" s="450"/>
      <c r="AO36" s="450"/>
      <c r="AP36" s="450"/>
      <c r="AQ36" s="450"/>
      <c r="AR36" s="450"/>
      <c r="AS36" s="450"/>
      <c r="AT36" s="450"/>
    </row>
    <row r="37" spans="1:46" s="451" customFormat="1" ht="9.9499999999999993" customHeight="1" x14ac:dyDescent="0.2">
      <c r="A37" s="426" t="s">
        <v>958</v>
      </c>
      <c r="B37" s="450"/>
      <c r="C37" s="450">
        <f>+SORECGFws!K27</f>
        <v>0</v>
      </c>
      <c r="D37" s="450"/>
      <c r="E37" s="450">
        <f>+SORECGFws!L27</f>
        <v>0</v>
      </c>
      <c r="F37" s="450"/>
      <c r="G37" s="450">
        <f>+SORECGFws!M27</f>
        <v>0</v>
      </c>
      <c r="H37" s="450"/>
      <c r="I37" s="450">
        <f>+SORECGFws!N27</f>
        <v>0</v>
      </c>
      <c r="J37" s="450"/>
      <c r="K37" s="450">
        <f>+SORECGFws!O27</f>
        <v>0</v>
      </c>
      <c r="L37" s="450"/>
      <c r="M37" s="450">
        <f>+SORECGFws!P27</f>
        <v>0</v>
      </c>
      <c r="N37" s="450"/>
      <c r="O37" s="450">
        <f>+SORECGFws!Q27</f>
        <v>0</v>
      </c>
      <c r="P37" s="450"/>
      <c r="Q37" s="450">
        <f>SORECGFws!R27</f>
        <v>0</v>
      </c>
      <c r="R37" s="450"/>
      <c r="S37" s="450">
        <f>SORECGFws!S27</f>
        <v>0</v>
      </c>
      <c r="T37" s="450"/>
      <c r="U37" s="450">
        <f>+SORECGFws!U27</f>
        <v>0</v>
      </c>
      <c r="V37" s="450"/>
      <c r="W37" s="450">
        <f>+SORECGFws!V27</f>
        <v>0</v>
      </c>
      <c r="X37" s="450"/>
      <c r="Y37" s="450">
        <f>+SORECGFws!W27</f>
        <v>0</v>
      </c>
      <c r="Z37" s="450"/>
      <c r="AA37" s="450"/>
      <c r="AB37" s="450"/>
      <c r="AC37" s="450">
        <f>+SORECGFws!X27</f>
        <v>0</v>
      </c>
      <c r="AD37" s="450"/>
      <c r="AE37" s="450"/>
      <c r="AF37" s="450"/>
      <c r="AG37" s="450">
        <f>+SORECGFws!T27</f>
        <v>12586</v>
      </c>
      <c r="AH37" s="450"/>
      <c r="AI37" s="450">
        <f t="shared" si="1"/>
        <v>12586</v>
      </c>
      <c r="AJ37" s="450"/>
      <c r="AK37" s="450"/>
      <c r="AL37" s="450"/>
      <c r="AM37" s="450"/>
      <c r="AN37" s="450"/>
      <c r="AO37" s="450"/>
      <c r="AP37" s="450"/>
      <c r="AQ37" s="450"/>
      <c r="AR37" s="450"/>
      <c r="AS37" s="450"/>
      <c r="AT37" s="450"/>
    </row>
    <row r="38" spans="1:46" s="451" customFormat="1" ht="9.9499999999999993" customHeight="1" x14ac:dyDescent="0.2">
      <c r="A38" s="426" t="s">
        <v>959</v>
      </c>
      <c r="B38" s="450"/>
      <c r="C38" s="450">
        <f>+SORECGFws!K28</f>
        <v>0</v>
      </c>
      <c r="D38" s="450"/>
      <c r="E38" s="450">
        <f>+SORECGFws!L28</f>
        <v>0</v>
      </c>
      <c r="F38" s="450"/>
      <c r="G38" s="450">
        <f>+SORECGFws!M28</f>
        <v>0</v>
      </c>
      <c r="H38" s="450"/>
      <c r="I38" s="450">
        <f>+SORECGFws!N28</f>
        <v>0</v>
      </c>
      <c r="J38" s="450"/>
      <c r="K38" s="450">
        <f>+SORECGFws!O28</f>
        <v>677</v>
      </c>
      <c r="L38" s="450"/>
      <c r="M38" s="450">
        <f>+SORECGFws!P28</f>
        <v>0</v>
      </c>
      <c r="N38" s="450"/>
      <c r="O38" s="450">
        <f>+SORECGFws!Q28</f>
        <v>0</v>
      </c>
      <c r="P38" s="450"/>
      <c r="Q38" s="450">
        <f>SORECGFws!R28</f>
        <v>0</v>
      </c>
      <c r="R38" s="450"/>
      <c r="S38" s="450">
        <f>SORECGFws!S28</f>
        <v>0</v>
      </c>
      <c r="T38" s="450"/>
      <c r="U38" s="450">
        <f>+SORECGFws!U28</f>
        <v>0</v>
      </c>
      <c r="V38" s="450"/>
      <c r="W38" s="450">
        <f>+SORECGFws!V28</f>
        <v>0</v>
      </c>
      <c r="X38" s="450"/>
      <c r="Y38" s="450">
        <f>+SORECGFws!W28</f>
        <v>0</v>
      </c>
      <c r="Z38" s="450"/>
      <c r="AA38" s="450"/>
      <c r="AB38" s="450"/>
      <c r="AC38" s="450">
        <f>+SORECGFws!X28</f>
        <v>0</v>
      </c>
      <c r="AD38" s="450"/>
      <c r="AE38" s="450"/>
      <c r="AF38" s="450"/>
      <c r="AG38" s="450">
        <f>+SORECGFws!T28</f>
        <v>0</v>
      </c>
      <c r="AH38" s="450"/>
      <c r="AI38" s="450">
        <f t="shared" si="1"/>
        <v>677</v>
      </c>
      <c r="AJ38" s="450"/>
      <c r="AK38" s="450"/>
      <c r="AL38" s="450"/>
      <c r="AM38" s="450"/>
      <c r="AN38" s="450"/>
      <c r="AO38" s="450"/>
      <c r="AP38" s="450"/>
      <c r="AQ38" s="450"/>
      <c r="AR38" s="450"/>
      <c r="AS38" s="450"/>
      <c r="AT38" s="450"/>
    </row>
    <row r="39" spans="1:46" s="451" customFormat="1" ht="9.9499999999999993" customHeight="1" x14ac:dyDescent="0.2">
      <c r="A39" s="426" t="s">
        <v>961</v>
      </c>
      <c r="B39" s="450"/>
      <c r="C39" s="450">
        <f>+SORECGFws!K29</f>
        <v>0</v>
      </c>
      <c r="D39" s="450"/>
      <c r="E39" s="450">
        <f>+SORECGFws!L29</f>
        <v>0</v>
      </c>
      <c r="F39" s="450"/>
      <c r="G39" s="450">
        <f>+SORECGFws!M29</f>
        <v>0</v>
      </c>
      <c r="H39" s="450"/>
      <c r="I39" s="450">
        <f>+SORECGFws!N29</f>
        <v>40741</v>
      </c>
      <c r="J39" s="450"/>
      <c r="K39" s="450">
        <f>+SORECGFws!O29</f>
        <v>5380</v>
      </c>
      <c r="L39" s="450"/>
      <c r="M39" s="450">
        <f>+SORECGFws!P29</f>
        <v>0</v>
      </c>
      <c r="N39" s="450"/>
      <c r="O39" s="450">
        <f>+SORECGFws!Q29</f>
        <v>0</v>
      </c>
      <c r="P39" s="450"/>
      <c r="Q39" s="450">
        <f>SORECGFws!R29</f>
        <v>0</v>
      </c>
      <c r="R39" s="450"/>
      <c r="S39" s="450">
        <f>SORECGFws!S29</f>
        <v>0</v>
      </c>
      <c r="T39" s="450"/>
      <c r="U39" s="450">
        <f>+SORECGFws!U29</f>
        <v>0</v>
      </c>
      <c r="V39" s="450"/>
      <c r="W39" s="450">
        <f>+SORECGFws!V29</f>
        <v>0</v>
      </c>
      <c r="X39" s="450"/>
      <c r="Y39" s="450">
        <f>+SORECGFws!W29</f>
        <v>0</v>
      </c>
      <c r="Z39" s="450"/>
      <c r="AA39" s="450"/>
      <c r="AB39" s="450"/>
      <c r="AC39" s="450">
        <f>+SORECGFws!X29</f>
        <v>0</v>
      </c>
      <c r="AD39" s="450"/>
      <c r="AE39" s="450"/>
      <c r="AF39" s="450"/>
      <c r="AG39" s="450">
        <f>+SORECGFws!T29</f>
        <v>0</v>
      </c>
      <c r="AH39" s="450"/>
      <c r="AI39" s="450">
        <f t="shared" si="1"/>
        <v>46121</v>
      </c>
      <c r="AJ39" s="450"/>
      <c r="AK39" s="450"/>
      <c r="AL39" s="450"/>
      <c r="AM39" s="450"/>
      <c r="AN39" s="450"/>
      <c r="AO39" s="450"/>
      <c r="AP39" s="450"/>
      <c r="AQ39" s="450"/>
      <c r="AR39" s="450"/>
      <c r="AS39" s="450"/>
      <c r="AT39" s="450"/>
    </row>
    <row r="40" spans="1:46" s="451" customFormat="1" ht="9.9499999999999993" customHeight="1" x14ac:dyDescent="0.2">
      <c r="A40" s="426" t="s">
        <v>960</v>
      </c>
      <c r="B40" s="450"/>
      <c r="C40" s="450">
        <f>+SORECGFws!K30</f>
        <v>0</v>
      </c>
      <c r="D40" s="450"/>
      <c r="E40" s="450">
        <f>+SORECGFws!L30</f>
        <v>0</v>
      </c>
      <c r="F40" s="450"/>
      <c r="G40" s="450">
        <f>+SORECGFws!M30</f>
        <v>0</v>
      </c>
      <c r="H40" s="450"/>
      <c r="I40" s="450">
        <f>+SORECGFws!N30</f>
        <v>36436</v>
      </c>
      <c r="J40" s="450"/>
      <c r="K40" s="450">
        <f>+SORECGFws!O30</f>
        <v>10699</v>
      </c>
      <c r="L40" s="450"/>
      <c r="M40" s="450">
        <f>+SORECGFws!P30</f>
        <v>3</v>
      </c>
      <c r="N40" s="450"/>
      <c r="O40" s="450">
        <f>+SORECGFws!Q30</f>
        <v>0</v>
      </c>
      <c r="P40" s="450"/>
      <c r="Q40" s="450">
        <f>SORECGFws!R30</f>
        <v>0</v>
      </c>
      <c r="R40" s="450"/>
      <c r="S40" s="450">
        <f>SORECGFws!S30</f>
        <v>0</v>
      </c>
      <c r="T40" s="450"/>
      <c r="U40" s="450">
        <f>+SORECGFws!U30</f>
        <v>0</v>
      </c>
      <c r="V40" s="450"/>
      <c r="W40" s="450">
        <f>+SORECGFws!V30</f>
        <v>0</v>
      </c>
      <c r="X40" s="450"/>
      <c r="Y40" s="450">
        <f>+SORECGFws!W30</f>
        <v>0</v>
      </c>
      <c r="Z40" s="450"/>
      <c r="AA40" s="450"/>
      <c r="AB40" s="450"/>
      <c r="AC40" s="450">
        <f>+SORECGFws!X30</f>
        <v>0</v>
      </c>
      <c r="AD40" s="450"/>
      <c r="AE40" s="450"/>
      <c r="AF40" s="450"/>
      <c r="AG40" s="450">
        <f>+SORECGFws!T30</f>
        <v>0</v>
      </c>
      <c r="AH40" s="450"/>
      <c r="AI40" s="450">
        <f t="shared" si="1"/>
        <v>47138</v>
      </c>
      <c r="AJ40" s="450"/>
      <c r="AK40" s="450"/>
      <c r="AL40" s="450"/>
      <c r="AM40" s="450"/>
      <c r="AN40" s="450"/>
      <c r="AO40" s="450"/>
      <c r="AP40" s="450"/>
      <c r="AQ40" s="450"/>
      <c r="AR40" s="450"/>
      <c r="AS40" s="450"/>
      <c r="AT40" s="450"/>
    </row>
    <row r="41" spans="1:46" s="451" customFormat="1" ht="9.9499999999999993" customHeight="1" x14ac:dyDescent="0.2">
      <c r="A41" s="426" t="s">
        <v>963</v>
      </c>
      <c r="B41" s="450"/>
      <c r="C41" s="450">
        <f>+SORECGFws!K31</f>
        <v>0</v>
      </c>
      <c r="D41" s="450"/>
      <c r="E41" s="450">
        <f>+SORECGFws!L31</f>
        <v>0</v>
      </c>
      <c r="F41" s="450"/>
      <c r="G41" s="450">
        <f>+SORECGFws!M31</f>
        <v>0</v>
      </c>
      <c r="H41" s="450"/>
      <c r="I41" s="450">
        <f>+SORECGFws!N31</f>
        <v>0</v>
      </c>
      <c r="J41" s="450"/>
      <c r="K41" s="450">
        <f>+SORECGFws!O31</f>
        <v>5450</v>
      </c>
      <c r="L41" s="450"/>
      <c r="M41" s="450">
        <f>+SORECGFws!P31</f>
        <v>0</v>
      </c>
      <c r="N41" s="450"/>
      <c r="O41" s="450">
        <f>+SORECGFws!Q31</f>
        <v>0</v>
      </c>
      <c r="P41" s="450"/>
      <c r="Q41" s="450">
        <f>SORECGFws!R31</f>
        <v>0</v>
      </c>
      <c r="R41" s="450"/>
      <c r="S41" s="450">
        <f>SORECGFws!S31</f>
        <v>0</v>
      </c>
      <c r="T41" s="450"/>
      <c r="U41" s="450">
        <f>+SORECGFws!U31</f>
        <v>0</v>
      </c>
      <c r="V41" s="450"/>
      <c r="W41" s="450">
        <f>+SORECGFws!V31</f>
        <v>1025</v>
      </c>
      <c r="X41" s="450"/>
      <c r="Y41" s="450">
        <f>+SORECGFws!W31</f>
        <v>0</v>
      </c>
      <c r="Z41" s="450"/>
      <c r="AA41" s="450"/>
      <c r="AB41" s="450"/>
      <c r="AC41" s="450">
        <f>+SORECGFws!X31</f>
        <v>0</v>
      </c>
      <c r="AD41" s="450"/>
      <c r="AE41" s="450"/>
      <c r="AF41" s="450"/>
      <c r="AG41" s="450">
        <f>+SORECGFws!T31</f>
        <v>0</v>
      </c>
      <c r="AH41" s="450"/>
      <c r="AI41" s="450">
        <f t="shared" si="1"/>
        <v>6475</v>
      </c>
      <c r="AJ41" s="450"/>
      <c r="AK41" s="450"/>
      <c r="AL41" s="450"/>
      <c r="AM41" s="450"/>
      <c r="AN41" s="450"/>
      <c r="AO41" s="450"/>
      <c r="AP41" s="450"/>
      <c r="AQ41" s="450"/>
      <c r="AR41" s="450"/>
      <c r="AS41" s="450"/>
      <c r="AT41" s="450"/>
    </row>
    <row r="42" spans="1:46" s="451" customFormat="1" ht="9.9499999999999993" customHeight="1" x14ac:dyDescent="0.2">
      <c r="A42" s="426" t="s">
        <v>1191</v>
      </c>
      <c r="B42" s="450"/>
      <c r="C42" s="450">
        <f>+SORECGFws!K32</f>
        <v>0</v>
      </c>
      <c r="D42" s="450"/>
      <c r="E42" s="450">
        <f>+SORECGFws!L32</f>
        <v>0</v>
      </c>
      <c r="F42" s="450"/>
      <c r="G42" s="450">
        <f>+SORECGFws!M32</f>
        <v>0</v>
      </c>
      <c r="H42" s="450"/>
      <c r="I42" s="450">
        <f>+SORECGFws!N32</f>
        <v>0</v>
      </c>
      <c r="J42" s="450"/>
      <c r="K42" s="450">
        <f>+SORECGFws!O32</f>
        <v>312</v>
      </c>
      <c r="L42" s="450"/>
      <c r="M42" s="450">
        <f>+SORECGFws!P32</f>
        <v>0</v>
      </c>
      <c r="N42" s="450"/>
      <c r="O42" s="450">
        <f>+SORECGFws!Q32</f>
        <v>0</v>
      </c>
      <c r="P42" s="450"/>
      <c r="Q42" s="450">
        <f>SORECGFws!R32</f>
        <v>38310</v>
      </c>
      <c r="R42" s="450"/>
      <c r="S42" s="450">
        <f>SORECGFws!S32</f>
        <v>2876</v>
      </c>
      <c r="T42" s="450"/>
      <c r="U42" s="450">
        <f>+SORECGFws!U32</f>
        <v>0</v>
      </c>
      <c r="V42" s="450"/>
      <c r="W42" s="450">
        <f>+SORECGFws!V32</f>
        <v>0</v>
      </c>
      <c r="X42" s="450"/>
      <c r="Y42" s="450">
        <f>+SORECGFws!W32</f>
        <v>0</v>
      </c>
      <c r="Z42" s="450"/>
      <c r="AA42" s="450"/>
      <c r="AB42" s="450"/>
      <c r="AC42" s="450">
        <f>+SORECGFws!X32</f>
        <v>0</v>
      </c>
      <c r="AD42" s="450"/>
      <c r="AE42" s="450"/>
      <c r="AF42" s="450"/>
      <c r="AG42" s="450">
        <f>+SORECGFws!T32</f>
        <v>0</v>
      </c>
      <c r="AH42" s="450"/>
      <c r="AI42" s="450">
        <f>SUM(C42:AG42)</f>
        <v>41498</v>
      </c>
      <c r="AJ42" s="450"/>
      <c r="AK42" s="450"/>
      <c r="AL42" s="450"/>
      <c r="AM42" s="450"/>
      <c r="AN42" s="450"/>
      <c r="AO42" s="450"/>
      <c r="AP42" s="450"/>
      <c r="AQ42" s="450"/>
      <c r="AR42" s="450"/>
      <c r="AS42" s="450"/>
      <c r="AT42" s="450"/>
    </row>
    <row r="43" spans="1:46" s="451" customFormat="1" ht="9.9499999999999993" customHeight="1" x14ac:dyDescent="0.2">
      <c r="A43" s="426" t="s">
        <v>964</v>
      </c>
      <c r="B43" s="450"/>
      <c r="C43" s="450">
        <f>+SORECGFws!K33</f>
        <v>0</v>
      </c>
      <c r="D43" s="450"/>
      <c r="E43" s="450">
        <f>+SORECGFws!L33</f>
        <v>0</v>
      </c>
      <c r="F43" s="450"/>
      <c r="G43" s="450">
        <f>+SORECGFws!M33</f>
        <v>0</v>
      </c>
      <c r="H43" s="450"/>
      <c r="I43" s="450">
        <f>+SORECGFws!N33</f>
        <v>0</v>
      </c>
      <c r="J43" s="450"/>
      <c r="K43" s="450">
        <f>+SORECGFws!O33</f>
        <v>6438</v>
      </c>
      <c r="L43" s="450"/>
      <c r="M43" s="450">
        <f>+SORECGFws!P33</f>
        <v>0</v>
      </c>
      <c r="N43" s="450"/>
      <c r="O43" s="450">
        <f>+SORECGFws!Q33</f>
        <v>0</v>
      </c>
      <c r="P43" s="450"/>
      <c r="Q43" s="450">
        <f>SORECGFws!R33</f>
        <v>0</v>
      </c>
      <c r="R43" s="450"/>
      <c r="S43" s="450">
        <f>SORECGFws!S33</f>
        <v>0</v>
      </c>
      <c r="T43" s="450"/>
      <c r="U43" s="450">
        <f>+SORECGFws!U33</f>
        <v>0</v>
      </c>
      <c r="V43" s="450"/>
      <c r="W43" s="450">
        <f>+SORECGFws!V33</f>
        <v>0</v>
      </c>
      <c r="X43" s="450"/>
      <c r="Y43" s="450">
        <f>+SORECGFws!W33</f>
        <v>0</v>
      </c>
      <c r="Z43" s="450"/>
      <c r="AA43" s="450"/>
      <c r="AB43" s="450"/>
      <c r="AC43" s="450">
        <f>+SORECGFws!X33</f>
        <v>30585</v>
      </c>
      <c r="AD43" s="450"/>
      <c r="AE43" s="450"/>
      <c r="AF43" s="450"/>
      <c r="AG43" s="450">
        <f>+SORECGFws!T33</f>
        <v>0</v>
      </c>
      <c r="AH43" s="450"/>
      <c r="AI43" s="450">
        <f>SUM(C43:AG43)</f>
        <v>37023</v>
      </c>
      <c r="AJ43" s="450"/>
      <c r="AK43" s="450"/>
      <c r="AL43" s="450"/>
      <c r="AM43" s="450"/>
      <c r="AN43" s="450"/>
      <c r="AO43" s="450"/>
      <c r="AP43" s="450"/>
      <c r="AQ43" s="450"/>
      <c r="AR43" s="450"/>
      <c r="AS43" s="450"/>
      <c r="AT43" s="450"/>
    </row>
    <row r="44" spans="1:46" s="451" customFormat="1" ht="9.9499999999999993" customHeight="1" x14ac:dyDescent="0.2">
      <c r="A44" s="426" t="s">
        <v>1414</v>
      </c>
      <c r="B44" s="450"/>
      <c r="C44" s="450">
        <f>+SORECGFws!K34</f>
        <v>0</v>
      </c>
      <c r="D44" s="450"/>
      <c r="E44" s="450">
        <f>+SORECGFws!L34</f>
        <v>0</v>
      </c>
      <c r="F44" s="450"/>
      <c r="G44" s="450">
        <f>+SORECGFws!M34</f>
        <v>0</v>
      </c>
      <c r="H44" s="450"/>
      <c r="I44" s="450">
        <f>+SORECGFws!N34</f>
        <v>0</v>
      </c>
      <c r="J44" s="450"/>
      <c r="K44" s="450">
        <f>+SORECGFws!O34</f>
        <v>114</v>
      </c>
      <c r="L44" s="450"/>
      <c r="M44" s="450">
        <f>+SORECGFws!P34</f>
        <v>0</v>
      </c>
      <c r="N44" s="450"/>
      <c r="O44" s="450">
        <f>+SORECGFws!Q34</f>
        <v>0</v>
      </c>
      <c r="P44" s="450"/>
      <c r="Q44" s="450">
        <f>SORECGFws!R34</f>
        <v>0</v>
      </c>
      <c r="R44" s="450"/>
      <c r="S44" s="450">
        <f>SORECGFws!S34</f>
        <v>0</v>
      </c>
      <c r="T44" s="450"/>
      <c r="U44" s="450">
        <f>+SORECGFws!U34</f>
        <v>0</v>
      </c>
      <c r="V44" s="450"/>
      <c r="W44" s="450">
        <f>+SORECGFws!V34</f>
        <v>0</v>
      </c>
      <c r="X44" s="450"/>
      <c r="Y44" s="450">
        <f>+SORECGFws!W34</f>
        <v>0</v>
      </c>
      <c r="Z44" s="450"/>
      <c r="AA44" s="450"/>
      <c r="AB44" s="450"/>
      <c r="AC44" s="450">
        <f>+SORECGFws!X34</f>
        <v>0</v>
      </c>
      <c r="AD44" s="450"/>
      <c r="AE44" s="450"/>
      <c r="AF44" s="450"/>
      <c r="AG44" s="450">
        <f>+SORECGFws!T34</f>
        <v>0</v>
      </c>
      <c r="AH44" s="450"/>
      <c r="AI44" s="450">
        <f>SUM(C44:AG44)</f>
        <v>114</v>
      </c>
      <c r="AJ44" s="450"/>
      <c r="AK44" s="450"/>
      <c r="AL44" s="450"/>
      <c r="AM44" s="450"/>
      <c r="AN44" s="450"/>
      <c r="AO44" s="450"/>
      <c r="AP44" s="450"/>
      <c r="AQ44" s="450"/>
      <c r="AR44" s="450"/>
      <c r="AS44" s="450"/>
      <c r="AT44" s="450"/>
    </row>
    <row r="45" spans="1:46" s="451" customFormat="1" ht="9.9499999999999993" hidden="1" customHeight="1" x14ac:dyDescent="0.2">
      <c r="A45" s="426" t="s">
        <v>706</v>
      </c>
      <c r="B45" s="450"/>
      <c r="C45" s="450">
        <f>+SORECGFws!K35</f>
        <v>0</v>
      </c>
      <c r="D45" s="450"/>
      <c r="E45" s="450">
        <f>+SORECGFws!L35</f>
        <v>0</v>
      </c>
      <c r="F45" s="450"/>
      <c r="G45" s="450">
        <f>+SORECGFws!M35</f>
        <v>0</v>
      </c>
      <c r="H45" s="450"/>
      <c r="I45" s="450">
        <f>+SORECGFws!N35</f>
        <v>0</v>
      </c>
      <c r="J45" s="450"/>
      <c r="K45" s="450">
        <f>+SORECGFws!O35</f>
        <v>0</v>
      </c>
      <c r="L45" s="450"/>
      <c r="M45" s="450">
        <f>+SORECGFws!P35</f>
        <v>0</v>
      </c>
      <c r="N45" s="450"/>
      <c r="O45" s="450">
        <f>+SORECGFws!Q35</f>
        <v>0</v>
      </c>
      <c r="P45" s="450"/>
      <c r="Q45" s="450">
        <f>SORECGFws!R35</f>
        <v>0</v>
      </c>
      <c r="R45" s="450"/>
      <c r="S45" s="450">
        <f>SORECGFws!S35</f>
        <v>0</v>
      </c>
      <c r="T45" s="450"/>
      <c r="U45" s="450">
        <f>+SORECGFws!U35</f>
        <v>0</v>
      </c>
      <c r="V45" s="450"/>
      <c r="W45" s="450">
        <f>+SORECGFws!V35</f>
        <v>0</v>
      </c>
      <c r="X45" s="450"/>
      <c r="Y45" s="450">
        <f>+SORECGFws!W35</f>
        <v>0</v>
      </c>
      <c r="Z45" s="450"/>
      <c r="AA45" s="450">
        <f>+SORECGFws!S35</f>
        <v>0</v>
      </c>
      <c r="AB45" s="450"/>
      <c r="AC45" s="450">
        <f>+SORECGFws!X35</f>
        <v>0</v>
      </c>
      <c r="AD45" s="450"/>
      <c r="AE45" s="450">
        <f>+SORECGFws!R35</f>
        <v>0</v>
      </c>
      <c r="AF45" s="450"/>
      <c r="AG45" s="450">
        <f>+SORECGFws!T35</f>
        <v>0</v>
      </c>
      <c r="AH45" s="450"/>
      <c r="AI45" s="450">
        <f t="shared" si="1"/>
        <v>0</v>
      </c>
      <c r="AJ45" s="450"/>
      <c r="AK45" s="450"/>
      <c r="AL45" s="450"/>
      <c r="AM45" s="450"/>
      <c r="AN45" s="450"/>
      <c r="AO45" s="450"/>
      <c r="AP45" s="450"/>
      <c r="AQ45" s="450"/>
      <c r="AR45" s="450"/>
      <c r="AS45" s="450"/>
      <c r="AT45" s="450"/>
    </row>
    <row r="46" spans="1:46" s="451" customFormat="1" ht="9.9499999999999993" hidden="1" customHeight="1" x14ac:dyDescent="0.2">
      <c r="A46" s="425" t="s">
        <v>965</v>
      </c>
      <c r="B46" s="450"/>
      <c r="C46" s="450">
        <f>+SORECGFws!K36</f>
        <v>0</v>
      </c>
      <c r="D46" s="450"/>
      <c r="E46" s="450">
        <f>+SORECGFws!L36</f>
        <v>0</v>
      </c>
      <c r="F46" s="450"/>
      <c r="G46" s="450">
        <f>+SORECGFws!M36</f>
        <v>0</v>
      </c>
      <c r="H46" s="450"/>
      <c r="I46" s="450">
        <f>+SORECGFws!N36</f>
        <v>0</v>
      </c>
      <c r="J46" s="450"/>
      <c r="K46" s="450">
        <f>+SORECGFws!O36</f>
        <v>0</v>
      </c>
      <c r="L46" s="450"/>
      <c r="M46" s="450">
        <f>+SORECGFws!P36</f>
        <v>0</v>
      </c>
      <c r="N46" s="450"/>
      <c r="O46" s="450">
        <f>+SORECGFws!Q36</f>
        <v>0</v>
      </c>
      <c r="P46" s="450"/>
      <c r="Q46" s="450">
        <f>SORECGFws!R36</f>
        <v>0</v>
      </c>
      <c r="R46" s="450"/>
      <c r="S46" s="450">
        <f>SORECGFws!S36</f>
        <v>0</v>
      </c>
      <c r="T46" s="450"/>
      <c r="U46" s="450">
        <f>+SORECGFws!U36</f>
        <v>0</v>
      </c>
      <c r="V46" s="450"/>
      <c r="W46" s="450">
        <f>+SORECGFws!V36</f>
        <v>0</v>
      </c>
      <c r="X46" s="450"/>
      <c r="Y46" s="450">
        <f>+SORECGFws!W36</f>
        <v>0</v>
      </c>
      <c r="Z46" s="450"/>
      <c r="AA46" s="450">
        <f>+SORECGFws!S36</f>
        <v>0</v>
      </c>
      <c r="AB46" s="450"/>
      <c r="AC46" s="450">
        <f>+SORECGFws!X36</f>
        <v>0</v>
      </c>
      <c r="AD46" s="450"/>
      <c r="AE46" s="450">
        <f>+SORECGFws!R36</f>
        <v>0</v>
      </c>
      <c r="AF46" s="450"/>
      <c r="AG46" s="450">
        <f>+SORECGFws!T36</f>
        <v>0</v>
      </c>
      <c r="AH46" s="450"/>
      <c r="AI46" s="450">
        <f t="shared" si="1"/>
        <v>0</v>
      </c>
      <c r="AJ46" s="450"/>
      <c r="AK46" s="450"/>
      <c r="AL46" s="450"/>
      <c r="AM46" s="450"/>
      <c r="AN46" s="450"/>
      <c r="AO46" s="450"/>
      <c r="AP46" s="450"/>
      <c r="AQ46" s="450"/>
      <c r="AR46" s="450"/>
      <c r="AS46" s="450"/>
      <c r="AT46" s="450"/>
    </row>
    <row r="47" spans="1:46" s="451" customFormat="1" ht="9.9499999999999993" hidden="1" customHeight="1" x14ac:dyDescent="0.2">
      <c r="A47" s="426" t="s">
        <v>966</v>
      </c>
      <c r="B47" s="450"/>
      <c r="C47" s="450">
        <f>+SORECGFws!K37</f>
        <v>0</v>
      </c>
      <c r="D47" s="450"/>
      <c r="E47" s="450">
        <f>+SORECGFws!L37</f>
        <v>0</v>
      </c>
      <c r="F47" s="450"/>
      <c r="G47" s="450">
        <f>+SORECGFws!M37</f>
        <v>0</v>
      </c>
      <c r="H47" s="450"/>
      <c r="I47" s="450">
        <f>+SORECGFws!N37</f>
        <v>0</v>
      </c>
      <c r="J47" s="450"/>
      <c r="K47" s="450">
        <f>+SORECGFws!O37</f>
        <v>0</v>
      </c>
      <c r="L47" s="450"/>
      <c r="M47" s="450">
        <f>+SORECGFws!P37</f>
        <v>0</v>
      </c>
      <c r="N47" s="450"/>
      <c r="O47" s="450">
        <f>+SORECGFws!Q37</f>
        <v>0</v>
      </c>
      <c r="P47" s="450"/>
      <c r="Q47" s="450">
        <f>SORECGFws!R37</f>
        <v>0</v>
      </c>
      <c r="R47" s="450"/>
      <c r="S47" s="450">
        <f>SORECGFws!S37</f>
        <v>0</v>
      </c>
      <c r="T47" s="450"/>
      <c r="U47" s="450">
        <f>+SORECGFws!U37</f>
        <v>0</v>
      </c>
      <c r="V47" s="450"/>
      <c r="W47" s="450">
        <f>+SORECGFws!V37</f>
        <v>0</v>
      </c>
      <c r="X47" s="450"/>
      <c r="Y47" s="450">
        <f>+SORECGFws!W37</f>
        <v>0</v>
      </c>
      <c r="Z47" s="450"/>
      <c r="AA47" s="450">
        <f>+SORECGFws!S37</f>
        <v>0</v>
      </c>
      <c r="AB47" s="450"/>
      <c r="AC47" s="450">
        <f>+SORECGFws!X37</f>
        <v>0</v>
      </c>
      <c r="AD47" s="450"/>
      <c r="AE47" s="450">
        <f>+SORECGFws!R37</f>
        <v>0</v>
      </c>
      <c r="AF47" s="450"/>
      <c r="AG47" s="450">
        <f>+SORECGFws!T37</f>
        <v>0</v>
      </c>
      <c r="AH47" s="450"/>
      <c r="AI47" s="450">
        <f t="shared" si="1"/>
        <v>0</v>
      </c>
      <c r="AJ47" s="450"/>
      <c r="AK47" s="450"/>
      <c r="AL47" s="450"/>
      <c r="AM47" s="450"/>
      <c r="AN47" s="450"/>
      <c r="AO47" s="450"/>
      <c r="AP47" s="450"/>
      <c r="AQ47" s="450"/>
      <c r="AR47" s="450"/>
      <c r="AS47" s="450"/>
      <c r="AT47" s="450"/>
    </row>
    <row r="48" spans="1:46" s="451" customFormat="1" ht="9.9499999999999993" hidden="1" customHeight="1" x14ac:dyDescent="0.2">
      <c r="A48" s="426" t="s">
        <v>949</v>
      </c>
      <c r="B48" s="450"/>
      <c r="C48" s="450">
        <f>+SORECGFws!K38</f>
        <v>0</v>
      </c>
      <c r="D48" s="450"/>
      <c r="E48" s="450">
        <f>+SORECGFws!L38</f>
        <v>0</v>
      </c>
      <c r="F48" s="450"/>
      <c r="G48" s="450">
        <f>+SORECGFws!M38</f>
        <v>0</v>
      </c>
      <c r="H48" s="450"/>
      <c r="I48" s="450">
        <f>+SORECGFws!N38</f>
        <v>0</v>
      </c>
      <c r="J48" s="450"/>
      <c r="K48" s="450">
        <f>+SORECGFws!O38</f>
        <v>0</v>
      </c>
      <c r="L48" s="450"/>
      <c r="M48" s="450">
        <f>+SORECGFws!P38</f>
        <v>0</v>
      </c>
      <c r="N48" s="450"/>
      <c r="O48" s="450">
        <f>+SORECGFws!Q38</f>
        <v>0</v>
      </c>
      <c r="P48" s="450"/>
      <c r="Q48" s="450">
        <f>SORECGFws!R38</f>
        <v>0</v>
      </c>
      <c r="R48" s="450"/>
      <c r="S48" s="450">
        <f>SORECGFws!S38</f>
        <v>0</v>
      </c>
      <c r="T48" s="450"/>
      <c r="U48" s="450">
        <f>+SORECGFws!U38</f>
        <v>0</v>
      </c>
      <c r="V48" s="450"/>
      <c r="W48" s="450">
        <f>+SORECGFws!V38</f>
        <v>0</v>
      </c>
      <c r="X48" s="450"/>
      <c r="Y48" s="450">
        <f>+SORECGFws!W38</f>
        <v>0</v>
      </c>
      <c r="Z48" s="450"/>
      <c r="AA48" s="450">
        <f>+SORECGFws!S38</f>
        <v>0</v>
      </c>
      <c r="AB48" s="450"/>
      <c r="AC48" s="450">
        <f>+SORECGFws!X38</f>
        <v>0</v>
      </c>
      <c r="AD48" s="450"/>
      <c r="AE48" s="450">
        <f>+SORECGFws!R38</f>
        <v>0</v>
      </c>
      <c r="AF48" s="450"/>
      <c r="AG48" s="450">
        <f>+SORECGFws!T38</f>
        <v>0</v>
      </c>
      <c r="AH48" s="450"/>
      <c r="AI48" s="450">
        <f t="shared" si="1"/>
        <v>0</v>
      </c>
      <c r="AJ48" s="450"/>
      <c r="AK48" s="450"/>
      <c r="AL48" s="450"/>
      <c r="AM48" s="450"/>
      <c r="AN48" s="450"/>
      <c r="AO48" s="450"/>
      <c r="AP48" s="450"/>
      <c r="AQ48" s="450"/>
      <c r="AR48" s="450"/>
      <c r="AS48" s="450"/>
      <c r="AT48" s="450"/>
    </row>
    <row r="49" spans="1:46" s="451" customFormat="1" ht="9.9499999999999993" hidden="1" customHeight="1" x14ac:dyDescent="0.2">
      <c r="A49" s="426" t="s">
        <v>91</v>
      </c>
      <c r="B49" s="450"/>
      <c r="C49" s="450">
        <f>+SORECGFws!K39</f>
        <v>0</v>
      </c>
      <c r="D49" s="450"/>
      <c r="E49" s="450">
        <f>+SORECGFws!L39</f>
        <v>0</v>
      </c>
      <c r="F49" s="450"/>
      <c r="G49" s="450">
        <f>+SORECGFws!M39</f>
        <v>0</v>
      </c>
      <c r="H49" s="450"/>
      <c r="I49" s="450">
        <f>+SORECGFws!N39</f>
        <v>0</v>
      </c>
      <c r="J49" s="450"/>
      <c r="K49" s="450">
        <f>+SORECGFws!O39</f>
        <v>0</v>
      </c>
      <c r="L49" s="450"/>
      <c r="M49" s="450">
        <f>+SORECGFws!P39</f>
        <v>0</v>
      </c>
      <c r="N49" s="450"/>
      <c r="O49" s="450">
        <f>+SORECGFws!Q39</f>
        <v>0</v>
      </c>
      <c r="P49" s="450"/>
      <c r="Q49" s="450">
        <f>+SORECGFws!R39</f>
        <v>0</v>
      </c>
      <c r="R49" s="450"/>
      <c r="S49" s="450">
        <f>+SORECGFws!S39</f>
        <v>0</v>
      </c>
      <c r="T49" s="450"/>
      <c r="U49" s="450">
        <f>+SORECGFws!U39</f>
        <v>0</v>
      </c>
      <c r="V49" s="450"/>
      <c r="W49" s="450">
        <f>+SORECGFws!V39</f>
        <v>0</v>
      </c>
      <c r="X49" s="450"/>
      <c r="Y49" s="450">
        <f>+SORECGFws!W39</f>
        <v>0</v>
      </c>
      <c r="Z49" s="450"/>
      <c r="AA49" s="450">
        <f>+SORECGFws!S39</f>
        <v>0</v>
      </c>
      <c r="AB49" s="450"/>
      <c r="AC49" s="450">
        <f>+SORECGFws!X39</f>
        <v>0</v>
      </c>
      <c r="AD49" s="450"/>
      <c r="AE49" s="450">
        <f>+SORECGFws!R39</f>
        <v>0</v>
      </c>
      <c r="AF49" s="450"/>
      <c r="AG49" s="450">
        <f>+SORECGFws!T39</f>
        <v>0</v>
      </c>
      <c r="AH49" s="450"/>
      <c r="AI49" s="450">
        <f t="shared" si="1"/>
        <v>0</v>
      </c>
      <c r="AJ49" s="450"/>
      <c r="AK49" s="450"/>
      <c r="AL49" s="450"/>
      <c r="AM49" s="450"/>
      <c r="AN49" s="450"/>
      <c r="AO49" s="450"/>
      <c r="AP49" s="450"/>
      <c r="AQ49" s="450"/>
      <c r="AR49" s="450"/>
      <c r="AS49" s="450"/>
      <c r="AT49" s="450"/>
    </row>
    <row r="50" spans="1:46" s="451" customFormat="1" ht="9.9499999999999993" hidden="1" customHeight="1" x14ac:dyDescent="0.2">
      <c r="A50" s="426" t="s">
        <v>968</v>
      </c>
      <c r="B50" s="450"/>
      <c r="C50" s="450">
        <f>+SORECGFws!K40</f>
        <v>0</v>
      </c>
      <c r="D50" s="450"/>
      <c r="E50" s="450">
        <f>+SORECGFws!L40</f>
        <v>0</v>
      </c>
      <c r="F50" s="450"/>
      <c r="G50" s="450">
        <f>+SORECGFws!M40</f>
        <v>0</v>
      </c>
      <c r="H50" s="450"/>
      <c r="I50" s="450">
        <f>+SORECGFws!N40</f>
        <v>0</v>
      </c>
      <c r="J50" s="450"/>
      <c r="K50" s="450">
        <f>+SORECGFws!O40</f>
        <v>0</v>
      </c>
      <c r="L50" s="450"/>
      <c r="M50" s="450">
        <f>+SORECGFws!P40</f>
        <v>0</v>
      </c>
      <c r="N50" s="450"/>
      <c r="O50" s="450">
        <f>+SORECGFws!Q40</f>
        <v>0</v>
      </c>
      <c r="P50" s="450"/>
      <c r="Q50" s="450">
        <f>+SORECGFws!R40</f>
        <v>0</v>
      </c>
      <c r="R50" s="450"/>
      <c r="S50" s="450">
        <f>+SORECGFws!S40</f>
        <v>0</v>
      </c>
      <c r="T50" s="450"/>
      <c r="U50" s="450">
        <f>+SORECGFws!U40</f>
        <v>0</v>
      </c>
      <c r="V50" s="450"/>
      <c r="W50" s="450">
        <f>+SORECGFws!V40</f>
        <v>0</v>
      </c>
      <c r="X50" s="450"/>
      <c r="Y50" s="450">
        <f>+SORECGFws!W40</f>
        <v>0</v>
      </c>
      <c r="Z50" s="450"/>
      <c r="AA50" s="450">
        <f>+SORECGFws!S40</f>
        <v>0</v>
      </c>
      <c r="AB50" s="450"/>
      <c r="AC50" s="450">
        <f>+SORECGFws!X40</f>
        <v>0</v>
      </c>
      <c r="AD50" s="450"/>
      <c r="AE50" s="450">
        <f>+SORECGFws!R40</f>
        <v>0</v>
      </c>
      <c r="AF50" s="450"/>
      <c r="AG50" s="450">
        <f>+SORECGFws!T40</f>
        <v>0</v>
      </c>
      <c r="AH50" s="450"/>
      <c r="AI50" s="450">
        <f t="shared" si="1"/>
        <v>0</v>
      </c>
      <c r="AJ50" s="450"/>
      <c r="AK50" s="450"/>
      <c r="AL50" s="450"/>
      <c r="AM50" s="450"/>
      <c r="AN50" s="450"/>
      <c r="AO50" s="450"/>
      <c r="AP50" s="450"/>
      <c r="AQ50" s="450"/>
      <c r="AR50" s="450"/>
      <c r="AS50" s="450"/>
      <c r="AT50" s="450"/>
    </row>
    <row r="51" spans="1:46" s="451" customFormat="1" ht="9.9499999999999993" customHeight="1" x14ac:dyDescent="0.2">
      <c r="A51" s="425" t="s">
        <v>1595</v>
      </c>
      <c r="B51" s="450"/>
      <c r="C51" s="450"/>
      <c r="D51" s="450"/>
      <c r="E51" s="450"/>
      <c r="F51" s="450"/>
      <c r="G51" s="450"/>
      <c r="H51" s="450"/>
      <c r="I51" s="450"/>
      <c r="J51" s="450"/>
      <c r="K51" s="450"/>
      <c r="L51" s="450"/>
      <c r="M51" s="450"/>
      <c r="N51" s="450"/>
      <c r="O51" s="450"/>
      <c r="P51" s="450"/>
      <c r="Q51" s="450"/>
      <c r="R51" s="450"/>
      <c r="S51" s="450"/>
      <c r="T51" s="450"/>
      <c r="U51" s="450"/>
      <c r="V51" s="450"/>
      <c r="W51" s="450"/>
      <c r="X51" s="450"/>
      <c r="Y51" s="450"/>
      <c r="Z51" s="450"/>
      <c r="AA51" s="450"/>
      <c r="AB51" s="450"/>
      <c r="AC51" s="450"/>
      <c r="AD51" s="450"/>
      <c r="AE51" s="450"/>
      <c r="AF51" s="450"/>
      <c r="AG51" s="450"/>
      <c r="AH51" s="450"/>
      <c r="AI51" s="450">
        <f t="shared" si="1"/>
        <v>0</v>
      </c>
      <c r="AJ51" s="450"/>
      <c r="AK51" s="450"/>
      <c r="AL51" s="450"/>
      <c r="AM51" s="450"/>
      <c r="AN51" s="450"/>
      <c r="AO51" s="450"/>
      <c r="AP51" s="450"/>
      <c r="AQ51" s="450"/>
      <c r="AR51" s="450"/>
      <c r="AS51" s="450"/>
      <c r="AT51" s="450"/>
    </row>
    <row r="52" spans="1:46" s="451" customFormat="1" ht="9.9499999999999993" customHeight="1" x14ac:dyDescent="0.2">
      <c r="A52" s="426" t="s">
        <v>966</v>
      </c>
      <c r="B52" s="450"/>
      <c r="C52" s="450">
        <f>+SORECGFws!K42</f>
        <v>0</v>
      </c>
      <c r="D52" s="450"/>
      <c r="E52" s="450">
        <f>+SORECGFws!L42</f>
        <v>0</v>
      </c>
      <c r="F52" s="450"/>
      <c r="G52" s="450">
        <f>+SORECGFws!M42</f>
        <v>0</v>
      </c>
      <c r="H52" s="450"/>
      <c r="I52" s="450">
        <f>+SORECGFws!N42</f>
        <v>14</v>
      </c>
      <c r="J52" s="450"/>
      <c r="K52" s="450">
        <f>+SORECGFws!O42</f>
        <v>51</v>
      </c>
      <c r="L52" s="450"/>
      <c r="M52" s="450">
        <f>+SORECGFws!P42</f>
        <v>0</v>
      </c>
      <c r="N52" s="450"/>
      <c r="O52" s="450">
        <f>+SORECGFws!Q42</f>
        <v>0</v>
      </c>
      <c r="P52" s="450"/>
      <c r="Q52" s="450">
        <f>+SORECGFws!R42</f>
        <v>0</v>
      </c>
      <c r="R52" s="450"/>
      <c r="S52" s="450">
        <f>+SORECGFws!S42</f>
        <v>0</v>
      </c>
      <c r="T52" s="450"/>
      <c r="U52" s="450">
        <f>+SORECGFws!U42</f>
        <v>1</v>
      </c>
      <c r="V52" s="450"/>
      <c r="W52" s="450">
        <f>+SORECGFws!V42</f>
        <v>0</v>
      </c>
      <c r="X52" s="450"/>
      <c r="Y52" s="450">
        <f>+SORECGFws!W42</f>
        <v>5</v>
      </c>
      <c r="Z52" s="450"/>
      <c r="AA52" s="450">
        <f>+SORECGFws!S42</f>
        <v>0</v>
      </c>
      <c r="AB52" s="450"/>
      <c r="AC52" s="450">
        <f>+SORECGFws!X42</f>
        <v>0</v>
      </c>
      <c r="AD52" s="450"/>
      <c r="AE52" s="450">
        <f>+SORECGFws!R42</f>
        <v>0</v>
      </c>
      <c r="AF52" s="450"/>
      <c r="AG52" s="450">
        <f>+SORECGFws!T42</f>
        <v>0</v>
      </c>
      <c r="AH52" s="450"/>
      <c r="AI52" s="450">
        <f t="shared" si="1"/>
        <v>71</v>
      </c>
      <c r="AJ52" s="450"/>
      <c r="AK52" s="450"/>
      <c r="AL52" s="450"/>
      <c r="AM52" s="450"/>
      <c r="AN52" s="450"/>
      <c r="AO52" s="450"/>
      <c r="AP52" s="450"/>
      <c r="AQ52" s="450"/>
      <c r="AR52" s="450"/>
      <c r="AS52" s="450"/>
      <c r="AT52" s="450"/>
    </row>
    <row r="53" spans="1:46" s="451" customFormat="1" ht="9.9499999999999993" customHeight="1" x14ac:dyDescent="0.2">
      <c r="A53" s="426" t="s">
        <v>949</v>
      </c>
      <c r="B53" s="450"/>
      <c r="C53" s="450">
        <f>+SORECGFws!K43</f>
        <v>0</v>
      </c>
      <c r="D53" s="450"/>
      <c r="E53" s="450">
        <f>+SORECGFws!L43</f>
        <v>0</v>
      </c>
      <c r="F53" s="450"/>
      <c r="G53" s="450">
        <f>+SORECGFws!M43</f>
        <v>0</v>
      </c>
      <c r="H53" s="450"/>
      <c r="I53" s="450">
        <f>+SORECGFws!N43</f>
        <v>1</v>
      </c>
      <c r="J53" s="450"/>
      <c r="K53" s="450">
        <f>+SORECGFws!O43</f>
        <v>1</v>
      </c>
      <c r="L53" s="450"/>
      <c r="M53" s="450">
        <f>+SORECGFws!P43</f>
        <v>0</v>
      </c>
      <c r="N53" s="450"/>
      <c r="O53" s="450">
        <f>+SORECGFws!Q43</f>
        <v>0</v>
      </c>
      <c r="P53" s="450"/>
      <c r="Q53" s="450">
        <f>+SORECGFws!R43</f>
        <v>0</v>
      </c>
      <c r="R53" s="450"/>
      <c r="S53" s="450">
        <f>+SORECGFws!S43</f>
        <v>0</v>
      </c>
      <c r="T53" s="450"/>
      <c r="U53" s="450">
        <f>+SORECGFws!U43</f>
        <v>0</v>
      </c>
      <c r="V53" s="450"/>
      <c r="W53" s="450">
        <f>+SORECGFws!V43</f>
        <v>0</v>
      </c>
      <c r="X53" s="450"/>
      <c r="Y53" s="450">
        <f>+SORECGFws!W43</f>
        <v>0</v>
      </c>
      <c r="Z53" s="450"/>
      <c r="AA53" s="450">
        <f>+SORECGFws!S43</f>
        <v>0</v>
      </c>
      <c r="AB53" s="450"/>
      <c r="AC53" s="450">
        <f>+SORECGFws!X43</f>
        <v>0</v>
      </c>
      <c r="AD53" s="450"/>
      <c r="AE53" s="450">
        <f>+SORECGFws!R43</f>
        <v>0</v>
      </c>
      <c r="AF53" s="450"/>
      <c r="AG53" s="450">
        <f>+SORECGFws!T43</f>
        <v>0</v>
      </c>
      <c r="AH53" s="450"/>
      <c r="AI53" s="450">
        <f t="shared" si="1"/>
        <v>2</v>
      </c>
      <c r="AJ53" s="450"/>
      <c r="AK53" s="450"/>
      <c r="AL53" s="450"/>
      <c r="AM53" s="450"/>
      <c r="AN53" s="450"/>
      <c r="AO53" s="450"/>
      <c r="AP53" s="450"/>
      <c r="AQ53" s="450"/>
      <c r="AR53" s="450"/>
      <c r="AS53" s="450"/>
      <c r="AT53" s="450"/>
    </row>
    <row r="54" spans="1:46" s="451" customFormat="1" ht="9.9499999999999993" customHeight="1" x14ac:dyDescent="0.2">
      <c r="A54" s="425" t="s">
        <v>1641</v>
      </c>
      <c r="B54" s="450"/>
      <c r="C54" s="450"/>
      <c r="D54" s="450"/>
      <c r="E54" s="450"/>
      <c r="F54" s="450"/>
      <c r="G54" s="450"/>
      <c r="H54" s="450"/>
      <c r="I54" s="450"/>
      <c r="J54" s="450"/>
      <c r="K54" s="450"/>
      <c r="L54" s="450"/>
      <c r="M54" s="450"/>
      <c r="N54" s="450"/>
      <c r="O54" s="450"/>
      <c r="P54" s="450"/>
      <c r="Q54" s="450"/>
      <c r="R54" s="450"/>
      <c r="S54" s="450"/>
      <c r="T54" s="450"/>
      <c r="U54" s="450"/>
      <c r="V54" s="450"/>
      <c r="W54" s="450"/>
      <c r="X54" s="450"/>
      <c r="Y54" s="450"/>
      <c r="Z54" s="450"/>
      <c r="AA54" s="450"/>
      <c r="AB54" s="450"/>
      <c r="AC54" s="450"/>
      <c r="AD54" s="450"/>
      <c r="AE54" s="450"/>
      <c r="AF54" s="450"/>
      <c r="AG54" s="450"/>
      <c r="AH54" s="450"/>
      <c r="AI54" s="450">
        <f t="shared" si="1"/>
        <v>0</v>
      </c>
      <c r="AJ54" s="450"/>
      <c r="AK54" s="450"/>
      <c r="AL54" s="450"/>
      <c r="AM54" s="450"/>
      <c r="AN54" s="450"/>
      <c r="AO54" s="450"/>
      <c r="AP54" s="450"/>
      <c r="AQ54" s="450"/>
      <c r="AR54" s="450"/>
      <c r="AS54" s="450"/>
      <c r="AT54" s="450"/>
    </row>
    <row r="55" spans="1:46" s="451" customFormat="1" ht="9.9499999999999993" customHeight="1" x14ac:dyDescent="0.2">
      <c r="A55" s="426" t="s">
        <v>966</v>
      </c>
      <c r="B55" s="450"/>
      <c r="C55" s="450">
        <f>SORECGFws!K45</f>
        <v>3</v>
      </c>
      <c r="D55" s="450"/>
      <c r="E55" s="450"/>
      <c r="F55" s="450"/>
      <c r="G55" s="450"/>
      <c r="H55" s="450"/>
      <c r="I55" s="450">
        <f>SORECGFws!N45</f>
        <v>280</v>
      </c>
      <c r="J55" s="450"/>
      <c r="K55" s="450">
        <f>SORECGFws!O45</f>
        <v>0</v>
      </c>
      <c r="L55" s="450"/>
      <c r="M55" s="450">
        <f>SORECGFws!P45</f>
        <v>0</v>
      </c>
      <c r="N55" s="450"/>
      <c r="O55" s="450">
        <f>SORECGFws!Q45</f>
        <v>0</v>
      </c>
      <c r="P55" s="450"/>
      <c r="Q55" s="450">
        <f>SORECGFws!R45</f>
        <v>0</v>
      </c>
      <c r="R55" s="450"/>
      <c r="S55" s="450">
        <f>SORECGFws!S45</f>
        <v>0</v>
      </c>
      <c r="T55" s="450"/>
      <c r="U55" s="450">
        <f>SORECGFws!U45</f>
        <v>0</v>
      </c>
      <c r="V55" s="450"/>
      <c r="W55" s="450">
        <f>SORECGFws!V45</f>
        <v>0</v>
      </c>
      <c r="X55" s="450"/>
      <c r="Y55" s="450">
        <f>SORECGFws!W45</f>
        <v>140</v>
      </c>
      <c r="Z55" s="450"/>
      <c r="AA55" s="450"/>
      <c r="AB55" s="450"/>
      <c r="AC55" s="450">
        <f>SORECGFws!X45</f>
        <v>0</v>
      </c>
      <c r="AD55" s="450"/>
      <c r="AE55" s="450"/>
      <c r="AF55" s="450"/>
      <c r="AG55" s="450">
        <f>SORECGFws!T45</f>
        <v>0</v>
      </c>
      <c r="AH55" s="450"/>
      <c r="AI55" s="450">
        <f t="shared" si="1"/>
        <v>423</v>
      </c>
      <c r="AJ55" s="450"/>
      <c r="AK55" s="450"/>
      <c r="AL55" s="450"/>
      <c r="AM55" s="450"/>
      <c r="AN55" s="450"/>
      <c r="AO55" s="450"/>
      <c r="AP55" s="450"/>
      <c r="AQ55" s="450"/>
      <c r="AR55" s="450"/>
      <c r="AS55" s="450"/>
      <c r="AT55" s="450"/>
    </row>
    <row r="56" spans="1:46" s="451" customFormat="1" ht="9.9499999999999993" customHeight="1" x14ac:dyDescent="0.2">
      <c r="A56" s="426" t="s">
        <v>949</v>
      </c>
      <c r="B56" s="450"/>
      <c r="C56" s="450">
        <f>SORECGFws!K46</f>
        <v>0</v>
      </c>
      <c r="D56" s="450"/>
      <c r="E56" s="450"/>
      <c r="F56" s="450"/>
      <c r="G56" s="450"/>
      <c r="H56" s="450"/>
      <c r="I56" s="450">
        <f>SORECGFws!N46</f>
        <v>11</v>
      </c>
      <c r="J56" s="450"/>
      <c r="K56" s="450">
        <f>SORECGFws!O46</f>
        <v>0</v>
      </c>
      <c r="L56" s="450"/>
      <c r="M56" s="450">
        <f>SORECGFws!P46</f>
        <v>0</v>
      </c>
      <c r="N56" s="450"/>
      <c r="O56" s="450">
        <f>SORECGFws!Q46</f>
        <v>0</v>
      </c>
      <c r="P56" s="450"/>
      <c r="Q56" s="450">
        <f>SORECGFws!R46</f>
        <v>0</v>
      </c>
      <c r="R56" s="450"/>
      <c r="S56" s="450">
        <f>SORECGFws!S46</f>
        <v>0</v>
      </c>
      <c r="T56" s="450"/>
      <c r="U56" s="450">
        <f>SORECGFws!U46</f>
        <v>0</v>
      </c>
      <c r="V56" s="450"/>
      <c r="W56" s="450">
        <f>SORECGFws!V46</f>
        <v>0</v>
      </c>
      <c r="X56" s="450"/>
      <c r="Y56" s="450">
        <f>SORECGFws!W46</f>
        <v>23</v>
      </c>
      <c r="Z56" s="450"/>
      <c r="AA56" s="450"/>
      <c r="AB56" s="450"/>
      <c r="AC56" s="450">
        <f>SORECGFws!X46</f>
        <v>0</v>
      </c>
      <c r="AD56" s="450"/>
      <c r="AE56" s="450"/>
      <c r="AF56" s="450"/>
      <c r="AG56" s="450">
        <f>SORECGFws!T46</f>
        <v>0</v>
      </c>
      <c r="AH56" s="450"/>
      <c r="AI56" s="450">
        <f t="shared" si="1"/>
        <v>34</v>
      </c>
      <c r="AJ56" s="450"/>
      <c r="AK56" s="450"/>
      <c r="AL56" s="450"/>
      <c r="AM56" s="450"/>
      <c r="AN56" s="450"/>
      <c r="AO56" s="450"/>
      <c r="AP56" s="450"/>
      <c r="AQ56" s="450"/>
      <c r="AR56" s="450"/>
      <c r="AS56" s="450"/>
      <c r="AT56" s="450"/>
    </row>
    <row r="57" spans="1:46" s="451" customFormat="1" ht="5.0999999999999996" customHeight="1" x14ac:dyDescent="0.2">
      <c r="B57" s="450"/>
      <c r="C57" s="452"/>
      <c r="D57" s="450"/>
      <c r="E57" s="452"/>
      <c r="F57" s="450"/>
      <c r="G57" s="452"/>
      <c r="H57" s="450"/>
      <c r="I57" s="452"/>
      <c r="J57" s="450"/>
      <c r="K57" s="452"/>
      <c r="L57" s="450"/>
      <c r="M57" s="452"/>
      <c r="N57" s="450"/>
      <c r="O57" s="452"/>
      <c r="P57" s="450"/>
      <c r="Q57" s="452"/>
      <c r="R57" s="450"/>
      <c r="S57" s="452"/>
      <c r="T57" s="450"/>
      <c r="U57" s="452"/>
      <c r="V57" s="450"/>
      <c r="W57" s="452"/>
      <c r="X57" s="450"/>
      <c r="Y57" s="452"/>
      <c r="Z57" s="450"/>
      <c r="AA57" s="452"/>
      <c r="AB57" s="450"/>
      <c r="AC57" s="452"/>
      <c r="AD57" s="450"/>
      <c r="AE57" s="452"/>
      <c r="AF57" s="450"/>
      <c r="AG57" s="452"/>
      <c r="AH57" s="450"/>
      <c r="AI57" s="452"/>
      <c r="AJ57" s="450"/>
      <c r="AK57" s="450"/>
      <c r="AL57" s="450"/>
      <c r="AM57" s="450"/>
      <c r="AN57" s="450"/>
      <c r="AO57" s="450"/>
      <c r="AP57" s="450"/>
      <c r="AQ57" s="450"/>
      <c r="AR57" s="450"/>
      <c r="AS57" s="450"/>
      <c r="AT57" s="450"/>
    </row>
    <row r="58" spans="1:46" s="451" customFormat="1" ht="11.1" customHeight="1" x14ac:dyDescent="0.2">
      <c r="A58" s="417" t="s">
        <v>970</v>
      </c>
      <c r="B58" s="450"/>
      <c r="C58" s="455">
        <f>SUM(C33:C56)</f>
        <v>8387</v>
      </c>
      <c r="D58" s="450"/>
      <c r="E58" s="455">
        <f>SUM(E33:E57)</f>
        <v>0</v>
      </c>
      <c r="F58" s="450"/>
      <c r="G58" s="455">
        <f>SUM(G33:G57)</f>
        <v>0</v>
      </c>
      <c r="H58" s="450"/>
      <c r="I58" s="455">
        <f t="shared" ref="I58" si="2">SUM(I33:I56)</f>
        <v>77483</v>
      </c>
      <c r="J58" s="450"/>
      <c r="K58" s="455">
        <f t="shared" ref="K58" si="3">SUM(K33:K57)</f>
        <v>58211</v>
      </c>
      <c r="L58" s="450"/>
      <c r="M58" s="455">
        <f t="shared" ref="M58" si="4">SUM(M33:M57)</f>
        <v>3</v>
      </c>
      <c r="N58" s="450"/>
      <c r="O58" s="455">
        <f t="shared" ref="O58" si="5">SUM(O33:O56)</f>
        <v>0</v>
      </c>
      <c r="P58" s="450"/>
      <c r="Q58" s="455">
        <f t="shared" ref="Q58" si="6">SUM(Q33:Q57)</f>
        <v>38310</v>
      </c>
      <c r="R58" s="450"/>
      <c r="S58" s="455">
        <f t="shared" ref="S58" si="7">SUM(S33:S57)</f>
        <v>2876</v>
      </c>
      <c r="T58" s="450"/>
      <c r="U58" s="455">
        <f t="shared" ref="U58" si="8">SUM(U33:U56)</f>
        <v>4003</v>
      </c>
      <c r="V58" s="450"/>
      <c r="W58" s="455">
        <f t="shared" ref="W58" si="9">SUM(W33:W57)</f>
        <v>1025</v>
      </c>
      <c r="X58" s="450"/>
      <c r="Y58" s="455">
        <f t="shared" ref="Y58" si="10">SUM(Y33:Y57)</f>
        <v>46452</v>
      </c>
      <c r="Z58" s="450"/>
      <c r="AA58" s="455">
        <f t="shared" ref="AA58" si="11">SUM(AA33:AA56)</f>
        <v>0</v>
      </c>
      <c r="AB58" s="450"/>
      <c r="AC58" s="455">
        <f t="shared" ref="AC58" si="12">SUM(AC33:AC57)</f>
        <v>30585</v>
      </c>
      <c r="AD58" s="450"/>
      <c r="AE58" s="455">
        <f t="shared" ref="AE58" si="13">SUM(AE33:AE57)</f>
        <v>0</v>
      </c>
      <c r="AF58" s="450"/>
      <c r="AG58" s="455">
        <f t="shared" ref="AG58" si="14">SUM(AG33:AG56)</f>
        <v>12586</v>
      </c>
      <c r="AH58" s="450"/>
      <c r="AI58" s="455">
        <f t="shared" ref="AI58" si="15">SUM(AI33:AI57)</f>
        <v>279921</v>
      </c>
      <c r="AJ58" s="450"/>
      <c r="AK58" s="450"/>
      <c r="AL58" s="450"/>
      <c r="AM58" s="450"/>
      <c r="AN58" s="450"/>
      <c r="AO58" s="450"/>
      <c r="AP58" s="450"/>
      <c r="AQ58" s="450"/>
      <c r="AR58" s="450"/>
      <c r="AS58" s="450"/>
      <c r="AT58" s="450"/>
    </row>
    <row r="59" spans="1:46" s="451" customFormat="1" ht="5.0999999999999996" hidden="1" customHeight="1" x14ac:dyDescent="0.2">
      <c r="B59" s="450"/>
      <c r="C59" s="450"/>
      <c r="D59" s="450"/>
      <c r="E59" s="450"/>
      <c r="F59" s="450"/>
      <c r="G59" s="450"/>
      <c r="H59" s="450"/>
      <c r="I59" s="450"/>
      <c r="J59" s="450"/>
      <c r="K59" s="450"/>
      <c r="L59" s="450"/>
      <c r="M59" s="450"/>
      <c r="N59" s="450"/>
      <c r="O59" s="450"/>
      <c r="P59" s="450"/>
      <c r="Q59" s="450"/>
      <c r="R59" s="450"/>
      <c r="S59" s="450"/>
      <c r="T59" s="450"/>
      <c r="U59" s="450"/>
      <c r="V59" s="450"/>
      <c r="W59" s="450"/>
      <c r="X59" s="450"/>
      <c r="Y59" s="450"/>
      <c r="Z59" s="450"/>
      <c r="AA59" s="450"/>
      <c r="AB59" s="450"/>
      <c r="AC59" s="450"/>
      <c r="AD59" s="450"/>
      <c r="AE59" s="450"/>
      <c r="AF59" s="450"/>
      <c r="AG59" s="450"/>
      <c r="AH59" s="450"/>
      <c r="AI59" s="450"/>
      <c r="AJ59" s="450"/>
      <c r="AK59" s="450"/>
      <c r="AL59" s="450"/>
      <c r="AM59" s="450"/>
      <c r="AN59" s="450"/>
      <c r="AO59" s="450"/>
      <c r="AP59" s="450"/>
      <c r="AQ59" s="450"/>
      <c r="AR59" s="450"/>
      <c r="AS59" s="450"/>
      <c r="AT59" s="450"/>
    </row>
    <row r="60" spans="1:46" s="451" customFormat="1" ht="5.0999999999999996" customHeight="1" x14ac:dyDescent="0.2">
      <c r="B60" s="450"/>
      <c r="C60" s="452"/>
      <c r="D60" s="450"/>
      <c r="E60" s="452"/>
      <c r="F60" s="450"/>
      <c r="G60" s="452"/>
      <c r="H60" s="450"/>
      <c r="I60" s="452"/>
      <c r="J60" s="450"/>
      <c r="K60" s="452"/>
      <c r="L60" s="450"/>
      <c r="M60" s="452"/>
      <c r="N60" s="450"/>
      <c r="O60" s="452"/>
      <c r="P60" s="450"/>
      <c r="Q60" s="452"/>
      <c r="R60" s="450"/>
      <c r="S60" s="452"/>
      <c r="T60" s="450"/>
      <c r="U60" s="452"/>
      <c r="V60" s="450"/>
      <c r="W60" s="452"/>
      <c r="X60" s="450"/>
      <c r="Y60" s="452"/>
      <c r="Z60" s="450"/>
      <c r="AA60" s="452"/>
      <c r="AB60" s="450"/>
      <c r="AC60" s="452"/>
      <c r="AD60" s="450"/>
      <c r="AE60" s="452"/>
      <c r="AF60" s="450"/>
      <c r="AG60" s="452"/>
      <c r="AH60" s="450"/>
      <c r="AI60" s="452"/>
      <c r="AJ60" s="450"/>
      <c r="AK60" s="450"/>
      <c r="AL60" s="450"/>
      <c r="AM60" s="450"/>
      <c r="AN60" s="450"/>
      <c r="AO60" s="450"/>
      <c r="AP60" s="450"/>
      <c r="AQ60" s="450"/>
      <c r="AR60" s="450"/>
      <c r="AS60" s="450"/>
      <c r="AT60" s="450"/>
    </row>
    <row r="61" spans="1:46" s="451" customFormat="1" ht="9.9499999999999993" customHeight="1" x14ac:dyDescent="0.2">
      <c r="A61" s="417" t="s">
        <v>1424</v>
      </c>
      <c r="B61" s="450"/>
      <c r="C61" s="455">
        <f>+C29-C58</f>
        <v>17239</v>
      </c>
      <c r="D61" s="450"/>
      <c r="E61" s="455">
        <f>SUM(E29-E58)</f>
        <v>0</v>
      </c>
      <c r="F61" s="450"/>
      <c r="G61" s="455">
        <f>SUM(G29-G58)</f>
        <v>0</v>
      </c>
      <c r="H61" s="450"/>
      <c r="I61" s="455">
        <f>SUM(I29-I58)</f>
        <v>59087</v>
      </c>
      <c r="J61" s="450"/>
      <c r="K61" s="455">
        <f>SUM(K29-K58)</f>
        <v>-1268</v>
      </c>
      <c r="L61" s="450"/>
      <c r="M61" s="455">
        <f>SUM(M29-M58)</f>
        <v>22569</v>
      </c>
      <c r="N61" s="450"/>
      <c r="O61" s="455">
        <f>SUM(O29-O58)</f>
        <v>1705</v>
      </c>
      <c r="P61" s="450"/>
      <c r="Q61" s="455">
        <f>SUM(Q29-Q58)</f>
        <v>50402</v>
      </c>
      <c r="R61" s="450"/>
      <c r="S61" s="455">
        <f>SUM(S29-S58)</f>
        <v>50340</v>
      </c>
      <c r="T61" s="450"/>
      <c r="U61" s="455">
        <f>SUM(U29-U58)</f>
        <v>1213</v>
      </c>
      <c r="V61" s="450"/>
      <c r="W61" s="455">
        <f>SUM(W29-W58)</f>
        <v>-214</v>
      </c>
      <c r="X61" s="450"/>
      <c r="Y61" s="455">
        <f>SUM(Y29-Y58)</f>
        <v>20384</v>
      </c>
      <c r="Z61" s="450"/>
      <c r="AA61" s="455">
        <f>SUM(AA29-AA58)</f>
        <v>0</v>
      </c>
      <c r="AB61" s="450"/>
      <c r="AC61" s="455">
        <f>SUM(AC29-AC58)</f>
        <v>17344</v>
      </c>
      <c r="AD61" s="450"/>
      <c r="AE61" s="455">
        <f>SUM(AE29-AE58)</f>
        <v>0</v>
      </c>
      <c r="AF61" s="450"/>
      <c r="AG61" s="455">
        <f>SUM(AG29-AG58)</f>
        <v>-1226</v>
      </c>
      <c r="AH61" s="450"/>
      <c r="AI61" s="455">
        <f>SUM(AI29-AI58)</f>
        <v>237575</v>
      </c>
      <c r="AJ61" s="450"/>
      <c r="AK61" s="450"/>
      <c r="AL61" s="450"/>
      <c r="AM61" s="450"/>
      <c r="AN61" s="450"/>
      <c r="AO61" s="450"/>
      <c r="AP61" s="450"/>
      <c r="AQ61" s="450"/>
      <c r="AR61" s="450"/>
      <c r="AS61" s="450"/>
      <c r="AT61" s="450"/>
    </row>
    <row r="62" spans="1:46" s="451" customFormat="1" ht="5.0999999999999996" customHeight="1" x14ac:dyDescent="0.2">
      <c r="A62" s="450"/>
      <c r="B62" s="450"/>
      <c r="C62" s="450"/>
      <c r="D62" s="450"/>
      <c r="E62" s="450"/>
      <c r="F62" s="450"/>
      <c r="G62" s="450"/>
      <c r="H62" s="450"/>
      <c r="I62" s="450"/>
      <c r="J62" s="450"/>
      <c r="K62" s="450"/>
      <c r="L62" s="450"/>
      <c r="M62" s="450"/>
      <c r="N62" s="450"/>
      <c r="O62" s="450"/>
      <c r="P62" s="450"/>
      <c r="Q62" s="450"/>
      <c r="R62" s="450"/>
      <c r="S62" s="450"/>
      <c r="T62" s="450"/>
      <c r="U62" s="450"/>
      <c r="V62" s="450"/>
      <c r="W62" s="450"/>
      <c r="X62" s="450"/>
      <c r="Y62" s="450"/>
      <c r="Z62" s="450"/>
      <c r="AA62" s="450"/>
      <c r="AB62" s="450"/>
      <c r="AC62" s="450"/>
      <c r="AD62" s="450"/>
      <c r="AE62" s="450"/>
      <c r="AF62" s="450"/>
      <c r="AG62" s="450"/>
      <c r="AH62" s="450"/>
      <c r="AI62" s="450"/>
      <c r="AJ62" s="450"/>
      <c r="AK62" s="450"/>
      <c r="AL62" s="450"/>
      <c r="AM62" s="450"/>
      <c r="AN62" s="450"/>
      <c r="AO62" s="450"/>
      <c r="AP62" s="450"/>
      <c r="AQ62" s="450"/>
      <c r="AR62" s="450"/>
      <c r="AS62" s="450"/>
      <c r="AT62" s="450"/>
    </row>
    <row r="63" spans="1:46" s="451" customFormat="1" ht="9.75" customHeight="1" x14ac:dyDescent="0.2">
      <c r="A63" s="417" t="s">
        <v>34</v>
      </c>
      <c r="B63" s="450"/>
      <c r="C63" s="450"/>
      <c r="D63" s="450"/>
      <c r="E63" s="450"/>
      <c r="F63" s="450"/>
      <c r="G63" s="450"/>
      <c r="H63" s="450"/>
      <c r="I63" s="450"/>
      <c r="J63" s="450"/>
      <c r="K63" s="450"/>
      <c r="L63" s="450"/>
      <c r="M63" s="450"/>
      <c r="N63" s="450"/>
      <c r="O63" s="450"/>
      <c r="P63" s="450"/>
      <c r="Q63" s="450"/>
      <c r="R63" s="450"/>
      <c r="S63" s="450"/>
      <c r="T63" s="450"/>
      <c r="U63" s="450"/>
      <c r="V63" s="450"/>
      <c r="W63" s="450"/>
      <c r="X63" s="450"/>
      <c r="Y63" s="450"/>
      <c r="Z63" s="450"/>
      <c r="AA63" s="450"/>
      <c r="AB63" s="450"/>
      <c r="AC63" s="450"/>
      <c r="AD63" s="450"/>
      <c r="AE63" s="450"/>
      <c r="AF63" s="450"/>
      <c r="AG63" s="450"/>
      <c r="AH63" s="450"/>
      <c r="AI63" s="450"/>
      <c r="AJ63" s="450"/>
      <c r="AK63" s="450"/>
      <c r="AL63" s="450"/>
      <c r="AM63" s="450"/>
      <c r="AN63" s="450"/>
      <c r="AO63" s="450"/>
      <c r="AP63" s="450"/>
      <c r="AQ63" s="450"/>
      <c r="AR63" s="450"/>
      <c r="AS63" s="450"/>
      <c r="AT63" s="450"/>
    </row>
    <row r="64" spans="1:46" s="451" customFormat="1" ht="9.75" hidden="1" customHeight="1" x14ac:dyDescent="0.2">
      <c r="A64" s="425" t="s">
        <v>667</v>
      </c>
      <c r="B64" s="450"/>
      <c r="C64" s="450">
        <f>+SORECGFws!K53</f>
        <v>0</v>
      </c>
      <c r="D64" s="450"/>
      <c r="E64" s="450">
        <f>+SORECGFws!L53</f>
        <v>0</v>
      </c>
      <c r="F64" s="450"/>
      <c r="G64" s="450">
        <f>+SORECGFws!M53</f>
        <v>0</v>
      </c>
      <c r="H64" s="450"/>
      <c r="I64" s="450">
        <f>+SORECGFws!N53</f>
        <v>0</v>
      </c>
      <c r="J64" s="450"/>
      <c r="K64" s="450">
        <f>+SORECGFws!O53</f>
        <v>0</v>
      </c>
      <c r="L64" s="450"/>
      <c r="M64" s="450">
        <f>+SORECGFws!P53</f>
        <v>0</v>
      </c>
      <c r="N64" s="450"/>
      <c r="O64" s="450">
        <f>+SORECGFws!Q53</f>
        <v>0</v>
      </c>
      <c r="P64" s="450"/>
      <c r="Q64" s="450"/>
      <c r="R64" s="450"/>
      <c r="S64" s="450"/>
      <c r="T64" s="450"/>
      <c r="U64" s="450">
        <f>+SORECGFws!U53</f>
        <v>0</v>
      </c>
      <c r="V64" s="450"/>
      <c r="W64" s="450">
        <f>+SORECGFws!V53</f>
        <v>0</v>
      </c>
      <c r="X64" s="450"/>
      <c r="Y64" s="450">
        <f>+SORECGFws!W53</f>
        <v>0</v>
      </c>
      <c r="Z64" s="450"/>
      <c r="AA64" s="450"/>
      <c r="AB64" s="450"/>
      <c r="AC64" s="450">
        <f>+SORECGFws!X53</f>
        <v>0</v>
      </c>
      <c r="AD64" s="450"/>
      <c r="AE64" s="450">
        <f>+SORECGFws!R53</f>
        <v>0</v>
      </c>
      <c r="AF64" s="450"/>
      <c r="AG64" s="450">
        <f>+SORECGFws!T53</f>
        <v>0</v>
      </c>
      <c r="AH64" s="450"/>
      <c r="AI64" s="450">
        <f t="shared" ref="AI64:AI73" si="16">SUM(C64:AG64)</f>
        <v>0</v>
      </c>
      <c r="AJ64" s="450"/>
      <c r="AK64" s="450"/>
      <c r="AL64" s="450"/>
      <c r="AM64" s="450"/>
      <c r="AN64" s="450"/>
      <c r="AO64" s="450"/>
      <c r="AP64" s="450"/>
      <c r="AQ64" s="450"/>
      <c r="AR64" s="450"/>
      <c r="AS64" s="450"/>
      <c r="AT64" s="450"/>
    </row>
    <row r="65" spans="1:46" s="451" customFormat="1" ht="9.75" hidden="1" customHeight="1" x14ac:dyDescent="0.2">
      <c r="A65" s="425" t="s">
        <v>1235</v>
      </c>
      <c r="B65" s="450"/>
      <c r="C65" s="450">
        <f>+SORECGFws!K54</f>
        <v>0</v>
      </c>
      <c r="D65" s="450"/>
      <c r="E65" s="450">
        <f>+SORECGFws!L54</f>
        <v>0</v>
      </c>
      <c r="F65" s="450"/>
      <c r="G65" s="450">
        <f>+SORECGFws!M54</f>
        <v>0</v>
      </c>
      <c r="H65" s="450"/>
      <c r="I65" s="450">
        <f>+SORECGFws!N54</f>
        <v>0</v>
      </c>
      <c r="J65" s="450"/>
      <c r="K65" s="450">
        <f>+SORECGFws!O54</f>
        <v>0</v>
      </c>
      <c r="L65" s="450"/>
      <c r="M65" s="450">
        <f>+SORECGFws!P54</f>
        <v>0</v>
      </c>
      <c r="N65" s="450"/>
      <c r="O65" s="450">
        <f>+SORECGFws!Q54</f>
        <v>0</v>
      </c>
      <c r="P65" s="450"/>
      <c r="Q65" s="450"/>
      <c r="R65" s="450"/>
      <c r="S65" s="450"/>
      <c r="T65" s="450"/>
      <c r="U65" s="450">
        <f>+SORECGFws!U54</f>
        <v>0</v>
      </c>
      <c r="V65" s="450"/>
      <c r="W65" s="450">
        <f>+SORECGFws!V54</f>
        <v>0</v>
      </c>
      <c r="X65" s="450"/>
      <c r="Y65" s="450">
        <f>+SORECGFws!W54</f>
        <v>0</v>
      </c>
      <c r="Z65" s="450"/>
      <c r="AA65" s="450"/>
      <c r="AB65" s="450"/>
      <c r="AC65" s="450">
        <f>+SORECGFws!X54</f>
        <v>0</v>
      </c>
      <c r="AD65" s="450"/>
      <c r="AE65" s="450">
        <f>+SORECGFws!R54</f>
        <v>0</v>
      </c>
      <c r="AF65" s="450"/>
      <c r="AG65" s="450">
        <f>+SORECGFws!T54</f>
        <v>0</v>
      </c>
      <c r="AH65" s="450"/>
      <c r="AI65" s="450">
        <f>SUM(C65:AG65)</f>
        <v>0</v>
      </c>
      <c r="AJ65" s="450"/>
      <c r="AK65" s="450"/>
      <c r="AL65" s="450"/>
      <c r="AM65" s="450"/>
      <c r="AN65" s="450"/>
      <c r="AO65" s="450"/>
      <c r="AP65" s="450"/>
      <c r="AQ65" s="450"/>
      <c r="AR65" s="450"/>
      <c r="AS65" s="450"/>
      <c r="AT65" s="450"/>
    </row>
    <row r="66" spans="1:46" s="451" customFormat="1" ht="9.75" hidden="1" customHeight="1" x14ac:dyDescent="0.2">
      <c r="A66" s="425" t="s">
        <v>973</v>
      </c>
      <c r="B66" s="450"/>
      <c r="C66" s="450">
        <f>+SORECGFws!K55</f>
        <v>0</v>
      </c>
      <c r="D66" s="450"/>
      <c r="E66" s="450">
        <f>+SORECGFws!L55</f>
        <v>0</v>
      </c>
      <c r="F66" s="450"/>
      <c r="G66" s="450">
        <f>+SORECGFws!M55</f>
        <v>0</v>
      </c>
      <c r="H66" s="450"/>
      <c r="I66" s="450">
        <f>+SORECGFws!N55</f>
        <v>0</v>
      </c>
      <c r="J66" s="450"/>
      <c r="K66" s="450">
        <f>+SORECGFws!O55</f>
        <v>0</v>
      </c>
      <c r="L66" s="450"/>
      <c r="M66" s="450">
        <f>+SORECGFws!P55</f>
        <v>0</v>
      </c>
      <c r="N66" s="450"/>
      <c r="O66" s="450">
        <f>+SORECGFws!Q55</f>
        <v>0</v>
      </c>
      <c r="P66" s="450"/>
      <c r="Q66" s="450"/>
      <c r="R66" s="450"/>
      <c r="S66" s="450"/>
      <c r="T66" s="450"/>
      <c r="U66" s="450">
        <f>+SORECGFws!U55</f>
        <v>0</v>
      </c>
      <c r="V66" s="450"/>
      <c r="W66" s="450">
        <f>+SORECGFws!V55</f>
        <v>0</v>
      </c>
      <c r="X66" s="450"/>
      <c r="Y66" s="450">
        <f>+SORECGFws!W55</f>
        <v>0</v>
      </c>
      <c r="Z66" s="450"/>
      <c r="AA66" s="450"/>
      <c r="AB66" s="450"/>
      <c r="AC66" s="450">
        <f>+SORECGFws!X55</f>
        <v>0</v>
      </c>
      <c r="AD66" s="450"/>
      <c r="AE66" s="450">
        <f>+SORECGFws!R55</f>
        <v>0</v>
      </c>
      <c r="AF66" s="450"/>
      <c r="AG66" s="450">
        <f>+SORECGFws!T55</f>
        <v>0</v>
      </c>
      <c r="AH66" s="450"/>
      <c r="AI66" s="450">
        <f t="shared" si="16"/>
        <v>0</v>
      </c>
      <c r="AJ66" s="450"/>
      <c r="AK66" s="450"/>
      <c r="AL66" s="450"/>
      <c r="AM66" s="450"/>
      <c r="AN66" s="450"/>
      <c r="AO66" s="450"/>
      <c r="AP66" s="450"/>
      <c r="AQ66" s="450"/>
      <c r="AR66" s="450"/>
      <c r="AS66" s="450"/>
      <c r="AT66" s="450"/>
    </row>
    <row r="67" spans="1:46" s="451" customFormat="1" ht="9.75" hidden="1" customHeight="1" x14ac:dyDescent="0.2">
      <c r="A67" s="425" t="s">
        <v>666</v>
      </c>
      <c r="B67" s="450"/>
      <c r="C67" s="450">
        <f>+SORECGFws!K56</f>
        <v>0</v>
      </c>
      <c r="D67" s="450"/>
      <c r="E67" s="450">
        <f>+SORECGFws!L56</f>
        <v>0</v>
      </c>
      <c r="F67" s="450"/>
      <c r="G67" s="450">
        <f>+SORECGFws!M56</f>
        <v>0</v>
      </c>
      <c r="H67" s="450"/>
      <c r="I67" s="450">
        <f>+SORECGFws!N56</f>
        <v>0</v>
      </c>
      <c r="J67" s="450"/>
      <c r="K67" s="450">
        <f>SORECGFws!O56</f>
        <v>0</v>
      </c>
      <c r="L67" s="450"/>
      <c r="M67" s="450">
        <f>+SORECGFws!P56</f>
        <v>0</v>
      </c>
      <c r="N67" s="450"/>
      <c r="O67" s="450">
        <f>+SORECGFws!Q56</f>
        <v>0</v>
      </c>
      <c r="P67" s="450"/>
      <c r="Q67" s="450"/>
      <c r="R67" s="450"/>
      <c r="S67" s="450"/>
      <c r="T67" s="450"/>
      <c r="U67" s="450">
        <f>+SORECGFws!U56</f>
        <v>0</v>
      </c>
      <c r="V67" s="450"/>
      <c r="W67" s="450">
        <f>+SORECGFws!V56</f>
        <v>0</v>
      </c>
      <c r="X67" s="450"/>
      <c r="Y67" s="450">
        <f>+SORECGFws!W56</f>
        <v>0</v>
      </c>
      <c r="Z67" s="450"/>
      <c r="AA67" s="450"/>
      <c r="AB67" s="450"/>
      <c r="AC67" s="450">
        <f>+SORECGFws!X56</f>
        <v>0</v>
      </c>
      <c r="AD67" s="450"/>
      <c r="AE67" s="450">
        <f>+SORECGFws!R56</f>
        <v>0</v>
      </c>
      <c r="AF67" s="450"/>
      <c r="AG67" s="450">
        <f>+SORECGFws!T56</f>
        <v>0</v>
      </c>
      <c r="AH67" s="450"/>
      <c r="AI67" s="450">
        <f t="shared" si="16"/>
        <v>0</v>
      </c>
      <c r="AJ67" s="450"/>
      <c r="AK67" s="450"/>
      <c r="AL67" s="450"/>
      <c r="AM67" s="450"/>
      <c r="AN67" s="450"/>
      <c r="AO67" s="450"/>
      <c r="AP67" s="450"/>
      <c r="AQ67" s="450"/>
      <c r="AR67" s="450"/>
      <c r="AS67" s="450"/>
      <c r="AT67" s="450"/>
    </row>
    <row r="68" spans="1:46" s="451" customFormat="1" ht="9.75" customHeight="1" x14ac:dyDescent="0.2">
      <c r="A68" s="425" t="s">
        <v>1581</v>
      </c>
      <c r="B68" s="450"/>
      <c r="C68" s="450"/>
      <c r="D68" s="450"/>
      <c r="E68" s="450"/>
      <c r="F68" s="450"/>
      <c r="G68" s="450"/>
      <c r="H68" s="450"/>
      <c r="I68" s="450">
        <f>+SORECGFws!N57</f>
        <v>15</v>
      </c>
      <c r="J68" s="450"/>
      <c r="K68" s="450">
        <f>SORECGFws!O57</f>
        <v>0</v>
      </c>
      <c r="L68" s="450"/>
      <c r="M68" s="450"/>
      <c r="N68" s="450"/>
      <c r="O68" s="450"/>
      <c r="P68" s="450"/>
      <c r="Q68" s="450"/>
      <c r="R68" s="450"/>
      <c r="S68" s="450"/>
      <c r="T68" s="450"/>
      <c r="U68" s="450">
        <f>+SORECGFws!U57</f>
        <v>0</v>
      </c>
      <c r="V68" s="450"/>
      <c r="W68" s="450">
        <f>+SORECGFws!V57</f>
        <v>0</v>
      </c>
      <c r="X68" s="450"/>
      <c r="Y68" s="450">
        <f>+SORECGFws!W57</f>
        <v>0</v>
      </c>
      <c r="Z68" s="450"/>
      <c r="AA68" s="450"/>
      <c r="AB68" s="450"/>
      <c r="AC68" s="450">
        <f>+SORECGFws!X57</f>
        <v>0</v>
      </c>
      <c r="AD68" s="450"/>
      <c r="AE68" s="450">
        <f>+SORECGFws!R57</f>
        <v>0</v>
      </c>
      <c r="AF68" s="450"/>
      <c r="AG68" s="450">
        <f>+SORECGFws!T57</f>
        <v>0</v>
      </c>
      <c r="AH68" s="450"/>
      <c r="AI68" s="450">
        <f t="shared" ref="AI68" si="17">SUM(C68:AG68)</f>
        <v>15</v>
      </c>
      <c r="AJ68" s="450"/>
      <c r="AK68" s="450"/>
      <c r="AL68" s="450"/>
      <c r="AM68" s="450"/>
      <c r="AN68" s="450"/>
      <c r="AO68" s="450"/>
      <c r="AP68" s="450"/>
      <c r="AQ68" s="450"/>
      <c r="AR68" s="450"/>
      <c r="AS68" s="450"/>
      <c r="AT68" s="450"/>
    </row>
    <row r="69" spans="1:46" s="451" customFormat="1" ht="9.75" hidden="1" customHeight="1" x14ac:dyDescent="0.2">
      <c r="A69" s="425" t="s">
        <v>1642</v>
      </c>
      <c r="B69" s="450"/>
      <c r="C69" s="450">
        <f>+SORECGFws!K58</f>
        <v>0</v>
      </c>
      <c r="D69" s="450"/>
      <c r="E69" s="450"/>
      <c r="F69" s="450"/>
      <c r="G69" s="450"/>
      <c r="H69" s="450"/>
      <c r="I69" s="450">
        <f>+SORECGFws!N58</f>
        <v>0</v>
      </c>
      <c r="J69" s="450"/>
      <c r="K69" s="450">
        <f>SORECGFws!O58</f>
        <v>0</v>
      </c>
      <c r="L69" s="450"/>
      <c r="M69" s="450"/>
      <c r="N69" s="450"/>
      <c r="O69" s="450"/>
      <c r="P69" s="450"/>
      <c r="Q69" s="450"/>
      <c r="R69" s="450"/>
      <c r="S69" s="450"/>
      <c r="T69" s="450"/>
      <c r="U69" s="450">
        <f>+SORECGFws!U58</f>
        <v>0</v>
      </c>
      <c r="V69" s="450"/>
      <c r="W69" s="450">
        <f>+SORECGFws!V58</f>
        <v>0</v>
      </c>
      <c r="X69" s="450"/>
      <c r="Y69" s="450">
        <f>+SORECGFws!W58</f>
        <v>0</v>
      </c>
      <c r="Z69" s="450"/>
      <c r="AA69" s="450"/>
      <c r="AB69" s="450"/>
      <c r="AC69" s="450">
        <f>+SORECGFws!X58</f>
        <v>0</v>
      </c>
      <c r="AD69" s="450"/>
      <c r="AE69" s="450">
        <f>+SORECGFws!R58</f>
        <v>0</v>
      </c>
      <c r="AF69" s="450"/>
      <c r="AG69" s="450">
        <f>+SORECGFws!T58</f>
        <v>0</v>
      </c>
      <c r="AH69" s="450"/>
      <c r="AI69" s="450">
        <f t="shared" ref="AI69" si="18">SUM(C69:AG69)</f>
        <v>0</v>
      </c>
      <c r="AJ69" s="450"/>
      <c r="AK69" s="450"/>
      <c r="AL69" s="450"/>
      <c r="AM69" s="450"/>
      <c r="AN69" s="450"/>
      <c r="AO69" s="450"/>
      <c r="AP69" s="450"/>
      <c r="AQ69" s="450"/>
      <c r="AR69" s="450"/>
      <c r="AS69" s="450"/>
      <c r="AT69" s="450"/>
    </row>
    <row r="70" spans="1:46" s="451" customFormat="1" ht="9.75" hidden="1" customHeight="1" x14ac:dyDescent="0.2">
      <c r="A70" s="425" t="s">
        <v>668</v>
      </c>
      <c r="B70" s="450"/>
      <c r="C70" s="450">
        <f>+SORECGFws!K59</f>
        <v>0</v>
      </c>
      <c r="D70" s="450"/>
      <c r="E70" s="450">
        <f>+SORECGFws!L59</f>
        <v>0</v>
      </c>
      <c r="F70" s="450"/>
      <c r="G70" s="450">
        <f>+SORECGFws!M59</f>
        <v>0</v>
      </c>
      <c r="H70" s="450"/>
      <c r="I70" s="450">
        <f>+SORECGFws!N59</f>
        <v>0</v>
      </c>
      <c r="J70" s="450"/>
      <c r="K70" s="450">
        <f>SORECGFws!O59</f>
        <v>0</v>
      </c>
      <c r="L70" s="450"/>
      <c r="M70" s="450">
        <f>+SORECGFws!P59</f>
        <v>0</v>
      </c>
      <c r="N70" s="450"/>
      <c r="O70" s="450">
        <f>+SORECGFws!Q59</f>
        <v>0</v>
      </c>
      <c r="P70" s="450"/>
      <c r="Q70" s="450"/>
      <c r="R70" s="450"/>
      <c r="S70" s="450"/>
      <c r="T70" s="450"/>
      <c r="U70" s="450">
        <f>+SORECGFws!U59</f>
        <v>0</v>
      </c>
      <c r="V70" s="450"/>
      <c r="W70" s="450">
        <f>+SORECGFws!V59</f>
        <v>0</v>
      </c>
      <c r="X70" s="450"/>
      <c r="Y70" s="450">
        <f>+SORECGFws!W59</f>
        <v>0</v>
      </c>
      <c r="Z70" s="450"/>
      <c r="AA70" s="450"/>
      <c r="AB70" s="450"/>
      <c r="AC70" s="450">
        <f>+SORECGFws!X59</f>
        <v>0</v>
      </c>
      <c r="AD70" s="450"/>
      <c r="AE70" s="450">
        <f>+SORECGFws!R59</f>
        <v>0</v>
      </c>
      <c r="AF70" s="450"/>
      <c r="AG70" s="450">
        <f>+SORECGFws!T59</f>
        <v>0</v>
      </c>
      <c r="AH70" s="450"/>
      <c r="AI70" s="450">
        <f t="shared" si="16"/>
        <v>0</v>
      </c>
      <c r="AJ70" s="450"/>
      <c r="AK70" s="450"/>
      <c r="AL70" s="450"/>
      <c r="AM70" s="450"/>
      <c r="AN70" s="450"/>
      <c r="AO70" s="450"/>
      <c r="AP70" s="450"/>
      <c r="AQ70" s="450"/>
      <c r="AR70" s="450"/>
      <c r="AS70" s="450"/>
      <c r="AT70" s="450"/>
    </row>
    <row r="71" spans="1:46" s="451" customFormat="1" ht="9.9499999999999993" hidden="1" customHeight="1" x14ac:dyDescent="0.2">
      <c r="A71" s="425" t="s">
        <v>404</v>
      </c>
      <c r="B71" s="450"/>
      <c r="C71" s="450">
        <f>+SORECGFws!K60</f>
        <v>0</v>
      </c>
      <c r="D71" s="450"/>
      <c r="E71" s="450">
        <f>+SORECGFws!L60</f>
        <v>0</v>
      </c>
      <c r="F71" s="450"/>
      <c r="G71" s="450">
        <f>+SORECGFws!M60</f>
        <v>0</v>
      </c>
      <c r="H71" s="450"/>
      <c r="I71" s="450">
        <f>+SORECGFws!N60</f>
        <v>0</v>
      </c>
      <c r="J71" s="450"/>
      <c r="K71" s="450">
        <f>SORECGFws!O60</f>
        <v>0</v>
      </c>
      <c r="L71" s="450"/>
      <c r="M71" s="450">
        <f>+SORECGFws!P60</f>
        <v>0</v>
      </c>
      <c r="N71" s="450"/>
      <c r="O71" s="450">
        <f>+SORECGFws!Q60</f>
        <v>0</v>
      </c>
      <c r="P71" s="450"/>
      <c r="Q71" s="450"/>
      <c r="R71" s="450"/>
      <c r="S71" s="450"/>
      <c r="T71" s="450"/>
      <c r="U71" s="450">
        <f>+SORECGFws!U60</f>
        <v>0</v>
      </c>
      <c r="V71" s="450"/>
      <c r="W71" s="450">
        <f>+SORECGFws!V60</f>
        <v>0</v>
      </c>
      <c r="X71" s="450"/>
      <c r="Y71" s="450">
        <f>+SORECGFws!W60</f>
        <v>0</v>
      </c>
      <c r="Z71" s="450"/>
      <c r="AA71" s="450"/>
      <c r="AB71" s="450"/>
      <c r="AC71" s="450">
        <f>+SORECGFws!X60</f>
        <v>0</v>
      </c>
      <c r="AD71" s="450"/>
      <c r="AE71" s="450">
        <f>+SORECGFws!R60</f>
        <v>0</v>
      </c>
      <c r="AF71" s="450"/>
      <c r="AG71" s="450">
        <f>+SORECGFws!T60</f>
        <v>0</v>
      </c>
      <c r="AH71" s="450"/>
      <c r="AI71" s="450">
        <f t="shared" si="16"/>
        <v>0</v>
      </c>
      <c r="AJ71" s="450"/>
      <c r="AK71" s="450"/>
      <c r="AL71" s="450"/>
      <c r="AM71" s="450"/>
      <c r="AN71" s="450"/>
      <c r="AO71" s="450"/>
      <c r="AP71" s="450"/>
      <c r="AQ71" s="450"/>
      <c r="AR71" s="450"/>
      <c r="AS71" s="450"/>
      <c r="AT71" s="450"/>
    </row>
    <row r="72" spans="1:46" s="451" customFormat="1" ht="9.9499999999999993" customHeight="1" x14ac:dyDescent="0.2">
      <c r="A72" s="425" t="s">
        <v>21</v>
      </c>
      <c r="B72" s="450"/>
      <c r="C72" s="450">
        <f>+SORECGFws!K61</f>
        <v>0</v>
      </c>
      <c r="D72" s="450"/>
      <c r="E72" s="450">
        <f>+SORECGFws!L61</f>
        <v>0</v>
      </c>
      <c r="F72" s="450"/>
      <c r="G72" s="450">
        <f>+SORECGFws!M61</f>
        <v>0</v>
      </c>
      <c r="H72" s="450"/>
      <c r="I72" s="450">
        <f>+SORECGFws!N61</f>
        <v>7581</v>
      </c>
      <c r="J72" s="450"/>
      <c r="K72" s="450">
        <f>SORECGFws!O61</f>
        <v>17888</v>
      </c>
      <c r="L72" s="450"/>
      <c r="M72" s="450">
        <f>+SORECGFws!P61</f>
        <v>13866</v>
      </c>
      <c r="N72" s="450"/>
      <c r="O72" s="450">
        <f>+SORECGFws!Q61</f>
        <v>0</v>
      </c>
      <c r="P72" s="450"/>
      <c r="Q72" s="450">
        <f>SORECGFws!R61</f>
        <v>0</v>
      </c>
      <c r="R72" s="450"/>
      <c r="S72" s="450">
        <f>SORECGFws!S61</f>
        <v>0</v>
      </c>
      <c r="T72" s="450"/>
      <c r="U72" s="450">
        <f>+SORECGFws!U61</f>
        <v>0</v>
      </c>
      <c r="V72" s="450"/>
      <c r="W72" s="450">
        <f>+SORECGFws!V61</f>
        <v>0</v>
      </c>
      <c r="X72" s="450"/>
      <c r="Y72" s="450">
        <f>+SORECGFws!W61</f>
        <v>0</v>
      </c>
      <c r="Z72" s="450"/>
      <c r="AA72" s="450"/>
      <c r="AB72" s="450"/>
      <c r="AC72" s="450">
        <f>+SORECGFws!X61</f>
        <v>0</v>
      </c>
      <c r="AD72" s="450"/>
      <c r="AE72" s="450"/>
      <c r="AF72" s="450"/>
      <c r="AG72" s="450">
        <f>+SORECGFws!T61</f>
        <v>1058</v>
      </c>
      <c r="AH72" s="450"/>
      <c r="AI72" s="450">
        <f t="shared" si="16"/>
        <v>40393</v>
      </c>
      <c r="AJ72" s="450"/>
      <c r="AK72" s="450"/>
      <c r="AL72" s="450"/>
      <c r="AM72" s="450"/>
      <c r="AN72" s="450"/>
      <c r="AO72" s="450"/>
      <c r="AP72" s="450"/>
      <c r="AQ72" s="450"/>
      <c r="AR72" s="450"/>
      <c r="AS72" s="450"/>
      <c r="AT72" s="450"/>
    </row>
    <row r="73" spans="1:46" s="451" customFormat="1" ht="9.9499999999999993" customHeight="1" x14ac:dyDescent="0.2">
      <c r="A73" s="425" t="s">
        <v>22</v>
      </c>
      <c r="B73" s="450"/>
      <c r="C73" s="450">
        <f>+SORECGFws!K62</f>
        <v>-14908</v>
      </c>
      <c r="D73" s="450"/>
      <c r="E73" s="450">
        <f>+SORECGFws!L62</f>
        <v>0</v>
      </c>
      <c r="F73" s="450"/>
      <c r="G73" s="450">
        <f>+SORECGFws!M62</f>
        <v>0</v>
      </c>
      <c r="H73" s="450"/>
      <c r="I73" s="450">
        <f>+SORECGFws!N62</f>
        <v>-58545</v>
      </c>
      <c r="J73" s="450"/>
      <c r="K73" s="450">
        <f>SORECGFws!O62</f>
        <v>-17577</v>
      </c>
      <c r="L73" s="450"/>
      <c r="M73" s="450">
        <f>+SORECGFws!P62</f>
        <v>-36298</v>
      </c>
      <c r="N73" s="450"/>
      <c r="O73" s="450">
        <f>+SORECGFws!Q62</f>
        <v>-8423</v>
      </c>
      <c r="P73" s="450"/>
      <c r="Q73" s="450">
        <f>SORECGFws!R62</f>
        <v>-50402</v>
      </c>
      <c r="R73" s="450"/>
      <c r="S73" s="450">
        <f>SORECGFws!S62</f>
        <v>-50340</v>
      </c>
      <c r="T73" s="450"/>
      <c r="U73" s="450">
        <f>+SORECGFws!U62</f>
        <v>0</v>
      </c>
      <c r="V73" s="450"/>
      <c r="W73" s="450">
        <f>+SORECGFws!V62</f>
        <v>0</v>
      </c>
      <c r="X73" s="450"/>
      <c r="Y73" s="450">
        <f>+SORECGFws!W62</f>
        <v>-27503</v>
      </c>
      <c r="Z73" s="450"/>
      <c r="AA73" s="450"/>
      <c r="AB73" s="450"/>
      <c r="AC73" s="450">
        <f>+SORECGFws!X62</f>
        <v>-14587</v>
      </c>
      <c r="AD73" s="450"/>
      <c r="AE73" s="450"/>
      <c r="AF73" s="450"/>
      <c r="AG73" s="450">
        <f>+SORECGFws!T62</f>
        <v>0</v>
      </c>
      <c r="AH73" s="450"/>
      <c r="AI73" s="450">
        <f t="shared" si="16"/>
        <v>-278583</v>
      </c>
      <c r="AJ73" s="450"/>
      <c r="AK73" s="450"/>
      <c r="AL73" s="450"/>
      <c r="AM73" s="450"/>
      <c r="AN73" s="450"/>
      <c r="AO73" s="450"/>
      <c r="AP73" s="450"/>
      <c r="AQ73" s="450"/>
      <c r="AR73" s="450"/>
      <c r="AS73" s="450"/>
      <c r="AT73" s="450"/>
    </row>
    <row r="74" spans="1:46" s="451" customFormat="1" ht="5.0999999999999996" customHeight="1" x14ac:dyDescent="0.2">
      <c r="B74" s="450"/>
      <c r="C74" s="452"/>
      <c r="D74" s="450"/>
      <c r="E74" s="452"/>
      <c r="F74" s="450"/>
      <c r="G74" s="452"/>
      <c r="H74" s="450"/>
      <c r="I74" s="452"/>
      <c r="J74" s="450"/>
      <c r="K74" s="452"/>
      <c r="L74" s="450"/>
      <c r="M74" s="452"/>
      <c r="N74" s="450"/>
      <c r="O74" s="452"/>
      <c r="P74" s="450"/>
      <c r="Q74" s="452"/>
      <c r="R74" s="450"/>
      <c r="S74" s="452"/>
      <c r="T74" s="450"/>
      <c r="U74" s="452"/>
      <c r="V74" s="450"/>
      <c r="W74" s="452"/>
      <c r="X74" s="450"/>
      <c r="Y74" s="452"/>
      <c r="Z74" s="450"/>
      <c r="AA74" s="452"/>
      <c r="AB74" s="450"/>
      <c r="AC74" s="452"/>
      <c r="AD74" s="450"/>
      <c r="AE74" s="452"/>
      <c r="AF74" s="450"/>
      <c r="AG74" s="452"/>
      <c r="AH74" s="450"/>
      <c r="AI74" s="452"/>
      <c r="AJ74" s="450"/>
      <c r="AK74" s="450"/>
      <c r="AL74" s="450"/>
      <c r="AM74" s="450"/>
      <c r="AN74" s="450"/>
      <c r="AO74" s="450"/>
      <c r="AP74" s="450"/>
      <c r="AQ74" s="450"/>
      <c r="AR74" s="450"/>
      <c r="AS74" s="450"/>
      <c r="AT74" s="450"/>
    </row>
    <row r="75" spans="1:46" s="451" customFormat="1" ht="9.9499999999999993" customHeight="1" x14ac:dyDescent="0.2">
      <c r="A75" s="417" t="s">
        <v>1334</v>
      </c>
      <c r="B75" s="450"/>
      <c r="C75" s="455">
        <f>SUM(C64:C74)</f>
        <v>-14908</v>
      </c>
      <c r="D75" s="450"/>
      <c r="E75" s="455">
        <f>SUM(E63:E73)</f>
        <v>0</v>
      </c>
      <c r="F75" s="450"/>
      <c r="G75" s="455">
        <f>SUM(G63:G73)</f>
        <v>0</v>
      </c>
      <c r="H75" s="450"/>
      <c r="I75" s="455">
        <f>SUM(I63:I73)</f>
        <v>-50949</v>
      </c>
      <c r="J75" s="450"/>
      <c r="K75" s="455">
        <f>SUM(K63:K73)</f>
        <v>311</v>
      </c>
      <c r="L75" s="450"/>
      <c r="M75" s="455">
        <f>SUM(M63:M73)</f>
        <v>-22432</v>
      </c>
      <c r="N75" s="450"/>
      <c r="O75" s="455">
        <f>SUM(O63:O73)</f>
        <v>-8423</v>
      </c>
      <c r="P75" s="450"/>
      <c r="Q75" s="455">
        <f>SUM(Q63:Q73)</f>
        <v>-50402</v>
      </c>
      <c r="R75" s="450"/>
      <c r="S75" s="455">
        <f>SUM(S63:S73)</f>
        <v>-50340</v>
      </c>
      <c r="T75" s="450"/>
      <c r="U75" s="455">
        <f>SUM(U63:U73)</f>
        <v>0</v>
      </c>
      <c r="V75" s="450"/>
      <c r="W75" s="455">
        <f>SUM(W63:W73)</f>
        <v>0</v>
      </c>
      <c r="X75" s="450"/>
      <c r="Y75" s="455">
        <f>SUM(Y63:Y73)</f>
        <v>-27503</v>
      </c>
      <c r="Z75" s="450"/>
      <c r="AA75" s="455">
        <f>SUM(AA63:AA73)</f>
        <v>0</v>
      </c>
      <c r="AB75" s="450"/>
      <c r="AC75" s="455">
        <f>SUM(AC63:AC73)</f>
        <v>-14587</v>
      </c>
      <c r="AD75" s="450"/>
      <c r="AE75" s="455">
        <f>SUM(AE63:AE73)</f>
        <v>0</v>
      </c>
      <c r="AF75" s="450"/>
      <c r="AG75" s="455">
        <f>SUM(AG63:AG73)</f>
        <v>1058</v>
      </c>
      <c r="AH75" s="450"/>
      <c r="AI75" s="455">
        <f>SUM(AI63:AI73)</f>
        <v>-238175</v>
      </c>
      <c r="AJ75" s="450"/>
      <c r="AK75" s="450"/>
      <c r="AL75" s="450"/>
      <c r="AM75" s="450"/>
      <c r="AN75" s="450"/>
      <c r="AO75" s="450"/>
      <c r="AP75" s="450"/>
      <c r="AQ75" s="450"/>
      <c r="AR75" s="450"/>
      <c r="AS75" s="450"/>
      <c r="AT75" s="450"/>
    </row>
    <row r="76" spans="1:46" s="451" customFormat="1" ht="5.0999999999999996" customHeight="1" x14ac:dyDescent="0.2">
      <c r="B76" s="450"/>
      <c r="C76" s="450"/>
      <c r="D76" s="450"/>
      <c r="E76" s="450"/>
      <c r="F76" s="450"/>
      <c r="G76" s="450"/>
      <c r="H76" s="450"/>
      <c r="I76" s="450"/>
      <c r="J76" s="450"/>
      <c r="K76" s="450"/>
      <c r="L76" s="450"/>
      <c r="M76" s="450"/>
      <c r="N76" s="450"/>
      <c r="O76" s="450"/>
      <c r="P76" s="450"/>
      <c r="Q76" s="450"/>
      <c r="R76" s="450"/>
      <c r="S76" s="450"/>
      <c r="T76" s="450"/>
      <c r="U76" s="450"/>
      <c r="V76" s="450"/>
      <c r="W76" s="450"/>
      <c r="X76" s="450"/>
      <c r="Y76" s="450"/>
      <c r="Z76" s="450"/>
      <c r="AA76" s="450"/>
      <c r="AB76" s="450"/>
      <c r="AC76" s="450"/>
      <c r="AD76" s="450"/>
      <c r="AE76" s="450"/>
      <c r="AF76" s="450"/>
      <c r="AG76" s="450"/>
      <c r="AH76" s="450"/>
      <c r="AI76" s="450"/>
      <c r="AJ76" s="450"/>
      <c r="AK76" s="450"/>
      <c r="AL76" s="450"/>
      <c r="AM76" s="450"/>
      <c r="AN76" s="450"/>
      <c r="AO76" s="450"/>
      <c r="AP76" s="450"/>
      <c r="AQ76" s="450"/>
      <c r="AR76" s="450"/>
      <c r="AS76" s="450"/>
      <c r="AT76" s="450"/>
    </row>
    <row r="77" spans="1:46" s="439" customFormat="1" ht="10.5" customHeight="1" x14ac:dyDescent="0.2">
      <c r="A77" s="417" t="s">
        <v>989</v>
      </c>
      <c r="B77" s="450"/>
      <c r="C77" s="450">
        <f>+C61+C75</f>
        <v>2331</v>
      </c>
      <c r="D77" s="450"/>
      <c r="E77" s="450">
        <f>+E61+E75</f>
        <v>0</v>
      </c>
      <c r="F77" s="450"/>
      <c r="G77" s="450">
        <f>+G61+G75</f>
        <v>0</v>
      </c>
      <c r="H77" s="450"/>
      <c r="I77" s="450">
        <f>+I61+I75</f>
        <v>8138</v>
      </c>
      <c r="J77" s="450"/>
      <c r="K77" s="450">
        <f>+K61+K75</f>
        <v>-957</v>
      </c>
      <c r="L77" s="450"/>
      <c r="M77" s="450">
        <f>+M61+M75</f>
        <v>137</v>
      </c>
      <c r="N77" s="450"/>
      <c r="O77" s="450">
        <f>+O61+O75</f>
        <v>-6718</v>
      </c>
      <c r="P77" s="450"/>
      <c r="Q77" s="450">
        <f>+Q61+Q75</f>
        <v>0</v>
      </c>
      <c r="R77" s="450"/>
      <c r="S77" s="450">
        <f>+S61+S75</f>
        <v>0</v>
      </c>
      <c r="T77" s="450"/>
      <c r="U77" s="450">
        <f>+U61+U75</f>
        <v>1213</v>
      </c>
      <c r="V77" s="450"/>
      <c r="W77" s="450">
        <f>+W61+W75</f>
        <v>-214</v>
      </c>
      <c r="X77" s="450"/>
      <c r="Y77" s="450">
        <f>+Y61+Y75</f>
        <v>-7119</v>
      </c>
      <c r="Z77" s="450"/>
      <c r="AA77" s="450">
        <f>+AA61+AA75</f>
        <v>0</v>
      </c>
      <c r="AB77" s="450"/>
      <c r="AC77" s="450">
        <f>+AC61+AC75</f>
        <v>2757</v>
      </c>
      <c r="AD77" s="450"/>
      <c r="AE77" s="450">
        <f>+AE61+AE75</f>
        <v>0</v>
      </c>
      <c r="AF77" s="450"/>
      <c r="AG77" s="450">
        <f>+AG61+AG75</f>
        <v>-168</v>
      </c>
      <c r="AH77" s="450">
        <f>+AH61+AH75</f>
        <v>0</v>
      </c>
      <c r="AI77" s="450">
        <f>+AI61+AI75</f>
        <v>-600</v>
      </c>
      <c r="AJ77" s="418"/>
      <c r="AK77" s="418"/>
      <c r="AL77" s="418"/>
      <c r="AM77" s="418"/>
      <c r="AN77" s="418"/>
      <c r="AO77" s="418"/>
      <c r="AP77" s="418"/>
      <c r="AQ77" s="418"/>
      <c r="AR77" s="418"/>
      <c r="AS77" s="418"/>
      <c r="AT77" s="418"/>
    </row>
    <row r="78" spans="1:46" s="439" customFormat="1" ht="5.0999999999999996" customHeight="1" x14ac:dyDescent="0.2">
      <c r="A78" s="418"/>
      <c r="B78" s="450"/>
      <c r="C78" s="450"/>
      <c r="D78" s="450"/>
      <c r="E78" s="450"/>
      <c r="F78" s="450"/>
      <c r="G78" s="450"/>
      <c r="H78" s="450"/>
      <c r="I78" s="450"/>
      <c r="J78" s="450"/>
      <c r="K78" s="450"/>
      <c r="L78" s="450"/>
      <c r="M78" s="450"/>
      <c r="N78" s="450"/>
      <c r="O78" s="450"/>
      <c r="P78" s="450"/>
      <c r="Q78" s="450"/>
      <c r="R78" s="450"/>
      <c r="S78" s="450"/>
      <c r="T78" s="450"/>
      <c r="U78" s="450"/>
      <c r="V78" s="450"/>
      <c r="W78" s="450"/>
      <c r="X78" s="450"/>
      <c r="Y78" s="450"/>
      <c r="Z78" s="450"/>
      <c r="AA78" s="450"/>
      <c r="AB78" s="450"/>
      <c r="AC78" s="450"/>
      <c r="AD78" s="450"/>
      <c r="AE78" s="450"/>
      <c r="AF78" s="450"/>
      <c r="AG78" s="450"/>
      <c r="AH78" s="450"/>
      <c r="AI78" s="450"/>
      <c r="AJ78" s="418"/>
      <c r="AK78" s="418"/>
      <c r="AL78" s="418"/>
      <c r="AM78" s="418"/>
      <c r="AN78" s="418"/>
      <c r="AO78" s="418"/>
      <c r="AP78" s="418"/>
      <c r="AQ78" s="418"/>
      <c r="AR78" s="418"/>
      <c r="AS78" s="418"/>
      <c r="AT78" s="418"/>
    </row>
    <row r="79" spans="1:46" s="439" customFormat="1" ht="11.1" customHeight="1" x14ac:dyDescent="0.2">
      <c r="A79" s="418" t="s">
        <v>1771</v>
      </c>
      <c r="B79" s="450"/>
      <c r="C79" s="455">
        <v>14327</v>
      </c>
      <c r="D79" s="450"/>
      <c r="E79" s="455">
        <v>0</v>
      </c>
      <c r="F79" s="450"/>
      <c r="G79" s="455">
        <v>0</v>
      </c>
      <c r="H79" s="450"/>
      <c r="I79" s="455">
        <v>148688</v>
      </c>
      <c r="J79" s="450"/>
      <c r="K79" s="455">
        <v>111399</v>
      </c>
      <c r="L79" s="450"/>
      <c r="M79" s="455">
        <v>1128</v>
      </c>
      <c r="N79" s="450"/>
      <c r="O79" s="455">
        <v>28099</v>
      </c>
      <c r="P79" s="450"/>
      <c r="Q79" s="455">
        <v>0</v>
      </c>
      <c r="R79" s="450"/>
      <c r="S79" s="455">
        <v>0</v>
      </c>
      <c r="T79" s="450"/>
      <c r="U79" s="455">
        <v>2732</v>
      </c>
      <c r="V79" s="450"/>
      <c r="W79" s="455">
        <v>11988</v>
      </c>
      <c r="X79" s="450"/>
      <c r="Y79" s="455">
        <v>55454</v>
      </c>
      <c r="Z79" s="450"/>
      <c r="AA79" s="455">
        <v>0</v>
      </c>
      <c r="AB79" s="450"/>
      <c r="AC79" s="455">
        <v>55831</v>
      </c>
      <c r="AD79" s="450"/>
      <c r="AE79" s="455">
        <v>0</v>
      </c>
      <c r="AF79" s="450"/>
      <c r="AG79" s="455">
        <v>65</v>
      </c>
      <c r="AH79" s="450"/>
      <c r="AI79" s="455">
        <f>SUM(C79:AG79)</f>
        <v>429711</v>
      </c>
      <c r="AJ79" s="418"/>
      <c r="AK79" s="418"/>
      <c r="AL79" s="418"/>
      <c r="AM79" s="418"/>
      <c r="AN79" s="418"/>
      <c r="AO79" s="418"/>
      <c r="AP79" s="418"/>
      <c r="AQ79" s="418"/>
      <c r="AR79" s="418"/>
      <c r="AS79" s="418"/>
      <c r="AT79" s="418"/>
    </row>
    <row r="80" spans="1:46" s="439" customFormat="1" ht="5.0999999999999996" customHeight="1" x14ac:dyDescent="0.2">
      <c r="A80" s="418"/>
      <c r="B80" s="450"/>
      <c r="C80" s="450"/>
      <c r="D80" s="450"/>
      <c r="E80" s="450"/>
      <c r="F80" s="450"/>
      <c r="G80" s="450"/>
      <c r="H80" s="450"/>
      <c r="I80" s="450"/>
      <c r="J80" s="450"/>
      <c r="K80" s="450"/>
      <c r="L80" s="450"/>
      <c r="M80" s="450"/>
      <c r="N80" s="450"/>
      <c r="O80" s="450"/>
      <c r="P80" s="450"/>
      <c r="Q80" s="450"/>
      <c r="R80" s="450"/>
      <c r="S80" s="450"/>
      <c r="T80" s="450"/>
      <c r="U80" s="450"/>
      <c r="V80" s="450"/>
      <c r="W80" s="450"/>
      <c r="X80" s="450"/>
      <c r="Y80" s="450"/>
      <c r="Z80" s="450"/>
      <c r="AA80" s="450"/>
      <c r="AB80" s="450"/>
      <c r="AC80" s="450"/>
      <c r="AD80" s="450"/>
      <c r="AE80" s="450"/>
      <c r="AF80" s="450"/>
      <c r="AG80" s="450"/>
      <c r="AH80" s="450"/>
      <c r="AI80" s="450"/>
      <c r="AJ80" s="418"/>
      <c r="AK80" s="418"/>
      <c r="AL80" s="418"/>
      <c r="AM80" s="418"/>
      <c r="AN80" s="418"/>
      <c r="AO80" s="418"/>
      <c r="AP80" s="418"/>
      <c r="AQ80" s="418"/>
      <c r="AR80" s="418"/>
      <c r="AS80" s="418"/>
      <c r="AT80" s="418"/>
    </row>
    <row r="81" spans="1:46" s="439" customFormat="1" ht="11.1" hidden="1" customHeight="1" x14ac:dyDescent="0.2">
      <c r="A81" s="418" t="s">
        <v>1715</v>
      </c>
      <c r="B81" s="450"/>
      <c r="C81" s="450"/>
      <c r="D81" s="450"/>
      <c r="E81" s="450"/>
      <c r="F81" s="450"/>
      <c r="G81" s="450"/>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0"/>
      <c r="AF81" s="450"/>
      <c r="AG81" s="450"/>
      <c r="AH81" s="450"/>
      <c r="AI81" s="450"/>
      <c r="AJ81" s="418"/>
      <c r="AK81" s="418"/>
      <c r="AL81" s="418"/>
      <c r="AM81" s="418"/>
      <c r="AN81" s="418"/>
      <c r="AO81" s="418"/>
      <c r="AP81" s="418"/>
      <c r="AQ81" s="418"/>
      <c r="AR81" s="418"/>
      <c r="AS81" s="418"/>
      <c r="AT81" s="418"/>
    </row>
    <row r="82" spans="1:46" s="439" customFormat="1" ht="5.0999999999999996" hidden="1" customHeight="1" x14ac:dyDescent="0.2">
      <c r="A82" s="418"/>
      <c r="B82" s="450"/>
      <c r="C82" s="450"/>
      <c r="D82" s="450"/>
      <c r="E82" s="45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0"/>
      <c r="AF82" s="450"/>
      <c r="AG82" s="450"/>
      <c r="AH82" s="450"/>
      <c r="AI82" s="450"/>
      <c r="AJ82" s="418"/>
      <c r="AK82" s="418"/>
      <c r="AL82" s="418"/>
      <c r="AM82" s="418"/>
      <c r="AN82" s="418"/>
      <c r="AO82" s="418"/>
      <c r="AP82" s="418"/>
      <c r="AQ82" s="418"/>
      <c r="AR82" s="418"/>
      <c r="AS82" s="418"/>
      <c r="AT82" s="418"/>
    </row>
    <row r="83" spans="1:46" s="439" customFormat="1" ht="11.1" hidden="1" customHeight="1" x14ac:dyDescent="0.2">
      <c r="A83" s="418" t="s">
        <v>1716</v>
      </c>
      <c r="B83" s="450"/>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450"/>
      <c r="AD83" s="450"/>
      <c r="AE83" s="450"/>
      <c r="AF83" s="450"/>
      <c r="AG83" s="450"/>
      <c r="AH83" s="450"/>
      <c r="AI83" s="450"/>
      <c r="AJ83" s="418"/>
      <c r="AK83" s="418"/>
      <c r="AL83" s="418"/>
      <c r="AM83" s="418"/>
      <c r="AN83" s="418"/>
      <c r="AO83" s="418"/>
      <c r="AP83" s="418"/>
      <c r="AQ83" s="418"/>
      <c r="AR83" s="418"/>
      <c r="AS83" s="418"/>
      <c r="AT83" s="418"/>
    </row>
    <row r="84" spans="1:46" s="439" customFormat="1" ht="5.0999999999999996" hidden="1" customHeight="1" x14ac:dyDescent="0.2">
      <c r="A84" s="418"/>
      <c r="B84" s="450"/>
      <c r="C84" s="450"/>
      <c r="D84" s="450"/>
      <c r="E84" s="450"/>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450"/>
      <c r="AD84" s="450"/>
      <c r="AE84" s="450"/>
      <c r="AF84" s="450"/>
      <c r="AG84" s="450"/>
      <c r="AH84" s="450"/>
      <c r="AI84" s="450"/>
      <c r="AJ84" s="418"/>
      <c r="AK84" s="418"/>
      <c r="AL84" s="418"/>
      <c r="AM84" s="418"/>
      <c r="AN84" s="418"/>
      <c r="AO84" s="418"/>
      <c r="AP84" s="418"/>
      <c r="AQ84" s="418"/>
      <c r="AR84" s="418"/>
      <c r="AS84" s="418"/>
      <c r="AT84" s="418"/>
    </row>
    <row r="85" spans="1:46" s="439" customFormat="1" ht="11.1" hidden="1" customHeight="1" x14ac:dyDescent="0.2">
      <c r="A85" s="418" t="s">
        <v>1717</v>
      </c>
      <c r="B85" s="450"/>
      <c r="C85" s="450"/>
      <c r="D85" s="450"/>
      <c r="E85" s="450"/>
      <c r="F85" s="450"/>
      <c r="G85" s="450"/>
      <c r="H85" s="450"/>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18"/>
      <c r="AK85" s="418"/>
      <c r="AL85" s="418"/>
      <c r="AM85" s="418"/>
      <c r="AN85" s="418"/>
      <c r="AO85" s="418"/>
      <c r="AP85" s="418"/>
      <c r="AQ85" s="418"/>
      <c r="AR85" s="418"/>
      <c r="AS85" s="418"/>
      <c r="AT85" s="418"/>
    </row>
    <row r="86" spans="1:46" s="439" customFormat="1" ht="5.0999999999999996" hidden="1" customHeight="1" x14ac:dyDescent="0.2">
      <c r="A86" s="418"/>
      <c r="B86" s="450"/>
      <c r="C86" s="450"/>
      <c r="D86" s="450"/>
      <c r="E86" s="450"/>
      <c r="F86" s="450"/>
      <c r="G86" s="450"/>
      <c r="H86" s="450"/>
      <c r="I86" s="450"/>
      <c r="J86" s="450"/>
      <c r="K86" s="450"/>
      <c r="L86" s="450"/>
      <c r="M86" s="450"/>
      <c r="N86" s="450"/>
      <c r="O86" s="450"/>
      <c r="P86" s="450"/>
      <c r="Q86" s="450"/>
      <c r="R86" s="450"/>
      <c r="S86" s="450"/>
      <c r="T86" s="450"/>
      <c r="U86" s="450"/>
      <c r="V86" s="450"/>
      <c r="W86" s="450"/>
      <c r="X86" s="450"/>
      <c r="Y86" s="450"/>
      <c r="Z86" s="450"/>
      <c r="AA86" s="450"/>
      <c r="AB86" s="450"/>
      <c r="AC86" s="450"/>
      <c r="AD86" s="450"/>
      <c r="AE86" s="450"/>
      <c r="AF86" s="450"/>
      <c r="AG86" s="450"/>
      <c r="AH86" s="450"/>
      <c r="AI86" s="450"/>
      <c r="AJ86" s="418"/>
      <c r="AK86" s="418"/>
      <c r="AL86" s="418"/>
      <c r="AM86" s="418"/>
      <c r="AN86" s="418"/>
      <c r="AO86" s="418"/>
      <c r="AP86" s="418"/>
      <c r="AQ86" s="418"/>
      <c r="AR86" s="418"/>
      <c r="AS86" s="418"/>
      <c r="AT86" s="418"/>
    </row>
    <row r="87" spans="1:46" s="439" customFormat="1" ht="11.1" hidden="1" customHeight="1" x14ac:dyDescent="0.2">
      <c r="A87" s="425" t="s">
        <v>1720</v>
      </c>
      <c r="B87" s="450"/>
      <c r="C87" s="341">
        <f>SUM(C79:C86)</f>
        <v>14327</v>
      </c>
      <c r="D87" s="450"/>
      <c r="E87" s="450"/>
      <c r="F87" s="450"/>
      <c r="G87" s="450"/>
      <c r="H87" s="450"/>
      <c r="I87" s="341">
        <f>SUM(I79:I86)</f>
        <v>148688</v>
      </c>
      <c r="J87" s="450"/>
      <c r="K87" s="341">
        <f>SUM(K79:K86)</f>
        <v>111399</v>
      </c>
      <c r="L87" s="450"/>
      <c r="M87" s="341">
        <f>SUM(M79:M86)</f>
        <v>1128</v>
      </c>
      <c r="N87" s="450"/>
      <c r="O87" s="341">
        <f>SUM(O79:O86)</f>
        <v>28099</v>
      </c>
      <c r="P87" s="450"/>
      <c r="Q87" s="341">
        <f>SUM(Q79:Q86)</f>
        <v>0</v>
      </c>
      <c r="R87" s="450"/>
      <c r="S87" s="341">
        <f>SUM(S79:S86)</f>
        <v>0</v>
      </c>
      <c r="T87" s="450"/>
      <c r="U87" s="341">
        <f>SUM(U79:U86)</f>
        <v>2732</v>
      </c>
      <c r="V87" s="450"/>
      <c r="W87" s="341">
        <f>SUM(W79:W86)</f>
        <v>11988</v>
      </c>
      <c r="X87" s="450"/>
      <c r="Y87" s="341">
        <f>SUM(Y79:Y86)</f>
        <v>55454</v>
      </c>
      <c r="Z87" s="450"/>
      <c r="AA87" s="450"/>
      <c r="AB87" s="450"/>
      <c r="AC87" s="341">
        <f>SUM(AC79:AC86)</f>
        <v>55831</v>
      </c>
      <c r="AD87" s="450"/>
      <c r="AE87" s="450"/>
      <c r="AF87" s="450"/>
      <c r="AG87" s="341">
        <f>SUM(AG79:AG86)</f>
        <v>65</v>
      </c>
      <c r="AH87" s="450"/>
      <c r="AI87" s="341">
        <f>SUM(AI79:AI86)</f>
        <v>429711</v>
      </c>
      <c r="AJ87" s="418"/>
      <c r="AK87" s="418"/>
      <c r="AL87" s="418"/>
      <c r="AM87" s="418"/>
      <c r="AN87" s="418"/>
      <c r="AO87" s="418"/>
      <c r="AP87" s="418"/>
      <c r="AQ87" s="418"/>
      <c r="AR87" s="418"/>
      <c r="AS87" s="418"/>
      <c r="AT87" s="418"/>
    </row>
    <row r="88" spans="1:46" s="439" customFormat="1" ht="5.0999999999999996" hidden="1" customHeight="1" x14ac:dyDescent="0.2">
      <c r="A88" s="418"/>
      <c r="B88" s="450"/>
      <c r="C88" s="254"/>
      <c r="D88" s="450"/>
      <c r="E88" s="450"/>
      <c r="F88" s="450"/>
      <c r="G88" s="450"/>
      <c r="H88" s="450"/>
      <c r="I88" s="254"/>
      <c r="J88" s="450"/>
      <c r="K88" s="254"/>
      <c r="L88" s="450"/>
      <c r="M88" s="254"/>
      <c r="N88" s="450"/>
      <c r="O88" s="254"/>
      <c r="P88" s="450"/>
      <c r="Q88" s="254"/>
      <c r="R88" s="450"/>
      <c r="S88" s="254"/>
      <c r="T88" s="450"/>
      <c r="U88" s="254"/>
      <c r="V88" s="450"/>
      <c r="W88" s="254"/>
      <c r="X88" s="450"/>
      <c r="Y88" s="254"/>
      <c r="Z88" s="450"/>
      <c r="AA88" s="450"/>
      <c r="AB88" s="450"/>
      <c r="AC88" s="254"/>
      <c r="AD88" s="450"/>
      <c r="AE88" s="450"/>
      <c r="AF88" s="450"/>
      <c r="AG88" s="254"/>
      <c r="AH88" s="450"/>
      <c r="AI88" s="254"/>
      <c r="AJ88" s="418"/>
      <c r="AK88" s="418"/>
      <c r="AL88" s="418"/>
      <c r="AM88" s="418"/>
      <c r="AN88" s="418"/>
      <c r="AO88" s="418"/>
      <c r="AP88" s="418"/>
      <c r="AQ88" s="418"/>
      <c r="AR88" s="418"/>
      <c r="AS88" s="418"/>
      <c r="AT88" s="418"/>
    </row>
    <row r="89" spans="1:46" s="439" customFormat="1" ht="11.1" customHeight="1" thickBot="1" x14ac:dyDescent="0.25">
      <c r="A89" s="417" t="s">
        <v>1494</v>
      </c>
      <c r="B89" s="448"/>
      <c r="C89" s="344">
        <f>+C87+C77</f>
        <v>16658</v>
      </c>
      <c r="D89" s="448"/>
      <c r="E89" s="453">
        <f>+E77+E79</f>
        <v>0</v>
      </c>
      <c r="F89" s="448"/>
      <c r="G89" s="453">
        <f>+G77+G79</f>
        <v>0</v>
      </c>
      <c r="H89" s="448"/>
      <c r="I89" s="344">
        <f>+I87+I77</f>
        <v>156826</v>
      </c>
      <c r="J89" s="448"/>
      <c r="K89" s="344">
        <f>+K87+K77</f>
        <v>110442</v>
      </c>
      <c r="L89" s="448"/>
      <c r="M89" s="344">
        <f>+M87+M77</f>
        <v>1265</v>
      </c>
      <c r="N89" s="448"/>
      <c r="O89" s="344">
        <f>+O87+O77</f>
        <v>21381</v>
      </c>
      <c r="P89" s="448"/>
      <c r="Q89" s="344">
        <f>+Q87+Q77</f>
        <v>0</v>
      </c>
      <c r="R89" s="448"/>
      <c r="S89" s="344">
        <f>+S87+S77</f>
        <v>0</v>
      </c>
      <c r="T89" s="448"/>
      <c r="U89" s="344">
        <f>+U87+U77</f>
        <v>3945</v>
      </c>
      <c r="V89" s="448"/>
      <c r="W89" s="344">
        <f>+W87+W77</f>
        <v>11774</v>
      </c>
      <c r="X89" s="448"/>
      <c r="Y89" s="344">
        <f>+Y87+Y77</f>
        <v>48335</v>
      </c>
      <c r="Z89" s="448"/>
      <c r="AA89" s="453">
        <f>+AA77+AA79</f>
        <v>0</v>
      </c>
      <c r="AB89" s="448"/>
      <c r="AC89" s="344">
        <f>+AC87+AC77</f>
        <v>58588</v>
      </c>
      <c r="AD89" s="448"/>
      <c r="AE89" s="453">
        <f>+AE77+AE79</f>
        <v>0</v>
      </c>
      <c r="AF89" s="448"/>
      <c r="AG89" s="344">
        <f>+AG87+AG77</f>
        <v>-103</v>
      </c>
      <c r="AH89" s="448"/>
      <c r="AI89" s="344">
        <f>+AI87+AI77</f>
        <v>429111</v>
      </c>
      <c r="AJ89" s="418"/>
      <c r="AK89" s="418"/>
      <c r="AL89" s="418"/>
      <c r="AM89" s="418"/>
      <c r="AN89" s="418"/>
      <c r="AO89" s="418"/>
      <c r="AP89" s="418"/>
      <c r="AQ89" s="418"/>
      <c r="AR89" s="418"/>
      <c r="AS89" s="418"/>
      <c r="AT89" s="418"/>
    </row>
    <row r="90" spans="1:46" s="439" customFormat="1" ht="5.0999999999999996" customHeight="1" thickTop="1" x14ac:dyDescent="0.2">
      <c r="A90" s="418"/>
      <c r="B90" s="438"/>
      <c r="C90" s="438"/>
      <c r="D90" s="438"/>
      <c r="E90" s="438"/>
      <c r="F90" s="438"/>
      <c r="G90" s="438"/>
      <c r="H90" s="438"/>
      <c r="I90" s="438"/>
      <c r="J90" s="438"/>
      <c r="K90" s="438"/>
      <c r="L90" s="438"/>
      <c r="M90" s="438"/>
      <c r="N90" s="438"/>
      <c r="O90" s="438"/>
      <c r="P90" s="438"/>
      <c r="Q90" s="438"/>
      <c r="R90" s="438"/>
      <c r="S90" s="438"/>
      <c r="T90" s="438"/>
      <c r="U90" s="438"/>
      <c r="V90" s="438"/>
      <c r="W90" s="438"/>
      <c r="X90" s="438"/>
      <c r="Y90" s="438"/>
      <c r="Z90" s="438"/>
      <c r="AA90" s="438"/>
      <c r="AB90" s="438"/>
      <c r="AC90" s="438"/>
      <c r="AD90" s="438"/>
      <c r="AE90" s="438"/>
      <c r="AF90" s="438"/>
      <c r="AG90" s="438"/>
      <c r="AH90" s="438"/>
      <c r="AI90" s="438"/>
      <c r="AJ90" s="418"/>
      <c r="AK90" s="418"/>
      <c r="AL90" s="418"/>
      <c r="AM90" s="418"/>
      <c r="AN90" s="418"/>
      <c r="AO90" s="418"/>
      <c r="AP90" s="418"/>
      <c r="AQ90" s="418"/>
      <c r="AR90" s="418"/>
      <c r="AS90" s="418"/>
      <c r="AT90" s="418"/>
    </row>
    <row r="91" spans="1:46" s="439" customFormat="1" ht="9.9499999999999993" customHeight="1" x14ac:dyDescent="0.2">
      <c r="A91" s="418"/>
      <c r="B91" s="438"/>
      <c r="C91" s="438"/>
      <c r="D91" s="438"/>
      <c r="E91" s="438"/>
      <c r="F91" s="438"/>
      <c r="G91" s="438"/>
      <c r="H91" s="438"/>
      <c r="I91" s="438"/>
      <c r="J91" s="438"/>
      <c r="K91" s="438"/>
      <c r="L91" s="438"/>
      <c r="M91" s="438"/>
      <c r="N91" s="438"/>
      <c r="O91" s="438"/>
      <c r="P91" s="438"/>
      <c r="Q91" s="438"/>
      <c r="R91" s="438"/>
      <c r="S91" s="438"/>
      <c r="T91" s="438"/>
      <c r="U91" s="438"/>
      <c r="V91" s="438"/>
      <c r="W91" s="438"/>
      <c r="X91" s="438"/>
      <c r="Y91" s="438"/>
      <c r="Z91" s="438"/>
      <c r="AA91" s="438"/>
      <c r="AB91" s="438"/>
      <c r="AC91" s="438"/>
      <c r="AD91" s="438"/>
      <c r="AE91" s="438"/>
      <c r="AF91" s="438"/>
      <c r="AG91" s="438"/>
      <c r="AH91" s="438"/>
      <c r="AI91" s="438"/>
      <c r="AJ91" s="418"/>
      <c r="AK91" s="418"/>
      <c r="AL91" s="418"/>
      <c r="AM91" s="418"/>
      <c r="AN91" s="418"/>
      <c r="AO91" s="418"/>
      <c r="AP91" s="418"/>
      <c r="AQ91" s="418"/>
      <c r="AR91" s="418"/>
      <c r="AS91" s="418"/>
      <c r="AT91" s="418"/>
    </row>
    <row r="92" spans="1:46" s="439" customFormat="1" ht="9.9499999999999993" customHeight="1" x14ac:dyDescent="0.2">
      <c r="A92" s="418"/>
      <c r="B92" s="438"/>
      <c r="C92" s="518">
        <f>+'Special BS'!C68-'Special SOREC'!C89</f>
        <v>0</v>
      </c>
      <c r="D92" s="438"/>
      <c r="E92" s="518">
        <f>+'Special BS'!E68-'Special SOREC'!E89</f>
        <v>0</v>
      </c>
      <c r="F92" s="438"/>
      <c r="G92" s="518"/>
      <c r="H92" s="438"/>
      <c r="I92" s="518">
        <f>+'Special BS'!I68-'Special SOREC'!I89</f>
        <v>0</v>
      </c>
      <c r="J92" s="438"/>
      <c r="K92" s="518">
        <f>+'Special BS'!K68-'Special SOREC'!K89</f>
        <v>0</v>
      </c>
      <c r="L92" s="438"/>
      <c r="M92" s="518">
        <f>+'Special BS'!M68-'Special SOREC'!M89</f>
        <v>0</v>
      </c>
      <c r="N92" s="438"/>
      <c r="O92" s="518">
        <f>+'Special BS'!O68-'Special SOREC'!O89</f>
        <v>0</v>
      </c>
      <c r="P92" s="438"/>
      <c r="Q92" s="518">
        <f>+'Special BS'!Q68-'Special SOREC'!Q89</f>
        <v>0</v>
      </c>
      <c r="R92" s="438"/>
      <c r="S92" s="518">
        <f>+'Special BS'!S68-'Special SOREC'!S89</f>
        <v>0</v>
      </c>
      <c r="T92" s="438"/>
      <c r="U92" s="518">
        <f>+'Special BS'!U68-'Special SOREC'!U89</f>
        <v>0</v>
      </c>
      <c r="V92" s="438"/>
      <c r="W92" s="518">
        <f>+'Special BS'!W68-'Special SOREC'!W89</f>
        <v>0</v>
      </c>
      <c r="X92" s="438"/>
      <c r="Y92" s="518">
        <f>+'Special BS'!Y68-'Special SOREC'!Y89</f>
        <v>0</v>
      </c>
      <c r="Z92" s="438"/>
      <c r="AA92" s="518">
        <f>+'Special BS'!AA68-'Special SOREC'!AA89</f>
        <v>0</v>
      </c>
      <c r="AB92" s="438"/>
      <c r="AC92" s="518">
        <f>+'Special BS'!AC68-'Special SOREC'!AC89</f>
        <v>0</v>
      </c>
      <c r="AD92" s="438"/>
      <c r="AE92" s="518">
        <f>+'Special BS'!AE68-'Special SOREC'!AE89</f>
        <v>0</v>
      </c>
      <c r="AF92" s="438"/>
      <c r="AG92" s="518">
        <f>+'Special BS'!AG68-'Special SOREC'!AG89</f>
        <v>0</v>
      </c>
      <c r="AH92" s="518"/>
      <c r="AI92" s="518">
        <f>+AI89-'Special BS'!AI68</f>
        <v>0</v>
      </c>
      <c r="AJ92" s="418"/>
      <c r="AK92" s="418"/>
      <c r="AL92" s="418"/>
      <c r="AM92" s="418"/>
      <c r="AN92" s="418"/>
      <c r="AO92" s="418"/>
      <c r="AP92" s="418"/>
      <c r="AQ92" s="418"/>
      <c r="AR92" s="418"/>
      <c r="AS92" s="418"/>
      <c r="AT92" s="418"/>
    </row>
    <row r="93" spans="1:46" s="439" customFormat="1" ht="12" x14ac:dyDescent="0.2">
      <c r="A93" s="418"/>
      <c r="B93" s="438"/>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438"/>
      <c r="AE93" s="438"/>
      <c r="AF93" s="438"/>
      <c r="AG93" s="438"/>
      <c r="AH93" s="438"/>
      <c r="AI93" s="438"/>
      <c r="AJ93" s="418"/>
      <c r="AK93" s="418"/>
      <c r="AL93" s="418"/>
      <c r="AM93" s="418"/>
      <c r="AN93" s="418"/>
      <c r="AO93" s="418"/>
      <c r="AP93" s="418"/>
      <c r="AQ93" s="418"/>
      <c r="AR93" s="418"/>
      <c r="AS93" s="418"/>
      <c r="AT93" s="418"/>
    </row>
    <row r="94" spans="1:46" s="439" customFormat="1" ht="12" x14ac:dyDescent="0.2">
      <c r="A94" s="418"/>
      <c r="B94" s="528"/>
      <c r="C94" s="518"/>
      <c r="D94" s="528"/>
      <c r="E94" s="518"/>
      <c r="F94" s="528"/>
      <c r="G94" s="438"/>
      <c r="H94" s="528"/>
      <c r="I94" s="438"/>
      <c r="J94" s="528"/>
      <c r="K94" s="438"/>
      <c r="L94" s="528"/>
      <c r="M94" s="438"/>
      <c r="N94" s="528"/>
      <c r="O94" s="438"/>
      <c r="P94" s="528"/>
      <c r="Q94" s="438"/>
      <c r="R94" s="528"/>
      <c r="S94" s="438"/>
      <c r="T94" s="528"/>
      <c r="U94" s="438"/>
      <c r="V94" s="528"/>
      <c r="W94" s="438"/>
      <c r="X94" s="528"/>
      <c r="Y94" s="438"/>
      <c r="Z94" s="528"/>
      <c r="AA94" s="438"/>
      <c r="AB94" s="528"/>
      <c r="AC94" s="438"/>
      <c r="AD94" s="528"/>
      <c r="AE94" s="438"/>
      <c r="AF94" s="528"/>
      <c r="AG94" s="438"/>
      <c r="AH94" s="438"/>
      <c r="AI94" s="438"/>
      <c r="AJ94" s="418"/>
      <c r="AK94" s="418"/>
      <c r="AL94" s="418"/>
      <c r="AM94" s="418"/>
      <c r="AN94" s="418"/>
      <c r="AO94" s="418"/>
      <c r="AP94" s="418"/>
      <c r="AQ94" s="418"/>
      <c r="AR94" s="418"/>
      <c r="AS94" s="418"/>
      <c r="AT94" s="418"/>
    </row>
    <row r="95" spans="1:46" s="439" customFormat="1" ht="30.75" customHeight="1" x14ac:dyDescent="0.2">
      <c r="A95" s="418"/>
      <c r="B95" s="528"/>
      <c r="C95" s="438"/>
      <c r="D95" s="528"/>
      <c r="E95" s="438"/>
      <c r="F95" s="528"/>
      <c r="G95" s="438"/>
      <c r="H95" s="528"/>
      <c r="I95" s="438"/>
      <c r="J95" s="528"/>
      <c r="K95" s="438"/>
      <c r="L95" s="528"/>
      <c r="M95" s="438"/>
      <c r="N95" s="528"/>
      <c r="O95" s="438"/>
      <c r="P95" s="528"/>
      <c r="Q95" s="438"/>
      <c r="R95" s="528"/>
      <c r="S95" s="438"/>
      <c r="T95" s="528"/>
      <c r="U95" s="438"/>
      <c r="V95" s="528"/>
      <c r="W95" s="438"/>
      <c r="X95" s="528"/>
      <c r="Y95" s="438"/>
      <c r="Z95" s="528"/>
      <c r="AA95" s="438"/>
      <c r="AB95" s="528"/>
      <c r="AC95" s="438"/>
      <c r="AD95" s="528"/>
      <c r="AE95" s="438"/>
      <c r="AF95" s="528"/>
      <c r="AG95" s="438"/>
      <c r="AH95" s="438"/>
      <c r="AI95" s="438"/>
      <c r="AJ95" s="418"/>
      <c r="AK95" s="418"/>
      <c r="AL95" s="418"/>
      <c r="AM95" s="418"/>
      <c r="AN95" s="418"/>
      <c r="AO95" s="418"/>
      <c r="AP95" s="418"/>
      <c r="AQ95" s="418"/>
      <c r="AR95" s="418"/>
      <c r="AS95" s="418"/>
      <c r="AT95" s="418"/>
    </row>
    <row r="96" spans="1:46" s="439" customFormat="1" ht="12" x14ac:dyDescent="0.2">
      <c r="A96" s="418"/>
      <c r="B96" s="528"/>
      <c r="C96" s="438"/>
      <c r="D96" s="528"/>
      <c r="E96" s="438"/>
      <c r="F96" s="528"/>
      <c r="G96" s="438"/>
      <c r="H96" s="528"/>
      <c r="I96" s="438"/>
      <c r="J96" s="528"/>
      <c r="K96" s="438"/>
      <c r="L96" s="528"/>
      <c r="M96" s="438"/>
      <c r="N96" s="528"/>
      <c r="O96" s="528"/>
      <c r="P96" s="528"/>
      <c r="Q96" s="438"/>
      <c r="R96" s="528"/>
      <c r="S96" s="438"/>
      <c r="T96" s="528"/>
      <c r="U96" s="438"/>
      <c r="V96" s="528"/>
      <c r="W96" s="438"/>
      <c r="X96" s="528"/>
      <c r="Y96" s="438"/>
      <c r="Z96" s="528"/>
      <c r="AA96" s="438"/>
      <c r="AB96" s="528"/>
      <c r="AC96" s="438"/>
      <c r="AD96" s="528"/>
      <c r="AE96" s="438"/>
      <c r="AF96" s="528"/>
      <c r="AG96" s="438"/>
      <c r="AH96" s="438"/>
      <c r="AI96" s="438"/>
      <c r="AJ96" s="418"/>
      <c r="AK96" s="418"/>
      <c r="AL96" s="418"/>
      <c r="AM96" s="418"/>
      <c r="AN96" s="418"/>
      <c r="AO96" s="418"/>
      <c r="AP96" s="418"/>
      <c r="AQ96" s="418"/>
      <c r="AR96" s="418"/>
      <c r="AS96" s="418"/>
      <c r="AT96" s="418"/>
    </row>
    <row r="97" spans="1:46" s="439" customFormat="1" ht="12" x14ac:dyDescent="0.2">
      <c r="A97" s="418"/>
      <c r="B97" s="528"/>
      <c r="C97" s="438"/>
      <c r="D97" s="528"/>
      <c r="E97" s="438"/>
      <c r="F97" s="528"/>
      <c r="G97" s="438"/>
      <c r="H97" s="528"/>
      <c r="I97" s="438"/>
      <c r="J97" s="528"/>
      <c r="K97" s="438"/>
      <c r="L97" s="528"/>
      <c r="M97" s="438"/>
      <c r="N97" s="528"/>
      <c r="O97" s="528"/>
      <c r="P97" s="528"/>
      <c r="Q97" s="438">
        <f>37226+1238-759-30991</f>
        <v>6714</v>
      </c>
      <c r="R97" s="528"/>
      <c r="S97" s="438"/>
      <c r="T97" s="528"/>
      <c r="U97" s="438"/>
      <c r="V97" s="528"/>
      <c r="W97" s="438"/>
      <c r="X97" s="528"/>
      <c r="Y97" s="438"/>
      <c r="Z97" s="528"/>
      <c r="AA97" s="438"/>
      <c r="AB97" s="528"/>
      <c r="AC97" s="438"/>
      <c r="AD97" s="528"/>
      <c r="AE97" s="438"/>
      <c r="AF97" s="528"/>
      <c r="AG97" s="438"/>
      <c r="AH97" s="438"/>
      <c r="AI97" s="438"/>
      <c r="AJ97" s="418"/>
      <c r="AK97" s="418"/>
      <c r="AL97" s="418"/>
      <c r="AM97" s="418"/>
      <c r="AN97" s="418"/>
      <c r="AO97" s="418"/>
      <c r="AP97" s="418"/>
      <c r="AQ97" s="418"/>
      <c r="AR97" s="418"/>
      <c r="AS97" s="418"/>
      <c r="AT97" s="418"/>
    </row>
    <row r="98" spans="1:46" s="439" customFormat="1" ht="12" x14ac:dyDescent="0.2">
      <c r="A98" s="418"/>
      <c r="B98" s="528"/>
      <c r="C98" s="438"/>
      <c r="D98" s="528"/>
      <c r="E98" s="438"/>
      <c r="F98" s="528"/>
      <c r="G98" s="438"/>
      <c r="H98" s="528"/>
      <c r="I98" s="438"/>
      <c r="J98" s="528"/>
      <c r="K98" s="438"/>
      <c r="L98" s="528"/>
      <c r="M98" s="438"/>
      <c r="N98" s="528"/>
      <c r="O98" s="528"/>
      <c r="P98" s="528"/>
      <c r="Q98" s="438"/>
      <c r="R98" s="528"/>
      <c r="S98" s="438"/>
      <c r="T98" s="528"/>
      <c r="U98" s="438"/>
      <c r="V98" s="528"/>
      <c r="W98" s="438"/>
      <c r="X98" s="528"/>
      <c r="Y98" s="438"/>
      <c r="Z98" s="528"/>
      <c r="AA98" s="438"/>
      <c r="AB98" s="528"/>
      <c r="AC98" s="438"/>
      <c r="AD98" s="528"/>
      <c r="AE98" s="438"/>
      <c r="AF98" s="528"/>
      <c r="AG98" s="438"/>
      <c r="AH98" s="438"/>
      <c r="AI98" s="438"/>
      <c r="AJ98" s="418"/>
      <c r="AK98" s="418"/>
      <c r="AL98" s="418"/>
      <c r="AM98" s="418"/>
      <c r="AN98" s="418"/>
      <c r="AO98" s="418"/>
      <c r="AP98" s="418"/>
      <c r="AQ98" s="418"/>
      <c r="AR98" s="418"/>
      <c r="AS98" s="418"/>
      <c r="AT98" s="418"/>
    </row>
    <row r="99" spans="1:46" s="439" customFormat="1" ht="12" x14ac:dyDescent="0.2">
      <c r="A99" s="418"/>
      <c r="B99" s="528"/>
      <c r="C99" s="438"/>
      <c r="D99" s="528"/>
      <c r="E99" s="438"/>
      <c r="F99" s="528"/>
      <c r="G99" s="438"/>
      <c r="H99" s="528"/>
      <c r="I99" s="438"/>
      <c r="J99" s="528"/>
      <c r="K99" s="438"/>
      <c r="L99" s="528"/>
      <c r="M99" s="438"/>
      <c r="N99" s="528"/>
      <c r="O99" s="528"/>
      <c r="P99" s="528"/>
      <c r="Q99" s="438"/>
      <c r="R99" s="528"/>
      <c r="S99" s="438"/>
      <c r="T99" s="528"/>
      <c r="U99" s="438"/>
      <c r="V99" s="528"/>
      <c r="W99" s="438"/>
      <c r="X99" s="528"/>
      <c r="Y99" s="438"/>
      <c r="Z99" s="528"/>
      <c r="AA99" s="438"/>
      <c r="AB99" s="528"/>
      <c r="AC99" s="438"/>
      <c r="AD99" s="528"/>
      <c r="AE99" s="438"/>
      <c r="AF99" s="528"/>
      <c r="AG99" s="438"/>
      <c r="AH99" s="438"/>
      <c r="AI99" s="438"/>
      <c r="AJ99" s="418"/>
      <c r="AK99" s="418"/>
      <c r="AL99" s="418"/>
      <c r="AM99" s="418"/>
      <c r="AN99" s="418"/>
      <c r="AO99" s="418"/>
      <c r="AP99" s="418"/>
      <c r="AQ99" s="418"/>
      <c r="AR99" s="418"/>
      <c r="AS99" s="418"/>
      <c r="AT99" s="418"/>
    </row>
    <row r="100" spans="1:46" s="439" customFormat="1" ht="12" x14ac:dyDescent="0.2">
      <c r="A100" s="418"/>
      <c r="B100" s="528"/>
      <c r="C100" s="438"/>
      <c r="D100" s="528"/>
      <c r="E100" s="438"/>
      <c r="F100" s="528"/>
      <c r="G100" s="438"/>
      <c r="H100" s="528"/>
      <c r="I100" s="438"/>
      <c r="J100" s="528"/>
      <c r="K100" s="438"/>
      <c r="L100" s="528"/>
      <c r="M100" s="438"/>
      <c r="N100" s="528"/>
      <c r="O100" s="528"/>
      <c r="P100" s="528"/>
      <c r="Q100" s="438"/>
      <c r="R100" s="528"/>
      <c r="S100" s="438"/>
      <c r="T100" s="528"/>
      <c r="U100" s="438"/>
      <c r="V100" s="528"/>
      <c r="W100" s="438"/>
      <c r="X100" s="528"/>
      <c r="Y100" s="438"/>
      <c r="Z100" s="528"/>
      <c r="AA100" s="438"/>
      <c r="AB100" s="528"/>
      <c r="AC100" s="438"/>
      <c r="AD100" s="528"/>
      <c r="AE100" s="438"/>
      <c r="AF100" s="528"/>
      <c r="AG100" s="438"/>
      <c r="AH100" s="438"/>
      <c r="AI100" s="438"/>
      <c r="AJ100" s="418"/>
      <c r="AK100" s="418"/>
      <c r="AL100" s="418"/>
      <c r="AM100" s="418"/>
      <c r="AN100" s="418"/>
      <c r="AO100" s="418"/>
      <c r="AP100" s="418"/>
      <c r="AQ100" s="418"/>
      <c r="AR100" s="418"/>
      <c r="AS100" s="418"/>
      <c r="AT100" s="418"/>
    </row>
    <row r="101" spans="1:46" s="439" customFormat="1" ht="12" x14ac:dyDescent="0.2">
      <c r="A101" s="418"/>
      <c r="B101" s="528"/>
      <c r="C101" s="438"/>
      <c r="D101" s="528"/>
      <c r="E101" s="438"/>
      <c r="F101" s="528"/>
      <c r="G101" s="438"/>
      <c r="H101" s="528"/>
      <c r="I101" s="438"/>
      <c r="J101" s="528"/>
      <c r="K101" s="438"/>
      <c r="L101" s="528"/>
      <c r="M101" s="438"/>
      <c r="N101" s="528"/>
      <c r="O101" s="528"/>
      <c r="P101" s="528"/>
      <c r="Q101" s="438"/>
      <c r="R101" s="528"/>
      <c r="S101" s="438"/>
      <c r="T101" s="528"/>
      <c r="U101" s="438"/>
      <c r="V101" s="528"/>
      <c r="W101" s="438"/>
      <c r="X101" s="528"/>
      <c r="Y101" s="438"/>
      <c r="Z101" s="528"/>
      <c r="AA101" s="438"/>
      <c r="AB101" s="528"/>
      <c r="AC101" s="438"/>
      <c r="AD101" s="528"/>
      <c r="AE101" s="438"/>
      <c r="AF101" s="528"/>
      <c r="AG101" s="438"/>
      <c r="AH101" s="438"/>
      <c r="AI101" s="438"/>
      <c r="AJ101" s="418"/>
      <c r="AK101" s="418"/>
      <c r="AL101" s="418"/>
      <c r="AM101" s="418"/>
      <c r="AN101" s="418"/>
      <c r="AO101" s="418"/>
      <c r="AP101" s="418"/>
      <c r="AQ101" s="418"/>
      <c r="AR101" s="418"/>
      <c r="AS101" s="418"/>
      <c r="AT101" s="418"/>
    </row>
    <row r="102" spans="1:46" s="439" customFormat="1" ht="12" x14ac:dyDescent="0.2">
      <c r="A102" s="418"/>
      <c r="B102" s="528"/>
      <c r="C102" s="438"/>
      <c r="D102" s="528"/>
      <c r="E102" s="438"/>
      <c r="F102" s="528"/>
      <c r="G102" s="438"/>
      <c r="H102" s="528"/>
      <c r="I102" s="438"/>
      <c r="J102" s="528"/>
      <c r="K102" s="438"/>
      <c r="L102" s="528"/>
      <c r="M102" s="438"/>
      <c r="N102" s="528"/>
      <c r="O102" s="528"/>
      <c r="P102" s="528"/>
      <c r="Q102" s="438"/>
      <c r="R102" s="528"/>
      <c r="S102" s="438"/>
      <c r="T102" s="528"/>
      <c r="U102" s="438"/>
      <c r="V102" s="528"/>
      <c r="W102" s="438"/>
      <c r="X102" s="528"/>
      <c r="Y102" s="438"/>
      <c r="Z102" s="528"/>
      <c r="AA102" s="438"/>
      <c r="AB102" s="528"/>
      <c r="AC102" s="438"/>
      <c r="AD102" s="528"/>
      <c r="AE102" s="438"/>
      <c r="AF102" s="528"/>
      <c r="AG102" s="438"/>
      <c r="AH102" s="438"/>
      <c r="AI102" s="438"/>
      <c r="AJ102" s="418"/>
      <c r="AK102" s="418"/>
      <c r="AL102" s="418"/>
      <c r="AM102" s="418"/>
      <c r="AN102" s="418"/>
      <c r="AO102" s="418"/>
      <c r="AP102" s="418"/>
      <c r="AQ102" s="418"/>
      <c r="AR102" s="418"/>
      <c r="AS102" s="418"/>
      <c r="AT102" s="418"/>
    </row>
    <row r="103" spans="1:46" s="439" customFormat="1" ht="12" x14ac:dyDescent="0.2">
      <c r="A103" s="418"/>
      <c r="B103" s="528"/>
      <c r="C103" s="438"/>
      <c r="D103" s="528"/>
      <c r="E103" s="438"/>
      <c r="F103" s="528"/>
      <c r="G103" s="438"/>
      <c r="H103" s="528"/>
      <c r="I103" s="438"/>
      <c r="J103" s="528"/>
      <c r="K103" s="438"/>
      <c r="L103" s="528"/>
      <c r="M103" s="438"/>
      <c r="N103" s="528"/>
      <c r="O103" s="528"/>
      <c r="P103" s="528"/>
      <c r="Q103" s="438"/>
      <c r="R103" s="528"/>
      <c r="S103" s="438"/>
      <c r="T103" s="528"/>
      <c r="U103" s="438"/>
      <c r="V103" s="528"/>
      <c r="W103" s="438"/>
      <c r="X103" s="528"/>
      <c r="Y103" s="438"/>
      <c r="Z103" s="528"/>
      <c r="AA103" s="438"/>
      <c r="AB103" s="528"/>
      <c r="AC103" s="438"/>
      <c r="AD103" s="528"/>
      <c r="AE103" s="438"/>
      <c r="AF103" s="528"/>
      <c r="AG103" s="438"/>
      <c r="AH103" s="438"/>
      <c r="AI103" s="438"/>
      <c r="AJ103" s="418"/>
      <c r="AK103" s="418"/>
      <c r="AL103" s="418"/>
      <c r="AM103" s="418"/>
      <c r="AN103" s="418"/>
      <c r="AO103" s="418"/>
      <c r="AP103" s="418"/>
      <c r="AQ103" s="418"/>
      <c r="AR103" s="418"/>
      <c r="AS103" s="418"/>
      <c r="AT103" s="418"/>
    </row>
    <row r="104" spans="1:46" s="439" customFormat="1" ht="12" x14ac:dyDescent="0.2">
      <c r="A104" s="418"/>
      <c r="B104" s="528"/>
      <c r="C104" s="438"/>
      <c r="D104" s="528"/>
      <c r="E104" s="438"/>
      <c r="F104" s="528"/>
      <c r="G104" s="438"/>
      <c r="H104" s="528"/>
      <c r="I104" s="438"/>
      <c r="J104" s="528"/>
      <c r="K104" s="438"/>
      <c r="L104" s="528"/>
      <c r="M104" s="438"/>
      <c r="N104" s="528"/>
      <c r="O104" s="528"/>
      <c r="P104" s="528"/>
      <c r="Q104" s="438"/>
      <c r="R104" s="528"/>
      <c r="S104" s="438"/>
      <c r="T104" s="528"/>
      <c r="U104" s="438"/>
      <c r="V104" s="528"/>
      <c r="W104" s="438"/>
      <c r="X104" s="528"/>
      <c r="Y104" s="438"/>
      <c r="Z104" s="528"/>
      <c r="AA104" s="438"/>
      <c r="AB104" s="528"/>
      <c r="AC104" s="438"/>
      <c r="AD104" s="528"/>
      <c r="AE104" s="438"/>
      <c r="AF104" s="528"/>
      <c r="AG104" s="438"/>
      <c r="AH104" s="438"/>
      <c r="AI104" s="438"/>
      <c r="AJ104" s="418"/>
      <c r="AK104" s="418"/>
      <c r="AL104" s="418"/>
      <c r="AM104" s="418"/>
      <c r="AN104" s="418"/>
      <c r="AO104" s="418"/>
      <c r="AP104" s="418"/>
      <c r="AQ104" s="418"/>
      <c r="AR104" s="418"/>
      <c r="AS104" s="418"/>
      <c r="AT104" s="418"/>
    </row>
    <row r="105" spans="1:46" s="439" customFormat="1" ht="12" x14ac:dyDescent="0.2">
      <c r="A105" s="418"/>
      <c r="B105" s="528"/>
      <c r="C105" s="438"/>
      <c r="D105" s="528"/>
      <c r="E105" s="438"/>
      <c r="F105" s="528"/>
      <c r="G105" s="438"/>
      <c r="H105" s="528"/>
      <c r="I105" s="438"/>
      <c r="J105" s="528"/>
      <c r="K105" s="438"/>
      <c r="L105" s="528"/>
      <c r="M105" s="438"/>
      <c r="N105" s="528"/>
      <c r="O105" s="528"/>
      <c r="P105" s="528"/>
      <c r="Q105" s="438"/>
      <c r="R105" s="528"/>
      <c r="S105" s="438"/>
      <c r="T105" s="528"/>
      <c r="U105" s="438"/>
      <c r="V105" s="528"/>
      <c r="W105" s="438"/>
      <c r="X105" s="528"/>
      <c r="Y105" s="438"/>
      <c r="Z105" s="528"/>
      <c r="AA105" s="438"/>
      <c r="AB105" s="528"/>
      <c r="AC105" s="438"/>
      <c r="AD105" s="528"/>
      <c r="AE105" s="438"/>
      <c r="AF105" s="528"/>
      <c r="AG105" s="438"/>
      <c r="AH105" s="438"/>
      <c r="AI105" s="438"/>
      <c r="AJ105" s="418"/>
      <c r="AK105" s="418"/>
      <c r="AL105" s="418"/>
      <c r="AM105" s="418"/>
      <c r="AN105" s="418"/>
      <c r="AO105" s="418"/>
      <c r="AP105" s="418"/>
      <c r="AQ105" s="418"/>
      <c r="AR105" s="418"/>
      <c r="AS105" s="418"/>
      <c r="AT105" s="418"/>
    </row>
    <row r="106" spans="1:46" s="439" customFormat="1" ht="12" x14ac:dyDescent="0.2">
      <c r="A106" s="418"/>
      <c r="B106" s="528"/>
      <c r="C106" s="438"/>
      <c r="D106" s="528"/>
      <c r="E106" s="438"/>
      <c r="F106" s="528"/>
      <c r="G106" s="438"/>
      <c r="H106" s="528"/>
      <c r="I106" s="438"/>
      <c r="J106" s="528"/>
      <c r="K106" s="438"/>
      <c r="L106" s="528"/>
      <c r="M106" s="438"/>
      <c r="N106" s="528"/>
      <c r="O106" s="528"/>
      <c r="P106" s="528"/>
      <c r="Q106" s="438"/>
      <c r="R106" s="528"/>
      <c r="S106" s="438"/>
      <c r="T106" s="528"/>
      <c r="U106" s="438"/>
      <c r="V106" s="528"/>
      <c r="W106" s="438"/>
      <c r="X106" s="528"/>
      <c r="Y106" s="438"/>
      <c r="Z106" s="528"/>
      <c r="AA106" s="438"/>
      <c r="AB106" s="528"/>
      <c r="AC106" s="438"/>
      <c r="AD106" s="528"/>
      <c r="AE106" s="438"/>
      <c r="AF106" s="528"/>
      <c r="AG106" s="438"/>
      <c r="AH106" s="438"/>
      <c r="AI106" s="438"/>
      <c r="AJ106" s="418"/>
      <c r="AK106" s="418"/>
      <c r="AL106" s="418"/>
      <c r="AM106" s="418"/>
      <c r="AN106" s="418"/>
      <c r="AO106" s="418"/>
      <c r="AP106" s="418"/>
      <c r="AQ106" s="418"/>
      <c r="AR106" s="418"/>
      <c r="AS106" s="418"/>
      <c r="AT106" s="418"/>
    </row>
    <row r="107" spans="1:46" s="439" customFormat="1" ht="12" x14ac:dyDescent="0.2">
      <c r="A107" s="418"/>
      <c r="B107" s="528"/>
      <c r="C107" s="438"/>
      <c r="D107" s="528"/>
      <c r="E107" s="438"/>
      <c r="F107" s="528"/>
      <c r="G107" s="438"/>
      <c r="H107" s="528"/>
      <c r="I107" s="438"/>
      <c r="J107" s="528"/>
      <c r="K107" s="438"/>
      <c r="L107" s="528"/>
      <c r="M107" s="438"/>
      <c r="N107" s="528"/>
      <c r="O107" s="528"/>
      <c r="P107" s="528"/>
      <c r="Q107" s="438"/>
      <c r="R107" s="528"/>
      <c r="S107" s="438"/>
      <c r="T107" s="528"/>
      <c r="U107" s="438"/>
      <c r="V107" s="528"/>
      <c r="W107" s="438"/>
      <c r="X107" s="528"/>
      <c r="Y107" s="438"/>
      <c r="Z107" s="528"/>
      <c r="AA107" s="438"/>
      <c r="AB107" s="528"/>
      <c r="AC107" s="438"/>
      <c r="AD107" s="528"/>
      <c r="AE107" s="438"/>
      <c r="AF107" s="528"/>
      <c r="AG107" s="438"/>
      <c r="AH107" s="438"/>
      <c r="AI107" s="438"/>
      <c r="AJ107" s="418"/>
      <c r="AK107" s="418"/>
      <c r="AL107" s="418"/>
      <c r="AM107" s="418"/>
      <c r="AN107" s="418"/>
      <c r="AO107" s="418"/>
      <c r="AP107" s="418"/>
      <c r="AQ107" s="418"/>
      <c r="AR107" s="418"/>
      <c r="AS107" s="418"/>
      <c r="AT107" s="418"/>
    </row>
    <row r="108" spans="1:46" s="439" customFormat="1" ht="12" x14ac:dyDescent="0.2">
      <c r="A108" s="418"/>
      <c r="B108" s="528"/>
      <c r="C108" s="438"/>
      <c r="D108" s="528"/>
      <c r="E108" s="438"/>
      <c r="F108" s="528"/>
      <c r="G108" s="438"/>
      <c r="H108" s="528"/>
      <c r="I108" s="438"/>
      <c r="J108" s="528"/>
      <c r="K108" s="438"/>
      <c r="L108" s="528"/>
      <c r="M108" s="438"/>
      <c r="N108" s="528"/>
      <c r="O108" s="528"/>
      <c r="P108" s="528"/>
      <c r="Q108" s="438"/>
      <c r="R108" s="528"/>
      <c r="S108" s="438"/>
      <c r="T108" s="528"/>
      <c r="U108" s="438"/>
      <c r="V108" s="528"/>
      <c r="W108" s="438"/>
      <c r="X108" s="528"/>
      <c r="Y108" s="438"/>
      <c r="Z108" s="528"/>
      <c r="AA108" s="438"/>
      <c r="AB108" s="528"/>
      <c r="AC108" s="438"/>
      <c r="AD108" s="528"/>
      <c r="AE108" s="438"/>
      <c r="AF108" s="528"/>
      <c r="AG108" s="438"/>
      <c r="AH108" s="438"/>
      <c r="AI108" s="438"/>
      <c r="AJ108" s="418"/>
      <c r="AK108" s="418"/>
      <c r="AL108" s="418"/>
      <c r="AM108" s="418"/>
      <c r="AN108" s="418"/>
      <c r="AO108" s="418"/>
      <c r="AP108" s="418"/>
      <c r="AQ108" s="418"/>
      <c r="AR108" s="418"/>
      <c r="AS108" s="418"/>
      <c r="AT108" s="418"/>
    </row>
    <row r="109" spans="1:46" s="439" customFormat="1" ht="12" x14ac:dyDescent="0.2">
      <c r="A109" s="418"/>
      <c r="B109" s="528"/>
      <c r="C109" s="438"/>
      <c r="D109" s="528"/>
      <c r="E109" s="438"/>
      <c r="F109" s="528"/>
      <c r="G109" s="438"/>
      <c r="H109" s="528"/>
      <c r="I109" s="438"/>
      <c r="J109" s="528"/>
      <c r="K109" s="438"/>
      <c r="L109" s="528"/>
      <c r="M109" s="438"/>
      <c r="N109" s="528"/>
      <c r="O109" s="528"/>
      <c r="P109" s="528"/>
      <c r="Q109" s="438"/>
      <c r="R109" s="528"/>
      <c r="S109" s="438"/>
      <c r="T109" s="528"/>
      <c r="U109" s="438"/>
      <c r="V109" s="528"/>
      <c r="W109" s="438"/>
      <c r="X109" s="528"/>
      <c r="Y109" s="438"/>
      <c r="Z109" s="528"/>
      <c r="AA109" s="438"/>
      <c r="AB109" s="528"/>
      <c r="AC109" s="438"/>
      <c r="AD109" s="528"/>
      <c r="AE109" s="438"/>
      <c r="AF109" s="528"/>
      <c r="AG109" s="438"/>
      <c r="AH109" s="438"/>
      <c r="AI109" s="438"/>
      <c r="AJ109" s="418"/>
      <c r="AK109" s="418"/>
      <c r="AL109" s="418"/>
      <c r="AM109" s="418"/>
      <c r="AN109" s="418"/>
      <c r="AO109" s="418"/>
      <c r="AP109" s="418"/>
      <c r="AQ109" s="418"/>
      <c r="AR109" s="418"/>
      <c r="AS109" s="418"/>
      <c r="AT109" s="418"/>
    </row>
    <row r="110" spans="1:46" s="439" customFormat="1" ht="12" x14ac:dyDescent="0.2">
      <c r="A110" s="418"/>
      <c r="B110" s="528"/>
      <c r="C110" s="438"/>
      <c r="D110" s="528"/>
      <c r="E110" s="438"/>
      <c r="F110" s="528"/>
      <c r="G110" s="438"/>
      <c r="H110" s="528"/>
      <c r="I110" s="438"/>
      <c r="J110" s="528"/>
      <c r="K110" s="438"/>
      <c r="L110" s="528"/>
      <c r="M110" s="438"/>
      <c r="N110" s="528"/>
      <c r="O110" s="528"/>
      <c r="P110" s="528"/>
      <c r="Q110" s="438"/>
      <c r="R110" s="528"/>
      <c r="S110" s="438"/>
      <c r="T110" s="528"/>
      <c r="U110" s="438"/>
      <c r="V110" s="528"/>
      <c r="W110" s="438"/>
      <c r="X110" s="528"/>
      <c r="Y110" s="438"/>
      <c r="Z110" s="528"/>
      <c r="AA110" s="438"/>
      <c r="AB110" s="528"/>
      <c r="AC110" s="438"/>
      <c r="AD110" s="528"/>
      <c r="AE110" s="438"/>
      <c r="AF110" s="528"/>
      <c r="AG110" s="438"/>
      <c r="AH110" s="438"/>
      <c r="AI110" s="438"/>
      <c r="AJ110" s="418"/>
      <c r="AK110" s="418"/>
      <c r="AL110" s="418"/>
      <c r="AM110" s="418"/>
      <c r="AN110" s="418"/>
      <c r="AO110" s="418"/>
      <c r="AP110" s="418"/>
      <c r="AQ110" s="418"/>
      <c r="AR110" s="418"/>
      <c r="AS110" s="418"/>
      <c r="AT110" s="418"/>
    </row>
    <row r="111" spans="1:46" s="439" customFormat="1" ht="12" x14ac:dyDescent="0.2">
      <c r="A111" s="418"/>
      <c r="B111" s="528"/>
      <c r="C111" s="438"/>
      <c r="D111" s="528"/>
      <c r="E111" s="438"/>
      <c r="F111" s="528"/>
      <c r="G111" s="438"/>
      <c r="H111" s="528"/>
      <c r="I111" s="438"/>
      <c r="J111" s="528"/>
      <c r="K111" s="438"/>
      <c r="L111" s="528"/>
      <c r="M111" s="438"/>
      <c r="N111" s="528"/>
      <c r="O111" s="528"/>
      <c r="P111" s="528"/>
      <c r="Q111" s="438"/>
      <c r="R111" s="528"/>
      <c r="S111" s="438"/>
      <c r="T111" s="528"/>
      <c r="U111" s="438"/>
      <c r="V111" s="528"/>
      <c r="W111" s="438"/>
      <c r="X111" s="528"/>
      <c r="Y111" s="438"/>
      <c r="Z111" s="528"/>
      <c r="AA111" s="438"/>
      <c r="AB111" s="528"/>
      <c r="AC111" s="438"/>
      <c r="AD111" s="528"/>
      <c r="AE111" s="438"/>
      <c r="AF111" s="528"/>
      <c r="AG111" s="438"/>
      <c r="AH111" s="438"/>
      <c r="AI111" s="438"/>
      <c r="AJ111" s="418"/>
      <c r="AK111" s="418"/>
      <c r="AL111" s="418"/>
      <c r="AM111" s="418"/>
      <c r="AN111" s="418"/>
      <c r="AO111" s="418"/>
      <c r="AP111" s="418"/>
      <c r="AQ111" s="418"/>
      <c r="AR111" s="418"/>
      <c r="AS111" s="418"/>
      <c r="AT111" s="418"/>
    </row>
    <row r="112" spans="1:46" s="439" customFormat="1" ht="12" x14ac:dyDescent="0.2">
      <c r="A112" s="418"/>
      <c r="B112" s="528"/>
      <c r="C112" s="438"/>
      <c r="D112" s="528"/>
      <c r="E112" s="438"/>
      <c r="F112" s="528"/>
      <c r="G112" s="438"/>
      <c r="H112" s="528"/>
      <c r="I112" s="438"/>
      <c r="J112" s="528"/>
      <c r="K112" s="438"/>
      <c r="L112" s="528"/>
      <c r="M112" s="438"/>
      <c r="N112" s="528"/>
      <c r="O112" s="528"/>
      <c r="P112" s="528"/>
      <c r="Q112" s="438"/>
      <c r="R112" s="528"/>
      <c r="S112" s="438"/>
      <c r="T112" s="528"/>
      <c r="U112" s="438"/>
      <c r="V112" s="528"/>
      <c r="W112" s="438"/>
      <c r="X112" s="528"/>
      <c r="Y112" s="438"/>
      <c r="Z112" s="528"/>
      <c r="AA112" s="438"/>
      <c r="AB112" s="528"/>
      <c r="AC112" s="438"/>
      <c r="AD112" s="528"/>
      <c r="AE112" s="438"/>
      <c r="AF112" s="528"/>
      <c r="AG112" s="438"/>
      <c r="AH112" s="438"/>
      <c r="AI112" s="438"/>
      <c r="AJ112" s="418"/>
      <c r="AK112" s="418"/>
      <c r="AL112" s="418"/>
      <c r="AM112" s="418"/>
      <c r="AN112" s="418"/>
      <c r="AO112" s="418"/>
      <c r="AP112" s="418"/>
      <c r="AQ112" s="418"/>
      <c r="AR112" s="418"/>
      <c r="AS112" s="418"/>
      <c r="AT112" s="418"/>
    </row>
    <row r="113" spans="1:46" s="439" customFormat="1" ht="12" x14ac:dyDescent="0.2">
      <c r="A113" s="418"/>
      <c r="B113" s="528"/>
      <c r="C113" s="438"/>
      <c r="D113" s="528"/>
      <c r="E113" s="438"/>
      <c r="F113" s="528"/>
      <c r="G113" s="438"/>
      <c r="H113" s="528"/>
      <c r="I113" s="438"/>
      <c r="J113" s="528"/>
      <c r="K113" s="438"/>
      <c r="L113" s="528"/>
      <c r="M113" s="438"/>
      <c r="N113" s="528"/>
      <c r="O113" s="528"/>
      <c r="P113" s="528"/>
      <c r="Q113" s="438"/>
      <c r="R113" s="528"/>
      <c r="S113" s="438"/>
      <c r="T113" s="528"/>
      <c r="U113" s="438"/>
      <c r="V113" s="528"/>
      <c r="W113" s="438"/>
      <c r="X113" s="528"/>
      <c r="Y113" s="438"/>
      <c r="Z113" s="528"/>
      <c r="AA113" s="438"/>
      <c r="AB113" s="528"/>
      <c r="AC113" s="438"/>
      <c r="AD113" s="528"/>
      <c r="AE113" s="438"/>
      <c r="AF113" s="528"/>
      <c r="AG113" s="438"/>
      <c r="AH113" s="438"/>
      <c r="AI113" s="438"/>
      <c r="AJ113" s="418"/>
      <c r="AK113" s="418"/>
      <c r="AL113" s="418"/>
      <c r="AM113" s="418"/>
      <c r="AN113" s="418"/>
      <c r="AO113" s="418"/>
      <c r="AP113" s="418"/>
      <c r="AQ113" s="418"/>
      <c r="AR113" s="418"/>
      <c r="AS113" s="418"/>
      <c r="AT113" s="418"/>
    </row>
    <row r="114" spans="1:46" s="439" customFormat="1" ht="12" x14ac:dyDescent="0.2">
      <c r="A114" s="418"/>
      <c r="B114" s="528"/>
      <c r="C114" s="438"/>
      <c r="D114" s="528"/>
      <c r="E114" s="438"/>
      <c r="F114" s="528"/>
      <c r="G114" s="438"/>
      <c r="H114" s="528"/>
      <c r="I114" s="438"/>
      <c r="J114" s="528"/>
      <c r="K114" s="438"/>
      <c r="L114" s="528"/>
      <c r="M114" s="438"/>
      <c r="N114" s="528"/>
      <c r="O114" s="528"/>
      <c r="P114" s="528"/>
      <c r="Q114" s="438"/>
      <c r="R114" s="528"/>
      <c r="S114" s="438"/>
      <c r="T114" s="528"/>
      <c r="U114" s="438"/>
      <c r="V114" s="528"/>
      <c r="W114" s="438"/>
      <c r="X114" s="528"/>
      <c r="Y114" s="438"/>
      <c r="Z114" s="528"/>
      <c r="AA114" s="438"/>
      <c r="AB114" s="528"/>
      <c r="AC114" s="438"/>
      <c r="AD114" s="528"/>
      <c r="AE114" s="438"/>
      <c r="AF114" s="528"/>
      <c r="AG114" s="438"/>
      <c r="AH114" s="438"/>
      <c r="AI114" s="438"/>
      <c r="AJ114" s="418"/>
      <c r="AK114" s="418"/>
      <c r="AL114" s="418"/>
      <c r="AM114" s="418"/>
      <c r="AN114" s="418"/>
      <c r="AO114" s="418"/>
      <c r="AP114" s="418"/>
      <c r="AQ114" s="418"/>
      <c r="AR114" s="418"/>
      <c r="AS114" s="418"/>
      <c r="AT114" s="418"/>
    </row>
    <row r="115" spans="1:46" s="439" customFormat="1" ht="12" x14ac:dyDescent="0.2">
      <c r="A115" s="418"/>
      <c r="B115" s="528"/>
      <c r="C115" s="438"/>
      <c r="D115" s="528"/>
      <c r="E115" s="438"/>
      <c r="F115" s="528"/>
      <c r="G115" s="438"/>
      <c r="H115" s="528"/>
      <c r="I115" s="438"/>
      <c r="J115" s="528"/>
      <c r="K115" s="438"/>
      <c r="L115" s="528"/>
      <c r="M115" s="438"/>
      <c r="N115" s="528"/>
      <c r="O115" s="528"/>
      <c r="P115" s="528"/>
      <c r="Q115" s="438"/>
      <c r="R115" s="528"/>
      <c r="S115" s="438"/>
      <c r="T115" s="528"/>
      <c r="U115" s="438"/>
      <c r="V115" s="528"/>
      <c r="W115" s="438"/>
      <c r="X115" s="528"/>
      <c r="Y115" s="438"/>
      <c r="Z115" s="528"/>
      <c r="AA115" s="438"/>
      <c r="AB115" s="528"/>
      <c r="AC115" s="438"/>
      <c r="AD115" s="528"/>
      <c r="AE115" s="438"/>
      <c r="AF115" s="528"/>
      <c r="AG115" s="438"/>
      <c r="AH115" s="438"/>
      <c r="AI115" s="438"/>
      <c r="AJ115" s="418"/>
      <c r="AK115" s="418"/>
      <c r="AL115" s="418"/>
      <c r="AM115" s="418"/>
      <c r="AN115" s="418"/>
      <c r="AO115" s="418"/>
      <c r="AP115" s="418"/>
      <c r="AQ115" s="418"/>
      <c r="AR115" s="418"/>
      <c r="AS115" s="418"/>
      <c r="AT115" s="418"/>
    </row>
    <row r="116" spans="1:46" s="439" customFormat="1" ht="12" x14ac:dyDescent="0.2">
      <c r="A116" s="418"/>
      <c r="B116" s="528"/>
      <c r="C116" s="438"/>
      <c r="D116" s="528"/>
      <c r="E116" s="438"/>
      <c r="F116" s="528"/>
      <c r="G116" s="438"/>
      <c r="H116" s="528"/>
      <c r="I116" s="438"/>
      <c r="J116" s="528"/>
      <c r="K116" s="438"/>
      <c r="L116" s="528"/>
      <c r="M116" s="438"/>
      <c r="N116" s="528"/>
      <c r="O116" s="528"/>
      <c r="P116" s="528"/>
      <c r="Q116" s="438"/>
      <c r="R116" s="528"/>
      <c r="S116" s="438"/>
      <c r="T116" s="528"/>
      <c r="U116" s="438"/>
      <c r="V116" s="528"/>
      <c r="W116" s="438"/>
      <c r="X116" s="528"/>
      <c r="Y116" s="438"/>
      <c r="Z116" s="528"/>
      <c r="AA116" s="438"/>
      <c r="AB116" s="528"/>
      <c r="AC116" s="438"/>
      <c r="AD116" s="528"/>
      <c r="AE116" s="438"/>
      <c r="AF116" s="528"/>
      <c r="AG116" s="438"/>
      <c r="AH116" s="438"/>
      <c r="AI116" s="438"/>
      <c r="AJ116" s="418"/>
      <c r="AK116" s="418"/>
      <c r="AL116" s="418"/>
      <c r="AM116" s="418"/>
      <c r="AN116" s="418"/>
      <c r="AO116" s="418"/>
      <c r="AP116" s="418"/>
      <c r="AQ116" s="418"/>
      <c r="AR116" s="418"/>
      <c r="AS116" s="418"/>
      <c r="AT116" s="418"/>
    </row>
    <row r="117" spans="1:46" s="439" customFormat="1" ht="12" x14ac:dyDescent="0.2">
      <c r="A117" s="418"/>
      <c r="B117" s="528"/>
      <c r="C117" s="438"/>
      <c r="D117" s="528"/>
      <c r="E117" s="438"/>
      <c r="F117" s="528"/>
      <c r="G117" s="438"/>
      <c r="H117" s="528"/>
      <c r="I117" s="438"/>
      <c r="J117" s="528"/>
      <c r="K117" s="438"/>
      <c r="L117" s="528"/>
      <c r="M117" s="438"/>
      <c r="N117" s="528"/>
      <c r="O117" s="528"/>
      <c r="P117" s="528"/>
      <c r="Q117" s="438"/>
      <c r="R117" s="528"/>
      <c r="S117" s="438"/>
      <c r="T117" s="528"/>
      <c r="U117" s="438"/>
      <c r="V117" s="528"/>
      <c r="W117" s="438"/>
      <c r="X117" s="528"/>
      <c r="Y117" s="438"/>
      <c r="Z117" s="528"/>
      <c r="AA117" s="438"/>
      <c r="AB117" s="528"/>
      <c r="AC117" s="438"/>
      <c r="AD117" s="528"/>
      <c r="AE117" s="438"/>
      <c r="AF117" s="528"/>
      <c r="AG117" s="438"/>
      <c r="AH117" s="438"/>
      <c r="AI117" s="438"/>
      <c r="AJ117" s="418"/>
      <c r="AK117" s="418"/>
      <c r="AL117" s="418"/>
      <c r="AM117" s="418"/>
      <c r="AN117" s="418"/>
      <c r="AO117" s="418"/>
      <c r="AP117" s="418"/>
      <c r="AQ117" s="418"/>
      <c r="AR117" s="418"/>
      <c r="AS117" s="418"/>
      <c r="AT117" s="418"/>
    </row>
    <row r="118" spans="1:46" s="439" customFormat="1" ht="12" x14ac:dyDescent="0.2">
      <c r="A118" s="418"/>
      <c r="B118" s="528"/>
      <c r="C118" s="438"/>
      <c r="D118" s="528"/>
      <c r="E118" s="438"/>
      <c r="F118" s="528"/>
      <c r="G118" s="438"/>
      <c r="H118" s="528"/>
      <c r="I118" s="438"/>
      <c r="J118" s="528"/>
      <c r="K118" s="438"/>
      <c r="L118" s="528"/>
      <c r="M118" s="438"/>
      <c r="N118" s="528"/>
      <c r="O118" s="528"/>
      <c r="P118" s="528"/>
      <c r="Q118" s="438"/>
      <c r="R118" s="528"/>
      <c r="S118" s="438"/>
      <c r="T118" s="528"/>
      <c r="U118" s="438"/>
      <c r="V118" s="528"/>
      <c r="W118" s="438"/>
      <c r="X118" s="528"/>
      <c r="Y118" s="438"/>
      <c r="Z118" s="528"/>
      <c r="AA118" s="438"/>
      <c r="AB118" s="528"/>
      <c r="AC118" s="438"/>
      <c r="AD118" s="528"/>
      <c r="AE118" s="438"/>
      <c r="AF118" s="528"/>
      <c r="AG118" s="438"/>
      <c r="AH118" s="438"/>
      <c r="AI118" s="438"/>
      <c r="AJ118" s="418"/>
      <c r="AK118" s="418"/>
      <c r="AL118" s="418"/>
      <c r="AM118" s="418"/>
      <c r="AN118" s="418"/>
      <c r="AO118" s="418"/>
      <c r="AP118" s="418"/>
      <c r="AQ118" s="418"/>
      <c r="AR118" s="418"/>
      <c r="AS118" s="418"/>
      <c r="AT118" s="418"/>
    </row>
    <row r="119" spans="1:46" s="439" customFormat="1" ht="12" x14ac:dyDescent="0.2">
      <c r="A119" s="418"/>
      <c r="B119" s="528"/>
      <c r="C119" s="438"/>
      <c r="D119" s="528"/>
      <c r="E119" s="438"/>
      <c r="F119" s="528"/>
      <c r="G119" s="438"/>
      <c r="H119" s="528"/>
      <c r="I119" s="438"/>
      <c r="J119" s="528"/>
      <c r="K119" s="438"/>
      <c r="L119" s="528"/>
      <c r="M119" s="438"/>
      <c r="N119" s="528"/>
      <c r="O119" s="528"/>
      <c r="P119" s="528"/>
      <c r="Q119" s="438"/>
      <c r="R119" s="528"/>
      <c r="S119" s="438"/>
      <c r="T119" s="528"/>
      <c r="U119" s="438"/>
      <c r="V119" s="528"/>
      <c r="W119" s="438"/>
      <c r="X119" s="528"/>
      <c r="Y119" s="438"/>
      <c r="Z119" s="528"/>
      <c r="AA119" s="438"/>
      <c r="AB119" s="528"/>
      <c r="AC119" s="438"/>
      <c r="AD119" s="528"/>
      <c r="AE119" s="438"/>
      <c r="AF119" s="528"/>
      <c r="AG119" s="438"/>
      <c r="AH119" s="438"/>
      <c r="AI119" s="438"/>
      <c r="AJ119" s="418"/>
      <c r="AK119" s="418"/>
      <c r="AL119" s="418"/>
      <c r="AM119" s="418"/>
      <c r="AN119" s="418"/>
      <c r="AO119" s="418"/>
      <c r="AP119" s="418"/>
      <c r="AQ119" s="418"/>
      <c r="AR119" s="418"/>
      <c r="AS119" s="418"/>
      <c r="AT119" s="418"/>
    </row>
    <row r="120" spans="1:46" s="439" customFormat="1" ht="12" x14ac:dyDescent="0.2">
      <c r="A120" s="418"/>
      <c r="B120" s="528"/>
      <c r="C120" s="438"/>
      <c r="D120" s="528"/>
      <c r="E120" s="438"/>
      <c r="F120" s="528"/>
      <c r="G120" s="438"/>
      <c r="H120" s="528"/>
      <c r="I120" s="438"/>
      <c r="J120" s="528"/>
      <c r="K120" s="438"/>
      <c r="L120" s="528"/>
      <c r="M120" s="438"/>
      <c r="N120" s="528"/>
      <c r="O120" s="528"/>
      <c r="P120" s="528"/>
      <c r="Q120" s="438"/>
      <c r="R120" s="528"/>
      <c r="S120" s="438"/>
      <c r="T120" s="528"/>
      <c r="U120" s="438"/>
      <c r="V120" s="528"/>
      <c r="W120" s="438"/>
      <c r="X120" s="528"/>
      <c r="Y120" s="438"/>
      <c r="Z120" s="528"/>
      <c r="AA120" s="438"/>
      <c r="AB120" s="528"/>
      <c r="AC120" s="438"/>
      <c r="AD120" s="528"/>
      <c r="AE120" s="438"/>
      <c r="AF120" s="528"/>
      <c r="AG120" s="438"/>
      <c r="AH120" s="438"/>
      <c r="AI120" s="438"/>
      <c r="AJ120" s="418"/>
      <c r="AK120" s="418"/>
      <c r="AL120" s="418"/>
      <c r="AM120" s="418"/>
      <c r="AN120" s="418"/>
      <c r="AO120" s="418"/>
      <c r="AP120" s="418"/>
      <c r="AQ120" s="418"/>
      <c r="AR120" s="418"/>
      <c r="AS120" s="418"/>
      <c r="AT120" s="418"/>
    </row>
    <row r="121" spans="1:46" s="439" customFormat="1" ht="12" x14ac:dyDescent="0.2">
      <c r="A121" s="418"/>
      <c r="B121" s="528"/>
      <c r="C121" s="438"/>
      <c r="D121" s="528"/>
      <c r="E121" s="438"/>
      <c r="F121" s="528"/>
      <c r="G121" s="438"/>
      <c r="H121" s="528"/>
      <c r="I121" s="438"/>
      <c r="J121" s="528"/>
      <c r="K121" s="438"/>
      <c r="L121" s="528"/>
      <c r="M121" s="438"/>
      <c r="N121" s="528"/>
      <c r="O121" s="528"/>
      <c r="P121" s="528"/>
      <c r="Q121" s="438"/>
      <c r="R121" s="528"/>
      <c r="S121" s="438"/>
      <c r="T121" s="528"/>
      <c r="U121" s="438"/>
      <c r="V121" s="528"/>
      <c r="W121" s="438"/>
      <c r="X121" s="528"/>
      <c r="Y121" s="438"/>
      <c r="Z121" s="528"/>
      <c r="AA121" s="438"/>
      <c r="AB121" s="528"/>
      <c r="AC121" s="438"/>
      <c r="AD121" s="528"/>
      <c r="AE121" s="438"/>
      <c r="AF121" s="528"/>
      <c r="AG121" s="438"/>
      <c r="AH121" s="438"/>
      <c r="AI121" s="438"/>
      <c r="AJ121" s="418"/>
      <c r="AK121" s="418"/>
      <c r="AL121" s="418"/>
      <c r="AM121" s="418"/>
      <c r="AN121" s="418"/>
      <c r="AO121" s="418"/>
      <c r="AP121" s="418"/>
      <c r="AQ121" s="418"/>
      <c r="AR121" s="418"/>
      <c r="AS121" s="418"/>
      <c r="AT121" s="418"/>
    </row>
    <row r="122" spans="1:46" s="439" customFormat="1" ht="12" x14ac:dyDescent="0.2">
      <c r="A122" s="418"/>
      <c r="B122" s="528"/>
      <c r="C122" s="438"/>
      <c r="D122" s="528"/>
      <c r="E122" s="438"/>
      <c r="F122" s="528"/>
      <c r="G122" s="438"/>
      <c r="H122" s="528"/>
      <c r="I122" s="438"/>
      <c r="J122" s="528"/>
      <c r="K122" s="438"/>
      <c r="L122" s="528"/>
      <c r="M122" s="438"/>
      <c r="N122" s="528"/>
      <c r="O122" s="528"/>
      <c r="P122" s="528"/>
      <c r="Q122" s="438"/>
      <c r="R122" s="528"/>
      <c r="S122" s="438"/>
      <c r="T122" s="528"/>
      <c r="U122" s="438"/>
      <c r="V122" s="528"/>
      <c r="W122" s="438"/>
      <c r="X122" s="528"/>
      <c r="Y122" s="438"/>
      <c r="Z122" s="528"/>
      <c r="AA122" s="438"/>
      <c r="AB122" s="528"/>
      <c r="AC122" s="438"/>
      <c r="AD122" s="528"/>
      <c r="AE122" s="438"/>
      <c r="AF122" s="528"/>
      <c r="AG122" s="438"/>
      <c r="AH122" s="438"/>
      <c r="AI122" s="438"/>
      <c r="AJ122" s="418"/>
      <c r="AK122" s="418"/>
      <c r="AL122" s="418"/>
      <c r="AM122" s="418"/>
      <c r="AN122" s="418"/>
      <c r="AO122" s="418"/>
      <c r="AP122" s="418"/>
      <c r="AQ122" s="418"/>
      <c r="AR122" s="418"/>
      <c r="AS122" s="418"/>
      <c r="AT122" s="418"/>
    </row>
    <row r="123" spans="1:46" s="439" customFormat="1" ht="12" x14ac:dyDescent="0.2">
      <c r="A123" s="418"/>
      <c r="B123" s="528"/>
      <c r="C123" s="438"/>
      <c r="D123" s="528"/>
      <c r="E123" s="438"/>
      <c r="F123" s="528"/>
      <c r="G123" s="438"/>
      <c r="H123" s="528"/>
      <c r="I123" s="438"/>
      <c r="J123" s="528"/>
      <c r="K123" s="438"/>
      <c r="L123" s="528"/>
      <c r="M123" s="438"/>
      <c r="N123" s="528"/>
      <c r="O123" s="528"/>
      <c r="P123" s="528"/>
      <c r="Q123" s="438"/>
      <c r="R123" s="528"/>
      <c r="S123" s="438"/>
      <c r="T123" s="528"/>
      <c r="U123" s="438"/>
      <c r="V123" s="528"/>
      <c r="W123" s="438"/>
      <c r="X123" s="528"/>
      <c r="Y123" s="438"/>
      <c r="Z123" s="528"/>
      <c r="AA123" s="438"/>
      <c r="AB123" s="528"/>
      <c r="AC123" s="438"/>
      <c r="AD123" s="528"/>
      <c r="AE123" s="438"/>
      <c r="AF123" s="528"/>
      <c r="AG123" s="438"/>
      <c r="AH123" s="438"/>
      <c r="AI123" s="438"/>
      <c r="AJ123" s="418"/>
      <c r="AK123" s="418"/>
      <c r="AL123" s="418"/>
      <c r="AM123" s="418"/>
      <c r="AN123" s="418"/>
      <c r="AO123" s="418"/>
      <c r="AP123" s="418"/>
      <c r="AQ123" s="418"/>
      <c r="AR123" s="418"/>
      <c r="AS123" s="418"/>
      <c r="AT123" s="418"/>
    </row>
    <row r="124" spans="1:46" s="439" customFormat="1" ht="12" x14ac:dyDescent="0.2">
      <c r="A124" s="418"/>
      <c r="B124" s="528"/>
      <c r="C124" s="438"/>
      <c r="D124" s="528"/>
      <c r="E124" s="438"/>
      <c r="F124" s="528"/>
      <c r="G124" s="438"/>
      <c r="H124" s="528"/>
      <c r="I124" s="438"/>
      <c r="J124" s="528"/>
      <c r="K124" s="438"/>
      <c r="L124" s="528"/>
      <c r="M124" s="438"/>
      <c r="N124" s="528"/>
      <c r="O124" s="528"/>
      <c r="P124" s="528"/>
      <c r="Q124" s="438"/>
      <c r="R124" s="528"/>
      <c r="S124" s="438"/>
      <c r="T124" s="528"/>
      <c r="U124" s="438"/>
      <c r="V124" s="528"/>
      <c r="W124" s="438"/>
      <c r="X124" s="528"/>
      <c r="Y124" s="438"/>
      <c r="Z124" s="528"/>
      <c r="AA124" s="438"/>
      <c r="AB124" s="528"/>
      <c r="AC124" s="438"/>
      <c r="AD124" s="528"/>
      <c r="AE124" s="438"/>
      <c r="AF124" s="528"/>
      <c r="AG124" s="438"/>
      <c r="AH124" s="438"/>
      <c r="AI124" s="438"/>
      <c r="AJ124" s="418"/>
      <c r="AK124" s="418"/>
      <c r="AL124" s="418"/>
      <c r="AM124" s="418"/>
      <c r="AN124" s="418"/>
      <c r="AO124" s="418"/>
      <c r="AP124" s="418"/>
      <c r="AQ124" s="418"/>
      <c r="AR124" s="418"/>
      <c r="AS124" s="418"/>
      <c r="AT124" s="418"/>
    </row>
    <row r="125" spans="1:46" s="439" customFormat="1" ht="12" x14ac:dyDescent="0.2">
      <c r="A125" s="418"/>
      <c r="B125" s="528"/>
      <c r="C125" s="438"/>
      <c r="D125" s="528"/>
      <c r="E125" s="438"/>
      <c r="F125" s="528"/>
      <c r="G125" s="438"/>
      <c r="H125" s="528"/>
      <c r="I125" s="438"/>
      <c r="J125" s="528"/>
      <c r="K125" s="438"/>
      <c r="L125" s="528"/>
      <c r="M125" s="438"/>
      <c r="N125" s="528"/>
      <c r="O125" s="528"/>
      <c r="P125" s="528"/>
      <c r="Q125" s="438"/>
      <c r="R125" s="528"/>
      <c r="S125" s="438"/>
      <c r="T125" s="528"/>
      <c r="U125" s="438"/>
      <c r="V125" s="528"/>
      <c r="W125" s="438"/>
      <c r="X125" s="528"/>
      <c r="Y125" s="438"/>
      <c r="Z125" s="528"/>
      <c r="AA125" s="438"/>
      <c r="AB125" s="528"/>
      <c r="AC125" s="438"/>
      <c r="AD125" s="528"/>
      <c r="AE125" s="438"/>
      <c r="AF125" s="528"/>
      <c r="AG125" s="438"/>
      <c r="AH125" s="438"/>
      <c r="AI125" s="438"/>
      <c r="AJ125" s="418"/>
      <c r="AK125" s="418"/>
      <c r="AL125" s="418"/>
      <c r="AM125" s="418"/>
      <c r="AN125" s="418"/>
      <c r="AO125" s="418"/>
      <c r="AP125" s="418"/>
      <c r="AQ125" s="418"/>
      <c r="AR125" s="418"/>
      <c r="AS125" s="418"/>
      <c r="AT125" s="418"/>
    </row>
    <row r="126" spans="1:46" s="439" customFormat="1" ht="12" x14ac:dyDescent="0.2">
      <c r="A126" s="418"/>
      <c r="B126" s="528"/>
      <c r="C126" s="438"/>
      <c r="D126" s="528"/>
      <c r="E126" s="438"/>
      <c r="F126" s="528"/>
      <c r="G126" s="438"/>
      <c r="H126" s="528"/>
      <c r="I126" s="438"/>
      <c r="J126" s="528"/>
      <c r="K126" s="438"/>
      <c r="L126" s="528"/>
      <c r="M126" s="438"/>
      <c r="N126" s="528"/>
      <c r="O126" s="528"/>
      <c r="P126" s="528"/>
      <c r="Q126" s="438"/>
      <c r="R126" s="528"/>
      <c r="S126" s="438"/>
      <c r="T126" s="528"/>
      <c r="U126" s="438"/>
      <c r="V126" s="528"/>
      <c r="W126" s="438"/>
      <c r="X126" s="528"/>
      <c r="Y126" s="438"/>
      <c r="Z126" s="528"/>
      <c r="AA126" s="438"/>
      <c r="AB126" s="528"/>
      <c r="AC126" s="438"/>
      <c r="AD126" s="528"/>
      <c r="AE126" s="438"/>
      <c r="AF126" s="528"/>
      <c r="AG126" s="438"/>
      <c r="AH126" s="438"/>
      <c r="AI126" s="438"/>
      <c r="AJ126" s="418"/>
      <c r="AK126" s="418"/>
      <c r="AL126" s="418"/>
      <c r="AM126" s="418"/>
      <c r="AN126" s="418"/>
      <c r="AO126" s="418"/>
      <c r="AP126" s="418"/>
      <c r="AQ126" s="418"/>
      <c r="AR126" s="418"/>
      <c r="AS126" s="418"/>
      <c r="AT126" s="418"/>
    </row>
    <row r="127" spans="1:46" s="439" customFormat="1" ht="12" x14ac:dyDescent="0.2">
      <c r="A127" s="418"/>
      <c r="B127" s="528"/>
      <c r="C127" s="438"/>
      <c r="D127" s="528"/>
      <c r="E127" s="438"/>
      <c r="F127" s="528"/>
      <c r="G127" s="438"/>
      <c r="H127" s="528"/>
      <c r="I127" s="438"/>
      <c r="J127" s="528"/>
      <c r="K127" s="438"/>
      <c r="L127" s="528"/>
      <c r="M127" s="438"/>
      <c r="N127" s="528"/>
      <c r="O127" s="528"/>
      <c r="P127" s="528"/>
      <c r="Q127" s="438"/>
      <c r="R127" s="528"/>
      <c r="S127" s="438"/>
      <c r="T127" s="528"/>
      <c r="U127" s="438"/>
      <c r="V127" s="528"/>
      <c r="W127" s="438"/>
      <c r="X127" s="528"/>
      <c r="Y127" s="438"/>
      <c r="Z127" s="528"/>
      <c r="AA127" s="438"/>
      <c r="AB127" s="528"/>
      <c r="AC127" s="438"/>
      <c r="AD127" s="528"/>
      <c r="AE127" s="438"/>
      <c r="AF127" s="528"/>
      <c r="AG127" s="438"/>
      <c r="AH127" s="438"/>
      <c r="AI127" s="438"/>
      <c r="AJ127" s="418"/>
      <c r="AK127" s="418"/>
      <c r="AL127" s="418"/>
      <c r="AM127" s="418"/>
      <c r="AN127" s="418"/>
      <c r="AO127" s="418"/>
      <c r="AP127" s="418"/>
      <c r="AQ127" s="418"/>
      <c r="AR127" s="418"/>
      <c r="AS127" s="418"/>
      <c r="AT127" s="418"/>
    </row>
    <row r="128" spans="1:46" s="439" customFormat="1" ht="12" x14ac:dyDescent="0.2">
      <c r="A128" s="418"/>
      <c r="B128" s="528"/>
      <c r="C128" s="438"/>
      <c r="D128" s="528"/>
      <c r="E128" s="438"/>
      <c r="F128" s="528"/>
      <c r="G128" s="438"/>
      <c r="H128" s="528"/>
      <c r="I128" s="438"/>
      <c r="J128" s="528"/>
      <c r="K128" s="438"/>
      <c r="L128" s="528"/>
      <c r="M128" s="438"/>
      <c r="N128" s="528"/>
      <c r="O128" s="528"/>
      <c r="P128" s="528"/>
      <c r="Q128" s="438"/>
      <c r="R128" s="528"/>
      <c r="S128" s="438"/>
      <c r="T128" s="528"/>
      <c r="U128" s="438"/>
      <c r="V128" s="528"/>
      <c r="W128" s="438"/>
      <c r="X128" s="528"/>
      <c r="Y128" s="438"/>
      <c r="Z128" s="528"/>
      <c r="AA128" s="438"/>
      <c r="AB128" s="528"/>
      <c r="AC128" s="438"/>
      <c r="AD128" s="528"/>
      <c r="AE128" s="438"/>
      <c r="AF128" s="528"/>
      <c r="AG128" s="438"/>
      <c r="AH128" s="438"/>
      <c r="AI128" s="438"/>
      <c r="AJ128" s="418"/>
      <c r="AK128" s="418"/>
      <c r="AL128" s="418"/>
      <c r="AM128" s="418"/>
      <c r="AN128" s="418"/>
      <c r="AO128" s="418"/>
      <c r="AP128" s="418"/>
      <c r="AQ128" s="418"/>
      <c r="AR128" s="418"/>
      <c r="AS128" s="418"/>
      <c r="AT128" s="418"/>
    </row>
    <row r="129" spans="1:46" s="439" customFormat="1" ht="12" x14ac:dyDescent="0.2">
      <c r="A129" s="418"/>
      <c r="B129" s="528"/>
      <c r="C129" s="438"/>
      <c r="D129" s="528"/>
      <c r="E129" s="438"/>
      <c r="F129" s="528"/>
      <c r="G129" s="438"/>
      <c r="H129" s="528"/>
      <c r="I129" s="438"/>
      <c r="J129" s="528"/>
      <c r="K129" s="438"/>
      <c r="L129" s="528"/>
      <c r="M129" s="438"/>
      <c r="N129" s="528"/>
      <c r="O129" s="528"/>
      <c r="P129" s="528"/>
      <c r="Q129" s="438"/>
      <c r="R129" s="528"/>
      <c r="S129" s="438"/>
      <c r="T129" s="528"/>
      <c r="U129" s="438"/>
      <c r="V129" s="528"/>
      <c r="W129" s="438"/>
      <c r="X129" s="528"/>
      <c r="Y129" s="438"/>
      <c r="Z129" s="528"/>
      <c r="AA129" s="438"/>
      <c r="AB129" s="528"/>
      <c r="AC129" s="438"/>
      <c r="AD129" s="528"/>
      <c r="AE129" s="438"/>
      <c r="AF129" s="528"/>
      <c r="AG129" s="438"/>
      <c r="AH129" s="438"/>
      <c r="AI129" s="438"/>
      <c r="AJ129" s="418"/>
      <c r="AK129" s="418"/>
      <c r="AL129" s="418"/>
      <c r="AM129" s="418"/>
      <c r="AN129" s="418"/>
      <c r="AO129" s="418"/>
      <c r="AP129" s="418"/>
      <c r="AQ129" s="418"/>
      <c r="AR129" s="418"/>
      <c r="AS129" s="418"/>
      <c r="AT129" s="418"/>
    </row>
    <row r="130" spans="1:46" s="439" customFormat="1" ht="12" x14ac:dyDescent="0.2">
      <c r="A130" s="418"/>
      <c r="B130" s="528"/>
      <c r="C130" s="438"/>
      <c r="D130" s="528"/>
      <c r="E130" s="438"/>
      <c r="F130" s="528"/>
      <c r="G130" s="438"/>
      <c r="H130" s="528"/>
      <c r="I130" s="438"/>
      <c r="J130" s="528"/>
      <c r="K130" s="438"/>
      <c r="L130" s="528"/>
      <c r="M130" s="438"/>
      <c r="N130" s="528"/>
      <c r="O130" s="528"/>
      <c r="P130" s="528"/>
      <c r="Q130" s="438"/>
      <c r="R130" s="528"/>
      <c r="S130" s="438"/>
      <c r="T130" s="528"/>
      <c r="U130" s="438"/>
      <c r="V130" s="528"/>
      <c r="W130" s="438"/>
      <c r="X130" s="528"/>
      <c r="Y130" s="438"/>
      <c r="Z130" s="528"/>
      <c r="AA130" s="438"/>
      <c r="AB130" s="528"/>
      <c r="AC130" s="438"/>
      <c r="AD130" s="528"/>
      <c r="AE130" s="438"/>
      <c r="AF130" s="528"/>
      <c r="AG130" s="438"/>
      <c r="AH130" s="438"/>
      <c r="AI130" s="438"/>
      <c r="AJ130" s="418"/>
      <c r="AK130" s="418"/>
      <c r="AL130" s="418"/>
      <c r="AM130" s="418"/>
      <c r="AN130" s="418"/>
      <c r="AO130" s="418"/>
      <c r="AP130" s="418"/>
      <c r="AQ130" s="418"/>
      <c r="AR130" s="418"/>
      <c r="AS130" s="418"/>
      <c r="AT130" s="418"/>
    </row>
    <row r="131" spans="1:46" s="439" customFormat="1" ht="12" x14ac:dyDescent="0.2">
      <c r="A131" s="418"/>
      <c r="B131" s="528"/>
      <c r="C131" s="438"/>
      <c r="D131" s="528"/>
      <c r="E131" s="438"/>
      <c r="F131" s="528"/>
      <c r="G131" s="438"/>
      <c r="H131" s="528"/>
      <c r="I131" s="438"/>
      <c r="J131" s="528"/>
      <c r="K131" s="438"/>
      <c r="L131" s="528"/>
      <c r="M131" s="438"/>
      <c r="N131" s="528"/>
      <c r="O131" s="528"/>
      <c r="P131" s="528"/>
      <c r="Q131" s="438"/>
      <c r="R131" s="528"/>
      <c r="S131" s="438"/>
      <c r="T131" s="528"/>
      <c r="U131" s="438"/>
      <c r="V131" s="528"/>
      <c r="W131" s="438"/>
      <c r="X131" s="528"/>
      <c r="Y131" s="438"/>
      <c r="Z131" s="528"/>
      <c r="AA131" s="438"/>
      <c r="AB131" s="528"/>
      <c r="AC131" s="438"/>
      <c r="AD131" s="528"/>
      <c r="AE131" s="438"/>
      <c r="AF131" s="528"/>
      <c r="AG131" s="438"/>
      <c r="AH131" s="438"/>
      <c r="AI131" s="438"/>
      <c r="AJ131" s="418"/>
      <c r="AK131" s="418"/>
      <c r="AL131" s="418"/>
      <c r="AM131" s="418"/>
      <c r="AN131" s="418"/>
      <c r="AO131" s="418"/>
      <c r="AP131" s="418"/>
      <c r="AQ131" s="418"/>
      <c r="AR131" s="418"/>
      <c r="AS131" s="418"/>
      <c r="AT131" s="418"/>
    </row>
    <row r="132" spans="1:46" s="439" customFormat="1" ht="12" x14ac:dyDescent="0.2">
      <c r="A132" s="418"/>
      <c r="B132" s="528"/>
      <c r="C132" s="438"/>
      <c r="D132" s="528"/>
      <c r="E132" s="438"/>
      <c r="F132" s="528"/>
      <c r="G132" s="438"/>
      <c r="H132" s="528"/>
      <c r="I132" s="438"/>
      <c r="J132" s="528"/>
      <c r="K132" s="438"/>
      <c r="L132" s="528"/>
      <c r="M132" s="438"/>
      <c r="N132" s="528"/>
      <c r="O132" s="528"/>
      <c r="P132" s="528"/>
      <c r="Q132" s="438"/>
      <c r="R132" s="528"/>
      <c r="S132" s="438"/>
      <c r="T132" s="528"/>
      <c r="U132" s="438"/>
      <c r="V132" s="528"/>
      <c r="W132" s="438"/>
      <c r="X132" s="528"/>
      <c r="Y132" s="438"/>
      <c r="Z132" s="528"/>
      <c r="AA132" s="438"/>
      <c r="AB132" s="528"/>
      <c r="AC132" s="438"/>
      <c r="AD132" s="528"/>
      <c r="AE132" s="438"/>
      <c r="AF132" s="528"/>
      <c r="AG132" s="438"/>
      <c r="AH132" s="438"/>
      <c r="AI132" s="438"/>
      <c r="AJ132" s="418"/>
      <c r="AK132" s="418"/>
      <c r="AL132" s="418"/>
      <c r="AM132" s="418"/>
      <c r="AN132" s="418"/>
      <c r="AO132" s="418"/>
      <c r="AP132" s="418"/>
      <c r="AQ132" s="418"/>
      <c r="AR132" s="418"/>
      <c r="AS132" s="418"/>
      <c r="AT132" s="418"/>
    </row>
    <row r="133" spans="1:46" s="439" customFormat="1" ht="12" x14ac:dyDescent="0.2">
      <c r="A133" s="418"/>
      <c r="B133" s="528"/>
      <c r="C133" s="438"/>
      <c r="D133" s="528"/>
      <c r="E133" s="438"/>
      <c r="F133" s="528"/>
      <c r="G133" s="438"/>
      <c r="H133" s="528"/>
      <c r="I133" s="438"/>
      <c r="J133" s="528"/>
      <c r="K133" s="438"/>
      <c r="L133" s="528"/>
      <c r="M133" s="438"/>
      <c r="N133" s="528"/>
      <c r="O133" s="528"/>
      <c r="P133" s="528"/>
      <c r="Q133" s="438"/>
      <c r="R133" s="528"/>
      <c r="S133" s="438"/>
      <c r="T133" s="528"/>
      <c r="U133" s="438"/>
      <c r="V133" s="528"/>
      <c r="W133" s="438"/>
      <c r="X133" s="528"/>
      <c r="Y133" s="438"/>
      <c r="Z133" s="528"/>
      <c r="AA133" s="438"/>
      <c r="AB133" s="528"/>
      <c r="AC133" s="438"/>
      <c r="AD133" s="528"/>
      <c r="AE133" s="438"/>
      <c r="AF133" s="528"/>
      <c r="AG133" s="438"/>
      <c r="AH133" s="438"/>
      <c r="AI133" s="438"/>
      <c r="AJ133" s="418"/>
      <c r="AK133" s="418"/>
      <c r="AL133" s="418"/>
      <c r="AM133" s="418"/>
      <c r="AN133" s="418"/>
      <c r="AO133" s="418"/>
      <c r="AP133" s="418"/>
      <c r="AQ133" s="418"/>
      <c r="AR133" s="418"/>
      <c r="AS133" s="418"/>
      <c r="AT133" s="418"/>
    </row>
    <row r="134" spans="1:46" s="439" customFormat="1" ht="12" x14ac:dyDescent="0.2">
      <c r="A134" s="418"/>
      <c r="B134" s="528"/>
      <c r="C134" s="438"/>
      <c r="D134" s="528"/>
      <c r="E134" s="438"/>
      <c r="F134" s="528"/>
      <c r="G134" s="438"/>
      <c r="H134" s="528"/>
      <c r="I134" s="438"/>
      <c r="J134" s="528"/>
      <c r="K134" s="438"/>
      <c r="L134" s="528"/>
      <c r="M134" s="438"/>
      <c r="N134" s="528"/>
      <c r="O134" s="528"/>
      <c r="P134" s="528"/>
      <c r="Q134" s="438"/>
      <c r="R134" s="528"/>
      <c r="S134" s="438"/>
      <c r="T134" s="528"/>
      <c r="U134" s="438"/>
      <c r="V134" s="528"/>
      <c r="W134" s="438"/>
      <c r="X134" s="528"/>
      <c r="Y134" s="438"/>
      <c r="Z134" s="528"/>
      <c r="AA134" s="438"/>
      <c r="AB134" s="528"/>
      <c r="AC134" s="438"/>
      <c r="AD134" s="528"/>
      <c r="AE134" s="438"/>
      <c r="AF134" s="528"/>
      <c r="AG134" s="438"/>
      <c r="AH134" s="438"/>
      <c r="AI134" s="438"/>
      <c r="AJ134" s="418"/>
      <c r="AK134" s="418"/>
      <c r="AL134" s="418"/>
      <c r="AM134" s="418"/>
      <c r="AN134" s="418"/>
      <c r="AO134" s="418"/>
      <c r="AP134" s="418"/>
      <c r="AQ134" s="418"/>
      <c r="AR134" s="418"/>
      <c r="AS134" s="418"/>
      <c r="AT134" s="418"/>
    </row>
    <row r="135" spans="1:46" s="439" customFormat="1" ht="12" x14ac:dyDescent="0.2">
      <c r="A135" s="418"/>
      <c r="B135" s="528"/>
      <c r="C135" s="438"/>
      <c r="D135" s="528"/>
      <c r="E135" s="438"/>
      <c r="F135" s="528"/>
      <c r="G135" s="438"/>
      <c r="H135" s="528"/>
      <c r="I135" s="438"/>
      <c r="J135" s="528"/>
      <c r="K135" s="438"/>
      <c r="L135" s="528"/>
      <c r="M135" s="438"/>
      <c r="N135" s="528"/>
      <c r="O135" s="528"/>
      <c r="P135" s="528"/>
      <c r="Q135" s="438"/>
      <c r="R135" s="528"/>
      <c r="S135" s="438"/>
      <c r="T135" s="528"/>
      <c r="U135" s="438"/>
      <c r="V135" s="528"/>
      <c r="W135" s="438"/>
      <c r="X135" s="528"/>
      <c r="Y135" s="438"/>
      <c r="Z135" s="528"/>
      <c r="AA135" s="438"/>
      <c r="AB135" s="528"/>
      <c r="AC135" s="438"/>
      <c r="AD135" s="528"/>
      <c r="AE135" s="438"/>
      <c r="AF135" s="528"/>
      <c r="AG135" s="438"/>
      <c r="AH135" s="438"/>
      <c r="AI135" s="438"/>
      <c r="AJ135" s="418"/>
      <c r="AK135" s="418"/>
      <c r="AL135" s="418"/>
      <c r="AM135" s="418"/>
      <c r="AN135" s="418"/>
      <c r="AO135" s="418"/>
      <c r="AP135" s="418"/>
      <c r="AQ135" s="418"/>
      <c r="AR135" s="418"/>
      <c r="AS135" s="418"/>
      <c r="AT135" s="418"/>
    </row>
    <row r="136" spans="1:46" s="439" customFormat="1" ht="12" x14ac:dyDescent="0.2">
      <c r="A136" s="418"/>
      <c r="B136" s="528"/>
      <c r="C136" s="438"/>
      <c r="D136" s="528"/>
      <c r="E136" s="438"/>
      <c r="F136" s="528"/>
      <c r="G136" s="438"/>
      <c r="H136" s="528"/>
      <c r="I136" s="438"/>
      <c r="J136" s="528"/>
      <c r="K136" s="438"/>
      <c r="L136" s="528"/>
      <c r="M136" s="438"/>
      <c r="N136" s="528"/>
      <c r="O136" s="528"/>
      <c r="P136" s="528"/>
      <c r="Q136" s="438"/>
      <c r="R136" s="528"/>
      <c r="S136" s="438"/>
      <c r="T136" s="528"/>
      <c r="U136" s="438"/>
      <c r="V136" s="528"/>
      <c r="W136" s="438"/>
      <c r="X136" s="528"/>
      <c r="Y136" s="438"/>
      <c r="Z136" s="528"/>
      <c r="AA136" s="438"/>
      <c r="AB136" s="528"/>
      <c r="AC136" s="438"/>
      <c r="AD136" s="528"/>
      <c r="AE136" s="438"/>
      <c r="AF136" s="528"/>
      <c r="AG136" s="438"/>
      <c r="AH136" s="438"/>
      <c r="AI136" s="438"/>
      <c r="AJ136" s="418"/>
      <c r="AK136" s="418"/>
      <c r="AL136" s="418"/>
      <c r="AM136" s="418"/>
      <c r="AN136" s="418"/>
      <c r="AO136" s="418"/>
      <c r="AP136" s="418"/>
      <c r="AQ136" s="418"/>
      <c r="AR136" s="418"/>
      <c r="AS136" s="418"/>
      <c r="AT136" s="418"/>
    </row>
    <row r="137" spans="1:46" s="439" customFormat="1" ht="12" x14ac:dyDescent="0.2">
      <c r="A137" s="418"/>
      <c r="B137" s="528"/>
      <c r="C137" s="438"/>
      <c r="D137" s="528"/>
      <c r="E137" s="438"/>
      <c r="F137" s="528"/>
      <c r="G137" s="438"/>
      <c r="H137" s="528"/>
      <c r="I137" s="438"/>
      <c r="J137" s="528"/>
      <c r="K137" s="438"/>
      <c r="L137" s="528"/>
      <c r="M137" s="438"/>
      <c r="N137" s="528"/>
      <c r="O137" s="528"/>
      <c r="P137" s="528"/>
      <c r="Q137" s="438"/>
      <c r="R137" s="528"/>
      <c r="S137" s="438"/>
      <c r="T137" s="528"/>
      <c r="U137" s="438"/>
      <c r="V137" s="528"/>
      <c r="W137" s="438"/>
      <c r="X137" s="528"/>
      <c r="Y137" s="438"/>
      <c r="Z137" s="528"/>
      <c r="AA137" s="438"/>
      <c r="AB137" s="528"/>
      <c r="AC137" s="438"/>
      <c r="AD137" s="528"/>
      <c r="AE137" s="438"/>
      <c r="AF137" s="528"/>
      <c r="AG137" s="438"/>
      <c r="AH137" s="438"/>
      <c r="AI137" s="438"/>
      <c r="AJ137" s="418"/>
      <c r="AK137" s="418"/>
      <c r="AL137" s="418"/>
      <c r="AM137" s="418"/>
      <c r="AN137" s="418"/>
      <c r="AO137" s="418"/>
      <c r="AP137" s="418"/>
      <c r="AQ137" s="418"/>
      <c r="AR137" s="418"/>
      <c r="AS137" s="418"/>
      <c r="AT137" s="418"/>
    </row>
    <row r="138" spans="1:46" s="439" customFormat="1" ht="12" x14ac:dyDescent="0.2">
      <c r="A138" s="418"/>
      <c r="B138" s="528"/>
      <c r="C138" s="438"/>
      <c r="D138" s="528"/>
      <c r="E138" s="438"/>
      <c r="F138" s="528"/>
      <c r="G138" s="438"/>
      <c r="H138" s="528"/>
      <c r="I138" s="438"/>
      <c r="J138" s="528"/>
      <c r="K138" s="438"/>
      <c r="L138" s="528"/>
      <c r="M138" s="438"/>
      <c r="N138" s="528"/>
      <c r="O138" s="528"/>
      <c r="P138" s="528"/>
      <c r="Q138" s="438"/>
      <c r="R138" s="528"/>
      <c r="S138" s="438"/>
      <c r="T138" s="528"/>
      <c r="U138" s="438"/>
      <c r="V138" s="528"/>
      <c r="W138" s="438"/>
      <c r="X138" s="528"/>
      <c r="Y138" s="438"/>
      <c r="Z138" s="528"/>
      <c r="AA138" s="438"/>
      <c r="AB138" s="528"/>
      <c r="AC138" s="438"/>
      <c r="AD138" s="528"/>
      <c r="AE138" s="438"/>
      <c r="AF138" s="528"/>
      <c r="AG138" s="438"/>
      <c r="AH138" s="438"/>
      <c r="AI138" s="438"/>
      <c r="AJ138" s="418"/>
      <c r="AK138" s="418"/>
      <c r="AL138" s="418"/>
      <c r="AM138" s="418"/>
      <c r="AN138" s="418"/>
      <c r="AO138" s="418"/>
      <c r="AP138" s="418"/>
      <c r="AQ138" s="418"/>
      <c r="AR138" s="418"/>
      <c r="AS138" s="418"/>
      <c r="AT138" s="418"/>
    </row>
    <row r="139" spans="1:46" s="439" customFormat="1" ht="12" x14ac:dyDescent="0.2">
      <c r="A139" s="418"/>
      <c r="B139" s="528"/>
      <c r="C139" s="438"/>
      <c r="D139" s="528"/>
      <c r="E139" s="438"/>
      <c r="F139" s="528"/>
      <c r="G139" s="438"/>
      <c r="H139" s="528"/>
      <c r="I139" s="438"/>
      <c r="J139" s="528"/>
      <c r="K139" s="438"/>
      <c r="L139" s="528"/>
      <c r="M139" s="438"/>
      <c r="N139" s="528"/>
      <c r="O139" s="528"/>
      <c r="P139" s="528"/>
      <c r="Q139" s="438"/>
      <c r="R139" s="528"/>
      <c r="S139" s="438"/>
      <c r="T139" s="528"/>
      <c r="U139" s="438"/>
      <c r="V139" s="528"/>
      <c r="W139" s="438"/>
      <c r="X139" s="528"/>
      <c r="Y139" s="438"/>
      <c r="Z139" s="528"/>
      <c r="AA139" s="438"/>
      <c r="AB139" s="528"/>
      <c r="AC139" s="438"/>
      <c r="AD139" s="528"/>
      <c r="AE139" s="438"/>
      <c r="AF139" s="528"/>
      <c r="AG139" s="438"/>
      <c r="AH139" s="438"/>
      <c r="AI139" s="438"/>
      <c r="AJ139" s="418"/>
      <c r="AK139" s="418"/>
      <c r="AL139" s="418"/>
      <c r="AM139" s="418"/>
      <c r="AN139" s="418"/>
      <c r="AO139" s="418"/>
      <c r="AP139" s="418"/>
      <c r="AQ139" s="418"/>
      <c r="AR139" s="418"/>
      <c r="AS139" s="418"/>
      <c r="AT139" s="418"/>
    </row>
    <row r="140" spans="1:46" s="439" customFormat="1" ht="12" x14ac:dyDescent="0.2">
      <c r="A140" s="418"/>
      <c r="B140" s="528"/>
      <c r="C140" s="438"/>
      <c r="D140" s="528"/>
      <c r="E140" s="438"/>
      <c r="F140" s="528"/>
      <c r="G140" s="438"/>
      <c r="H140" s="528"/>
      <c r="I140" s="438"/>
      <c r="J140" s="528"/>
      <c r="K140" s="438"/>
      <c r="L140" s="528"/>
      <c r="M140" s="438"/>
      <c r="N140" s="528"/>
      <c r="O140" s="528"/>
      <c r="P140" s="528"/>
      <c r="Q140" s="438"/>
      <c r="R140" s="528"/>
      <c r="S140" s="438"/>
      <c r="T140" s="528"/>
      <c r="U140" s="438"/>
      <c r="V140" s="528"/>
      <c r="W140" s="438"/>
      <c r="X140" s="528"/>
      <c r="Y140" s="438"/>
      <c r="Z140" s="528"/>
      <c r="AA140" s="438"/>
      <c r="AB140" s="528"/>
      <c r="AC140" s="438"/>
      <c r="AD140" s="528"/>
      <c r="AE140" s="438"/>
      <c r="AF140" s="528"/>
      <c r="AG140" s="438"/>
      <c r="AH140" s="438"/>
      <c r="AI140" s="438"/>
      <c r="AJ140" s="418"/>
      <c r="AK140" s="418"/>
      <c r="AL140" s="418"/>
      <c r="AM140" s="418"/>
      <c r="AN140" s="418"/>
      <c r="AO140" s="418"/>
      <c r="AP140" s="418"/>
      <c r="AQ140" s="418"/>
      <c r="AR140" s="418"/>
      <c r="AS140" s="418"/>
      <c r="AT140" s="418"/>
    </row>
    <row r="141" spans="1:46" s="439" customFormat="1" ht="12" x14ac:dyDescent="0.2">
      <c r="A141" s="418"/>
      <c r="B141" s="528"/>
      <c r="C141" s="438"/>
      <c r="D141" s="528"/>
      <c r="E141" s="438"/>
      <c r="F141" s="528"/>
      <c r="G141" s="438"/>
      <c r="H141" s="528"/>
      <c r="I141" s="438"/>
      <c r="J141" s="528"/>
      <c r="K141" s="438"/>
      <c r="L141" s="528"/>
      <c r="M141" s="438"/>
      <c r="N141" s="528"/>
      <c r="O141" s="528"/>
      <c r="P141" s="528"/>
      <c r="Q141" s="438"/>
      <c r="R141" s="528"/>
      <c r="S141" s="438"/>
      <c r="T141" s="528"/>
      <c r="U141" s="438"/>
      <c r="V141" s="528"/>
      <c r="W141" s="438"/>
      <c r="X141" s="528"/>
      <c r="Y141" s="438"/>
      <c r="Z141" s="528"/>
      <c r="AA141" s="438"/>
      <c r="AB141" s="528"/>
      <c r="AC141" s="438"/>
      <c r="AD141" s="528"/>
      <c r="AE141" s="438"/>
      <c r="AF141" s="528"/>
      <c r="AG141" s="438"/>
      <c r="AH141" s="438"/>
      <c r="AI141" s="438"/>
      <c r="AJ141" s="418"/>
      <c r="AK141" s="418"/>
      <c r="AL141" s="418"/>
      <c r="AM141" s="418"/>
      <c r="AN141" s="418"/>
      <c r="AO141" s="418"/>
      <c r="AP141" s="418"/>
      <c r="AQ141" s="418"/>
      <c r="AR141" s="418"/>
      <c r="AS141" s="418"/>
      <c r="AT141" s="418"/>
    </row>
    <row r="142" spans="1:46" s="439" customFormat="1" ht="12" x14ac:dyDescent="0.2">
      <c r="A142" s="418"/>
      <c r="B142" s="528"/>
      <c r="C142" s="438"/>
      <c r="D142" s="528"/>
      <c r="E142" s="438"/>
      <c r="F142" s="528"/>
      <c r="G142" s="438"/>
      <c r="H142" s="528"/>
      <c r="I142" s="438"/>
      <c r="J142" s="528"/>
      <c r="K142" s="438"/>
      <c r="L142" s="528"/>
      <c r="M142" s="438"/>
      <c r="N142" s="528"/>
      <c r="O142" s="528"/>
      <c r="P142" s="528"/>
      <c r="Q142" s="438"/>
      <c r="R142" s="528"/>
      <c r="S142" s="438"/>
      <c r="T142" s="528"/>
      <c r="U142" s="438"/>
      <c r="V142" s="528"/>
      <c r="W142" s="438"/>
      <c r="X142" s="528"/>
      <c r="Y142" s="438"/>
      <c r="Z142" s="528"/>
      <c r="AA142" s="438"/>
      <c r="AB142" s="528"/>
      <c r="AC142" s="438"/>
      <c r="AD142" s="528"/>
      <c r="AE142" s="438"/>
      <c r="AF142" s="528"/>
      <c r="AG142" s="438"/>
      <c r="AH142" s="438"/>
      <c r="AI142" s="438"/>
      <c r="AJ142" s="418"/>
      <c r="AK142" s="418"/>
      <c r="AL142" s="418"/>
      <c r="AM142" s="418"/>
      <c r="AN142" s="418"/>
      <c r="AO142" s="418"/>
      <c r="AP142" s="418"/>
      <c r="AQ142" s="418"/>
      <c r="AR142" s="418"/>
      <c r="AS142" s="418"/>
      <c r="AT142" s="418"/>
    </row>
    <row r="143" spans="1:46" s="439" customFormat="1" ht="12" x14ac:dyDescent="0.2">
      <c r="A143" s="418"/>
      <c r="B143" s="528"/>
      <c r="C143" s="438"/>
      <c r="D143" s="528"/>
      <c r="E143" s="438"/>
      <c r="F143" s="528"/>
      <c r="G143" s="438">
        <v>21</v>
      </c>
      <c r="H143" s="528"/>
      <c r="I143" s="438"/>
      <c r="J143" s="528"/>
      <c r="K143" s="438"/>
      <c r="L143" s="528"/>
      <c r="M143" s="438"/>
      <c r="N143" s="528"/>
      <c r="O143" s="528"/>
      <c r="P143" s="528"/>
      <c r="Q143" s="438"/>
      <c r="R143" s="528"/>
      <c r="S143" s="438"/>
      <c r="T143" s="528"/>
      <c r="U143" s="438"/>
      <c r="V143" s="528"/>
      <c r="W143" s="438"/>
      <c r="X143" s="528"/>
      <c r="Y143" s="438"/>
      <c r="Z143" s="528"/>
      <c r="AA143" s="438"/>
      <c r="AB143" s="528"/>
      <c r="AC143" s="438"/>
      <c r="AD143" s="528"/>
      <c r="AE143" s="438"/>
      <c r="AF143" s="528"/>
      <c r="AG143" s="438"/>
      <c r="AH143" s="438"/>
      <c r="AI143" s="438"/>
      <c r="AJ143" s="418"/>
      <c r="AK143" s="418"/>
      <c r="AL143" s="418"/>
      <c r="AM143" s="418"/>
      <c r="AN143" s="418"/>
      <c r="AO143" s="418"/>
      <c r="AP143" s="418"/>
      <c r="AQ143" s="418"/>
      <c r="AR143" s="418"/>
      <c r="AS143" s="418"/>
      <c r="AT143" s="418"/>
    </row>
    <row r="144" spans="1:46" s="439" customFormat="1" ht="12" x14ac:dyDescent="0.2">
      <c r="A144" s="418"/>
      <c r="B144" s="528"/>
      <c r="C144" s="438"/>
      <c r="D144" s="528"/>
      <c r="E144" s="438"/>
      <c r="F144" s="528"/>
      <c r="G144" s="438"/>
      <c r="H144" s="528"/>
      <c r="I144" s="438"/>
      <c r="J144" s="528"/>
      <c r="K144" s="438"/>
      <c r="L144" s="528"/>
      <c r="M144" s="438"/>
      <c r="N144" s="528"/>
      <c r="O144" s="528"/>
      <c r="P144" s="528"/>
      <c r="Q144" s="438"/>
      <c r="R144" s="528"/>
      <c r="S144" s="438"/>
      <c r="T144" s="528"/>
      <c r="U144" s="438"/>
      <c r="V144" s="528"/>
      <c r="W144" s="438"/>
      <c r="X144" s="528"/>
      <c r="Y144" s="438"/>
      <c r="Z144" s="528"/>
      <c r="AA144" s="438"/>
      <c r="AB144" s="528"/>
      <c r="AC144" s="438"/>
      <c r="AD144" s="528"/>
      <c r="AE144" s="438"/>
      <c r="AF144" s="528"/>
      <c r="AG144" s="438"/>
      <c r="AH144" s="438"/>
      <c r="AI144" s="438"/>
      <c r="AJ144" s="418"/>
      <c r="AK144" s="418"/>
      <c r="AL144" s="418"/>
      <c r="AM144" s="418"/>
      <c r="AN144" s="418"/>
      <c r="AO144" s="418"/>
      <c r="AP144" s="418"/>
      <c r="AQ144" s="418"/>
      <c r="AR144" s="418"/>
      <c r="AS144" s="418"/>
      <c r="AT144" s="418"/>
    </row>
    <row r="145" spans="1:46" s="439" customFormat="1" ht="12" x14ac:dyDescent="0.2">
      <c r="A145" s="418"/>
      <c r="B145" s="528"/>
      <c r="C145" s="438"/>
      <c r="D145" s="528"/>
      <c r="E145" s="438"/>
      <c r="F145" s="528"/>
      <c r="G145" s="438"/>
      <c r="H145" s="528"/>
      <c r="I145" s="438"/>
      <c r="J145" s="528"/>
      <c r="K145" s="438"/>
      <c r="L145" s="528"/>
      <c r="M145" s="438"/>
      <c r="N145" s="528"/>
      <c r="O145" s="528"/>
      <c r="P145" s="528"/>
      <c r="Q145" s="438"/>
      <c r="R145" s="528"/>
      <c r="S145" s="438"/>
      <c r="T145" s="528"/>
      <c r="U145" s="438"/>
      <c r="V145" s="528"/>
      <c r="W145" s="438"/>
      <c r="X145" s="528"/>
      <c r="Y145" s="438"/>
      <c r="Z145" s="528"/>
      <c r="AA145" s="438"/>
      <c r="AB145" s="528"/>
      <c r="AC145" s="438"/>
      <c r="AD145" s="528"/>
      <c r="AE145" s="438"/>
      <c r="AF145" s="528"/>
      <c r="AG145" s="438"/>
      <c r="AH145" s="438"/>
      <c r="AI145" s="438"/>
      <c r="AJ145" s="418"/>
      <c r="AK145" s="418"/>
      <c r="AL145" s="418"/>
      <c r="AM145" s="418"/>
      <c r="AN145" s="418"/>
      <c r="AO145" s="418"/>
      <c r="AP145" s="418"/>
      <c r="AQ145" s="418"/>
      <c r="AR145" s="418"/>
      <c r="AS145" s="418"/>
      <c r="AT145" s="418"/>
    </row>
    <row r="146" spans="1:46" s="439" customFormat="1" ht="12" x14ac:dyDescent="0.2">
      <c r="A146" s="418"/>
      <c r="B146" s="528"/>
      <c r="C146" s="438"/>
      <c r="D146" s="528"/>
      <c r="E146" s="438"/>
      <c r="F146" s="528"/>
      <c r="G146" s="438"/>
      <c r="H146" s="528"/>
      <c r="I146" s="438"/>
      <c r="J146" s="528"/>
      <c r="K146" s="438"/>
      <c r="L146" s="528"/>
      <c r="M146" s="438"/>
      <c r="N146" s="528"/>
      <c r="O146" s="528"/>
      <c r="P146" s="528"/>
      <c r="Q146" s="438"/>
      <c r="R146" s="528"/>
      <c r="S146" s="438"/>
      <c r="T146" s="528"/>
      <c r="U146" s="438"/>
      <c r="V146" s="528"/>
      <c r="W146" s="438"/>
      <c r="X146" s="528"/>
      <c r="Y146" s="438"/>
      <c r="Z146" s="528"/>
      <c r="AA146" s="438"/>
      <c r="AB146" s="528"/>
      <c r="AC146" s="438"/>
      <c r="AD146" s="528"/>
      <c r="AE146" s="438"/>
      <c r="AF146" s="528"/>
      <c r="AG146" s="438"/>
      <c r="AH146" s="438"/>
      <c r="AI146" s="438"/>
      <c r="AJ146" s="418"/>
      <c r="AK146" s="418"/>
      <c r="AL146" s="418"/>
      <c r="AM146" s="418"/>
      <c r="AN146" s="418"/>
      <c r="AO146" s="418"/>
      <c r="AP146" s="418"/>
      <c r="AQ146" s="418"/>
      <c r="AR146" s="418"/>
      <c r="AS146" s="418"/>
      <c r="AT146" s="418"/>
    </row>
    <row r="147" spans="1:46" s="439" customFormat="1" ht="12" x14ac:dyDescent="0.2">
      <c r="A147" s="418"/>
      <c r="B147" s="528"/>
      <c r="C147" s="438"/>
      <c r="D147" s="528"/>
      <c r="E147" s="438"/>
      <c r="F147" s="528"/>
      <c r="G147" s="438"/>
      <c r="H147" s="528"/>
      <c r="I147" s="438"/>
      <c r="J147" s="528"/>
      <c r="K147" s="438"/>
      <c r="L147" s="528"/>
      <c r="M147" s="438"/>
      <c r="N147" s="528"/>
      <c r="O147" s="528"/>
      <c r="P147" s="528"/>
      <c r="Q147" s="438"/>
      <c r="R147" s="528"/>
      <c r="S147" s="438"/>
      <c r="T147" s="528"/>
      <c r="U147" s="438"/>
      <c r="V147" s="528"/>
      <c r="W147" s="438"/>
      <c r="X147" s="528"/>
      <c r="Y147" s="438"/>
      <c r="Z147" s="528"/>
      <c r="AA147" s="438"/>
      <c r="AB147" s="528"/>
      <c r="AC147" s="438"/>
      <c r="AD147" s="528"/>
      <c r="AE147" s="438"/>
      <c r="AF147" s="528"/>
      <c r="AG147" s="438"/>
      <c r="AH147" s="438"/>
      <c r="AI147" s="438"/>
      <c r="AJ147" s="418"/>
      <c r="AK147" s="418"/>
      <c r="AL147" s="418"/>
      <c r="AM147" s="418"/>
      <c r="AN147" s="418"/>
      <c r="AO147" s="418"/>
      <c r="AP147" s="418"/>
      <c r="AQ147" s="418"/>
      <c r="AR147" s="418"/>
      <c r="AS147" s="418"/>
      <c r="AT147" s="418"/>
    </row>
    <row r="148" spans="1:46" s="439" customFormat="1" ht="12" x14ac:dyDescent="0.2">
      <c r="A148" s="418"/>
      <c r="B148" s="528"/>
      <c r="C148" s="438"/>
      <c r="D148" s="528"/>
      <c r="E148" s="438"/>
      <c r="F148" s="528"/>
      <c r="G148" s="438"/>
      <c r="H148" s="528"/>
      <c r="I148" s="438"/>
      <c r="J148" s="528"/>
      <c r="K148" s="438"/>
      <c r="L148" s="528"/>
      <c r="M148" s="438"/>
      <c r="N148" s="528"/>
      <c r="O148" s="528"/>
      <c r="P148" s="528"/>
      <c r="Q148" s="438"/>
      <c r="R148" s="528"/>
      <c r="S148" s="438"/>
      <c r="T148" s="528"/>
      <c r="U148" s="438"/>
      <c r="V148" s="528"/>
      <c r="W148" s="438"/>
      <c r="X148" s="528"/>
      <c r="Y148" s="438"/>
      <c r="Z148" s="528"/>
      <c r="AA148" s="438"/>
      <c r="AB148" s="528"/>
      <c r="AC148" s="438"/>
      <c r="AD148" s="528"/>
      <c r="AE148" s="438"/>
      <c r="AF148" s="528"/>
      <c r="AG148" s="438"/>
      <c r="AH148" s="438"/>
      <c r="AI148" s="438"/>
      <c r="AJ148" s="418"/>
      <c r="AK148" s="418"/>
      <c r="AL148" s="418"/>
      <c r="AM148" s="418"/>
      <c r="AN148" s="418"/>
      <c r="AO148" s="418"/>
      <c r="AP148" s="418"/>
      <c r="AQ148" s="418"/>
      <c r="AR148" s="418"/>
      <c r="AS148" s="418"/>
      <c r="AT148" s="418"/>
    </row>
    <row r="149" spans="1:46" s="439" customFormat="1" ht="12" x14ac:dyDescent="0.2">
      <c r="A149" s="418"/>
      <c r="B149" s="528"/>
      <c r="C149" s="438"/>
      <c r="D149" s="528"/>
      <c r="E149" s="438"/>
      <c r="F149" s="528"/>
      <c r="G149" s="438"/>
      <c r="H149" s="528"/>
      <c r="I149" s="438"/>
      <c r="J149" s="528"/>
      <c r="K149" s="438"/>
      <c r="L149" s="528"/>
      <c r="M149" s="438"/>
      <c r="N149" s="528"/>
      <c r="O149" s="528"/>
      <c r="P149" s="528"/>
      <c r="Q149" s="438"/>
      <c r="R149" s="528"/>
      <c r="S149" s="438"/>
      <c r="T149" s="528"/>
      <c r="U149" s="438"/>
      <c r="V149" s="528"/>
      <c r="W149" s="438"/>
      <c r="X149" s="528"/>
      <c r="Y149" s="438"/>
      <c r="Z149" s="528"/>
      <c r="AA149" s="438"/>
      <c r="AB149" s="528"/>
      <c r="AC149" s="438"/>
      <c r="AD149" s="528"/>
      <c r="AE149" s="438"/>
      <c r="AF149" s="528"/>
      <c r="AG149" s="438"/>
      <c r="AH149" s="438"/>
      <c r="AI149" s="438"/>
      <c r="AJ149" s="418"/>
      <c r="AK149" s="418"/>
      <c r="AL149" s="418"/>
      <c r="AM149" s="418"/>
      <c r="AN149" s="418"/>
      <c r="AO149" s="418"/>
      <c r="AP149" s="418"/>
      <c r="AQ149" s="418"/>
      <c r="AR149" s="418"/>
      <c r="AS149" s="418"/>
      <c r="AT149" s="418"/>
    </row>
    <row r="150" spans="1:46" s="439" customFormat="1" ht="12" x14ac:dyDescent="0.2">
      <c r="A150" s="418"/>
      <c r="B150" s="528"/>
      <c r="C150" s="438"/>
      <c r="D150" s="528"/>
      <c r="E150" s="438"/>
      <c r="F150" s="528"/>
      <c r="G150" s="438"/>
      <c r="H150" s="528"/>
      <c r="I150" s="438"/>
      <c r="J150" s="528"/>
      <c r="K150" s="438"/>
      <c r="L150" s="528"/>
      <c r="M150" s="438"/>
      <c r="N150" s="528"/>
      <c r="O150" s="528"/>
      <c r="P150" s="528"/>
      <c r="Q150" s="438"/>
      <c r="R150" s="528"/>
      <c r="S150" s="438"/>
      <c r="T150" s="528"/>
      <c r="U150" s="438"/>
      <c r="V150" s="528"/>
      <c r="W150" s="438"/>
      <c r="X150" s="528"/>
      <c r="Y150" s="438"/>
      <c r="Z150" s="528"/>
      <c r="AA150" s="438"/>
      <c r="AB150" s="528"/>
      <c r="AC150" s="438"/>
      <c r="AD150" s="528"/>
      <c r="AE150" s="438"/>
      <c r="AF150" s="528"/>
      <c r="AG150" s="438"/>
      <c r="AH150" s="438"/>
      <c r="AI150" s="438"/>
      <c r="AJ150" s="418"/>
      <c r="AK150" s="418"/>
      <c r="AL150" s="418"/>
      <c r="AM150" s="418"/>
      <c r="AN150" s="418"/>
      <c r="AO150" s="418"/>
      <c r="AP150" s="418"/>
      <c r="AQ150" s="418"/>
      <c r="AR150" s="418"/>
      <c r="AS150" s="418"/>
      <c r="AT150" s="418"/>
    </row>
    <row r="151" spans="1:46" s="439" customFormat="1" ht="12" x14ac:dyDescent="0.2">
      <c r="A151" s="418"/>
      <c r="B151" s="528"/>
      <c r="C151" s="438"/>
      <c r="D151" s="528"/>
      <c r="E151" s="438"/>
      <c r="F151" s="528"/>
      <c r="G151" s="438"/>
      <c r="H151" s="528"/>
      <c r="I151" s="438"/>
      <c r="J151" s="528"/>
      <c r="K151" s="438"/>
      <c r="L151" s="528"/>
      <c r="M151" s="438"/>
      <c r="N151" s="528"/>
      <c r="O151" s="528"/>
      <c r="P151" s="528"/>
      <c r="Q151" s="438"/>
      <c r="R151" s="528"/>
      <c r="S151" s="438"/>
      <c r="T151" s="528"/>
      <c r="U151" s="438"/>
      <c r="V151" s="528"/>
      <c r="W151" s="438"/>
      <c r="X151" s="528"/>
      <c r="Y151" s="438"/>
      <c r="Z151" s="528"/>
      <c r="AA151" s="438"/>
      <c r="AB151" s="528"/>
      <c r="AC151" s="438"/>
      <c r="AD151" s="528"/>
      <c r="AE151" s="438"/>
      <c r="AF151" s="528"/>
      <c r="AG151" s="438"/>
      <c r="AH151" s="438"/>
      <c r="AI151" s="438"/>
      <c r="AJ151" s="418"/>
      <c r="AK151" s="418"/>
      <c r="AL151" s="418"/>
      <c r="AM151" s="418"/>
      <c r="AN151" s="418"/>
      <c r="AO151" s="418"/>
      <c r="AP151" s="418"/>
      <c r="AQ151" s="418"/>
      <c r="AR151" s="418"/>
      <c r="AS151" s="418"/>
      <c r="AT151" s="418"/>
    </row>
    <row r="152" spans="1:46" s="439" customFormat="1" ht="12" x14ac:dyDescent="0.2">
      <c r="A152" s="418"/>
      <c r="B152" s="528"/>
      <c r="C152" s="438"/>
      <c r="D152" s="528"/>
      <c r="E152" s="438"/>
      <c r="F152" s="528"/>
      <c r="G152" s="438"/>
      <c r="H152" s="528"/>
      <c r="I152" s="438"/>
      <c r="J152" s="528"/>
      <c r="K152" s="438"/>
      <c r="L152" s="528"/>
      <c r="M152" s="438"/>
      <c r="N152" s="528"/>
      <c r="O152" s="528"/>
      <c r="P152" s="528"/>
      <c r="Q152" s="438"/>
      <c r="R152" s="528"/>
      <c r="S152" s="438"/>
      <c r="T152" s="528"/>
      <c r="U152" s="438"/>
      <c r="V152" s="528"/>
      <c r="W152" s="438"/>
      <c r="X152" s="528"/>
      <c r="Y152" s="438"/>
      <c r="Z152" s="528"/>
      <c r="AA152" s="438"/>
      <c r="AB152" s="528"/>
      <c r="AC152" s="438"/>
      <c r="AD152" s="528"/>
      <c r="AE152" s="438"/>
      <c r="AF152" s="528"/>
      <c r="AG152" s="438"/>
      <c r="AH152" s="438"/>
      <c r="AI152" s="438"/>
      <c r="AJ152" s="418"/>
      <c r="AK152" s="418"/>
      <c r="AL152" s="418"/>
      <c r="AM152" s="418"/>
      <c r="AN152" s="418"/>
      <c r="AO152" s="418"/>
      <c r="AP152" s="418"/>
      <c r="AQ152" s="418"/>
      <c r="AR152" s="418"/>
      <c r="AS152" s="418"/>
      <c r="AT152" s="418"/>
    </row>
    <row r="153" spans="1:46" s="439" customFormat="1" ht="12" x14ac:dyDescent="0.2">
      <c r="A153" s="418"/>
      <c r="B153" s="528"/>
      <c r="C153" s="438"/>
      <c r="D153" s="528"/>
      <c r="E153" s="438"/>
      <c r="F153" s="528"/>
      <c r="G153" s="438"/>
      <c r="H153" s="528"/>
      <c r="I153" s="438"/>
      <c r="J153" s="528"/>
      <c r="K153" s="438"/>
      <c r="L153" s="528"/>
      <c r="M153" s="438"/>
      <c r="N153" s="528"/>
      <c r="O153" s="528"/>
      <c r="P153" s="528"/>
      <c r="Q153" s="438"/>
      <c r="R153" s="528"/>
      <c r="S153" s="438"/>
      <c r="T153" s="528"/>
      <c r="U153" s="438"/>
      <c r="V153" s="528"/>
      <c r="W153" s="438"/>
      <c r="X153" s="528"/>
      <c r="Y153" s="438"/>
      <c r="Z153" s="528"/>
      <c r="AA153" s="438"/>
      <c r="AB153" s="528"/>
      <c r="AC153" s="438"/>
      <c r="AD153" s="528"/>
      <c r="AE153" s="438"/>
      <c r="AF153" s="528"/>
      <c r="AG153" s="438"/>
      <c r="AH153" s="438"/>
      <c r="AI153" s="438"/>
      <c r="AJ153" s="418"/>
      <c r="AK153" s="418"/>
      <c r="AL153" s="418"/>
      <c r="AM153" s="418"/>
      <c r="AN153" s="418"/>
      <c r="AO153" s="418"/>
      <c r="AP153" s="418"/>
      <c r="AQ153" s="418"/>
      <c r="AR153" s="418"/>
      <c r="AS153" s="418"/>
      <c r="AT153" s="418"/>
    </row>
    <row r="154" spans="1:46" s="439" customFormat="1" ht="12" x14ac:dyDescent="0.2">
      <c r="A154" s="418"/>
      <c r="B154" s="528"/>
      <c r="C154" s="438"/>
      <c r="D154" s="528"/>
      <c r="E154" s="438"/>
      <c r="F154" s="528"/>
      <c r="G154" s="438"/>
      <c r="H154" s="528"/>
      <c r="I154" s="438"/>
      <c r="J154" s="528"/>
      <c r="K154" s="438"/>
      <c r="L154" s="528"/>
      <c r="M154" s="438"/>
      <c r="N154" s="528"/>
      <c r="O154" s="528"/>
      <c r="P154" s="528"/>
      <c r="Q154" s="438"/>
      <c r="R154" s="528"/>
      <c r="S154" s="438"/>
      <c r="T154" s="528"/>
      <c r="U154" s="438"/>
      <c r="V154" s="528"/>
      <c r="W154" s="438"/>
      <c r="X154" s="528"/>
      <c r="Y154" s="438"/>
      <c r="Z154" s="528"/>
      <c r="AA154" s="438"/>
      <c r="AB154" s="528"/>
      <c r="AC154" s="438"/>
      <c r="AD154" s="528"/>
      <c r="AE154" s="438"/>
      <c r="AF154" s="528"/>
      <c r="AG154" s="438"/>
      <c r="AH154" s="438"/>
      <c r="AI154" s="438"/>
      <c r="AJ154" s="418"/>
      <c r="AK154" s="418"/>
      <c r="AL154" s="418"/>
      <c r="AM154" s="418"/>
      <c r="AN154" s="418"/>
      <c r="AO154" s="418"/>
      <c r="AP154" s="418"/>
      <c r="AQ154" s="418"/>
      <c r="AR154" s="418"/>
      <c r="AS154" s="418"/>
      <c r="AT154" s="418"/>
    </row>
    <row r="155" spans="1:46" s="439" customFormat="1" ht="12" x14ac:dyDescent="0.2">
      <c r="A155" s="418"/>
      <c r="B155" s="528"/>
      <c r="C155" s="438"/>
      <c r="D155" s="528"/>
      <c r="E155" s="438"/>
      <c r="F155" s="528"/>
      <c r="G155" s="438"/>
      <c r="H155" s="528"/>
      <c r="I155" s="438"/>
      <c r="J155" s="528"/>
      <c r="K155" s="438"/>
      <c r="L155" s="528"/>
      <c r="M155" s="438"/>
      <c r="N155" s="528"/>
      <c r="O155" s="528"/>
      <c r="P155" s="528"/>
      <c r="Q155" s="438"/>
      <c r="R155" s="528"/>
      <c r="S155" s="438"/>
      <c r="T155" s="528"/>
      <c r="U155" s="438"/>
      <c r="V155" s="528"/>
      <c r="W155" s="438"/>
      <c r="X155" s="528"/>
      <c r="Y155" s="438"/>
      <c r="Z155" s="528"/>
      <c r="AA155" s="438"/>
      <c r="AB155" s="528"/>
      <c r="AC155" s="438"/>
      <c r="AD155" s="528"/>
      <c r="AE155" s="438"/>
      <c r="AF155" s="528"/>
      <c r="AG155" s="438"/>
      <c r="AH155" s="438"/>
      <c r="AI155" s="438"/>
      <c r="AJ155" s="418"/>
      <c r="AK155" s="418"/>
      <c r="AL155" s="418"/>
      <c r="AM155" s="418"/>
      <c r="AN155" s="418"/>
      <c r="AO155" s="418"/>
      <c r="AP155" s="418"/>
      <c r="AQ155" s="418"/>
      <c r="AR155" s="418"/>
      <c r="AS155" s="418"/>
      <c r="AT155" s="418"/>
    </row>
    <row r="156" spans="1:46" s="439" customFormat="1" ht="12" x14ac:dyDescent="0.2">
      <c r="A156" s="418"/>
      <c r="B156" s="528"/>
      <c r="C156" s="438"/>
      <c r="D156" s="528"/>
      <c r="E156" s="438"/>
      <c r="F156" s="528"/>
      <c r="G156" s="438"/>
      <c r="H156" s="528"/>
      <c r="I156" s="438"/>
      <c r="J156" s="528"/>
      <c r="K156" s="438"/>
      <c r="L156" s="528"/>
      <c r="M156" s="438"/>
      <c r="N156" s="528"/>
      <c r="O156" s="528"/>
      <c r="P156" s="528"/>
      <c r="Q156" s="438"/>
      <c r="R156" s="528"/>
      <c r="S156" s="438"/>
      <c r="T156" s="528"/>
      <c r="U156" s="438"/>
      <c r="V156" s="528"/>
      <c r="W156" s="438"/>
      <c r="X156" s="528"/>
      <c r="Y156" s="438"/>
      <c r="Z156" s="528"/>
      <c r="AA156" s="438"/>
      <c r="AB156" s="528"/>
      <c r="AC156" s="438"/>
      <c r="AD156" s="528"/>
      <c r="AE156" s="438"/>
      <c r="AF156" s="528"/>
      <c r="AG156" s="438"/>
      <c r="AH156" s="438"/>
      <c r="AI156" s="438"/>
      <c r="AJ156" s="418"/>
      <c r="AK156" s="418"/>
      <c r="AL156" s="418"/>
      <c r="AM156" s="418"/>
      <c r="AN156" s="418"/>
      <c r="AO156" s="418"/>
      <c r="AP156" s="418"/>
      <c r="AQ156" s="418"/>
      <c r="AR156" s="418"/>
      <c r="AS156" s="418"/>
      <c r="AT156" s="418"/>
    </row>
    <row r="157" spans="1:46" s="439" customFormat="1" ht="12" x14ac:dyDescent="0.2">
      <c r="A157" s="418"/>
      <c r="B157" s="528"/>
      <c r="C157" s="438"/>
      <c r="D157" s="528"/>
      <c r="E157" s="438"/>
      <c r="F157" s="528"/>
      <c r="G157" s="438"/>
      <c r="H157" s="528"/>
      <c r="I157" s="438"/>
      <c r="J157" s="528"/>
      <c r="K157" s="438"/>
      <c r="L157" s="528"/>
      <c r="M157" s="438"/>
      <c r="N157" s="528"/>
      <c r="O157" s="528"/>
      <c r="P157" s="528"/>
      <c r="Q157" s="438"/>
      <c r="R157" s="528"/>
      <c r="S157" s="438"/>
      <c r="T157" s="528"/>
      <c r="U157" s="438"/>
      <c r="V157" s="528"/>
      <c r="W157" s="438"/>
      <c r="X157" s="528"/>
      <c r="Y157" s="438"/>
      <c r="Z157" s="528"/>
      <c r="AA157" s="438"/>
      <c r="AB157" s="528"/>
      <c r="AC157" s="438"/>
      <c r="AD157" s="528"/>
      <c r="AE157" s="438"/>
      <c r="AF157" s="528"/>
      <c r="AG157" s="438"/>
      <c r="AH157" s="438"/>
      <c r="AI157" s="438"/>
      <c r="AJ157" s="418"/>
      <c r="AK157" s="418"/>
      <c r="AL157" s="418"/>
      <c r="AM157" s="418"/>
      <c r="AN157" s="418"/>
      <c r="AO157" s="418"/>
      <c r="AP157" s="418"/>
      <c r="AQ157" s="418"/>
      <c r="AR157" s="418"/>
      <c r="AS157" s="418"/>
      <c r="AT157" s="418"/>
    </row>
    <row r="158" spans="1:46" s="439" customFormat="1" ht="12" x14ac:dyDescent="0.2">
      <c r="A158" s="418"/>
      <c r="B158" s="528"/>
      <c r="C158" s="438"/>
      <c r="D158" s="528"/>
      <c r="E158" s="438"/>
      <c r="F158" s="528"/>
      <c r="G158" s="438"/>
      <c r="H158" s="528"/>
      <c r="I158" s="438"/>
      <c r="J158" s="528"/>
      <c r="K158" s="438"/>
      <c r="L158" s="528"/>
      <c r="M158" s="438"/>
      <c r="N158" s="528"/>
      <c r="O158" s="528"/>
      <c r="P158" s="528"/>
      <c r="Q158" s="438"/>
      <c r="R158" s="528"/>
      <c r="S158" s="438"/>
      <c r="T158" s="528"/>
      <c r="U158" s="438"/>
      <c r="V158" s="528"/>
      <c r="W158" s="438"/>
      <c r="X158" s="528"/>
      <c r="Y158" s="438"/>
      <c r="Z158" s="528"/>
      <c r="AA158" s="438"/>
      <c r="AB158" s="528"/>
      <c r="AC158" s="438"/>
      <c r="AD158" s="528"/>
      <c r="AE158" s="438"/>
      <c r="AF158" s="528"/>
      <c r="AG158" s="438"/>
      <c r="AH158" s="438"/>
      <c r="AI158" s="438"/>
      <c r="AJ158" s="418"/>
      <c r="AK158" s="418"/>
      <c r="AL158" s="418"/>
      <c r="AM158" s="418"/>
      <c r="AN158" s="418"/>
      <c r="AO158" s="418"/>
      <c r="AP158" s="418"/>
      <c r="AQ158" s="418"/>
      <c r="AR158" s="418"/>
      <c r="AS158" s="418"/>
      <c r="AT158" s="418"/>
    </row>
    <row r="159" spans="1:46" s="439" customFormat="1" ht="12" x14ac:dyDescent="0.2">
      <c r="A159" s="418"/>
      <c r="B159" s="528"/>
      <c r="C159" s="438"/>
      <c r="D159" s="528"/>
      <c r="E159" s="438"/>
      <c r="F159" s="528"/>
      <c r="G159" s="438"/>
      <c r="H159" s="528"/>
      <c r="I159" s="438"/>
      <c r="J159" s="528"/>
      <c r="K159" s="438"/>
      <c r="L159" s="528"/>
      <c r="M159" s="438"/>
      <c r="N159" s="528"/>
      <c r="O159" s="528"/>
      <c r="P159" s="528"/>
      <c r="Q159" s="438"/>
      <c r="R159" s="528"/>
      <c r="S159" s="438"/>
      <c r="T159" s="528"/>
      <c r="U159" s="438"/>
      <c r="V159" s="528"/>
      <c r="W159" s="438"/>
      <c r="X159" s="528"/>
      <c r="Y159" s="438"/>
      <c r="Z159" s="528"/>
      <c r="AA159" s="438"/>
      <c r="AB159" s="528"/>
      <c r="AC159" s="438"/>
      <c r="AD159" s="528"/>
      <c r="AE159" s="438"/>
      <c r="AF159" s="528"/>
      <c r="AG159" s="438"/>
      <c r="AH159" s="438"/>
      <c r="AI159" s="438"/>
      <c r="AJ159" s="418"/>
      <c r="AK159" s="418"/>
      <c r="AL159" s="418"/>
      <c r="AM159" s="418"/>
      <c r="AN159" s="418"/>
      <c r="AO159" s="418"/>
      <c r="AP159" s="418"/>
      <c r="AQ159" s="418"/>
      <c r="AR159" s="418"/>
      <c r="AS159" s="418"/>
      <c r="AT159" s="418"/>
    </row>
    <row r="160" spans="1:46" s="439" customFormat="1" ht="12" x14ac:dyDescent="0.2">
      <c r="A160" s="418"/>
      <c r="B160" s="528"/>
      <c r="C160" s="438"/>
      <c r="D160" s="528"/>
      <c r="E160" s="438"/>
      <c r="F160" s="528"/>
      <c r="G160" s="438"/>
      <c r="H160" s="528"/>
      <c r="I160" s="438"/>
      <c r="J160" s="528"/>
      <c r="K160" s="438"/>
      <c r="L160" s="528"/>
      <c r="M160" s="438"/>
      <c r="N160" s="528"/>
      <c r="O160" s="528"/>
      <c r="P160" s="528"/>
      <c r="Q160" s="438"/>
      <c r="R160" s="528"/>
      <c r="S160" s="438"/>
      <c r="T160" s="528"/>
      <c r="U160" s="438"/>
      <c r="V160" s="528"/>
      <c r="W160" s="438"/>
      <c r="X160" s="528"/>
      <c r="Y160" s="438"/>
      <c r="Z160" s="528"/>
      <c r="AA160" s="438"/>
      <c r="AB160" s="528"/>
      <c r="AC160" s="438"/>
      <c r="AD160" s="528"/>
      <c r="AE160" s="438"/>
      <c r="AF160" s="528"/>
      <c r="AG160" s="438"/>
      <c r="AH160" s="438"/>
      <c r="AI160" s="438"/>
      <c r="AJ160" s="418"/>
      <c r="AK160" s="418"/>
      <c r="AL160" s="418"/>
      <c r="AM160" s="418"/>
      <c r="AN160" s="418"/>
      <c r="AO160" s="418"/>
      <c r="AP160" s="418"/>
      <c r="AQ160" s="418"/>
      <c r="AR160" s="418"/>
      <c r="AS160" s="418"/>
      <c r="AT160" s="418"/>
    </row>
    <row r="161" spans="1:46" s="439" customFormat="1" ht="12" x14ac:dyDescent="0.2">
      <c r="A161" s="418"/>
      <c r="B161" s="528"/>
      <c r="C161" s="438"/>
      <c r="D161" s="528"/>
      <c r="E161" s="438"/>
      <c r="F161" s="528"/>
      <c r="G161" s="438"/>
      <c r="H161" s="528"/>
      <c r="I161" s="438"/>
      <c r="J161" s="528"/>
      <c r="K161" s="438"/>
      <c r="L161" s="528"/>
      <c r="M161" s="438"/>
      <c r="N161" s="528"/>
      <c r="O161" s="528"/>
      <c r="P161" s="528"/>
      <c r="Q161" s="438"/>
      <c r="R161" s="528"/>
      <c r="S161" s="438"/>
      <c r="T161" s="528"/>
      <c r="U161" s="438"/>
      <c r="V161" s="528"/>
      <c r="W161" s="438"/>
      <c r="X161" s="528"/>
      <c r="Y161" s="438"/>
      <c r="Z161" s="528"/>
      <c r="AA161" s="438"/>
      <c r="AB161" s="528"/>
      <c r="AC161" s="438"/>
      <c r="AD161" s="528"/>
      <c r="AE161" s="438"/>
      <c r="AF161" s="528"/>
      <c r="AG161" s="438"/>
      <c r="AH161" s="438"/>
      <c r="AI161" s="438"/>
      <c r="AJ161" s="418"/>
      <c r="AK161" s="418"/>
      <c r="AL161" s="418"/>
      <c r="AM161" s="418"/>
      <c r="AN161" s="418"/>
      <c r="AO161" s="418"/>
      <c r="AP161" s="418"/>
      <c r="AQ161" s="418"/>
      <c r="AR161" s="418"/>
      <c r="AS161" s="418"/>
      <c r="AT161" s="418"/>
    </row>
    <row r="162" spans="1:46" s="439" customFormat="1" ht="12" x14ac:dyDescent="0.2">
      <c r="A162" s="418"/>
      <c r="B162" s="528"/>
      <c r="C162" s="438"/>
      <c r="D162" s="528"/>
      <c r="E162" s="438"/>
      <c r="F162" s="528"/>
      <c r="G162" s="438"/>
      <c r="H162" s="528"/>
      <c r="I162" s="438"/>
      <c r="J162" s="528"/>
      <c r="K162" s="438"/>
      <c r="L162" s="528"/>
      <c r="M162" s="438"/>
      <c r="N162" s="528"/>
      <c r="O162" s="528"/>
      <c r="P162" s="528"/>
      <c r="Q162" s="438"/>
      <c r="R162" s="528"/>
      <c r="S162" s="438"/>
      <c r="T162" s="528"/>
      <c r="U162" s="438"/>
      <c r="V162" s="528"/>
      <c r="W162" s="438"/>
      <c r="X162" s="528"/>
      <c r="Y162" s="438"/>
      <c r="Z162" s="528"/>
      <c r="AA162" s="438"/>
      <c r="AB162" s="528"/>
      <c r="AC162" s="438"/>
      <c r="AD162" s="528"/>
      <c r="AE162" s="438"/>
      <c r="AF162" s="528"/>
      <c r="AG162" s="438"/>
      <c r="AH162" s="438"/>
      <c r="AI162" s="438"/>
      <c r="AJ162" s="418"/>
      <c r="AK162" s="418"/>
      <c r="AL162" s="418"/>
      <c r="AM162" s="418"/>
      <c r="AN162" s="418"/>
      <c r="AO162" s="418"/>
      <c r="AP162" s="418"/>
      <c r="AQ162" s="418"/>
      <c r="AR162" s="418"/>
      <c r="AS162" s="418"/>
      <c r="AT162" s="418"/>
    </row>
    <row r="163" spans="1:46" s="439" customFormat="1" ht="12" x14ac:dyDescent="0.2">
      <c r="A163" s="418"/>
      <c r="B163" s="528"/>
      <c r="C163" s="438"/>
      <c r="D163" s="528"/>
      <c r="E163" s="438"/>
      <c r="F163" s="528"/>
      <c r="G163" s="438"/>
      <c r="H163" s="528"/>
      <c r="I163" s="438"/>
      <c r="J163" s="528"/>
      <c r="K163" s="438"/>
      <c r="L163" s="528"/>
      <c r="M163" s="438"/>
      <c r="N163" s="528"/>
      <c r="O163" s="528"/>
      <c r="P163" s="528"/>
      <c r="Q163" s="438"/>
      <c r="R163" s="528"/>
      <c r="S163" s="438"/>
      <c r="T163" s="528"/>
      <c r="U163" s="438"/>
      <c r="V163" s="528"/>
      <c r="W163" s="438"/>
      <c r="X163" s="528"/>
      <c r="Y163" s="438"/>
      <c r="Z163" s="528"/>
      <c r="AA163" s="438"/>
      <c r="AB163" s="528"/>
      <c r="AC163" s="438"/>
      <c r="AD163" s="528"/>
      <c r="AE163" s="438"/>
      <c r="AF163" s="528"/>
      <c r="AG163" s="438"/>
      <c r="AH163" s="438"/>
      <c r="AI163" s="438"/>
      <c r="AJ163" s="418"/>
      <c r="AK163" s="418"/>
      <c r="AL163" s="418"/>
      <c r="AM163" s="418"/>
      <c r="AN163" s="418"/>
      <c r="AO163" s="418"/>
      <c r="AP163" s="418"/>
      <c r="AQ163" s="418"/>
      <c r="AR163" s="418"/>
      <c r="AS163" s="418"/>
      <c r="AT163" s="418"/>
    </row>
    <row r="164" spans="1:46" s="439" customFormat="1" ht="12" x14ac:dyDescent="0.2">
      <c r="A164" s="418"/>
      <c r="B164" s="528"/>
      <c r="C164" s="438"/>
      <c r="D164" s="528"/>
      <c r="E164" s="438"/>
      <c r="F164" s="528"/>
      <c r="G164" s="438"/>
      <c r="H164" s="528"/>
      <c r="I164" s="438"/>
      <c r="J164" s="528"/>
      <c r="K164" s="438"/>
      <c r="L164" s="528"/>
      <c r="M164" s="438"/>
      <c r="N164" s="528"/>
      <c r="O164" s="528"/>
      <c r="P164" s="528"/>
      <c r="Q164" s="438"/>
      <c r="R164" s="528"/>
      <c r="S164" s="438"/>
      <c r="T164" s="528"/>
      <c r="U164" s="438"/>
      <c r="V164" s="528"/>
      <c r="W164" s="438"/>
      <c r="X164" s="528"/>
      <c r="Y164" s="438"/>
      <c r="Z164" s="528"/>
      <c r="AA164" s="438"/>
      <c r="AB164" s="528"/>
      <c r="AC164" s="438"/>
      <c r="AD164" s="528"/>
      <c r="AE164" s="438"/>
      <c r="AF164" s="528"/>
      <c r="AG164" s="438"/>
      <c r="AH164" s="438"/>
      <c r="AI164" s="438"/>
      <c r="AJ164" s="418"/>
      <c r="AK164" s="418"/>
      <c r="AL164" s="418"/>
      <c r="AM164" s="418"/>
      <c r="AN164" s="418"/>
      <c r="AO164" s="418"/>
      <c r="AP164" s="418"/>
      <c r="AQ164" s="418"/>
      <c r="AR164" s="418"/>
      <c r="AS164" s="418"/>
      <c r="AT164" s="418"/>
    </row>
    <row r="165" spans="1:46" s="439" customFormat="1" ht="12" x14ac:dyDescent="0.2">
      <c r="A165" s="418"/>
      <c r="B165" s="528"/>
      <c r="C165" s="438"/>
      <c r="D165" s="528"/>
      <c r="E165" s="438"/>
      <c r="F165" s="528"/>
      <c r="G165" s="438"/>
      <c r="H165" s="528"/>
      <c r="I165" s="438"/>
      <c r="J165" s="528"/>
      <c r="K165" s="438"/>
      <c r="L165" s="528"/>
      <c r="M165" s="438"/>
      <c r="N165" s="528"/>
      <c r="O165" s="528"/>
      <c r="P165" s="528"/>
      <c r="Q165" s="438"/>
      <c r="R165" s="528"/>
      <c r="S165" s="438"/>
      <c r="T165" s="528"/>
      <c r="U165" s="438"/>
      <c r="V165" s="528"/>
      <c r="W165" s="438"/>
      <c r="X165" s="528"/>
      <c r="Y165" s="438"/>
      <c r="Z165" s="528"/>
      <c r="AA165" s="438"/>
      <c r="AB165" s="528"/>
      <c r="AC165" s="438"/>
      <c r="AD165" s="528"/>
      <c r="AE165" s="438"/>
      <c r="AF165" s="528"/>
      <c r="AG165" s="438"/>
      <c r="AH165" s="438"/>
      <c r="AI165" s="438"/>
      <c r="AJ165" s="418"/>
      <c r="AK165" s="418"/>
      <c r="AL165" s="418"/>
      <c r="AM165" s="418"/>
      <c r="AN165" s="418"/>
      <c r="AO165" s="418"/>
      <c r="AP165" s="418"/>
      <c r="AQ165" s="418"/>
      <c r="AR165" s="418"/>
      <c r="AS165" s="418"/>
      <c r="AT165" s="418"/>
    </row>
    <row r="166" spans="1:46" s="439" customFormat="1" ht="12" x14ac:dyDescent="0.2">
      <c r="A166" s="418"/>
      <c r="B166" s="528"/>
      <c r="C166" s="438"/>
      <c r="D166" s="528"/>
      <c r="E166" s="438"/>
      <c r="F166" s="528"/>
      <c r="G166" s="438"/>
      <c r="H166" s="528"/>
      <c r="I166" s="438"/>
      <c r="J166" s="528"/>
      <c r="K166" s="438"/>
      <c r="L166" s="528"/>
      <c r="M166" s="438"/>
      <c r="N166" s="528"/>
      <c r="O166" s="528"/>
      <c r="P166" s="528"/>
      <c r="Q166" s="438"/>
      <c r="R166" s="528"/>
      <c r="S166" s="438"/>
      <c r="T166" s="528"/>
      <c r="U166" s="438"/>
      <c r="V166" s="528"/>
      <c r="W166" s="438"/>
      <c r="X166" s="528"/>
      <c r="Y166" s="438"/>
      <c r="Z166" s="528"/>
      <c r="AA166" s="438"/>
      <c r="AB166" s="528"/>
      <c r="AC166" s="438"/>
      <c r="AD166" s="528"/>
      <c r="AE166" s="438"/>
      <c r="AF166" s="528"/>
      <c r="AG166" s="438"/>
      <c r="AH166" s="438"/>
      <c r="AI166" s="438"/>
      <c r="AJ166" s="418"/>
      <c r="AK166" s="418"/>
      <c r="AL166" s="418"/>
      <c r="AM166" s="418"/>
      <c r="AN166" s="418"/>
      <c r="AO166" s="418"/>
      <c r="AP166" s="418"/>
      <c r="AQ166" s="418"/>
      <c r="AR166" s="418"/>
      <c r="AS166" s="418"/>
      <c r="AT166" s="418"/>
    </row>
    <row r="167" spans="1:46" s="439" customFormat="1" ht="12" x14ac:dyDescent="0.2">
      <c r="A167" s="418"/>
      <c r="B167" s="528"/>
      <c r="C167" s="438"/>
      <c r="D167" s="528"/>
      <c r="E167" s="438"/>
      <c r="F167" s="528"/>
      <c r="G167" s="438"/>
      <c r="H167" s="528"/>
      <c r="I167" s="438"/>
      <c r="J167" s="528"/>
      <c r="K167" s="438"/>
      <c r="L167" s="528"/>
      <c r="M167" s="438"/>
      <c r="N167" s="528"/>
      <c r="O167" s="528"/>
      <c r="P167" s="528"/>
      <c r="Q167" s="438"/>
      <c r="R167" s="528"/>
      <c r="S167" s="438"/>
      <c r="T167" s="528"/>
      <c r="U167" s="438"/>
      <c r="V167" s="528"/>
      <c r="W167" s="438"/>
      <c r="X167" s="528"/>
      <c r="Y167" s="438"/>
      <c r="Z167" s="528"/>
      <c r="AA167" s="438"/>
      <c r="AB167" s="528"/>
      <c r="AC167" s="438"/>
      <c r="AD167" s="528"/>
      <c r="AE167" s="438"/>
      <c r="AF167" s="528"/>
      <c r="AG167" s="438"/>
      <c r="AH167" s="438"/>
      <c r="AI167" s="438"/>
      <c r="AJ167" s="418"/>
      <c r="AK167" s="418"/>
      <c r="AL167" s="418"/>
      <c r="AM167" s="418"/>
      <c r="AN167" s="418"/>
      <c r="AO167" s="418"/>
      <c r="AP167" s="418"/>
      <c r="AQ167" s="418"/>
      <c r="AR167" s="418"/>
      <c r="AS167" s="418"/>
      <c r="AT167" s="418"/>
    </row>
    <row r="168" spans="1:46" s="439" customFormat="1" ht="12" x14ac:dyDescent="0.2">
      <c r="A168" s="418"/>
      <c r="B168" s="528"/>
      <c r="C168" s="438"/>
      <c r="D168" s="528"/>
      <c r="E168" s="438"/>
      <c r="F168" s="528"/>
      <c r="G168" s="438"/>
      <c r="H168" s="528"/>
      <c r="I168" s="438"/>
      <c r="J168" s="528"/>
      <c r="K168" s="438"/>
      <c r="L168" s="528"/>
      <c r="M168" s="438"/>
      <c r="N168" s="528"/>
      <c r="O168" s="528"/>
      <c r="P168" s="528"/>
      <c r="Q168" s="438"/>
      <c r="R168" s="528"/>
      <c r="S168" s="438"/>
      <c r="T168" s="528"/>
      <c r="U168" s="438"/>
      <c r="V168" s="528"/>
      <c r="W168" s="438"/>
      <c r="X168" s="528"/>
      <c r="Y168" s="438"/>
      <c r="Z168" s="528"/>
      <c r="AA168" s="438"/>
      <c r="AB168" s="528"/>
      <c r="AC168" s="438"/>
      <c r="AD168" s="528"/>
      <c r="AE168" s="438"/>
      <c r="AF168" s="528"/>
      <c r="AG168" s="438"/>
      <c r="AH168" s="438"/>
      <c r="AI168" s="438"/>
      <c r="AJ168" s="418"/>
      <c r="AK168" s="418"/>
      <c r="AL168" s="418"/>
      <c r="AM168" s="418"/>
      <c r="AN168" s="418"/>
      <c r="AO168" s="418"/>
      <c r="AP168" s="418"/>
      <c r="AQ168" s="418"/>
      <c r="AR168" s="418"/>
      <c r="AS168" s="418"/>
      <c r="AT168" s="418"/>
    </row>
    <row r="169" spans="1:46" s="439" customFormat="1" ht="12" x14ac:dyDescent="0.2">
      <c r="A169" s="418"/>
      <c r="B169" s="528"/>
      <c r="C169" s="438"/>
      <c r="D169" s="528"/>
      <c r="E169" s="438"/>
      <c r="F169" s="528"/>
      <c r="G169" s="438"/>
      <c r="H169" s="528"/>
      <c r="I169" s="438"/>
      <c r="J169" s="528"/>
      <c r="K169" s="438"/>
      <c r="L169" s="528"/>
      <c r="M169" s="438"/>
      <c r="N169" s="528"/>
      <c r="O169" s="528"/>
      <c r="P169" s="528"/>
      <c r="Q169" s="438"/>
      <c r="R169" s="528"/>
      <c r="S169" s="438"/>
      <c r="T169" s="528"/>
      <c r="U169" s="438"/>
      <c r="V169" s="528"/>
      <c r="W169" s="438"/>
      <c r="X169" s="528"/>
      <c r="Y169" s="438"/>
      <c r="Z169" s="528"/>
      <c r="AA169" s="438"/>
      <c r="AB169" s="528"/>
      <c r="AC169" s="438"/>
      <c r="AD169" s="528"/>
      <c r="AE169" s="438"/>
      <c r="AF169" s="528"/>
      <c r="AG169" s="438"/>
      <c r="AH169" s="438"/>
      <c r="AI169" s="438"/>
      <c r="AJ169" s="418"/>
      <c r="AK169" s="418"/>
      <c r="AL169" s="418"/>
      <c r="AM169" s="418"/>
      <c r="AN169" s="418"/>
      <c r="AO169" s="418"/>
      <c r="AP169" s="418"/>
      <c r="AQ169" s="418"/>
      <c r="AR169" s="418"/>
      <c r="AS169" s="418"/>
      <c r="AT169" s="418"/>
    </row>
    <row r="170" spans="1:46" s="439" customFormat="1" ht="12" x14ac:dyDescent="0.2">
      <c r="A170" s="418"/>
      <c r="B170" s="528"/>
      <c r="C170" s="438"/>
      <c r="D170" s="528"/>
      <c r="E170" s="438"/>
      <c r="F170" s="528"/>
      <c r="G170" s="438"/>
      <c r="H170" s="528"/>
      <c r="I170" s="438"/>
      <c r="J170" s="528"/>
      <c r="K170" s="438"/>
      <c r="L170" s="528"/>
      <c r="M170" s="438"/>
      <c r="N170" s="528"/>
      <c r="O170" s="528"/>
      <c r="P170" s="528"/>
      <c r="Q170" s="438"/>
      <c r="R170" s="528"/>
      <c r="S170" s="438"/>
      <c r="T170" s="528"/>
      <c r="U170" s="438"/>
      <c r="V170" s="528"/>
      <c r="W170" s="438"/>
      <c r="X170" s="528"/>
      <c r="Y170" s="438"/>
      <c r="Z170" s="528"/>
      <c r="AA170" s="438"/>
      <c r="AB170" s="528"/>
      <c r="AC170" s="438"/>
      <c r="AD170" s="528"/>
      <c r="AE170" s="438"/>
      <c r="AF170" s="528"/>
      <c r="AG170" s="438"/>
      <c r="AH170" s="438"/>
      <c r="AI170" s="438"/>
      <c r="AJ170" s="418"/>
      <c r="AK170" s="418"/>
      <c r="AL170" s="418"/>
      <c r="AM170" s="418"/>
      <c r="AN170" s="418"/>
      <c r="AO170" s="418"/>
      <c r="AP170" s="418"/>
      <c r="AQ170" s="418"/>
      <c r="AR170" s="418"/>
      <c r="AS170" s="418"/>
      <c r="AT170" s="418"/>
    </row>
    <row r="171" spans="1:46" s="439" customFormat="1" ht="12" x14ac:dyDescent="0.2">
      <c r="A171" s="418"/>
      <c r="B171" s="528"/>
      <c r="C171" s="438"/>
      <c r="D171" s="528"/>
      <c r="E171" s="438"/>
      <c r="F171" s="528"/>
      <c r="G171" s="438"/>
      <c r="H171" s="528"/>
      <c r="I171" s="438"/>
      <c r="J171" s="528"/>
      <c r="K171" s="438"/>
      <c r="L171" s="528"/>
      <c r="M171" s="438"/>
      <c r="N171" s="528"/>
      <c r="O171" s="528"/>
      <c r="P171" s="528"/>
      <c r="Q171" s="438"/>
      <c r="R171" s="528"/>
      <c r="S171" s="438"/>
      <c r="T171" s="528"/>
      <c r="U171" s="438"/>
      <c r="V171" s="528"/>
      <c r="W171" s="438"/>
      <c r="X171" s="528"/>
      <c r="Y171" s="438"/>
      <c r="Z171" s="528"/>
      <c r="AA171" s="438"/>
      <c r="AB171" s="528"/>
      <c r="AC171" s="438"/>
      <c r="AD171" s="528"/>
      <c r="AE171" s="438"/>
      <c r="AF171" s="528"/>
      <c r="AG171" s="438"/>
      <c r="AH171" s="438"/>
      <c r="AI171" s="438"/>
      <c r="AJ171" s="418"/>
      <c r="AK171" s="418"/>
      <c r="AL171" s="418"/>
      <c r="AM171" s="418"/>
      <c r="AN171" s="418"/>
      <c r="AO171" s="418"/>
      <c r="AP171" s="418"/>
      <c r="AQ171" s="418"/>
      <c r="AR171" s="418"/>
      <c r="AS171" s="418"/>
      <c r="AT171" s="418"/>
    </row>
    <row r="172" spans="1:46" s="439" customFormat="1" ht="12" x14ac:dyDescent="0.2">
      <c r="A172" s="418"/>
      <c r="B172" s="528"/>
      <c r="C172" s="438"/>
      <c r="D172" s="528"/>
      <c r="E172" s="438"/>
      <c r="F172" s="528"/>
      <c r="G172" s="438"/>
      <c r="H172" s="528"/>
      <c r="I172" s="438"/>
      <c r="J172" s="528"/>
      <c r="K172" s="438"/>
      <c r="L172" s="528"/>
      <c r="M172" s="438"/>
      <c r="N172" s="528"/>
      <c r="O172" s="528"/>
      <c r="P172" s="528"/>
      <c r="Q172" s="438"/>
      <c r="R172" s="528"/>
      <c r="S172" s="438"/>
      <c r="T172" s="528"/>
      <c r="U172" s="438"/>
      <c r="V172" s="528"/>
      <c r="W172" s="438"/>
      <c r="X172" s="528"/>
      <c r="Y172" s="438"/>
      <c r="Z172" s="528"/>
      <c r="AA172" s="438"/>
      <c r="AB172" s="528"/>
      <c r="AC172" s="438"/>
      <c r="AD172" s="528"/>
      <c r="AE172" s="438"/>
      <c r="AF172" s="528"/>
      <c r="AG172" s="438"/>
      <c r="AH172" s="438"/>
      <c r="AI172" s="438"/>
      <c r="AJ172" s="418"/>
      <c r="AK172" s="418"/>
      <c r="AL172" s="418"/>
      <c r="AM172" s="418"/>
      <c r="AN172" s="418"/>
      <c r="AO172" s="418"/>
      <c r="AP172" s="418"/>
      <c r="AQ172" s="418"/>
      <c r="AR172" s="418"/>
      <c r="AS172" s="418"/>
      <c r="AT172" s="418"/>
    </row>
    <row r="173" spans="1:46" s="439" customFormat="1" ht="12" x14ac:dyDescent="0.2">
      <c r="A173" s="418"/>
      <c r="B173" s="528"/>
      <c r="C173" s="438"/>
      <c r="D173" s="528"/>
      <c r="E173" s="438"/>
      <c r="F173" s="528"/>
      <c r="G173" s="438"/>
      <c r="H173" s="528"/>
      <c r="I173" s="438"/>
      <c r="J173" s="528"/>
      <c r="K173" s="438"/>
      <c r="L173" s="528"/>
      <c r="M173" s="438"/>
      <c r="N173" s="528"/>
      <c r="O173" s="528"/>
      <c r="P173" s="528"/>
      <c r="Q173" s="438"/>
      <c r="R173" s="528"/>
      <c r="S173" s="438"/>
      <c r="T173" s="528"/>
      <c r="U173" s="438"/>
      <c r="V173" s="528"/>
      <c r="W173" s="438"/>
      <c r="X173" s="528"/>
      <c r="Y173" s="438"/>
      <c r="Z173" s="528"/>
      <c r="AA173" s="438"/>
      <c r="AB173" s="528"/>
      <c r="AC173" s="438"/>
      <c r="AD173" s="528"/>
      <c r="AE173" s="438"/>
      <c r="AF173" s="528"/>
      <c r="AG173" s="438"/>
      <c r="AH173" s="438"/>
      <c r="AI173" s="438"/>
      <c r="AJ173" s="418"/>
      <c r="AK173" s="418"/>
      <c r="AL173" s="418"/>
      <c r="AM173" s="418"/>
      <c r="AN173" s="418"/>
      <c r="AO173" s="418"/>
      <c r="AP173" s="418"/>
      <c r="AQ173" s="418"/>
      <c r="AR173" s="418"/>
      <c r="AS173" s="418"/>
      <c r="AT173" s="418"/>
    </row>
    <row r="174" spans="1:46" s="439" customFormat="1" ht="12" x14ac:dyDescent="0.2">
      <c r="A174" s="418"/>
      <c r="B174" s="528"/>
      <c r="C174" s="438"/>
      <c r="D174" s="528"/>
      <c r="E174" s="438"/>
      <c r="F174" s="528"/>
      <c r="G174" s="438"/>
      <c r="H174" s="528"/>
      <c r="I174" s="438"/>
      <c r="J174" s="528"/>
      <c r="K174" s="438"/>
      <c r="L174" s="528"/>
      <c r="M174" s="438"/>
      <c r="N174" s="528"/>
      <c r="O174" s="528"/>
      <c r="P174" s="528"/>
      <c r="Q174" s="438"/>
      <c r="R174" s="528"/>
      <c r="S174" s="438"/>
      <c r="T174" s="528"/>
      <c r="U174" s="438"/>
      <c r="V174" s="528"/>
      <c r="W174" s="438"/>
      <c r="X174" s="528"/>
      <c r="Y174" s="438"/>
      <c r="Z174" s="528"/>
      <c r="AA174" s="438"/>
      <c r="AB174" s="528"/>
      <c r="AC174" s="438"/>
      <c r="AD174" s="528"/>
      <c r="AE174" s="438"/>
      <c r="AF174" s="528"/>
      <c r="AG174" s="438"/>
      <c r="AH174" s="438"/>
      <c r="AI174" s="438"/>
      <c r="AJ174" s="418"/>
      <c r="AK174" s="418"/>
      <c r="AL174" s="418"/>
      <c r="AM174" s="418"/>
      <c r="AN174" s="418"/>
      <c r="AO174" s="418"/>
      <c r="AP174" s="418"/>
      <c r="AQ174" s="418"/>
      <c r="AR174" s="418"/>
      <c r="AS174" s="418"/>
      <c r="AT174" s="418"/>
    </row>
    <row r="175" spans="1:46" s="439" customFormat="1" ht="12" x14ac:dyDescent="0.2">
      <c r="A175" s="418"/>
      <c r="B175" s="528"/>
      <c r="C175" s="438"/>
      <c r="D175" s="528"/>
      <c r="E175" s="438"/>
      <c r="F175" s="528"/>
      <c r="G175" s="438"/>
      <c r="H175" s="528"/>
      <c r="I175" s="438"/>
      <c r="J175" s="528"/>
      <c r="K175" s="438"/>
      <c r="L175" s="528"/>
      <c r="M175" s="438"/>
      <c r="N175" s="528"/>
      <c r="O175" s="528"/>
      <c r="P175" s="528"/>
      <c r="Q175" s="438"/>
      <c r="R175" s="528"/>
      <c r="S175" s="438"/>
      <c r="T175" s="528"/>
      <c r="U175" s="438"/>
      <c r="V175" s="528"/>
      <c r="W175" s="438"/>
      <c r="X175" s="528"/>
      <c r="Y175" s="438"/>
      <c r="Z175" s="528"/>
      <c r="AA175" s="438"/>
      <c r="AB175" s="528"/>
      <c r="AC175" s="438"/>
      <c r="AD175" s="528"/>
      <c r="AE175" s="438"/>
      <c r="AF175" s="528"/>
      <c r="AG175" s="438"/>
      <c r="AH175" s="438"/>
      <c r="AI175" s="438"/>
      <c r="AJ175" s="418"/>
      <c r="AK175" s="418"/>
      <c r="AL175" s="418"/>
      <c r="AM175" s="418"/>
      <c r="AN175" s="418"/>
      <c r="AO175" s="418"/>
      <c r="AP175" s="418"/>
      <c r="AQ175" s="418"/>
      <c r="AR175" s="418"/>
      <c r="AS175" s="418"/>
      <c r="AT175" s="418"/>
    </row>
    <row r="176" spans="1:46" s="439" customFormat="1" ht="12" x14ac:dyDescent="0.2">
      <c r="A176" s="418"/>
      <c r="B176" s="528"/>
      <c r="C176" s="438"/>
      <c r="D176" s="528"/>
      <c r="E176" s="438"/>
      <c r="F176" s="528"/>
      <c r="G176" s="438"/>
      <c r="H176" s="528"/>
      <c r="I176" s="438"/>
      <c r="J176" s="528"/>
      <c r="K176" s="438"/>
      <c r="L176" s="528"/>
      <c r="M176" s="438"/>
      <c r="N176" s="528"/>
      <c r="O176" s="528"/>
      <c r="P176" s="528"/>
      <c r="Q176" s="438"/>
      <c r="R176" s="528"/>
      <c r="S176" s="438"/>
      <c r="T176" s="528"/>
      <c r="U176" s="438"/>
      <c r="V176" s="528"/>
      <c r="W176" s="438"/>
      <c r="X176" s="528"/>
      <c r="Y176" s="438"/>
      <c r="Z176" s="528"/>
      <c r="AA176" s="438"/>
      <c r="AB176" s="528"/>
      <c r="AC176" s="438"/>
      <c r="AD176" s="528"/>
      <c r="AE176" s="438"/>
      <c r="AF176" s="528"/>
      <c r="AG176" s="438"/>
      <c r="AH176" s="438"/>
      <c r="AI176" s="438"/>
      <c r="AJ176" s="418"/>
      <c r="AK176" s="418"/>
      <c r="AL176" s="418"/>
      <c r="AM176" s="418"/>
      <c r="AN176" s="418"/>
      <c r="AO176" s="418"/>
      <c r="AP176" s="418"/>
      <c r="AQ176" s="418"/>
      <c r="AR176" s="418"/>
      <c r="AS176" s="418"/>
      <c r="AT176" s="418"/>
    </row>
    <row r="177" spans="1:46" s="439" customFormat="1" ht="12" x14ac:dyDescent="0.2">
      <c r="A177" s="418"/>
      <c r="B177" s="528"/>
      <c r="C177" s="438"/>
      <c r="D177" s="528"/>
      <c r="E177" s="438"/>
      <c r="F177" s="528"/>
      <c r="G177" s="438"/>
      <c r="H177" s="528"/>
      <c r="I177" s="438"/>
      <c r="J177" s="528"/>
      <c r="K177" s="438"/>
      <c r="L177" s="528"/>
      <c r="M177" s="438"/>
      <c r="N177" s="528"/>
      <c r="O177" s="528"/>
      <c r="P177" s="528"/>
      <c r="Q177" s="438"/>
      <c r="R177" s="528"/>
      <c r="S177" s="438"/>
      <c r="T177" s="528"/>
      <c r="U177" s="438"/>
      <c r="V177" s="528"/>
      <c r="W177" s="438"/>
      <c r="X177" s="528"/>
      <c r="Y177" s="438"/>
      <c r="Z177" s="528"/>
      <c r="AA177" s="438"/>
      <c r="AB177" s="528"/>
      <c r="AC177" s="438"/>
      <c r="AD177" s="528"/>
      <c r="AE177" s="438"/>
      <c r="AF177" s="528"/>
      <c r="AG177" s="438"/>
      <c r="AH177" s="438"/>
      <c r="AI177" s="438"/>
      <c r="AJ177" s="418"/>
      <c r="AK177" s="418"/>
      <c r="AL177" s="418"/>
      <c r="AM177" s="418"/>
      <c r="AN177" s="418"/>
      <c r="AO177" s="418"/>
      <c r="AP177" s="418"/>
      <c r="AQ177" s="418"/>
      <c r="AR177" s="418"/>
      <c r="AS177" s="418"/>
      <c r="AT177" s="418"/>
    </row>
    <row r="178" spans="1:46" s="439" customFormat="1" ht="12" x14ac:dyDescent="0.2">
      <c r="A178" s="418"/>
      <c r="B178" s="528"/>
      <c r="C178" s="438"/>
      <c r="D178" s="528"/>
      <c r="E178" s="438"/>
      <c r="F178" s="528"/>
      <c r="G178" s="438"/>
      <c r="H178" s="528"/>
      <c r="I178" s="438"/>
      <c r="J178" s="528"/>
      <c r="K178" s="438"/>
      <c r="L178" s="528"/>
      <c r="M178" s="438"/>
      <c r="N178" s="528"/>
      <c r="O178" s="528"/>
      <c r="P178" s="528"/>
      <c r="Q178" s="438"/>
      <c r="R178" s="528"/>
      <c r="S178" s="438"/>
      <c r="T178" s="528"/>
      <c r="U178" s="438"/>
      <c r="V178" s="528"/>
      <c r="W178" s="438"/>
      <c r="X178" s="528"/>
      <c r="Y178" s="438"/>
      <c r="Z178" s="528"/>
      <c r="AA178" s="438"/>
      <c r="AB178" s="528"/>
      <c r="AC178" s="438"/>
      <c r="AD178" s="528"/>
      <c r="AE178" s="438"/>
      <c r="AF178" s="528"/>
      <c r="AG178" s="438"/>
      <c r="AH178" s="438"/>
      <c r="AI178" s="438"/>
      <c r="AJ178" s="418"/>
      <c r="AK178" s="418"/>
      <c r="AL178" s="418"/>
      <c r="AM178" s="418"/>
      <c r="AN178" s="418"/>
      <c r="AO178" s="418"/>
      <c r="AP178" s="418"/>
      <c r="AQ178" s="418"/>
      <c r="AR178" s="418"/>
      <c r="AS178" s="418"/>
      <c r="AT178" s="418"/>
    </row>
    <row r="179" spans="1:46" s="439" customFormat="1" ht="12" x14ac:dyDescent="0.2">
      <c r="A179" s="418"/>
      <c r="B179" s="528"/>
      <c r="C179" s="438"/>
      <c r="D179" s="528"/>
      <c r="E179" s="438"/>
      <c r="F179" s="528"/>
      <c r="G179" s="438"/>
      <c r="H179" s="528"/>
      <c r="I179" s="438"/>
      <c r="J179" s="528"/>
      <c r="K179" s="438"/>
      <c r="L179" s="528"/>
      <c r="M179" s="438"/>
      <c r="N179" s="528"/>
      <c r="O179" s="528"/>
      <c r="P179" s="528"/>
      <c r="Q179" s="438"/>
      <c r="R179" s="528"/>
      <c r="S179" s="438"/>
      <c r="T179" s="528"/>
      <c r="U179" s="438"/>
      <c r="V179" s="528"/>
      <c r="W179" s="438"/>
      <c r="X179" s="528"/>
      <c r="Y179" s="438"/>
      <c r="Z179" s="528"/>
      <c r="AA179" s="438"/>
      <c r="AB179" s="528"/>
      <c r="AC179" s="438"/>
      <c r="AD179" s="528"/>
      <c r="AE179" s="438"/>
      <c r="AF179" s="528"/>
      <c r="AG179" s="438"/>
      <c r="AH179" s="438"/>
      <c r="AI179" s="438"/>
      <c r="AJ179" s="418"/>
      <c r="AK179" s="418"/>
      <c r="AL179" s="418"/>
      <c r="AM179" s="418"/>
      <c r="AN179" s="418"/>
      <c r="AO179" s="418"/>
      <c r="AP179" s="418"/>
      <c r="AQ179" s="418"/>
      <c r="AR179" s="418"/>
      <c r="AS179" s="418"/>
      <c r="AT179" s="418"/>
    </row>
    <row r="180" spans="1:46" s="439" customFormat="1" ht="12" x14ac:dyDescent="0.2">
      <c r="A180" s="418"/>
      <c r="B180" s="528"/>
      <c r="C180" s="438"/>
      <c r="D180" s="528"/>
      <c r="E180" s="438"/>
      <c r="F180" s="528"/>
      <c r="G180" s="438"/>
      <c r="H180" s="528"/>
      <c r="I180" s="438"/>
      <c r="J180" s="528"/>
      <c r="K180" s="438"/>
      <c r="L180" s="528"/>
      <c r="M180" s="438"/>
      <c r="N180" s="528"/>
      <c r="O180" s="528"/>
      <c r="P180" s="528"/>
      <c r="Q180" s="438"/>
      <c r="R180" s="528"/>
      <c r="S180" s="438"/>
      <c r="T180" s="528"/>
      <c r="U180" s="438"/>
      <c r="V180" s="528"/>
      <c r="W180" s="438"/>
      <c r="X180" s="528"/>
      <c r="Y180" s="438"/>
      <c r="Z180" s="528"/>
      <c r="AA180" s="438"/>
      <c r="AB180" s="528"/>
      <c r="AC180" s="438"/>
      <c r="AD180" s="528"/>
      <c r="AE180" s="438"/>
      <c r="AF180" s="528"/>
      <c r="AG180" s="438"/>
      <c r="AH180" s="438"/>
      <c r="AI180" s="438"/>
      <c r="AJ180" s="418"/>
      <c r="AK180" s="418"/>
      <c r="AL180" s="418"/>
      <c r="AM180" s="418"/>
      <c r="AN180" s="418"/>
      <c r="AO180" s="418"/>
      <c r="AP180" s="418"/>
      <c r="AQ180" s="418"/>
      <c r="AR180" s="418"/>
      <c r="AS180" s="418"/>
      <c r="AT180" s="418"/>
    </row>
    <row r="181" spans="1:46" s="439" customFormat="1" ht="12" x14ac:dyDescent="0.2">
      <c r="A181" s="418"/>
      <c r="B181" s="528"/>
      <c r="C181" s="438"/>
      <c r="D181" s="528"/>
      <c r="E181" s="438"/>
      <c r="F181" s="528"/>
      <c r="G181" s="438"/>
      <c r="H181" s="528"/>
      <c r="I181" s="438"/>
      <c r="J181" s="528"/>
      <c r="K181" s="438"/>
      <c r="L181" s="528"/>
      <c r="M181" s="438"/>
      <c r="N181" s="528"/>
      <c r="O181" s="528"/>
      <c r="P181" s="528"/>
      <c r="Q181" s="438"/>
      <c r="R181" s="528"/>
      <c r="S181" s="438"/>
      <c r="T181" s="528"/>
      <c r="U181" s="438"/>
      <c r="V181" s="528"/>
      <c r="W181" s="438"/>
      <c r="X181" s="528"/>
      <c r="Y181" s="438"/>
      <c r="Z181" s="528"/>
      <c r="AA181" s="438"/>
      <c r="AB181" s="528"/>
      <c r="AC181" s="438"/>
      <c r="AD181" s="528"/>
      <c r="AE181" s="438"/>
      <c r="AF181" s="528"/>
      <c r="AG181" s="438"/>
      <c r="AH181" s="438"/>
      <c r="AI181" s="438"/>
      <c r="AJ181" s="418"/>
      <c r="AK181" s="418"/>
      <c r="AL181" s="418"/>
      <c r="AM181" s="418"/>
      <c r="AN181" s="418"/>
      <c r="AO181" s="418"/>
      <c r="AP181" s="418"/>
      <c r="AQ181" s="418"/>
      <c r="AR181" s="418"/>
      <c r="AS181" s="418"/>
      <c r="AT181" s="418"/>
    </row>
    <row r="182" spans="1:46" s="439" customFormat="1" ht="12" x14ac:dyDescent="0.2">
      <c r="A182" s="418"/>
      <c r="B182" s="528"/>
      <c r="C182" s="438"/>
      <c r="D182" s="528"/>
      <c r="E182" s="438"/>
      <c r="F182" s="528"/>
      <c r="G182" s="438"/>
      <c r="H182" s="528"/>
      <c r="I182" s="438"/>
      <c r="J182" s="528"/>
      <c r="K182" s="438"/>
      <c r="L182" s="528"/>
      <c r="M182" s="438"/>
      <c r="N182" s="528"/>
      <c r="O182" s="528"/>
      <c r="P182" s="528"/>
      <c r="Q182" s="438"/>
      <c r="R182" s="528"/>
      <c r="S182" s="438"/>
      <c r="T182" s="528"/>
      <c r="U182" s="438"/>
      <c r="V182" s="528"/>
      <c r="W182" s="438"/>
      <c r="X182" s="528"/>
      <c r="Y182" s="438"/>
      <c r="Z182" s="528"/>
      <c r="AA182" s="438"/>
      <c r="AB182" s="528"/>
      <c r="AC182" s="438"/>
      <c r="AD182" s="528"/>
      <c r="AE182" s="438"/>
      <c r="AF182" s="528"/>
      <c r="AG182" s="438"/>
      <c r="AH182" s="438"/>
      <c r="AI182" s="438"/>
      <c r="AJ182" s="418"/>
      <c r="AK182" s="418"/>
      <c r="AL182" s="418"/>
      <c r="AM182" s="418"/>
      <c r="AN182" s="418"/>
      <c r="AO182" s="418"/>
      <c r="AP182" s="418"/>
      <c r="AQ182" s="418"/>
      <c r="AR182" s="418"/>
      <c r="AS182" s="418"/>
      <c r="AT182" s="418"/>
    </row>
    <row r="183" spans="1:46" s="439" customFormat="1" ht="12" x14ac:dyDescent="0.2">
      <c r="A183" s="418"/>
      <c r="B183" s="528"/>
      <c r="C183" s="438"/>
      <c r="D183" s="528"/>
      <c r="E183" s="438"/>
      <c r="F183" s="528"/>
      <c r="G183" s="438"/>
      <c r="H183" s="528"/>
      <c r="I183" s="438"/>
      <c r="J183" s="528"/>
      <c r="K183" s="438"/>
      <c r="L183" s="528"/>
      <c r="M183" s="438"/>
      <c r="N183" s="528"/>
      <c r="O183" s="528"/>
      <c r="P183" s="528"/>
      <c r="Q183" s="438"/>
      <c r="R183" s="528"/>
      <c r="S183" s="438"/>
      <c r="T183" s="528"/>
      <c r="U183" s="438"/>
      <c r="V183" s="528"/>
      <c r="W183" s="438"/>
      <c r="X183" s="528"/>
      <c r="Y183" s="438"/>
      <c r="Z183" s="528"/>
      <c r="AA183" s="438"/>
      <c r="AB183" s="528"/>
      <c r="AC183" s="438"/>
      <c r="AD183" s="528"/>
      <c r="AE183" s="438"/>
      <c r="AF183" s="528"/>
      <c r="AG183" s="438"/>
      <c r="AH183" s="438"/>
      <c r="AI183" s="438"/>
      <c r="AJ183" s="418"/>
      <c r="AK183" s="418"/>
      <c r="AL183" s="418"/>
      <c r="AM183" s="418"/>
      <c r="AN183" s="418"/>
      <c r="AO183" s="418"/>
      <c r="AP183" s="418"/>
      <c r="AQ183" s="418"/>
      <c r="AR183" s="418"/>
      <c r="AS183" s="418"/>
      <c r="AT183" s="418"/>
    </row>
    <row r="184" spans="1:46" s="439" customFormat="1" ht="12" x14ac:dyDescent="0.2">
      <c r="A184" s="418"/>
      <c r="B184" s="528"/>
      <c r="C184" s="438"/>
      <c r="D184" s="528"/>
      <c r="E184" s="438"/>
      <c r="F184" s="528"/>
      <c r="G184" s="438"/>
      <c r="H184" s="528"/>
      <c r="I184" s="438"/>
      <c r="J184" s="528"/>
      <c r="K184" s="438"/>
      <c r="L184" s="528"/>
      <c r="M184" s="438"/>
      <c r="N184" s="528"/>
      <c r="O184" s="528"/>
      <c r="P184" s="528"/>
      <c r="Q184" s="438"/>
      <c r="R184" s="528"/>
      <c r="S184" s="438"/>
      <c r="T184" s="528"/>
      <c r="U184" s="438"/>
      <c r="V184" s="528"/>
      <c r="W184" s="438"/>
      <c r="X184" s="528"/>
      <c r="Y184" s="438"/>
      <c r="Z184" s="528"/>
      <c r="AA184" s="438"/>
      <c r="AB184" s="528"/>
      <c r="AC184" s="438"/>
      <c r="AD184" s="528"/>
      <c r="AE184" s="438"/>
      <c r="AF184" s="528"/>
      <c r="AG184" s="438"/>
      <c r="AH184" s="438"/>
      <c r="AI184" s="438"/>
      <c r="AJ184" s="418"/>
      <c r="AK184" s="418"/>
      <c r="AL184" s="418"/>
      <c r="AM184" s="418"/>
      <c r="AN184" s="418"/>
      <c r="AO184" s="418"/>
      <c r="AP184" s="418"/>
      <c r="AQ184" s="418"/>
      <c r="AR184" s="418"/>
      <c r="AS184" s="418"/>
      <c r="AT184" s="418"/>
    </row>
    <row r="185" spans="1:46" s="439" customFormat="1" ht="12" x14ac:dyDescent="0.2">
      <c r="A185" s="418"/>
      <c r="B185" s="528"/>
      <c r="C185" s="438"/>
      <c r="D185" s="528"/>
      <c r="E185" s="438"/>
      <c r="F185" s="528"/>
      <c r="G185" s="438"/>
      <c r="H185" s="528"/>
      <c r="I185" s="438"/>
      <c r="J185" s="528"/>
      <c r="K185" s="438"/>
      <c r="L185" s="528"/>
      <c r="M185" s="438"/>
      <c r="N185" s="528"/>
      <c r="O185" s="528"/>
      <c r="P185" s="528"/>
      <c r="Q185" s="438"/>
      <c r="R185" s="528"/>
      <c r="S185" s="438"/>
      <c r="T185" s="528"/>
      <c r="U185" s="438"/>
      <c r="V185" s="528"/>
      <c r="W185" s="438"/>
      <c r="X185" s="528"/>
      <c r="Y185" s="438"/>
      <c r="Z185" s="528"/>
      <c r="AA185" s="438"/>
      <c r="AB185" s="528"/>
      <c r="AC185" s="438"/>
      <c r="AD185" s="528"/>
      <c r="AE185" s="438"/>
      <c r="AF185" s="528"/>
      <c r="AG185" s="438"/>
      <c r="AH185" s="438"/>
      <c r="AI185" s="438"/>
      <c r="AJ185" s="418"/>
      <c r="AK185" s="418"/>
      <c r="AL185" s="418"/>
      <c r="AM185" s="418"/>
      <c r="AN185" s="418"/>
      <c r="AO185" s="418"/>
      <c r="AP185" s="418"/>
      <c r="AQ185" s="418"/>
      <c r="AR185" s="418"/>
      <c r="AS185" s="418"/>
      <c r="AT185" s="418"/>
    </row>
    <row r="186" spans="1:46" s="439" customFormat="1" ht="12" x14ac:dyDescent="0.2">
      <c r="A186" s="418"/>
      <c r="B186" s="528"/>
      <c r="C186" s="438"/>
      <c r="D186" s="528"/>
      <c r="E186" s="438"/>
      <c r="F186" s="528"/>
      <c r="G186" s="438"/>
      <c r="H186" s="528"/>
      <c r="I186" s="438"/>
      <c r="J186" s="528"/>
      <c r="K186" s="438"/>
      <c r="L186" s="528"/>
      <c r="M186" s="438"/>
      <c r="N186" s="528"/>
      <c r="O186" s="528"/>
      <c r="P186" s="528"/>
      <c r="Q186" s="438"/>
      <c r="R186" s="528"/>
      <c r="S186" s="438"/>
      <c r="T186" s="528"/>
      <c r="U186" s="438"/>
      <c r="V186" s="528"/>
      <c r="W186" s="438"/>
      <c r="X186" s="528"/>
      <c r="Y186" s="438"/>
      <c r="Z186" s="528"/>
      <c r="AA186" s="438"/>
      <c r="AB186" s="528"/>
      <c r="AC186" s="438"/>
      <c r="AD186" s="528"/>
      <c r="AE186" s="438"/>
      <c r="AF186" s="528"/>
      <c r="AG186" s="438"/>
      <c r="AH186" s="438"/>
      <c r="AI186" s="438"/>
      <c r="AJ186" s="418"/>
      <c r="AK186" s="418"/>
      <c r="AL186" s="418"/>
      <c r="AM186" s="418"/>
      <c r="AN186" s="418"/>
      <c r="AO186" s="418"/>
      <c r="AP186" s="418"/>
      <c r="AQ186" s="418"/>
      <c r="AR186" s="418"/>
      <c r="AS186" s="418"/>
      <c r="AT186" s="418"/>
    </row>
    <row r="187" spans="1:46" s="439" customFormat="1" ht="12" x14ac:dyDescent="0.2">
      <c r="A187" s="418"/>
      <c r="B187" s="528"/>
      <c r="C187" s="438"/>
      <c r="D187" s="528"/>
      <c r="E187" s="438"/>
      <c r="F187" s="528"/>
      <c r="G187" s="438"/>
      <c r="H187" s="528"/>
      <c r="I187" s="438"/>
      <c r="J187" s="528"/>
      <c r="K187" s="438"/>
      <c r="L187" s="528"/>
      <c r="M187" s="438"/>
      <c r="N187" s="528"/>
      <c r="O187" s="528"/>
      <c r="P187" s="528"/>
      <c r="Q187" s="438"/>
      <c r="R187" s="528"/>
      <c r="S187" s="438"/>
      <c r="T187" s="528"/>
      <c r="U187" s="438"/>
      <c r="V187" s="528"/>
      <c r="W187" s="438"/>
      <c r="X187" s="528"/>
      <c r="Y187" s="438"/>
      <c r="Z187" s="528"/>
      <c r="AA187" s="438"/>
      <c r="AB187" s="528"/>
      <c r="AC187" s="438"/>
      <c r="AD187" s="528"/>
      <c r="AE187" s="438"/>
      <c r="AF187" s="528"/>
      <c r="AG187" s="438"/>
      <c r="AH187" s="438"/>
      <c r="AI187" s="438"/>
      <c r="AJ187" s="418"/>
      <c r="AK187" s="418"/>
      <c r="AL187" s="418"/>
      <c r="AM187" s="418"/>
      <c r="AN187" s="418"/>
      <c r="AO187" s="418"/>
      <c r="AP187" s="418"/>
      <c r="AQ187" s="418"/>
      <c r="AR187" s="418"/>
      <c r="AS187" s="418"/>
      <c r="AT187" s="418"/>
    </row>
    <row r="188" spans="1:46" s="439" customFormat="1" ht="12" x14ac:dyDescent="0.2">
      <c r="A188" s="418"/>
      <c r="B188" s="528"/>
      <c r="C188" s="438"/>
      <c r="D188" s="528"/>
      <c r="E188" s="438"/>
      <c r="F188" s="528"/>
      <c r="G188" s="438"/>
      <c r="H188" s="528"/>
      <c r="I188" s="438"/>
      <c r="J188" s="528"/>
      <c r="K188" s="438"/>
      <c r="L188" s="528"/>
      <c r="M188" s="438"/>
      <c r="N188" s="528"/>
      <c r="O188" s="528"/>
      <c r="P188" s="528"/>
      <c r="Q188" s="438"/>
      <c r="R188" s="528"/>
      <c r="S188" s="438"/>
      <c r="T188" s="528"/>
      <c r="U188" s="438"/>
      <c r="V188" s="528"/>
      <c r="W188" s="438"/>
      <c r="X188" s="528"/>
      <c r="Y188" s="438"/>
      <c r="Z188" s="528"/>
      <c r="AA188" s="438"/>
      <c r="AB188" s="528"/>
      <c r="AC188" s="438"/>
      <c r="AD188" s="528"/>
      <c r="AE188" s="438"/>
      <c r="AF188" s="528"/>
      <c r="AG188" s="438"/>
      <c r="AH188" s="438"/>
      <c r="AI188" s="438"/>
      <c r="AJ188" s="418"/>
      <c r="AK188" s="418"/>
      <c r="AL188" s="418"/>
      <c r="AM188" s="418"/>
      <c r="AN188" s="418"/>
      <c r="AO188" s="418"/>
      <c r="AP188" s="418"/>
      <c r="AQ188" s="418"/>
      <c r="AR188" s="418"/>
      <c r="AS188" s="418"/>
      <c r="AT188" s="418"/>
    </row>
    <row r="189" spans="1:46" s="439" customFormat="1" ht="12" x14ac:dyDescent="0.2">
      <c r="A189" s="418"/>
      <c r="B189" s="528"/>
      <c r="C189" s="438"/>
      <c r="D189" s="528"/>
      <c r="E189" s="438"/>
      <c r="F189" s="528"/>
      <c r="G189" s="438"/>
      <c r="H189" s="528"/>
      <c r="I189" s="438"/>
      <c r="J189" s="528"/>
      <c r="K189" s="438"/>
      <c r="L189" s="528"/>
      <c r="M189" s="438"/>
      <c r="N189" s="528"/>
      <c r="O189" s="528"/>
      <c r="P189" s="528"/>
      <c r="Q189" s="438"/>
      <c r="R189" s="528"/>
      <c r="S189" s="438"/>
      <c r="T189" s="528"/>
      <c r="U189" s="438"/>
      <c r="V189" s="528"/>
      <c r="W189" s="438"/>
      <c r="X189" s="528"/>
      <c r="Y189" s="438"/>
      <c r="Z189" s="528"/>
      <c r="AA189" s="438"/>
      <c r="AB189" s="528"/>
      <c r="AC189" s="438"/>
      <c r="AD189" s="528"/>
      <c r="AE189" s="438"/>
      <c r="AF189" s="528"/>
      <c r="AG189" s="438"/>
      <c r="AH189" s="438"/>
      <c r="AI189" s="438"/>
      <c r="AJ189" s="418"/>
      <c r="AK189" s="418"/>
      <c r="AL189" s="418"/>
      <c r="AM189" s="418"/>
      <c r="AN189" s="418"/>
      <c r="AO189" s="418"/>
      <c r="AP189" s="418"/>
      <c r="AQ189" s="418"/>
      <c r="AR189" s="418"/>
      <c r="AS189" s="418"/>
      <c r="AT189" s="418"/>
    </row>
  </sheetData>
  <mergeCells count="2">
    <mergeCell ref="A1:AI1"/>
    <mergeCell ref="A4:G4"/>
  </mergeCells>
  <phoneticPr fontId="9" type="noConversion"/>
  <printOptions horizontalCentered="1"/>
  <pageMargins left="0.5" right="0.5" top="0.5" bottom="0.625" header="0.5" footer="0.5"/>
  <pageSetup scale="5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theme="6" tint="0.39997558519241921"/>
  </sheetPr>
  <dimension ref="A1:AN818"/>
  <sheetViews>
    <sheetView view="pageBreakPreview" zoomScaleNormal="100" workbookViewId="0">
      <pane xSplit="1" ySplit="12" topLeftCell="B13" activePane="bottomRight" state="frozen"/>
      <selection activeCell="Z13" activeCellId="3" sqref="Z18 Z17 Z15 Z13"/>
      <selection pane="topRight" activeCell="Z13" activeCellId="3" sqref="Z18 Z17 Z15 Z13"/>
      <selection pane="bottomLeft" activeCell="Z13" activeCellId="3" sqref="Z18 Z17 Z15 Z13"/>
      <selection pane="bottomRight" activeCell="Z13" activeCellId="3" sqref="Z18 Z17 Z15 Z13"/>
    </sheetView>
  </sheetViews>
  <sheetFormatPr defaultColWidth="9.140625" defaultRowHeight="9.9499999999999993" customHeight="1" x14ac:dyDescent="0.2"/>
  <cols>
    <col min="1" max="1" width="39.5703125" style="314" customWidth="1"/>
    <col min="2" max="2" width="1.5703125" style="329" customWidth="1"/>
    <col min="3" max="3" width="12.85546875" style="314" customWidth="1"/>
    <col min="4" max="4" width="1.5703125" style="329" customWidth="1"/>
    <col min="5" max="5" width="12.140625" style="314" customWidth="1"/>
    <col min="6" max="6" width="1.5703125" style="329" customWidth="1"/>
    <col min="7" max="7" width="12.140625" style="314" customWidth="1"/>
    <col min="8" max="8" width="1.5703125" style="329" customWidth="1"/>
    <col min="9" max="9" width="13.5703125" style="314" customWidth="1"/>
    <col min="10" max="10" width="1.5703125" style="329" customWidth="1"/>
    <col min="11" max="11" width="12.140625" style="314" customWidth="1"/>
    <col min="12" max="12" width="1.5703125" style="329" customWidth="1"/>
    <col min="13" max="13" width="12.140625" style="314" customWidth="1"/>
    <col min="14" max="14" width="1.5703125" style="329" customWidth="1"/>
    <col min="15" max="15" width="12.140625" style="314" customWidth="1"/>
    <col min="16" max="16" width="1.5703125" style="329" customWidth="1"/>
    <col min="17" max="17" width="12.140625" style="314" customWidth="1"/>
    <col min="18" max="18" width="1.5703125" style="329" customWidth="1"/>
    <col min="19" max="19" width="12.140625" style="314" customWidth="1"/>
    <col min="20" max="20" width="1.5703125" style="329" hidden="1" customWidth="1"/>
    <col min="21" max="21" width="12.140625" style="314" hidden="1" customWidth="1"/>
    <col min="22" max="22" width="1.5703125" style="329" customWidth="1"/>
    <col min="23" max="23" width="12.140625" style="314" customWidth="1"/>
    <col min="24" max="24" width="1.5703125" style="329" customWidth="1"/>
    <col min="25" max="25" width="12.140625" style="314" customWidth="1"/>
    <col min="26" max="26" width="1.5703125" style="329" customWidth="1"/>
    <col min="27" max="27" width="12.140625" style="314" customWidth="1"/>
    <col min="28" max="28" width="1.5703125" style="329" customWidth="1"/>
    <col min="29" max="29" width="12.140625" style="314" customWidth="1"/>
    <col min="30" max="30" width="1.5703125" style="329" customWidth="1"/>
    <col min="31" max="31" width="12.140625" style="314" customWidth="1"/>
    <col min="32" max="32" width="1.5703125" style="329" customWidth="1"/>
    <col min="33" max="33" width="12.140625" style="314" customWidth="1"/>
    <col min="34" max="34" width="1.5703125" style="314" customWidth="1"/>
    <col min="35" max="16384" width="9.140625" style="314"/>
  </cols>
  <sheetData>
    <row r="1" spans="1:40" s="529" customFormat="1" ht="16.5" customHeight="1" thickBot="1" x14ac:dyDescent="0.25">
      <c r="A1" s="519"/>
      <c r="B1" s="519"/>
      <c r="C1" s="519"/>
      <c r="D1" s="519"/>
      <c r="E1" s="519"/>
      <c r="F1" s="519"/>
      <c r="G1" s="519"/>
      <c r="H1" s="519"/>
      <c r="I1" s="519"/>
      <c r="J1" s="519"/>
      <c r="K1" s="519"/>
      <c r="L1" s="519"/>
      <c r="M1" s="519"/>
      <c r="N1" s="519"/>
      <c r="O1" s="1582" t="s">
        <v>1033</v>
      </c>
      <c r="P1" s="1582"/>
      <c r="Q1" s="1582"/>
      <c r="R1" s="1582"/>
      <c r="S1" s="1582"/>
      <c r="T1" s="1582"/>
      <c r="U1" s="1582"/>
      <c r="V1" s="1582"/>
      <c r="W1" s="1582"/>
      <c r="X1" s="1582"/>
      <c r="Y1" s="1582"/>
      <c r="Z1" s="1582"/>
      <c r="AA1" s="1582"/>
      <c r="AB1" s="1582"/>
      <c r="AC1" s="1582"/>
      <c r="AD1" s="1582"/>
      <c r="AE1" s="1582"/>
      <c r="AF1" s="1582"/>
      <c r="AG1" s="1582"/>
      <c r="AH1" s="1582"/>
      <c r="AI1" s="535"/>
      <c r="AJ1" s="535"/>
      <c r="AK1" s="535"/>
      <c r="AL1" s="535"/>
      <c r="AM1" s="535"/>
      <c r="AN1" s="535"/>
    </row>
    <row r="2" spans="1:40" s="531" customFormat="1" ht="15" customHeight="1" x14ac:dyDescent="0.2">
      <c r="A2" s="700" t="s">
        <v>461</v>
      </c>
      <c r="B2" s="713"/>
      <c r="C2" s="713"/>
      <c r="D2" s="713"/>
      <c r="E2" s="700"/>
      <c r="F2" s="713"/>
      <c r="G2" s="700"/>
      <c r="H2" s="713"/>
      <c r="I2" s="713"/>
      <c r="J2" s="713"/>
      <c r="L2" s="713"/>
      <c r="O2" s="700"/>
      <c r="P2" s="713"/>
      <c r="S2" s="713"/>
      <c r="T2" s="713"/>
      <c r="U2" s="713"/>
      <c r="V2" s="713"/>
      <c r="W2" s="713"/>
      <c r="X2" s="713"/>
      <c r="Z2" s="713"/>
      <c r="AB2" s="713"/>
      <c r="AD2" s="713"/>
      <c r="AE2" s="713"/>
      <c r="AF2" s="713"/>
      <c r="AG2" s="713"/>
      <c r="AH2" s="713"/>
      <c r="AI2" s="713"/>
      <c r="AJ2" s="713"/>
      <c r="AK2" s="713"/>
      <c r="AL2" s="713"/>
      <c r="AM2" s="713"/>
      <c r="AN2" s="713"/>
    </row>
    <row r="3" spans="1:40" s="531" customFormat="1" ht="15" customHeight="1" x14ac:dyDescent="0.2">
      <c r="A3" s="700" t="s">
        <v>1007</v>
      </c>
      <c r="B3" s="713"/>
      <c r="C3" s="713"/>
      <c r="D3" s="713"/>
      <c r="E3" s="700"/>
      <c r="F3" s="713"/>
      <c r="G3" s="700"/>
      <c r="H3" s="713"/>
      <c r="I3" s="713"/>
      <c r="J3" s="713"/>
      <c r="L3" s="713"/>
      <c r="O3" s="700"/>
      <c r="P3" s="713"/>
      <c r="S3" s="713"/>
      <c r="T3" s="713"/>
      <c r="U3" s="713"/>
      <c r="V3" s="713"/>
      <c r="W3" s="713"/>
      <c r="X3" s="713"/>
      <c r="Z3" s="713"/>
      <c r="AB3" s="713"/>
      <c r="AD3" s="713"/>
      <c r="AE3" s="713"/>
      <c r="AF3" s="713"/>
      <c r="AG3" s="713"/>
      <c r="AH3" s="713"/>
      <c r="AI3" s="713"/>
      <c r="AJ3" s="713"/>
      <c r="AK3" s="713"/>
      <c r="AL3" s="713"/>
      <c r="AM3" s="713"/>
      <c r="AN3" s="713"/>
    </row>
    <row r="4" spans="1:40" s="531" customFormat="1" ht="12.95" customHeight="1" x14ac:dyDescent="0.2">
      <c r="A4" s="506" t="s">
        <v>1724</v>
      </c>
      <c r="B4" s="530"/>
      <c r="C4" s="530"/>
      <c r="D4" s="530"/>
      <c r="E4" s="432"/>
      <c r="F4" s="530"/>
      <c r="G4" s="432"/>
      <c r="H4" s="530"/>
      <c r="I4" s="530"/>
      <c r="J4" s="530"/>
      <c r="L4" s="530"/>
      <c r="O4" s="506"/>
      <c r="P4" s="530"/>
      <c r="S4" s="530"/>
      <c r="T4" s="530"/>
      <c r="U4" s="530"/>
      <c r="V4" s="530"/>
      <c r="W4" s="530"/>
      <c r="X4" s="530"/>
      <c r="Z4" s="530"/>
      <c r="AB4" s="530"/>
      <c r="AD4" s="530"/>
      <c r="AE4" s="530"/>
      <c r="AF4" s="530"/>
    </row>
    <row r="5" spans="1:40" s="247" customFormat="1" ht="12" customHeight="1" x14ac:dyDescent="0.2">
      <c r="A5" s="253" t="s">
        <v>972</v>
      </c>
      <c r="B5" s="521"/>
      <c r="C5" s="521"/>
      <c r="D5" s="521"/>
      <c r="F5" s="521"/>
      <c r="H5" s="521"/>
      <c r="I5" s="311"/>
      <c r="J5" s="521"/>
      <c r="L5" s="521"/>
      <c r="O5" s="253"/>
      <c r="P5" s="521"/>
      <c r="S5" s="522"/>
      <c r="T5" s="521"/>
      <c r="U5" s="522"/>
      <c r="V5" s="521"/>
      <c r="W5" s="522"/>
      <c r="X5" s="521"/>
      <c r="Z5" s="521"/>
      <c r="AB5" s="521"/>
      <c r="AD5" s="521"/>
      <c r="AE5" s="522"/>
      <c r="AF5" s="521"/>
    </row>
    <row r="6" spans="1:40" s="247" customFormat="1" ht="12" customHeight="1" x14ac:dyDescent="0.2">
      <c r="B6" s="521"/>
      <c r="C6" s="521"/>
      <c r="D6" s="521"/>
      <c r="E6" s="445" t="s">
        <v>437</v>
      </c>
      <c r="F6" s="521"/>
      <c r="H6" s="521"/>
      <c r="I6" s="311"/>
      <c r="J6" s="521"/>
      <c r="L6" s="521"/>
      <c r="N6" s="521"/>
      <c r="O6" s="522"/>
      <c r="P6" s="521"/>
      <c r="Q6" s="522"/>
      <c r="R6" s="521"/>
      <c r="S6" s="522"/>
      <c r="T6" s="521"/>
      <c r="U6" s="522"/>
      <c r="V6" s="521"/>
      <c r="W6" s="522"/>
      <c r="X6" s="521"/>
      <c r="Z6" s="521"/>
      <c r="AB6" s="521"/>
      <c r="AD6" s="521"/>
      <c r="AE6" s="522"/>
      <c r="AF6" s="521"/>
    </row>
    <row r="7" spans="1:40" s="532" customFormat="1" ht="17.25" hidden="1" customHeight="1" x14ac:dyDescent="0.2">
      <c r="A7" s="506"/>
      <c r="B7" s="506"/>
      <c r="D7" s="506"/>
      <c r="E7" s="735"/>
      <c r="F7" s="506"/>
      <c r="H7" s="506"/>
      <c r="J7" s="506"/>
      <c r="L7" s="506"/>
      <c r="M7" s="506"/>
      <c r="N7" s="506"/>
      <c r="P7" s="506"/>
      <c r="R7" s="506"/>
      <c r="T7" s="506"/>
      <c r="V7" s="506"/>
      <c r="X7" s="506"/>
      <c r="Z7" s="506"/>
      <c r="AB7" s="506"/>
      <c r="AC7" s="506"/>
      <c r="AD7" s="506"/>
      <c r="AF7" s="506"/>
      <c r="AG7" s="536"/>
    </row>
    <row r="8" spans="1:40" s="212" customFormat="1" ht="12.6" customHeight="1" x14ac:dyDescent="0.2">
      <c r="A8" s="432"/>
      <c r="B8" s="432"/>
      <c r="D8" s="432"/>
      <c r="E8" s="310" t="s">
        <v>1541</v>
      </c>
      <c r="F8" s="432"/>
      <c r="H8" s="432"/>
      <c r="I8" s="445" t="s">
        <v>437</v>
      </c>
      <c r="J8" s="432"/>
      <c r="L8" s="432"/>
      <c r="M8" s="432"/>
      <c r="N8" s="432"/>
      <c r="O8" s="443" t="s">
        <v>437</v>
      </c>
      <c r="P8" s="432"/>
      <c r="R8" s="432"/>
      <c r="T8" s="432"/>
      <c r="U8" s="443"/>
      <c r="V8" s="432"/>
      <c r="W8" s="443"/>
      <c r="X8" s="432"/>
      <c r="Z8" s="432"/>
      <c r="AB8" s="432"/>
      <c r="AC8" s="445"/>
      <c r="AD8" s="432"/>
      <c r="AF8" s="432"/>
      <c r="AG8" s="310" t="s">
        <v>671</v>
      </c>
    </row>
    <row r="9" spans="1:40" s="212" customFormat="1" ht="12.6" customHeight="1" x14ac:dyDescent="0.2">
      <c r="A9" s="458"/>
      <c r="B9" s="537"/>
      <c r="C9" s="445"/>
      <c r="D9" s="537"/>
      <c r="E9" s="445" t="s">
        <v>442</v>
      </c>
      <c r="F9" s="537"/>
      <c r="G9" s="445" t="s">
        <v>437</v>
      </c>
      <c r="H9" s="537"/>
      <c r="I9" s="445" t="s">
        <v>306</v>
      </c>
      <c r="J9" s="537"/>
      <c r="K9" s="445" t="s">
        <v>437</v>
      </c>
      <c r="L9" s="537"/>
      <c r="M9" s="443" t="s">
        <v>246</v>
      </c>
      <c r="N9" s="537"/>
      <c r="O9" s="445" t="s">
        <v>974</v>
      </c>
      <c r="P9" s="537"/>
      <c r="Q9" s="445" t="s">
        <v>247</v>
      </c>
      <c r="R9" s="537"/>
      <c r="S9" s="443" t="s">
        <v>437</v>
      </c>
      <c r="T9" s="537"/>
      <c r="U9" s="443" t="s">
        <v>110</v>
      </c>
      <c r="V9" s="537"/>
      <c r="W9" s="445" t="s">
        <v>974</v>
      </c>
      <c r="X9" s="537"/>
      <c r="Y9" s="443" t="s">
        <v>1099</v>
      </c>
      <c r="Z9" s="537"/>
      <c r="AA9" s="443" t="s">
        <v>1138</v>
      </c>
      <c r="AB9" s="537"/>
      <c r="AC9" s="445"/>
      <c r="AD9" s="537"/>
      <c r="AE9" s="445"/>
      <c r="AF9" s="537"/>
      <c r="AG9" s="310" t="s">
        <v>1064</v>
      </c>
    </row>
    <row r="10" spans="1:40" s="212" customFormat="1" ht="12.6" customHeight="1" x14ac:dyDescent="0.2">
      <c r="A10" s="458"/>
      <c r="B10" s="537"/>
      <c r="D10" s="537"/>
      <c r="E10" s="443" t="s">
        <v>246</v>
      </c>
      <c r="F10" s="537"/>
      <c r="G10" s="443" t="s">
        <v>442</v>
      </c>
      <c r="H10" s="537"/>
      <c r="I10" s="443" t="s">
        <v>60</v>
      </c>
      <c r="J10" s="537"/>
      <c r="K10" s="443" t="s">
        <v>248</v>
      </c>
      <c r="L10" s="537"/>
      <c r="M10" s="443" t="s">
        <v>56</v>
      </c>
      <c r="N10" s="537"/>
      <c r="O10" s="443" t="s">
        <v>246</v>
      </c>
      <c r="P10" s="537"/>
      <c r="Q10" s="443" t="s">
        <v>248</v>
      </c>
      <c r="R10" s="537"/>
      <c r="S10" s="443" t="s">
        <v>310</v>
      </c>
      <c r="T10" s="537"/>
      <c r="U10" s="443" t="s">
        <v>172</v>
      </c>
      <c r="V10" s="537"/>
      <c r="W10" s="443" t="s">
        <v>303</v>
      </c>
      <c r="X10" s="537"/>
      <c r="Y10" s="443" t="s">
        <v>1100</v>
      </c>
      <c r="Z10" s="537"/>
      <c r="AA10" s="443" t="s">
        <v>1139</v>
      </c>
      <c r="AB10" s="537"/>
      <c r="AC10" s="443"/>
      <c r="AD10" s="537"/>
      <c r="AE10" s="445"/>
      <c r="AF10" s="537"/>
      <c r="AG10" s="310" t="s">
        <v>1005</v>
      </c>
    </row>
    <row r="11" spans="1:40" s="336" customFormat="1" ht="12.6" customHeight="1" x14ac:dyDescent="0.2">
      <c r="B11" s="537"/>
      <c r="C11" s="443" t="s">
        <v>1688</v>
      </c>
      <c r="D11" s="537"/>
      <c r="E11" s="443" t="s">
        <v>1230</v>
      </c>
      <c r="F11" s="537"/>
      <c r="G11" s="443" t="s">
        <v>60</v>
      </c>
      <c r="H11" s="537"/>
      <c r="I11" s="443" t="s">
        <v>439</v>
      </c>
      <c r="J11" s="537"/>
      <c r="K11" s="443" t="s">
        <v>439</v>
      </c>
      <c r="L11" s="537"/>
      <c r="M11" s="443" t="s">
        <v>781</v>
      </c>
      <c r="N11" s="537"/>
      <c r="O11" s="445" t="s">
        <v>60</v>
      </c>
      <c r="P11" s="537"/>
      <c r="Q11" s="443" t="s">
        <v>439</v>
      </c>
      <c r="R11" s="537"/>
      <c r="S11" s="445" t="s">
        <v>439</v>
      </c>
      <c r="T11" s="537"/>
      <c r="U11" s="445" t="s">
        <v>1240</v>
      </c>
      <c r="V11" s="537"/>
      <c r="W11" s="445" t="s">
        <v>60</v>
      </c>
      <c r="X11" s="537"/>
      <c r="Y11" s="443" t="s">
        <v>1101</v>
      </c>
      <c r="Z11" s="537"/>
      <c r="AA11" s="443" t="s">
        <v>409</v>
      </c>
      <c r="AB11" s="537"/>
      <c r="AC11" s="443" t="s">
        <v>1316</v>
      </c>
      <c r="AD11" s="537"/>
      <c r="AE11" s="445" t="s">
        <v>1538</v>
      </c>
      <c r="AF11" s="537"/>
      <c r="AG11" s="310" t="s">
        <v>761</v>
      </c>
    </row>
    <row r="12" spans="1:40" s="336" customFormat="1" ht="12.6" customHeight="1" x14ac:dyDescent="0.2">
      <c r="B12" s="537"/>
      <c r="C12" s="446" t="s">
        <v>437</v>
      </c>
      <c r="D12" s="537"/>
      <c r="E12" s="446" t="s">
        <v>436</v>
      </c>
      <c r="F12" s="537"/>
      <c r="G12" s="446" t="s">
        <v>436</v>
      </c>
      <c r="H12" s="537"/>
      <c r="I12" s="446" t="s">
        <v>436</v>
      </c>
      <c r="J12" s="537"/>
      <c r="K12" s="446" t="s">
        <v>444</v>
      </c>
      <c r="L12" s="537"/>
      <c r="M12" s="446" t="s">
        <v>437</v>
      </c>
      <c r="N12" s="537"/>
      <c r="O12" s="446" t="s">
        <v>436</v>
      </c>
      <c r="P12" s="537"/>
      <c r="Q12" s="446" t="s">
        <v>436</v>
      </c>
      <c r="R12" s="537"/>
      <c r="S12" s="446" t="s">
        <v>436</v>
      </c>
      <c r="T12" s="537"/>
      <c r="U12" s="446" t="s">
        <v>436</v>
      </c>
      <c r="V12" s="537"/>
      <c r="W12" s="446" t="s">
        <v>436</v>
      </c>
      <c r="X12" s="537"/>
      <c r="Y12" s="446" t="s">
        <v>436</v>
      </c>
      <c r="Z12" s="537"/>
      <c r="AA12" s="446" t="s">
        <v>1140</v>
      </c>
      <c r="AB12" s="537"/>
      <c r="AC12" s="945" t="s">
        <v>437</v>
      </c>
      <c r="AD12" s="537"/>
      <c r="AE12" s="446" t="s">
        <v>1539</v>
      </c>
      <c r="AF12" s="537"/>
      <c r="AG12" s="574" t="s">
        <v>762</v>
      </c>
    </row>
    <row r="13" spans="1:40" s="253" customFormat="1" ht="9.9499999999999993" customHeight="1" x14ac:dyDescent="0.2">
      <c r="A13" s="417" t="s">
        <v>672</v>
      </c>
    </row>
    <row r="14" spans="1:40" s="253" customFormat="1" ht="9.9499999999999993" customHeight="1" x14ac:dyDescent="0.2">
      <c r="A14" s="425" t="s">
        <v>673</v>
      </c>
      <c r="B14" s="254"/>
      <c r="C14" s="461">
        <f>BSGFws!BD3</f>
        <v>0</v>
      </c>
      <c r="D14" s="254"/>
      <c r="E14" s="461">
        <f>+BSGFws!BQ3</f>
        <v>0</v>
      </c>
      <c r="F14" s="254"/>
      <c r="G14" s="461">
        <f>+BSGFws!BE3</f>
        <v>0</v>
      </c>
      <c r="H14" s="254"/>
      <c r="I14" s="461">
        <f>+BSGFws!BG3</f>
        <v>0</v>
      </c>
      <c r="J14" s="254"/>
      <c r="K14" s="461">
        <f>+BSGFws!BI3</f>
        <v>0</v>
      </c>
      <c r="L14" s="254"/>
      <c r="M14" s="461">
        <f>+BSGFws!BJ3</f>
        <v>0</v>
      </c>
      <c r="N14" s="254"/>
      <c r="O14" s="461">
        <f>+BSGFws!BK3</f>
        <v>0</v>
      </c>
      <c r="P14" s="254"/>
      <c r="Q14" s="461">
        <f>+BSGFws!BL3</f>
        <v>0</v>
      </c>
      <c r="R14" s="254"/>
      <c r="S14" s="461">
        <f>+BSGFws!BM3</f>
        <v>0</v>
      </c>
      <c r="T14" s="254"/>
      <c r="U14" s="461">
        <f>+BSGFws!BN3</f>
        <v>0</v>
      </c>
      <c r="V14" s="254"/>
      <c r="W14" s="461">
        <f>+BSGFws!BO3</f>
        <v>0</v>
      </c>
      <c r="X14" s="254"/>
      <c r="Y14" s="461">
        <f>+BSGFws!BP3</f>
        <v>0</v>
      </c>
      <c r="Z14" s="254"/>
      <c r="AA14" s="461">
        <f>+BSGFws!BS3</f>
        <v>0</v>
      </c>
      <c r="AB14" s="254"/>
      <c r="AC14" s="461">
        <f>+BSGFws!BH3</f>
        <v>10981</v>
      </c>
      <c r="AD14" s="254"/>
      <c r="AE14" s="461">
        <f>+BSGFws!BF3</f>
        <v>0</v>
      </c>
      <c r="AF14" s="254"/>
      <c r="AG14" s="339">
        <f t="shared" ref="AG14:AG32" si="0">SUM(C14:AE14)</f>
        <v>10981</v>
      </c>
    </row>
    <row r="15" spans="1:40" s="253" customFormat="1" ht="9.9499999999999993" hidden="1" customHeight="1" x14ac:dyDescent="0.2">
      <c r="A15" s="425" t="s">
        <v>674</v>
      </c>
      <c r="B15" s="273"/>
      <c r="C15" s="450"/>
      <c r="D15" s="273"/>
      <c r="E15" s="450"/>
      <c r="F15" s="273"/>
      <c r="G15" s="450">
        <f>+BSGFws!BE4</f>
        <v>0</v>
      </c>
      <c r="H15" s="273"/>
      <c r="I15" s="450">
        <f>+BSGFws!BG4</f>
        <v>0</v>
      </c>
      <c r="J15" s="273"/>
      <c r="K15" s="450">
        <f>+BSGFws!BI4</f>
        <v>0</v>
      </c>
      <c r="L15" s="273"/>
      <c r="M15" s="450">
        <f>+BSGFws!BJ4</f>
        <v>0</v>
      </c>
      <c r="N15" s="273"/>
      <c r="O15" s="450">
        <f>+BSGFws!BK4</f>
        <v>0</v>
      </c>
      <c r="P15" s="273"/>
      <c r="Q15" s="450">
        <f>+BSGFws!BL4</f>
        <v>0</v>
      </c>
      <c r="R15" s="273"/>
      <c r="S15" s="450">
        <f>+BSGFws!BM4</f>
        <v>0</v>
      </c>
      <c r="T15" s="273"/>
      <c r="U15" s="450">
        <f>+BSGFws!BN4</f>
        <v>0</v>
      </c>
      <c r="V15" s="273"/>
      <c r="W15" s="450">
        <f>+BSGFws!BO4</f>
        <v>0</v>
      </c>
      <c r="X15" s="273"/>
      <c r="Y15" s="450">
        <f>+BSGFws!BP4</f>
        <v>0</v>
      </c>
      <c r="Z15" s="273"/>
      <c r="AA15" s="450">
        <f>+BSGFws!BS4</f>
        <v>0</v>
      </c>
      <c r="AB15" s="273"/>
      <c r="AC15" s="450">
        <f>+BSGFws!BH4</f>
        <v>0</v>
      </c>
      <c r="AD15" s="273"/>
      <c r="AE15" s="450">
        <f>+BSGFws!BF4</f>
        <v>0</v>
      </c>
      <c r="AF15" s="273"/>
      <c r="AG15" s="450">
        <f t="shared" si="0"/>
        <v>0</v>
      </c>
    </row>
    <row r="16" spans="1:40" s="253" customFormat="1" ht="9.9499999999999993" customHeight="1" x14ac:dyDescent="0.2">
      <c r="A16" s="425" t="s">
        <v>252</v>
      </c>
      <c r="B16" s="273"/>
      <c r="C16" s="450">
        <f>BSGFws!BD5</f>
        <v>0</v>
      </c>
      <c r="D16" s="273"/>
      <c r="E16" s="450"/>
      <c r="F16" s="273"/>
      <c r="G16" s="450">
        <f>+BSGFws!BE5</f>
        <v>0</v>
      </c>
      <c r="H16" s="273"/>
      <c r="I16" s="450">
        <f>+BSGFws!BG5</f>
        <v>0</v>
      </c>
      <c r="J16" s="273"/>
      <c r="K16" s="450">
        <f>+BSGFws!BI5</f>
        <v>0</v>
      </c>
      <c r="L16" s="273"/>
      <c r="M16" s="450">
        <f>+BSGFws!BJ5</f>
        <v>0</v>
      </c>
      <c r="N16" s="273"/>
      <c r="O16" s="450">
        <f>+BSGFws!BK5</f>
        <v>0</v>
      </c>
      <c r="P16" s="273"/>
      <c r="Q16" s="450">
        <f>+BSGFws!BL5</f>
        <v>0</v>
      </c>
      <c r="R16" s="273"/>
      <c r="S16" s="450">
        <f>+BSGFws!BM5</f>
        <v>0</v>
      </c>
      <c r="T16" s="273"/>
      <c r="U16" s="450">
        <f>+BSGFws!BN5</f>
        <v>0</v>
      </c>
      <c r="V16" s="273"/>
      <c r="W16" s="450">
        <f>+BSGFws!BO5</f>
        <v>0</v>
      </c>
      <c r="X16" s="273"/>
      <c r="Y16" s="450">
        <f>+BSGFws!BP5</f>
        <v>0</v>
      </c>
      <c r="Z16" s="273"/>
      <c r="AA16" s="450">
        <f>+BSGFws!BS5</f>
        <v>0</v>
      </c>
      <c r="AB16" s="273"/>
      <c r="AC16" s="450">
        <f>+BSGFws!BH5</f>
        <v>820</v>
      </c>
      <c r="AD16" s="273"/>
      <c r="AE16" s="450">
        <f>+BSGFws!BF5</f>
        <v>0</v>
      </c>
      <c r="AF16" s="273"/>
      <c r="AG16" s="450">
        <f t="shared" si="0"/>
        <v>820</v>
      </c>
    </row>
    <row r="17" spans="1:33" s="253" customFormat="1" ht="9.9499999999999993" customHeight="1" x14ac:dyDescent="0.2">
      <c r="A17" s="425" t="s">
        <v>763</v>
      </c>
      <c r="B17" s="273"/>
      <c r="C17" s="450"/>
      <c r="D17" s="273"/>
      <c r="E17" s="450"/>
      <c r="F17" s="273"/>
      <c r="G17" s="450">
        <f>+BSGFws!BE6</f>
        <v>0</v>
      </c>
      <c r="H17" s="273"/>
      <c r="I17" s="450">
        <f>+BSGFws!BG6</f>
        <v>0</v>
      </c>
      <c r="J17" s="273"/>
      <c r="K17" s="450">
        <f>+BSGFws!BI6</f>
        <v>0</v>
      </c>
      <c r="L17" s="273"/>
      <c r="M17" s="450">
        <f>+BSGFws!BJ6</f>
        <v>0</v>
      </c>
      <c r="N17" s="273"/>
      <c r="O17" s="450">
        <f>+BSGFws!BK6</f>
        <v>0</v>
      </c>
      <c r="P17" s="273"/>
      <c r="Q17" s="450">
        <f>+BSGFws!BL6</f>
        <v>0</v>
      </c>
      <c r="R17" s="273"/>
      <c r="S17" s="450">
        <f>+BSGFws!BM6</f>
        <v>0</v>
      </c>
      <c r="T17" s="273"/>
      <c r="U17" s="450">
        <f>+BSGFws!BN6</f>
        <v>0</v>
      </c>
      <c r="V17" s="273"/>
      <c r="W17" s="450">
        <f>+BSGFws!BO6</f>
        <v>0</v>
      </c>
      <c r="X17" s="273"/>
      <c r="Y17" s="450">
        <f>+BSGFws!BP6</f>
        <v>0</v>
      </c>
      <c r="Z17" s="273"/>
      <c r="AA17" s="450">
        <f>+BSGFws!BS6</f>
        <v>391</v>
      </c>
      <c r="AB17" s="273"/>
      <c r="AC17" s="450">
        <f>+BSGFws!BH6</f>
        <v>3</v>
      </c>
      <c r="AD17" s="273"/>
      <c r="AE17" s="450">
        <f>+BSGFws!BF6</f>
        <v>0</v>
      </c>
      <c r="AF17" s="273"/>
      <c r="AG17" s="450">
        <f t="shared" si="0"/>
        <v>394</v>
      </c>
    </row>
    <row r="18" spans="1:33" s="253" customFormat="1" ht="9.9499999999999993" hidden="1" customHeight="1" x14ac:dyDescent="0.2">
      <c r="A18" s="425" t="s">
        <v>683</v>
      </c>
      <c r="B18" s="273"/>
      <c r="C18" s="450"/>
      <c r="D18" s="273"/>
      <c r="E18" s="450"/>
      <c r="F18" s="273"/>
      <c r="G18" s="450">
        <f>+BSGFws!BE7</f>
        <v>0</v>
      </c>
      <c r="H18" s="273"/>
      <c r="I18" s="450">
        <f>+BSGFws!BG7</f>
        <v>0</v>
      </c>
      <c r="J18" s="273"/>
      <c r="K18" s="450">
        <f>+BSGFws!BI7</f>
        <v>0</v>
      </c>
      <c r="L18" s="273"/>
      <c r="M18" s="450">
        <f>+BSGFws!BJ7</f>
        <v>0</v>
      </c>
      <c r="N18" s="273"/>
      <c r="O18" s="450">
        <f>+BSGFws!BK7</f>
        <v>0</v>
      </c>
      <c r="P18" s="273"/>
      <c r="Q18" s="450">
        <f>+BSGFws!BL7</f>
        <v>0</v>
      </c>
      <c r="R18" s="273"/>
      <c r="S18" s="450">
        <f>+BSGFws!BM7</f>
        <v>0</v>
      </c>
      <c r="T18" s="273"/>
      <c r="U18" s="450">
        <f>+BSGFws!BN7</f>
        <v>0</v>
      </c>
      <c r="V18" s="273"/>
      <c r="W18" s="450">
        <f>+BSGFws!BO7</f>
        <v>0</v>
      </c>
      <c r="X18" s="273"/>
      <c r="Y18" s="450">
        <f>+BSGFws!BP7</f>
        <v>0</v>
      </c>
      <c r="Z18" s="273"/>
      <c r="AA18" s="450">
        <f>+BSGFws!BS7</f>
        <v>0</v>
      </c>
      <c r="AB18" s="273"/>
      <c r="AC18" s="450">
        <f>+BSGFws!BH7</f>
        <v>0</v>
      </c>
      <c r="AD18" s="273"/>
      <c r="AE18" s="450">
        <f>+BSGFws!BF7</f>
        <v>0</v>
      </c>
      <c r="AF18" s="273"/>
      <c r="AG18" s="450">
        <f t="shared" si="0"/>
        <v>0</v>
      </c>
    </row>
    <row r="19" spans="1:33" s="253" customFormat="1" ht="9.9499999999999993" customHeight="1" x14ac:dyDescent="0.2">
      <c r="A19" s="425" t="s">
        <v>840</v>
      </c>
      <c r="B19" s="273"/>
      <c r="C19" s="450">
        <f>BSGFws!BD8</f>
        <v>0</v>
      </c>
      <c r="D19" s="273"/>
      <c r="E19" s="450"/>
      <c r="F19" s="273"/>
      <c r="G19" s="450">
        <f>+BSGFws!BE8</f>
        <v>0</v>
      </c>
      <c r="H19" s="273"/>
      <c r="I19" s="450">
        <f>+BSGFws!BG8</f>
        <v>0</v>
      </c>
      <c r="J19" s="273"/>
      <c r="K19" s="450">
        <f>+BSGFws!BI8</f>
        <v>0</v>
      </c>
      <c r="L19" s="273"/>
      <c r="M19" s="450">
        <f>+BSGFws!BJ8</f>
        <v>0</v>
      </c>
      <c r="N19" s="273"/>
      <c r="O19" s="450">
        <f>+BSGFws!BK8</f>
        <v>0</v>
      </c>
      <c r="P19" s="273"/>
      <c r="Q19" s="450">
        <f>+BSGFws!BL8</f>
        <v>0</v>
      </c>
      <c r="R19" s="273"/>
      <c r="S19" s="450">
        <f>+BSGFws!BM8</f>
        <v>0</v>
      </c>
      <c r="T19" s="273"/>
      <c r="U19" s="450">
        <f>+BSGFws!BN8</f>
        <v>0</v>
      </c>
      <c r="V19" s="273"/>
      <c r="W19" s="450">
        <f>+BSGFws!BO8</f>
        <v>0</v>
      </c>
      <c r="X19" s="273"/>
      <c r="Y19" s="450">
        <f>+BSGFws!BP8</f>
        <v>0</v>
      </c>
      <c r="Z19" s="273"/>
      <c r="AA19" s="450">
        <f>+BSGFws!BS8</f>
        <v>0</v>
      </c>
      <c r="AB19" s="273"/>
      <c r="AC19" s="450">
        <f>+BSGFws!BH8</f>
        <v>668</v>
      </c>
      <c r="AD19" s="273"/>
      <c r="AE19" s="450">
        <f>+BSGFws!BF8</f>
        <v>0</v>
      </c>
      <c r="AF19" s="273"/>
      <c r="AG19" s="450">
        <f>SUM(C19:AE19)</f>
        <v>668</v>
      </c>
    </row>
    <row r="20" spans="1:33" s="253" customFormat="1" ht="9.9499999999999993" hidden="1" customHeight="1" x14ac:dyDescent="0.2">
      <c r="A20" s="425" t="s">
        <v>1575</v>
      </c>
      <c r="B20" s="273"/>
      <c r="C20" s="450"/>
      <c r="D20" s="273"/>
      <c r="E20" s="450"/>
      <c r="F20" s="273"/>
      <c r="G20" s="450">
        <f>+BSGFws!BE9</f>
        <v>0</v>
      </c>
      <c r="H20" s="273"/>
      <c r="I20" s="450">
        <f>+BSGFws!BG9</f>
        <v>0</v>
      </c>
      <c r="J20" s="273"/>
      <c r="K20" s="450">
        <f>+BSGFws!BI9</f>
        <v>0</v>
      </c>
      <c r="L20" s="273"/>
      <c r="M20" s="450">
        <f>+BSGFws!BJ9</f>
        <v>0</v>
      </c>
      <c r="N20" s="273"/>
      <c r="O20" s="450">
        <f>+BSGFws!BK9</f>
        <v>0</v>
      </c>
      <c r="P20" s="273"/>
      <c r="Q20" s="450">
        <f>+BSGFws!BL9</f>
        <v>0</v>
      </c>
      <c r="R20" s="273"/>
      <c r="S20" s="450">
        <f>+BSGFws!BM9</f>
        <v>0</v>
      </c>
      <c r="T20" s="273"/>
      <c r="U20" s="450">
        <f>+BSGFws!BN9</f>
        <v>0</v>
      </c>
      <c r="V20" s="273"/>
      <c r="W20" s="450">
        <f>+BSGFws!BO9</f>
        <v>0</v>
      </c>
      <c r="X20" s="273"/>
      <c r="Y20" s="450">
        <f>+BSGFws!BP9</f>
        <v>0</v>
      </c>
      <c r="Z20" s="273"/>
      <c r="AA20" s="450">
        <f>+BSGFws!BS9</f>
        <v>0</v>
      </c>
      <c r="AB20" s="273"/>
      <c r="AC20" s="450">
        <f>+BSGFws!BH9</f>
        <v>0</v>
      </c>
      <c r="AD20" s="273"/>
      <c r="AE20" s="450">
        <f>+BSGFws!BF9</f>
        <v>0</v>
      </c>
      <c r="AF20" s="273"/>
      <c r="AG20" s="450">
        <f t="shared" si="0"/>
        <v>0</v>
      </c>
    </row>
    <row r="21" spans="1:33" s="253" customFormat="1" ht="9.9499999999999993" hidden="1" customHeight="1" x14ac:dyDescent="0.2">
      <c r="A21" s="425" t="s">
        <v>63</v>
      </c>
      <c r="B21" s="273"/>
      <c r="C21" s="450"/>
      <c r="D21" s="273"/>
      <c r="E21" s="450"/>
      <c r="F21" s="273"/>
      <c r="G21" s="450">
        <f>+BSGFws!BE10</f>
        <v>0</v>
      </c>
      <c r="H21" s="273"/>
      <c r="I21" s="450">
        <f>+BSGFws!BG10</f>
        <v>0</v>
      </c>
      <c r="J21" s="273"/>
      <c r="K21" s="450">
        <f>+BSGFws!BI10</f>
        <v>0</v>
      </c>
      <c r="L21" s="273"/>
      <c r="M21" s="450">
        <f>+BSGFws!BJ10</f>
        <v>0</v>
      </c>
      <c r="N21" s="273"/>
      <c r="O21" s="450">
        <f>+BSGFws!BK10</f>
        <v>0</v>
      </c>
      <c r="P21" s="273"/>
      <c r="Q21" s="450">
        <f>+BSGFws!BL10</f>
        <v>0</v>
      </c>
      <c r="R21" s="273"/>
      <c r="S21" s="450">
        <f>+BSGFws!BM10</f>
        <v>0</v>
      </c>
      <c r="T21" s="273"/>
      <c r="U21" s="450">
        <f>+BSGFws!BN10</f>
        <v>0</v>
      </c>
      <c r="V21" s="273"/>
      <c r="W21" s="450">
        <f>+BSGFws!BO10</f>
        <v>0</v>
      </c>
      <c r="X21" s="273"/>
      <c r="Y21" s="450">
        <f>+BSGFws!BP10</f>
        <v>0</v>
      </c>
      <c r="Z21" s="273"/>
      <c r="AA21" s="450">
        <f>+BSGFws!BS10</f>
        <v>0</v>
      </c>
      <c r="AB21" s="273"/>
      <c r="AC21" s="450">
        <f>+BSGFws!BH10</f>
        <v>0</v>
      </c>
      <c r="AD21" s="273"/>
      <c r="AE21" s="450">
        <f>+BSGFws!BF10</f>
        <v>0</v>
      </c>
      <c r="AF21" s="273"/>
      <c r="AG21" s="450">
        <f t="shared" si="0"/>
        <v>0</v>
      </c>
    </row>
    <row r="22" spans="1:33" s="253" customFormat="1" ht="9.9499999999999993" hidden="1" customHeight="1" x14ac:dyDescent="0.2">
      <c r="A22" s="425" t="s">
        <v>592</v>
      </c>
      <c r="B22" s="273"/>
      <c r="C22" s="450"/>
      <c r="D22" s="273"/>
      <c r="E22" s="450"/>
      <c r="F22" s="273"/>
      <c r="G22" s="450">
        <f>+BSGFws!BE11</f>
        <v>0</v>
      </c>
      <c r="H22" s="273"/>
      <c r="I22" s="450">
        <f>+BSGFws!BG11</f>
        <v>0</v>
      </c>
      <c r="J22" s="273"/>
      <c r="K22" s="450">
        <f>+BSGFws!BI11</f>
        <v>0</v>
      </c>
      <c r="L22" s="273"/>
      <c r="M22" s="450">
        <f>+BSGFws!BJ11</f>
        <v>0</v>
      </c>
      <c r="N22" s="273"/>
      <c r="O22" s="450">
        <f>+BSGFws!BK11</f>
        <v>0</v>
      </c>
      <c r="P22" s="273"/>
      <c r="Q22" s="450">
        <f>+BSGFws!BL11</f>
        <v>0</v>
      </c>
      <c r="R22" s="273"/>
      <c r="S22" s="450">
        <f>+BSGFws!BM11</f>
        <v>0</v>
      </c>
      <c r="T22" s="273"/>
      <c r="U22" s="450">
        <f>+BSGFws!BN11</f>
        <v>0</v>
      </c>
      <c r="V22" s="273"/>
      <c r="W22" s="450">
        <f>+BSGFws!BO11</f>
        <v>0</v>
      </c>
      <c r="X22" s="273"/>
      <c r="Y22" s="450">
        <f>+BSGFws!BP11</f>
        <v>0</v>
      </c>
      <c r="Z22" s="273"/>
      <c r="AA22" s="450">
        <f>+BSGFws!BS11</f>
        <v>0</v>
      </c>
      <c r="AB22" s="273"/>
      <c r="AC22" s="450">
        <f>+BSGFws!BH11</f>
        <v>0</v>
      </c>
      <c r="AD22" s="273"/>
      <c r="AE22" s="450">
        <f>+BSGFws!BF11</f>
        <v>0</v>
      </c>
      <c r="AF22" s="273"/>
      <c r="AG22" s="450">
        <f t="shared" si="0"/>
        <v>0</v>
      </c>
    </row>
    <row r="23" spans="1:33" s="253" customFormat="1" ht="9.9499999999999993" customHeight="1" x14ac:dyDescent="0.2">
      <c r="A23" s="425" t="s">
        <v>685</v>
      </c>
      <c r="B23" s="273"/>
      <c r="C23" s="450"/>
      <c r="D23" s="273"/>
      <c r="E23" s="450"/>
      <c r="F23" s="273"/>
      <c r="G23" s="450"/>
      <c r="H23" s="273"/>
      <c r="I23" s="450"/>
      <c r="J23" s="273"/>
      <c r="K23" s="450"/>
      <c r="L23" s="273"/>
      <c r="M23" s="450"/>
      <c r="N23" s="273"/>
      <c r="O23" s="450"/>
      <c r="P23" s="273"/>
      <c r="Q23" s="450"/>
      <c r="R23" s="273"/>
      <c r="S23" s="450"/>
      <c r="T23" s="273"/>
      <c r="U23" s="450">
        <f>+BSGFws!BN12</f>
        <v>0</v>
      </c>
      <c r="V23" s="273"/>
      <c r="W23" s="450"/>
      <c r="X23" s="273"/>
      <c r="Y23" s="450"/>
      <c r="Z23" s="273"/>
      <c r="AA23" s="450">
        <f>+BSGFws!BS12</f>
        <v>0</v>
      </c>
      <c r="AB23" s="273"/>
      <c r="AC23" s="450"/>
      <c r="AD23" s="273"/>
      <c r="AE23" s="450"/>
      <c r="AF23" s="273"/>
      <c r="AG23" s="450"/>
    </row>
    <row r="24" spans="1:33" s="454" customFormat="1" ht="9.9499999999999993" customHeight="1" x14ac:dyDescent="0.2">
      <c r="A24" s="426" t="s">
        <v>673</v>
      </c>
      <c r="B24" s="346"/>
      <c r="C24" s="450"/>
      <c r="D24" s="273"/>
      <c r="E24" s="450">
        <f>+BSGFws!BQ13</f>
        <v>144453</v>
      </c>
      <c r="F24" s="273"/>
      <c r="G24" s="450">
        <f>+BSGFws!BE13</f>
        <v>293</v>
      </c>
      <c r="H24" s="273"/>
      <c r="I24" s="450">
        <f>+BSGFws!BG13</f>
        <v>0</v>
      </c>
      <c r="J24" s="273"/>
      <c r="K24" s="450">
        <f>+BSGFws!BI13</f>
        <v>29</v>
      </c>
      <c r="L24" s="273"/>
      <c r="M24" s="450">
        <f>+BSGFws!BJ13</f>
        <v>3313</v>
      </c>
      <c r="N24" s="273"/>
      <c r="O24" s="450">
        <f>+BSGFws!BK13</f>
        <v>24125</v>
      </c>
      <c r="P24" s="273"/>
      <c r="Q24" s="450">
        <f>+BSGFws!BL13</f>
        <v>290</v>
      </c>
      <c r="R24" s="273"/>
      <c r="S24" s="450">
        <f>+BSGFws!BM13</f>
        <v>1791</v>
      </c>
      <c r="T24" s="273"/>
      <c r="U24" s="450">
        <f>+BSGFws!BN13</f>
        <v>0</v>
      </c>
      <c r="V24" s="273"/>
      <c r="W24" s="450">
        <f>BSGFws!BR13</f>
        <v>31825</v>
      </c>
      <c r="X24" s="273"/>
      <c r="Y24" s="450">
        <f>+BSGFws!BP13</f>
        <v>569</v>
      </c>
      <c r="Z24" s="273"/>
      <c r="AA24" s="450">
        <f>+BSGFws!BS13</f>
        <v>478</v>
      </c>
      <c r="AB24" s="273"/>
      <c r="AC24" s="450">
        <f>+BSGFws!BH13</f>
        <v>0</v>
      </c>
      <c r="AD24" s="273"/>
      <c r="AE24" s="450">
        <f>+BSGFws!BF13</f>
        <v>326</v>
      </c>
      <c r="AF24" s="273"/>
      <c r="AG24" s="450">
        <f t="shared" si="0"/>
        <v>207492</v>
      </c>
    </row>
    <row r="25" spans="1:33" s="253" customFormat="1" ht="9.9499999999999993" customHeight="1" x14ac:dyDescent="0.2">
      <c r="A25" s="426" t="s">
        <v>674</v>
      </c>
      <c r="B25" s="273"/>
      <c r="C25" s="450"/>
      <c r="D25" s="273"/>
      <c r="E25" s="450">
        <f>+BSGFws!BQ14</f>
        <v>0</v>
      </c>
      <c r="F25" s="273"/>
      <c r="G25" s="450">
        <f>+BSGFws!BE14</f>
        <v>0</v>
      </c>
      <c r="H25" s="273"/>
      <c r="I25" s="450">
        <f>+BSGFws!BG14</f>
        <v>0</v>
      </c>
      <c r="J25" s="273"/>
      <c r="K25" s="450">
        <f>+BSGFws!BI14</f>
        <v>0</v>
      </c>
      <c r="L25" s="273"/>
      <c r="M25" s="450">
        <f>+BSGFws!BJ14</f>
        <v>2136</v>
      </c>
      <c r="N25" s="273"/>
      <c r="O25" s="450">
        <f>+BSGFws!BK14</f>
        <v>7</v>
      </c>
      <c r="P25" s="273"/>
      <c r="Q25" s="450">
        <f>+BSGFws!BL14</f>
        <v>0</v>
      </c>
      <c r="R25" s="273"/>
      <c r="S25" s="450">
        <f>+BSGFws!BM14</f>
        <v>700</v>
      </c>
      <c r="T25" s="273"/>
      <c r="U25" s="450">
        <f>+BSGFws!BN14</f>
        <v>0</v>
      </c>
      <c r="V25" s="273"/>
      <c r="W25" s="450">
        <f>BSGFws!BR14</f>
        <v>0</v>
      </c>
      <c r="X25" s="273"/>
      <c r="Y25" s="450">
        <f>+BSGFws!BP14</f>
        <v>3631</v>
      </c>
      <c r="Z25" s="273"/>
      <c r="AA25" s="450">
        <f>+BSGFws!BS14</f>
        <v>1623</v>
      </c>
      <c r="AB25" s="273"/>
      <c r="AC25" s="450">
        <f>+BSGFws!BH14</f>
        <v>0</v>
      </c>
      <c r="AD25" s="273"/>
      <c r="AE25" s="450">
        <f>+BSGFws!BF14</f>
        <v>592</v>
      </c>
      <c r="AF25" s="273"/>
      <c r="AG25" s="450">
        <f t="shared" si="0"/>
        <v>8689</v>
      </c>
    </row>
    <row r="26" spans="1:33" s="253" customFormat="1" ht="9.9499999999999993" customHeight="1" x14ac:dyDescent="0.2">
      <c r="A26" s="426" t="s">
        <v>252</v>
      </c>
      <c r="B26" s="273"/>
      <c r="C26" s="450">
        <f>BSGFws!BD15</f>
        <v>0</v>
      </c>
      <c r="D26" s="273"/>
      <c r="E26" s="450">
        <f>+BSGFws!BQ15</f>
        <v>885</v>
      </c>
      <c r="F26" s="273"/>
      <c r="G26" s="450">
        <f>+BSGFws!BE15</f>
        <v>0</v>
      </c>
      <c r="H26" s="273"/>
      <c r="I26" s="450">
        <f>+BSGFws!BG15</f>
        <v>7</v>
      </c>
      <c r="J26" s="273"/>
      <c r="K26" s="450">
        <f>+BSGFws!BI15</f>
        <v>0</v>
      </c>
      <c r="L26" s="273"/>
      <c r="M26" s="450">
        <f>+BSGFws!BJ15</f>
        <v>95</v>
      </c>
      <c r="N26" s="273"/>
      <c r="O26" s="450">
        <f>+BSGFws!BK15</f>
        <v>96</v>
      </c>
      <c r="P26" s="273"/>
      <c r="Q26" s="450">
        <f>+BSGFws!BL15</f>
        <v>1</v>
      </c>
      <c r="R26" s="273"/>
      <c r="S26" s="450">
        <f>+BSGFws!BM15</f>
        <v>134</v>
      </c>
      <c r="T26" s="273"/>
      <c r="U26" s="450">
        <f>+BSGFws!BN15</f>
        <v>0</v>
      </c>
      <c r="V26" s="273"/>
      <c r="W26" s="450">
        <f>BSGFws!BR15</f>
        <v>156</v>
      </c>
      <c r="X26" s="273"/>
      <c r="Y26" s="450">
        <f>+BSGFws!BP15</f>
        <v>79</v>
      </c>
      <c r="Z26" s="273"/>
      <c r="AA26" s="450">
        <f>+BSGFws!BS15</f>
        <v>10</v>
      </c>
      <c r="AB26" s="273"/>
      <c r="AC26" s="450">
        <f>+BSGFws!BH15</f>
        <v>0</v>
      </c>
      <c r="AD26" s="273"/>
      <c r="AE26" s="450">
        <f>+BSGFws!BF15</f>
        <v>4</v>
      </c>
      <c r="AF26" s="273"/>
      <c r="AG26" s="450">
        <f>SUM(C26:AE26)</f>
        <v>1467</v>
      </c>
    </row>
    <row r="27" spans="1:33" s="253" customFormat="1" ht="9.9499999999999993" customHeight="1" x14ac:dyDescent="0.2">
      <c r="A27" s="426" t="s">
        <v>763</v>
      </c>
      <c r="B27" s="273"/>
      <c r="C27" s="450"/>
      <c r="D27" s="273"/>
      <c r="E27" s="450">
        <f>+BSGFws!BB16</f>
        <v>0</v>
      </c>
      <c r="F27" s="273"/>
      <c r="G27" s="450">
        <f>+BSGFws!BE16</f>
        <v>0</v>
      </c>
      <c r="H27" s="273"/>
      <c r="I27" s="450">
        <f>+BSGFws!BG16</f>
        <v>0</v>
      </c>
      <c r="J27" s="273"/>
      <c r="K27" s="450">
        <f>+BSGFws!BI16</f>
        <v>0</v>
      </c>
      <c r="L27" s="273"/>
      <c r="M27" s="450">
        <f>+BSGFws!BJ16</f>
        <v>425</v>
      </c>
      <c r="N27" s="273"/>
      <c r="O27" s="450">
        <f>+BSGFws!BK16</f>
        <v>0</v>
      </c>
      <c r="P27" s="273"/>
      <c r="Q27" s="450">
        <f>+BSGFws!BL16</f>
        <v>0</v>
      </c>
      <c r="R27" s="273"/>
      <c r="S27" s="450">
        <f>+BSGFws!BM16</f>
        <v>0</v>
      </c>
      <c r="T27" s="273"/>
      <c r="U27" s="450">
        <f>+BSGFws!BN16</f>
        <v>0</v>
      </c>
      <c r="V27" s="273"/>
      <c r="W27" s="450">
        <f>BSGFws!BR16</f>
        <v>0</v>
      </c>
      <c r="X27" s="273"/>
      <c r="Y27" s="450">
        <f>+BSGFws!BP16</f>
        <v>0</v>
      </c>
      <c r="Z27" s="273"/>
      <c r="AA27" s="450">
        <f>+BSGFws!BS16</f>
        <v>154</v>
      </c>
      <c r="AB27" s="273"/>
      <c r="AC27" s="450">
        <f>+BSGFws!BH16</f>
        <v>0</v>
      </c>
      <c r="AD27" s="273"/>
      <c r="AE27" s="450">
        <f>+BSGFws!BF16</f>
        <v>0</v>
      </c>
      <c r="AF27" s="273"/>
      <c r="AG27" s="450">
        <f t="shared" si="0"/>
        <v>579</v>
      </c>
    </row>
    <row r="28" spans="1:33" s="253" customFormat="1" ht="9.9499999999999993" hidden="1" customHeight="1" x14ac:dyDescent="0.2">
      <c r="A28" s="426" t="s">
        <v>683</v>
      </c>
      <c r="B28" s="254"/>
      <c r="C28" s="450"/>
      <c r="D28" s="254"/>
      <c r="E28" s="450">
        <f>+BSGFws!BB17</f>
        <v>0</v>
      </c>
      <c r="F28" s="254"/>
      <c r="G28" s="450">
        <f>+BSGFws!BE17</f>
        <v>0</v>
      </c>
      <c r="H28" s="254"/>
      <c r="I28" s="450">
        <f>+BSGFws!BG17</f>
        <v>0</v>
      </c>
      <c r="J28" s="254"/>
      <c r="K28" s="450">
        <f>+BSGFws!BI17</f>
        <v>0</v>
      </c>
      <c r="L28" s="254"/>
      <c r="M28" s="450">
        <f>+BSGFws!BJ17</f>
        <v>0</v>
      </c>
      <c r="N28" s="254"/>
      <c r="O28" s="450">
        <f>+BSGFws!BK17</f>
        <v>0</v>
      </c>
      <c r="P28" s="254"/>
      <c r="Q28" s="450">
        <f>+BSGFws!BL17</f>
        <v>0</v>
      </c>
      <c r="R28" s="254"/>
      <c r="S28" s="450">
        <f>+BSGFws!BM17</f>
        <v>0</v>
      </c>
      <c r="T28" s="254"/>
      <c r="U28" s="450">
        <f>+BSGFws!BN17</f>
        <v>0</v>
      </c>
      <c r="V28" s="254"/>
      <c r="W28" s="450">
        <f>BSGFws!BR17</f>
        <v>0</v>
      </c>
      <c r="X28" s="254"/>
      <c r="Y28" s="450">
        <f>+BSGFws!BP17</f>
        <v>0</v>
      </c>
      <c r="Z28" s="254"/>
      <c r="AA28" s="450">
        <f>+BSGFws!BS17</f>
        <v>0</v>
      </c>
      <c r="AB28" s="254"/>
      <c r="AC28" s="450">
        <f>+BSGFws!BH17</f>
        <v>0</v>
      </c>
      <c r="AD28" s="254"/>
      <c r="AE28" s="450">
        <f>+BSGFws!BF17</f>
        <v>0</v>
      </c>
      <c r="AF28" s="254"/>
      <c r="AG28" s="450">
        <f t="shared" si="0"/>
        <v>0</v>
      </c>
    </row>
    <row r="29" spans="1:33" s="253" customFormat="1" ht="9.75" customHeight="1" x14ac:dyDescent="0.2">
      <c r="A29" s="426" t="s">
        <v>840</v>
      </c>
      <c r="B29" s="254"/>
      <c r="C29" s="450"/>
      <c r="D29" s="254"/>
      <c r="E29" s="450">
        <f>+BSGFws!BQ18</f>
        <v>1565</v>
      </c>
      <c r="F29" s="254"/>
      <c r="G29" s="450">
        <f>+BSGFws!BE18</f>
        <v>0</v>
      </c>
      <c r="H29" s="254"/>
      <c r="I29" s="450">
        <f>+BSGFws!BG18</f>
        <v>0</v>
      </c>
      <c r="J29" s="254"/>
      <c r="K29" s="450">
        <f>+BSGFws!BI18</f>
        <v>0</v>
      </c>
      <c r="L29" s="254"/>
      <c r="M29" s="450">
        <f>+BSGFws!BJ18</f>
        <v>44</v>
      </c>
      <c r="N29" s="254"/>
      <c r="O29" s="450">
        <f>+BSGFws!BK18</f>
        <v>0</v>
      </c>
      <c r="P29" s="254"/>
      <c r="Q29" s="450">
        <f>+BSGFws!BL18</f>
        <v>3</v>
      </c>
      <c r="R29" s="254"/>
      <c r="S29" s="450">
        <f>+BSGFws!BM18</f>
        <v>0</v>
      </c>
      <c r="T29" s="254"/>
      <c r="U29" s="450">
        <f>+BSGFws!BN18</f>
        <v>0</v>
      </c>
      <c r="V29" s="254"/>
      <c r="W29" s="450">
        <f>+BSGFws!BO18</f>
        <v>0</v>
      </c>
      <c r="X29" s="254"/>
      <c r="Y29" s="450">
        <f>+BSGFws!BP18</f>
        <v>22</v>
      </c>
      <c r="Z29" s="254"/>
      <c r="AA29" s="450">
        <f>+BSGFws!BS18</f>
        <v>0</v>
      </c>
      <c r="AB29" s="254"/>
      <c r="AC29" s="450">
        <f>+BSGFws!BH18</f>
        <v>0</v>
      </c>
      <c r="AD29" s="254"/>
      <c r="AE29" s="450">
        <f>+BSGFws!BF18</f>
        <v>0</v>
      </c>
      <c r="AF29" s="254"/>
      <c r="AG29" s="450">
        <f t="shared" si="0"/>
        <v>1634</v>
      </c>
    </row>
    <row r="30" spans="1:33" s="253" customFormat="1" ht="9.75" customHeight="1" x14ac:dyDescent="0.2">
      <c r="A30" s="426" t="s">
        <v>1773</v>
      </c>
      <c r="B30" s="254"/>
      <c r="C30" s="450"/>
      <c r="D30" s="254"/>
      <c r="E30" s="450">
        <f>+BSGFws!BQ19</f>
        <v>0</v>
      </c>
      <c r="F30" s="254"/>
      <c r="G30" s="450">
        <f>+BSGFws!BE19</f>
        <v>0</v>
      </c>
      <c r="H30" s="254"/>
      <c r="I30" s="450">
        <f>+BSGFws!BG19</f>
        <v>0</v>
      </c>
      <c r="J30" s="254"/>
      <c r="K30" s="450">
        <f>+BSGFws!BI19</f>
        <v>0</v>
      </c>
      <c r="L30" s="254"/>
      <c r="M30" s="450">
        <f>+BSGFws!BJ19</f>
        <v>0</v>
      </c>
      <c r="N30" s="254"/>
      <c r="O30" s="450">
        <f>+BSGFws!BK19</f>
        <v>0</v>
      </c>
      <c r="P30" s="254"/>
      <c r="Q30" s="450">
        <f>+BSGFws!BL19</f>
        <v>0</v>
      </c>
      <c r="R30" s="254"/>
      <c r="S30" s="450">
        <f>+BSGFws!BM19</f>
        <v>0</v>
      </c>
      <c r="T30" s="254"/>
      <c r="U30" s="450">
        <f>+BSGFws!BN19</f>
        <v>0</v>
      </c>
      <c r="V30" s="254"/>
      <c r="W30" s="450">
        <f>+BSGFws!BO19</f>
        <v>0</v>
      </c>
      <c r="X30" s="254"/>
      <c r="Y30" s="450">
        <f>+BSGFws!BP19</f>
        <v>5975</v>
      </c>
      <c r="Z30" s="254"/>
      <c r="AA30" s="450">
        <f>+BSGFws!BS19</f>
        <v>0</v>
      </c>
      <c r="AB30" s="254"/>
      <c r="AC30" s="450">
        <f>+BSGFws!BH19</f>
        <v>0</v>
      </c>
      <c r="AD30" s="254"/>
      <c r="AE30" s="450">
        <f>+BSGFws!BF19</f>
        <v>0</v>
      </c>
      <c r="AF30" s="254"/>
      <c r="AG30" s="450">
        <f t="shared" si="0"/>
        <v>5975</v>
      </c>
    </row>
    <row r="31" spans="1:33" s="253" customFormat="1" ht="9.9499999999999993" customHeight="1" x14ac:dyDescent="0.2">
      <c r="A31" s="426" t="s">
        <v>63</v>
      </c>
      <c r="B31" s="254"/>
      <c r="C31" s="450"/>
      <c r="D31" s="254"/>
      <c r="E31" s="450">
        <f>+BSGFws!BQ20</f>
        <v>8990</v>
      </c>
      <c r="F31" s="254"/>
      <c r="G31" s="450">
        <f>+BSGFws!BE20</f>
        <v>0</v>
      </c>
      <c r="H31" s="254"/>
      <c r="I31" s="450">
        <f>+BSGFws!BG20</f>
        <v>0</v>
      </c>
      <c r="J31" s="254"/>
      <c r="K31" s="450">
        <f>+BSGFws!BI20</f>
        <v>0</v>
      </c>
      <c r="L31" s="254"/>
      <c r="M31" s="450">
        <f>+BSGFws!BJ20</f>
        <v>0</v>
      </c>
      <c r="N31" s="254"/>
      <c r="O31" s="450">
        <f>+BSGFws!BK20</f>
        <v>0</v>
      </c>
      <c r="P31" s="254"/>
      <c r="Q31" s="450">
        <f>+BSGFws!BL20</f>
        <v>0</v>
      </c>
      <c r="R31" s="254"/>
      <c r="S31" s="450">
        <f>+BSGFws!BM20</f>
        <v>0</v>
      </c>
      <c r="T31" s="254"/>
      <c r="U31" s="450">
        <f>+BSGFws!BN20</f>
        <v>0</v>
      </c>
      <c r="V31" s="254"/>
      <c r="W31" s="450">
        <f>+BSGFws!BO20</f>
        <v>0</v>
      </c>
      <c r="X31" s="254"/>
      <c r="Y31" s="450">
        <f>+BSGFws!BP20</f>
        <v>0</v>
      </c>
      <c r="Z31" s="254"/>
      <c r="AA31" s="450">
        <f>+BSGFws!BS20</f>
        <v>0</v>
      </c>
      <c r="AB31" s="254"/>
      <c r="AC31" s="450">
        <f>+BSGFws!BH20</f>
        <v>0</v>
      </c>
      <c r="AD31" s="254"/>
      <c r="AE31" s="450">
        <f>+BSGFws!BF20</f>
        <v>0</v>
      </c>
      <c r="AF31" s="254"/>
      <c r="AG31" s="450">
        <f t="shared" si="0"/>
        <v>8990</v>
      </c>
    </row>
    <row r="32" spans="1:33" s="253" customFormat="1" ht="9.9499999999999993" hidden="1" customHeight="1" x14ac:dyDescent="0.2">
      <c r="A32" s="426" t="s">
        <v>592</v>
      </c>
      <c r="B32" s="254"/>
      <c r="C32" s="450"/>
      <c r="D32" s="254"/>
      <c r="E32" s="450">
        <f>+BSGFws!BQ21</f>
        <v>0</v>
      </c>
      <c r="F32" s="254"/>
      <c r="G32" s="450">
        <f>+BSGFws!BE21</f>
        <v>0</v>
      </c>
      <c r="H32" s="254"/>
      <c r="I32" s="450">
        <f>+BSGFws!BG21</f>
        <v>0</v>
      </c>
      <c r="J32" s="254"/>
      <c r="K32" s="450">
        <f>+BSGFws!BI21</f>
        <v>0</v>
      </c>
      <c r="L32" s="254"/>
      <c r="M32" s="450">
        <f>+BSGFws!BJ21</f>
        <v>0</v>
      </c>
      <c r="N32" s="254"/>
      <c r="O32" s="450">
        <f>+BSGFws!BK21</f>
        <v>0</v>
      </c>
      <c r="P32" s="254"/>
      <c r="Q32" s="450">
        <f>+BSGFws!BL21</f>
        <v>0</v>
      </c>
      <c r="R32" s="254"/>
      <c r="S32" s="450">
        <f>+BSGFws!BM21</f>
        <v>0</v>
      </c>
      <c r="T32" s="254"/>
      <c r="U32" s="450">
        <f>+BSGFws!BN21</f>
        <v>0</v>
      </c>
      <c r="V32" s="254"/>
      <c r="W32" s="450">
        <f>+BSGFws!BO21</f>
        <v>0</v>
      </c>
      <c r="X32" s="254"/>
      <c r="Y32" s="450">
        <f>+BSGFws!BP21</f>
        <v>0</v>
      </c>
      <c r="Z32" s="254"/>
      <c r="AA32" s="450">
        <f>+BSGFws!BS21</f>
        <v>0</v>
      </c>
      <c r="AB32" s="254"/>
      <c r="AC32" s="450">
        <f>+BSGFws!BH21</f>
        <v>0</v>
      </c>
      <c r="AD32" s="254"/>
      <c r="AE32" s="450">
        <f>+BSGFws!BF21</f>
        <v>0</v>
      </c>
      <c r="AF32" s="254"/>
      <c r="AG32" s="450">
        <f t="shared" si="0"/>
        <v>0</v>
      </c>
    </row>
    <row r="33" spans="1:33" s="253" customFormat="1" ht="5.0999999999999996" customHeight="1" x14ac:dyDescent="0.2">
      <c r="B33" s="254"/>
      <c r="C33" s="340"/>
      <c r="D33" s="254"/>
      <c r="E33" s="340"/>
      <c r="F33" s="254"/>
      <c r="G33" s="340"/>
      <c r="H33" s="254"/>
      <c r="I33" s="340"/>
      <c r="J33" s="254"/>
      <c r="K33" s="340"/>
      <c r="L33" s="254"/>
      <c r="M33" s="340"/>
      <c r="N33" s="254"/>
      <c r="O33" s="340"/>
      <c r="P33" s="254"/>
      <c r="Q33" s="340"/>
      <c r="R33" s="254"/>
      <c r="S33" s="340"/>
      <c r="T33" s="254"/>
      <c r="U33" s="340"/>
      <c r="V33" s="254"/>
      <c r="W33" s="340"/>
      <c r="X33" s="254"/>
      <c r="Y33" s="340"/>
      <c r="Z33" s="254"/>
      <c r="AA33" s="340"/>
      <c r="AB33" s="254"/>
      <c r="AC33" s="340"/>
      <c r="AD33" s="254"/>
      <c r="AE33" s="340"/>
      <c r="AF33" s="254"/>
      <c r="AG33" s="366"/>
    </row>
    <row r="34" spans="1:33" s="253" customFormat="1" ht="9.9499999999999993" customHeight="1" thickBot="1" x14ac:dyDescent="0.25">
      <c r="A34" s="417" t="s">
        <v>687</v>
      </c>
      <c r="B34" s="254"/>
      <c r="C34" s="344">
        <f>SUM(C14:C32)</f>
        <v>0</v>
      </c>
      <c r="D34" s="254"/>
      <c r="E34" s="344">
        <f>SUM(E14:E32)</f>
        <v>155893</v>
      </c>
      <c r="F34" s="254"/>
      <c r="G34" s="344">
        <f>SUM(G14:G32)</f>
        <v>293</v>
      </c>
      <c r="H34" s="254"/>
      <c r="I34" s="344">
        <f>SUM(I14:I32)</f>
        <v>7</v>
      </c>
      <c r="J34" s="254"/>
      <c r="K34" s="344">
        <f>SUM(K14:K32)</f>
        <v>29</v>
      </c>
      <c r="L34" s="254"/>
      <c r="M34" s="344">
        <f>SUM(M14:M32)</f>
        <v>6013</v>
      </c>
      <c r="N34" s="254"/>
      <c r="O34" s="344">
        <f>SUM(O14:O32)</f>
        <v>24228</v>
      </c>
      <c r="P34" s="254"/>
      <c r="Q34" s="344">
        <f>SUM(Q14:Q32)</f>
        <v>294</v>
      </c>
      <c r="R34" s="254"/>
      <c r="S34" s="344">
        <f>SUM(S14:S32)</f>
        <v>2625</v>
      </c>
      <c r="T34" s="254"/>
      <c r="U34" s="344">
        <f>SUM(U14:U32)</f>
        <v>0</v>
      </c>
      <c r="V34" s="254"/>
      <c r="W34" s="344">
        <f>SUM(W14:W32)</f>
        <v>31981</v>
      </c>
      <c r="X34" s="254"/>
      <c r="Y34" s="344">
        <f>SUM(Y14:Y32)</f>
        <v>10276</v>
      </c>
      <c r="Z34" s="254"/>
      <c r="AA34" s="344">
        <f>SUM(AA14:AA32)</f>
        <v>2656</v>
      </c>
      <c r="AB34" s="254"/>
      <c r="AC34" s="344">
        <f>SUM(AC14:AC32)</f>
        <v>12472</v>
      </c>
      <c r="AD34" s="254"/>
      <c r="AE34" s="344">
        <f>SUM(AE14:AE32)</f>
        <v>922</v>
      </c>
      <c r="AF34" s="254"/>
      <c r="AG34" s="344">
        <f>SUM(AG14:AG32)</f>
        <v>247689</v>
      </c>
    </row>
    <row r="35" spans="1:33" s="253" customFormat="1" ht="5.0999999999999996" customHeight="1" thickTop="1" x14ac:dyDescent="0.2">
      <c r="B35" s="254"/>
      <c r="C35" s="340"/>
      <c r="D35" s="254"/>
      <c r="E35" s="340"/>
      <c r="F35" s="254"/>
      <c r="G35" s="340"/>
      <c r="H35" s="254"/>
      <c r="I35" s="340"/>
      <c r="J35" s="254"/>
      <c r="K35" s="340"/>
      <c r="L35" s="254"/>
      <c r="M35" s="340"/>
      <c r="N35" s="254"/>
      <c r="O35" s="340"/>
      <c r="P35" s="254"/>
      <c r="Q35" s="340"/>
      <c r="R35" s="254"/>
      <c r="S35" s="340"/>
      <c r="T35" s="254"/>
      <c r="U35" s="340"/>
      <c r="V35" s="254"/>
      <c r="W35" s="340"/>
      <c r="X35" s="254"/>
      <c r="Y35" s="340"/>
      <c r="Z35" s="254"/>
      <c r="AA35" s="340"/>
      <c r="AB35" s="254"/>
      <c r="AC35" s="340"/>
      <c r="AD35" s="254"/>
      <c r="AE35" s="340"/>
      <c r="AF35" s="254"/>
      <c r="AG35" s="366"/>
    </row>
    <row r="36" spans="1:33" s="253" customFormat="1" ht="24" x14ac:dyDescent="0.2">
      <c r="A36" s="1241" t="s">
        <v>1698</v>
      </c>
      <c r="B36" s="347"/>
      <c r="C36" s="450"/>
      <c r="D36" s="347"/>
      <c r="E36" s="450"/>
      <c r="F36" s="347"/>
      <c r="G36" s="450"/>
      <c r="H36" s="347"/>
      <c r="I36" s="450"/>
      <c r="J36" s="347"/>
      <c r="K36" s="450"/>
      <c r="L36" s="347"/>
      <c r="M36" s="450"/>
      <c r="N36" s="347"/>
      <c r="O36" s="450"/>
      <c r="P36" s="347"/>
      <c r="Q36" s="450"/>
      <c r="R36" s="347"/>
      <c r="S36" s="450"/>
      <c r="T36" s="347"/>
      <c r="U36" s="450"/>
      <c r="V36" s="347"/>
      <c r="W36" s="450"/>
      <c r="X36" s="347"/>
      <c r="Y36" s="450"/>
      <c r="Z36" s="347"/>
      <c r="AA36" s="450"/>
      <c r="AB36" s="347"/>
      <c r="AC36" s="450"/>
      <c r="AD36" s="347"/>
      <c r="AE36" s="450"/>
      <c r="AF36" s="347"/>
      <c r="AG36" s="450"/>
    </row>
    <row r="37" spans="1:33" s="253" customFormat="1" ht="9.9499999999999993" customHeight="1" x14ac:dyDescent="0.2">
      <c r="A37" s="428" t="s">
        <v>751</v>
      </c>
      <c r="B37" s="273"/>
      <c r="C37" s="450"/>
      <c r="D37" s="273"/>
      <c r="E37" s="450"/>
      <c r="F37" s="273"/>
      <c r="G37" s="450"/>
      <c r="H37" s="273"/>
      <c r="I37" s="450"/>
      <c r="J37" s="273"/>
      <c r="K37" s="450"/>
      <c r="L37" s="273"/>
      <c r="M37" s="450"/>
      <c r="N37" s="273"/>
      <c r="O37" s="450"/>
      <c r="P37" s="273"/>
      <c r="Q37" s="450"/>
      <c r="R37" s="273"/>
      <c r="S37" s="450"/>
      <c r="T37" s="273"/>
      <c r="U37" s="450"/>
      <c r="V37" s="273"/>
      <c r="W37" s="450"/>
      <c r="X37" s="273"/>
      <c r="Y37" s="450"/>
      <c r="Z37" s="273"/>
      <c r="AA37" s="450"/>
      <c r="AB37" s="273"/>
      <c r="AC37" s="450"/>
      <c r="AD37" s="273"/>
      <c r="AE37" s="450"/>
      <c r="AF37" s="273"/>
      <c r="AG37" s="450"/>
    </row>
    <row r="38" spans="1:33" s="454" customFormat="1" ht="9.9499999999999993" customHeight="1" x14ac:dyDescent="0.2">
      <c r="A38" s="426" t="s">
        <v>688</v>
      </c>
      <c r="B38" s="346"/>
      <c r="C38" s="339">
        <f>BSGFws!BD28</f>
        <v>0</v>
      </c>
      <c r="D38" s="346"/>
      <c r="E38" s="339">
        <f>+BSGFws!BQ28</f>
        <v>0</v>
      </c>
      <c r="F38" s="346"/>
      <c r="G38" s="339">
        <f>+BSGFws!BE28</f>
        <v>0</v>
      </c>
      <c r="H38" s="339"/>
      <c r="I38" s="339">
        <f>+BSGFws!BG28</f>
        <v>0</v>
      </c>
      <c r="J38" s="339"/>
      <c r="K38" s="339">
        <f>+BSGFws!BI28</f>
        <v>0</v>
      </c>
      <c r="L38" s="339"/>
      <c r="M38" s="339">
        <f>+BSGFws!BJ28</f>
        <v>0</v>
      </c>
      <c r="N38" s="339"/>
      <c r="O38" s="339">
        <f>+BSGFws!BK28</f>
        <v>0</v>
      </c>
      <c r="P38" s="339"/>
      <c r="Q38" s="339">
        <f>+BSGFws!BL28</f>
        <v>0</v>
      </c>
      <c r="R38" s="339"/>
      <c r="S38" s="339">
        <f>+BSGFws!BM28</f>
        <v>0</v>
      </c>
      <c r="T38" s="339"/>
      <c r="U38" s="339">
        <f>+BSGFws!BN27</f>
        <v>0</v>
      </c>
      <c r="V38" s="339"/>
      <c r="W38" s="339">
        <f>+BSGFws!BO28</f>
        <v>0</v>
      </c>
      <c r="X38" s="339"/>
      <c r="Y38" s="339">
        <f>+BSGFws!BP28</f>
        <v>0</v>
      </c>
      <c r="Z38" s="339"/>
      <c r="AA38" s="339">
        <f>+BSGFws!BS28</f>
        <v>15</v>
      </c>
      <c r="AB38" s="339"/>
      <c r="AC38" s="339">
        <f>+BSGFws!BH28</f>
        <v>953</v>
      </c>
      <c r="AD38" s="339"/>
      <c r="AE38" s="339">
        <v>0</v>
      </c>
      <c r="AF38" s="339"/>
      <c r="AG38" s="339">
        <f t="shared" ref="AG38:AG53" si="1">SUM(C38:AE38)</f>
        <v>968</v>
      </c>
    </row>
    <row r="39" spans="1:33" s="1057" customFormat="1" ht="9.9499999999999993" customHeight="1" x14ac:dyDescent="0.2">
      <c r="A39" s="426" t="s">
        <v>847</v>
      </c>
      <c r="B39" s="1244"/>
      <c r="C39" s="1244"/>
      <c r="D39" s="1244"/>
      <c r="E39" s="450">
        <f>+BSGFws!BQ29</f>
        <v>0</v>
      </c>
      <c r="F39" s="1244"/>
      <c r="G39" s="450">
        <f>+BSGFws!BE29</f>
        <v>0</v>
      </c>
      <c r="H39" s="450"/>
      <c r="I39" s="450">
        <f>+BSGFws!BG29</f>
        <v>0</v>
      </c>
      <c r="J39" s="450"/>
      <c r="K39" s="450">
        <f>+BSGFws!BI29</f>
        <v>0</v>
      </c>
      <c r="L39" s="450"/>
      <c r="M39" s="450">
        <f>+BSGFws!BJ29</f>
        <v>0</v>
      </c>
      <c r="N39" s="450"/>
      <c r="O39" s="450">
        <f>+BSGFws!BK29</f>
        <v>0</v>
      </c>
      <c r="P39" s="450"/>
      <c r="Q39" s="450">
        <f>+BSGFws!BL29</f>
        <v>0</v>
      </c>
      <c r="R39" s="450"/>
      <c r="S39" s="450">
        <f>+BSGFws!BM29</f>
        <v>0</v>
      </c>
      <c r="T39" s="450"/>
      <c r="U39" s="450">
        <f>+BSGFws!BN28</f>
        <v>0</v>
      </c>
      <c r="V39" s="450"/>
      <c r="W39" s="450">
        <f>+BSGFws!BO29</f>
        <v>0</v>
      </c>
      <c r="X39" s="450"/>
      <c r="Y39" s="450">
        <f>+BSGFws!BP29</f>
        <v>0</v>
      </c>
      <c r="Z39" s="450"/>
      <c r="AA39" s="450"/>
      <c r="AB39" s="450"/>
      <c r="AC39" s="450">
        <f>+BSGFws!BH29</f>
        <v>1308</v>
      </c>
      <c r="AD39" s="450"/>
      <c r="AE39" s="450"/>
      <c r="AF39" s="450"/>
      <c r="AG39" s="450">
        <f t="shared" si="1"/>
        <v>1308</v>
      </c>
    </row>
    <row r="40" spans="1:33" s="253" customFormat="1" ht="9.9499999999999993" hidden="1" customHeight="1" x14ac:dyDescent="0.2">
      <c r="A40" s="426" t="s">
        <v>690</v>
      </c>
      <c r="B40" s="273"/>
      <c r="C40" s="450"/>
      <c r="D40" s="273"/>
      <c r="E40" s="450">
        <f>+BSGFws!BQ30</f>
        <v>0</v>
      </c>
      <c r="F40" s="273"/>
      <c r="G40" s="450">
        <f>+BSGFws!BE30</f>
        <v>0</v>
      </c>
      <c r="H40" s="273"/>
      <c r="I40" s="450">
        <f>+BSGFws!BG30</f>
        <v>0</v>
      </c>
      <c r="J40" s="273"/>
      <c r="K40" s="450">
        <f>+BSGFws!BI30</f>
        <v>0</v>
      </c>
      <c r="L40" s="273"/>
      <c r="M40" s="450">
        <f>+BSGFws!BJ30</f>
        <v>0</v>
      </c>
      <c r="N40" s="273"/>
      <c r="O40" s="450">
        <f>+BSGFws!BK30</f>
        <v>0</v>
      </c>
      <c r="P40" s="273"/>
      <c r="Q40" s="450">
        <f>+BSGFws!BL30</f>
        <v>0</v>
      </c>
      <c r="R40" s="273"/>
      <c r="S40" s="450">
        <f>+BSGFws!BM30</f>
        <v>0</v>
      </c>
      <c r="T40" s="273"/>
      <c r="U40" s="450">
        <f>+BSGFws!BN29</f>
        <v>0</v>
      </c>
      <c r="V40" s="273"/>
      <c r="W40" s="450">
        <f>+BSGFws!BO30</f>
        <v>0</v>
      </c>
      <c r="X40" s="273"/>
      <c r="Y40" s="450">
        <f>+BSGFws!BP30</f>
        <v>0</v>
      </c>
      <c r="Z40" s="273"/>
      <c r="AA40" s="450">
        <f>+BSGFws!BS29</f>
        <v>0</v>
      </c>
      <c r="AB40" s="273"/>
      <c r="AC40" s="450">
        <f>+BSGFws!BH30</f>
        <v>0</v>
      </c>
      <c r="AD40" s="273"/>
      <c r="AE40" s="450">
        <f>+BSGFws!BF30</f>
        <v>0</v>
      </c>
      <c r="AF40" s="273"/>
      <c r="AG40" s="450">
        <f t="shared" si="1"/>
        <v>0</v>
      </c>
    </row>
    <row r="41" spans="1:33" s="253" customFormat="1" ht="9.9499999999999993" hidden="1" customHeight="1" x14ac:dyDescent="0.2">
      <c r="A41" s="426" t="s">
        <v>691</v>
      </c>
      <c r="B41" s="273"/>
      <c r="C41" s="450"/>
      <c r="D41" s="273"/>
      <c r="E41" s="450">
        <f>+BSGFws!BQ31</f>
        <v>0</v>
      </c>
      <c r="F41" s="273"/>
      <c r="G41" s="450">
        <f>+BSGFws!BE31</f>
        <v>0</v>
      </c>
      <c r="H41" s="273"/>
      <c r="I41" s="450">
        <f>+BSGFws!BG31</f>
        <v>0</v>
      </c>
      <c r="J41" s="273"/>
      <c r="K41" s="450">
        <f>+BSGFws!BI31</f>
        <v>0</v>
      </c>
      <c r="L41" s="273"/>
      <c r="M41" s="450">
        <f>+BSGFws!BJ31</f>
        <v>0</v>
      </c>
      <c r="N41" s="273"/>
      <c r="O41" s="450">
        <f>+BSGFws!BK31</f>
        <v>0</v>
      </c>
      <c r="P41" s="273"/>
      <c r="Q41" s="450">
        <f>+BSGFws!BL31</f>
        <v>0</v>
      </c>
      <c r="R41" s="273"/>
      <c r="S41" s="450">
        <f>+BSGFws!BM31</f>
        <v>0</v>
      </c>
      <c r="T41" s="273"/>
      <c r="U41" s="450">
        <f>+BSGFws!BN30</f>
        <v>0</v>
      </c>
      <c r="V41" s="273"/>
      <c r="W41" s="450">
        <f>+BSGFws!BO31</f>
        <v>0</v>
      </c>
      <c r="X41" s="273"/>
      <c r="Y41" s="450">
        <f>+BSGFws!BP31</f>
        <v>0</v>
      </c>
      <c r="Z41" s="273"/>
      <c r="AA41" s="450">
        <f>+BSGFws!BS30</f>
        <v>0</v>
      </c>
      <c r="AB41" s="273"/>
      <c r="AC41" s="450">
        <f>+BSGFws!BH31</f>
        <v>0</v>
      </c>
      <c r="AD41" s="273"/>
      <c r="AE41" s="450">
        <f>+BSGFws!BF31</f>
        <v>0</v>
      </c>
      <c r="AF41" s="273"/>
      <c r="AG41" s="450">
        <f t="shared" si="1"/>
        <v>0</v>
      </c>
    </row>
    <row r="42" spans="1:33" s="253" customFormat="1" ht="9.9499999999999993" customHeight="1" x14ac:dyDescent="0.2">
      <c r="A42" s="426" t="s">
        <v>692</v>
      </c>
      <c r="B42" s="273"/>
      <c r="C42" s="450"/>
      <c r="D42" s="273"/>
      <c r="E42" s="450">
        <f>+BSGFws!BQ32</f>
        <v>0</v>
      </c>
      <c r="F42" s="273"/>
      <c r="G42" s="450">
        <f>+BSGFws!BE32</f>
        <v>0</v>
      </c>
      <c r="H42" s="273"/>
      <c r="I42" s="450">
        <f>+BSGFws!BG32</f>
        <v>0</v>
      </c>
      <c r="J42" s="273"/>
      <c r="K42" s="450">
        <f>+BSGFws!BI32</f>
        <v>0</v>
      </c>
      <c r="L42" s="273"/>
      <c r="M42" s="450">
        <f>+BSGFws!BJ32</f>
        <v>0</v>
      </c>
      <c r="N42" s="273"/>
      <c r="O42" s="450">
        <f>+BSGFws!BK32</f>
        <v>0</v>
      </c>
      <c r="P42" s="273"/>
      <c r="Q42" s="450">
        <f>+BSGFws!BL32</f>
        <v>0</v>
      </c>
      <c r="R42" s="273"/>
      <c r="S42" s="450">
        <f>+BSGFws!BM32</f>
        <v>0</v>
      </c>
      <c r="T42" s="273"/>
      <c r="U42" s="450">
        <f>+BSGFws!BN31</f>
        <v>0</v>
      </c>
      <c r="V42" s="273"/>
      <c r="W42" s="450">
        <f>+BSGFws!BO32</f>
        <v>0</v>
      </c>
      <c r="X42" s="273"/>
      <c r="Y42" s="450">
        <f>+BSGFws!BP32</f>
        <v>0</v>
      </c>
      <c r="Z42" s="273"/>
      <c r="AA42" s="450">
        <f>+BSGFws!BS31</f>
        <v>0</v>
      </c>
      <c r="AB42" s="273"/>
      <c r="AC42" s="450">
        <f>+BSGFws!BH32</f>
        <v>267</v>
      </c>
      <c r="AD42" s="273"/>
      <c r="AE42" s="450">
        <f>+BSGFws!BF18</f>
        <v>0</v>
      </c>
      <c r="AF42" s="273"/>
      <c r="AG42" s="450">
        <f t="shared" si="1"/>
        <v>267</v>
      </c>
    </row>
    <row r="43" spans="1:33" s="253" customFormat="1" ht="9.9499999999999993" hidden="1" customHeight="1" x14ac:dyDescent="0.2">
      <c r="A43" s="426" t="s">
        <v>848</v>
      </c>
      <c r="B43" s="273"/>
      <c r="C43" s="450"/>
      <c r="D43" s="273"/>
      <c r="E43" s="450">
        <f>+BSGFws!BQ33</f>
        <v>0</v>
      </c>
      <c r="F43" s="273"/>
      <c r="G43" s="450">
        <f>+BSGFws!BE33</f>
        <v>0</v>
      </c>
      <c r="H43" s="273"/>
      <c r="I43" s="450">
        <f>+BSGFws!BG33</f>
        <v>0</v>
      </c>
      <c r="J43" s="273"/>
      <c r="K43" s="450">
        <f>+BSGFws!BI33</f>
        <v>0</v>
      </c>
      <c r="L43" s="273"/>
      <c r="M43" s="450">
        <f>+BSGFws!BJ33</f>
        <v>0</v>
      </c>
      <c r="N43" s="273"/>
      <c r="O43" s="450">
        <f>+BSGFws!BK33</f>
        <v>0</v>
      </c>
      <c r="P43" s="273"/>
      <c r="Q43" s="450">
        <f>+BSGFws!BL33</f>
        <v>0</v>
      </c>
      <c r="R43" s="273"/>
      <c r="S43" s="450">
        <f>+BSGFws!BM33</f>
        <v>0</v>
      </c>
      <c r="T43" s="273"/>
      <c r="U43" s="450"/>
      <c r="V43" s="273"/>
      <c r="W43" s="450">
        <f>+BSGFws!BO33</f>
        <v>0</v>
      </c>
      <c r="X43" s="273"/>
      <c r="Y43" s="450">
        <f>+BSGFws!BP33</f>
        <v>0</v>
      </c>
      <c r="Z43" s="273"/>
      <c r="AA43" s="450"/>
      <c r="AB43" s="273"/>
      <c r="AC43" s="450">
        <f>+BSGFws!BH33</f>
        <v>0</v>
      </c>
      <c r="AD43" s="273"/>
      <c r="AE43" s="450">
        <f>+BSGFws!BF33</f>
        <v>0</v>
      </c>
      <c r="AF43" s="273"/>
      <c r="AG43" s="450">
        <f t="shared" si="1"/>
        <v>0</v>
      </c>
    </row>
    <row r="44" spans="1:33" s="253" customFormat="1" ht="9.9499999999999993" hidden="1" customHeight="1" x14ac:dyDescent="0.2">
      <c r="A44" s="426" t="s">
        <v>604</v>
      </c>
      <c r="B44" s="273"/>
      <c r="C44" s="450"/>
      <c r="D44" s="273"/>
      <c r="E44" s="450">
        <f>+BSGFws!BQ34</f>
        <v>0</v>
      </c>
      <c r="F44" s="273"/>
      <c r="G44" s="450">
        <f>+BSGFws!BE34</f>
        <v>0</v>
      </c>
      <c r="H44" s="273"/>
      <c r="I44" s="450">
        <f>+BSGFws!BG34</f>
        <v>0</v>
      </c>
      <c r="J44" s="273"/>
      <c r="K44" s="450">
        <f>+BSGFws!BI34</f>
        <v>0</v>
      </c>
      <c r="L44" s="273"/>
      <c r="M44" s="450">
        <f>+BSGFws!BJ34</f>
        <v>0</v>
      </c>
      <c r="N44" s="273"/>
      <c r="O44" s="450">
        <f>+BSGFws!BK34</f>
        <v>0</v>
      </c>
      <c r="P44" s="273"/>
      <c r="Q44" s="450">
        <f>+BSGFws!BL34</f>
        <v>0</v>
      </c>
      <c r="R44" s="273"/>
      <c r="S44" s="450">
        <f>+BSGFws!BM34</f>
        <v>0</v>
      </c>
      <c r="T44" s="273"/>
      <c r="U44" s="450">
        <f>+BSGFws!BN33</f>
        <v>0</v>
      </c>
      <c r="V44" s="273"/>
      <c r="W44" s="450">
        <f>+BSGFws!BO34</f>
        <v>0</v>
      </c>
      <c r="X44" s="273"/>
      <c r="Y44" s="450">
        <f>+BSGFws!BP34</f>
        <v>0</v>
      </c>
      <c r="Z44" s="273"/>
      <c r="AA44" s="450">
        <f>BSGFws!BS34</f>
        <v>0</v>
      </c>
      <c r="AB44" s="273"/>
      <c r="AC44" s="450">
        <f>+BSGFws!BH34</f>
        <v>0</v>
      </c>
      <c r="AD44" s="273"/>
      <c r="AE44" s="450">
        <f>+BSGFws!BF34</f>
        <v>0</v>
      </c>
      <c r="AF44" s="273"/>
      <c r="AG44" s="450">
        <f t="shared" si="1"/>
        <v>0</v>
      </c>
    </row>
    <row r="45" spans="1:33" s="253" customFormat="1" ht="9.9499999999999993" hidden="1" customHeight="1" x14ac:dyDescent="0.2">
      <c r="A45" s="426" t="s">
        <v>593</v>
      </c>
      <c r="B45" s="273"/>
      <c r="C45" s="450"/>
      <c r="D45" s="273"/>
      <c r="E45" s="450">
        <f>+BSGFws!BQ35</f>
        <v>0</v>
      </c>
      <c r="F45" s="273"/>
      <c r="G45" s="450">
        <f>+BSGFws!BE35</f>
        <v>0</v>
      </c>
      <c r="H45" s="273"/>
      <c r="I45" s="450">
        <f>+BSGFws!BG35</f>
        <v>0</v>
      </c>
      <c r="J45" s="273"/>
      <c r="K45" s="450">
        <f>+BSGFws!BI35</f>
        <v>0</v>
      </c>
      <c r="L45" s="273"/>
      <c r="M45" s="450">
        <f>+BSGFws!BJ35</f>
        <v>0</v>
      </c>
      <c r="N45" s="273"/>
      <c r="O45" s="450">
        <f>+BSGFws!BK35</f>
        <v>0</v>
      </c>
      <c r="P45" s="273"/>
      <c r="Q45" s="450">
        <f>+BSGFws!BL35</f>
        <v>0</v>
      </c>
      <c r="R45" s="273"/>
      <c r="S45" s="450">
        <f>+BSGFws!BM35</f>
        <v>0</v>
      </c>
      <c r="T45" s="273"/>
      <c r="U45" s="450">
        <f>+BSGFws!BN34</f>
        <v>0</v>
      </c>
      <c r="V45" s="273"/>
      <c r="W45" s="450">
        <f>+BSGFws!BO35</f>
        <v>0</v>
      </c>
      <c r="X45" s="273"/>
      <c r="Y45" s="450">
        <f>+BSGFws!BP35</f>
        <v>0</v>
      </c>
      <c r="Z45" s="273"/>
      <c r="AA45" s="450">
        <f>BSGFws!BS35</f>
        <v>0</v>
      </c>
      <c r="AB45" s="273"/>
      <c r="AC45" s="450">
        <f>+BSGFws!BH35</f>
        <v>0</v>
      </c>
      <c r="AD45" s="273"/>
      <c r="AE45" s="450">
        <f>+BSGFws!BF35</f>
        <v>0</v>
      </c>
      <c r="AF45" s="273"/>
      <c r="AG45" s="450">
        <f t="shared" si="1"/>
        <v>0</v>
      </c>
    </row>
    <row r="46" spans="1:33" s="253" customFormat="1" ht="9.9499999999999993" customHeight="1" x14ac:dyDescent="0.2">
      <c r="A46" s="426" t="s">
        <v>1304</v>
      </c>
      <c r="B46" s="273"/>
      <c r="C46" s="450"/>
      <c r="D46" s="273"/>
      <c r="E46" s="450">
        <f>+BSGFws!BQ36</f>
        <v>0</v>
      </c>
      <c r="F46" s="273"/>
      <c r="G46" s="450"/>
      <c r="H46" s="273"/>
      <c r="I46" s="450"/>
      <c r="J46" s="273"/>
      <c r="K46" s="450"/>
      <c r="L46" s="273"/>
      <c r="M46" s="450"/>
      <c r="N46" s="273"/>
      <c r="O46" s="450"/>
      <c r="P46" s="273"/>
      <c r="Q46" s="450"/>
      <c r="R46" s="273"/>
      <c r="S46" s="450"/>
      <c r="T46" s="273"/>
      <c r="U46" s="450">
        <f>+BSGFws!BN35</f>
        <v>0</v>
      </c>
      <c r="V46" s="273"/>
      <c r="W46" s="450"/>
      <c r="X46" s="273"/>
      <c r="Y46" s="450"/>
      <c r="Z46" s="273"/>
      <c r="AA46" s="450"/>
      <c r="AB46" s="273"/>
      <c r="AC46" s="450"/>
      <c r="AD46" s="273"/>
      <c r="AE46" s="450"/>
      <c r="AF46" s="273"/>
      <c r="AG46" s="450">
        <f t="shared" si="1"/>
        <v>0</v>
      </c>
    </row>
    <row r="47" spans="1:33" s="538" customFormat="1" ht="9.9499999999999993" customHeight="1" x14ac:dyDescent="0.2">
      <c r="A47" s="427" t="s">
        <v>688</v>
      </c>
      <c r="C47" s="450"/>
      <c r="D47" s="273"/>
      <c r="E47" s="450">
        <f>+BSGFws!BQ37</f>
        <v>7890</v>
      </c>
      <c r="F47" s="273"/>
      <c r="G47" s="450">
        <v>0</v>
      </c>
      <c r="H47" s="273"/>
      <c r="I47" s="450">
        <v>0</v>
      </c>
      <c r="J47" s="273"/>
      <c r="K47" s="450">
        <v>0</v>
      </c>
      <c r="L47" s="273"/>
      <c r="M47" s="450">
        <f>BSGFws!BJ37</f>
        <v>0</v>
      </c>
      <c r="N47" s="273"/>
      <c r="O47" s="450">
        <f>BSGFws!BK37</f>
        <v>0</v>
      </c>
      <c r="P47" s="273"/>
      <c r="Q47" s="450">
        <v>0</v>
      </c>
      <c r="R47" s="273"/>
      <c r="S47" s="450">
        <f>+BSGFws!BM37</f>
        <v>39</v>
      </c>
      <c r="T47" s="273"/>
      <c r="U47" s="450">
        <f>+BSGFws!BN36</f>
        <v>0</v>
      </c>
      <c r="V47" s="273"/>
      <c r="W47" s="450">
        <f>BSGFws!BR28</f>
        <v>0</v>
      </c>
      <c r="X47" s="273"/>
      <c r="Y47" s="450">
        <f>+BSGFws!BP37</f>
        <v>0</v>
      </c>
      <c r="Z47" s="273"/>
      <c r="AA47" s="450">
        <f>+BSGFws!BS37</f>
        <v>189</v>
      </c>
      <c r="AB47" s="273"/>
      <c r="AC47" s="450">
        <v>0</v>
      </c>
      <c r="AD47" s="273"/>
      <c r="AE47" s="450">
        <f>+BSGFws!BF37</f>
        <v>0</v>
      </c>
      <c r="AF47" s="273"/>
      <c r="AG47" s="450">
        <f>SUM(C47:AE47)</f>
        <v>8118</v>
      </c>
    </row>
    <row r="48" spans="1:33" s="253" customFormat="1" ht="9.9499999999999993" customHeight="1" x14ac:dyDescent="0.2">
      <c r="A48" s="427" t="s">
        <v>847</v>
      </c>
      <c r="B48" s="273"/>
      <c r="C48" s="450"/>
      <c r="D48" s="273"/>
      <c r="E48" s="450">
        <f>+BSGFws!BQ38</f>
        <v>17760</v>
      </c>
      <c r="F48" s="273"/>
      <c r="G48" s="450"/>
      <c r="H48" s="273"/>
      <c r="I48" s="450"/>
      <c r="J48" s="273"/>
      <c r="K48" s="450"/>
      <c r="L48" s="273"/>
      <c r="M48" s="450">
        <f>BSGFws!BJ38</f>
        <v>1524</v>
      </c>
      <c r="N48" s="273"/>
      <c r="O48" s="450">
        <f>BSGFws!BK38</f>
        <v>10</v>
      </c>
      <c r="P48" s="273"/>
      <c r="Q48" s="450"/>
      <c r="R48" s="273"/>
      <c r="S48" s="450">
        <f>+BSGFws!BM38</f>
        <v>0</v>
      </c>
      <c r="T48" s="273"/>
      <c r="U48" s="450">
        <f>+BSGFws!BN37</f>
        <v>0</v>
      </c>
      <c r="V48" s="273"/>
      <c r="W48" s="450">
        <f>BSGFws!BR29</f>
        <v>0</v>
      </c>
      <c r="X48" s="273"/>
      <c r="Y48" s="450">
        <f>+BSGFws!BP38</f>
        <v>91</v>
      </c>
      <c r="Z48" s="273"/>
      <c r="AA48" s="450">
        <f>+BSGFws!BS38</f>
        <v>0</v>
      </c>
      <c r="AB48" s="273"/>
      <c r="AC48" s="450"/>
      <c r="AD48" s="273"/>
      <c r="AE48" s="538">
        <f>+BSGFws!BF38</f>
        <v>88</v>
      </c>
      <c r="AF48" s="273"/>
      <c r="AG48" s="450">
        <f t="shared" si="1"/>
        <v>19473</v>
      </c>
    </row>
    <row r="49" spans="1:33" s="253" customFormat="1" ht="9.9499999999999993" customHeight="1" x14ac:dyDescent="0.2">
      <c r="A49" s="427" t="s">
        <v>690</v>
      </c>
      <c r="B49" s="273"/>
      <c r="C49" s="450"/>
      <c r="D49" s="273"/>
      <c r="E49" s="450">
        <f>+BSGFws!BQ39</f>
        <v>0</v>
      </c>
      <c r="F49" s="273"/>
      <c r="G49" s="450"/>
      <c r="H49" s="273"/>
      <c r="I49" s="450"/>
      <c r="J49" s="273"/>
      <c r="K49" s="450"/>
      <c r="L49" s="273"/>
      <c r="M49" s="450">
        <f>BSGFws!BJ39</f>
        <v>0</v>
      </c>
      <c r="N49" s="273"/>
      <c r="O49" s="450"/>
      <c r="P49" s="273"/>
      <c r="Q49" s="450"/>
      <c r="R49" s="273"/>
      <c r="S49" s="450">
        <f>+BSGFws!BM39</f>
        <v>0</v>
      </c>
      <c r="T49" s="273"/>
      <c r="U49" s="450">
        <f>+BSGFws!BN38</f>
        <v>0</v>
      </c>
      <c r="V49" s="273"/>
      <c r="W49" s="450">
        <f>BSGFws!BR30</f>
        <v>0</v>
      </c>
      <c r="X49" s="273"/>
      <c r="Y49" s="450">
        <f>+BSGFws!BP39</f>
        <v>159</v>
      </c>
      <c r="Z49" s="273"/>
      <c r="AA49" s="450">
        <f>+BSGFws!BS39</f>
        <v>0</v>
      </c>
      <c r="AB49" s="273"/>
      <c r="AC49" s="450"/>
      <c r="AD49" s="273"/>
      <c r="AE49" s="538">
        <f>+BSGFws!BF39</f>
        <v>187</v>
      </c>
      <c r="AF49" s="273"/>
      <c r="AG49" s="450">
        <f t="shared" si="1"/>
        <v>346</v>
      </c>
    </row>
    <row r="50" spans="1:33" s="533" customFormat="1" ht="9.9499999999999993" customHeight="1" x14ac:dyDescent="0.2">
      <c r="A50" s="427" t="s">
        <v>691</v>
      </c>
      <c r="B50" s="538"/>
      <c r="C50" s="450"/>
      <c r="D50" s="538"/>
      <c r="E50" s="450">
        <f>+BSGFws!BQ40</f>
        <v>0</v>
      </c>
      <c r="F50" s="538"/>
      <c r="G50" s="450"/>
      <c r="H50" s="538"/>
      <c r="I50" s="450"/>
      <c r="J50" s="538"/>
      <c r="K50" s="450"/>
      <c r="L50" s="538"/>
      <c r="M50" s="450">
        <f>BSGFws!BJ40</f>
        <v>0</v>
      </c>
      <c r="N50" s="538"/>
      <c r="O50" s="450"/>
      <c r="P50" s="538"/>
      <c r="Q50" s="450"/>
      <c r="R50" s="538"/>
      <c r="S50" s="450">
        <f>+BSGFws!BM40</f>
        <v>0</v>
      </c>
      <c r="T50" s="538"/>
      <c r="U50" s="450">
        <f>+BSGFws!BN39</f>
        <v>0</v>
      </c>
      <c r="V50" s="538"/>
      <c r="W50" s="450">
        <f>BSGFws!BR31</f>
        <v>0</v>
      </c>
      <c r="X50" s="538"/>
      <c r="Y50" s="450">
        <f>+BSGFws!BP40</f>
        <v>0</v>
      </c>
      <c r="Z50" s="538"/>
      <c r="AA50" s="450">
        <f>+BSGFws!BS40</f>
        <v>0</v>
      </c>
      <c r="AB50" s="538"/>
      <c r="AC50" s="450"/>
      <c r="AD50" s="538"/>
      <c r="AE50" s="538">
        <f>+BSGFws!BF40</f>
        <v>251</v>
      </c>
      <c r="AF50" s="538"/>
      <c r="AG50" s="450">
        <f t="shared" si="1"/>
        <v>251</v>
      </c>
    </row>
    <row r="51" spans="1:33" s="533" customFormat="1" ht="9.9499999999999993" customHeight="1" x14ac:dyDescent="0.2">
      <c r="A51" s="427" t="s">
        <v>692</v>
      </c>
      <c r="B51" s="538"/>
      <c r="C51" s="450"/>
      <c r="D51" s="538"/>
      <c r="E51" s="450">
        <f>+BSGFws!BQ41</f>
        <v>0</v>
      </c>
      <c r="F51" s="538"/>
      <c r="G51" s="450"/>
      <c r="H51" s="538"/>
      <c r="I51" s="450"/>
      <c r="J51" s="538"/>
      <c r="K51" s="450"/>
      <c r="L51" s="538"/>
      <c r="M51" s="450">
        <f>BSGFws!BJ41</f>
        <v>0</v>
      </c>
      <c r="N51" s="538"/>
      <c r="O51" s="450"/>
      <c r="P51" s="538"/>
      <c r="Q51" s="450"/>
      <c r="R51" s="538"/>
      <c r="S51" s="450">
        <f>+BSGFws!BM41</f>
        <v>0</v>
      </c>
      <c r="T51" s="538"/>
      <c r="U51" s="450">
        <f>+BSGFws!BN40</f>
        <v>0</v>
      </c>
      <c r="V51" s="538"/>
      <c r="W51" s="450">
        <f>BSGFws!BR32</f>
        <v>0</v>
      </c>
      <c r="X51" s="538"/>
      <c r="Y51" s="450">
        <f>+BSGFws!BP41</f>
        <v>23</v>
      </c>
      <c r="Z51" s="538"/>
      <c r="AA51" s="450">
        <f>+BSGFws!BS41</f>
        <v>0</v>
      </c>
      <c r="AB51" s="538"/>
      <c r="AC51" s="450"/>
      <c r="AD51" s="538"/>
      <c r="AE51" s="450"/>
      <c r="AF51" s="538"/>
      <c r="AG51" s="450">
        <f t="shared" si="1"/>
        <v>23</v>
      </c>
    </row>
    <row r="52" spans="1:33" s="253" customFormat="1" ht="9.9499999999999993" hidden="1" customHeight="1" x14ac:dyDescent="0.2">
      <c r="A52" s="427" t="s">
        <v>848</v>
      </c>
      <c r="B52" s="273"/>
      <c r="C52" s="450"/>
      <c r="D52" s="273"/>
      <c r="E52" s="450"/>
      <c r="F52" s="273"/>
      <c r="G52" s="450"/>
      <c r="H52" s="273"/>
      <c r="I52" s="450"/>
      <c r="J52" s="273"/>
      <c r="K52" s="450"/>
      <c r="L52" s="273"/>
      <c r="M52" s="450">
        <f>BSGFws!BJ42</f>
        <v>0</v>
      </c>
      <c r="N52" s="273"/>
      <c r="O52" s="450"/>
      <c r="P52" s="273"/>
      <c r="Q52" s="450"/>
      <c r="R52" s="273"/>
      <c r="S52" s="450">
        <f>+BSGFws!BM42</f>
        <v>0</v>
      </c>
      <c r="T52" s="273"/>
      <c r="U52" s="450"/>
      <c r="V52" s="273"/>
      <c r="W52" s="450">
        <f>BSGFws!BR33</f>
        <v>0</v>
      </c>
      <c r="X52" s="273"/>
      <c r="Y52" s="450">
        <f>+BSGFws!BP42</f>
        <v>0</v>
      </c>
      <c r="Z52" s="273"/>
      <c r="AA52" s="450">
        <f>+BSGFws!BS42</f>
        <v>0</v>
      </c>
      <c r="AB52" s="273"/>
      <c r="AC52" s="450"/>
      <c r="AD52" s="273"/>
      <c r="AE52" s="450">
        <f>BSGFws!BF18</f>
        <v>0</v>
      </c>
      <c r="AF52" s="273"/>
      <c r="AG52" s="450">
        <f t="shared" si="1"/>
        <v>0</v>
      </c>
    </row>
    <row r="53" spans="1:33" s="253" customFormat="1" ht="9.9499999999999993" hidden="1" customHeight="1" x14ac:dyDescent="0.2">
      <c r="A53" s="427" t="s">
        <v>604</v>
      </c>
      <c r="B53" s="273"/>
      <c r="C53" s="450"/>
      <c r="D53" s="273"/>
      <c r="E53" s="450"/>
      <c r="F53" s="273"/>
      <c r="G53" s="450">
        <f>+BSGFws!BE43</f>
        <v>0</v>
      </c>
      <c r="H53" s="273"/>
      <c r="I53" s="450">
        <f>+BSGFws!BG43</f>
        <v>0</v>
      </c>
      <c r="J53" s="273"/>
      <c r="K53" s="450">
        <f>+BSGFws!BI43</f>
        <v>0</v>
      </c>
      <c r="L53" s="273"/>
      <c r="M53" s="450">
        <f>BSGFws!BJ43</f>
        <v>0</v>
      </c>
      <c r="N53" s="273"/>
      <c r="O53" s="450">
        <f>+BSGFws!BK43</f>
        <v>0</v>
      </c>
      <c r="P53" s="273"/>
      <c r="Q53" s="450">
        <f>+BSGFws!BL43</f>
        <v>0</v>
      </c>
      <c r="R53" s="273"/>
      <c r="S53" s="450">
        <f>+BSGFws!BM43</f>
        <v>0</v>
      </c>
      <c r="T53" s="273"/>
      <c r="U53" s="450">
        <f>+BSGFws!BN42</f>
        <v>0</v>
      </c>
      <c r="V53" s="273"/>
      <c r="W53" s="450">
        <f>BSGFws!BR43</f>
        <v>0</v>
      </c>
      <c r="X53" s="273"/>
      <c r="Y53" s="450">
        <f>+BSGFws!BP43</f>
        <v>0</v>
      </c>
      <c r="Z53" s="273"/>
      <c r="AA53" s="450">
        <f>+BSGFws!BS43</f>
        <v>0</v>
      </c>
      <c r="AB53" s="273"/>
      <c r="AC53" s="450">
        <f>+BSGFws!BH43</f>
        <v>0</v>
      </c>
      <c r="AD53" s="273"/>
      <c r="AE53" s="450">
        <f>+BSGFws!BF43</f>
        <v>0</v>
      </c>
      <c r="AF53" s="273"/>
      <c r="AG53" s="450">
        <f t="shared" si="1"/>
        <v>0</v>
      </c>
    </row>
    <row r="54" spans="1:33" s="253" customFormat="1" ht="9.9499999999999993" hidden="1" customHeight="1" x14ac:dyDescent="0.2">
      <c r="A54" s="427" t="s">
        <v>593</v>
      </c>
      <c r="B54" s="273"/>
      <c r="C54" s="450"/>
      <c r="D54" s="273"/>
      <c r="E54" s="450"/>
      <c r="F54" s="273"/>
      <c r="G54" s="450">
        <f>+BSGFws!BE44</f>
        <v>0</v>
      </c>
      <c r="H54" s="273"/>
      <c r="I54" s="450">
        <f>+BSGFws!BG44</f>
        <v>0</v>
      </c>
      <c r="J54" s="273"/>
      <c r="K54" s="450">
        <f>+BSGFws!BI44</f>
        <v>0</v>
      </c>
      <c r="L54" s="273"/>
      <c r="M54" s="450">
        <f>BSGFws!BJ44</f>
        <v>0</v>
      </c>
      <c r="N54" s="273"/>
      <c r="O54" s="450">
        <f>+BSGFws!BK44</f>
        <v>0</v>
      </c>
      <c r="P54" s="273"/>
      <c r="Q54" s="450">
        <f>+BSGFws!BL44</f>
        <v>0</v>
      </c>
      <c r="R54" s="273"/>
      <c r="S54" s="450">
        <f>+BSGFws!BM44</f>
        <v>0</v>
      </c>
      <c r="T54" s="273"/>
      <c r="U54" s="450">
        <f>+BSGFws!BN43</f>
        <v>0</v>
      </c>
      <c r="V54" s="273"/>
      <c r="W54" s="450">
        <f>BSGFws!BR35</f>
        <v>0</v>
      </c>
      <c r="X54" s="273"/>
      <c r="Y54" s="450">
        <f>+BSGFws!BP44</f>
        <v>0</v>
      </c>
      <c r="Z54" s="273"/>
      <c r="AA54" s="450">
        <f>+BSGFws!BS44</f>
        <v>0</v>
      </c>
      <c r="AB54" s="273"/>
      <c r="AC54" s="450">
        <f>+BSGFws!BH44</f>
        <v>0</v>
      </c>
      <c r="AD54" s="273"/>
      <c r="AE54" s="450">
        <f>+BSGFws!BF44</f>
        <v>0</v>
      </c>
      <c r="AF54" s="273"/>
      <c r="AG54" s="450">
        <f>SUM(C54:AE54)</f>
        <v>0</v>
      </c>
    </row>
    <row r="55" spans="1:33" s="253" customFormat="1" ht="5.0999999999999996" customHeight="1" x14ac:dyDescent="0.2">
      <c r="B55" s="254"/>
      <c r="C55" s="340"/>
      <c r="D55" s="254"/>
      <c r="E55" s="340"/>
      <c r="F55" s="254"/>
      <c r="G55" s="340"/>
      <c r="H55" s="254"/>
      <c r="I55" s="340"/>
      <c r="J55" s="254"/>
      <c r="K55" s="340"/>
      <c r="L55" s="254"/>
      <c r="M55" s="340"/>
      <c r="N55" s="254"/>
      <c r="O55" s="340"/>
      <c r="P55" s="254"/>
      <c r="Q55" s="340"/>
      <c r="R55" s="254"/>
      <c r="S55" s="340"/>
      <c r="T55" s="254"/>
      <c r="U55" s="340"/>
      <c r="V55" s="254"/>
      <c r="W55" s="340"/>
      <c r="X55" s="254"/>
      <c r="Y55" s="340"/>
      <c r="Z55" s="254"/>
      <c r="AA55" s="340"/>
      <c r="AB55" s="254"/>
      <c r="AC55" s="340"/>
      <c r="AD55" s="254"/>
      <c r="AE55" s="340"/>
      <c r="AF55" s="254"/>
      <c r="AG55" s="366"/>
    </row>
    <row r="56" spans="1:33" s="253" customFormat="1" ht="9.9499999999999993" customHeight="1" x14ac:dyDescent="0.2">
      <c r="A56" s="539" t="s">
        <v>702</v>
      </c>
      <c r="B56" s="254"/>
      <c r="C56" s="341">
        <f>SUM(C38:C54)</f>
        <v>0</v>
      </c>
      <c r="D56" s="254"/>
      <c r="E56" s="341">
        <f>SUM(E38:E54)</f>
        <v>25650</v>
      </c>
      <c r="F56" s="254"/>
      <c r="G56" s="341">
        <f>SUM(G38:G54)</f>
        <v>0</v>
      </c>
      <c r="H56" s="254"/>
      <c r="I56" s="341">
        <f>SUM(I38:I54)</f>
        <v>0</v>
      </c>
      <c r="J56" s="254"/>
      <c r="K56" s="341">
        <f>SUM(K38:K54)</f>
        <v>0</v>
      </c>
      <c r="L56" s="254"/>
      <c r="M56" s="341">
        <f>SUM(M38:M54)</f>
        <v>1524</v>
      </c>
      <c r="N56" s="254"/>
      <c r="O56" s="341">
        <f>SUM(O38:O54)</f>
        <v>10</v>
      </c>
      <c r="P56" s="254"/>
      <c r="Q56" s="341">
        <f>SUM(Q38:Q54)</f>
        <v>0</v>
      </c>
      <c r="R56" s="254"/>
      <c r="S56" s="341">
        <f>SUM(S38:S54)</f>
        <v>39</v>
      </c>
      <c r="T56" s="254"/>
      <c r="U56" s="341">
        <f>SUM(U38:U54)</f>
        <v>0</v>
      </c>
      <c r="V56" s="254"/>
      <c r="W56" s="341">
        <f>SUM(W38:W54)</f>
        <v>0</v>
      </c>
      <c r="X56" s="254"/>
      <c r="Y56" s="341">
        <f>SUM(Y38:Y54)</f>
        <v>273</v>
      </c>
      <c r="Z56" s="254"/>
      <c r="AA56" s="341">
        <f>SUM(AA38:AA54)</f>
        <v>204</v>
      </c>
      <c r="AB56" s="254"/>
      <c r="AC56" s="341">
        <f>SUM(AC38:AC54)</f>
        <v>2528</v>
      </c>
      <c r="AD56" s="254"/>
      <c r="AE56" s="341">
        <f>SUM(AE39:AE54)</f>
        <v>526</v>
      </c>
      <c r="AF56" s="254"/>
      <c r="AG56" s="345">
        <f>SUM(AG38:AG54)</f>
        <v>30754</v>
      </c>
    </row>
    <row r="57" spans="1:33" s="451" customFormat="1" ht="5.0999999999999996" customHeight="1" x14ac:dyDescent="0.2">
      <c r="A57" s="428"/>
      <c r="B57" s="450"/>
      <c r="C57" s="450"/>
      <c r="D57" s="450"/>
      <c r="E57" s="450"/>
      <c r="F57" s="450"/>
      <c r="G57" s="450"/>
      <c r="H57" s="450"/>
      <c r="I57" s="450"/>
      <c r="J57" s="450"/>
      <c r="K57" s="450"/>
      <c r="L57" s="450"/>
      <c r="M57" s="450"/>
      <c r="N57" s="450"/>
      <c r="O57" s="450"/>
      <c r="P57" s="450"/>
      <c r="Q57" s="450"/>
      <c r="R57" s="450"/>
      <c r="S57" s="450"/>
      <c r="T57" s="450"/>
      <c r="U57" s="450"/>
      <c r="V57" s="450"/>
      <c r="W57" s="450"/>
      <c r="X57" s="450"/>
      <c r="Y57" s="450"/>
      <c r="Z57" s="450"/>
      <c r="AA57" s="450"/>
      <c r="AB57" s="450"/>
      <c r="AC57" s="450"/>
      <c r="AD57" s="450"/>
      <c r="AE57" s="450"/>
      <c r="AF57" s="450"/>
      <c r="AG57" s="450"/>
    </row>
    <row r="58" spans="1:33" s="253" customFormat="1" ht="5.0999999999999996" customHeight="1" x14ac:dyDescent="0.2">
      <c r="A58" s="428"/>
      <c r="B58" s="254"/>
      <c r="C58" s="254"/>
      <c r="D58" s="254"/>
      <c r="E58" s="254"/>
      <c r="F58" s="254"/>
      <c r="G58" s="254"/>
      <c r="H58" s="254"/>
      <c r="I58" s="254"/>
      <c r="J58" s="254"/>
      <c r="K58" s="254"/>
      <c r="L58" s="254"/>
      <c r="M58" s="254"/>
      <c r="AB58" s="509"/>
      <c r="AC58" s="254"/>
      <c r="AD58" s="254"/>
      <c r="AE58" s="254"/>
    </row>
    <row r="59" spans="1:33" s="253" customFormat="1" ht="9.9499999999999993" customHeight="1" x14ac:dyDescent="0.2">
      <c r="A59" s="739" t="s">
        <v>1206</v>
      </c>
      <c r="B59" s="254"/>
      <c r="C59" s="254"/>
      <c r="D59" s="254"/>
      <c r="E59" s="254"/>
      <c r="F59" s="254"/>
      <c r="G59" s="254"/>
      <c r="H59" s="254"/>
      <c r="I59" s="254"/>
      <c r="J59" s="254"/>
      <c r="K59" s="254"/>
      <c r="L59" s="254"/>
      <c r="M59" s="254"/>
      <c r="N59" s="254"/>
      <c r="O59" s="254"/>
      <c r="P59" s="254"/>
      <c r="Q59" s="254"/>
      <c r="R59" s="254"/>
      <c r="S59" s="254">
        <f>BSGFws!BM47</f>
        <v>825</v>
      </c>
      <c r="T59" s="254"/>
      <c r="U59" s="254"/>
      <c r="V59" s="254"/>
      <c r="W59" s="254"/>
      <c r="X59" s="254"/>
      <c r="Y59" s="254">
        <f>BSGFws!BP47</f>
        <v>5792</v>
      </c>
      <c r="Z59" s="254"/>
      <c r="AA59" s="254"/>
      <c r="AB59" s="254"/>
      <c r="AC59" s="254"/>
      <c r="AD59" s="254"/>
      <c r="AE59" s="254"/>
      <c r="AF59" s="254"/>
      <c r="AG59" s="450">
        <f>SUM(C59:AE59)</f>
        <v>6617</v>
      </c>
    </row>
    <row r="60" spans="1:33" s="253" customFormat="1" ht="5.0999999999999996" customHeight="1" x14ac:dyDescent="0.2">
      <c r="A60" s="428"/>
      <c r="B60" s="254"/>
      <c r="C60" s="366"/>
      <c r="D60" s="254"/>
      <c r="E60" s="366"/>
      <c r="F60" s="254"/>
      <c r="G60" s="366"/>
      <c r="H60" s="254"/>
      <c r="I60" s="366"/>
      <c r="J60" s="254"/>
      <c r="K60" s="366"/>
      <c r="L60" s="254"/>
      <c r="M60" s="366"/>
      <c r="N60" s="254"/>
      <c r="O60" s="366"/>
      <c r="P60" s="254"/>
      <c r="Q60" s="366"/>
      <c r="R60" s="254"/>
      <c r="S60" s="366"/>
      <c r="T60" s="254"/>
      <c r="U60" s="366"/>
      <c r="V60" s="254"/>
      <c r="W60" s="366"/>
      <c r="X60" s="254"/>
      <c r="Y60" s="366"/>
      <c r="Z60" s="254"/>
      <c r="AA60" s="366"/>
      <c r="AB60" s="254"/>
      <c r="AC60" s="366"/>
      <c r="AD60" s="254"/>
      <c r="AE60" s="366"/>
      <c r="AF60" s="254"/>
      <c r="AG60" s="366"/>
    </row>
    <row r="61" spans="1:33" s="253" customFormat="1" ht="9.9499999999999993" hidden="1" customHeight="1" x14ac:dyDescent="0.2">
      <c r="A61" s="418"/>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c r="AF61" s="254"/>
      <c r="AG61" s="254"/>
    </row>
    <row r="62" spans="1:33" s="253" customFormat="1" ht="9.9499999999999993" customHeight="1" x14ac:dyDescent="0.2">
      <c r="A62" s="617" t="s">
        <v>849</v>
      </c>
      <c r="B62" s="254"/>
      <c r="C62" s="273"/>
      <c r="D62" s="254"/>
      <c r="E62" s="273"/>
      <c r="F62" s="254"/>
      <c r="G62" s="273"/>
      <c r="H62" s="254"/>
      <c r="I62" s="273"/>
      <c r="J62" s="254"/>
      <c r="K62" s="273"/>
      <c r="L62" s="254"/>
      <c r="M62" s="273"/>
      <c r="N62" s="254"/>
      <c r="O62" s="273"/>
      <c r="P62" s="254"/>
      <c r="Q62" s="273"/>
      <c r="R62" s="254"/>
      <c r="S62" s="273"/>
      <c r="T62" s="254"/>
      <c r="U62" s="273"/>
      <c r="V62" s="254"/>
      <c r="W62" s="273"/>
      <c r="X62" s="254"/>
      <c r="Y62" s="273"/>
      <c r="Z62" s="254"/>
      <c r="AA62" s="273"/>
      <c r="AB62" s="254"/>
      <c r="AC62" s="273"/>
      <c r="AD62" s="254"/>
      <c r="AE62" s="273"/>
      <c r="AF62" s="254"/>
      <c r="AG62" s="254"/>
    </row>
    <row r="63" spans="1:33" s="253" customFormat="1" ht="9.9499999999999993" customHeight="1" x14ac:dyDescent="0.2">
      <c r="A63" s="776" t="s">
        <v>392</v>
      </c>
      <c r="B63" s="254"/>
      <c r="C63" s="450">
        <f>BSGFws!BD50</f>
        <v>0</v>
      </c>
      <c r="D63" s="254"/>
      <c r="E63" s="450">
        <f>+BSGFws!BQ50</f>
        <v>1565</v>
      </c>
      <c r="F63" s="254"/>
      <c r="G63" s="450">
        <f>BSGFws!BE50</f>
        <v>0</v>
      </c>
      <c r="H63" s="254"/>
      <c r="I63" s="450">
        <f>BSGFws!BG50</f>
        <v>0</v>
      </c>
      <c r="J63" s="254"/>
      <c r="K63" s="450">
        <f>BSGFws!BI50</f>
        <v>0</v>
      </c>
      <c r="L63" s="254"/>
      <c r="M63" s="450">
        <f>BSGFws!BJ50</f>
        <v>469</v>
      </c>
      <c r="N63" s="254"/>
      <c r="O63" s="450">
        <f>BSGFws!BK50</f>
        <v>0</v>
      </c>
      <c r="P63" s="254"/>
      <c r="Q63" s="450">
        <f>BSGFws!BL50</f>
        <v>3</v>
      </c>
      <c r="R63" s="254"/>
      <c r="S63" s="450">
        <f>+BSGFws!BM50</f>
        <v>0</v>
      </c>
      <c r="T63" s="254"/>
      <c r="U63" s="450">
        <f>BSGFws!BN50</f>
        <v>0</v>
      </c>
      <c r="V63" s="254"/>
      <c r="W63" s="450">
        <f>BSGFws!BR50</f>
        <v>0</v>
      </c>
      <c r="X63" s="254"/>
      <c r="Y63" s="450">
        <f>+BSGFws!BP50</f>
        <v>22</v>
      </c>
      <c r="Z63" s="254"/>
      <c r="AA63" s="450">
        <f>+BSGFws!BS50</f>
        <v>545</v>
      </c>
      <c r="AB63" s="254"/>
      <c r="AC63" s="450">
        <f>BSGFws!BH50</f>
        <v>671</v>
      </c>
      <c r="AD63" s="254"/>
      <c r="AE63" s="450">
        <f>BSGFws!BF50</f>
        <v>0</v>
      </c>
      <c r="AF63" s="254"/>
      <c r="AG63" s="450">
        <f>SUM(C63:AE63)</f>
        <v>3275</v>
      </c>
    </row>
    <row r="64" spans="1:33" s="253" customFormat="1" ht="9.9499999999999993" customHeight="1" x14ac:dyDescent="0.2">
      <c r="A64" s="776" t="s">
        <v>789</v>
      </c>
      <c r="B64" s="254"/>
      <c r="C64" s="450">
        <f>BSGFws!BD51</f>
        <v>0</v>
      </c>
      <c r="D64" s="254"/>
      <c r="E64" s="450">
        <f>+BSGFws!BQ51</f>
        <v>128678</v>
      </c>
      <c r="F64" s="254"/>
      <c r="G64" s="450">
        <f>BSGFws!BE51</f>
        <v>0</v>
      </c>
      <c r="H64" s="254"/>
      <c r="I64" s="450">
        <f>BSGFws!BG51</f>
        <v>0</v>
      </c>
      <c r="J64" s="254"/>
      <c r="K64" s="450">
        <f>BSGFws!BI51</f>
        <v>0</v>
      </c>
      <c r="L64" s="254"/>
      <c r="M64" s="450">
        <f>BSGFws!BJ51</f>
        <v>0</v>
      </c>
      <c r="N64" s="254"/>
      <c r="O64" s="450">
        <f>BSGFws!BK51</f>
        <v>24218</v>
      </c>
      <c r="P64" s="254"/>
      <c r="Q64" s="450">
        <f>BSGFws!BL51</f>
        <v>291</v>
      </c>
      <c r="R64" s="254"/>
      <c r="S64" s="450">
        <f>+BSGFws!BM51</f>
        <v>0</v>
      </c>
      <c r="T64" s="254"/>
      <c r="U64" s="450">
        <f>BSGFws!BN51</f>
        <v>0</v>
      </c>
      <c r="V64" s="254"/>
      <c r="W64" s="450">
        <f>BSGFws!BR51</f>
        <v>31981</v>
      </c>
      <c r="X64" s="254"/>
      <c r="Y64" s="450">
        <f>+BSGFws!BP51</f>
        <v>3316</v>
      </c>
      <c r="Z64" s="254"/>
      <c r="AA64" s="450">
        <f>+BSGFws!BS51</f>
        <v>1907</v>
      </c>
      <c r="AB64" s="254"/>
      <c r="AC64" s="450"/>
      <c r="AD64" s="254"/>
      <c r="AE64" s="450">
        <f>BSGFws!BF51</f>
        <v>0</v>
      </c>
      <c r="AF64" s="254"/>
      <c r="AG64" s="450">
        <f>SUM(C64:AE64)</f>
        <v>190391</v>
      </c>
    </row>
    <row r="65" spans="1:33" s="253" customFormat="1" ht="9.9499999999999993" customHeight="1" x14ac:dyDescent="0.2">
      <c r="A65" s="776" t="s">
        <v>393</v>
      </c>
      <c r="B65" s="273"/>
      <c r="C65" s="450">
        <f>BSGFws!BD52</f>
        <v>0</v>
      </c>
      <c r="D65" s="254"/>
      <c r="E65" s="450">
        <f>+BSGFws!BQ52</f>
        <v>0</v>
      </c>
      <c r="F65" s="254"/>
      <c r="G65" s="450">
        <f>BSGFws!BE52</f>
        <v>0</v>
      </c>
      <c r="H65" s="254"/>
      <c r="I65" s="450">
        <f>BSGFws!BG52</f>
        <v>0</v>
      </c>
      <c r="J65" s="254"/>
      <c r="K65" s="450">
        <f>BSGFws!BI52</f>
        <v>0</v>
      </c>
      <c r="L65" s="254"/>
      <c r="M65" s="450">
        <f>BSGFws!BJ52</f>
        <v>0</v>
      </c>
      <c r="N65" s="254"/>
      <c r="O65" s="450">
        <f>BSGFws!BK52</f>
        <v>0</v>
      </c>
      <c r="P65" s="254"/>
      <c r="Q65" s="450">
        <f>BSGFws!BL52</f>
        <v>0</v>
      </c>
      <c r="R65" s="254"/>
      <c r="S65" s="450">
        <f>+BSGFws!BM52</f>
        <v>1761</v>
      </c>
      <c r="T65" s="254"/>
      <c r="U65" s="450">
        <f>BSGFws!BN52</f>
        <v>0</v>
      </c>
      <c r="V65" s="254"/>
      <c r="W65" s="450">
        <f>BSGFws!BR52</f>
        <v>0</v>
      </c>
      <c r="X65" s="254"/>
      <c r="Y65" s="450">
        <f>+BSGFws!BP52</f>
        <v>0</v>
      </c>
      <c r="Z65" s="254"/>
      <c r="AA65" s="450">
        <f>+BSGFws!BS52</f>
        <v>0</v>
      </c>
      <c r="AB65" s="254"/>
      <c r="AC65" s="450">
        <f>BSGFws!BO52</f>
        <v>0</v>
      </c>
      <c r="AD65" s="254"/>
      <c r="AE65" s="450">
        <f>BSGFws!BF52</f>
        <v>0</v>
      </c>
      <c r="AF65" s="273"/>
      <c r="AG65" s="450">
        <f>SUM(C65:AE65)</f>
        <v>1761</v>
      </c>
    </row>
    <row r="66" spans="1:33" s="253" customFormat="1" ht="9.9499999999999993" customHeight="1" x14ac:dyDescent="0.2">
      <c r="A66" s="776" t="s">
        <v>394</v>
      </c>
      <c r="B66" s="273"/>
      <c r="C66" s="450">
        <f>BSGFws!BD53</f>
        <v>0</v>
      </c>
      <c r="D66" s="254"/>
      <c r="E66" s="450">
        <f>+BSGFws!BQ53</f>
        <v>0</v>
      </c>
      <c r="F66" s="254"/>
      <c r="G66" s="450">
        <f>BSGFws!BE53</f>
        <v>293</v>
      </c>
      <c r="H66" s="254"/>
      <c r="I66" s="450">
        <f>BSGFws!BG53</f>
        <v>7</v>
      </c>
      <c r="J66" s="254"/>
      <c r="K66" s="450">
        <f>BSGFws!BI53</f>
        <v>29</v>
      </c>
      <c r="L66" s="254"/>
      <c r="M66" s="450">
        <f>BSGFws!BJ53</f>
        <v>4020</v>
      </c>
      <c r="N66" s="254"/>
      <c r="O66" s="450">
        <f>BSGFws!BK53</f>
        <v>0</v>
      </c>
      <c r="P66" s="254"/>
      <c r="Q66" s="450">
        <f>BSGFws!BL53</f>
        <v>0</v>
      </c>
      <c r="R66" s="254"/>
      <c r="S66" s="450">
        <f>+BSGFws!BM53</f>
        <v>0</v>
      </c>
      <c r="T66" s="254"/>
      <c r="U66" s="450">
        <f>BSGFws!BN53</f>
        <v>0</v>
      </c>
      <c r="V66" s="254"/>
      <c r="W66" s="450">
        <f>BSGFws!BR53</f>
        <v>0</v>
      </c>
      <c r="X66" s="254"/>
      <c r="Y66" s="450">
        <f>+BSGFws!BP53</f>
        <v>873</v>
      </c>
      <c r="Z66" s="254"/>
      <c r="AA66" s="450">
        <f>+BSGFws!BS53</f>
        <v>0</v>
      </c>
      <c r="AB66" s="254"/>
      <c r="AC66" s="450">
        <f>BSGFws!BH53</f>
        <v>9273</v>
      </c>
      <c r="AD66" s="254"/>
      <c r="AE66" s="450">
        <f>BSGFws!BF53</f>
        <v>396</v>
      </c>
      <c r="AF66" s="273"/>
      <c r="AG66" s="450">
        <f>SUM(C66:AE66)</f>
        <v>14891</v>
      </c>
    </row>
    <row r="67" spans="1:33" s="253" customFormat="1" ht="9.9499999999999993" customHeight="1" x14ac:dyDescent="0.2">
      <c r="A67" s="776" t="s">
        <v>395</v>
      </c>
      <c r="B67" s="273"/>
      <c r="C67" s="450">
        <f>BSGFws!BD54</f>
        <v>0</v>
      </c>
      <c r="D67" s="254"/>
      <c r="E67" s="450">
        <f>+BSGFws!BQ54</f>
        <v>0</v>
      </c>
      <c r="F67" s="254"/>
      <c r="G67" s="450">
        <f>BSGFws!BE54</f>
        <v>0</v>
      </c>
      <c r="H67" s="254"/>
      <c r="I67" s="450">
        <f>BSGFws!BG54</f>
        <v>0</v>
      </c>
      <c r="J67" s="254"/>
      <c r="K67" s="450">
        <f>BSGFws!BI54</f>
        <v>0</v>
      </c>
      <c r="L67" s="254"/>
      <c r="M67" s="450">
        <f>BSGFws!BJ54</f>
        <v>0</v>
      </c>
      <c r="N67" s="254"/>
      <c r="O67" s="450">
        <f>BSGFws!BK54</f>
        <v>0</v>
      </c>
      <c r="P67" s="254"/>
      <c r="Q67" s="450">
        <f>BSGFws!BL54</f>
        <v>0</v>
      </c>
      <c r="R67" s="254"/>
      <c r="S67" s="450">
        <f>+BSGFws!BM54</f>
        <v>0</v>
      </c>
      <c r="T67" s="254"/>
      <c r="U67" s="450">
        <f>BSGFws!BN54</f>
        <v>0</v>
      </c>
      <c r="V67" s="254"/>
      <c r="W67" s="450">
        <f>BSGFws!BR54</f>
        <v>0</v>
      </c>
      <c r="X67" s="254"/>
      <c r="Y67" s="450">
        <f>+BSGFws!BP54</f>
        <v>0</v>
      </c>
      <c r="Z67" s="254"/>
      <c r="AA67" s="450">
        <f>+BSGFws!BS54</f>
        <v>0</v>
      </c>
      <c r="AB67" s="254"/>
      <c r="AC67" s="450">
        <f>BSGFws!BH54</f>
        <v>0</v>
      </c>
      <c r="AD67" s="254"/>
      <c r="AE67" s="450">
        <f>BSGFws!BF54</f>
        <v>0</v>
      </c>
      <c r="AF67" s="273"/>
      <c r="AG67" s="450">
        <f>SUM(C67:AE67)</f>
        <v>0</v>
      </c>
    </row>
    <row r="68" spans="1:33" s="253" customFormat="1" ht="5.0999999999999996" customHeight="1" x14ac:dyDescent="0.2">
      <c r="B68" s="254"/>
      <c r="C68" s="340"/>
      <c r="D68" s="254"/>
      <c r="E68" s="340"/>
      <c r="F68" s="254"/>
      <c r="G68" s="340"/>
      <c r="H68" s="254"/>
      <c r="I68" s="340"/>
      <c r="J68" s="254"/>
      <c r="K68" s="340"/>
      <c r="L68" s="254"/>
      <c r="M68" s="340"/>
      <c r="N68" s="254"/>
      <c r="O68" s="340"/>
      <c r="P68" s="254"/>
      <c r="Q68" s="340"/>
      <c r="R68" s="254"/>
      <c r="S68" s="340"/>
      <c r="T68" s="254"/>
      <c r="U68" s="340"/>
      <c r="V68" s="254"/>
      <c r="W68" s="340"/>
      <c r="X68" s="254"/>
      <c r="Y68" s="340"/>
      <c r="Z68" s="254"/>
      <c r="AA68" s="340"/>
      <c r="AB68" s="254"/>
      <c r="AC68" s="340"/>
      <c r="AD68" s="254"/>
      <c r="AE68" s="340"/>
      <c r="AF68" s="254"/>
      <c r="AG68" s="366"/>
    </row>
    <row r="69" spans="1:33" s="253" customFormat="1" ht="9.9499999999999993" customHeight="1" x14ac:dyDescent="0.2">
      <c r="A69" s="644" t="s">
        <v>855</v>
      </c>
      <c r="B69" s="273"/>
      <c r="C69" s="341">
        <f>SUM(C63:C67)</f>
        <v>0</v>
      </c>
      <c r="D69" s="273"/>
      <c r="E69" s="341">
        <f>SUM(E63:E67)</f>
        <v>130243</v>
      </c>
      <c r="F69" s="273"/>
      <c r="G69" s="341">
        <f>SUM(G63:G67)</f>
        <v>293</v>
      </c>
      <c r="H69" s="273"/>
      <c r="I69" s="341">
        <f>SUM(I63:I67)</f>
        <v>7</v>
      </c>
      <c r="J69" s="273"/>
      <c r="K69" s="341">
        <f>SUM(K63:K67)</f>
        <v>29</v>
      </c>
      <c r="L69" s="273"/>
      <c r="M69" s="341">
        <f>SUM(M63:M67)</f>
        <v>4489</v>
      </c>
      <c r="N69" s="273"/>
      <c r="O69" s="341">
        <f>SUM(O63:O67)</f>
        <v>24218</v>
      </c>
      <c r="P69" s="273"/>
      <c r="Q69" s="341">
        <f>SUM(Q63:Q67)</f>
        <v>294</v>
      </c>
      <c r="R69" s="273"/>
      <c r="S69" s="341">
        <f>SUM(S63:S67)</f>
        <v>1761</v>
      </c>
      <c r="T69" s="273"/>
      <c r="U69" s="341">
        <f>SUM(U63:U67)</f>
        <v>0</v>
      </c>
      <c r="V69" s="273"/>
      <c r="W69" s="341">
        <f>SUM(W63:W67)</f>
        <v>31981</v>
      </c>
      <c r="X69" s="273"/>
      <c r="Y69" s="341">
        <f>SUM(Y63:Y67)</f>
        <v>4211</v>
      </c>
      <c r="Z69" s="273"/>
      <c r="AA69" s="341">
        <f>SUM(AA63:AA67)</f>
        <v>2452</v>
      </c>
      <c r="AB69" s="273"/>
      <c r="AC69" s="341">
        <f>SUM(AC63:AC67)</f>
        <v>9944</v>
      </c>
      <c r="AD69" s="273"/>
      <c r="AE69" s="341">
        <f>SUM(AE63:AE67)</f>
        <v>396</v>
      </c>
      <c r="AF69" s="273"/>
      <c r="AG69" s="341">
        <f>SUM(AG63:AG67)</f>
        <v>210318</v>
      </c>
    </row>
    <row r="70" spans="1:33" s="253" customFormat="1" ht="5.0999999999999996" customHeight="1" x14ac:dyDescent="0.2">
      <c r="A70" s="418"/>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row>
    <row r="71" spans="1:33" s="492" customFormat="1" ht="24.75" thickBot="1" x14ac:dyDescent="0.25">
      <c r="A71" s="1365" t="s">
        <v>1330</v>
      </c>
      <c r="B71" s="1068"/>
      <c r="C71" s="1242">
        <f>+C56+C69+C59</f>
        <v>0</v>
      </c>
      <c r="D71" s="1068"/>
      <c r="E71" s="1242">
        <f>+E56+E69+E59</f>
        <v>155893</v>
      </c>
      <c r="F71" s="1068"/>
      <c r="G71" s="1242">
        <f>+G56+G69+G59</f>
        <v>293</v>
      </c>
      <c r="H71" s="1068"/>
      <c r="I71" s="1242">
        <f>+I56+I69+I59</f>
        <v>7</v>
      </c>
      <c r="J71" s="1068"/>
      <c r="K71" s="1242">
        <f>+K56+K69+K59</f>
        <v>29</v>
      </c>
      <c r="L71" s="1068"/>
      <c r="M71" s="1242">
        <f>+M56+M69+M59</f>
        <v>6013</v>
      </c>
      <c r="N71" s="1068"/>
      <c r="O71" s="1242">
        <f>+O56+O69+O59</f>
        <v>24228</v>
      </c>
      <c r="P71" s="1068"/>
      <c r="Q71" s="1242">
        <f>+Q56+Q69+Q59</f>
        <v>294</v>
      </c>
      <c r="R71" s="1068"/>
      <c r="S71" s="1242">
        <f>+S56+S69+S59</f>
        <v>2625</v>
      </c>
      <c r="T71" s="1068"/>
      <c r="U71" s="1242">
        <f>+U56+U69+U59</f>
        <v>0</v>
      </c>
      <c r="V71" s="1068"/>
      <c r="W71" s="1242">
        <f>+W56+W69+W59</f>
        <v>31981</v>
      </c>
      <c r="X71" s="1068"/>
      <c r="Y71" s="1242">
        <f>+Y56+Y69+Y59</f>
        <v>10276</v>
      </c>
      <c r="Z71" s="1068"/>
      <c r="AA71" s="1242">
        <f>+AA56+AA69+AA59</f>
        <v>2656</v>
      </c>
      <c r="AB71" s="1068"/>
      <c r="AC71" s="1242">
        <f>+AC56+AC69+AC59</f>
        <v>12472</v>
      </c>
      <c r="AD71" s="1068"/>
      <c r="AE71" s="1242">
        <f>+AE56+AE69+AE59</f>
        <v>922</v>
      </c>
      <c r="AF71" s="1068"/>
      <c r="AG71" s="1242">
        <f>+AG56+AG69+AG59</f>
        <v>247689</v>
      </c>
    </row>
    <row r="72" spans="1:33" s="253" customFormat="1" ht="9.9499999999999993" customHeight="1" thickTop="1" x14ac:dyDescent="0.2">
      <c r="A72" s="418"/>
    </row>
    <row r="73" spans="1:33" s="253" customFormat="1" ht="9.9499999999999993" customHeight="1" x14ac:dyDescent="0.2">
      <c r="A73" s="418"/>
    </row>
    <row r="74" spans="1:33" s="511" customFormat="1" ht="9.9499999999999993" customHeight="1" x14ac:dyDescent="0.2">
      <c r="A74" s="418"/>
      <c r="C74" s="511">
        <f>C34-C71</f>
        <v>0</v>
      </c>
      <c r="E74" s="511">
        <f>E34-E71</f>
        <v>0</v>
      </c>
      <c r="G74" s="511">
        <f>G34-G71</f>
        <v>0</v>
      </c>
      <c r="I74" s="511">
        <f>I34-I71</f>
        <v>0</v>
      </c>
      <c r="K74" s="511">
        <f>K34-K71</f>
        <v>0</v>
      </c>
      <c r="M74" s="511">
        <f>M34-M71</f>
        <v>0</v>
      </c>
      <c r="O74" s="511">
        <f>O34-O71</f>
        <v>0</v>
      </c>
      <c r="Q74" s="511">
        <f>Q34-Q71</f>
        <v>0</v>
      </c>
      <c r="S74" s="511">
        <f>S34-S71</f>
        <v>0</v>
      </c>
      <c r="U74" s="511">
        <f>U34-U71</f>
        <v>0</v>
      </c>
      <c r="W74" s="511">
        <f>W34-W71</f>
        <v>0</v>
      </c>
      <c r="Y74" s="511">
        <f>Y34-Y71</f>
        <v>0</v>
      </c>
      <c r="AA74" s="511">
        <f>AA34-AA71</f>
        <v>0</v>
      </c>
      <c r="AC74" s="511">
        <f>AC34-AC71</f>
        <v>0</v>
      </c>
      <c r="AE74" s="511">
        <f>AE34-AE71</f>
        <v>0</v>
      </c>
      <c r="AG74" s="511">
        <f>SUM(C74:W74)</f>
        <v>0</v>
      </c>
    </row>
    <row r="75" spans="1:33" s="253" customFormat="1" ht="9.9499999999999993" customHeight="1" x14ac:dyDescent="0.2">
      <c r="A75" s="418"/>
    </row>
    <row r="76" spans="1:33" s="253" customFormat="1" ht="9.9499999999999993" customHeight="1" x14ac:dyDescent="0.2">
      <c r="A76" s="418"/>
      <c r="B76" s="362"/>
      <c r="D76" s="362"/>
      <c r="F76" s="362"/>
      <c r="H76" s="362"/>
      <c r="J76" s="362"/>
      <c r="L76" s="362"/>
      <c r="N76" s="362"/>
      <c r="P76" s="362"/>
      <c r="R76" s="362"/>
      <c r="T76" s="362"/>
      <c r="V76" s="362"/>
      <c r="X76" s="362"/>
      <c r="Z76" s="362"/>
      <c r="AB76" s="362"/>
      <c r="AD76" s="362"/>
      <c r="AF76" s="362"/>
    </row>
    <row r="77" spans="1:33" s="253" customFormat="1" ht="9.9499999999999993" customHeight="1" x14ac:dyDescent="0.2">
      <c r="A77" s="418"/>
      <c r="B77" s="362"/>
      <c r="D77" s="362"/>
      <c r="E77" s="273"/>
      <c r="F77" s="362"/>
      <c r="G77" s="273">
        <f>+G27+G29-G63</f>
        <v>0</v>
      </c>
      <c r="H77" s="362"/>
      <c r="I77" s="273">
        <f>+I27+I29-I63</f>
        <v>0</v>
      </c>
      <c r="J77" s="362"/>
      <c r="K77" s="273">
        <f>+K27+K29-K63</f>
        <v>0</v>
      </c>
      <c r="L77" s="362"/>
      <c r="M77" s="273">
        <f>+M27+M29-M63</f>
        <v>0</v>
      </c>
      <c r="N77" s="362"/>
      <c r="O77" s="273">
        <f>+O27+O29-O63</f>
        <v>0</v>
      </c>
      <c r="P77" s="362"/>
      <c r="Q77" s="273">
        <f>+Q27+Q29-Q63</f>
        <v>0</v>
      </c>
      <c r="R77" s="362"/>
      <c r="S77" s="273">
        <f>+S27+S29-S63</f>
        <v>0</v>
      </c>
      <c r="T77" s="362"/>
      <c r="U77" s="273">
        <f>+U27+U29-U63</f>
        <v>0</v>
      </c>
      <c r="V77" s="362"/>
      <c r="W77" s="273">
        <f>+W27+W29-W63</f>
        <v>0</v>
      </c>
      <c r="X77" s="362"/>
      <c r="Y77" s="273">
        <f>+Y27+Y29-Y63+Y17+Y19</f>
        <v>0</v>
      </c>
      <c r="Z77" s="362"/>
      <c r="AA77" s="273">
        <f>+AA27+AA29-AA63+AA17</f>
        <v>0</v>
      </c>
      <c r="AB77" s="362"/>
      <c r="AC77" s="273">
        <f>+AC27+AC29-AC63+AC17+AC19</f>
        <v>0</v>
      </c>
      <c r="AD77" s="362"/>
      <c r="AE77" s="273">
        <f>+AE27+AE29-AE63+AE17+AE19</f>
        <v>0</v>
      </c>
      <c r="AF77" s="362"/>
      <c r="AG77" s="273">
        <f>+AG27+AG29-AG63+AG17+AG19</f>
        <v>0</v>
      </c>
    </row>
    <row r="78" spans="1:33" s="253" customFormat="1" ht="9.9499999999999993" customHeight="1" x14ac:dyDescent="0.2">
      <c r="A78" s="418"/>
      <c r="B78" s="362"/>
      <c r="D78" s="362"/>
      <c r="F78" s="362"/>
      <c r="H78" s="362"/>
      <c r="J78" s="362"/>
      <c r="L78" s="362"/>
      <c r="N78" s="362"/>
      <c r="P78" s="362"/>
      <c r="R78" s="362"/>
      <c r="T78" s="362"/>
      <c r="V78" s="362"/>
      <c r="X78" s="362"/>
      <c r="Z78" s="362"/>
      <c r="AB78" s="362"/>
      <c r="AD78" s="362"/>
      <c r="AF78" s="362"/>
    </row>
    <row r="79" spans="1:33" s="253" customFormat="1" ht="9.9499999999999993" customHeight="1" x14ac:dyDescent="0.2">
      <c r="B79" s="362"/>
      <c r="D79" s="362"/>
      <c r="F79" s="362"/>
      <c r="H79" s="362"/>
      <c r="J79" s="362"/>
      <c r="L79" s="362"/>
      <c r="N79" s="362"/>
      <c r="P79" s="362"/>
      <c r="R79" s="362"/>
      <c r="T79" s="362"/>
      <c r="V79" s="362"/>
      <c r="X79" s="362"/>
      <c r="Z79" s="362"/>
      <c r="AB79" s="362"/>
      <c r="AD79" s="362"/>
      <c r="AF79" s="362"/>
    </row>
    <row r="80" spans="1:33" s="253" customFormat="1" ht="9.9499999999999993" customHeight="1" x14ac:dyDescent="0.2">
      <c r="B80" s="362"/>
      <c r="D80" s="362"/>
      <c r="F80" s="362"/>
      <c r="H80" s="362"/>
      <c r="J80" s="362"/>
      <c r="L80" s="362"/>
      <c r="N80" s="362"/>
      <c r="P80" s="362"/>
      <c r="R80" s="362"/>
      <c r="T80" s="362"/>
      <c r="V80" s="362"/>
      <c r="X80" s="362"/>
      <c r="Z80" s="362"/>
      <c r="AB80" s="362"/>
      <c r="AD80" s="362"/>
      <c r="AF80" s="362"/>
    </row>
    <row r="81" spans="1:32" s="253" customFormat="1" ht="9.9499999999999993" customHeight="1" x14ac:dyDescent="0.2">
      <c r="B81" s="362"/>
      <c r="D81" s="362"/>
      <c r="F81" s="362"/>
      <c r="H81" s="362"/>
      <c r="J81" s="362"/>
      <c r="L81" s="362"/>
      <c r="N81" s="362"/>
      <c r="P81" s="362"/>
      <c r="R81" s="362"/>
      <c r="T81" s="362"/>
      <c r="V81" s="362"/>
      <c r="X81" s="362"/>
      <c r="Z81" s="362"/>
      <c r="AB81" s="362"/>
      <c r="AD81" s="362"/>
      <c r="AF81" s="362"/>
    </row>
    <row r="82" spans="1:32" s="422" customFormat="1" ht="10.5" customHeight="1" x14ac:dyDescent="0.2">
      <c r="A82" s="253"/>
      <c r="B82" s="423"/>
      <c r="D82" s="423"/>
      <c r="F82" s="423"/>
      <c r="H82" s="423"/>
      <c r="J82" s="423"/>
      <c r="L82" s="423"/>
      <c r="N82" s="423"/>
      <c r="P82" s="423"/>
      <c r="R82" s="423"/>
      <c r="T82" s="423"/>
      <c r="V82" s="423"/>
      <c r="X82" s="423"/>
      <c r="Z82" s="423"/>
      <c r="AB82" s="423"/>
      <c r="AD82" s="423"/>
      <c r="AF82" s="423"/>
    </row>
    <row r="83" spans="1:32" s="422" customFormat="1" ht="9.9499999999999993" customHeight="1" x14ac:dyDescent="0.2">
      <c r="B83" s="423"/>
      <c r="D83" s="423"/>
      <c r="F83" s="423"/>
      <c r="H83" s="423"/>
      <c r="J83" s="423"/>
      <c r="L83" s="423"/>
      <c r="N83" s="423"/>
      <c r="P83" s="423"/>
      <c r="R83" s="423"/>
      <c r="T83" s="423"/>
      <c r="V83" s="423"/>
      <c r="X83" s="423"/>
      <c r="Z83" s="423"/>
      <c r="AB83" s="423"/>
      <c r="AD83" s="423"/>
      <c r="AF83" s="423"/>
    </row>
    <row r="84" spans="1:32" s="422" customFormat="1" ht="9.9499999999999993" customHeight="1" x14ac:dyDescent="0.2">
      <c r="B84" s="423"/>
      <c r="D84" s="423"/>
      <c r="F84" s="423"/>
      <c r="H84" s="423"/>
      <c r="J84" s="423"/>
      <c r="L84" s="423"/>
      <c r="N84" s="423"/>
      <c r="P84" s="423"/>
      <c r="R84" s="423"/>
      <c r="T84" s="423"/>
      <c r="V84" s="423"/>
      <c r="X84" s="423"/>
      <c r="Z84" s="423"/>
      <c r="AB84" s="423"/>
      <c r="AD84" s="423"/>
      <c r="AF84" s="423"/>
    </row>
    <row r="85" spans="1:32" s="422" customFormat="1" ht="9.9499999999999993" customHeight="1" x14ac:dyDescent="0.2">
      <c r="B85" s="423"/>
      <c r="D85" s="423"/>
      <c r="F85" s="423"/>
      <c r="H85" s="423"/>
      <c r="J85" s="423"/>
      <c r="L85" s="423"/>
      <c r="N85" s="423"/>
      <c r="P85" s="423"/>
      <c r="R85" s="423"/>
      <c r="T85" s="423"/>
      <c r="V85" s="423"/>
      <c r="X85" s="423"/>
      <c r="Z85" s="423"/>
      <c r="AB85" s="423"/>
      <c r="AD85" s="423"/>
      <c r="AF85" s="423"/>
    </row>
    <row r="86" spans="1:32" s="422" customFormat="1" ht="9.9499999999999993" customHeight="1" x14ac:dyDescent="0.2">
      <c r="B86" s="423"/>
      <c r="D86" s="423"/>
      <c r="F86" s="423"/>
      <c r="H86" s="423"/>
      <c r="J86" s="423"/>
      <c r="L86" s="423"/>
      <c r="N86" s="423"/>
      <c r="P86" s="423"/>
      <c r="R86" s="423"/>
      <c r="T86" s="423"/>
      <c r="V86" s="423"/>
      <c r="X86" s="423"/>
      <c r="Z86" s="423"/>
      <c r="AB86" s="423"/>
      <c r="AD86" s="423"/>
      <c r="AF86" s="423"/>
    </row>
    <row r="87" spans="1:32" s="422" customFormat="1" ht="9.9499999999999993" customHeight="1" x14ac:dyDescent="0.2">
      <c r="B87" s="423"/>
      <c r="D87" s="423"/>
      <c r="F87" s="423"/>
      <c r="H87" s="423"/>
      <c r="J87" s="423"/>
      <c r="L87" s="423"/>
      <c r="N87" s="423"/>
      <c r="P87" s="423"/>
      <c r="R87" s="423"/>
      <c r="T87" s="423"/>
      <c r="V87" s="423"/>
      <c r="X87" s="423"/>
      <c r="Z87" s="423"/>
      <c r="AB87" s="423"/>
      <c r="AD87" s="423"/>
      <c r="AF87" s="423"/>
    </row>
    <row r="88" spans="1:32" s="422" customFormat="1" ht="9.9499999999999993" customHeight="1" x14ac:dyDescent="0.2">
      <c r="B88" s="423"/>
      <c r="D88" s="423"/>
      <c r="F88" s="423"/>
      <c r="H88" s="423"/>
      <c r="J88" s="423"/>
      <c r="L88" s="423"/>
      <c r="N88" s="423"/>
      <c r="P88" s="423"/>
      <c r="R88" s="423"/>
      <c r="T88" s="423"/>
      <c r="V88" s="423"/>
      <c r="X88" s="423"/>
      <c r="Z88" s="423"/>
      <c r="AB88" s="423"/>
      <c r="AD88" s="423"/>
      <c r="AF88" s="423"/>
    </row>
    <row r="89" spans="1:32" s="422" customFormat="1" ht="9.9499999999999993" customHeight="1" x14ac:dyDescent="0.2">
      <c r="B89" s="423"/>
      <c r="D89" s="423"/>
      <c r="F89" s="423"/>
      <c r="H89" s="423"/>
      <c r="J89" s="423"/>
      <c r="L89" s="423"/>
      <c r="N89" s="423"/>
      <c r="P89" s="423"/>
      <c r="R89" s="423"/>
      <c r="T89" s="423"/>
      <c r="V89" s="423"/>
      <c r="X89" s="423"/>
      <c r="Z89" s="423"/>
      <c r="AB89" s="423"/>
      <c r="AD89" s="423"/>
      <c r="AF89" s="423"/>
    </row>
    <row r="90" spans="1:32" s="422" customFormat="1" ht="9.9499999999999993" customHeight="1" x14ac:dyDescent="0.2">
      <c r="B90" s="423"/>
      <c r="D90" s="423"/>
      <c r="F90" s="423"/>
      <c r="H90" s="423"/>
      <c r="J90" s="423"/>
      <c r="L90" s="423"/>
      <c r="N90" s="423"/>
      <c r="P90" s="423"/>
      <c r="R90" s="423"/>
      <c r="T90" s="423"/>
      <c r="V90" s="423"/>
      <c r="X90" s="423"/>
      <c r="Z90" s="423"/>
      <c r="AB90" s="423"/>
      <c r="AD90" s="423"/>
      <c r="AF90" s="423"/>
    </row>
    <row r="91" spans="1:32" s="422" customFormat="1" ht="9.9499999999999993" customHeight="1" x14ac:dyDescent="0.2">
      <c r="B91" s="423"/>
      <c r="D91" s="423"/>
      <c r="F91" s="423"/>
      <c r="H91" s="423"/>
      <c r="J91" s="423"/>
      <c r="L91" s="423"/>
      <c r="N91" s="423"/>
      <c r="P91" s="423"/>
      <c r="R91" s="423"/>
      <c r="T91" s="423"/>
      <c r="V91" s="423"/>
      <c r="X91" s="423"/>
      <c r="Z91" s="423"/>
      <c r="AB91" s="423"/>
      <c r="AD91" s="423"/>
      <c r="AF91" s="423"/>
    </row>
    <row r="92" spans="1:32" s="422" customFormat="1" ht="9.9499999999999993" customHeight="1" x14ac:dyDescent="0.2">
      <c r="B92" s="423"/>
      <c r="D92" s="423"/>
      <c r="F92" s="423"/>
      <c r="H92" s="423"/>
      <c r="J92" s="423"/>
      <c r="L92" s="423"/>
      <c r="N92" s="423"/>
      <c r="P92" s="423"/>
      <c r="R92" s="423"/>
      <c r="T92" s="423"/>
      <c r="V92" s="423"/>
      <c r="X92" s="423"/>
      <c r="Z92" s="423"/>
      <c r="AB92" s="423"/>
      <c r="AD92" s="423"/>
      <c r="AF92" s="423"/>
    </row>
    <row r="93" spans="1:32" s="422" customFormat="1" ht="9.9499999999999993" customHeight="1" x14ac:dyDescent="0.2">
      <c r="B93" s="423"/>
      <c r="D93" s="423"/>
      <c r="F93" s="423"/>
      <c r="H93" s="423"/>
      <c r="J93" s="423"/>
      <c r="L93" s="423"/>
      <c r="N93" s="423"/>
      <c r="P93" s="423"/>
      <c r="R93" s="423"/>
      <c r="T93" s="423"/>
      <c r="V93" s="423"/>
      <c r="X93" s="423"/>
      <c r="Z93" s="423"/>
      <c r="AB93" s="423"/>
      <c r="AD93" s="423"/>
      <c r="AF93" s="423"/>
    </row>
    <row r="94" spans="1:32" s="422" customFormat="1" ht="9.9499999999999993" customHeight="1" x14ac:dyDescent="0.2">
      <c r="B94" s="423"/>
      <c r="D94" s="423"/>
      <c r="F94" s="423"/>
      <c r="H94" s="423"/>
      <c r="J94" s="423"/>
      <c r="L94" s="423"/>
      <c r="N94" s="423"/>
      <c r="P94" s="423"/>
      <c r="R94" s="423"/>
      <c r="T94" s="423"/>
      <c r="V94" s="423"/>
      <c r="X94" s="423"/>
      <c r="Z94" s="423"/>
      <c r="AB94" s="423"/>
      <c r="AD94" s="423"/>
      <c r="AF94" s="423"/>
    </row>
    <row r="95" spans="1:32" s="422" customFormat="1" ht="9.9499999999999993" customHeight="1" x14ac:dyDescent="0.2">
      <c r="B95" s="423"/>
      <c r="D95" s="423"/>
      <c r="F95" s="423"/>
      <c r="H95" s="423"/>
      <c r="J95" s="423"/>
      <c r="L95" s="423"/>
      <c r="N95" s="423"/>
      <c r="P95" s="423"/>
      <c r="R95" s="423"/>
      <c r="T95" s="423"/>
      <c r="V95" s="423"/>
      <c r="X95" s="423"/>
      <c r="Z95" s="423"/>
      <c r="AB95" s="423"/>
      <c r="AD95" s="423"/>
      <c r="AF95" s="423"/>
    </row>
    <row r="96" spans="1:32" s="422" customFormat="1" ht="9.9499999999999993" customHeight="1" x14ac:dyDescent="0.2">
      <c r="B96" s="423"/>
      <c r="D96" s="423"/>
      <c r="F96" s="423"/>
      <c r="H96" s="423"/>
      <c r="J96" s="423"/>
      <c r="L96" s="423"/>
      <c r="N96" s="423"/>
      <c r="P96" s="423"/>
      <c r="R96" s="423"/>
      <c r="T96" s="423"/>
      <c r="V96" s="423"/>
      <c r="X96" s="423"/>
      <c r="Z96" s="423"/>
      <c r="AB96" s="423"/>
      <c r="AD96" s="423"/>
      <c r="AF96" s="423"/>
    </row>
    <row r="97" spans="2:32" s="422" customFormat="1" ht="9.9499999999999993" customHeight="1" x14ac:dyDescent="0.2">
      <c r="B97" s="423"/>
      <c r="D97" s="423"/>
      <c r="F97" s="423"/>
      <c r="H97" s="423"/>
      <c r="J97" s="423"/>
      <c r="L97" s="423"/>
      <c r="N97" s="423"/>
      <c r="P97" s="423"/>
      <c r="R97" s="423"/>
      <c r="T97" s="423"/>
      <c r="V97" s="423"/>
      <c r="X97" s="423"/>
      <c r="Z97" s="423"/>
      <c r="AB97" s="423"/>
      <c r="AD97" s="423"/>
      <c r="AF97" s="423"/>
    </row>
    <row r="98" spans="2:32" s="422" customFormat="1" ht="9.9499999999999993" customHeight="1" x14ac:dyDescent="0.2">
      <c r="B98" s="423"/>
      <c r="D98" s="423"/>
      <c r="F98" s="423"/>
      <c r="H98" s="423"/>
      <c r="J98" s="423"/>
      <c r="L98" s="423"/>
      <c r="N98" s="423"/>
      <c r="P98" s="423"/>
      <c r="R98" s="423"/>
      <c r="T98" s="423"/>
      <c r="V98" s="423"/>
      <c r="X98" s="423"/>
      <c r="Z98" s="423"/>
      <c r="AB98" s="423"/>
      <c r="AD98" s="423"/>
      <c r="AF98" s="423"/>
    </row>
    <row r="99" spans="2:32" s="422" customFormat="1" ht="9.9499999999999993" customHeight="1" x14ac:dyDescent="0.2">
      <c r="B99" s="423"/>
      <c r="D99" s="423"/>
      <c r="F99" s="423"/>
      <c r="H99" s="423"/>
      <c r="J99" s="423"/>
      <c r="L99" s="423"/>
      <c r="N99" s="423"/>
      <c r="P99" s="423"/>
      <c r="R99" s="423"/>
      <c r="T99" s="423"/>
      <c r="V99" s="423"/>
      <c r="X99" s="423"/>
      <c r="Z99" s="423"/>
      <c r="AB99" s="423"/>
      <c r="AD99" s="423"/>
      <c r="AF99" s="423"/>
    </row>
    <row r="100" spans="2:32" s="422" customFormat="1" ht="9.9499999999999993" customHeight="1" x14ac:dyDescent="0.2">
      <c r="B100" s="423"/>
      <c r="D100" s="423"/>
      <c r="F100" s="423"/>
      <c r="H100" s="423"/>
      <c r="J100" s="423"/>
      <c r="L100" s="423"/>
      <c r="N100" s="423"/>
      <c r="P100" s="423"/>
      <c r="R100" s="423"/>
      <c r="T100" s="423"/>
      <c r="V100" s="423"/>
      <c r="X100" s="423"/>
      <c r="Z100" s="423"/>
      <c r="AB100" s="423"/>
      <c r="AD100" s="423"/>
      <c r="AF100" s="423"/>
    </row>
    <row r="101" spans="2:32" s="422" customFormat="1" ht="9.9499999999999993" customHeight="1" x14ac:dyDescent="0.2">
      <c r="B101" s="423"/>
      <c r="D101" s="423"/>
      <c r="F101" s="423"/>
      <c r="H101" s="423"/>
      <c r="J101" s="423"/>
      <c r="L101" s="423"/>
      <c r="N101" s="423"/>
      <c r="P101" s="423"/>
      <c r="R101" s="423"/>
      <c r="T101" s="423"/>
      <c r="V101" s="423"/>
      <c r="X101" s="423"/>
      <c r="Z101" s="423"/>
      <c r="AB101" s="423"/>
      <c r="AD101" s="423"/>
      <c r="AF101" s="423"/>
    </row>
    <row r="102" spans="2:32" s="422" customFormat="1" ht="9.9499999999999993" customHeight="1" x14ac:dyDescent="0.2">
      <c r="B102" s="423"/>
      <c r="D102" s="423"/>
      <c r="F102" s="423"/>
      <c r="H102" s="423"/>
      <c r="J102" s="423"/>
      <c r="L102" s="423"/>
      <c r="N102" s="423"/>
      <c r="P102" s="423"/>
      <c r="R102" s="423"/>
      <c r="T102" s="423"/>
      <c r="V102" s="423"/>
      <c r="X102" s="423"/>
      <c r="Z102" s="423"/>
      <c r="AB102" s="423"/>
      <c r="AD102" s="423"/>
      <c r="AF102" s="423"/>
    </row>
    <row r="103" spans="2:32" s="422" customFormat="1" ht="9.9499999999999993" customHeight="1" x14ac:dyDescent="0.2">
      <c r="B103" s="423"/>
      <c r="D103" s="423"/>
      <c r="F103" s="423"/>
      <c r="H103" s="423"/>
      <c r="J103" s="423"/>
      <c r="L103" s="423"/>
      <c r="N103" s="423"/>
      <c r="P103" s="423"/>
      <c r="R103" s="423"/>
      <c r="T103" s="423"/>
      <c r="V103" s="423"/>
      <c r="X103" s="423"/>
      <c r="Z103" s="423"/>
      <c r="AB103" s="423"/>
      <c r="AD103" s="423"/>
      <c r="AF103" s="423"/>
    </row>
    <row r="104" spans="2:32" s="422" customFormat="1" ht="9.9499999999999993" customHeight="1" x14ac:dyDescent="0.2">
      <c r="B104" s="423"/>
      <c r="D104" s="423"/>
      <c r="F104" s="423"/>
      <c r="H104" s="423"/>
      <c r="J104" s="423"/>
      <c r="L104" s="423"/>
      <c r="N104" s="423"/>
      <c r="P104" s="423"/>
      <c r="R104" s="423"/>
      <c r="T104" s="423"/>
      <c r="V104" s="423"/>
      <c r="X104" s="423"/>
      <c r="Z104" s="423"/>
      <c r="AB104" s="423"/>
      <c r="AD104" s="423"/>
      <c r="AF104" s="423"/>
    </row>
    <row r="105" spans="2:32" s="422" customFormat="1" ht="9.9499999999999993" customHeight="1" x14ac:dyDescent="0.2">
      <c r="B105" s="423"/>
      <c r="D105" s="423"/>
      <c r="F105" s="423"/>
      <c r="H105" s="423"/>
      <c r="J105" s="423"/>
      <c r="L105" s="423"/>
      <c r="N105" s="423"/>
      <c r="P105" s="423"/>
      <c r="R105" s="423"/>
      <c r="T105" s="423"/>
      <c r="V105" s="423"/>
      <c r="X105" s="423"/>
      <c r="Z105" s="423"/>
      <c r="AB105" s="423"/>
      <c r="AD105" s="423"/>
      <c r="AF105" s="423"/>
    </row>
    <row r="106" spans="2:32" s="422" customFormat="1" ht="9.9499999999999993" customHeight="1" x14ac:dyDescent="0.2">
      <c r="B106" s="423"/>
      <c r="D106" s="423"/>
      <c r="F106" s="423"/>
      <c r="H106" s="423"/>
      <c r="J106" s="423"/>
      <c r="L106" s="423"/>
      <c r="N106" s="423"/>
      <c r="P106" s="423"/>
      <c r="R106" s="423"/>
      <c r="T106" s="423"/>
      <c r="V106" s="423"/>
      <c r="X106" s="423"/>
      <c r="Z106" s="423"/>
      <c r="AB106" s="423"/>
      <c r="AD106" s="423"/>
      <c r="AF106" s="423"/>
    </row>
    <row r="107" spans="2:32" s="422" customFormat="1" ht="9.9499999999999993" customHeight="1" x14ac:dyDescent="0.2">
      <c r="B107" s="423"/>
      <c r="D107" s="423"/>
      <c r="F107" s="423"/>
      <c r="H107" s="423"/>
      <c r="J107" s="423"/>
      <c r="L107" s="423"/>
      <c r="N107" s="423"/>
      <c r="P107" s="423"/>
      <c r="R107" s="423"/>
      <c r="T107" s="423"/>
      <c r="V107" s="423"/>
      <c r="X107" s="423"/>
      <c r="Z107" s="423"/>
      <c r="AB107" s="423"/>
      <c r="AD107" s="423"/>
      <c r="AF107" s="423"/>
    </row>
    <row r="108" spans="2:32" s="422" customFormat="1" ht="9.9499999999999993" customHeight="1" x14ac:dyDescent="0.2">
      <c r="B108" s="423"/>
      <c r="D108" s="423"/>
      <c r="F108" s="423"/>
      <c r="H108" s="423"/>
      <c r="J108" s="423"/>
      <c r="L108" s="423"/>
      <c r="N108" s="423"/>
      <c r="P108" s="423"/>
      <c r="R108" s="423"/>
      <c r="T108" s="423"/>
      <c r="V108" s="423"/>
      <c r="X108" s="423"/>
      <c r="Z108" s="423"/>
      <c r="AB108" s="423"/>
      <c r="AD108" s="423"/>
      <c r="AF108" s="423"/>
    </row>
    <row r="109" spans="2:32" s="422" customFormat="1" ht="9.9499999999999993" customHeight="1" x14ac:dyDescent="0.2">
      <c r="B109" s="423"/>
      <c r="D109" s="423"/>
      <c r="F109" s="423"/>
      <c r="H109" s="423"/>
      <c r="J109" s="423"/>
      <c r="L109" s="423"/>
      <c r="N109" s="423"/>
      <c r="P109" s="423"/>
      <c r="R109" s="423"/>
      <c r="T109" s="423"/>
      <c r="V109" s="423"/>
      <c r="X109" s="423"/>
      <c r="Z109" s="423"/>
      <c r="AB109" s="423"/>
      <c r="AD109" s="423"/>
      <c r="AF109" s="423"/>
    </row>
    <row r="110" spans="2:32" s="422" customFormat="1" ht="9.9499999999999993" customHeight="1" x14ac:dyDescent="0.2">
      <c r="B110" s="423"/>
      <c r="D110" s="423"/>
      <c r="F110" s="423"/>
      <c r="H110" s="423"/>
      <c r="J110" s="423"/>
      <c r="L110" s="423"/>
      <c r="N110" s="423"/>
      <c r="P110" s="423"/>
      <c r="R110" s="423"/>
      <c r="T110" s="423"/>
      <c r="V110" s="423"/>
      <c r="X110" s="423"/>
      <c r="Z110" s="423"/>
      <c r="AB110" s="423"/>
      <c r="AD110" s="423"/>
      <c r="AF110" s="423"/>
    </row>
    <row r="111" spans="2:32" s="422" customFormat="1" ht="9.9499999999999993" customHeight="1" x14ac:dyDescent="0.2">
      <c r="B111" s="423"/>
      <c r="D111" s="423"/>
      <c r="F111" s="423"/>
      <c r="H111" s="423"/>
      <c r="J111" s="423"/>
      <c r="L111" s="423"/>
      <c r="N111" s="423"/>
      <c r="P111" s="423"/>
      <c r="R111" s="423"/>
      <c r="T111" s="423"/>
      <c r="V111" s="423"/>
      <c r="X111" s="423"/>
      <c r="Z111" s="423"/>
      <c r="AB111" s="423"/>
      <c r="AD111" s="423"/>
      <c r="AF111" s="423"/>
    </row>
    <row r="112" spans="2:32" s="422" customFormat="1" ht="9.9499999999999993" customHeight="1" x14ac:dyDescent="0.2">
      <c r="B112" s="423"/>
      <c r="D112" s="423"/>
      <c r="F112" s="423"/>
      <c r="H112" s="423"/>
      <c r="J112" s="423"/>
      <c r="L112" s="423"/>
      <c r="N112" s="423"/>
      <c r="P112" s="423"/>
      <c r="R112" s="423"/>
      <c r="T112" s="423"/>
      <c r="V112" s="423"/>
      <c r="X112" s="423"/>
      <c r="Z112" s="423"/>
      <c r="AB112" s="423"/>
      <c r="AD112" s="423"/>
      <c r="AF112" s="423"/>
    </row>
    <row r="113" spans="2:32" s="422" customFormat="1" ht="9.9499999999999993" customHeight="1" x14ac:dyDescent="0.2">
      <c r="B113" s="423"/>
      <c r="D113" s="423"/>
      <c r="F113" s="423"/>
      <c r="H113" s="423"/>
      <c r="J113" s="423"/>
      <c r="L113" s="423"/>
      <c r="N113" s="423"/>
      <c r="P113" s="423"/>
      <c r="R113" s="423"/>
      <c r="T113" s="423"/>
      <c r="V113" s="423"/>
      <c r="X113" s="423"/>
      <c r="Z113" s="423"/>
      <c r="AB113" s="423"/>
      <c r="AD113" s="423"/>
      <c r="AF113" s="423"/>
    </row>
    <row r="114" spans="2:32" s="422" customFormat="1" ht="9.9499999999999993" customHeight="1" x14ac:dyDescent="0.2">
      <c r="B114" s="423"/>
      <c r="D114" s="423"/>
      <c r="F114" s="423"/>
      <c r="H114" s="423"/>
      <c r="J114" s="423"/>
      <c r="L114" s="423"/>
      <c r="N114" s="423"/>
      <c r="P114" s="423"/>
      <c r="R114" s="423"/>
      <c r="T114" s="423"/>
      <c r="V114" s="423"/>
      <c r="X114" s="423"/>
      <c r="Z114" s="423"/>
      <c r="AB114" s="423"/>
      <c r="AD114" s="423"/>
      <c r="AF114" s="423"/>
    </row>
    <row r="115" spans="2:32" s="422" customFormat="1" ht="9.9499999999999993" customHeight="1" x14ac:dyDescent="0.2">
      <c r="B115" s="423"/>
      <c r="D115" s="423"/>
      <c r="F115" s="423"/>
      <c r="H115" s="423"/>
      <c r="J115" s="423"/>
      <c r="L115" s="423"/>
      <c r="N115" s="423"/>
      <c r="P115" s="423"/>
      <c r="R115" s="423"/>
      <c r="T115" s="423"/>
      <c r="V115" s="423"/>
      <c r="X115" s="423"/>
      <c r="Z115" s="423"/>
      <c r="AB115" s="423"/>
      <c r="AD115" s="423"/>
      <c r="AF115" s="423"/>
    </row>
    <row r="116" spans="2:32" s="422" customFormat="1" ht="9.9499999999999993" customHeight="1" x14ac:dyDescent="0.2">
      <c r="B116" s="423"/>
      <c r="D116" s="423"/>
      <c r="F116" s="423"/>
      <c r="H116" s="423"/>
      <c r="J116" s="423"/>
      <c r="L116" s="423"/>
      <c r="N116" s="423"/>
      <c r="P116" s="423"/>
      <c r="R116" s="423"/>
      <c r="T116" s="423"/>
      <c r="V116" s="423"/>
      <c r="X116" s="423"/>
      <c r="Z116" s="423"/>
      <c r="AB116" s="423"/>
      <c r="AD116" s="423"/>
      <c r="AF116" s="423"/>
    </row>
    <row r="117" spans="2:32" s="422" customFormat="1" ht="9.9499999999999993" customHeight="1" x14ac:dyDescent="0.2">
      <c r="B117" s="423"/>
      <c r="D117" s="423"/>
      <c r="F117" s="423"/>
      <c r="H117" s="423"/>
      <c r="J117" s="423"/>
      <c r="L117" s="423"/>
      <c r="N117" s="423"/>
      <c r="P117" s="423"/>
      <c r="R117" s="423"/>
      <c r="T117" s="423"/>
      <c r="V117" s="423"/>
      <c r="X117" s="423"/>
      <c r="Z117" s="423"/>
      <c r="AB117" s="423"/>
      <c r="AD117" s="423"/>
      <c r="AF117" s="423"/>
    </row>
    <row r="118" spans="2:32" s="422" customFormat="1" ht="9.9499999999999993" customHeight="1" x14ac:dyDescent="0.2">
      <c r="B118" s="423"/>
      <c r="D118" s="423"/>
      <c r="F118" s="423"/>
      <c r="H118" s="423"/>
      <c r="J118" s="423"/>
      <c r="L118" s="423"/>
      <c r="N118" s="423"/>
      <c r="P118" s="423"/>
      <c r="R118" s="423"/>
      <c r="T118" s="423"/>
      <c r="V118" s="423"/>
      <c r="X118" s="423"/>
      <c r="Z118" s="423"/>
      <c r="AB118" s="423"/>
      <c r="AD118" s="423"/>
      <c r="AF118" s="423"/>
    </row>
    <row r="119" spans="2:32" s="422" customFormat="1" ht="9.9499999999999993" customHeight="1" x14ac:dyDescent="0.2">
      <c r="B119" s="423"/>
      <c r="D119" s="423"/>
      <c r="F119" s="423"/>
      <c r="H119" s="423"/>
      <c r="J119" s="423"/>
      <c r="L119" s="423"/>
      <c r="N119" s="423"/>
      <c r="P119" s="423"/>
      <c r="R119" s="423"/>
      <c r="T119" s="423"/>
      <c r="V119" s="423"/>
      <c r="X119" s="423"/>
      <c r="Z119" s="423"/>
      <c r="AB119" s="423"/>
      <c r="AD119" s="423"/>
      <c r="AF119" s="423"/>
    </row>
    <row r="120" spans="2:32" s="422" customFormat="1" ht="9.9499999999999993" customHeight="1" x14ac:dyDescent="0.2">
      <c r="B120" s="423"/>
      <c r="D120" s="423"/>
      <c r="F120" s="423"/>
      <c r="H120" s="423"/>
      <c r="J120" s="423"/>
      <c r="L120" s="423"/>
      <c r="N120" s="423"/>
      <c r="P120" s="423"/>
      <c r="R120" s="423"/>
      <c r="T120" s="423"/>
      <c r="V120" s="423"/>
      <c r="X120" s="423"/>
      <c r="Z120" s="423"/>
      <c r="AB120" s="423"/>
      <c r="AD120" s="423"/>
      <c r="AF120" s="423"/>
    </row>
    <row r="121" spans="2:32" s="422" customFormat="1" ht="9.9499999999999993" customHeight="1" x14ac:dyDescent="0.2">
      <c r="B121" s="423"/>
      <c r="D121" s="423"/>
      <c r="F121" s="423"/>
      <c r="H121" s="423"/>
      <c r="J121" s="423"/>
      <c r="L121" s="423"/>
      <c r="N121" s="423"/>
      <c r="P121" s="423"/>
      <c r="R121" s="423"/>
      <c r="T121" s="423"/>
      <c r="V121" s="423"/>
      <c r="X121" s="423"/>
      <c r="Z121" s="423"/>
      <c r="AB121" s="423"/>
      <c r="AD121" s="423"/>
      <c r="AF121" s="423"/>
    </row>
    <row r="122" spans="2:32" s="422" customFormat="1" ht="9.9499999999999993" customHeight="1" x14ac:dyDescent="0.2">
      <c r="B122" s="423"/>
      <c r="D122" s="423"/>
      <c r="F122" s="423"/>
      <c r="G122" s="422">
        <v>21</v>
      </c>
      <c r="H122" s="423"/>
      <c r="J122" s="423"/>
      <c r="L122" s="423"/>
      <c r="N122" s="423"/>
      <c r="P122" s="423"/>
      <c r="R122" s="423"/>
      <c r="T122" s="423"/>
      <c r="V122" s="423"/>
      <c r="X122" s="423"/>
      <c r="Z122" s="423"/>
      <c r="AB122" s="423"/>
      <c r="AD122" s="423"/>
      <c r="AF122" s="423"/>
    </row>
    <row r="123" spans="2:32" s="422" customFormat="1" ht="9.9499999999999993" customHeight="1" x14ac:dyDescent="0.2">
      <c r="B123" s="423"/>
      <c r="D123" s="423"/>
      <c r="F123" s="423"/>
      <c r="H123" s="423"/>
      <c r="J123" s="423"/>
      <c r="L123" s="423"/>
      <c r="N123" s="423"/>
      <c r="P123" s="423"/>
      <c r="R123" s="423"/>
      <c r="T123" s="423"/>
      <c r="V123" s="423"/>
      <c r="X123" s="423"/>
      <c r="Z123" s="423"/>
      <c r="AB123" s="423"/>
      <c r="AD123" s="423"/>
      <c r="AF123" s="423"/>
    </row>
    <row r="124" spans="2:32" s="422" customFormat="1" ht="9.9499999999999993" customHeight="1" x14ac:dyDescent="0.2">
      <c r="B124" s="423"/>
      <c r="D124" s="423"/>
      <c r="F124" s="423"/>
      <c r="H124" s="423"/>
      <c r="J124" s="423"/>
      <c r="L124" s="423"/>
      <c r="N124" s="423"/>
      <c r="P124" s="423"/>
      <c r="R124" s="423"/>
      <c r="T124" s="423"/>
      <c r="V124" s="423"/>
      <c r="X124" s="423"/>
      <c r="Z124" s="423"/>
      <c r="AB124" s="423"/>
      <c r="AD124" s="423"/>
      <c r="AF124" s="423"/>
    </row>
    <row r="125" spans="2:32" s="422" customFormat="1" ht="9.9499999999999993" customHeight="1" x14ac:dyDescent="0.2">
      <c r="B125" s="423"/>
      <c r="D125" s="423"/>
      <c r="F125" s="423"/>
      <c r="H125" s="423"/>
      <c r="J125" s="423"/>
      <c r="L125" s="423"/>
      <c r="N125" s="423"/>
      <c r="P125" s="423"/>
      <c r="R125" s="423"/>
      <c r="T125" s="423"/>
      <c r="V125" s="423"/>
      <c r="X125" s="423"/>
      <c r="Z125" s="423"/>
      <c r="AB125" s="423"/>
      <c r="AD125" s="423"/>
      <c r="AF125" s="423"/>
    </row>
    <row r="126" spans="2:32" s="422" customFormat="1" ht="9.9499999999999993" customHeight="1" x14ac:dyDescent="0.2">
      <c r="B126" s="423"/>
      <c r="D126" s="423"/>
      <c r="F126" s="423"/>
      <c r="H126" s="423"/>
      <c r="J126" s="423"/>
      <c r="L126" s="423"/>
      <c r="N126" s="423"/>
      <c r="P126" s="423"/>
      <c r="R126" s="423"/>
      <c r="T126" s="423"/>
      <c r="V126" s="423"/>
      <c r="X126" s="423"/>
      <c r="Z126" s="423"/>
      <c r="AB126" s="423"/>
      <c r="AD126" s="423"/>
      <c r="AF126" s="423"/>
    </row>
    <row r="127" spans="2:32" s="422" customFormat="1" ht="9.9499999999999993" customHeight="1" x14ac:dyDescent="0.2">
      <c r="B127" s="423"/>
      <c r="D127" s="423"/>
      <c r="F127" s="423"/>
      <c r="H127" s="423"/>
      <c r="J127" s="423"/>
      <c r="L127" s="423"/>
      <c r="N127" s="423"/>
      <c r="P127" s="423"/>
      <c r="R127" s="423"/>
      <c r="T127" s="423"/>
      <c r="V127" s="423"/>
      <c r="X127" s="423"/>
      <c r="Z127" s="423"/>
      <c r="AB127" s="423"/>
      <c r="AD127" s="423"/>
      <c r="AF127" s="423"/>
    </row>
    <row r="128" spans="2:32" s="422" customFormat="1" ht="9.9499999999999993" customHeight="1" x14ac:dyDescent="0.2">
      <c r="B128" s="423"/>
      <c r="D128" s="423"/>
      <c r="F128" s="423"/>
      <c r="H128" s="423"/>
      <c r="J128" s="423"/>
      <c r="L128" s="423"/>
      <c r="N128" s="423"/>
      <c r="P128" s="423"/>
      <c r="R128" s="423"/>
      <c r="T128" s="423"/>
      <c r="V128" s="423"/>
      <c r="X128" s="423"/>
      <c r="Z128" s="423"/>
      <c r="AB128" s="423"/>
      <c r="AD128" s="423"/>
      <c r="AF128" s="423"/>
    </row>
    <row r="129" spans="2:32" s="422" customFormat="1" ht="9.9499999999999993" customHeight="1" x14ac:dyDescent="0.2">
      <c r="B129" s="423"/>
      <c r="D129" s="423"/>
      <c r="F129" s="423"/>
      <c r="H129" s="423"/>
      <c r="J129" s="423"/>
      <c r="L129" s="423"/>
      <c r="N129" s="423"/>
      <c r="P129" s="423"/>
      <c r="R129" s="423"/>
      <c r="T129" s="423"/>
      <c r="V129" s="423"/>
      <c r="X129" s="423"/>
      <c r="Z129" s="423"/>
      <c r="AB129" s="423"/>
      <c r="AD129" s="423"/>
      <c r="AF129" s="423"/>
    </row>
    <row r="130" spans="2:32" s="422" customFormat="1" ht="9.9499999999999993" customHeight="1" x14ac:dyDescent="0.2">
      <c r="B130" s="423"/>
      <c r="D130" s="423"/>
      <c r="F130" s="423"/>
      <c r="H130" s="423"/>
      <c r="J130" s="423"/>
      <c r="L130" s="423"/>
      <c r="N130" s="423"/>
      <c r="P130" s="423"/>
      <c r="R130" s="423"/>
      <c r="T130" s="423"/>
      <c r="V130" s="423"/>
      <c r="X130" s="423"/>
      <c r="Z130" s="423"/>
      <c r="AB130" s="423"/>
      <c r="AD130" s="423"/>
      <c r="AF130" s="423"/>
    </row>
    <row r="131" spans="2:32" s="422" customFormat="1" ht="9.9499999999999993" customHeight="1" x14ac:dyDescent="0.2">
      <c r="B131" s="423"/>
      <c r="D131" s="423"/>
      <c r="F131" s="423"/>
      <c r="H131" s="423"/>
      <c r="J131" s="423"/>
      <c r="L131" s="423"/>
      <c r="N131" s="423"/>
      <c r="P131" s="423"/>
      <c r="R131" s="423"/>
      <c r="T131" s="423"/>
      <c r="V131" s="423"/>
      <c r="X131" s="423"/>
      <c r="Z131" s="423"/>
      <c r="AB131" s="423"/>
      <c r="AD131" s="423"/>
      <c r="AF131" s="423"/>
    </row>
    <row r="132" spans="2:32" s="422" customFormat="1" ht="9.9499999999999993" customHeight="1" x14ac:dyDescent="0.2">
      <c r="B132" s="423"/>
      <c r="D132" s="423"/>
      <c r="F132" s="423"/>
      <c r="H132" s="423"/>
      <c r="J132" s="423"/>
      <c r="L132" s="423"/>
      <c r="N132" s="423"/>
      <c r="P132" s="423"/>
      <c r="R132" s="423"/>
      <c r="T132" s="423"/>
      <c r="V132" s="423"/>
      <c r="X132" s="423"/>
      <c r="Z132" s="423"/>
      <c r="AB132" s="423"/>
      <c r="AD132" s="423"/>
      <c r="AF132" s="423"/>
    </row>
    <row r="133" spans="2:32" s="422" customFormat="1" ht="9.9499999999999993" customHeight="1" x14ac:dyDescent="0.2">
      <c r="B133" s="423"/>
      <c r="D133" s="423"/>
      <c r="F133" s="423"/>
      <c r="H133" s="423"/>
      <c r="J133" s="423"/>
      <c r="L133" s="423"/>
      <c r="N133" s="423"/>
      <c r="P133" s="423"/>
      <c r="R133" s="423"/>
      <c r="T133" s="423"/>
      <c r="V133" s="423"/>
      <c r="X133" s="423"/>
      <c r="Z133" s="423"/>
      <c r="AB133" s="423"/>
      <c r="AD133" s="423"/>
      <c r="AF133" s="423"/>
    </row>
    <row r="134" spans="2:32" s="422" customFormat="1" ht="9.9499999999999993" customHeight="1" x14ac:dyDescent="0.2">
      <c r="B134" s="423"/>
      <c r="D134" s="423"/>
      <c r="F134" s="423"/>
      <c r="H134" s="423"/>
      <c r="J134" s="423"/>
      <c r="L134" s="423"/>
      <c r="N134" s="423"/>
      <c r="P134" s="423"/>
      <c r="R134" s="423"/>
      <c r="T134" s="423"/>
      <c r="V134" s="423"/>
      <c r="X134" s="423"/>
      <c r="Z134" s="423"/>
      <c r="AB134" s="423"/>
      <c r="AD134" s="423"/>
      <c r="AF134" s="423"/>
    </row>
    <row r="135" spans="2:32" s="422" customFormat="1" ht="9.9499999999999993" customHeight="1" x14ac:dyDescent="0.2">
      <c r="B135" s="423"/>
      <c r="D135" s="423"/>
      <c r="F135" s="423"/>
      <c r="H135" s="423"/>
      <c r="J135" s="423"/>
      <c r="L135" s="423"/>
      <c r="N135" s="423"/>
      <c r="P135" s="423"/>
      <c r="R135" s="423"/>
      <c r="T135" s="423"/>
      <c r="V135" s="423"/>
      <c r="X135" s="423"/>
      <c r="Z135" s="423"/>
      <c r="AB135" s="423"/>
      <c r="AD135" s="423"/>
      <c r="AF135" s="423"/>
    </row>
    <row r="136" spans="2:32" s="422" customFormat="1" ht="9.9499999999999993" customHeight="1" x14ac:dyDescent="0.2">
      <c r="B136" s="423"/>
      <c r="D136" s="423"/>
      <c r="F136" s="423"/>
      <c r="H136" s="423"/>
      <c r="J136" s="423"/>
      <c r="L136" s="423"/>
      <c r="N136" s="423"/>
      <c r="P136" s="423"/>
      <c r="R136" s="423"/>
      <c r="T136" s="423"/>
      <c r="V136" s="423"/>
      <c r="X136" s="423"/>
      <c r="Z136" s="423"/>
      <c r="AB136" s="423"/>
      <c r="AD136" s="423"/>
      <c r="AF136" s="423"/>
    </row>
    <row r="137" spans="2:32" s="422" customFormat="1" ht="9.9499999999999993" customHeight="1" x14ac:dyDescent="0.2">
      <c r="B137" s="423"/>
      <c r="D137" s="423"/>
      <c r="F137" s="423"/>
      <c r="H137" s="423"/>
      <c r="J137" s="423"/>
      <c r="L137" s="423"/>
      <c r="N137" s="423"/>
      <c r="P137" s="423"/>
      <c r="R137" s="423"/>
      <c r="T137" s="423"/>
      <c r="V137" s="423"/>
      <c r="X137" s="423"/>
      <c r="Z137" s="423"/>
      <c r="AB137" s="423"/>
      <c r="AD137" s="423"/>
      <c r="AF137" s="423"/>
    </row>
    <row r="138" spans="2:32" s="422" customFormat="1" ht="9.9499999999999993" customHeight="1" x14ac:dyDescent="0.2">
      <c r="B138" s="423"/>
      <c r="D138" s="423"/>
      <c r="F138" s="423"/>
      <c r="H138" s="423"/>
      <c r="J138" s="423"/>
      <c r="L138" s="423"/>
      <c r="N138" s="423"/>
      <c r="P138" s="423"/>
      <c r="R138" s="423"/>
      <c r="T138" s="423"/>
      <c r="V138" s="423"/>
      <c r="X138" s="423"/>
      <c r="Z138" s="423"/>
      <c r="AB138" s="423"/>
      <c r="AD138" s="423"/>
      <c r="AF138" s="423"/>
    </row>
    <row r="139" spans="2:32" s="422" customFormat="1" ht="9.9499999999999993" customHeight="1" x14ac:dyDescent="0.2">
      <c r="B139" s="423"/>
      <c r="D139" s="423"/>
      <c r="F139" s="423"/>
      <c r="H139" s="423"/>
      <c r="J139" s="423"/>
      <c r="L139" s="423"/>
      <c r="N139" s="423"/>
      <c r="P139" s="423"/>
      <c r="R139" s="423"/>
      <c r="T139" s="423"/>
      <c r="V139" s="423"/>
      <c r="X139" s="423"/>
      <c r="Z139" s="423"/>
      <c r="AB139" s="423"/>
      <c r="AD139" s="423"/>
      <c r="AF139" s="423"/>
    </row>
    <row r="140" spans="2:32" s="422" customFormat="1" ht="9.9499999999999993" customHeight="1" x14ac:dyDescent="0.2">
      <c r="B140" s="423"/>
      <c r="D140" s="423"/>
      <c r="F140" s="423"/>
      <c r="H140" s="423"/>
      <c r="J140" s="423"/>
      <c r="L140" s="423"/>
      <c r="N140" s="423"/>
      <c r="P140" s="423"/>
      <c r="R140" s="423"/>
      <c r="T140" s="423"/>
      <c r="V140" s="423"/>
      <c r="X140" s="423"/>
      <c r="Z140" s="423"/>
      <c r="AB140" s="423"/>
      <c r="AD140" s="423"/>
      <c r="AF140" s="423"/>
    </row>
    <row r="141" spans="2:32" s="422" customFormat="1" ht="9.9499999999999993" customHeight="1" x14ac:dyDescent="0.2">
      <c r="B141" s="423"/>
      <c r="D141" s="423"/>
      <c r="F141" s="423"/>
      <c r="H141" s="423"/>
      <c r="J141" s="423"/>
      <c r="L141" s="423"/>
      <c r="N141" s="423"/>
      <c r="P141" s="423"/>
      <c r="R141" s="423"/>
      <c r="T141" s="423"/>
      <c r="V141" s="423"/>
      <c r="X141" s="423"/>
      <c r="Z141" s="423"/>
      <c r="AB141" s="423"/>
      <c r="AD141" s="423"/>
      <c r="AF141" s="423"/>
    </row>
    <row r="142" spans="2:32" s="422" customFormat="1" ht="9.9499999999999993" customHeight="1" x14ac:dyDescent="0.2">
      <c r="B142" s="423"/>
      <c r="D142" s="423"/>
      <c r="F142" s="423"/>
      <c r="H142" s="423"/>
      <c r="J142" s="423"/>
      <c r="L142" s="423"/>
      <c r="N142" s="423"/>
      <c r="P142" s="423"/>
      <c r="R142" s="423"/>
      <c r="T142" s="423"/>
      <c r="V142" s="423"/>
      <c r="X142" s="423"/>
      <c r="Z142" s="423"/>
      <c r="AB142" s="423"/>
      <c r="AD142" s="423"/>
      <c r="AF142" s="423"/>
    </row>
    <row r="143" spans="2:32" s="422" customFormat="1" ht="9.9499999999999993" customHeight="1" x14ac:dyDescent="0.2">
      <c r="B143" s="423"/>
      <c r="D143" s="423"/>
      <c r="F143" s="423"/>
      <c r="H143" s="423"/>
      <c r="J143" s="423"/>
      <c r="L143" s="423"/>
      <c r="N143" s="423"/>
      <c r="P143" s="423"/>
      <c r="R143" s="423"/>
      <c r="T143" s="423"/>
      <c r="V143" s="423"/>
      <c r="X143" s="423"/>
      <c r="Z143" s="423"/>
      <c r="AB143" s="423"/>
      <c r="AD143" s="423"/>
      <c r="AF143" s="423"/>
    </row>
    <row r="144" spans="2:32" s="422" customFormat="1" ht="9.9499999999999993" customHeight="1" x14ac:dyDescent="0.2">
      <c r="B144" s="423"/>
      <c r="D144" s="423"/>
      <c r="F144" s="423"/>
      <c r="H144" s="423"/>
      <c r="J144" s="423"/>
      <c r="L144" s="423"/>
      <c r="N144" s="423"/>
      <c r="P144" s="423"/>
      <c r="R144" s="423"/>
      <c r="T144" s="423"/>
      <c r="V144" s="423"/>
      <c r="X144" s="423"/>
      <c r="Z144" s="423"/>
      <c r="AB144" s="423"/>
      <c r="AD144" s="423"/>
      <c r="AF144" s="423"/>
    </row>
    <row r="145" spans="2:32" s="422" customFormat="1" ht="9.9499999999999993" customHeight="1" x14ac:dyDescent="0.2">
      <c r="B145" s="423"/>
      <c r="D145" s="423"/>
      <c r="F145" s="423"/>
      <c r="H145" s="423"/>
      <c r="J145" s="423"/>
      <c r="L145" s="423"/>
      <c r="N145" s="423"/>
      <c r="P145" s="423"/>
      <c r="R145" s="423"/>
      <c r="T145" s="423"/>
      <c r="V145" s="423"/>
      <c r="X145" s="423"/>
      <c r="Z145" s="423"/>
      <c r="AB145" s="423"/>
      <c r="AD145" s="423"/>
      <c r="AF145" s="423"/>
    </row>
    <row r="146" spans="2:32" s="422" customFormat="1" ht="9.9499999999999993" customHeight="1" x14ac:dyDescent="0.2">
      <c r="B146" s="423"/>
      <c r="D146" s="423"/>
      <c r="F146" s="423"/>
      <c r="H146" s="423"/>
      <c r="J146" s="423"/>
      <c r="L146" s="423"/>
      <c r="N146" s="423"/>
      <c r="P146" s="423"/>
      <c r="R146" s="423"/>
      <c r="T146" s="423"/>
      <c r="V146" s="423"/>
      <c r="X146" s="423"/>
      <c r="Z146" s="423"/>
      <c r="AB146" s="423"/>
      <c r="AD146" s="423"/>
      <c r="AF146" s="423"/>
    </row>
    <row r="147" spans="2:32" s="422" customFormat="1" ht="9.9499999999999993" customHeight="1" x14ac:dyDescent="0.2">
      <c r="B147" s="423"/>
      <c r="D147" s="423"/>
      <c r="F147" s="423"/>
      <c r="H147" s="423"/>
      <c r="J147" s="423"/>
      <c r="L147" s="423"/>
      <c r="N147" s="423"/>
      <c r="P147" s="423"/>
      <c r="R147" s="423"/>
      <c r="T147" s="423"/>
      <c r="V147" s="423"/>
      <c r="X147" s="423"/>
      <c r="Z147" s="423"/>
      <c r="AB147" s="423"/>
      <c r="AD147" s="423"/>
      <c r="AF147" s="423"/>
    </row>
    <row r="148" spans="2:32" s="422" customFormat="1" ht="9.9499999999999993" customHeight="1" x14ac:dyDescent="0.2">
      <c r="B148" s="423"/>
      <c r="D148" s="423"/>
      <c r="F148" s="423"/>
      <c r="H148" s="423"/>
      <c r="J148" s="423"/>
      <c r="L148" s="423"/>
      <c r="N148" s="423"/>
      <c r="P148" s="423"/>
      <c r="R148" s="423"/>
      <c r="T148" s="423"/>
      <c r="V148" s="423"/>
      <c r="X148" s="423"/>
      <c r="Z148" s="423"/>
      <c r="AB148" s="423"/>
      <c r="AD148" s="423"/>
      <c r="AF148" s="423"/>
    </row>
    <row r="149" spans="2:32" s="422" customFormat="1" ht="9.9499999999999993" customHeight="1" x14ac:dyDescent="0.2">
      <c r="B149" s="423"/>
      <c r="D149" s="423"/>
      <c r="F149" s="423"/>
      <c r="H149" s="423"/>
      <c r="J149" s="423"/>
      <c r="L149" s="423"/>
      <c r="N149" s="423"/>
      <c r="P149" s="423"/>
      <c r="R149" s="423"/>
      <c r="T149" s="423"/>
      <c r="V149" s="423"/>
      <c r="X149" s="423"/>
      <c r="Z149" s="423"/>
      <c r="AB149" s="423"/>
      <c r="AD149" s="423"/>
      <c r="AF149" s="423"/>
    </row>
    <row r="150" spans="2:32" s="422" customFormat="1" ht="9.9499999999999993" customHeight="1" x14ac:dyDescent="0.2">
      <c r="B150" s="423"/>
      <c r="D150" s="423"/>
      <c r="F150" s="423"/>
      <c r="H150" s="423"/>
      <c r="J150" s="423"/>
      <c r="L150" s="423"/>
      <c r="N150" s="423"/>
      <c r="P150" s="423"/>
      <c r="R150" s="423"/>
      <c r="T150" s="423"/>
      <c r="V150" s="423"/>
      <c r="X150" s="423"/>
      <c r="Z150" s="423"/>
      <c r="AB150" s="423"/>
      <c r="AD150" s="423"/>
      <c r="AF150" s="423"/>
    </row>
    <row r="151" spans="2:32" s="422" customFormat="1" ht="9.9499999999999993" customHeight="1" x14ac:dyDescent="0.2">
      <c r="B151" s="423"/>
      <c r="D151" s="423"/>
      <c r="F151" s="423"/>
      <c r="H151" s="423"/>
      <c r="J151" s="423"/>
      <c r="L151" s="423"/>
      <c r="N151" s="423"/>
      <c r="P151" s="423"/>
      <c r="R151" s="423"/>
      <c r="T151" s="423"/>
      <c r="V151" s="423"/>
      <c r="X151" s="423"/>
      <c r="Z151" s="423"/>
      <c r="AB151" s="423"/>
      <c r="AD151" s="423"/>
      <c r="AF151" s="423"/>
    </row>
    <row r="152" spans="2:32" s="422" customFormat="1" ht="9.9499999999999993" customHeight="1" x14ac:dyDescent="0.2">
      <c r="B152" s="423"/>
      <c r="D152" s="423"/>
      <c r="F152" s="423"/>
      <c r="H152" s="423"/>
      <c r="J152" s="423"/>
      <c r="L152" s="423"/>
      <c r="N152" s="423"/>
      <c r="P152" s="423"/>
      <c r="R152" s="423"/>
      <c r="T152" s="423"/>
      <c r="V152" s="423"/>
      <c r="X152" s="423"/>
      <c r="Z152" s="423"/>
      <c r="AB152" s="423"/>
      <c r="AD152" s="423"/>
      <c r="AF152" s="423"/>
    </row>
    <row r="153" spans="2:32" s="422" customFormat="1" ht="9.9499999999999993" customHeight="1" x14ac:dyDescent="0.2">
      <c r="B153" s="423"/>
      <c r="D153" s="423"/>
      <c r="F153" s="423"/>
      <c r="H153" s="423"/>
      <c r="J153" s="423"/>
      <c r="L153" s="423"/>
      <c r="N153" s="423"/>
      <c r="P153" s="423"/>
      <c r="R153" s="423"/>
      <c r="T153" s="423"/>
      <c r="V153" s="423"/>
      <c r="X153" s="423"/>
      <c r="Z153" s="423"/>
      <c r="AB153" s="423"/>
      <c r="AD153" s="423"/>
      <c r="AF153" s="423"/>
    </row>
    <row r="154" spans="2:32" s="422" customFormat="1" ht="9.9499999999999993" customHeight="1" x14ac:dyDescent="0.2">
      <c r="B154" s="423"/>
      <c r="D154" s="423"/>
      <c r="F154" s="423"/>
      <c r="H154" s="423"/>
      <c r="J154" s="423"/>
      <c r="L154" s="423"/>
      <c r="N154" s="423"/>
      <c r="P154" s="423"/>
      <c r="R154" s="423"/>
      <c r="T154" s="423"/>
      <c r="V154" s="423"/>
      <c r="X154" s="423"/>
      <c r="Z154" s="423"/>
      <c r="AB154" s="423"/>
      <c r="AD154" s="423"/>
      <c r="AF154" s="423"/>
    </row>
    <row r="155" spans="2:32" s="422" customFormat="1" ht="9.9499999999999993" customHeight="1" x14ac:dyDescent="0.2">
      <c r="B155" s="423"/>
      <c r="D155" s="423"/>
      <c r="F155" s="423"/>
      <c r="H155" s="423"/>
      <c r="J155" s="423"/>
      <c r="L155" s="423"/>
      <c r="N155" s="423"/>
      <c r="P155" s="423"/>
      <c r="R155" s="423"/>
      <c r="T155" s="423"/>
      <c r="V155" s="423"/>
      <c r="X155" s="423"/>
      <c r="Z155" s="423"/>
      <c r="AB155" s="423"/>
      <c r="AD155" s="423"/>
      <c r="AF155" s="423"/>
    </row>
    <row r="156" spans="2:32" s="422" customFormat="1" ht="9.9499999999999993" customHeight="1" x14ac:dyDescent="0.2">
      <c r="B156" s="423"/>
      <c r="D156" s="423"/>
      <c r="F156" s="423"/>
      <c r="H156" s="423"/>
      <c r="J156" s="423"/>
      <c r="L156" s="423"/>
      <c r="N156" s="423"/>
      <c r="P156" s="423"/>
      <c r="R156" s="423"/>
      <c r="T156" s="423"/>
      <c r="V156" s="423"/>
      <c r="X156" s="423"/>
      <c r="Z156" s="423"/>
      <c r="AB156" s="423"/>
      <c r="AD156" s="423"/>
      <c r="AF156" s="423"/>
    </row>
    <row r="157" spans="2:32" s="422" customFormat="1" ht="9.9499999999999993" customHeight="1" x14ac:dyDescent="0.2">
      <c r="B157" s="423"/>
      <c r="D157" s="423"/>
      <c r="F157" s="423"/>
      <c r="H157" s="423"/>
      <c r="J157" s="423"/>
      <c r="L157" s="423"/>
      <c r="N157" s="423"/>
      <c r="P157" s="423"/>
      <c r="R157" s="423"/>
      <c r="T157" s="423"/>
      <c r="V157" s="423"/>
      <c r="X157" s="423"/>
      <c r="Z157" s="423"/>
      <c r="AB157" s="423"/>
      <c r="AD157" s="423"/>
      <c r="AF157" s="423"/>
    </row>
    <row r="158" spans="2:32" s="422" customFormat="1" ht="9.9499999999999993" customHeight="1" x14ac:dyDescent="0.2">
      <c r="B158" s="423"/>
      <c r="D158" s="423"/>
      <c r="F158" s="423"/>
      <c r="H158" s="423"/>
      <c r="J158" s="423"/>
      <c r="L158" s="423"/>
      <c r="N158" s="423"/>
      <c r="P158" s="423"/>
      <c r="R158" s="423"/>
      <c r="T158" s="423"/>
      <c r="V158" s="423"/>
      <c r="X158" s="423"/>
      <c r="Z158" s="423"/>
      <c r="AB158" s="423"/>
      <c r="AD158" s="423"/>
      <c r="AF158" s="423"/>
    </row>
    <row r="159" spans="2:32" s="422" customFormat="1" ht="9.9499999999999993" customHeight="1" x14ac:dyDescent="0.2">
      <c r="B159" s="423"/>
      <c r="D159" s="423"/>
      <c r="F159" s="423"/>
      <c r="H159" s="423"/>
      <c r="J159" s="423"/>
      <c r="L159" s="423"/>
      <c r="N159" s="423"/>
      <c r="P159" s="423"/>
      <c r="R159" s="423"/>
      <c r="T159" s="423"/>
      <c r="V159" s="423"/>
      <c r="X159" s="423"/>
      <c r="Z159" s="423"/>
      <c r="AB159" s="423"/>
      <c r="AD159" s="423"/>
      <c r="AF159" s="423"/>
    </row>
    <row r="160" spans="2:32" s="422" customFormat="1" ht="9.9499999999999993" customHeight="1" x14ac:dyDescent="0.2">
      <c r="B160" s="423"/>
      <c r="D160" s="423"/>
      <c r="F160" s="423"/>
      <c r="H160" s="423"/>
      <c r="J160" s="423"/>
      <c r="L160" s="423"/>
      <c r="N160" s="423"/>
      <c r="P160" s="423"/>
      <c r="R160" s="423"/>
      <c r="T160" s="423"/>
      <c r="V160" s="423"/>
      <c r="X160" s="423"/>
      <c r="Z160" s="423"/>
      <c r="AB160" s="423"/>
      <c r="AD160" s="423"/>
      <c r="AF160" s="423"/>
    </row>
    <row r="161" spans="2:32" s="422" customFormat="1" ht="9.9499999999999993" customHeight="1" x14ac:dyDescent="0.2">
      <c r="B161" s="423"/>
      <c r="D161" s="423"/>
      <c r="F161" s="423"/>
      <c r="H161" s="423"/>
      <c r="J161" s="423"/>
      <c r="L161" s="423"/>
      <c r="N161" s="423"/>
      <c r="P161" s="423"/>
      <c r="R161" s="423"/>
      <c r="T161" s="423"/>
      <c r="V161" s="423"/>
      <c r="X161" s="423"/>
      <c r="Z161" s="423"/>
      <c r="AB161" s="423"/>
      <c r="AD161" s="423"/>
      <c r="AF161" s="423"/>
    </row>
    <row r="162" spans="2:32" s="422" customFormat="1" ht="9.9499999999999993" customHeight="1" x14ac:dyDescent="0.2">
      <c r="B162" s="423"/>
      <c r="D162" s="423"/>
      <c r="F162" s="423"/>
      <c r="H162" s="423"/>
      <c r="J162" s="423"/>
      <c r="L162" s="423"/>
      <c r="N162" s="423"/>
      <c r="P162" s="423"/>
      <c r="R162" s="423"/>
      <c r="T162" s="423"/>
      <c r="V162" s="423"/>
      <c r="X162" s="423"/>
      <c r="Z162" s="423"/>
      <c r="AB162" s="423"/>
      <c r="AD162" s="423"/>
      <c r="AF162" s="423"/>
    </row>
    <row r="163" spans="2:32" s="422" customFormat="1" ht="9.9499999999999993" customHeight="1" x14ac:dyDescent="0.2">
      <c r="B163" s="423"/>
      <c r="D163" s="423"/>
      <c r="F163" s="423"/>
      <c r="H163" s="423"/>
      <c r="J163" s="423"/>
      <c r="L163" s="423"/>
      <c r="N163" s="423"/>
      <c r="P163" s="423"/>
      <c r="R163" s="423"/>
      <c r="T163" s="423"/>
      <c r="V163" s="423"/>
      <c r="X163" s="423"/>
      <c r="Z163" s="423"/>
      <c r="AB163" s="423"/>
      <c r="AD163" s="423"/>
      <c r="AF163" s="423"/>
    </row>
    <row r="164" spans="2:32" s="422" customFormat="1" ht="9.9499999999999993" customHeight="1" x14ac:dyDescent="0.2">
      <c r="B164" s="423"/>
      <c r="D164" s="423"/>
      <c r="F164" s="423"/>
      <c r="H164" s="423"/>
      <c r="J164" s="423"/>
      <c r="L164" s="423"/>
      <c r="N164" s="423"/>
      <c r="P164" s="423"/>
      <c r="R164" s="423"/>
      <c r="T164" s="423"/>
      <c r="V164" s="423"/>
      <c r="X164" s="423"/>
      <c r="Z164" s="423"/>
      <c r="AB164" s="423"/>
      <c r="AD164" s="423"/>
      <c r="AF164" s="423"/>
    </row>
    <row r="165" spans="2:32" s="422" customFormat="1" ht="9.9499999999999993" customHeight="1" x14ac:dyDescent="0.2">
      <c r="B165" s="423"/>
      <c r="D165" s="423"/>
      <c r="F165" s="423"/>
      <c r="H165" s="423"/>
      <c r="J165" s="423"/>
      <c r="L165" s="423"/>
      <c r="N165" s="423"/>
      <c r="P165" s="423"/>
      <c r="R165" s="423"/>
      <c r="T165" s="423"/>
      <c r="V165" s="423"/>
      <c r="X165" s="423"/>
      <c r="Z165" s="423"/>
      <c r="AB165" s="423"/>
      <c r="AD165" s="423"/>
      <c r="AF165" s="423"/>
    </row>
    <row r="166" spans="2:32" s="326" customFormat="1" ht="9.9499999999999993" customHeight="1" x14ac:dyDescent="0.2">
      <c r="B166" s="327"/>
      <c r="D166" s="327"/>
      <c r="F166" s="327"/>
      <c r="H166" s="327"/>
      <c r="J166" s="327"/>
      <c r="L166" s="327"/>
      <c r="N166" s="327"/>
      <c r="P166" s="327"/>
      <c r="R166" s="327"/>
      <c r="T166" s="327"/>
      <c r="V166" s="327"/>
      <c r="X166" s="327"/>
      <c r="Z166" s="327"/>
      <c r="AB166" s="327"/>
      <c r="AD166" s="327"/>
      <c r="AF166" s="327"/>
    </row>
    <row r="167" spans="2:32" s="326" customFormat="1" ht="9.9499999999999993" customHeight="1" x14ac:dyDescent="0.2">
      <c r="B167" s="327"/>
      <c r="D167" s="327"/>
      <c r="F167" s="327"/>
      <c r="H167" s="327"/>
      <c r="J167" s="327"/>
      <c r="L167" s="327"/>
      <c r="N167" s="327"/>
      <c r="P167" s="327"/>
      <c r="R167" s="327"/>
      <c r="T167" s="327"/>
      <c r="V167" s="327"/>
      <c r="X167" s="327"/>
      <c r="Z167" s="327"/>
      <c r="AB167" s="327"/>
      <c r="AD167" s="327"/>
      <c r="AF167" s="327"/>
    </row>
    <row r="168" spans="2:32" s="326" customFormat="1" ht="9.9499999999999993" customHeight="1" x14ac:dyDescent="0.2">
      <c r="B168" s="327"/>
      <c r="D168" s="327"/>
      <c r="F168" s="327"/>
      <c r="H168" s="327"/>
      <c r="J168" s="327"/>
      <c r="L168" s="327"/>
      <c r="N168" s="327"/>
      <c r="P168" s="327"/>
      <c r="R168" s="327"/>
      <c r="T168" s="327"/>
      <c r="V168" s="327"/>
      <c r="X168" s="327"/>
      <c r="Z168" s="327"/>
      <c r="AB168" s="327"/>
      <c r="AD168" s="327"/>
      <c r="AF168" s="327"/>
    </row>
    <row r="169" spans="2:32" s="326" customFormat="1" ht="9.9499999999999993" customHeight="1" x14ac:dyDescent="0.2">
      <c r="B169" s="327"/>
      <c r="D169" s="327"/>
      <c r="F169" s="327"/>
      <c r="H169" s="327"/>
      <c r="J169" s="327"/>
      <c r="L169" s="327"/>
      <c r="N169" s="327"/>
      <c r="P169" s="327"/>
      <c r="R169" s="327"/>
      <c r="T169" s="327"/>
      <c r="V169" s="327"/>
      <c r="X169" s="327"/>
      <c r="Z169" s="327"/>
      <c r="AB169" s="327"/>
      <c r="AD169" s="327"/>
      <c r="AF169" s="327"/>
    </row>
    <row r="170" spans="2:32" s="326" customFormat="1" ht="9.9499999999999993" customHeight="1" x14ac:dyDescent="0.2">
      <c r="B170" s="327"/>
      <c r="D170" s="327"/>
      <c r="F170" s="327"/>
      <c r="H170" s="327"/>
      <c r="J170" s="327"/>
      <c r="L170" s="327"/>
      <c r="N170" s="327"/>
      <c r="P170" s="327"/>
      <c r="R170" s="327"/>
      <c r="T170" s="327"/>
      <c r="V170" s="327"/>
      <c r="X170" s="327"/>
      <c r="Z170" s="327"/>
      <c r="AB170" s="327"/>
      <c r="AD170" s="327"/>
      <c r="AF170" s="327"/>
    </row>
    <row r="171" spans="2:32" s="326" customFormat="1" ht="9.9499999999999993" customHeight="1" x14ac:dyDescent="0.2">
      <c r="B171" s="327"/>
      <c r="D171" s="327"/>
      <c r="F171" s="327"/>
      <c r="H171" s="327"/>
      <c r="J171" s="327"/>
      <c r="L171" s="327"/>
      <c r="N171" s="327"/>
      <c r="P171" s="327"/>
      <c r="R171" s="327"/>
      <c r="T171" s="327"/>
      <c r="V171" s="327"/>
      <c r="X171" s="327"/>
      <c r="Z171" s="327"/>
      <c r="AB171" s="327"/>
      <c r="AD171" s="327"/>
      <c r="AF171" s="327"/>
    </row>
    <row r="172" spans="2:32" s="326" customFormat="1" ht="9.9499999999999993" customHeight="1" x14ac:dyDescent="0.2">
      <c r="B172" s="327"/>
      <c r="D172" s="327"/>
      <c r="F172" s="327"/>
      <c r="H172" s="327"/>
      <c r="J172" s="327"/>
      <c r="L172" s="327"/>
      <c r="N172" s="327"/>
      <c r="P172" s="327"/>
      <c r="R172" s="327"/>
      <c r="T172" s="327"/>
      <c r="V172" s="327"/>
      <c r="X172" s="327"/>
      <c r="Z172" s="327"/>
      <c r="AB172" s="327"/>
      <c r="AD172" s="327"/>
      <c r="AF172" s="327"/>
    </row>
    <row r="173" spans="2:32" s="326" customFormat="1" ht="9.9499999999999993" customHeight="1" x14ac:dyDescent="0.2">
      <c r="B173" s="327"/>
      <c r="D173" s="327"/>
      <c r="F173" s="327"/>
      <c r="H173" s="327"/>
      <c r="J173" s="327"/>
      <c r="L173" s="327"/>
      <c r="N173" s="327"/>
      <c r="P173" s="327"/>
      <c r="R173" s="327"/>
      <c r="T173" s="327"/>
      <c r="V173" s="327"/>
      <c r="X173" s="327"/>
      <c r="Z173" s="327"/>
      <c r="AB173" s="327"/>
      <c r="AD173" s="327"/>
      <c r="AF173" s="327"/>
    </row>
    <row r="174" spans="2:32" s="326" customFormat="1" ht="9.9499999999999993" customHeight="1" x14ac:dyDescent="0.2">
      <c r="B174" s="327"/>
      <c r="D174" s="327"/>
      <c r="F174" s="327"/>
      <c r="H174" s="327"/>
      <c r="J174" s="327"/>
      <c r="L174" s="327"/>
      <c r="N174" s="327"/>
      <c r="P174" s="327"/>
      <c r="R174" s="327"/>
      <c r="T174" s="327"/>
      <c r="V174" s="327"/>
      <c r="X174" s="327"/>
      <c r="Z174" s="327"/>
      <c r="AB174" s="327"/>
      <c r="AD174" s="327"/>
      <c r="AF174" s="327"/>
    </row>
    <row r="175" spans="2:32" s="326" customFormat="1" ht="9.9499999999999993" customHeight="1" x14ac:dyDescent="0.2">
      <c r="B175" s="327"/>
      <c r="D175" s="327"/>
      <c r="F175" s="327"/>
      <c r="H175" s="327"/>
      <c r="J175" s="327"/>
      <c r="L175" s="327"/>
      <c r="N175" s="327"/>
      <c r="P175" s="327"/>
      <c r="R175" s="327"/>
      <c r="T175" s="327"/>
      <c r="V175" s="327"/>
      <c r="X175" s="327"/>
      <c r="Z175" s="327"/>
      <c r="AB175" s="327"/>
      <c r="AD175" s="327"/>
      <c r="AF175" s="327"/>
    </row>
    <row r="176" spans="2:32" s="326" customFormat="1" ht="9.9499999999999993" customHeight="1" x14ac:dyDescent="0.2">
      <c r="B176" s="327"/>
      <c r="D176" s="327"/>
      <c r="F176" s="327"/>
      <c r="H176" s="327"/>
      <c r="J176" s="327"/>
      <c r="L176" s="327"/>
      <c r="N176" s="327"/>
      <c r="P176" s="327"/>
      <c r="R176" s="327"/>
      <c r="T176" s="327"/>
      <c r="V176" s="327"/>
      <c r="X176" s="327"/>
      <c r="Z176" s="327"/>
      <c r="AB176" s="327"/>
      <c r="AD176" s="327"/>
      <c r="AF176" s="327"/>
    </row>
    <row r="177" spans="2:32" s="326" customFormat="1" ht="9.9499999999999993" customHeight="1" x14ac:dyDescent="0.2">
      <c r="B177" s="327"/>
      <c r="D177" s="327"/>
      <c r="F177" s="327"/>
      <c r="H177" s="327"/>
      <c r="J177" s="327"/>
      <c r="L177" s="327"/>
      <c r="N177" s="327"/>
      <c r="P177" s="327"/>
      <c r="R177" s="327"/>
      <c r="T177" s="327"/>
      <c r="V177" s="327"/>
      <c r="X177" s="327"/>
      <c r="Z177" s="327"/>
      <c r="AB177" s="327"/>
      <c r="AD177" s="327"/>
      <c r="AF177" s="327"/>
    </row>
    <row r="178" spans="2:32" s="326" customFormat="1" ht="9.9499999999999993" customHeight="1" x14ac:dyDescent="0.2">
      <c r="B178" s="327"/>
      <c r="D178" s="327"/>
      <c r="F178" s="327"/>
      <c r="H178" s="327"/>
      <c r="J178" s="327"/>
      <c r="L178" s="327"/>
      <c r="N178" s="327"/>
      <c r="P178" s="327"/>
      <c r="R178" s="327"/>
      <c r="T178" s="327"/>
      <c r="V178" s="327"/>
      <c r="X178" s="327"/>
      <c r="Z178" s="327"/>
      <c r="AB178" s="327"/>
      <c r="AD178" s="327"/>
      <c r="AF178" s="327"/>
    </row>
    <row r="179" spans="2:32" s="326" customFormat="1" ht="9.9499999999999993" customHeight="1" x14ac:dyDescent="0.2">
      <c r="B179" s="327"/>
      <c r="D179" s="327"/>
      <c r="F179" s="327"/>
      <c r="H179" s="327"/>
      <c r="J179" s="327"/>
      <c r="L179" s="327"/>
      <c r="N179" s="327"/>
      <c r="P179" s="327"/>
      <c r="R179" s="327"/>
      <c r="T179" s="327"/>
      <c r="V179" s="327"/>
      <c r="X179" s="327"/>
      <c r="Z179" s="327"/>
      <c r="AB179" s="327"/>
      <c r="AD179" s="327"/>
      <c r="AF179" s="327"/>
    </row>
    <row r="180" spans="2:32" s="326" customFormat="1" ht="9.9499999999999993" customHeight="1" x14ac:dyDescent="0.2">
      <c r="B180" s="327"/>
      <c r="D180" s="327"/>
      <c r="F180" s="327"/>
      <c r="H180" s="327"/>
      <c r="J180" s="327"/>
      <c r="L180" s="327"/>
      <c r="N180" s="327"/>
      <c r="P180" s="327"/>
      <c r="R180" s="327"/>
      <c r="T180" s="327"/>
      <c r="V180" s="327"/>
      <c r="X180" s="327"/>
      <c r="Z180" s="327"/>
      <c r="AB180" s="327"/>
      <c r="AD180" s="327"/>
      <c r="AF180" s="327"/>
    </row>
    <row r="181" spans="2:32" s="326" customFormat="1" ht="9.9499999999999993" customHeight="1" x14ac:dyDescent="0.2">
      <c r="B181" s="327"/>
      <c r="D181" s="327"/>
      <c r="F181" s="327"/>
      <c r="H181" s="327"/>
      <c r="J181" s="327"/>
      <c r="L181" s="327"/>
      <c r="N181" s="327"/>
      <c r="P181" s="327"/>
      <c r="R181" s="327"/>
      <c r="T181" s="327"/>
      <c r="V181" s="327"/>
      <c r="X181" s="327"/>
      <c r="Z181" s="327"/>
      <c r="AB181" s="327"/>
      <c r="AD181" s="327"/>
      <c r="AF181" s="327"/>
    </row>
    <row r="182" spans="2:32" s="326" customFormat="1" ht="9.9499999999999993" customHeight="1" x14ac:dyDescent="0.2">
      <c r="B182" s="327"/>
      <c r="D182" s="327"/>
      <c r="F182" s="327"/>
      <c r="H182" s="327"/>
      <c r="J182" s="327"/>
      <c r="L182" s="327"/>
      <c r="N182" s="327"/>
      <c r="P182" s="327"/>
      <c r="R182" s="327"/>
      <c r="T182" s="327"/>
      <c r="V182" s="327"/>
      <c r="X182" s="327"/>
      <c r="Z182" s="327"/>
      <c r="AB182" s="327"/>
      <c r="AD182" s="327"/>
      <c r="AF182" s="327"/>
    </row>
    <row r="183" spans="2:32" s="326" customFormat="1" ht="9.9499999999999993" customHeight="1" x14ac:dyDescent="0.2">
      <c r="B183" s="327"/>
      <c r="D183" s="327"/>
      <c r="F183" s="327"/>
      <c r="H183" s="327"/>
      <c r="J183" s="327"/>
      <c r="L183" s="327"/>
      <c r="N183" s="327"/>
      <c r="P183" s="327"/>
      <c r="R183" s="327"/>
      <c r="T183" s="327"/>
      <c r="V183" s="327"/>
      <c r="X183" s="327"/>
      <c r="Z183" s="327"/>
      <c r="AB183" s="327"/>
      <c r="AD183" s="327"/>
      <c r="AF183" s="327"/>
    </row>
    <row r="184" spans="2:32" s="326" customFormat="1" ht="9.9499999999999993" customHeight="1" x14ac:dyDescent="0.2">
      <c r="B184" s="327"/>
      <c r="D184" s="327"/>
      <c r="F184" s="327"/>
      <c r="H184" s="327"/>
      <c r="J184" s="327"/>
      <c r="L184" s="327"/>
      <c r="N184" s="327"/>
      <c r="P184" s="327"/>
      <c r="R184" s="327"/>
      <c r="T184" s="327"/>
      <c r="V184" s="327"/>
      <c r="X184" s="327"/>
      <c r="Z184" s="327"/>
      <c r="AB184" s="327"/>
      <c r="AD184" s="327"/>
      <c r="AF184" s="327"/>
    </row>
    <row r="185" spans="2:32" s="326" customFormat="1" ht="9.9499999999999993" customHeight="1" x14ac:dyDescent="0.2">
      <c r="B185" s="327"/>
      <c r="D185" s="327"/>
      <c r="F185" s="327"/>
      <c r="H185" s="327"/>
      <c r="J185" s="327"/>
      <c r="L185" s="327"/>
      <c r="N185" s="327"/>
      <c r="P185" s="327"/>
      <c r="R185" s="327"/>
      <c r="T185" s="327"/>
      <c r="V185" s="327"/>
      <c r="X185" s="327"/>
      <c r="Z185" s="327"/>
      <c r="AB185" s="327"/>
      <c r="AD185" s="327"/>
      <c r="AF185" s="327"/>
    </row>
    <row r="186" spans="2:32" s="326" customFormat="1" ht="9.9499999999999993" customHeight="1" x14ac:dyDescent="0.2">
      <c r="B186" s="327"/>
      <c r="D186" s="327"/>
      <c r="F186" s="327"/>
      <c r="H186" s="327"/>
      <c r="J186" s="327"/>
      <c r="L186" s="327"/>
      <c r="N186" s="327"/>
      <c r="P186" s="327"/>
      <c r="R186" s="327"/>
      <c r="T186" s="327"/>
      <c r="V186" s="327"/>
      <c r="X186" s="327"/>
      <c r="Z186" s="327"/>
      <c r="AB186" s="327"/>
      <c r="AD186" s="327"/>
      <c r="AF186" s="327"/>
    </row>
    <row r="187" spans="2:32" s="326" customFormat="1" ht="9.9499999999999993" customHeight="1" x14ac:dyDescent="0.2">
      <c r="B187" s="327"/>
      <c r="D187" s="327"/>
      <c r="F187" s="327"/>
      <c r="H187" s="327"/>
      <c r="J187" s="327"/>
      <c r="L187" s="327"/>
      <c r="N187" s="327"/>
      <c r="P187" s="327"/>
      <c r="R187" s="327"/>
      <c r="T187" s="327"/>
      <c r="V187" s="327"/>
      <c r="X187" s="327"/>
      <c r="Z187" s="327"/>
      <c r="AB187" s="327"/>
      <c r="AD187" s="327"/>
      <c r="AF187" s="327"/>
    </row>
    <row r="188" spans="2:32" s="326" customFormat="1" ht="9.9499999999999993" customHeight="1" x14ac:dyDescent="0.2">
      <c r="B188" s="327"/>
      <c r="D188" s="327"/>
      <c r="F188" s="327"/>
      <c r="H188" s="327"/>
      <c r="J188" s="327"/>
      <c r="L188" s="327"/>
      <c r="N188" s="327"/>
      <c r="P188" s="327"/>
      <c r="R188" s="327"/>
      <c r="T188" s="327"/>
      <c r="V188" s="327"/>
      <c r="X188" s="327"/>
      <c r="Z188" s="327"/>
      <c r="AB188" s="327"/>
      <c r="AD188" s="327"/>
      <c r="AF188" s="327"/>
    </row>
    <row r="189" spans="2:32" s="326" customFormat="1" ht="9.9499999999999993" customHeight="1" x14ac:dyDescent="0.2">
      <c r="B189" s="327"/>
      <c r="D189" s="327"/>
      <c r="F189" s="327"/>
      <c r="H189" s="327"/>
      <c r="J189" s="327"/>
      <c r="L189" s="327"/>
      <c r="N189" s="327"/>
      <c r="P189" s="327"/>
      <c r="R189" s="327"/>
      <c r="T189" s="327"/>
      <c r="V189" s="327"/>
      <c r="X189" s="327"/>
      <c r="Z189" s="327"/>
      <c r="AB189" s="327"/>
      <c r="AD189" s="327"/>
      <c r="AF189" s="327"/>
    </row>
    <row r="190" spans="2:32" s="326" customFormat="1" ht="9.9499999999999993" customHeight="1" x14ac:dyDescent="0.2">
      <c r="B190" s="327"/>
      <c r="D190" s="327"/>
      <c r="F190" s="327"/>
      <c r="H190" s="327"/>
      <c r="J190" s="327"/>
      <c r="L190" s="327"/>
      <c r="N190" s="327"/>
      <c r="P190" s="327"/>
      <c r="R190" s="327"/>
      <c r="T190" s="327"/>
      <c r="V190" s="327"/>
      <c r="X190" s="327"/>
      <c r="Z190" s="327"/>
      <c r="AB190" s="327"/>
      <c r="AD190" s="327"/>
      <c r="AF190" s="327"/>
    </row>
    <row r="191" spans="2:32" s="326" customFormat="1" ht="9.9499999999999993" customHeight="1" x14ac:dyDescent="0.2">
      <c r="B191" s="327"/>
      <c r="D191" s="327"/>
      <c r="F191" s="327"/>
      <c r="H191" s="327"/>
      <c r="J191" s="327"/>
      <c r="L191" s="327"/>
      <c r="N191" s="327"/>
      <c r="P191" s="327"/>
      <c r="R191" s="327"/>
      <c r="T191" s="327"/>
      <c r="V191" s="327"/>
      <c r="X191" s="327"/>
      <c r="Z191" s="327"/>
      <c r="AB191" s="327"/>
      <c r="AD191" s="327"/>
      <c r="AF191" s="327"/>
    </row>
    <row r="192" spans="2:32" s="326" customFormat="1" ht="9.9499999999999993" customHeight="1" x14ac:dyDescent="0.2">
      <c r="B192" s="327"/>
      <c r="D192" s="327"/>
      <c r="F192" s="327"/>
      <c r="H192" s="327"/>
      <c r="J192" s="327"/>
      <c r="L192" s="327"/>
      <c r="N192" s="327"/>
      <c r="P192" s="327"/>
      <c r="R192" s="327"/>
      <c r="T192" s="327"/>
      <c r="V192" s="327"/>
      <c r="X192" s="327"/>
      <c r="Z192" s="327"/>
      <c r="AB192" s="327"/>
      <c r="AD192" s="327"/>
      <c r="AF192" s="327"/>
    </row>
    <row r="193" spans="2:32" s="326" customFormat="1" ht="9.9499999999999993" customHeight="1" x14ac:dyDescent="0.2">
      <c r="B193" s="327"/>
      <c r="D193" s="327"/>
      <c r="F193" s="327"/>
      <c r="H193" s="327"/>
      <c r="J193" s="327"/>
      <c r="L193" s="327"/>
      <c r="N193" s="327"/>
      <c r="P193" s="327"/>
      <c r="R193" s="327"/>
      <c r="T193" s="327"/>
      <c r="V193" s="327"/>
      <c r="X193" s="327"/>
      <c r="Z193" s="327"/>
      <c r="AB193" s="327"/>
      <c r="AD193" s="327"/>
      <c r="AF193" s="327"/>
    </row>
    <row r="194" spans="2:32" s="326" customFormat="1" ht="9.9499999999999993" customHeight="1" x14ac:dyDescent="0.2">
      <c r="B194" s="327"/>
      <c r="D194" s="327"/>
      <c r="F194" s="327"/>
      <c r="H194" s="327"/>
      <c r="J194" s="327"/>
      <c r="L194" s="327"/>
      <c r="N194" s="327"/>
      <c r="P194" s="327"/>
      <c r="R194" s="327"/>
      <c r="T194" s="327"/>
      <c r="V194" s="327"/>
      <c r="X194" s="327"/>
      <c r="Z194" s="327"/>
      <c r="AB194" s="327"/>
      <c r="AD194" s="327"/>
      <c r="AF194" s="327"/>
    </row>
    <row r="195" spans="2:32" s="326" customFormat="1" ht="9.9499999999999993" customHeight="1" x14ac:dyDescent="0.2">
      <c r="B195" s="327"/>
      <c r="D195" s="327"/>
      <c r="F195" s="327"/>
      <c r="H195" s="327"/>
      <c r="J195" s="327"/>
      <c r="L195" s="327"/>
      <c r="N195" s="327"/>
      <c r="P195" s="327"/>
      <c r="R195" s="327"/>
      <c r="T195" s="327"/>
      <c r="V195" s="327"/>
      <c r="X195" s="327"/>
      <c r="Z195" s="327"/>
      <c r="AB195" s="327"/>
      <c r="AD195" s="327"/>
      <c r="AF195" s="327"/>
    </row>
    <row r="196" spans="2:32" s="326" customFormat="1" ht="9.9499999999999993" customHeight="1" x14ac:dyDescent="0.2">
      <c r="B196" s="327"/>
      <c r="D196" s="327"/>
      <c r="F196" s="327"/>
      <c r="H196" s="327"/>
      <c r="J196" s="327"/>
      <c r="L196" s="327"/>
      <c r="N196" s="327"/>
      <c r="P196" s="327"/>
      <c r="R196" s="327"/>
      <c r="T196" s="327"/>
      <c r="V196" s="327"/>
      <c r="X196" s="327"/>
      <c r="Z196" s="327"/>
      <c r="AB196" s="327"/>
      <c r="AD196" s="327"/>
      <c r="AF196" s="327"/>
    </row>
    <row r="197" spans="2:32" s="326" customFormat="1" ht="9.9499999999999993" customHeight="1" x14ac:dyDescent="0.2">
      <c r="B197" s="327"/>
      <c r="D197" s="327"/>
      <c r="F197" s="327"/>
      <c r="H197" s="327"/>
      <c r="J197" s="327"/>
      <c r="L197" s="327"/>
      <c r="N197" s="327"/>
      <c r="P197" s="327"/>
      <c r="R197" s="327"/>
      <c r="T197" s="327"/>
      <c r="V197" s="327"/>
      <c r="X197" s="327"/>
      <c r="Z197" s="327"/>
      <c r="AB197" s="327"/>
      <c r="AD197" s="327"/>
      <c r="AF197" s="327"/>
    </row>
    <row r="198" spans="2:32" s="326" customFormat="1" ht="9.9499999999999993" customHeight="1" x14ac:dyDescent="0.2">
      <c r="B198" s="327"/>
      <c r="D198" s="327"/>
      <c r="F198" s="327"/>
      <c r="H198" s="327"/>
      <c r="J198" s="327"/>
      <c r="L198" s="327"/>
      <c r="N198" s="327"/>
      <c r="P198" s="327"/>
      <c r="R198" s="327"/>
      <c r="T198" s="327"/>
      <c r="V198" s="327"/>
      <c r="X198" s="327"/>
      <c r="Z198" s="327"/>
      <c r="AB198" s="327"/>
      <c r="AD198" s="327"/>
      <c r="AF198" s="327"/>
    </row>
    <row r="199" spans="2:32" s="326" customFormat="1" ht="9.9499999999999993" customHeight="1" x14ac:dyDescent="0.2">
      <c r="B199" s="327"/>
      <c r="D199" s="327"/>
      <c r="F199" s="327"/>
      <c r="H199" s="327"/>
      <c r="J199" s="327"/>
      <c r="L199" s="327"/>
      <c r="N199" s="327"/>
      <c r="P199" s="327"/>
      <c r="R199" s="327"/>
      <c r="T199" s="327"/>
      <c r="V199" s="327"/>
      <c r="X199" s="327"/>
      <c r="Z199" s="327"/>
      <c r="AB199" s="327"/>
      <c r="AD199" s="327"/>
      <c r="AF199" s="327"/>
    </row>
    <row r="200" spans="2:32" s="326" customFormat="1" ht="9.9499999999999993" customHeight="1" x14ac:dyDescent="0.2">
      <c r="B200" s="327"/>
      <c r="D200" s="327"/>
      <c r="F200" s="327"/>
      <c r="H200" s="327"/>
      <c r="J200" s="327"/>
      <c r="L200" s="327"/>
      <c r="N200" s="327"/>
      <c r="P200" s="327"/>
      <c r="R200" s="327"/>
      <c r="T200" s="327"/>
      <c r="V200" s="327"/>
      <c r="X200" s="327"/>
      <c r="Z200" s="327"/>
      <c r="AB200" s="327"/>
      <c r="AD200" s="327"/>
      <c r="AF200" s="327"/>
    </row>
    <row r="201" spans="2:32" s="326" customFormat="1" ht="9.9499999999999993" customHeight="1" x14ac:dyDescent="0.2">
      <c r="B201" s="327"/>
      <c r="D201" s="327"/>
      <c r="F201" s="327"/>
      <c r="H201" s="327"/>
      <c r="J201" s="327"/>
      <c r="L201" s="327"/>
      <c r="N201" s="327"/>
      <c r="P201" s="327"/>
      <c r="R201" s="327"/>
      <c r="T201" s="327"/>
      <c r="V201" s="327"/>
      <c r="X201" s="327"/>
      <c r="Z201" s="327"/>
      <c r="AB201" s="327"/>
      <c r="AD201" s="327"/>
      <c r="AF201" s="327"/>
    </row>
    <row r="202" spans="2:32" s="326" customFormat="1" ht="9.9499999999999993" customHeight="1" x14ac:dyDescent="0.2">
      <c r="B202" s="327"/>
      <c r="D202" s="327"/>
      <c r="F202" s="327"/>
      <c r="H202" s="327"/>
      <c r="J202" s="327"/>
      <c r="L202" s="327"/>
      <c r="N202" s="327"/>
      <c r="P202" s="327"/>
      <c r="R202" s="327"/>
      <c r="T202" s="327"/>
      <c r="V202" s="327"/>
      <c r="X202" s="327"/>
      <c r="Z202" s="327"/>
      <c r="AB202" s="327"/>
      <c r="AD202" s="327"/>
      <c r="AF202" s="327"/>
    </row>
    <row r="203" spans="2:32" s="326" customFormat="1" ht="9.9499999999999993" customHeight="1" x14ac:dyDescent="0.2">
      <c r="B203" s="327"/>
      <c r="D203" s="327"/>
      <c r="F203" s="327"/>
      <c r="H203" s="327"/>
      <c r="J203" s="327"/>
      <c r="L203" s="327"/>
      <c r="N203" s="327"/>
      <c r="P203" s="327"/>
      <c r="R203" s="327"/>
      <c r="T203" s="327"/>
      <c r="V203" s="327"/>
      <c r="X203" s="327"/>
      <c r="Z203" s="327"/>
      <c r="AB203" s="327"/>
      <c r="AD203" s="327"/>
      <c r="AF203" s="327"/>
    </row>
    <row r="204" spans="2:32" s="326" customFormat="1" ht="9.9499999999999993" customHeight="1" x14ac:dyDescent="0.2">
      <c r="B204" s="327"/>
      <c r="D204" s="327"/>
      <c r="F204" s="327"/>
      <c r="H204" s="327"/>
      <c r="J204" s="327"/>
      <c r="L204" s="327"/>
      <c r="N204" s="327"/>
      <c r="P204" s="327"/>
      <c r="R204" s="327"/>
      <c r="T204" s="327"/>
      <c r="V204" s="327"/>
      <c r="X204" s="327"/>
      <c r="Z204" s="327"/>
      <c r="AB204" s="327"/>
      <c r="AD204" s="327"/>
      <c r="AF204" s="327"/>
    </row>
    <row r="205" spans="2:32" s="326" customFormat="1" ht="9.9499999999999993" customHeight="1" x14ac:dyDescent="0.2">
      <c r="B205" s="327"/>
      <c r="D205" s="327"/>
      <c r="F205" s="327"/>
      <c r="H205" s="327"/>
      <c r="J205" s="327"/>
      <c r="L205" s="327"/>
      <c r="N205" s="327"/>
      <c r="P205" s="327"/>
      <c r="R205" s="327"/>
      <c r="T205" s="327"/>
      <c r="V205" s="327"/>
      <c r="X205" s="327"/>
      <c r="Z205" s="327"/>
      <c r="AB205" s="327"/>
      <c r="AD205" s="327"/>
      <c r="AF205" s="327"/>
    </row>
    <row r="206" spans="2:32" s="326" customFormat="1" ht="9.9499999999999993" customHeight="1" x14ac:dyDescent="0.2">
      <c r="B206" s="327"/>
      <c r="D206" s="327"/>
      <c r="F206" s="327"/>
      <c r="H206" s="327"/>
      <c r="J206" s="327"/>
      <c r="L206" s="327"/>
      <c r="N206" s="327"/>
      <c r="P206" s="327"/>
      <c r="R206" s="327"/>
      <c r="T206" s="327"/>
      <c r="V206" s="327"/>
      <c r="X206" s="327"/>
      <c r="Z206" s="327"/>
      <c r="AB206" s="327"/>
      <c r="AD206" s="327"/>
      <c r="AF206" s="327"/>
    </row>
    <row r="207" spans="2:32" s="326" customFormat="1" ht="9.9499999999999993" customHeight="1" x14ac:dyDescent="0.2">
      <c r="B207" s="327"/>
      <c r="D207" s="327"/>
      <c r="F207" s="327"/>
      <c r="H207" s="327"/>
      <c r="J207" s="327"/>
      <c r="L207" s="327"/>
      <c r="N207" s="327"/>
      <c r="P207" s="327"/>
      <c r="R207" s="327"/>
      <c r="T207" s="327"/>
      <c r="V207" s="327"/>
      <c r="X207" s="327"/>
      <c r="Z207" s="327"/>
      <c r="AB207" s="327"/>
      <c r="AD207" s="327"/>
      <c r="AF207" s="327"/>
    </row>
    <row r="208" spans="2:32" s="326" customFormat="1" ht="9.9499999999999993" customHeight="1" x14ac:dyDescent="0.2">
      <c r="B208" s="327"/>
      <c r="D208" s="327"/>
      <c r="F208" s="327"/>
      <c r="H208" s="327"/>
      <c r="J208" s="327"/>
      <c r="L208" s="327"/>
      <c r="N208" s="327"/>
      <c r="P208" s="327"/>
      <c r="R208" s="327"/>
      <c r="T208" s="327"/>
      <c r="V208" s="327"/>
      <c r="X208" s="327"/>
      <c r="Z208" s="327"/>
      <c r="AB208" s="327"/>
      <c r="AD208" s="327"/>
      <c r="AF208" s="327"/>
    </row>
    <row r="209" spans="2:32" s="326" customFormat="1" ht="9.9499999999999993" customHeight="1" x14ac:dyDescent="0.2">
      <c r="B209" s="327"/>
      <c r="D209" s="327"/>
      <c r="F209" s="327"/>
      <c r="H209" s="327"/>
      <c r="J209" s="327"/>
      <c r="L209" s="327"/>
      <c r="N209" s="327"/>
      <c r="P209" s="327"/>
      <c r="R209" s="327"/>
      <c r="T209" s="327"/>
      <c r="V209" s="327"/>
      <c r="X209" s="327"/>
      <c r="Z209" s="327"/>
      <c r="AB209" s="327"/>
      <c r="AD209" s="327"/>
      <c r="AF209" s="327"/>
    </row>
    <row r="210" spans="2:32" s="326" customFormat="1" ht="9.9499999999999993" customHeight="1" x14ac:dyDescent="0.2">
      <c r="B210" s="327"/>
      <c r="D210" s="327"/>
      <c r="F210" s="327"/>
      <c r="H210" s="327"/>
      <c r="J210" s="327"/>
      <c r="L210" s="327"/>
      <c r="N210" s="327"/>
      <c r="P210" s="327"/>
      <c r="R210" s="327"/>
      <c r="T210" s="327"/>
      <c r="V210" s="327"/>
      <c r="X210" s="327"/>
      <c r="Z210" s="327"/>
      <c r="AB210" s="327"/>
      <c r="AD210" s="327"/>
      <c r="AF210" s="327"/>
    </row>
    <row r="211" spans="2:32" s="326" customFormat="1" ht="9.9499999999999993" customHeight="1" x14ac:dyDescent="0.2">
      <c r="B211" s="327"/>
      <c r="D211" s="327"/>
      <c r="F211" s="327"/>
      <c r="H211" s="327"/>
      <c r="J211" s="327"/>
      <c r="L211" s="327"/>
      <c r="N211" s="327"/>
      <c r="P211" s="327"/>
      <c r="R211" s="327"/>
      <c r="T211" s="327"/>
      <c r="V211" s="327"/>
      <c r="X211" s="327"/>
      <c r="Z211" s="327"/>
      <c r="AB211" s="327"/>
      <c r="AD211" s="327"/>
      <c r="AF211" s="327"/>
    </row>
    <row r="212" spans="2:32" s="326" customFormat="1" ht="9.9499999999999993" customHeight="1" x14ac:dyDescent="0.2">
      <c r="B212" s="327"/>
      <c r="D212" s="327"/>
      <c r="F212" s="327"/>
      <c r="H212" s="327"/>
      <c r="J212" s="327"/>
      <c r="L212" s="327"/>
      <c r="N212" s="327"/>
      <c r="P212" s="327"/>
      <c r="R212" s="327"/>
      <c r="T212" s="327"/>
      <c r="V212" s="327"/>
      <c r="X212" s="327"/>
      <c r="Z212" s="327"/>
      <c r="AB212" s="327"/>
      <c r="AD212" s="327"/>
      <c r="AF212" s="327"/>
    </row>
    <row r="213" spans="2:32" s="326" customFormat="1" ht="9.9499999999999993" customHeight="1" x14ac:dyDescent="0.2">
      <c r="B213" s="327"/>
      <c r="D213" s="327"/>
      <c r="F213" s="327"/>
      <c r="H213" s="327"/>
      <c r="J213" s="327"/>
      <c r="L213" s="327"/>
      <c r="N213" s="327"/>
      <c r="P213" s="327"/>
      <c r="R213" s="327"/>
      <c r="T213" s="327"/>
      <c r="V213" s="327"/>
      <c r="X213" s="327"/>
      <c r="Z213" s="327"/>
      <c r="AB213" s="327"/>
      <c r="AD213" s="327"/>
      <c r="AF213" s="327"/>
    </row>
    <row r="214" spans="2:32" s="326" customFormat="1" ht="9.9499999999999993" customHeight="1" x14ac:dyDescent="0.2">
      <c r="B214" s="327"/>
      <c r="D214" s="327"/>
      <c r="F214" s="327"/>
      <c r="H214" s="327"/>
      <c r="J214" s="327"/>
      <c r="L214" s="327"/>
      <c r="N214" s="327"/>
      <c r="P214" s="327"/>
      <c r="R214" s="327"/>
      <c r="T214" s="327"/>
      <c r="V214" s="327"/>
      <c r="X214" s="327"/>
      <c r="Z214" s="327"/>
      <c r="AB214" s="327"/>
      <c r="AD214" s="327"/>
      <c r="AF214" s="327"/>
    </row>
    <row r="215" spans="2:32" s="326" customFormat="1" ht="9.9499999999999993" customHeight="1" x14ac:dyDescent="0.2">
      <c r="B215" s="327"/>
      <c r="D215" s="327"/>
      <c r="F215" s="327"/>
      <c r="H215" s="327"/>
      <c r="J215" s="327"/>
      <c r="L215" s="327"/>
      <c r="N215" s="327"/>
      <c r="P215" s="327"/>
      <c r="R215" s="327"/>
      <c r="T215" s="327"/>
      <c r="V215" s="327"/>
      <c r="X215" s="327"/>
      <c r="Z215" s="327"/>
      <c r="AB215" s="327"/>
      <c r="AD215" s="327"/>
      <c r="AF215" s="327"/>
    </row>
    <row r="216" spans="2:32" s="326" customFormat="1" ht="9.9499999999999993" customHeight="1" x14ac:dyDescent="0.2">
      <c r="B216" s="327"/>
      <c r="D216" s="327"/>
      <c r="F216" s="327"/>
      <c r="H216" s="327"/>
      <c r="J216" s="327"/>
      <c r="L216" s="327"/>
      <c r="N216" s="327"/>
      <c r="P216" s="327"/>
      <c r="R216" s="327"/>
      <c r="T216" s="327"/>
      <c r="V216" s="327"/>
      <c r="X216" s="327"/>
      <c r="Z216" s="327"/>
      <c r="AB216" s="327"/>
      <c r="AD216" s="327"/>
      <c r="AF216" s="327"/>
    </row>
    <row r="217" spans="2:32" s="326" customFormat="1" ht="9.9499999999999993" customHeight="1" x14ac:dyDescent="0.2">
      <c r="B217" s="327"/>
      <c r="D217" s="327"/>
      <c r="F217" s="327"/>
      <c r="H217" s="327"/>
      <c r="J217" s="327"/>
      <c r="L217" s="327"/>
      <c r="N217" s="327"/>
      <c r="P217" s="327"/>
      <c r="R217" s="327"/>
      <c r="T217" s="327"/>
      <c r="V217" s="327"/>
      <c r="X217" s="327"/>
      <c r="Z217" s="327"/>
      <c r="AB217" s="327"/>
      <c r="AD217" s="327"/>
      <c r="AF217" s="327"/>
    </row>
    <row r="218" spans="2:32" s="326" customFormat="1" ht="9.9499999999999993" customHeight="1" x14ac:dyDescent="0.2">
      <c r="B218" s="327"/>
      <c r="D218" s="327"/>
      <c r="F218" s="327"/>
      <c r="H218" s="327"/>
      <c r="J218" s="327"/>
      <c r="L218" s="327"/>
      <c r="N218" s="327"/>
      <c r="P218" s="327"/>
      <c r="R218" s="327"/>
      <c r="T218" s="327"/>
      <c r="V218" s="327"/>
      <c r="X218" s="327"/>
      <c r="Z218" s="327"/>
      <c r="AB218" s="327"/>
      <c r="AD218" s="327"/>
      <c r="AF218" s="327"/>
    </row>
    <row r="219" spans="2:32" s="326" customFormat="1" ht="9.9499999999999993" customHeight="1" x14ac:dyDescent="0.2">
      <c r="B219" s="327"/>
      <c r="D219" s="327"/>
      <c r="F219" s="327"/>
      <c r="H219" s="327"/>
      <c r="J219" s="327"/>
      <c r="L219" s="327"/>
      <c r="N219" s="327"/>
      <c r="P219" s="327"/>
      <c r="R219" s="327"/>
      <c r="T219" s="327"/>
      <c r="V219" s="327"/>
      <c r="X219" s="327"/>
      <c r="Z219" s="327"/>
      <c r="AB219" s="327"/>
      <c r="AD219" s="327"/>
      <c r="AF219" s="327"/>
    </row>
    <row r="220" spans="2:32" s="326" customFormat="1" ht="9.9499999999999993" customHeight="1" x14ac:dyDescent="0.2">
      <c r="B220" s="327"/>
      <c r="D220" s="327"/>
      <c r="F220" s="327"/>
      <c r="H220" s="327"/>
      <c r="J220" s="327"/>
      <c r="L220" s="327"/>
      <c r="N220" s="327"/>
      <c r="P220" s="327"/>
      <c r="R220" s="327"/>
      <c r="T220" s="327"/>
      <c r="V220" s="327"/>
      <c r="X220" s="327"/>
      <c r="Z220" s="327"/>
      <c r="AB220" s="327"/>
      <c r="AD220" s="327"/>
      <c r="AF220" s="327"/>
    </row>
    <row r="221" spans="2:32" s="326" customFormat="1" ht="9.9499999999999993" customHeight="1" x14ac:dyDescent="0.2">
      <c r="B221" s="327"/>
      <c r="D221" s="327"/>
      <c r="F221" s="327"/>
      <c r="H221" s="327"/>
      <c r="J221" s="327"/>
      <c r="L221" s="327"/>
      <c r="N221" s="327"/>
      <c r="P221" s="327"/>
      <c r="R221" s="327"/>
      <c r="T221" s="327"/>
      <c r="V221" s="327"/>
      <c r="X221" s="327"/>
      <c r="Z221" s="327"/>
      <c r="AB221" s="327"/>
      <c r="AD221" s="327"/>
      <c r="AF221" s="327"/>
    </row>
    <row r="222" spans="2:32" s="326" customFormat="1" ht="9.9499999999999993" customHeight="1" x14ac:dyDescent="0.2">
      <c r="B222" s="327"/>
      <c r="D222" s="327"/>
      <c r="F222" s="327"/>
      <c r="H222" s="327"/>
      <c r="J222" s="327"/>
      <c r="L222" s="327"/>
      <c r="N222" s="327"/>
      <c r="P222" s="327"/>
      <c r="R222" s="327"/>
      <c r="T222" s="327"/>
      <c r="V222" s="327"/>
      <c r="X222" s="327"/>
      <c r="Z222" s="327"/>
      <c r="AB222" s="327"/>
      <c r="AD222" s="327"/>
      <c r="AF222" s="327"/>
    </row>
    <row r="223" spans="2:32" s="326" customFormat="1" ht="9.9499999999999993" customHeight="1" x14ac:dyDescent="0.2">
      <c r="B223" s="327"/>
      <c r="D223" s="327"/>
      <c r="F223" s="327"/>
      <c r="H223" s="327"/>
      <c r="J223" s="327"/>
      <c r="L223" s="327"/>
      <c r="N223" s="327"/>
      <c r="P223" s="327"/>
      <c r="R223" s="327"/>
      <c r="T223" s="327"/>
      <c r="V223" s="327"/>
      <c r="X223" s="327"/>
      <c r="Z223" s="327"/>
      <c r="AB223" s="327"/>
      <c r="AD223" s="327"/>
      <c r="AF223" s="327"/>
    </row>
    <row r="224" spans="2:32" s="326" customFormat="1" ht="9.9499999999999993" customHeight="1" x14ac:dyDescent="0.2">
      <c r="B224" s="327"/>
      <c r="D224" s="327"/>
      <c r="F224" s="327"/>
      <c r="H224" s="327"/>
      <c r="J224" s="327"/>
      <c r="L224" s="327"/>
      <c r="N224" s="327"/>
      <c r="P224" s="327"/>
      <c r="R224" s="327"/>
      <c r="T224" s="327"/>
      <c r="V224" s="327"/>
      <c r="X224" s="327"/>
      <c r="Z224" s="327"/>
      <c r="AB224" s="327"/>
      <c r="AD224" s="327"/>
      <c r="AF224" s="327"/>
    </row>
    <row r="225" spans="2:32" s="326" customFormat="1" ht="9.9499999999999993" customHeight="1" x14ac:dyDescent="0.2">
      <c r="B225" s="327"/>
      <c r="D225" s="327"/>
      <c r="F225" s="327"/>
      <c r="H225" s="327"/>
      <c r="J225" s="327"/>
      <c r="L225" s="327"/>
      <c r="N225" s="327"/>
      <c r="P225" s="327"/>
      <c r="R225" s="327"/>
      <c r="T225" s="327"/>
      <c r="V225" s="327"/>
      <c r="X225" s="327"/>
      <c r="Z225" s="327"/>
      <c r="AB225" s="327"/>
      <c r="AD225" s="327"/>
      <c r="AF225" s="327"/>
    </row>
    <row r="226" spans="2:32" s="326" customFormat="1" ht="9.9499999999999993" customHeight="1" x14ac:dyDescent="0.2">
      <c r="B226" s="327"/>
      <c r="D226" s="327"/>
      <c r="F226" s="327"/>
      <c r="H226" s="327"/>
      <c r="J226" s="327"/>
      <c r="L226" s="327"/>
      <c r="N226" s="327"/>
      <c r="P226" s="327"/>
      <c r="R226" s="327"/>
      <c r="T226" s="327"/>
      <c r="V226" s="327"/>
      <c r="X226" s="327"/>
      <c r="Z226" s="327"/>
      <c r="AB226" s="327"/>
      <c r="AD226" s="327"/>
      <c r="AF226" s="327"/>
    </row>
    <row r="227" spans="2:32" s="326" customFormat="1" ht="9.9499999999999993" customHeight="1" x14ac:dyDescent="0.2">
      <c r="B227" s="327"/>
      <c r="D227" s="327"/>
      <c r="F227" s="327"/>
      <c r="H227" s="327"/>
      <c r="J227" s="327"/>
      <c r="L227" s="327"/>
      <c r="N227" s="327"/>
      <c r="P227" s="327"/>
      <c r="R227" s="327"/>
      <c r="T227" s="327"/>
      <c r="V227" s="327"/>
      <c r="X227" s="327"/>
      <c r="Z227" s="327"/>
      <c r="AB227" s="327"/>
      <c r="AD227" s="327"/>
      <c r="AF227" s="327"/>
    </row>
    <row r="228" spans="2:32" s="326" customFormat="1" ht="9.9499999999999993" customHeight="1" x14ac:dyDescent="0.2">
      <c r="B228" s="327"/>
      <c r="D228" s="327"/>
      <c r="F228" s="327"/>
      <c r="H228" s="327"/>
      <c r="J228" s="327"/>
      <c r="L228" s="327"/>
      <c r="N228" s="327"/>
      <c r="P228" s="327"/>
      <c r="R228" s="327"/>
      <c r="T228" s="327"/>
      <c r="V228" s="327"/>
      <c r="X228" s="327"/>
      <c r="Z228" s="327"/>
      <c r="AB228" s="327"/>
      <c r="AD228" s="327"/>
      <c r="AF228" s="327"/>
    </row>
    <row r="229" spans="2:32" s="326" customFormat="1" ht="9.9499999999999993" customHeight="1" x14ac:dyDescent="0.2">
      <c r="B229" s="327"/>
      <c r="D229" s="327"/>
      <c r="F229" s="327"/>
      <c r="H229" s="327"/>
      <c r="J229" s="327"/>
      <c r="L229" s="327"/>
      <c r="N229" s="327"/>
      <c r="P229" s="327"/>
      <c r="R229" s="327"/>
      <c r="T229" s="327"/>
      <c r="V229" s="327"/>
      <c r="X229" s="327"/>
      <c r="Z229" s="327"/>
      <c r="AB229" s="327"/>
      <c r="AD229" s="327"/>
      <c r="AF229" s="327"/>
    </row>
    <row r="230" spans="2:32" s="326" customFormat="1" ht="9.9499999999999993" customHeight="1" x14ac:dyDescent="0.2">
      <c r="B230" s="327"/>
      <c r="D230" s="327"/>
      <c r="F230" s="327"/>
      <c r="H230" s="327"/>
      <c r="J230" s="327"/>
      <c r="L230" s="327"/>
      <c r="N230" s="327"/>
      <c r="P230" s="327"/>
      <c r="R230" s="327"/>
      <c r="T230" s="327"/>
      <c r="V230" s="327"/>
      <c r="X230" s="327"/>
      <c r="Z230" s="327"/>
      <c r="AB230" s="327"/>
      <c r="AD230" s="327"/>
      <c r="AF230" s="327"/>
    </row>
    <row r="231" spans="2:32" s="326" customFormat="1" ht="9.9499999999999993" customHeight="1" x14ac:dyDescent="0.2">
      <c r="B231" s="327"/>
      <c r="D231" s="327"/>
      <c r="F231" s="327"/>
      <c r="H231" s="327"/>
      <c r="J231" s="327"/>
      <c r="L231" s="327"/>
      <c r="N231" s="327"/>
      <c r="P231" s="327"/>
      <c r="R231" s="327"/>
      <c r="T231" s="327"/>
      <c r="V231" s="327"/>
      <c r="X231" s="327"/>
      <c r="Z231" s="327"/>
      <c r="AB231" s="327"/>
      <c r="AD231" s="327"/>
      <c r="AF231" s="327"/>
    </row>
    <row r="232" spans="2:32" s="326" customFormat="1" ht="9.9499999999999993" customHeight="1" x14ac:dyDescent="0.2">
      <c r="B232" s="327"/>
      <c r="D232" s="327"/>
      <c r="F232" s="327"/>
      <c r="H232" s="327"/>
      <c r="J232" s="327"/>
      <c r="L232" s="327"/>
      <c r="N232" s="327"/>
      <c r="P232" s="327"/>
      <c r="R232" s="327"/>
      <c r="T232" s="327"/>
      <c r="V232" s="327"/>
      <c r="X232" s="327"/>
      <c r="Z232" s="327"/>
      <c r="AB232" s="327"/>
      <c r="AD232" s="327"/>
      <c r="AF232" s="327"/>
    </row>
    <row r="233" spans="2:32" s="326" customFormat="1" ht="9.9499999999999993" customHeight="1" x14ac:dyDescent="0.2">
      <c r="B233" s="327"/>
      <c r="D233" s="327"/>
      <c r="F233" s="327"/>
      <c r="H233" s="327"/>
      <c r="J233" s="327"/>
      <c r="L233" s="327"/>
      <c r="N233" s="327"/>
      <c r="P233" s="327"/>
      <c r="R233" s="327"/>
      <c r="T233" s="327"/>
      <c r="V233" s="327"/>
      <c r="X233" s="327"/>
      <c r="Z233" s="327"/>
      <c r="AB233" s="327"/>
      <c r="AD233" s="327"/>
      <c r="AF233" s="327"/>
    </row>
    <row r="234" spans="2:32" s="326" customFormat="1" ht="9.9499999999999993" customHeight="1" x14ac:dyDescent="0.2">
      <c r="B234" s="327"/>
      <c r="D234" s="327"/>
      <c r="F234" s="327"/>
      <c r="H234" s="327"/>
      <c r="J234" s="327"/>
      <c r="L234" s="327"/>
      <c r="N234" s="327"/>
      <c r="P234" s="327"/>
      <c r="R234" s="327"/>
      <c r="T234" s="327"/>
      <c r="V234" s="327"/>
      <c r="X234" s="327"/>
      <c r="Z234" s="327"/>
      <c r="AB234" s="327"/>
      <c r="AD234" s="327"/>
      <c r="AF234" s="327"/>
    </row>
    <row r="235" spans="2:32" s="326" customFormat="1" ht="9.9499999999999993" customHeight="1" x14ac:dyDescent="0.2">
      <c r="B235" s="327"/>
      <c r="D235" s="327"/>
      <c r="F235" s="327"/>
      <c r="H235" s="327"/>
      <c r="J235" s="327"/>
      <c r="L235" s="327"/>
      <c r="N235" s="327"/>
      <c r="P235" s="327"/>
      <c r="R235" s="327"/>
      <c r="T235" s="327"/>
      <c r="V235" s="327"/>
      <c r="X235" s="327"/>
      <c r="Z235" s="327"/>
      <c r="AB235" s="327"/>
      <c r="AD235" s="327"/>
      <c r="AF235" s="327"/>
    </row>
    <row r="236" spans="2:32" s="326" customFormat="1" ht="9.9499999999999993" customHeight="1" x14ac:dyDescent="0.2">
      <c r="B236" s="327"/>
      <c r="D236" s="327"/>
      <c r="F236" s="327"/>
      <c r="H236" s="327"/>
      <c r="J236" s="327"/>
      <c r="L236" s="327"/>
      <c r="N236" s="327"/>
      <c r="P236" s="327"/>
      <c r="R236" s="327"/>
      <c r="T236" s="327"/>
      <c r="V236" s="327"/>
      <c r="X236" s="327"/>
      <c r="Z236" s="327"/>
      <c r="AB236" s="327"/>
      <c r="AD236" s="327"/>
      <c r="AF236" s="327"/>
    </row>
    <row r="237" spans="2:32" s="326" customFormat="1" ht="9.9499999999999993" customHeight="1" x14ac:dyDescent="0.2">
      <c r="B237" s="327"/>
      <c r="D237" s="327"/>
      <c r="F237" s="327"/>
      <c r="H237" s="327"/>
      <c r="J237" s="327"/>
      <c r="L237" s="327"/>
      <c r="N237" s="327"/>
      <c r="P237" s="327"/>
      <c r="R237" s="327"/>
      <c r="T237" s="327"/>
      <c r="V237" s="327"/>
      <c r="X237" s="327"/>
      <c r="Z237" s="327"/>
      <c r="AB237" s="327"/>
      <c r="AD237" s="327"/>
      <c r="AF237" s="327"/>
    </row>
    <row r="238" spans="2:32" s="326" customFormat="1" ht="9.9499999999999993" customHeight="1" x14ac:dyDescent="0.2">
      <c r="B238" s="327"/>
      <c r="D238" s="327"/>
      <c r="F238" s="327"/>
      <c r="H238" s="327"/>
      <c r="J238" s="327"/>
      <c r="L238" s="327"/>
      <c r="N238" s="327"/>
      <c r="P238" s="327"/>
      <c r="R238" s="327"/>
      <c r="T238" s="327"/>
      <c r="V238" s="327"/>
      <c r="X238" s="327"/>
      <c r="Z238" s="327"/>
      <c r="AB238" s="327"/>
      <c r="AD238" s="327"/>
      <c r="AF238" s="327"/>
    </row>
    <row r="239" spans="2:32" s="326" customFormat="1" ht="9.9499999999999993" customHeight="1" x14ac:dyDescent="0.2">
      <c r="B239" s="327"/>
      <c r="D239" s="327"/>
      <c r="F239" s="327"/>
      <c r="H239" s="327"/>
      <c r="J239" s="327"/>
      <c r="L239" s="327"/>
      <c r="N239" s="327"/>
      <c r="P239" s="327"/>
      <c r="R239" s="327"/>
      <c r="T239" s="327"/>
      <c r="V239" s="327"/>
      <c r="X239" s="327"/>
      <c r="Z239" s="327"/>
      <c r="AB239" s="327"/>
      <c r="AD239" s="327"/>
      <c r="AF239" s="327"/>
    </row>
    <row r="240" spans="2:32" s="326" customFormat="1" ht="9.9499999999999993" customHeight="1" x14ac:dyDescent="0.2">
      <c r="B240" s="327"/>
      <c r="D240" s="327"/>
      <c r="F240" s="327"/>
      <c r="H240" s="327"/>
      <c r="J240" s="327"/>
      <c r="L240" s="327"/>
      <c r="N240" s="327"/>
      <c r="P240" s="327"/>
      <c r="R240" s="327"/>
      <c r="T240" s="327"/>
      <c r="V240" s="327"/>
      <c r="X240" s="327"/>
      <c r="Z240" s="327"/>
      <c r="AB240" s="327"/>
      <c r="AD240" s="327"/>
      <c r="AF240" s="327"/>
    </row>
    <row r="241" spans="2:32" s="326" customFormat="1" ht="9.9499999999999993" customHeight="1" x14ac:dyDescent="0.2">
      <c r="B241" s="327"/>
      <c r="D241" s="327"/>
      <c r="F241" s="327"/>
      <c r="H241" s="327"/>
      <c r="J241" s="327"/>
      <c r="L241" s="327"/>
      <c r="N241" s="327"/>
      <c r="P241" s="327"/>
      <c r="R241" s="327"/>
      <c r="T241" s="327"/>
      <c r="V241" s="327"/>
      <c r="X241" s="327"/>
      <c r="Z241" s="327"/>
      <c r="AB241" s="327"/>
      <c r="AD241" s="327"/>
      <c r="AF241" s="327"/>
    </row>
    <row r="242" spans="2:32" s="326" customFormat="1" ht="9.9499999999999993" customHeight="1" x14ac:dyDescent="0.2">
      <c r="B242" s="327"/>
      <c r="D242" s="327"/>
      <c r="F242" s="327"/>
      <c r="H242" s="327"/>
      <c r="J242" s="327"/>
      <c r="L242" s="327"/>
      <c r="N242" s="327"/>
      <c r="P242" s="327"/>
      <c r="R242" s="327"/>
      <c r="T242" s="327"/>
      <c r="V242" s="327"/>
      <c r="X242" s="327"/>
      <c r="Z242" s="327"/>
      <c r="AB242" s="327"/>
      <c r="AD242" s="327"/>
      <c r="AF242" s="327"/>
    </row>
    <row r="243" spans="2:32" s="326" customFormat="1" ht="9.9499999999999993" customHeight="1" x14ac:dyDescent="0.2">
      <c r="B243" s="327"/>
      <c r="D243" s="327"/>
      <c r="F243" s="327"/>
      <c r="H243" s="327"/>
      <c r="J243" s="327"/>
      <c r="L243" s="327"/>
      <c r="N243" s="327"/>
      <c r="P243" s="327"/>
      <c r="R243" s="327"/>
      <c r="T243" s="327"/>
      <c r="V243" s="327"/>
      <c r="X243" s="327"/>
      <c r="Z243" s="327"/>
      <c r="AB243" s="327"/>
      <c r="AD243" s="327"/>
      <c r="AF243" s="327"/>
    </row>
    <row r="244" spans="2:32" s="326" customFormat="1" ht="9.9499999999999993" customHeight="1" x14ac:dyDescent="0.2">
      <c r="B244" s="327"/>
      <c r="D244" s="327"/>
      <c r="F244" s="327"/>
      <c r="H244" s="327"/>
      <c r="J244" s="327"/>
      <c r="L244" s="327"/>
      <c r="N244" s="327"/>
      <c r="P244" s="327"/>
      <c r="R244" s="327"/>
      <c r="T244" s="327"/>
      <c r="V244" s="327"/>
      <c r="X244" s="327"/>
      <c r="Z244" s="327"/>
      <c r="AB244" s="327"/>
      <c r="AD244" s="327"/>
      <c r="AF244" s="327"/>
    </row>
    <row r="245" spans="2:32" s="326" customFormat="1" ht="9.9499999999999993" customHeight="1" x14ac:dyDescent="0.2">
      <c r="B245" s="327"/>
      <c r="D245" s="327"/>
      <c r="F245" s="327"/>
      <c r="H245" s="327"/>
      <c r="J245" s="327"/>
      <c r="L245" s="327"/>
      <c r="N245" s="327"/>
      <c r="P245" s="327"/>
      <c r="R245" s="327"/>
      <c r="T245" s="327"/>
      <c r="V245" s="327"/>
      <c r="X245" s="327"/>
      <c r="Z245" s="327"/>
      <c r="AB245" s="327"/>
      <c r="AD245" s="327"/>
      <c r="AF245" s="327"/>
    </row>
    <row r="246" spans="2:32" s="326" customFormat="1" ht="9.9499999999999993" customHeight="1" x14ac:dyDescent="0.2">
      <c r="B246" s="327"/>
      <c r="D246" s="327"/>
      <c r="F246" s="327"/>
      <c r="H246" s="327"/>
      <c r="J246" s="327"/>
      <c r="L246" s="327"/>
      <c r="N246" s="327"/>
      <c r="P246" s="327"/>
      <c r="R246" s="327"/>
      <c r="T246" s="327"/>
      <c r="V246" s="327"/>
      <c r="X246" s="327"/>
      <c r="Z246" s="327"/>
      <c r="AB246" s="327"/>
      <c r="AD246" s="327"/>
      <c r="AF246" s="327"/>
    </row>
    <row r="247" spans="2:32" s="326" customFormat="1" ht="9.9499999999999993" customHeight="1" x14ac:dyDescent="0.2">
      <c r="B247" s="327"/>
      <c r="D247" s="327"/>
      <c r="F247" s="327"/>
      <c r="H247" s="327"/>
      <c r="J247" s="327"/>
      <c r="L247" s="327"/>
      <c r="N247" s="327"/>
      <c r="P247" s="327"/>
      <c r="R247" s="327"/>
      <c r="T247" s="327"/>
      <c r="V247" s="327"/>
      <c r="X247" s="327"/>
      <c r="Z247" s="327"/>
      <c r="AB247" s="327"/>
      <c r="AD247" s="327"/>
      <c r="AF247" s="327"/>
    </row>
    <row r="248" spans="2:32" s="326" customFormat="1" ht="9.9499999999999993" customHeight="1" x14ac:dyDescent="0.2">
      <c r="B248" s="327"/>
      <c r="D248" s="327"/>
      <c r="F248" s="327"/>
      <c r="H248" s="327"/>
      <c r="J248" s="327"/>
      <c r="L248" s="327"/>
      <c r="N248" s="327"/>
      <c r="P248" s="327"/>
      <c r="R248" s="327"/>
      <c r="T248" s="327"/>
      <c r="V248" s="327"/>
      <c r="X248" s="327"/>
      <c r="Z248" s="327"/>
      <c r="AB248" s="327"/>
      <c r="AD248" s="327"/>
      <c r="AF248" s="327"/>
    </row>
    <row r="249" spans="2:32" s="326" customFormat="1" ht="9.9499999999999993" customHeight="1" x14ac:dyDescent="0.2">
      <c r="B249" s="327"/>
      <c r="D249" s="327"/>
      <c r="F249" s="327"/>
      <c r="H249" s="327"/>
      <c r="J249" s="327"/>
      <c r="L249" s="327"/>
      <c r="N249" s="327"/>
      <c r="P249" s="327"/>
      <c r="R249" s="327"/>
      <c r="T249" s="327"/>
      <c r="V249" s="327"/>
      <c r="X249" s="327"/>
      <c r="Z249" s="327"/>
      <c r="AB249" s="327"/>
      <c r="AD249" s="327"/>
      <c r="AF249" s="327"/>
    </row>
    <row r="250" spans="2:32" s="326" customFormat="1" ht="9.9499999999999993" customHeight="1" x14ac:dyDescent="0.2">
      <c r="B250" s="327"/>
      <c r="D250" s="327"/>
      <c r="F250" s="327"/>
      <c r="H250" s="327"/>
      <c r="J250" s="327"/>
      <c r="L250" s="327"/>
      <c r="N250" s="327"/>
      <c r="P250" s="327"/>
      <c r="R250" s="327"/>
      <c r="T250" s="327"/>
      <c r="V250" s="327"/>
      <c r="X250" s="327"/>
      <c r="Z250" s="327"/>
      <c r="AB250" s="327"/>
      <c r="AD250" s="327"/>
      <c r="AF250" s="327"/>
    </row>
    <row r="251" spans="2:32" s="326" customFormat="1" ht="9.9499999999999993" customHeight="1" x14ac:dyDescent="0.2">
      <c r="B251" s="327"/>
      <c r="D251" s="327"/>
      <c r="F251" s="327"/>
      <c r="H251" s="327"/>
      <c r="J251" s="327"/>
      <c r="L251" s="327"/>
      <c r="N251" s="327"/>
      <c r="P251" s="327"/>
      <c r="R251" s="327"/>
      <c r="T251" s="327"/>
      <c r="V251" s="327"/>
      <c r="X251" s="327"/>
      <c r="Z251" s="327"/>
      <c r="AB251" s="327"/>
      <c r="AD251" s="327"/>
      <c r="AF251" s="327"/>
    </row>
    <row r="252" spans="2:32" s="326" customFormat="1" ht="9.9499999999999993" customHeight="1" x14ac:dyDescent="0.2">
      <c r="B252" s="327"/>
      <c r="D252" s="327"/>
      <c r="F252" s="327"/>
      <c r="H252" s="327"/>
      <c r="J252" s="327"/>
      <c r="L252" s="327"/>
      <c r="N252" s="327"/>
      <c r="P252" s="327"/>
      <c r="R252" s="327"/>
      <c r="T252" s="327"/>
      <c r="V252" s="327"/>
      <c r="X252" s="327"/>
      <c r="Z252" s="327"/>
      <c r="AB252" s="327"/>
      <c r="AD252" s="327"/>
      <c r="AF252" s="327"/>
    </row>
    <row r="253" spans="2:32" s="326" customFormat="1" ht="9.9499999999999993" customHeight="1" x14ac:dyDescent="0.2">
      <c r="B253" s="327"/>
      <c r="D253" s="327"/>
      <c r="F253" s="327"/>
      <c r="H253" s="327"/>
      <c r="J253" s="327"/>
      <c r="L253" s="327"/>
      <c r="N253" s="327"/>
      <c r="P253" s="327"/>
      <c r="R253" s="327"/>
      <c r="T253" s="327"/>
      <c r="V253" s="327"/>
      <c r="X253" s="327"/>
      <c r="Z253" s="327"/>
      <c r="AB253" s="327"/>
      <c r="AD253" s="327"/>
      <c r="AF253" s="327"/>
    </row>
    <row r="254" spans="2:32" s="326" customFormat="1" ht="9.9499999999999993" customHeight="1" x14ac:dyDescent="0.2">
      <c r="B254" s="327"/>
      <c r="D254" s="327"/>
      <c r="F254" s="327"/>
      <c r="H254" s="327"/>
      <c r="J254" s="327"/>
      <c r="L254" s="327"/>
      <c r="N254" s="327"/>
      <c r="P254" s="327"/>
      <c r="R254" s="327"/>
      <c r="T254" s="327"/>
      <c r="V254" s="327"/>
      <c r="X254" s="327"/>
      <c r="Z254" s="327"/>
      <c r="AB254" s="327"/>
      <c r="AD254" s="327"/>
      <c r="AF254" s="327"/>
    </row>
    <row r="255" spans="2:32" s="326" customFormat="1" ht="9.9499999999999993" customHeight="1" x14ac:dyDescent="0.2">
      <c r="B255" s="327"/>
      <c r="D255" s="327"/>
      <c r="F255" s="327"/>
      <c r="H255" s="327"/>
      <c r="J255" s="327"/>
      <c r="L255" s="327"/>
      <c r="N255" s="327"/>
      <c r="P255" s="327"/>
      <c r="R255" s="327"/>
      <c r="T255" s="327"/>
      <c r="V255" s="327"/>
      <c r="X255" s="327"/>
      <c r="Z255" s="327"/>
      <c r="AB255" s="327"/>
      <c r="AD255" s="327"/>
      <c r="AF255" s="327"/>
    </row>
    <row r="256" spans="2:32" s="326" customFormat="1" ht="9.9499999999999993" customHeight="1" x14ac:dyDescent="0.2">
      <c r="B256" s="327"/>
      <c r="D256" s="327"/>
      <c r="F256" s="327"/>
      <c r="H256" s="327"/>
      <c r="J256" s="327"/>
      <c r="L256" s="327"/>
      <c r="N256" s="327"/>
      <c r="P256" s="327"/>
      <c r="R256" s="327"/>
      <c r="T256" s="327"/>
      <c r="V256" s="327"/>
      <c r="X256" s="327"/>
      <c r="Z256" s="327"/>
      <c r="AB256" s="327"/>
      <c r="AD256" s="327"/>
      <c r="AF256" s="327"/>
    </row>
    <row r="257" spans="2:32" s="326" customFormat="1" ht="9.9499999999999993" customHeight="1" x14ac:dyDescent="0.2">
      <c r="B257" s="327"/>
      <c r="D257" s="327"/>
      <c r="F257" s="327"/>
      <c r="H257" s="327"/>
      <c r="J257" s="327"/>
      <c r="L257" s="327"/>
      <c r="N257" s="327"/>
      <c r="P257" s="327"/>
      <c r="R257" s="327"/>
      <c r="T257" s="327"/>
      <c r="V257" s="327"/>
      <c r="X257" s="327"/>
      <c r="Z257" s="327"/>
      <c r="AB257" s="327"/>
      <c r="AD257" s="327"/>
      <c r="AF257" s="327"/>
    </row>
    <row r="258" spans="2:32" s="326" customFormat="1" ht="9.9499999999999993" customHeight="1" x14ac:dyDescent="0.2">
      <c r="B258" s="327"/>
      <c r="D258" s="327"/>
      <c r="F258" s="327"/>
      <c r="H258" s="327"/>
      <c r="J258" s="327"/>
      <c r="L258" s="327"/>
      <c r="N258" s="327"/>
      <c r="P258" s="327"/>
      <c r="R258" s="327"/>
      <c r="T258" s="327"/>
      <c r="V258" s="327"/>
      <c r="X258" s="327"/>
      <c r="Z258" s="327"/>
      <c r="AB258" s="327"/>
      <c r="AD258" s="327"/>
      <c r="AF258" s="327"/>
    </row>
    <row r="259" spans="2:32" s="326" customFormat="1" ht="9.9499999999999993" customHeight="1" x14ac:dyDescent="0.2">
      <c r="B259" s="327"/>
      <c r="D259" s="327"/>
      <c r="F259" s="327"/>
      <c r="H259" s="327"/>
      <c r="J259" s="327"/>
      <c r="L259" s="327"/>
      <c r="N259" s="327"/>
      <c r="P259" s="327"/>
      <c r="R259" s="327"/>
      <c r="T259" s="327"/>
      <c r="V259" s="327"/>
      <c r="X259" s="327"/>
      <c r="Z259" s="327"/>
      <c r="AB259" s="327"/>
      <c r="AD259" s="327"/>
      <c r="AF259" s="327"/>
    </row>
    <row r="260" spans="2:32" s="326" customFormat="1" ht="9.9499999999999993" customHeight="1" x14ac:dyDescent="0.2">
      <c r="B260" s="327"/>
      <c r="D260" s="327"/>
      <c r="F260" s="327"/>
      <c r="H260" s="327"/>
      <c r="J260" s="327"/>
      <c r="L260" s="327"/>
      <c r="N260" s="327"/>
      <c r="P260" s="327"/>
      <c r="R260" s="327"/>
      <c r="T260" s="327"/>
      <c r="V260" s="327"/>
      <c r="X260" s="327"/>
      <c r="Z260" s="327"/>
      <c r="AB260" s="327"/>
      <c r="AD260" s="327"/>
      <c r="AF260" s="327"/>
    </row>
    <row r="261" spans="2:32" s="326" customFormat="1" ht="9.9499999999999993" customHeight="1" x14ac:dyDescent="0.2">
      <c r="B261" s="327"/>
      <c r="D261" s="327"/>
      <c r="F261" s="327"/>
      <c r="H261" s="327"/>
      <c r="J261" s="327"/>
      <c r="L261" s="327"/>
      <c r="N261" s="327"/>
      <c r="P261" s="327"/>
      <c r="R261" s="327"/>
      <c r="T261" s="327"/>
      <c r="V261" s="327"/>
      <c r="X261" s="327"/>
      <c r="Z261" s="327"/>
      <c r="AB261" s="327"/>
      <c r="AD261" s="327"/>
      <c r="AF261" s="327"/>
    </row>
    <row r="262" spans="2:32" s="326" customFormat="1" ht="9.9499999999999993" customHeight="1" x14ac:dyDescent="0.2">
      <c r="B262" s="327"/>
      <c r="D262" s="327"/>
      <c r="F262" s="327"/>
      <c r="H262" s="327"/>
      <c r="J262" s="327"/>
      <c r="L262" s="327"/>
      <c r="N262" s="327"/>
      <c r="P262" s="327"/>
      <c r="R262" s="327"/>
      <c r="T262" s="327"/>
      <c r="V262" s="327"/>
      <c r="X262" s="327"/>
      <c r="Z262" s="327"/>
      <c r="AB262" s="327"/>
      <c r="AD262" s="327"/>
      <c r="AF262" s="327"/>
    </row>
    <row r="263" spans="2:32" s="326" customFormat="1" ht="9.9499999999999993" customHeight="1" x14ac:dyDescent="0.2">
      <c r="B263" s="327"/>
      <c r="D263" s="327"/>
      <c r="F263" s="327"/>
      <c r="H263" s="327"/>
      <c r="J263" s="327"/>
      <c r="L263" s="327"/>
      <c r="N263" s="327"/>
      <c r="P263" s="327"/>
      <c r="R263" s="327"/>
      <c r="T263" s="327"/>
      <c r="V263" s="327"/>
      <c r="X263" s="327"/>
      <c r="Z263" s="327"/>
      <c r="AB263" s="327"/>
      <c r="AD263" s="327"/>
      <c r="AF263" s="327"/>
    </row>
    <row r="264" spans="2:32" s="326" customFormat="1" ht="9.9499999999999993" customHeight="1" x14ac:dyDescent="0.2">
      <c r="B264" s="327"/>
      <c r="D264" s="327"/>
      <c r="F264" s="327"/>
      <c r="H264" s="327"/>
      <c r="J264" s="327"/>
      <c r="L264" s="327"/>
      <c r="N264" s="327"/>
      <c r="P264" s="327"/>
      <c r="R264" s="327"/>
      <c r="T264" s="327"/>
      <c r="V264" s="327"/>
      <c r="X264" s="327"/>
      <c r="Z264" s="327"/>
      <c r="AB264" s="327"/>
      <c r="AD264" s="327"/>
      <c r="AF264" s="327"/>
    </row>
    <row r="265" spans="2:32" s="326" customFormat="1" ht="9.9499999999999993" customHeight="1" x14ac:dyDescent="0.2">
      <c r="B265" s="327"/>
      <c r="D265" s="327"/>
      <c r="F265" s="327"/>
      <c r="H265" s="327"/>
      <c r="J265" s="327"/>
      <c r="L265" s="327"/>
      <c r="N265" s="327"/>
      <c r="P265" s="327"/>
      <c r="R265" s="327"/>
      <c r="T265" s="327"/>
      <c r="V265" s="327"/>
      <c r="X265" s="327"/>
      <c r="Z265" s="327"/>
      <c r="AB265" s="327"/>
      <c r="AD265" s="327"/>
      <c r="AF265" s="327"/>
    </row>
    <row r="266" spans="2:32" s="326" customFormat="1" ht="9.9499999999999993" customHeight="1" x14ac:dyDescent="0.2">
      <c r="B266" s="327"/>
      <c r="D266" s="327"/>
      <c r="F266" s="327"/>
      <c r="H266" s="327"/>
      <c r="J266" s="327"/>
      <c r="L266" s="327"/>
      <c r="N266" s="327"/>
      <c r="P266" s="327"/>
      <c r="R266" s="327"/>
      <c r="T266" s="327"/>
      <c r="V266" s="327"/>
      <c r="X266" s="327"/>
      <c r="Z266" s="327"/>
      <c r="AB266" s="327"/>
      <c r="AD266" s="327"/>
      <c r="AF266" s="327"/>
    </row>
    <row r="267" spans="2:32" s="326" customFormat="1" ht="9.9499999999999993" customHeight="1" x14ac:dyDescent="0.2">
      <c r="B267" s="327"/>
      <c r="D267" s="327"/>
      <c r="F267" s="327"/>
      <c r="H267" s="327"/>
      <c r="J267" s="327"/>
      <c r="L267" s="327"/>
      <c r="N267" s="327"/>
      <c r="P267" s="327"/>
      <c r="R267" s="327"/>
      <c r="T267" s="327"/>
      <c r="V267" s="327"/>
      <c r="X267" s="327"/>
      <c r="Z267" s="327"/>
      <c r="AB267" s="327"/>
      <c r="AD267" s="327"/>
      <c r="AF267" s="327"/>
    </row>
    <row r="268" spans="2:32" s="326" customFormat="1" ht="9.9499999999999993" customHeight="1" x14ac:dyDescent="0.2">
      <c r="B268" s="327"/>
      <c r="D268" s="327"/>
      <c r="F268" s="327"/>
      <c r="H268" s="327"/>
      <c r="J268" s="327"/>
      <c r="L268" s="327"/>
      <c r="N268" s="327"/>
      <c r="P268" s="327"/>
      <c r="R268" s="327"/>
      <c r="T268" s="327"/>
      <c r="V268" s="327"/>
      <c r="X268" s="327"/>
      <c r="Z268" s="327"/>
      <c r="AB268" s="327"/>
      <c r="AD268" s="327"/>
      <c r="AF268" s="327"/>
    </row>
    <row r="269" spans="2:32" s="326" customFormat="1" ht="9.9499999999999993" customHeight="1" x14ac:dyDescent="0.2">
      <c r="B269" s="327"/>
      <c r="D269" s="327"/>
      <c r="F269" s="327"/>
      <c r="H269" s="327"/>
      <c r="J269" s="327"/>
      <c r="L269" s="327"/>
      <c r="N269" s="327"/>
      <c r="P269" s="327"/>
      <c r="R269" s="327"/>
      <c r="T269" s="327"/>
      <c r="V269" s="327"/>
      <c r="X269" s="327"/>
      <c r="Z269" s="327"/>
      <c r="AB269" s="327"/>
      <c r="AD269" s="327"/>
      <c r="AF269" s="327"/>
    </row>
    <row r="270" spans="2:32" s="326" customFormat="1" ht="9.9499999999999993" customHeight="1" x14ac:dyDescent="0.2">
      <c r="B270" s="327"/>
      <c r="D270" s="327"/>
      <c r="F270" s="327"/>
      <c r="H270" s="327"/>
      <c r="J270" s="327"/>
      <c r="L270" s="327"/>
      <c r="N270" s="327"/>
      <c r="P270" s="327"/>
      <c r="R270" s="327"/>
      <c r="T270" s="327"/>
      <c r="V270" s="327"/>
      <c r="X270" s="327"/>
      <c r="Z270" s="327"/>
      <c r="AB270" s="327"/>
      <c r="AD270" s="327"/>
      <c r="AF270" s="327"/>
    </row>
    <row r="271" spans="2:32" s="326" customFormat="1" ht="9.9499999999999993" customHeight="1" x14ac:dyDescent="0.2">
      <c r="B271" s="327"/>
      <c r="D271" s="327"/>
      <c r="F271" s="327"/>
      <c r="H271" s="327"/>
      <c r="J271" s="327"/>
      <c r="L271" s="327"/>
      <c r="N271" s="327"/>
      <c r="P271" s="327"/>
      <c r="R271" s="327"/>
      <c r="T271" s="327"/>
      <c r="V271" s="327"/>
      <c r="X271" s="327"/>
      <c r="Z271" s="327"/>
      <c r="AB271" s="327"/>
      <c r="AD271" s="327"/>
      <c r="AF271" s="327"/>
    </row>
    <row r="272" spans="2:32" s="326" customFormat="1" ht="9.9499999999999993" customHeight="1" x14ac:dyDescent="0.2">
      <c r="B272" s="327"/>
      <c r="D272" s="327"/>
      <c r="F272" s="327"/>
      <c r="H272" s="327"/>
      <c r="J272" s="327"/>
      <c r="L272" s="327"/>
      <c r="N272" s="327"/>
      <c r="P272" s="327"/>
      <c r="R272" s="327"/>
      <c r="T272" s="327"/>
      <c r="V272" s="327"/>
      <c r="X272" s="327"/>
      <c r="Z272" s="327"/>
      <c r="AB272" s="327"/>
      <c r="AD272" s="327"/>
      <c r="AF272" s="327"/>
    </row>
    <row r="273" spans="2:32" s="326" customFormat="1" ht="9.9499999999999993" customHeight="1" x14ac:dyDescent="0.2">
      <c r="B273" s="327"/>
      <c r="D273" s="327"/>
      <c r="F273" s="327"/>
      <c r="H273" s="327"/>
      <c r="J273" s="327"/>
      <c r="L273" s="327"/>
      <c r="N273" s="327"/>
      <c r="P273" s="327"/>
      <c r="R273" s="327"/>
      <c r="T273" s="327"/>
      <c r="V273" s="327"/>
      <c r="X273" s="327"/>
      <c r="Z273" s="327"/>
      <c r="AB273" s="327"/>
      <c r="AD273" s="327"/>
      <c r="AF273" s="327"/>
    </row>
    <row r="274" spans="2:32" s="326" customFormat="1" ht="9.9499999999999993" customHeight="1" x14ac:dyDescent="0.2">
      <c r="B274" s="327"/>
      <c r="D274" s="327"/>
      <c r="F274" s="327"/>
      <c r="H274" s="327"/>
      <c r="J274" s="327"/>
      <c r="L274" s="327"/>
      <c r="N274" s="327"/>
      <c r="P274" s="327"/>
      <c r="R274" s="327"/>
      <c r="T274" s="327"/>
      <c r="V274" s="327"/>
      <c r="X274" s="327"/>
      <c r="Z274" s="327"/>
      <c r="AB274" s="327"/>
      <c r="AD274" s="327"/>
      <c r="AF274" s="327"/>
    </row>
    <row r="275" spans="2:32" s="326" customFormat="1" ht="9.9499999999999993" customHeight="1" x14ac:dyDescent="0.2">
      <c r="B275" s="327"/>
      <c r="D275" s="327"/>
      <c r="F275" s="327"/>
      <c r="H275" s="327"/>
      <c r="J275" s="327"/>
      <c r="L275" s="327"/>
      <c r="N275" s="327"/>
      <c r="P275" s="327"/>
      <c r="R275" s="327"/>
      <c r="T275" s="327"/>
      <c r="V275" s="327"/>
      <c r="X275" s="327"/>
      <c r="Z275" s="327"/>
      <c r="AB275" s="327"/>
      <c r="AD275" s="327"/>
      <c r="AF275" s="327"/>
    </row>
    <row r="276" spans="2:32" s="326" customFormat="1" ht="9.9499999999999993" customHeight="1" x14ac:dyDescent="0.2">
      <c r="B276" s="327"/>
      <c r="D276" s="327"/>
      <c r="F276" s="327"/>
      <c r="H276" s="327"/>
      <c r="J276" s="327"/>
      <c r="L276" s="327"/>
      <c r="N276" s="327"/>
      <c r="P276" s="327"/>
      <c r="R276" s="327"/>
      <c r="T276" s="327"/>
      <c r="V276" s="327"/>
      <c r="X276" s="327"/>
      <c r="Z276" s="327"/>
      <c r="AB276" s="327"/>
      <c r="AD276" s="327"/>
      <c r="AF276" s="327"/>
    </row>
    <row r="277" spans="2:32" s="326" customFormat="1" ht="9.9499999999999993" customHeight="1" x14ac:dyDescent="0.2">
      <c r="B277" s="327"/>
      <c r="D277" s="327"/>
      <c r="F277" s="327"/>
      <c r="H277" s="327"/>
      <c r="J277" s="327"/>
      <c r="L277" s="327"/>
      <c r="N277" s="327"/>
      <c r="P277" s="327"/>
      <c r="R277" s="327"/>
      <c r="T277" s="327"/>
      <c r="V277" s="327"/>
      <c r="X277" s="327"/>
      <c r="Z277" s="327"/>
      <c r="AB277" s="327"/>
      <c r="AD277" s="327"/>
      <c r="AF277" s="327"/>
    </row>
    <row r="278" spans="2:32" s="326" customFormat="1" ht="9.9499999999999993" customHeight="1" x14ac:dyDescent="0.2">
      <c r="B278" s="327"/>
      <c r="D278" s="327"/>
      <c r="F278" s="327"/>
      <c r="H278" s="327"/>
      <c r="J278" s="327"/>
      <c r="L278" s="327"/>
      <c r="N278" s="327"/>
      <c r="P278" s="327"/>
      <c r="R278" s="327"/>
      <c r="T278" s="327"/>
      <c r="V278" s="327"/>
      <c r="X278" s="327"/>
      <c r="Z278" s="327"/>
      <c r="AB278" s="327"/>
      <c r="AD278" s="327"/>
      <c r="AF278" s="327"/>
    </row>
    <row r="279" spans="2:32" s="326" customFormat="1" ht="9.9499999999999993" customHeight="1" x14ac:dyDescent="0.2">
      <c r="B279" s="327"/>
      <c r="D279" s="327"/>
      <c r="F279" s="327"/>
      <c r="H279" s="327"/>
      <c r="J279" s="327"/>
      <c r="L279" s="327"/>
      <c r="N279" s="327"/>
      <c r="P279" s="327"/>
      <c r="R279" s="327"/>
      <c r="T279" s="327"/>
      <c r="V279" s="327"/>
      <c r="X279" s="327"/>
      <c r="Z279" s="327"/>
      <c r="AB279" s="327"/>
      <c r="AD279" s="327"/>
      <c r="AF279" s="327"/>
    </row>
    <row r="280" spans="2:32" s="326" customFormat="1" ht="9.9499999999999993" customHeight="1" x14ac:dyDescent="0.2">
      <c r="B280" s="327"/>
      <c r="D280" s="327"/>
      <c r="F280" s="327"/>
      <c r="H280" s="327"/>
      <c r="J280" s="327"/>
      <c r="L280" s="327"/>
      <c r="N280" s="327"/>
      <c r="P280" s="327"/>
      <c r="R280" s="327"/>
      <c r="T280" s="327"/>
      <c r="V280" s="327"/>
      <c r="X280" s="327"/>
      <c r="Z280" s="327"/>
      <c r="AB280" s="327"/>
      <c r="AD280" s="327"/>
      <c r="AF280" s="327"/>
    </row>
    <row r="281" spans="2:32" s="326" customFormat="1" ht="9.9499999999999993" customHeight="1" x14ac:dyDescent="0.2">
      <c r="B281" s="327"/>
      <c r="D281" s="327"/>
      <c r="F281" s="327"/>
      <c r="H281" s="327"/>
      <c r="J281" s="327"/>
      <c r="L281" s="327"/>
      <c r="N281" s="327"/>
      <c r="P281" s="327"/>
      <c r="R281" s="327"/>
      <c r="T281" s="327"/>
      <c r="V281" s="327"/>
      <c r="X281" s="327"/>
      <c r="Z281" s="327"/>
      <c r="AB281" s="327"/>
      <c r="AD281" s="327"/>
      <c r="AF281" s="327"/>
    </row>
    <row r="282" spans="2:32" s="326" customFormat="1" ht="9.9499999999999993" customHeight="1" x14ac:dyDescent="0.2">
      <c r="B282" s="327"/>
      <c r="D282" s="327"/>
      <c r="F282" s="327"/>
      <c r="H282" s="327"/>
      <c r="J282" s="327"/>
      <c r="L282" s="327"/>
      <c r="N282" s="327"/>
      <c r="P282" s="327"/>
      <c r="R282" s="327"/>
      <c r="T282" s="327"/>
      <c r="V282" s="327"/>
      <c r="X282" s="327"/>
      <c r="Z282" s="327"/>
      <c r="AB282" s="327"/>
      <c r="AD282" s="327"/>
      <c r="AF282" s="327"/>
    </row>
    <row r="283" spans="2:32" s="326" customFormat="1" ht="9.9499999999999993" customHeight="1" x14ac:dyDescent="0.2">
      <c r="B283" s="327"/>
      <c r="D283" s="327"/>
      <c r="F283" s="327"/>
      <c r="H283" s="327"/>
      <c r="J283" s="327"/>
      <c r="L283" s="327"/>
      <c r="N283" s="327"/>
      <c r="P283" s="327"/>
      <c r="R283" s="327"/>
      <c r="T283" s="327"/>
      <c r="V283" s="327"/>
      <c r="X283" s="327"/>
      <c r="Z283" s="327"/>
      <c r="AB283" s="327"/>
      <c r="AD283" s="327"/>
      <c r="AF283" s="327"/>
    </row>
    <row r="284" spans="2:32" s="326" customFormat="1" ht="9.9499999999999993" customHeight="1" x14ac:dyDescent="0.2">
      <c r="B284" s="327"/>
      <c r="D284" s="327"/>
      <c r="F284" s="327"/>
      <c r="H284" s="327"/>
      <c r="J284" s="327"/>
      <c r="L284" s="327"/>
      <c r="N284" s="327"/>
      <c r="P284" s="327"/>
      <c r="R284" s="327"/>
      <c r="T284" s="327"/>
      <c r="V284" s="327"/>
      <c r="X284" s="327"/>
      <c r="Z284" s="327"/>
      <c r="AB284" s="327"/>
      <c r="AD284" s="327"/>
      <c r="AF284" s="327"/>
    </row>
    <row r="285" spans="2:32" s="326" customFormat="1" ht="9.9499999999999993" customHeight="1" x14ac:dyDescent="0.2">
      <c r="B285" s="327"/>
      <c r="D285" s="327"/>
      <c r="F285" s="327"/>
      <c r="H285" s="327"/>
      <c r="J285" s="327"/>
      <c r="L285" s="327"/>
      <c r="N285" s="327"/>
      <c r="P285" s="327"/>
      <c r="R285" s="327"/>
      <c r="T285" s="327"/>
      <c r="V285" s="327"/>
      <c r="X285" s="327"/>
      <c r="Z285" s="327"/>
      <c r="AB285" s="327"/>
      <c r="AD285" s="327"/>
      <c r="AF285" s="327"/>
    </row>
    <row r="286" spans="2:32" s="326" customFormat="1" ht="9.9499999999999993" customHeight="1" x14ac:dyDescent="0.2">
      <c r="B286" s="327"/>
      <c r="D286" s="327"/>
      <c r="F286" s="327"/>
      <c r="H286" s="327"/>
      <c r="J286" s="327"/>
      <c r="L286" s="327"/>
      <c r="N286" s="327"/>
      <c r="P286" s="327"/>
      <c r="R286" s="327"/>
      <c r="T286" s="327"/>
      <c r="V286" s="327"/>
      <c r="X286" s="327"/>
      <c r="Z286" s="327"/>
      <c r="AB286" s="327"/>
      <c r="AD286" s="327"/>
      <c r="AF286" s="327"/>
    </row>
    <row r="287" spans="2:32" s="326" customFormat="1" ht="9.9499999999999993" customHeight="1" x14ac:dyDescent="0.2">
      <c r="B287" s="327"/>
      <c r="D287" s="327"/>
      <c r="F287" s="327"/>
      <c r="H287" s="327"/>
      <c r="J287" s="327"/>
      <c r="L287" s="327"/>
      <c r="N287" s="327"/>
      <c r="P287" s="327"/>
      <c r="R287" s="327"/>
      <c r="T287" s="327"/>
      <c r="V287" s="327"/>
      <c r="X287" s="327"/>
      <c r="Z287" s="327"/>
      <c r="AB287" s="327"/>
      <c r="AD287" s="327"/>
      <c r="AF287" s="327"/>
    </row>
    <row r="288" spans="2:32" s="326" customFormat="1" ht="9.9499999999999993" customHeight="1" x14ac:dyDescent="0.2">
      <c r="B288" s="327"/>
      <c r="D288" s="327"/>
      <c r="F288" s="327"/>
      <c r="H288" s="327"/>
      <c r="J288" s="327"/>
      <c r="L288" s="327"/>
      <c r="N288" s="327"/>
      <c r="P288" s="327"/>
      <c r="R288" s="327"/>
      <c r="T288" s="327"/>
      <c r="V288" s="327"/>
      <c r="X288" s="327"/>
      <c r="Z288" s="327"/>
      <c r="AB288" s="327"/>
      <c r="AD288" s="327"/>
      <c r="AF288" s="327"/>
    </row>
    <row r="289" spans="2:32" s="326" customFormat="1" ht="9.9499999999999993" customHeight="1" x14ac:dyDescent="0.2">
      <c r="B289" s="327"/>
      <c r="D289" s="327"/>
      <c r="F289" s="327"/>
      <c r="H289" s="327"/>
      <c r="J289" s="327"/>
      <c r="L289" s="327"/>
      <c r="N289" s="327"/>
      <c r="P289" s="327"/>
      <c r="R289" s="327"/>
      <c r="T289" s="327"/>
      <c r="V289" s="327"/>
      <c r="X289" s="327"/>
      <c r="Z289" s="327"/>
      <c r="AB289" s="327"/>
      <c r="AD289" s="327"/>
      <c r="AF289" s="327"/>
    </row>
    <row r="290" spans="2:32" s="326" customFormat="1" ht="9.9499999999999993" customHeight="1" x14ac:dyDescent="0.2">
      <c r="B290" s="327"/>
      <c r="D290" s="327"/>
      <c r="F290" s="327"/>
      <c r="H290" s="327"/>
      <c r="J290" s="327"/>
      <c r="L290" s="327"/>
      <c r="N290" s="327"/>
      <c r="P290" s="327"/>
      <c r="R290" s="327"/>
      <c r="T290" s="327"/>
      <c r="V290" s="327"/>
      <c r="X290" s="327"/>
      <c r="Z290" s="327"/>
      <c r="AB290" s="327"/>
      <c r="AD290" s="327"/>
      <c r="AF290" s="327"/>
    </row>
    <row r="291" spans="2:32" s="326" customFormat="1" ht="9.9499999999999993" customHeight="1" x14ac:dyDescent="0.2">
      <c r="B291" s="327"/>
      <c r="D291" s="327"/>
      <c r="F291" s="327"/>
      <c r="H291" s="327"/>
      <c r="J291" s="327"/>
      <c r="L291" s="327"/>
      <c r="N291" s="327"/>
      <c r="P291" s="327"/>
      <c r="R291" s="327"/>
      <c r="T291" s="327"/>
      <c r="V291" s="327"/>
      <c r="X291" s="327"/>
      <c r="Z291" s="327"/>
      <c r="AB291" s="327"/>
      <c r="AD291" s="327"/>
      <c r="AF291" s="327"/>
    </row>
    <row r="292" spans="2:32" s="326" customFormat="1" ht="9.9499999999999993" customHeight="1" x14ac:dyDescent="0.2">
      <c r="B292" s="327"/>
      <c r="D292" s="327"/>
      <c r="F292" s="327"/>
      <c r="H292" s="327"/>
      <c r="J292" s="327"/>
      <c r="L292" s="327"/>
      <c r="N292" s="327"/>
      <c r="P292" s="327"/>
      <c r="R292" s="327"/>
      <c r="T292" s="327"/>
      <c r="V292" s="327"/>
      <c r="X292" s="327"/>
      <c r="Z292" s="327"/>
      <c r="AB292" s="327"/>
      <c r="AD292" s="327"/>
      <c r="AF292" s="327"/>
    </row>
    <row r="293" spans="2:32" s="326" customFormat="1" ht="9.9499999999999993" customHeight="1" x14ac:dyDescent="0.2">
      <c r="B293" s="327"/>
      <c r="D293" s="327"/>
      <c r="F293" s="327"/>
      <c r="H293" s="327"/>
      <c r="J293" s="327"/>
      <c r="L293" s="327"/>
      <c r="N293" s="327"/>
      <c r="P293" s="327"/>
      <c r="R293" s="327"/>
      <c r="T293" s="327"/>
      <c r="V293" s="327"/>
      <c r="X293" s="327"/>
      <c r="Z293" s="327"/>
      <c r="AB293" s="327"/>
      <c r="AD293" s="327"/>
      <c r="AF293" s="327"/>
    </row>
    <row r="294" spans="2:32" s="326" customFormat="1" ht="9.9499999999999993" customHeight="1" x14ac:dyDescent="0.2">
      <c r="B294" s="327"/>
      <c r="D294" s="327"/>
      <c r="F294" s="327"/>
      <c r="H294" s="327"/>
      <c r="J294" s="327"/>
      <c r="L294" s="327"/>
      <c r="N294" s="327"/>
      <c r="P294" s="327"/>
      <c r="R294" s="327"/>
      <c r="T294" s="327"/>
      <c r="V294" s="327"/>
      <c r="X294" s="327"/>
      <c r="Z294" s="327"/>
      <c r="AB294" s="327"/>
      <c r="AD294" s="327"/>
      <c r="AF294" s="327"/>
    </row>
    <row r="295" spans="2:32" s="326" customFormat="1" ht="9.9499999999999993" customHeight="1" x14ac:dyDescent="0.2">
      <c r="B295" s="327"/>
      <c r="D295" s="327"/>
      <c r="F295" s="327"/>
      <c r="H295" s="327"/>
      <c r="J295" s="327"/>
      <c r="L295" s="327"/>
      <c r="N295" s="327"/>
      <c r="P295" s="327"/>
      <c r="R295" s="327"/>
      <c r="T295" s="327"/>
      <c r="V295" s="327"/>
      <c r="X295" s="327"/>
      <c r="Z295" s="327"/>
      <c r="AB295" s="327"/>
      <c r="AD295" s="327"/>
      <c r="AF295" s="327"/>
    </row>
    <row r="296" spans="2:32" s="326" customFormat="1" ht="9.9499999999999993" customHeight="1" x14ac:dyDescent="0.2">
      <c r="B296" s="327"/>
      <c r="D296" s="327"/>
      <c r="F296" s="327"/>
      <c r="H296" s="327"/>
      <c r="J296" s="327"/>
      <c r="L296" s="327"/>
      <c r="N296" s="327"/>
      <c r="P296" s="327"/>
      <c r="R296" s="327"/>
      <c r="T296" s="327"/>
      <c r="V296" s="327"/>
      <c r="X296" s="327"/>
      <c r="Z296" s="327"/>
      <c r="AB296" s="327"/>
      <c r="AD296" s="327"/>
      <c r="AF296" s="327"/>
    </row>
    <row r="297" spans="2:32" s="326" customFormat="1" ht="9.9499999999999993" customHeight="1" x14ac:dyDescent="0.2">
      <c r="B297" s="327"/>
      <c r="D297" s="327"/>
      <c r="F297" s="327"/>
      <c r="H297" s="327"/>
      <c r="J297" s="327"/>
      <c r="L297" s="327"/>
      <c r="N297" s="327"/>
      <c r="P297" s="327"/>
      <c r="R297" s="327"/>
      <c r="T297" s="327"/>
      <c r="V297" s="327"/>
      <c r="X297" s="327"/>
      <c r="Z297" s="327"/>
      <c r="AB297" s="327"/>
      <c r="AD297" s="327"/>
      <c r="AF297" s="327"/>
    </row>
    <row r="298" spans="2:32" s="326" customFormat="1" ht="9.9499999999999993" customHeight="1" x14ac:dyDescent="0.2">
      <c r="B298" s="327"/>
      <c r="D298" s="327"/>
      <c r="F298" s="327"/>
      <c r="H298" s="327"/>
      <c r="J298" s="327"/>
      <c r="L298" s="327"/>
      <c r="N298" s="327"/>
      <c r="P298" s="327"/>
      <c r="R298" s="327"/>
      <c r="T298" s="327"/>
      <c r="V298" s="327"/>
      <c r="X298" s="327"/>
      <c r="Z298" s="327"/>
      <c r="AB298" s="327"/>
      <c r="AD298" s="327"/>
      <c r="AF298" s="327"/>
    </row>
    <row r="299" spans="2:32" s="326" customFormat="1" ht="9.9499999999999993" customHeight="1" x14ac:dyDescent="0.2">
      <c r="B299" s="327"/>
      <c r="D299" s="327"/>
      <c r="F299" s="327"/>
      <c r="H299" s="327"/>
      <c r="J299" s="327"/>
      <c r="L299" s="327"/>
      <c r="N299" s="327"/>
      <c r="P299" s="327"/>
      <c r="R299" s="327"/>
      <c r="T299" s="327"/>
      <c r="V299" s="327"/>
      <c r="X299" s="327"/>
      <c r="Z299" s="327"/>
      <c r="AB299" s="327"/>
      <c r="AD299" s="327"/>
      <c r="AF299" s="327"/>
    </row>
    <row r="300" spans="2:32" s="326" customFormat="1" ht="9.9499999999999993" customHeight="1" x14ac:dyDescent="0.2">
      <c r="B300" s="327"/>
      <c r="D300" s="327"/>
      <c r="F300" s="327"/>
      <c r="H300" s="327"/>
      <c r="J300" s="327"/>
      <c r="L300" s="327"/>
      <c r="N300" s="327"/>
      <c r="P300" s="327"/>
      <c r="R300" s="327"/>
      <c r="T300" s="327"/>
      <c r="V300" s="327"/>
      <c r="X300" s="327"/>
      <c r="Z300" s="327"/>
      <c r="AB300" s="327"/>
      <c r="AD300" s="327"/>
      <c r="AF300" s="327"/>
    </row>
    <row r="301" spans="2:32" s="326" customFormat="1" ht="9.9499999999999993" customHeight="1" x14ac:dyDescent="0.2">
      <c r="B301" s="327"/>
      <c r="D301" s="327"/>
      <c r="F301" s="327"/>
      <c r="H301" s="327"/>
      <c r="J301" s="327"/>
      <c r="L301" s="327"/>
      <c r="N301" s="327"/>
      <c r="P301" s="327"/>
      <c r="R301" s="327"/>
      <c r="T301" s="327"/>
      <c r="V301" s="327"/>
      <c r="X301" s="327"/>
      <c r="Z301" s="327"/>
      <c r="AB301" s="327"/>
      <c r="AD301" s="327"/>
      <c r="AF301" s="327"/>
    </row>
    <row r="302" spans="2:32" s="326" customFormat="1" ht="9.9499999999999993" customHeight="1" x14ac:dyDescent="0.2">
      <c r="B302" s="327"/>
      <c r="D302" s="327"/>
      <c r="F302" s="327"/>
      <c r="H302" s="327"/>
      <c r="J302" s="327"/>
      <c r="L302" s="327"/>
      <c r="N302" s="327"/>
      <c r="P302" s="327"/>
      <c r="R302" s="327"/>
      <c r="T302" s="327"/>
      <c r="V302" s="327"/>
      <c r="X302" s="327"/>
      <c r="Z302" s="327"/>
      <c r="AB302" s="327"/>
      <c r="AD302" s="327"/>
      <c r="AF302" s="327"/>
    </row>
    <row r="303" spans="2:32" s="326" customFormat="1" ht="9.9499999999999993" customHeight="1" x14ac:dyDescent="0.2">
      <c r="B303" s="327"/>
      <c r="D303" s="327"/>
      <c r="F303" s="327"/>
      <c r="H303" s="327"/>
      <c r="J303" s="327"/>
      <c r="L303" s="327"/>
      <c r="N303" s="327"/>
      <c r="P303" s="327"/>
      <c r="R303" s="327"/>
      <c r="T303" s="327"/>
      <c r="V303" s="327"/>
      <c r="X303" s="327"/>
      <c r="Z303" s="327"/>
      <c r="AB303" s="327"/>
      <c r="AD303" s="327"/>
      <c r="AF303" s="327"/>
    </row>
    <row r="304" spans="2:32" s="326" customFormat="1" ht="9.9499999999999993" customHeight="1" x14ac:dyDescent="0.2">
      <c r="B304" s="327"/>
      <c r="D304" s="327"/>
      <c r="F304" s="327"/>
      <c r="H304" s="327"/>
      <c r="J304" s="327"/>
      <c r="L304" s="327"/>
      <c r="N304" s="327"/>
      <c r="P304" s="327"/>
      <c r="R304" s="327"/>
      <c r="T304" s="327"/>
      <c r="V304" s="327"/>
      <c r="X304" s="327"/>
      <c r="Z304" s="327"/>
      <c r="AB304" s="327"/>
      <c r="AD304" s="327"/>
      <c r="AF304" s="327"/>
    </row>
    <row r="305" spans="2:32" s="326" customFormat="1" ht="9.9499999999999993" customHeight="1" x14ac:dyDescent="0.2">
      <c r="B305" s="327"/>
      <c r="D305" s="327"/>
      <c r="F305" s="327"/>
      <c r="H305" s="327"/>
      <c r="J305" s="327"/>
      <c r="L305" s="327"/>
      <c r="N305" s="327"/>
      <c r="P305" s="327"/>
      <c r="R305" s="327"/>
      <c r="T305" s="327"/>
      <c r="V305" s="327"/>
      <c r="X305" s="327"/>
      <c r="Z305" s="327"/>
      <c r="AB305" s="327"/>
      <c r="AD305" s="327"/>
      <c r="AF305" s="327"/>
    </row>
    <row r="306" spans="2:32" s="326" customFormat="1" ht="9.9499999999999993" customHeight="1" x14ac:dyDescent="0.2">
      <c r="B306" s="327"/>
      <c r="D306" s="327"/>
      <c r="F306" s="327"/>
      <c r="H306" s="327"/>
      <c r="J306" s="327"/>
      <c r="L306" s="327"/>
      <c r="N306" s="327"/>
      <c r="P306" s="327"/>
      <c r="R306" s="327"/>
      <c r="T306" s="327"/>
      <c r="V306" s="327"/>
      <c r="X306" s="327"/>
      <c r="Z306" s="327"/>
      <c r="AB306" s="327"/>
      <c r="AD306" s="327"/>
      <c r="AF306" s="327"/>
    </row>
    <row r="307" spans="2:32" s="326" customFormat="1" ht="9.9499999999999993" customHeight="1" x14ac:dyDescent="0.2">
      <c r="B307" s="327"/>
      <c r="D307" s="327"/>
      <c r="F307" s="327"/>
      <c r="H307" s="327"/>
      <c r="J307" s="327"/>
      <c r="L307" s="327"/>
      <c r="N307" s="327"/>
      <c r="P307" s="327"/>
      <c r="R307" s="327"/>
      <c r="T307" s="327"/>
      <c r="V307" s="327"/>
      <c r="X307" s="327"/>
      <c r="Z307" s="327"/>
      <c r="AB307" s="327"/>
      <c r="AD307" s="327"/>
      <c r="AF307" s="327"/>
    </row>
    <row r="308" spans="2:32" s="326" customFormat="1" ht="9.9499999999999993" customHeight="1" x14ac:dyDescent="0.2">
      <c r="B308" s="327"/>
      <c r="D308" s="327"/>
      <c r="F308" s="327"/>
      <c r="H308" s="327"/>
      <c r="J308" s="327"/>
      <c r="L308" s="327"/>
      <c r="N308" s="327"/>
      <c r="P308" s="327"/>
      <c r="R308" s="327"/>
      <c r="T308" s="327"/>
      <c r="V308" s="327"/>
      <c r="X308" s="327"/>
      <c r="Z308" s="327"/>
      <c r="AB308" s="327"/>
      <c r="AD308" s="327"/>
      <c r="AF308" s="327"/>
    </row>
    <row r="309" spans="2:32" s="326" customFormat="1" ht="9.9499999999999993" customHeight="1" x14ac:dyDescent="0.2">
      <c r="B309" s="327"/>
      <c r="D309" s="327"/>
      <c r="F309" s="327"/>
      <c r="H309" s="327"/>
      <c r="J309" s="327"/>
      <c r="L309" s="327"/>
      <c r="N309" s="327"/>
      <c r="P309" s="327"/>
      <c r="R309" s="327"/>
      <c r="T309" s="327"/>
      <c r="V309" s="327"/>
      <c r="X309" s="327"/>
      <c r="Z309" s="327"/>
      <c r="AB309" s="327"/>
      <c r="AD309" s="327"/>
      <c r="AF309" s="327"/>
    </row>
    <row r="310" spans="2:32" s="326" customFormat="1" ht="9.9499999999999993" customHeight="1" x14ac:dyDescent="0.2">
      <c r="B310" s="327"/>
      <c r="D310" s="327"/>
      <c r="F310" s="327"/>
      <c r="H310" s="327"/>
      <c r="J310" s="327"/>
      <c r="L310" s="327"/>
      <c r="N310" s="327"/>
      <c r="P310" s="327"/>
      <c r="R310" s="327"/>
      <c r="T310" s="327"/>
      <c r="V310" s="327"/>
      <c r="X310" s="327"/>
      <c r="Z310" s="327"/>
      <c r="AB310" s="327"/>
      <c r="AD310" s="327"/>
      <c r="AF310" s="327"/>
    </row>
    <row r="311" spans="2:32" s="326" customFormat="1" ht="9.9499999999999993" customHeight="1" x14ac:dyDescent="0.2">
      <c r="B311" s="327"/>
      <c r="D311" s="327"/>
      <c r="F311" s="327"/>
      <c r="H311" s="327"/>
      <c r="J311" s="327"/>
      <c r="L311" s="327"/>
      <c r="N311" s="327"/>
      <c r="P311" s="327"/>
      <c r="R311" s="327"/>
      <c r="T311" s="327"/>
      <c r="V311" s="327"/>
      <c r="X311" s="327"/>
      <c r="Z311" s="327"/>
      <c r="AB311" s="327"/>
      <c r="AD311" s="327"/>
      <c r="AF311" s="327"/>
    </row>
    <row r="312" spans="2:32" s="326" customFormat="1" ht="9.9499999999999993" customHeight="1" x14ac:dyDescent="0.2">
      <c r="B312" s="327"/>
      <c r="D312" s="327"/>
      <c r="F312" s="327"/>
      <c r="H312" s="327"/>
      <c r="J312" s="327"/>
      <c r="L312" s="327"/>
      <c r="N312" s="327"/>
      <c r="P312" s="327"/>
      <c r="R312" s="327"/>
      <c r="T312" s="327"/>
      <c r="V312" s="327"/>
      <c r="X312" s="327"/>
      <c r="Z312" s="327"/>
      <c r="AB312" s="327"/>
      <c r="AD312" s="327"/>
      <c r="AF312" s="327"/>
    </row>
    <row r="313" spans="2:32" s="326" customFormat="1" ht="9.9499999999999993" customHeight="1" x14ac:dyDescent="0.2">
      <c r="B313" s="327"/>
      <c r="D313" s="327"/>
      <c r="F313" s="327"/>
      <c r="H313" s="327"/>
      <c r="J313" s="327"/>
      <c r="L313" s="327"/>
      <c r="N313" s="327"/>
      <c r="P313" s="327"/>
      <c r="R313" s="327"/>
      <c r="T313" s="327"/>
      <c r="V313" s="327"/>
      <c r="X313" s="327"/>
      <c r="Z313" s="327"/>
      <c r="AB313" s="327"/>
      <c r="AD313" s="327"/>
      <c r="AF313" s="327"/>
    </row>
    <row r="314" spans="2:32" s="326" customFormat="1" ht="9.9499999999999993" customHeight="1" x14ac:dyDescent="0.2">
      <c r="B314" s="327"/>
      <c r="D314" s="327"/>
      <c r="F314" s="327"/>
      <c r="H314" s="327"/>
      <c r="J314" s="327"/>
      <c r="L314" s="327"/>
      <c r="N314" s="327"/>
      <c r="P314" s="327"/>
      <c r="R314" s="327"/>
      <c r="T314" s="327"/>
      <c r="V314" s="327"/>
      <c r="X314" s="327"/>
      <c r="Z314" s="327"/>
      <c r="AB314" s="327"/>
      <c r="AD314" s="327"/>
      <c r="AF314" s="327"/>
    </row>
    <row r="315" spans="2:32" s="326" customFormat="1" ht="9.9499999999999993" customHeight="1" x14ac:dyDescent="0.2">
      <c r="B315" s="327"/>
      <c r="D315" s="327"/>
      <c r="F315" s="327"/>
      <c r="H315" s="327"/>
      <c r="J315" s="327"/>
      <c r="L315" s="327"/>
      <c r="N315" s="327"/>
      <c r="P315" s="327"/>
      <c r="R315" s="327"/>
      <c r="T315" s="327"/>
      <c r="V315" s="327"/>
      <c r="X315" s="327"/>
      <c r="Z315" s="327"/>
      <c r="AB315" s="327"/>
      <c r="AD315" s="327"/>
      <c r="AF315" s="327"/>
    </row>
    <row r="316" spans="2:32" s="326" customFormat="1" ht="9.9499999999999993" customHeight="1" x14ac:dyDescent="0.2">
      <c r="B316" s="327"/>
      <c r="D316" s="327"/>
      <c r="F316" s="327"/>
      <c r="H316" s="327"/>
      <c r="J316" s="327"/>
      <c r="L316" s="327"/>
      <c r="N316" s="327"/>
      <c r="P316" s="327"/>
      <c r="R316" s="327"/>
      <c r="T316" s="327"/>
      <c r="V316" s="327"/>
      <c r="X316" s="327"/>
      <c r="Z316" s="327"/>
      <c r="AB316" s="327"/>
      <c r="AD316" s="327"/>
      <c r="AF316" s="327"/>
    </row>
    <row r="317" spans="2:32" s="326" customFormat="1" ht="9.9499999999999993" customHeight="1" x14ac:dyDescent="0.2">
      <c r="B317" s="327"/>
      <c r="D317" s="327"/>
      <c r="F317" s="327"/>
      <c r="H317" s="327"/>
      <c r="J317" s="327"/>
      <c r="L317" s="327"/>
      <c r="N317" s="327"/>
      <c r="P317" s="327"/>
      <c r="R317" s="327"/>
      <c r="T317" s="327"/>
      <c r="V317" s="327"/>
      <c r="X317" s="327"/>
      <c r="Z317" s="327"/>
      <c r="AB317" s="327"/>
      <c r="AD317" s="327"/>
      <c r="AF317" s="327"/>
    </row>
    <row r="318" spans="2:32" s="326" customFormat="1" ht="9.9499999999999993" customHeight="1" x14ac:dyDescent="0.2">
      <c r="B318" s="327"/>
      <c r="D318" s="327"/>
      <c r="F318" s="327"/>
      <c r="H318" s="327"/>
      <c r="J318" s="327"/>
      <c r="L318" s="327"/>
      <c r="N318" s="327"/>
      <c r="P318" s="327"/>
      <c r="R318" s="327"/>
      <c r="T318" s="327"/>
      <c r="V318" s="327"/>
      <c r="X318" s="327"/>
      <c r="Z318" s="327"/>
      <c r="AB318" s="327"/>
      <c r="AD318" s="327"/>
      <c r="AF318" s="327"/>
    </row>
    <row r="319" spans="2:32" s="326" customFormat="1" ht="9.9499999999999993" customHeight="1" x14ac:dyDescent="0.2">
      <c r="B319" s="327"/>
      <c r="D319" s="327"/>
      <c r="F319" s="327"/>
      <c r="H319" s="327"/>
      <c r="J319" s="327"/>
      <c r="L319" s="327"/>
      <c r="N319" s="327"/>
      <c r="P319" s="327"/>
      <c r="R319" s="327"/>
      <c r="T319" s="327"/>
      <c r="V319" s="327"/>
      <c r="X319" s="327"/>
      <c r="Z319" s="327"/>
      <c r="AB319" s="327"/>
      <c r="AD319" s="327"/>
      <c r="AF319" s="327"/>
    </row>
    <row r="320" spans="2:32" s="326" customFormat="1" ht="9.9499999999999993" customHeight="1" x14ac:dyDescent="0.2">
      <c r="B320" s="327"/>
      <c r="D320" s="327"/>
      <c r="F320" s="327"/>
      <c r="H320" s="327"/>
      <c r="J320" s="327"/>
      <c r="L320" s="327"/>
      <c r="N320" s="327"/>
      <c r="P320" s="327"/>
      <c r="R320" s="327"/>
      <c r="T320" s="327"/>
      <c r="V320" s="327"/>
      <c r="X320" s="327"/>
      <c r="Z320" s="327"/>
      <c r="AB320" s="327"/>
      <c r="AD320" s="327"/>
      <c r="AF320" s="327"/>
    </row>
    <row r="321" spans="2:32" s="326" customFormat="1" ht="9.9499999999999993" customHeight="1" x14ac:dyDescent="0.2">
      <c r="B321" s="327"/>
      <c r="D321" s="327"/>
      <c r="F321" s="327"/>
      <c r="H321" s="327"/>
      <c r="J321" s="327"/>
      <c r="L321" s="327"/>
      <c r="N321" s="327"/>
      <c r="P321" s="327"/>
      <c r="R321" s="327"/>
      <c r="T321" s="327"/>
      <c r="V321" s="327"/>
      <c r="X321" s="327"/>
      <c r="Z321" s="327"/>
      <c r="AB321" s="327"/>
      <c r="AD321" s="327"/>
      <c r="AF321" s="327"/>
    </row>
    <row r="322" spans="2:32" s="326" customFormat="1" ht="9.9499999999999993" customHeight="1" x14ac:dyDescent="0.2">
      <c r="B322" s="327"/>
      <c r="D322" s="327"/>
      <c r="F322" s="327"/>
      <c r="H322" s="327"/>
      <c r="J322" s="327"/>
      <c r="L322" s="327"/>
      <c r="N322" s="327"/>
      <c r="P322" s="327"/>
      <c r="R322" s="327"/>
      <c r="T322" s="327"/>
      <c r="V322" s="327"/>
      <c r="X322" s="327"/>
      <c r="Z322" s="327"/>
      <c r="AB322" s="327"/>
      <c r="AD322" s="327"/>
      <c r="AF322" s="327"/>
    </row>
    <row r="323" spans="2:32" s="326" customFormat="1" ht="9.9499999999999993" customHeight="1" x14ac:dyDescent="0.2">
      <c r="B323" s="327"/>
      <c r="D323" s="327"/>
      <c r="F323" s="327"/>
      <c r="H323" s="327"/>
      <c r="J323" s="327"/>
      <c r="L323" s="327"/>
      <c r="N323" s="327"/>
      <c r="P323" s="327"/>
      <c r="R323" s="327"/>
      <c r="T323" s="327"/>
      <c r="V323" s="327"/>
      <c r="X323" s="327"/>
      <c r="Z323" s="327"/>
      <c r="AB323" s="327"/>
      <c r="AD323" s="327"/>
      <c r="AF323" s="327"/>
    </row>
    <row r="324" spans="2:32" s="326" customFormat="1" ht="9.9499999999999993" customHeight="1" x14ac:dyDescent="0.2">
      <c r="B324" s="327"/>
      <c r="D324" s="327"/>
      <c r="F324" s="327"/>
      <c r="H324" s="327"/>
      <c r="J324" s="327"/>
      <c r="L324" s="327"/>
      <c r="N324" s="327"/>
      <c r="P324" s="327"/>
      <c r="R324" s="327"/>
      <c r="T324" s="327"/>
      <c r="V324" s="327"/>
      <c r="X324" s="327"/>
      <c r="Z324" s="327"/>
      <c r="AB324" s="327"/>
      <c r="AD324" s="327"/>
      <c r="AF324" s="327"/>
    </row>
    <row r="325" spans="2:32" s="326" customFormat="1" ht="9.9499999999999993" customHeight="1" x14ac:dyDescent="0.2">
      <c r="B325" s="327"/>
      <c r="D325" s="327"/>
      <c r="F325" s="327"/>
      <c r="H325" s="327"/>
      <c r="J325" s="327"/>
      <c r="L325" s="327"/>
      <c r="N325" s="327"/>
      <c r="P325" s="327"/>
      <c r="R325" s="327"/>
      <c r="T325" s="327"/>
      <c r="V325" s="327"/>
      <c r="X325" s="327"/>
      <c r="Z325" s="327"/>
      <c r="AB325" s="327"/>
      <c r="AD325" s="327"/>
      <c r="AF325" s="327"/>
    </row>
    <row r="326" spans="2:32" s="326" customFormat="1" ht="9.9499999999999993" customHeight="1" x14ac:dyDescent="0.2">
      <c r="B326" s="327"/>
      <c r="D326" s="327"/>
      <c r="F326" s="327"/>
      <c r="H326" s="327"/>
      <c r="J326" s="327"/>
      <c r="L326" s="327"/>
      <c r="N326" s="327"/>
      <c r="P326" s="327"/>
      <c r="R326" s="327"/>
      <c r="T326" s="327"/>
      <c r="V326" s="327"/>
      <c r="X326" s="327"/>
      <c r="Z326" s="327"/>
      <c r="AB326" s="327"/>
      <c r="AD326" s="327"/>
      <c r="AF326" s="327"/>
    </row>
    <row r="327" spans="2:32" s="326" customFormat="1" ht="9.9499999999999993" customHeight="1" x14ac:dyDescent="0.2">
      <c r="B327" s="327"/>
      <c r="D327" s="327"/>
      <c r="F327" s="327"/>
      <c r="H327" s="327"/>
      <c r="J327" s="327"/>
      <c r="L327" s="327"/>
      <c r="N327" s="327"/>
      <c r="P327" s="327"/>
      <c r="R327" s="327"/>
      <c r="T327" s="327"/>
      <c r="V327" s="327"/>
      <c r="X327" s="327"/>
      <c r="Z327" s="327"/>
      <c r="AB327" s="327"/>
      <c r="AD327" s="327"/>
      <c r="AF327" s="327"/>
    </row>
    <row r="328" spans="2:32" s="326" customFormat="1" ht="9.9499999999999993" customHeight="1" x14ac:dyDescent="0.2">
      <c r="B328" s="327"/>
      <c r="D328" s="327"/>
      <c r="F328" s="327"/>
      <c r="H328" s="327"/>
      <c r="J328" s="327"/>
      <c r="L328" s="327"/>
      <c r="N328" s="327"/>
      <c r="P328" s="327"/>
      <c r="R328" s="327"/>
      <c r="T328" s="327"/>
      <c r="V328" s="327"/>
      <c r="X328" s="327"/>
      <c r="Z328" s="327"/>
      <c r="AB328" s="327"/>
      <c r="AD328" s="327"/>
      <c r="AF328" s="327"/>
    </row>
    <row r="329" spans="2:32" s="326" customFormat="1" ht="9.9499999999999993" customHeight="1" x14ac:dyDescent="0.2">
      <c r="B329" s="327"/>
      <c r="D329" s="327"/>
      <c r="F329" s="327"/>
      <c r="H329" s="327"/>
      <c r="J329" s="327"/>
      <c r="L329" s="327"/>
      <c r="N329" s="327"/>
      <c r="P329" s="327"/>
      <c r="R329" s="327"/>
      <c r="T329" s="327"/>
      <c r="V329" s="327"/>
      <c r="X329" s="327"/>
      <c r="Z329" s="327"/>
      <c r="AB329" s="327"/>
      <c r="AD329" s="327"/>
      <c r="AF329" s="327"/>
    </row>
    <row r="330" spans="2:32" s="326" customFormat="1" ht="9.9499999999999993" customHeight="1" x14ac:dyDescent="0.2">
      <c r="B330" s="327"/>
      <c r="D330" s="327"/>
      <c r="F330" s="327"/>
      <c r="H330" s="327"/>
      <c r="J330" s="327"/>
      <c r="L330" s="327"/>
      <c r="N330" s="327"/>
      <c r="P330" s="327"/>
      <c r="R330" s="327"/>
      <c r="T330" s="327"/>
      <c r="V330" s="327"/>
      <c r="X330" s="327"/>
      <c r="Z330" s="327"/>
      <c r="AB330" s="327"/>
      <c r="AD330" s="327"/>
      <c r="AF330" s="327"/>
    </row>
    <row r="331" spans="2:32" s="326" customFormat="1" ht="9.9499999999999993" customHeight="1" x14ac:dyDescent="0.2">
      <c r="B331" s="327"/>
      <c r="D331" s="327"/>
      <c r="F331" s="327"/>
      <c r="H331" s="327"/>
      <c r="J331" s="327"/>
      <c r="L331" s="327"/>
      <c r="N331" s="327"/>
      <c r="P331" s="327"/>
      <c r="R331" s="327"/>
      <c r="T331" s="327"/>
      <c r="V331" s="327"/>
      <c r="X331" s="327"/>
      <c r="Z331" s="327"/>
      <c r="AB331" s="327"/>
      <c r="AD331" s="327"/>
      <c r="AF331" s="327"/>
    </row>
    <row r="332" spans="2:32" s="326" customFormat="1" ht="9.9499999999999993" customHeight="1" x14ac:dyDescent="0.2">
      <c r="B332" s="327"/>
      <c r="D332" s="327"/>
      <c r="F332" s="327"/>
      <c r="H332" s="327"/>
      <c r="J332" s="327"/>
      <c r="L332" s="327"/>
      <c r="N332" s="327"/>
      <c r="P332" s="327"/>
      <c r="R332" s="327"/>
      <c r="T332" s="327"/>
      <c r="V332" s="327"/>
      <c r="X332" s="327"/>
      <c r="Z332" s="327"/>
      <c r="AB332" s="327"/>
      <c r="AD332" s="327"/>
      <c r="AF332" s="327"/>
    </row>
    <row r="333" spans="2:32" s="326" customFormat="1" ht="9.9499999999999993" customHeight="1" x14ac:dyDescent="0.2">
      <c r="B333" s="327"/>
      <c r="D333" s="327"/>
      <c r="F333" s="327"/>
      <c r="H333" s="327"/>
      <c r="J333" s="327"/>
      <c r="L333" s="327"/>
      <c r="N333" s="327"/>
      <c r="P333" s="327"/>
      <c r="R333" s="327"/>
      <c r="T333" s="327"/>
      <c r="V333" s="327"/>
      <c r="X333" s="327"/>
      <c r="Z333" s="327"/>
      <c r="AB333" s="327"/>
      <c r="AD333" s="327"/>
      <c r="AF333" s="327"/>
    </row>
    <row r="334" spans="2:32" s="326" customFormat="1" ht="9.9499999999999993" customHeight="1" x14ac:dyDescent="0.2">
      <c r="B334" s="327"/>
      <c r="D334" s="327"/>
      <c r="F334" s="327"/>
      <c r="H334" s="327"/>
      <c r="J334" s="327"/>
      <c r="L334" s="327"/>
      <c r="N334" s="327"/>
      <c r="P334" s="327"/>
      <c r="R334" s="327"/>
      <c r="T334" s="327"/>
      <c r="V334" s="327"/>
      <c r="X334" s="327"/>
      <c r="Z334" s="327"/>
      <c r="AB334" s="327"/>
      <c r="AD334" s="327"/>
      <c r="AF334" s="327"/>
    </row>
    <row r="335" spans="2:32" s="326" customFormat="1" ht="9.9499999999999993" customHeight="1" x14ac:dyDescent="0.2">
      <c r="B335" s="327"/>
      <c r="D335" s="327"/>
      <c r="F335" s="327"/>
      <c r="H335" s="327"/>
      <c r="J335" s="327"/>
      <c r="L335" s="327"/>
      <c r="N335" s="327"/>
      <c r="P335" s="327"/>
      <c r="R335" s="327"/>
      <c r="T335" s="327"/>
      <c r="V335" s="327"/>
      <c r="X335" s="327"/>
      <c r="Z335" s="327"/>
      <c r="AB335" s="327"/>
      <c r="AD335" s="327"/>
      <c r="AF335" s="327"/>
    </row>
    <row r="336" spans="2:32" s="326" customFormat="1" ht="9.9499999999999993" customHeight="1" x14ac:dyDescent="0.2">
      <c r="B336" s="327"/>
      <c r="D336" s="327"/>
      <c r="F336" s="327"/>
      <c r="H336" s="327"/>
      <c r="J336" s="327"/>
      <c r="L336" s="327"/>
      <c r="N336" s="327"/>
      <c r="P336" s="327"/>
      <c r="R336" s="327"/>
      <c r="T336" s="327"/>
      <c r="V336" s="327"/>
      <c r="X336" s="327"/>
      <c r="Z336" s="327"/>
      <c r="AB336" s="327"/>
      <c r="AD336" s="327"/>
      <c r="AF336" s="327"/>
    </row>
    <row r="337" spans="2:32" s="326" customFormat="1" ht="9.9499999999999993" customHeight="1" x14ac:dyDescent="0.2">
      <c r="B337" s="327"/>
      <c r="D337" s="327"/>
      <c r="F337" s="327"/>
      <c r="H337" s="327"/>
      <c r="J337" s="327"/>
      <c r="L337" s="327"/>
      <c r="N337" s="327"/>
      <c r="P337" s="327"/>
      <c r="R337" s="327"/>
      <c r="T337" s="327"/>
      <c r="V337" s="327"/>
      <c r="X337" s="327"/>
      <c r="Z337" s="327"/>
      <c r="AB337" s="327"/>
      <c r="AD337" s="327"/>
      <c r="AF337" s="327"/>
    </row>
    <row r="338" spans="2:32" s="326" customFormat="1" ht="9.9499999999999993" customHeight="1" x14ac:dyDescent="0.2">
      <c r="B338" s="327"/>
      <c r="D338" s="327"/>
      <c r="F338" s="327"/>
      <c r="H338" s="327"/>
      <c r="J338" s="327"/>
      <c r="L338" s="327"/>
      <c r="N338" s="327"/>
      <c r="P338" s="327"/>
      <c r="R338" s="327"/>
      <c r="T338" s="327"/>
      <c r="V338" s="327"/>
      <c r="X338" s="327"/>
      <c r="Z338" s="327"/>
      <c r="AB338" s="327"/>
      <c r="AD338" s="327"/>
      <c r="AF338" s="327"/>
    </row>
    <row r="339" spans="2:32" s="326" customFormat="1" ht="9.9499999999999993" customHeight="1" x14ac:dyDescent="0.2">
      <c r="B339" s="327"/>
      <c r="D339" s="327"/>
      <c r="F339" s="327"/>
      <c r="H339" s="327"/>
      <c r="J339" s="327"/>
      <c r="L339" s="327"/>
      <c r="N339" s="327"/>
      <c r="P339" s="327"/>
      <c r="R339" s="327"/>
      <c r="T339" s="327"/>
      <c r="V339" s="327"/>
      <c r="X339" s="327"/>
      <c r="Z339" s="327"/>
      <c r="AB339" s="327"/>
      <c r="AD339" s="327"/>
      <c r="AF339" s="327"/>
    </row>
    <row r="340" spans="2:32" s="326" customFormat="1" ht="9.9499999999999993" customHeight="1" x14ac:dyDescent="0.2">
      <c r="B340" s="327"/>
      <c r="D340" s="327"/>
      <c r="F340" s="327"/>
      <c r="H340" s="327"/>
      <c r="J340" s="327"/>
      <c r="L340" s="327"/>
      <c r="N340" s="327"/>
      <c r="P340" s="327"/>
      <c r="R340" s="327"/>
      <c r="T340" s="327"/>
      <c r="V340" s="327"/>
      <c r="X340" s="327"/>
      <c r="Z340" s="327"/>
      <c r="AB340" s="327"/>
      <c r="AD340" s="327"/>
      <c r="AF340" s="327"/>
    </row>
    <row r="341" spans="2:32" s="326" customFormat="1" ht="9.9499999999999993" customHeight="1" x14ac:dyDescent="0.2">
      <c r="B341" s="327"/>
      <c r="D341" s="327"/>
      <c r="F341" s="327"/>
      <c r="H341" s="327"/>
      <c r="J341" s="327"/>
      <c r="L341" s="327"/>
      <c r="N341" s="327"/>
      <c r="P341" s="327"/>
      <c r="R341" s="327"/>
      <c r="T341" s="327"/>
      <c r="V341" s="327"/>
      <c r="X341" s="327"/>
      <c r="Z341" s="327"/>
      <c r="AB341" s="327"/>
      <c r="AD341" s="327"/>
      <c r="AF341" s="327"/>
    </row>
    <row r="342" spans="2:32" s="326" customFormat="1" ht="9.9499999999999993" customHeight="1" x14ac:dyDescent="0.2">
      <c r="B342" s="327"/>
      <c r="D342" s="327"/>
      <c r="F342" s="327"/>
      <c r="H342" s="327"/>
      <c r="J342" s="327"/>
      <c r="L342" s="327"/>
      <c r="N342" s="327"/>
      <c r="P342" s="327"/>
      <c r="R342" s="327"/>
      <c r="T342" s="327"/>
      <c r="V342" s="327"/>
      <c r="X342" s="327"/>
      <c r="Z342" s="327"/>
      <c r="AB342" s="327"/>
      <c r="AD342" s="327"/>
      <c r="AF342" s="327"/>
    </row>
    <row r="343" spans="2:32" s="326" customFormat="1" ht="9.9499999999999993" customHeight="1" x14ac:dyDescent="0.2">
      <c r="B343" s="327"/>
      <c r="D343" s="327"/>
      <c r="F343" s="327"/>
      <c r="H343" s="327"/>
      <c r="J343" s="327"/>
      <c r="L343" s="327"/>
      <c r="N343" s="327"/>
      <c r="P343" s="327"/>
      <c r="R343" s="327"/>
      <c r="T343" s="327"/>
      <c r="V343" s="327"/>
      <c r="X343" s="327"/>
      <c r="Z343" s="327"/>
      <c r="AB343" s="327"/>
      <c r="AD343" s="327"/>
      <c r="AF343" s="327"/>
    </row>
    <row r="344" spans="2:32" s="326" customFormat="1" ht="9.9499999999999993" customHeight="1" x14ac:dyDescent="0.2">
      <c r="B344" s="327"/>
      <c r="D344" s="327"/>
      <c r="F344" s="327"/>
      <c r="H344" s="327"/>
      <c r="J344" s="327"/>
      <c r="L344" s="327"/>
      <c r="N344" s="327"/>
      <c r="P344" s="327"/>
      <c r="R344" s="327"/>
      <c r="T344" s="327"/>
      <c r="V344" s="327"/>
      <c r="X344" s="327"/>
      <c r="Z344" s="327"/>
      <c r="AB344" s="327"/>
      <c r="AD344" s="327"/>
      <c r="AF344" s="327"/>
    </row>
    <row r="345" spans="2:32" s="326" customFormat="1" ht="9.9499999999999993" customHeight="1" x14ac:dyDescent="0.2">
      <c r="B345" s="327"/>
      <c r="D345" s="327"/>
      <c r="F345" s="327"/>
      <c r="H345" s="327"/>
      <c r="J345" s="327"/>
      <c r="L345" s="327"/>
      <c r="N345" s="327"/>
      <c r="P345" s="327"/>
      <c r="R345" s="327"/>
      <c r="T345" s="327"/>
      <c r="V345" s="327"/>
      <c r="X345" s="327"/>
      <c r="Z345" s="327"/>
      <c r="AB345" s="327"/>
      <c r="AD345" s="327"/>
      <c r="AF345" s="327"/>
    </row>
    <row r="346" spans="2:32" s="326" customFormat="1" ht="9.9499999999999993" customHeight="1" x14ac:dyDescent="0.2">
      <c r="B346" s="327"/>
      <c r="D346" s="327"/>
      <c r="F346" s="327"/>
      <c r="H346" s="327"/>
      <c r="J346" s="327"/>
      <c r="L346" s="327"/>
      <c r="N346" s="327"/>
      <c r="P346" s="327"/>
      <c r="R346" s="327"/>
      <c r="T346" s="327"/>
      <c r="V346" s="327"/>
      <c r="X346" s="327"/>
      <c r="Z346" s="327"/>
      <c r="AB346" s="327"/>
      <c r="AD346" s="327"/>
      <c r="AF346" s="327"/>
    </row>
    <row r="347" spans="2:32" s="326" customFormat="1" ht="9.9499999999999993" customHeight="1" x14ac:dyDescent="0.2">
      <c r="B347" s="327"/>
      <c r="D347" s="327"/>
      <c r="F347" s="327"/>
      <c r="H347" s="327"/>
      <c r="J347" s="327"/>
      <c r="L347" s="327"/>
      <c r="N347" s="327"/>
      <c r="P347" s="327"/>
      <c r="R347" s="327"/>
      <c r="T347" s="327"/>
      <c r="V347" s="327"/>
      <c r="X347" s="327"/>
      <c r="Z347" s="327"/>
      <c r="AB347" s="327"/>
      <c r="AD347" s="327"/>
      <c r="AF347" s="327"/>
    </row>
    <row r="348" spans="2:32" s="326" customFormat="1" ht="9.9499999999999993" customHeight="1" x14ac:dyDescent="0.2">
      <c r="B348" s="327"/>
      <c r="D348" s="327"/>
      <c r="F348" s="327"/>
      <c r="H348" s="327"/>
      <c r="J348" s="327"/>
      <c r="L348" s="327"/>
      <c r="N348" s="327"/>
      <c r="P348" s="327"/>
      <c r="R348" s="327"/>
      <c r="T348" s="327"/>
      <c r="V348" s="327"/>
      <c r="X348" s="327"/>
      <c r="Z348" s="327"/>
      <c r="AB348" s="327"/>
      <c r="AD348" s="327"/>
      <c r="AF348" s="327"/>
    </row>
    <row r="349" spans="2:32" s="326" customFormat="1" ht="9.9499999999999993" customHeight="1" x14ac:dyDescent="0.2">
      <c r="B349" s="327"/>
      <c r="D349" s="327"/>
      <c r="F349" s="327"/>
      <c r="H349" s="327"/>
      <c r="J349" s="327"/>
      <c r="L349" s="327"/>
      <c r="N349" s="327"/>
      <c r="P349" s="327"/>
      <c r="R349" s="327"/>
      <c r="T349" s="327"/>
      <c r="V349" s="327"/>
      <c r="X349" s="327"/>
      <c r="Z349" s="327"/>
      <c r="AB349" s="327"/>
      <c r="AD349" s="327"/>
      <c r="AF349" s="327"/>
    </row>
    <row r="350" spans="2:32" s="326" customFormat="1" ht="9.9499999999999993" customHeight="1" x14ac:dyDescent="0.2">
      <c r="B350" s="327"/>
      <c r="D350" s="327"/>
      <c r="F350" s="327"/>
      <c r="H350" s="327"/>
      <c r="J350" s="327"/>
      <c r="L350" s="327"/>
      <c r="N350" s="327"/>
      <c r="P350" s="327"/>
      <c r="R350" s="327"/>
      <c r="T350" s="327"/>
      <c r="V350" s="327"/>
      <c r="X350" s="327"/>
      <c r="Z350" s="327"/>
      <c r="AB350" s="327"/>
      <c r="AD350" s="327"/>
      <c r="AF350" s="327"/>
    </row>
    <row r="351" spans="2:32" s="326" customFormat="1" ht="9.9499999999999993" customHeight="1" x14ac:dyDescent="0.2">
      <c r="B351" s="327"/>
      <c r="D351" s="327"/>
      <c r="F351" s="327"/>
      <c r="H351" s="327"/>
      <c r="J351" s="327"/>
      <c r="L351" s="327"/>
      <c r="N351" s="327"/>
      <c r="P351" s="327"/>
      <c r="R351" s="327"/>
      <c r="T351" s="327"/>
      <c r="V351" s="327"/>
      <c r="X351" s="327"/>
      <c r="Z351" s="327"/>
      <c r="AB351" s="327"/>
      <c r="AD351" s="327"/>
      <c r="AF351" s="327"/>
    </row>
    <row r="352" spans="2:32" s="326" customFormat="1" ht="9.9499999999999993" customHeight="1" x14ac:dyDescent="0.2">
      <c r="B352" s="327"/>
      <c r="D352" s="327"/>
      <c r="F352" s="327"/>
      <c r="H352" s="327"/>
      <c r="J352" s="327"/>
      <c r="L352" s="327"/>
      <c r="N352" s="327"/>
      <c r="P352" s="327"/>
      <c r="R352" s="327"/>
      <c r="T352" s="327"/>
      <c r="V352" s="327"/>
      <c r="X352" s="327"/>
      <c r="Z352" s="327"/>
      <c r="AB352" s="327"/>
      <c r="AD352" s="327"/>
      <c r="AF352" s="327"/>
    </row>
    <row r="353" spans="2:32" s="326" customFormat="1" ht="9.9499999999999993" customHeight="1" x14ac:dyDescent="0.2">
      <c r="B353" s="327"/>
      <c r="D353" s="327"/>
      <c r="F353" s="327"/>
      <c r="H353" s="327"/>
      <c r="J353" s="327"/>
      <c r="L353" s="327"/>
      <c r="N353" s="327"/>
      <c r="P353" s="327"/>
      <c r="R353" s="327"/>
      <c r="T353" s="327"/>
      <c r="V353" s="327"/>
      <c r="X353" s="327"/>
      <c r="Z353" s="327"/>
      <c r="AB353" s="327"/>
      <c r="AD353" s="327"/>
      <c r="AF353" s="327"/>
    </row>
    <row r="354" spans="2:32" s="326" customFormat="1" ht="9.9499999999999993" customHeight="1" x14ac:dyDescent="0.2">
      <c r="B354" s="327"/>
      <c r="D354" s="327"/>
      <c r="F354" s="327"/>
      <c r="H354" s="327"/>
      <c r="J354" s="327"/>
      <c r="L354" s="327"/>
      <c r="N354" s="327"/>
      <c r="P354" s="327"/>
      <c r="R354" s="327"/>
      <c r="T354" s="327"/>
      <c r="V354" s="327"/>
      <c r="X354" s="327"/>
      <c r="Z354" s="327"/>
      <c r="AB354" s="327"/>
      <c r="AD354" s="327"/>
      <c r="AF354" s="327"/>
    </row>
    <row r="355" spans="2:32" s="326" customFormat="1" ht="9.9499999999999993" customHeight="1" x14ac:dyDescent="0.2">
      <c r="B355" s="327"/>
      <c r="D355" s="327"/>
      <c r="F355" s="327"/>
      <c r="H355" s="327"/>
      <c r="J355" s="327"/>
      <c r="L355" s="327"/>
      <c r="N355" s="327"/>
      <c r="P355" s="327"/>
      <c r="R355" s="327"/>
      <c r="T355" s="327"/>
      <c r="V355" s="327"/>
      <c r="X355" s="327"/>
      <c r="Z355" s="327"/>
      <c r="AB355" s="327"/>
      <c r="AD355" s="327"/>
      <c r="AF355" s="327"/>
    </row>
    <row r="356" spans="2:32" s="326" customFormat="1" ht="9.9499999999999993" customHeight="1" x14ac:dyDescent="0.2">
      <c r="B356" s="327"/>
      <c r="D356" s="327"/>
      <c r="F356" s="327"/>
      <c r="H356" s="327"/>
      <c r="J356" s="327"/>
      <c r="L356" s="327"/>
      <c r="N356" s="327"/>
      <c r="P356" s="327"/>
      <c r="R356" s="327"/>
      <c r="T356" s="327"/>
      <c r="V356" s="327"/>
      <c r="X356" s="327"/>
      <c r="Z356" s="327"/>
      <c r="AB356" s="327"/>
      <c r="AD356" s="327"/>
      <c r="AF356" s="327"/>
    </row>
    <row r="357" spans="2:32" s="326" customFormat="1" ht="9.9499999999999993" customHeight="1" x14ac:dyDescent="0.2">
      <c r="B357" s="327"/>
      <c r="D357" s="327"/>
      <c r="F357" s="327"/>
      <c r="H357" s="327"/>
      <c r="J357" s="327"/>
      <c r="L357" s="327"/>
      <c r="N357" s="327"/>
      <c r="P357" s="327"/>
      <c r="R357" s="327"/>
      <c r="T357" s="327"/>
      <c r="V357" s="327"/>
      <c r="X357" s="327"/>
      <c r="Z357" s="327"/>
      <c r="AB357" s="327"/>
      <c r="AD357" s="327"/>
      <c r="AF357" s="327"/>
    </row>
    <row r="358" spans="2:32" s="326" customFormat="1" ht="9.9499999999999993" customHeight="1" x14ac:dyDescent="0.2">
      <c r="B358" s="327"/>
      <c r="D358" s="327"/>
      <c r="F358" s="327"/>
      <c r="H358" s="327"/>
      <c r="J358" s="327"/>
      <c r="L358" s="327"/>
      <c r="N358" s="327"/>
      <c r="P358" s="327"/>
      <c r="R358" s="327"/>
      <c r="T358" s="327"/>
      <c r="V358" s="327"/>
      <c r="X358" s="327"/>
      <c r="Z358" s="327"/>
      <c r="AB358" s="327"/>
      <c r="AD358" s="327"/>
      <c r="AF358" s="327"/>
    </row>
    <row r="359" spans="2:32" s="326" customFormat="1" ht="9.9499999999999993" customHeight="1" x14ac:dyDescent="0.2">
      <c r="B359" s="327"/>
      <c r="D359" s="327"/>
      <c r="F359" s="327"/>
      <c r="H359" s="327"/>
      <c r="J359" s="327"/>
      <c r="L359" s="327"/>
      <c r="N359" s="327"/>
      <c r="P359" s="327"/>
      <c r="R359" s="327"/>
      <c r="T359" s="327"/>
      <c r="V359" s="327"/>
      <c r="X359" s="327"/>
      <c r="Z359" s="327"/>
      <c r="AB359" s="327"/>
      <c r="AD359" s="327"/>
      <c r="AF359" s="327"/>
    </row>
    <row r="360" spans="2:32" s="326" customFormat="1" ht="9.9499999999999993" customHeight="1" x14ac:dyDescent="0.2">
      <c r="B360" s="327"/>
      <c r="D360" s="327"/>
      <c r="F360" s="327"/>
      <c r="H360" s="327"/>
      <c r="J360" s="327"/>
      <c r="L360" s="327"/>
      <c r="N360" s="327"/>
      <c r="P360" s="327"/>
      <c r="R360" s="327"/>
      <c r="T360" s="327"/>
      <c r="V360" s="327"/>
      <c r="X360" s="327"/>
      <c r="Z360" s="327"/>
      <c r="AB360" s="327"/>
      <c r="AD360" s="327"/>
      <c r="AF360" s="327"/>
    </row>
    <row r="361" spans="2:32" s="326" customFormat="1" ht="9.9499999999999993" customHeight="1" x14ac:dyDescent="0.2">
      <c r="B361" s="327"/>
      <c r="D361" s="327"/>
      <c r="F361" s="327"/>
      <c r="H361" s="327"/>
      <c r="J361" s="327"/>
      <c r="L361" s="327"/>
      <c r="N361" s="327"/>
      <c r="P361" s="327"/>
      <c r="R361" s="327"/>
      <c r="T361" s="327"/>
      <c r="V361" s="327"/>
      <c r="X361" s="327"/>
      <c r="Z361" s="327"/>
      <c r="AB361" s="327"/>
      <c r="AD361" s="327"/>
      <c r="AF361" s="327"/>
    </row>
    <row r="362" spans="2:32" s="326" customFormat="1" ht="9.9499999999999993" customHeight="1" x14ac:dyDescent="0.2">
      <c r="B362" s="327"/>
      <c r="D362" s="327"/>
      <c r="F362" s="327"/>
      <c r="H362" s="327"/>
      <c r="J362" s="327"/>
      <c r="L362" s="327"/>
      <c r="N362" s="327"/>
      <c r="P362" s="327"/>
      <c r="R362" s="327"/>
      <c r="T362" s="327"/>
      <c r="V362" s="327"/>
      <c r="X362" s="327"/>
      <c r="Z362" s="327"/>
      <c r="AB362" s="327"/>
      <c r="AD362" s="327"/>
      <c r="AF362" s="327"/>
    </row>
    <row r="363" spans="2:32" s="326" customFormat="1" ht="9.9499999999999993" customHeight="1" x14ac:dyDescent="0.2">
      <c r="B363" s="327"/>
      <c r="D363" s="327"/>
      <c r="F363" s="327"/>
      <c r="H363" s="327"/>
      <c r="J363" s="327"/>
      <c r="L363" s="327"/>
      <c r="N363" s="327"/>
      <c r="P363" s="327"/>
      <c r="R363" s="327"/>
      <c r="T363" s="327"/>
      <c r="V363" s="327"/>
      <c r="X363" s="327"/>
      <c r="Z363" s="327"/>
      <c r="AB363" s="327"/>
      <c r="AD363" s="327"/>
      <c r="AF363" s="327"/>
    </row>
    <row r="364" spans="2:32" s="326" customFormat="1" ht="9.9499999999999993" customHeight="1" x14ac:dyDescent="0.2">
      <c r="B364" s="327"/>
      <c r="D364" s="327"/>
      <c r="F364" s="327"/>
      <c r="H364" s="327"/>
      <c r="J364" s="327"/>
      <c r="L364" s="327"/>
      <c r="N364" s="327"/>
      <c r="P364" s="327"/>
      <c r="R364" s="327"/>
      <c r="T364" s="327"/>
      <c r="V364" s="327"/>
      <c r="X364" s="327"/>
      <c r="Z364" s="327"/>
      <c r="AB364" s="327"/>
      <c r="AD364" s="327"/>
      <c r="AF364" s="327"/>
    </row>
    <row r="365" spans="2:32" s="326" customFormat="1" ht="9.9499999999999993" customHeight="1" x14ac:dyDescent="0.2">
      <c r="B365" s="327"/>
      <c r="D365" s="327"/>
      <c r="F365" s="327"/>
      <c r="H365" s="327"/>
      <c r="J365" s="327"/>
      <c r="L365" s="327"/>
      <c r="N365" s="327"/>
      <c r="P365" s="327"/>
      <c r="R365" s="327"/>
      <c r="T365" s="327"/>
      <c r="V365" s="327"/>
      <c r="X365" s="327"/>
      <c r="Z365" s="327"/>
      <c r="AB365" s="327"/>
      <c r="AD365" s="327"/>
      <c r="AF365" s="327"/>
    </row>
    <row r="366" spans="2:32" s="326" customFormat="1" ht="9.9499999999999993" customHeight="1" x14ac:dyDescent="0.2">
      <c r="B366" s="327"/>
      <c r="D366" s="327"/>
      <c r="F366" s="327"/>
      <c r="H366" s="327"/>
      <c r="J366" s="327"/>
      <c r="L366" s="327"/>
      <c r="N366" s="327"/>
      <c r="P366" s="327"/>
      <c r="R366" s="327"/>
      <c r="T366" s="327"/>
      <c r="V366" s="327"/>
      <c r="X366" s="327"/>
      <c r="Z366" s="327"/>
      <c r="AB366" s="327"/>
      <c r="AD366" s="327"/>
      <c r="AF366" s="327"/>
    </row>
    <row r="367" spans="2:32" s="326" customFormat="1" ht="9.9499999999999993" customHeight="1" x14ac:dyDescent="0.2">
      <c r="B367" s="327"/>
      <c r="D367" s="327"/>
      <c r="F367" s="327"/>
      <c r="H367" s="327"/>
      <c r="J367" s="327"/>
      <c r="L367" s="327"/>
      <c r="N367" s="327"/>
      <c r="P367" s="327"/>
      <c r="R367" s="327"/>
      <c r="T367" s="327"/>
      <c r="V367" s="327"/>
      <c r="X367" s="327"/>
      <c r="Z367" s="327"/>
      <c r="AB367" s="327"/>
      <c r="AD367" s="327"/>
      <c r="AF367" s="327"/>
    </row>
    <row r="368" spans="2:32" s="326" customFormat="1" ht="9.9499999999999993" customHeight="1" x14ac:dyDescent="0.2">
      <c r="B368" s="327"/>
      <c r="D368" s="327"/>
      <c r="F368" s="327"/>
      <c r="H368" s="327"/>
      <c r="J368" s="327"/>
      <c r="L368" s="327"/>
      <c r="N368" s="327"/>
      <c r="P368" s="327"/>
      <c r="R368" s="327"/>
      <c r="T368" s="327"/>
      <c r="V368" s="327"/>
      <c r="X368" s="327"/>
      <c r="Z368" s="327"/>
      <c r="AB368" s="327"/>
      <c r="AD368" s="327"/>
      <c r="AF368" s="327"/>
    </row>
    <row r="369" spans="2:32" s="326" customFormat="1" ht="9.9499999999999993" customHeight="1" x14ac:dyDescent="0.2">
      <c r="B369" s="327"/>
      <c r="D369" s="327"/>
      <c r="F369" s="327"/>
      <c r="H369" s="327"/>
      <c r="J369" s="327"/>
      <c r="L369" s="327"/>
      <c r="N369" s="327"/>
      <c r="P369" s="327"/>
      <c r="R369" s="327"/>
      <c r="T369" s="327"/>
      <c r="V369" s="327"/>
      <c r="X369" s="327"/>
      <c r="Z369" s="327"/>
      <c r="AB369" s="327"/>
      <c r="AD369" s="327"/>
      <c r="AF369" s="327"/>
    </row>
    <row r="370" spans="2:32" s="326" customFormat="1" ht="9.9499999999999993" customHeight="1" x14ac:dyDescent="0.2">
      <c r="B370" s="327"/>
      <c r="D370" s="327"/>
      <c r="F370" s="327"/>
      <c r="H370" s="327"/>
      <c r="J370" s="327"/>
      <c r="L370" s="327"/>
      <c r="N370" s="327"/>
      <c r="P370" s="327"/>
      <c r="R370" s="327"/>
      <c r="T370" s="327"/>
      <c r="V370" s="327"/>
      <c r="X370" s="327"/>
      <c r="Z370" s="327"/>
      <c r="AB370" s="327"/>
      <c r="AD370" s="327"/>
      <c r="AF370" s="327"/>
    </row>
    <row r="371" spans="2:32" s="326" customFormat="1" ht="9.9499999999999993" customHeight="1" x14ac:dyDescent="0.2">
      <c r="B371" s="327"/>
      <c r="D371" s="327"/>
      <c r="F371" s="327"/>
      <c r="H371" s="327"/>
      <c r="J371" s="327"/>
      <c r="L371" s="327"/>
      <c r="N371" s="327"/>
      <c r="P371" s="327"/>
      <c r="R371" s="327"/>
      <c r="T371" s="327"/>
      <c r="V371" s="327"/>
      <c r="X371" s="327"/>
      <c r="Z371" s="327"/>
      <c r="AB371" s="327"/>
      <c r="AD371" s="327"/>
      <c r="AF371" s="327"/>
    </row>
    <row r="372" spans="2:32" s="326" customFormat="1" ht="9.9499999999999993" customHeight="1" x14ac:dyDescent="0.2">
      <c r="B372" s="327"/>
      <c r="D372" s="327"/>
      <c r="F372" s="327"/>
      <c r="H372" s="327"/>
      <c r="J372" s="327"/>
      <c r="L372" s="327"/>
      <c r="N372" s="327"/>
      <c r="P372" s="327"/>
      <c r="R372" s="327"/>
      <c r="T372" s="327"/>
      <c r="V372" s="327"/>
      <c r="X372" s="327"/>
      <c r="Z372" s="327"/>
      <c r="AB372" s="327"/>
      <c r="AD372" s="327"/>
      <c r="AF372" s="327"/>
    </row>
    <row r="373" spans="2:32" s="326" customFormat="1" ht="9.9499999999999993" customHeight="1" x14ac:dyDescent="0.2">
      <c r="B373" s="327"/>
      <c r="D373" s="327"/>
      <c r="F373" s="327"/>
      <c r="H373" s="327"/>
      <c r="J373" s="327"/>
      <c r="L373" s="327"/>
      <c r="N373" s="327"/>
      <c r="P373" s="327"/>
      <c r="R373" s="327"/>
      <c r="T373" s="327"/>
      <c r="V373" s="327"/>
      <c r="X373" s="327"/>
      <c r="Z373" s="327"/>
      <c r="AB373" s="327"/>
      <c r="AD373" s="327"/>
      <c r="AF373" s="327"/>
    </row>
    <row r="374" spans="2:32" s="326" customFormat="1" ht="9.9499999999999993" customHeight="1" x14ac:dyDescent="0.2">
      <c r="B374" s="327"/>
      <c r="D374" s="327"/>
      <c r="F374" s="327"/>
      <c r="H374" s="327"/>
      <c r="J374" s="327"/>
      <c r="L374" s="327"/>
      <c r="N374" s="327"/>
      <c r="P374" s="327"/>
      <c r="R374" s="327"/>
      <c r="T374" s="327"/>
      <c r="V374" s="327"/>
      <c r="X374" s="327"/>
      <c r="Z374" s="327"/>
      <c r="AB374" s="327"/>
      <c r="AD374" s="327"/>
      <c r="AF374" s="327"/>
    </row>
    <row r="375" spans="2:32" s="326" customFormat="1" ht="9.9499999999999993" customHeight="1" x14ac:dyDescent="0.2">
      <c r="B375" s="327"/>
      <c r="D375" s="327"/>
      <c r="F375" s="327"/>
      <c r="H375" s="327"/>
      <c r="J375" s="327"/>
      <c r="L375" s="327"/>
      <c r="N375" s="327"/>
      <c r="P375" s="327"/>
      <c r="R375" s="327"/>
      <c r="T375" s="327"/>
      <c r="V375" s="327"/>
      <c r="X375" s="327"/>
      <c r="Z375" s="327"/>
      <c r="AB375" s="327"/>
      <c r="AD375" s="327"/>
      <c r="AF375" s="327"/>
    </row>
    <row r="376" spans="2:32" s="326" customFormat="1" ht="9.9499999999999993" customHeight="1" x14ac:dyDescent="0.2">
      <c r="B376" s="327"/>
      <c r="D376" s="327"/>
      <c r="F376" s="327"/>
      <c r="H376" s="327"/>
      <c r="J376" s="327"/>
      <c r="L376" s="327"/>
      <c r="N376" s="327"/>
      <c r="P376" s="327"/>
      <c r="R376" s="327"/>
      <c r="T376" s="327"/>
      <c r="V376" s="327"/>
      <c r="X376" s="327"/>
      <c r="Z376" s="327"/>
      <c r="AB376" s="327"/>
      <c r="AD376" s="327"/>
      <c r="AF376" s="327"/>
    </row>
    <row r="377" spans="2:32" s="326" customFormat="1" ht="9.9499999999999993" customHeight="1" x14ac:dyDescent="0.2">
      <c r="B377" s="327"/>
      <c r="D377" s="327"/>
      <c r="F377" s="327"/>
      <c r="H377" s="327"/>
      <c r="J377" s="327"/>
      <c r="L377" s="327"/>
      <c r="N377" s="327"/>
      <c r="P377" s="327"/>
      <c r="R377" s="327"/>
      <c r="T377" s="327"/>
      <c r="V377" s="327"/>
      <c r="X377" s="327"/>
      <c r="Z377" s="327"/>
      <c r="AB377" s="327"/>
      <c r="AD377" s="327"/>
      <c r="AF377" s="327"/>
    </row>
    <row r="378" spans="2:32" s="326" customFormat="1" ht="9.9499999999999993" customHeight="1" x14ac:dyDescent="0.2">
      <c r="B378" s="327"/>
      <c r="D378" s="327"/>
      <c r="F378" s="327"/>
      <c r="H378" s="327"/>
      <c r="J378" s="327"/>
      <c r="L378" s="327"/>
      <c r="N378" s="327"/>
      <c r="P378" s="327"/>
      <c r="R378" s="327"/>
      <c r="T378" s="327"/>
      <c r="V378" s="327"/>
      <c r="X378" s="327"/>
      <c r="Z378" s="327"/>
      <c r="AB378" s="327"/>
      <c r="AD378" s="327"/>
      <c r="AF378" s="327"/>
    </row>
    <row r="379" spans="2:32" s="326" customFormat="1" ht="9.9499999999999993" customHeight="1" x14ac:dyDescent="0.2">
      <c r="B379" s="327"/>
      <c r="D379" s="327"/>
      <c r="F379" s="327"/>
      <c r="H379" s="327"/>
      <c r="J379" s="327"/>
      <c r="L379" s="327"/>
      <c r="N379" s="327"/>
      <c r="P379" s="327"/>
      <c r="R379" s="327"/>
      <c r="T379" s="327"/>
      <c r="V379" s="327"/>
      <c r="X379" s="327"/>
      <c r="Z379" s="327"/>
      <c r="AB379" s="327"/>
      <c r="AD379" s="327"/>
      <c r="AF379" s="327"/>
    </row>
    <row r="380" spans="2:32" s="326" customFormat="1" ht="9.9499999999999993" customHeight="1" x14ac:dyDescent="0.2">
      <c r="B380" s="327"/>
      <c r="D380" s="327"/>
      <c r="F380" s="327"/>
      <c r="H380" s="327"/>
      <c r="J380" s="327"/>
      <c r="L380" s="327"/>
      <c r="N380" s="327"/>
      <c r="P380" s="327"/>
      <c r="R380" s="327"/>
      <c r="T380" s="327"/>
      <c r="V380" s="327"/>
      <c r="X380" s="327"/>
      <c r="Z380" s="327"/>
      <c r="AB380" s="327"/>
      <c r="AD380" s="327"/>
      <c r="AF380" s="327"/>
    </row>
    <row r="381" spans="2:32" s="326" customFormat="1" ht="9.9499999999999993" customHeight="1" x14ac:dyDescent="0.2">
      <c r="B381" s="327"/>
      <c r="D381" s="327"/>
      <c r="F381" s="327"/>
      <c r="H381" s="327"/>
      <c r="J381" s="327"/>
      <c r="L381" s="327"/>
      <c r="N381" s="327"/>
      <c r="P381" s="327"/>
      <c r="R381" s="327"/>
      <c r="T381" s="327"/>
      <c r="V381" s="327"/>
      <c r="X381" s="327"/>
      <c r="Z381" s="327"/>
      <c r="AB381" s="327"/>
      <c r="AD381" s="327"/>
      <c r="AF381" s="327"/>
    </row>
    <row r="382" spans="2:32" s="326" customFormat="1" ht="9.9499999999999993" customHeight="1" x14ac:dyDescent="0.2">
      <c r="B382" s="327"/>
      <c r="D382" s="327"/>
      <c r="F382" s="327"/>
      <c r="H382" s="327"/>
      <c r="J382" s="327"/>
      <c r="L382" s="327"/>
      <c r="N382" s="327"/>
      <c r="P382" s="327"/>
      <c r="R382" s="327"/>
      <c r="T382" s="327"/>
      <c r="V382" s="327"/>
      <c r="X382" s="327"/>
      <c r="Z382" s="327"/>
      <c r="AB382" s="327"/>
      <c r="AD382" s="327"/>
      <c r="AF382" s="327"/>
    </row>
    <row r="383" spans="2:32" s="326" customFormat="1" ht="9.9499999999999993" customHeight="1" x14ac:dyDescent="0.2">
      <c r="B383" s="327"/>
      <c r="D383" s="327"/>
      <c r="F383" s="327"/>
      <c r="H383" s="327"/>
      <c r="J383" s="327"/>
      <c r="L383" s="327"/>
      <c r="N383" s="327"/>
      <c r="P383" s="327"/>
      <c r="R383" s="327"/>
      <c r="T383" s="327"/>
      <c r="V383" s="327"/>
      <c r="X383" s="327"/>
      <c r="Z383" s="327"/>
      <c r="AB383" s="327"/>
      <c r="AD383" s="327"/>
      <c r="AF383" s="327"/>
    </row>
    <row r="384" spans="2:32" s="326" customFormat="1" ht="9.9499999999999993" customHeight="1" x14ac:dyDescent="0.2">
      <c r="B384" s="327"/>
      <c r="D384" s="327"/>
      <c r="F384" s="327"/>
      <c r="H384" s="327"/>
      <c r="J384" s="327"/>
      <c r="L384" s="327"/>
      <c r="N384" s="327"/>
      <c r="P384" s="327"/>
      <c r="R384" s="327"/>
      <c r="T384" s="327"/>
      <c r="V384" s="327"/>
      <c r="X384" s="327"/>
      <c r="Z384" s="327"/>
      <c r="AB384" s="327"/>
      <c r="AD384" s="327"/>
      <c r="AF384" s="327"/>
    </row>
    <row r="385" spans="2:32" s="326" customFormat="1" ht="9.9499999999999993" customHeight="1" x14ac:dyDescent="0.2">
      <c r="B385" s="327"/>
      <c r="D385" s="327"/>
      <c r="F385" s="327"/>
      <c r="H385" s="327"/>
      <c r="J385" s="327"/>
      <c r="L385" s="327"/>
      <c r="N385" s="327"/>
      <c r="P385" s="327"/>
      <c r="R385" s="327"/>
      <c r="T385" s="327"/>
      <c r="V385" s="327"/>
      <c r="X385" s="327"/>
      <c r="Z385" s="327"/>
      <c r="AB385" s="327"/>
      <c r="AD385" s="327"/>
      <c r="AF385" s="327"/>
    </row>
    <row r="386" spans="2:32" s="326" customFormat="1" ht="9.9499999999999993" customHeight="1" x14ac:dyDescent="0.2">
      <c r="B386" s="327"/>
      <c r="D386" s="327"/>
      <c r="F386" s="327"/>
      <c r="H386" s="327"/>
      <c r="J386" s="327"/>
      <c r="L386" s="327"/>
      <c r="N386" s="327"/>
      <c r="P386" s="327"/>
      <c r="R386" s="327"/>
      <c r="T386" s="327"/>
      <c r="V386" s="327"/>
      <c r="X386" s="327"/>
      <c r="Z386" s="327"/>
      <c r="AB386" s="327"/>
      <c r="AD386" s="327"/>
      <c r="AF386" s="327"/>
    </row>
    <row r="387" spans="2:32" s="326" customFormat="1" ht="9.9499999999999993" customHeight="1" x14ac:dyDescent="0.2">
      <c r="B387" s="327"/>
      <c r="D387" s="327"/>
      <c r="F387" s="327"/>
      <c r="H387" s="327"/>
      <c r="J387" s="327"/>
      <c r="L387" s="327"/>
      <c r="N387" s="327"/>
      <c r="P387" s="327"/>
      <c r="R387" s="327"/>
      <c r="T387" s="327"/>
      <c r="V387" s="327"/>
      <c r="X387" s="327"/>
      <c r="Z387" s="327"/>
      <c r="AB387" s="327"/>
      <c r="AD387" s="327"/>
      <c r="AF387" s="327"/>
    </row>
    <row r="388" spans="2:32" s="326" customFormat="1" ht="9.9499999999999993" customHeight="1" x14ac:dyDescent="0.2">
      <c r="B388" s="327"/>
      <c r="D388" s="327"/>
      <c r="F388" s="327"/>
      <c r="H388" s="327"/>
      <c r="J388" s="327"/>
      <c r="L388" s="327"/>
      <c r="N388" s="327"/>
      <c r="P388" s="327"/>
      <c r="R388" s="327"/>
      <c r="T388" s="327"/>
      <c r="V388" s="327"/>
      <c r="X388" s="327"/>
      <c r="Z388" s="327"/>
      <c r="AB388" s="327"/>
      <c r="AD388" s="327"/>
      <c r="AF388" s="327"/>
    </row>
    <row r="389" spans="2:32" s="326" customFormat="1" ht="9.9499999999999993" customHeight="1" x14ac:dyDescent="0.2">
      <c r="B389" s="327"/>
      <c r="D389" s="327"/>
      <c r="F389" s="327"/>
      <c r="H389" s="327"/>
      <c r="J389" s="327"/>
      <c r="L389" s="327"/>
      <c r="N389" s="327"/>
      <c r="P389" s="327"/>
      <c r="R389" s="327"/>
      <c r="T389" s="327"/>
      <c r="V389" s="327"/>
      <c r="X389" s="327"/>
      <c r="Z389" s="327"/>
      <c r="AB389" s="327"/>
      <c r="AD389" s="327"/>
      <c r="AF389" s="327"/>
    </row>
    <row r="390" spans="2:32" s="326" customFormat="1" ht="9.9499999999999993" customHeight="1" x14ac:dyDescent="0.2">
      <c r="B390" s="327"/>
      <c r="D390" s="327"/>
      <c r="F390" s="327"/>
      <c r="H390" s="327"/>
      <c r="J390" s="327"/>
      <c r="L390" s="327"/>
      <c r="N390" s="327"/>
      <c r="P390" s="327"/>
      <c r="R390" s="327"/>
      <c r="T390" s="327"/>
      <c r="V390" s="327"/>
      <c r="X390" s="327"/>
      <c r="Z390" s="327"/>
      <c r="AB390" s="327"/>
      <c r="AD390" s="327"/>
      <c r="AF390" s="327"/>
    </row>
    <row r="391" spans="2:32" s="326" customFormat="1" ht="9.9499999999999993" customHeight="1" x14ac:dyDescent="0.2">
      <c r="B391" s="327"/>
      <c r="D391" s="327"/>
      <c r="F391" s="327"/>
      <c r="H391" s="327"/>
      <c r="J391" s="327"/>
      <c r="L391" s="327"/>
      <c r="N391" s="327"/>
      <c r="P391" s="327"/>
      <c r="R391" s="327"/>
      <c r="T391" s="327"/>
      <c r="V391" s="327"/>
      <c r="X391" s="327"/>
      <c r="Z391" s="327"/>
      <c r="AB391" s="327"/>
      <c r="AD391" s="327"/>
      <c r="AF391" s="327"/>
    </row>
    <row r="392" spans="2:32" s="326" customFormat="1" ht="9.9499999999999993" customHeight="1" x14ac:dyDescent="0.2">
      <c r="B392" s="327"/>
      <c r="D392" s="327"/>
      <c r="F392" s="327"/>
      <c r="H392" s="327"/>
      <c r="J392" s="327"/>
      <c r="L392" s="327"/>
      <c r="N392" s="327"/>
      <c r="P392" s="327"/>
      <c r="R392" s="327"/>
      <c r="T392" s="327"/>
      <c r="V392" s="327"/>
      <c r="X392" s="327"/>
      <c r="Z392" s="327"/>
      <c r="AB392" s="327"/>
      <c r="AD392" s="327"/>
      <c r="AF392" s="327"/>
    </row>
    <row r="393" spans="2:32" s="326" customFormat="1" ht="9.9499999999999993" customHeight="1" x14ac:dyDescent="0.2">
      <c r="B393" s="327"/>
      <c r="D393" s="327"/>
      <c r="F393" s="327"/>
      <c r="H393" s="327"/>
      <c r="J393" s="327"/>
      <c r="L393" s="327"/>
      <c r="N393" s="327"/>
      <c r="P393" s="327"/>
      <c r="R393" s="327"/>
      <c r="T393" s="327"/>
      <c r="V393" s="327"/>
      <c r="X393" s="327"/>
      <c r="Z393" s="327"/>
      <c r="AB393" s="327"/>
      <c r="AD393" s="327"/>
      <c r="AF393" s="327"/>
    </row>
    <row r="394" spans="2:32" s="326" customFormat="1" ht="9.9499999999999993" customHeight="1" x14ac:dyDescent="0.2">
      <c r="B394" s="327"/>
      <c r="D394" s="327"/>
      <c r="F394" s="327"/>
      <c r="H394" s="327"/>
      <c r="J394" s="327"/>
      <c r="L394" s="327"/>
      <c r="N394" s="327"/>
      <c r="P394" s="327"/>
      <c r="R394" s="327"/>
      <c r="T394" s="327"/>
      <c r="V394" s="327"/>
      <c r="X394" s="327"/>
      <c r="Z394" s="327"/>
      <c r="AB394" s="327"/>
      <c r="AD394" s="327"/>
      <c r="AF394" s="327"/>
    </row>
    <row r="395" spans="2:32" s="326" customFormat="1" ht="9.9499999999999993" customHeight="1" x14ac:dyDescent="0.2">
      <c r="B395" s="327"/>
      <c r="D395" s="327"/>
      <c r="F395" s="327"/>
      <c r="H395" s="327"/>
      <c r="J395" s="327"/>
      <c r="L395" s="327"/>
      <c r="N395" s="327"/>
      <c r="P395" s="327"/>
      <c r="R395" s="327"/>
      <c r="T395" s="327"/>
      <c r="V395" s="327"/>
      <c r="X395" s="327"/>
      <c r="Z395" s="327"/>
      <c r="AB395" s="327"/>
      <c r="AD395" s="327"/>
      <c r="AF395" s="327"/>
    </row>
    <row r="396" spans="2:32" s="326" customFormat="1" ht="9.9499999999999993" customHeight="1" x14ac:dyDescent="0.2">
      <c r="B396" s="327"/>
      <c r="D396" s="327"/>
      <c r="F396" s="327"/>
      <c r="H396" s="327"/>
      <c r="J396" s="327"/>
      <c r="L396" s="327"/>
      <c r="N396" s="327"/>
      <c r="P396" s="327"/>
      <c r="R396" s="327"/>
      <c r="T396" s="327"/>
      <c r="V396" s="327"/>
      <c r="X396" s="327"/>
      <c r="Z396" s="327"/>
      <c r="AB396" s="327"/>
      <c r="AD396" s="327"/>
      <c r="AF396" s="327"/>
    </row>
    <row r="397" spans="2:32" s="326" customFormat="1" ht="9.9499999999999993" customHeight="1" x14ac:dyDescent="0.2">
      <c r="B397" s="327"/>
      <c r="D397" s="327"/>
      <c r="F397" s="327"/>
      <c r="H397" s="327"/>
      <c r="J397" s="327"/>
      <c r="L397" s="327"/>
      <c r="N397" s="327"/>
      <c r="P397" s="327"/>
      <c r="R397" s="327"/>
      <c r="T397" s="327"/>
      <c r="V397" s="327"/>
      <c r="X397" s="327"/>
      <c r="Z397" s="327"/>
      <c r="AB397" s="327"/>
      <c r="AD397" s="327"/>
      <c r="AF397" s="327"/>
    </row>
    <row r="398" spans="2:32" s="326" customFormat="1" ht="9.9499999999999993" customHeight="1" x14ac:dyDescent="0.2">
      <c r="B398" s="327"/>
      <c r="D398" s="327"/>
      <c r="F398" s="327"/>
      <c r="H398" s="327"/>
      <c r="J398" s="327"/>
      <c r="L398" s="327"/>
      <c r="N398" s="327"/>
      <c r="P398" s="327"/>
      <c r="R398" s="327"/>
      <c r="T398" s="327"/>
      <c r="V398" s="327"/>
      <c r="X398" s="327"/>
      <c r="Z398" s="327"/>
      <c r="AB398" s="327"/>
      <c r="AD398" s="327"/>
      <c r="AF398" s="327"/>
    </row>
    <row r="399" spans="2:32" s="326" customFormat="1" ht="9.9499999999999993" customHeight="1" x14ac:dyDescent="0.2">
      <c r="B399" s="327"/>
      <c r="D399" s="327"/>
      <c r="F399" s="327"/>
      <c r="H399" s="327"/>
      <c r="J399" s="327"/>
      <c r="L399" s="327"/>
      <c r="N399" s="327"/>
      <c r="P399" s="327"/>
      <c r="R399" s="327"/>
      <c r="T399" s="327"/>
      <c r="V399" s="327"/>
      <c r="X399" s="327"/>
      <c r="Z399" s="327"/>
      <c r="AB399" s="327"/>
      <c r="AD399" s="327"/>
      <c r="AF399" s="327"/>
    </row>
    <row r="400" spans="2:32" s="326" customFormat="1" ht="9.9499999999999993" customHeight="1" x14ac:dyDescent="0.2">
      <c r="B400" s="327"/>
      <c r="D400" s="327"/>
      <c r="F400" s="327"/>
      <c r="H400" s="327"/>
      <c r="J400" s="327"/>
      <c r="L400" s="327"/>
      <c r="N400" s="327"/>
      <c r="P400" s="327"/>
      <c r="R400" s="327"/>
      <c r="T400" s="327"/>
      <c r="V400" s="327"/>
      <c r="X400" s="327"/>
      <c r="Z400" s="327"/>
      <c r="AB400" s="327"/>
      <c r="AD400" s="327"/>
      <c r="AF400" s="327"/>
    </row>
    <row r="401" spans="2:32" s="326" customFormat="1" ht="9.9499999999999993" customHeight="1" x14ac:dyDescent="0.2">
      <c r="B401" s="327"/>
      <c r="D401" s="327"/>
      <c r="F401" s="327"/>
      <c r="H401" s="327"/>
      <c r="J401" s="327"/>
      <c r="L401" s="327"/>
      <c r="N401" s="327"/>
      <c r="P401" s="327"/>
      <c r="R401" s="327"/>
      <c r="T401" s="327"/>
      <c r="V401" s="327"/>
      <c r="X401" s="327"/>
      <c r="Z401" s="327"/>
      <c r="AB401" s="327"/>
      <c r="AD401" s="327"/>
      <c r="AF401" s="327"/>
    </row>
    <row r="402" spans="2:32" s="326" customFormat="1" ht="9.9499999999999993" customHeight="1" x14ac:dyDescent="0.2">
      <c r="B402" s="327"/>
      <c r="D402" s="327"/>
      <c r="F402" s="327"/>
      <c r="H402" s="327"/>
      <c r="J402" s="327"/>
      <c r="L402" s="327"/>
      <c r="N402" s="327"/>
      <c r="P402" s="327"/>
      <c r="R402" s="327"/>
      <c r="T402" s="327"/>
      <c r="V402" s="327"/>
      <c r="X402" s="327"/>
      <c r="Z402" s="327"/>
      <c r="AB402" s="327"/>
      <c r="AD402" s="327"/>
      <c r="AF402" s="327"/>
    </row>
    <row r="403" spans="2:32" s="326" customFormat="1" ht="9.9499999999999993" customHeight="1" x14ac:dyDescent="0.2">
      <c r="B403" s="327"/>
      <c r="D403" s="327"/>
      <c r="F403" s="327"/>
      <c r="H403" s="327"/>
      <c r="J403" s="327"/>
      <c r="L403" s="327"/>
      <c r="N403" s="327"/>
      <c r="P403" s="327"/>
      <c r="R403" s="327"/>
      <c r="T403" s="327"/>
      <c r="V403" s="327"/>
      <c r="X403" s="327"/>
      <c r="Z403" s="327"/>
      <c r="AB403" s="327"/>
      <c r="AD403" s="327"/>
      <c r="AF403" s="327"/>
    </row>
    <row r="404" spans="2:32" s="326" customFormat="1" ht="9.9499999999999993" customHeight="1" x14ac:dyDescent="0.2">
      <c r="B404" s="327"/>
      <c r="D404" s="327"/>
      <c r="F404" s="327"/>
      <c r="H404" s="327"/>
      <c r="J404" s="327"/>
      <c r="L404" s="327"/>
      <c r="N404" s="327"/>
      <c r="P404" s="327"/>
      <c r="R404" s="327"/>
      <c r="T404" s="327"/>
      <c r="V404" s="327"/>
      <c r="X404" s="327"/>
      <c r="Z404" s="327"/>
      <c r="AB404" s="327"/>
      <c r="AD404" s="327"/>
      <c r="AF404" s="327"/>
    </row>
    <row r="405" spans="2:32" s="326" customFormat="1" ht="9.9499999999999993" customHeight="1" x14ac:dyDescent="0.2">
      <c r="B405" s="327"/>
      <c r="D405" s="327"/>
      <c r="F405" s="327"/>
      <c r="H405" s="327"/>
      <c r="J405" s="327"/>
      <c r="L405" s="327"/>
      <c r="N405" s="327"/>
      <c r="P405" s="327"/>
      <c r="R405" s="327"/>
      <c r="T405" s="327"/>
      <c r="V405" s="327"/>
      <c r="X405" s="327"/>
      <c r="Z405" s="327"/>
      <c r="AB405" s="327"/>
      <c r="AD405" s="327"/>
      <c r="AF405" s="327"/>
    </row>
    <row r="406" spans="2:32" s="326" customFormat="1" ht="9.9499999999999993" customHeight="1" x14ac:dyDescent="0.2">
      <c r="B406" s="327"/>
      <c r="D406" s="327"/>
      <c r="F406" s="327"/>
      <c r="H406" s="327"/>
      <c r="J406" s="327"/>
      <c r="L406" s="327"/>
      <c r="N406" s="327"/>
      <c r="P406" s="327"/>
      <c r="R406" s="327"/>
      <c r="T406" s="327"/>
      <c r="V406" s="327"/>
      <c r="X406" s="327"/>
      <c r="Z406" s="327"/>
      <c r="AB406" s="327"/>
      <c r="AD406" s="327"/>
      <c r="AF406" s="327"/>
    </row>
    <row r="407" spans="2:32" s="326" customFormat="1" ht="9.9499999999999993" customHeight="1" x14ac:dyDescent="0.2">
      <c r="B407" s="327"/>
      <c r="D407" s="327"/>
      <c r="F407" s="327"/>
      <c r="H407" s="327"/>
      <c r="J407" s="327"/>
      <c r="L407" s="327"/>
      <c r="N407" s="327"/>
      <c r="P407" s="327"/>
      <c r="R407" s="327"/>
      <c r="T407" s="327"/>
      <c r="V407" s="327"/>
      <c r="X407" s="327"/>
      <c r="Z407" s="327"/>
      <c r="AB407" s="327"/>
      <c r="AD407" s="327"/>
      <c r="AF407" s="327"/>
    </row>
    <row r="408" spans="2:32" s="326" customFormat="1" ht="9.9499999999999993" customHeight="1" x14ac:dyDescent="0.2">
      <c r="B408" s="327"/>
      <c r="D408" s="327"/>
      <c r="F408" s="327"/>
      <c r="H408" s="327"/>
      <c r="J408" s="327"/>
      <c r="L408" s="327"/>
      <c r="N408" s="327"/>
      <c r="P408" s="327"/>
      <c r="R408" s="327"/>
      <c r="T408" s="327"/>
      <c r="V408" s="327"/>
      <c r="X408" s="327"/>
      <c r="Z408" s="327"/>
      <c r="AB408" s="327"/>
      <c r="AD408" s="327"/>
      <c r="AF408" s="327"/>
    </row>
    <row r="409" spans="2:32" s="326" customFormat="1" ht="9.9499999999999993" customHeight="1" x14ac:dyDescent="0.2">
      <c r="B409" s="327"/>
      <c r="D409" s="327"/>
      <c r="F409" s="327"/>
      <c r="H409" s="327"/>
      <c r="J409" s="327"/>
      <c r="L409" s="327"/>
      <c r="N409" s="327"/>
      <c r="P409" s="327"/>
      <c r="R409" s="327"/>
      <c r="T409" s="327"/>
      <c r="V409" s="327"/>
      <c r="X409" s="327"/>
      <c r="Z409" s="327"/>
      <c r="AB409" s="327"/>
      <c r="AD409" s="327"/>
      <c r="AF409" s="327"/>
    </row>
    <row r="410" spans="2:32" s="326" customFormat="1" ht="9.9499999999999993" customHeight="1" x14ac:dyDescent="0.2">
      <c r="B410" s="327"/>
      <c r="D410" s="327"/>
      <c r="F410" s="327"/>
      <c r="H410" s="327"/>
      <c r="J410" s="327"/>
      <c r="L410" s="327"/>
      <c r="N410" s="327"/>
      <c r="P410" s="327"/>
      <c r="R410" s="327"/>
      <c r="T410" s="327"/>
      <c r="V410" s="327"/>
      <c r="X410" s="327"/>
      <c r="Z410" s="327"/>
      <c r="AB410" s="327"/>
      <c r="AD410" s="327"/>
      <c r="AF410" s="327"/>
    </row>
    <row r="411" spans="2:32" s="326" customFormat="1" ht="9.9499999999999993" customHeight="1" x14ac:dyDescent="0.2">
      <c r="B411" s="327"/>
      <c r="D411" s="327"/>
      <c r="F411" s="327"/>
      <c r="H411" s="327"/>
      <c r="J411" s="327"/>
      <c r="L411" s="327"/>
      <c r="N411" s="327"/>
      <c r="P411" s="327"/>
      <c r="R411" s="327"/>
      <c r="T411" s="327"/>
      <c r="V411" s="327"/>
      <c r="X411" s="327"/>
      <c r="Z411" s="327"/>
      <c r="AB411" s="327"/>
      <c r="AD411" s="327"/>
      <c r="AF411" s="327"/>
    </row>
    <row r="412" spans="2:32" s="326" customFormat="1" ht="9.9499999999999993" customHeight="1" x14ac:dyDescent="0.2">
      <c r="B412" s="327"/>
      <c r="D412" s="327"/>
      <c r="F412" s="327"/>
      <c r="H412" s="327"/>
      <c r="J412" s="327"/>
      <c r="L412" s="327"/>
      <c r="N412" s="327"/>
      <c r="P412" s="327"/>
      <c r="R412" s="327"/>
      <c r="T412" s="327"/>
      <c r="V412" s="327"/>
      <c r="X412" s="327"/>
      <c r="Z412" s="327"/>
      <c r="AB412" s="327"/>
      <c r="AD412" s="327"/>
      <c r="AF412" s="327"/>
    </row>
    <row r="413" spans="2:32" s="326" customFormat="1" ht="9.9499999999999993" customHeight="1" x14ac:dyDescent="0.2">
      <c r="B413" s="327"/>
      <c r="D413" s="327"/>
      <c r="F413" s="327"/>
      <c r="H413" s="327"/>
      <c r="J413" s="327"/>
      <c r="L413" s="327"/>
      <c r="N413" s="327"/>
      <c r="P413" s="327"/>
      <c r="R413" s="327"/>
      <c r="T413" s="327"/>
      <c r="V413" s="327"/>
      <c r="X413" s="327"/>
      <c r="Z413" s="327"/>
      <c r="AB413" s="327"/>
      <c r="AD413" s="327"/>
      <c r="AF413" s="327"/>
    </row>
    <row r="414" spans="2:32" s="326" customFormat="1" ht="9.9499999999999993" customHeight="1" x14ac:dyDescent="0.2">
      <c r="B414" s="327"/>
      <c r="D414" s="327"/>
      <c r="F414" s="327"/>
      <c r="H414" s="327"/>
      <c r="J414" s="327"/>
      <c r="L414" s="327"/>
      <c r="N414" s="327"/>
      <c r="P414" s="327"/>
      <c r="R414" s="327"/>
      <c r="T414" s="327"/>
      <c r="V414" s="327"/>
      <c r="X414" s="327"/>
      <c r="Z414" s="327"/>
      <c r="AB414" s="327"/>
      <c r="AD414" s="327"/>
      <c r="AF414" s="327"/>
    </row>
    <row r="415" spans="2:32" s="326" customFormat="1" ht="9.9499999999999993" customHeight="1" x14ac:dyDescent="0.2">
      <c r="B415" s="327"/>
      <c r="D415" s="327"/>
      <c r="F415" s="327"/>
      <c r="H415" s="327"/>
      <c r="J415" s="327"/>
      <c r="L415" s="327"/>
      <c r="N415" s="327"/>
      <c r="P415" s="327"/>
      <c r="R415" s="327"/>
      <c r="T415" s="327"/>
      <c r="V415" s="327"/>
      <c r="X415" s="327"/>
      <c r="Z415" s="327"/>
      <c r="AB415" s="327"/>
      <c r="AD415" s="327"/>
      <c r="AF415" s="327"/>
    </row>
    <row r="416" spans="2:32" s="326" customFormat="1" ht="9.9499999999999993" customHeight="1" x14ac:dyDescent="0.2">
      <c r="B416" s="327"/>
      <c r="D416" s="327"/>
      <c r="F416" s="327"/>
      <c r="H416" s="327"/>
      <c r="J416" s="327"/>
      <c r="L416" s="327"/>
      <c r="N416" s="327"/>
      <c r="P416" s="327"/>
      <c r="R416" s="327"/>
      <c r="T416" s="327"/>
      <c r="V416" s="327"/>
      <c r="X416" s="327"/>
      <c r="Z416" s="327"/>
      <c r="AB416" s="327"/>
      <c r="AD416" s="327"/>
      <c r="AF416" s="327"/>
    </row>
    <row r="417" spans="2:32" s="326" customFormat="1" ht="9.9499999999999993" customHeight="1" x14ac:dyDescent="0.2">
      <c r="B417" s="327"/>
      <c r="D417" s="327"/>
      <c r="F417" s="327"/>
      <c r="H417" s="327"/>
      <c r="J417" s="327"/>
      <c r="L417" s="327"/>
      <c r="N417" s="327"/>
      <c r="P417" s="327"/>
      <c r="R417" s="327"/>
      <c r="T417" s="327"/>
      <c r="V417" s="327"/>
      <c r="X417" s="327"/>
      <c r="Z417" s="327"/>
      <c r="AB417" s="327"/>
      <c r="AD417" s="327"/>
      <c r="AF417" s="327"/>
    </row>
    <row r="418" spans="2:32" s="326" customFormat="1" ht="9.9499999999999993" customHeight="1" x14ac:dyDescent="0.2">
      <c r="B418" s="327"/>
      <c r="D418" s="327"/>
      <c r="F418" s="327"/>
      <c r="H418" s="327"/>
      <c r="J418" s="327"/>
      <c r="L418" s="327"/>
      <c r="N418" s="327"/>
      <c r="P418" s="327"/>
      <c r="R418" s="327"/>
      <c r="T418" s="327"/>
      <c r="V418" s="327"/>
      <c r="X418" s="327"/>
      <c r="Z418" s="327"/>
      <c r="AB418" s="327"/>
      <c r="AD418" s="327"/>
      <c r="AF418" s="327"/>
    </row>
    <row r="419" spans="2:32" s="326" customFormat="1" ht="9.9499999999999993" customHeight="1" x14ac:dyDescent="0.2">
      <c r="B419" s="327"/>
      <c r="D419" s="327"/>
      <c r="F419" s="327"/>
      <c r="H419" s="327"/>
      <c r="J419" s="327"/>
      <c r="L419" s="327"/>
      <c r="N419" s="327"/>
      <c r="P419" s="327"/>
      <c r="R419" s="327"/>
      <c r="T419" s="327"/>
      <c r="V419" s="327"/>
      <c r="X419" s="327"/>
      <c r="Z419" s="327"/>
      <c r="AB419" s="327"/>
      <c r="AD419" s="327"/>
      <c r="AF419" s="327"/>
    </row>
    <row r="420" spans="2:32" s="326" customFormat="1" ht="9.9499999999999993" customHeight="1" x14ac:dyDescent="0.2">
      <c r="B420" s="327"/>
      <c r="D420" s="327"/>
      <c r="F420" s="327"/>
      <c r="H420" s="327"/>
      <c r="J420" s="327"/>
      <c r="L420" s="327"/>
      <c r="N420" s="327"/>
      <c r="P420" s="327"/>
      <c r="R420" s="327"/>
      <c r="T420" s="327"/>
      <c r="V420" s="327"/>
      <c r="X420" s="327"/>
      <c r="Z420" s="327"/>
      <c r="AB420" s="327"/>
      <c r="AD420" s="327"/>
      <c r="AF420" s="327"/>
    </row>
    <row r="421" spans="2:32" s="326" customFormat="1" ht="9.9499999999999993" customHeight="1" x14ac:dyDescent="0.2">
      <c r="B421" s="327"/>
      <c r="D421" s="327"/>
      <c r="F421" s="327"/>
      <c r="H421" s="327"/>
      <c r="J421" s="327"/>
      <c r="L421" s="327"/>
      <c r="N421" s="327"/>
      <c r="P421" s="327"/>
      <c r="R421" s="327"/>
      <c r="T421" s="327"/>
      <c r="V421" s="327"/>
      <c r="X421" s="327"/>
      <c r="Z421" s="327"/>
      <c r="AB421" s="327"/>
      <c r="AD421" s="327"/>
      <c r="AF421" s="327"/>
    </row>
    <row r="422" spans="2:32" s="326" customFormat="1" ht="9.9499999999999993" customHeight="1" x14ac:dyDescent="0.2">
      <c r="B422" s="327"/>
      <c r="D422" s="327"/>
      <c r="F422" s="327"/>
      <c r="H422" s="327"/>
      <c r="J422" s="327"/>
      <c r="L422" s="327"/>
      <c r="N422" s="327"/>
      <c r="P422" s="327"/>
      <c r="R422" s="327"/>
      <c r="T422" s="327"/>
      <c r="V422" s="327"/>
      <c r="X422" s="327"/>
      <c r="Z422" s="327"/>
      <c r="AB422" s="327"/>
      <c r="AD422" s="327"/>
      <c r="AF422" s="327"/>
    </row>
    <row r="423" spans="2:32" s="326" customFormat="1" ht="9.9499999999999993" customHeight="1" x14ac:dyDescent="0.2">
      <c r="B423" s="327"/>
      <c r="D423" s="327"/>
      <c r="F423" s="327"/>
      <c r="H423" s="327"/>
      <c r="J423" s="327"/>
      <c r="L423" s="327"/>
      <c r="N423" s="327"/>
      <c r="P423" s="327"/>
      <c r="R423" s="327"/>
      <c r="T423" s="327"/>
      <c r="V423" s="327"/>
      <c r="X423" s="327"/>
      <c r="Z423" s="327"/>
      <c r="AB423" s="327"/>
      <c r="AD423" s="327"/>
      <c r="AF423" s="327"/>
    </row>
    <row r="424" spans="2:32" s="326" customFormat="1" ht="9.9499999999999993" customHeight="1" x14ac:dyDescent="0.2">
      <c r="B424" s="327"/>
      <c r="D424" s="327"/>
      <c r="F424" s="327"/>
      <c r="H424" s="327"/>
      <c r="J424" s="327"/>
      <c r="L424" s="327"/>
      <c r="N424" s="327"/>
      <c r="P424" s="327"/>
      <c r="R424" s="327"/>
      <c r="T424" s="327"/>
      <c r="V424" s="327"/>
      <c r="X424" s="327"/>
      <c r="Z424" s="327"/>
      <c r="AB424" s="327"/>
      <c r="AD424" s="327"/>
      <c r="AF424" s="327"/>
    </row>
    <row r="425" spans="2:32" s="326" customFormat="1" ht="9.9499999999999993" customHeight="1" x14ac:dyDescent="0.2">
      <c r="B425" s="327"/>
      <c r="D425" s="327"/>
      <c r="F425" s="327"/>
      <c r="H425" s="327"/>
      <c r="J425" s="327"/>
      <c r="L425" s="327"/>
      <c r="N425" s="327"/>
      <c r="P425" s="327"/>
      <c r="R425" s="327"/>
      <c r="T425" s="327"/>
      <c r="V425" s="327"/>
      <c r="X425" s="327"/>
      <c r="Z425" s="327"/>
      <c r="AB425" s="327"/>
      <c r="AD425" s="327"/>
      <c r="AF425" s="327"/>
    </row>
    <row r="426" spans="2:32" s="326" customFormat="1" ht="9.9499999999999993" customHeight="1" x14ac:dyDescent="0.2">
      <c r="B426" s="327"/>
      <c r="D426" s="327"/>
      <c r="F426" s="327"/>
      <c r="H426" s="327"/>
      <c r="J426" s="327"/>
      <c r="L426" s="327"/>
      <c r="N426" s="327"/>
      <c r="P426" s="327"/>
      <c r="R426" s="327"/>
      <c r="T426" s="327"/>
      <c r="V426" s="327"/>
      <c r="X426" s="327"/>
      <c r="Z426" s="327"/>
      <c r="AB426" s="327"/>
      <c r="AD426" s="327"/>
      <c r="AF426" s="327"/>
    </row>
    <row r="427" spans="2:32" s="326" customFormat="1" ht="9.9499999999999993" customHeight="1" x14ac:dyDescent="0.2">
      <c r="B427" s="327"/>
      <c r="D427" s="327"/>
      <c r="F427" s="327"/>
      <c r="H427" s="327"/>
      <c r="J427" s="327"/>
      <c r="L427" s="327"/>
      <c r="N427" s="327"/>
      <c r="P427" s="327"/>
      <c r="R427" s="327"/>
      <c r="T427" s="327"/>
      <c r="V427" s="327"/>
      <c r="X427" s="327"/>
      <c r="Z427" s="327"/>
      <c r="AB427" s="327"/>
      <c r="AD427" s="327"/>
      <c r="AF427" s="327"/>
    </row>
    <row r="428" spans="2:32" s="326" customFormat="1" ht="9.9499999999999993" customHeight="1" x14ac:dyDescent="0.2">
      <c r="B428" s="327"/>
      <c r="D428" s="327"/>
      <c r="F428" s="327"/>
      <c r="H428" s="327"/>
      <c r="J428" s="327"/>
      <c r="L428" s="327"/>
      <c r="N428" s="327"/>
      <c r="P428" s="327"/>
      <c r="R428" s="327"/>
      <c r="T428" s="327"/>
      <c r="V428" s="327"/>
      <c r="X428" s="327"/>
      <c r="Z428" s="327"/>
      <c r="AB428" s="327"/>
      <c r="AD428" s="327"/>
      <c r="AF428" s="327"/>
    </row>
    <row r="429" spans="2:32" s="326" customFormat="1" ht="9.9499999999999993" customHeight="1" x14ac:dyDescent="0.2">
      <c r="B429" s="327"/>
      <c r="D429" s="327"/>
      <c r="F429" s="327"/>
      <c r="H429" s="327"/>
      <c r="J429" s="327"/>
      <c r="L429" s="327"/>
      <c r="N429" s="327"/>
      <c r="P429" s="327"/>
      <c r="R429" s="327"/>
      <c r="T429" s="327"/>
      <c r="V429" s="327"/>
      <c r="X429" s="327"/>
      <c r="Z429" s="327"/>
      <c r="AB429" s="327"/>
      <c r="AD429" s="327"/>
      <c r="AF429" s="327"/>
    </row>
    <row r="430" spans="2:32" s="326" customFormat="1" ht="9.9499999999999993" customHeight="1" x14ac:dyDescent="0.2">
      <c r="B430" s="327"/>
      <c r="D430" s="327"/>
      <c r="F430" s="327"/>
      <c r="H430" s="327"/>
      <c r="J430" s="327"/>
      <c r="L430" s="327"/>
      <c r="N430" s="327"/>
      <c r="P430" s="327"/>
      <c r="R430" s="327"/>
      <c r="T430" s="327"/>
      <c r="V430" s="327"/>
      <c r="X430" s="327"/>
      <c r="Z430" s="327"/>
      <c r="AB430" s="327"/>
      <c r="AD430" s="327"/>
      <c r="AF430" s="327"/>
    </row>
    <row r="431" spans="2:32" s="326" customFormat="1" ht="9.9499999999999993" customHeight="1" x14ac:dyDescent="0.2">
      <c r="B431" s="327"/>
      <c r="D431" s="327"/>
      <c r="F431" s="327"/>
      <c r="H431" s="327"/>
      <c r="J431" s="327"/>
      <c r="L431" s="327"/>
      <c r="N431" s="327"/>
      <c r="P431" s="327"/>
      <c r="R431" s="327"/>
      <c r="T431" s="327"/>
      <c r="V431" s="327"/>
      <c r="X431" s="327"/>
      <c r="Z431" s="327"/>
      <c r="AB431" s="327"/>
      <c r="AD431" s="327"/>
      <c r="AF431" s="327"/>
    </row>
    <row r="432" spans="2:32" s="326" customFormat="1" ht="9.9499999999999993" customHeight="1" x14ac:dyDescent="0.2">
      <c r="B432" s="327"/>
      <c r="D432" s="327"/>
      <c r="F432" s="327"/>
      <c r="H432" s="327"/>
      <c r="J432" s="327"/>
      <c r="L432" s="327"/>
      <c r="N432" s="327"/>
      <c r="P432" s="327"/>
      <c r="R432" s="327"/>
      <c r="T432" s="327"/>
      <c r="V432" s="327"/>
      <c r="X432" s="327"/>
      <c r="Z432" s="327"/>
      <c r="AB432" s="327"/>
      <c r="AD432" s="327"/>
      <c r="AF432" s="327"/>
    </row>
    <row r="433" spans="2:32" s="326" customFormat="1" ht="9.9499999999999993" customHeight="1" x14ac:dyDescent="0.2">
      <c r="B433" s="327"/>
      <c r="D433" s="327"/>
      <c r="F433" s="327"/>
      <c r="H433" s="327"/>
      <c r="J433" s="327"/>
      <c r="L433" s="327"/>
      <c r="N433" s="327"/>
      <c r="P433" s="327"/>
      <c r="R433" s="327"/>
      <c r="T433" s="327"/>
      <c r="V433" s="327"/>
      <c r="X433" s="327"/>
      <c r="Z433" s="327"/>
      <c r="AB433" s="327"/>
      <c r="AD433" s="327"/>
      <c r="AF433" s="327"/>
    </row>
    <row r="434" spans="2:32" s="326" customFormat="1" ht="9.9499999999999993" customHeight="1" x14ac:dyDescent="0.2">
      <c r="B434" s="327"/>
      <c r="D434" s="327"/>
      <c r="F434" s="327"/>
      <c r="H434" s="327"/>
      <c r="J434" s="327"/>
      <c r="L434" s="327"/>
      <c r="N434" s="327"/>
      <c r="P434" s="327"/>
      <c r="R434" s="327"/>
      <c r="T434" s="327"/>
      <c r="V434" s="327"/>
      <c r="X434" s="327"/>
      <c r="Z434" s="327"/>
      <c r="AB434" s="327"/>
      <c r="AD434" s="327"/>
      <c r="AF434" s="327"/>
    </row>
    <row r="435" spans="2:32" s="326" customFormat="1" ht="9.9499999999999993" customHeight="1" x14ac:dyDescent="0.2">
      <c r="B435" s="327"/>
      <c r="D435" s="327"/>
      <c r="F435" s="327"/>
      <c r="H435" s="327"/>
      <c r="J435" s="327"/>
      <c r="L435" s="327"/>
      <c r="N435" s="327"/>
      <c r="P435" s="327"/>
      <c r="R435" s="327"/>
      <c r="T435" s="327"/>
      <c r="V435" s="327"/>
      <c r="X435" s="327"/>
      <c r="Z435" s="327"/>
      <c r="AB435" s="327"/>
      <c r="AD435" s="327"/>
      <c r="AF435" s="327"/>
    </row>
    <row r="436" spans="2:32" s="326" customFormat="1" ht="9.9499999999999993" customHeight="1" x14ac:dyDescent="0.2">
      <c r="B436" s="327"/>
      <c r="D436" s="327"/>
      <c r="F436" s="327"/>
      <c r="H436" s="327"/>
      <c r="J436" s="327"/>
      <c r="L436" s="327"/>
      <c r="N436" s="327"/>
      <c r="P436" s="327"/>
      <c r="R436" s="327"/>
      <c r="T436" s="327"/>
      <c r="V436" s="327"/>
      <c r="X436" s="327"/>
      <c r="Z436" s="327"/>
      <c r="AB436" s="327"/>
      <c r="AD436" s="327"/>
      <c r="AF436" s="327"/>
    </row>
    <row r="437" spans="2:32" s="326" customFormat="1" ht="9.9499999999999993" customHeight="1" x14ac:dyDescent="0.2">
      <c r="B437" s="327"/>
      <c r="D437" s="327"/>
      <c r="F437" s="327"/>
      <c r="H437" s="327"/>
      <c r="J437" s="327"/>
      <c r="L437" s="327"/>
      <c r="N437" s="327"/>
      <c r="P437" s="327"/>
      <c r="R437" s="327"/>
      <c r="T437" s="327"/>
      <c r="V437" s="327"/>
      <c r="X437" s="327"/>
      <c r="Z437" s="327"/>
      <c r="AB437" s="327"/>
      <c r="AD437" s="327"/>
      <c r="AF437" s="327"/>
    </row>
    <row r="438" spans="2:32" s="326" customFormat="1" ht="9.9499999999999993" customHeight="1" x14ac:dyDescent="0.2">
      <c r="B438" s="327"/>
      <c r="D438" s="327"/>
      <c r="F438" s="327"/>
      <c r="H438" s="327"/>
      <c r="J438" s="327"/>
      <c r="L438" s="327"/>
      <c r="N438" s="327"/>
      <c r="P438" s="327"/>
      <c r="R438" s="327"/>
      <c r="T438" s="327"/>
      <c r="V438" s="327"/>
      <c r="X438" s="327"/>
      <c r="Z438" s="327"/>
      <c r="AB438" s="327"/>
      <c r="AD438" s="327"/>
      <c r="AF438" s="327"/>
    </row>
    <row r="439" spans="2:32" s="326" customFormat="1" ht="9.9499999999999993" customHeight="1" x14ac:dyDescent="0.2">
      <c r="B439" s="327"/>
      <c r="D439" s="327"/>
      <c r="F439" s="327"/>
      <c r="H439" s="327"/>
      <c r="J439" s="327"/>
      <c r="L439" s="327"/>
      <c r="N439" s="327"/>
      <c r="P439" s="327"/>
      <c r="R439" s="327"/>
      <c r="T439" s="327"/>
      <c r="V439" s="327"/>
      <c r="X439" s="327"/>
      <c r="Z439" s="327"/>
      <c r="AB439" s="327"/>
      <c r="AD439" s="327"/>
      <c r="AF439" s="327"/>
    </row>
    <row r="440" spans="2:32" s="326" customFormat="1" ht="9.9499999999999993" customHeight="1" x14ac:dyDescent="0.2">
      <c r="B440" s="327"/>
      <c r="D440" s="327"/>
      <c r="F440" s="327"/>
      <c r="H440" s="327"/>
      <c r="J440" s="327"/>
      <c r="L440" s="327"/>
      <c r="N440" s="327"/>
      <c r="P440" s="327"/>
      <c r="R440" s="327"/>
      <c r="T440" s="327"/>
      <c r="V440" s="327"/>
      <c r="X440" s="327"/>
      <c r="Z440" s="327"/>
      <c r="AB440" s="327"/>
      <c r="AD440" s="327"/>
      <c r="AF440" s="327"/>
    </row>
    <row r="441" spans="2:32" s="326" customFormat="1" ht="9.9499999999999993" customHeight="1" x14ac:dyDescent="0.2">
      <c r="B441" s="327"/>
      <c r="D441" s="327"/>
      <c r="F441" s="327"/>
      <c r="H441" s="327"/>
      <c r="J441" s="327"/>
      <c r="L441" s="327"/>
      <c r="N441" s="327"/>
      <c r="P441" s="327"/>
      <c r="R441" s="327"/>
      <c r="T441" s="327"/>
      <c r="V441" s="327"/>
      <c r="X441" s="327"/>
      <c r="Z441" s="327"/>
      <c r="AB441" s="327"/>
      <c r="AD441" s="327"/>
      <c r="AF441" s="327"/>
    </row>
    <row r="442" spans="2:32" s="326" customFormat="1" ht="9.9499999999999993" customHeight="1" x14ac:dyDescent="0.2">
      <c r="B442" s="327"/>
      <c r="D442" s="327"/>
      <c r="F442" s="327"/>
      <c r="H442" s="327"/>
      <c r="J442" s="327"/>
      <c r="L442" s="327"/>
      <c r="N442" s="327"/>
      <c r="P442" s="327"/>
      <c r="R442" s="327"/>
      <c r="T442" s="327"/>
      <c r="V442" s="327"/>
      <c r="X442" s="327"/>
      <c r="Z442" s="327"/>
      <c r="AB442" s="327"/>
      <c r="AD442" s="327"/>
      <c r="AF442" s="327"/>
    </row>
    <row r="443" spans="2:32" s="326" customFormat="1" ht="9.9499999999999993" customHeight="1" x14ac:dyDescent="0.2">
      <c r="B443" s="327"/>
      <c r="D443" s="327"/>
      <c r="F443" s="327"/>
      <c r="H443" s="327"/>
      <c r="J443" s="327"/>
      <c r="L443" s="327"/>
      <c r="N443" s="327"/>
      <c r="P443" s="327"/>
      <c r="R443" s="327"/>
      <c r="T443" s="327"/>
      <c r="V443" s="327"/>
      <c r="X443" s="327"/>
      <c r="Z443" s="327"/>
      <c r="AB443" s="327"/>
      <c r="AD443" s="327"/>
      <c r="AF443" s="327"/>
    </row>
    <row r="444" spans="2:32" s="326" customFormat="1" ht="9.9499999999999993" customHeight="1" x14ac:dyDescent="0.2">
      <c r="B444" s="327"/>
      <c r="D444" s="327"/>
      <c r="F444" s="327"/>
      <c r="H444" s="327"/>
      <c r="J444" s="327"/>
      <c r="L444" s="327"/>
      <c r="N444" s="327"/>
      <c r="P444" s="327"/>
      <c r="R444" s="327"/>
      <c r="T444" s="327"/>
      <c r="V444" s="327"/>
      <c r="X444" s="327"/>
      <c r="Z444" s="327"/>
      <c r="AB444" s="327"/>
      <c r="AD444" s="327"/>
      <c r="AF444" s="327"/>
    </row>
    <row r="445" spans="2:32" s="326" customFormat="1" ht="9.9499999999999993" customHeight="1" x14ac:dyDescent="0.2">
      <c r="B445" s="327"/>
      <c r="D445" s="327"/>
      <c r="F445" s="327"/>
      <c r="H445" s="327"/>
      <c r="J445" s="327"/>
      <c r="L445" s="327"/>
      <c r="N445" s="327"/>
      <c r="P445" s="327"/>
      <c r="R445" s="327"/>
      <c r="T445" s="327"/>
      <c r="V445" s="327"/>
      <c r="X445" s="327"/>
      <c r="Z445" s="327"/>
      <c r="AB445" s="327"/>
      <c r="AD445" s="327"/>
      <c r="AF445" s="327"/>
    </row>
    <row r="446" spans="2:32" s="326" customFormat="1" ht="9.9499999999999993" customHeight="1" x14ac:dyDescent="0.2">
      <c r="B446" s="327"/>
      <c r="D446" s="327"/>
      <c r="F446" s="327"/>
      <c r="H446" s="327"/>
      <c r="J446" s="327"/>
      <c r="L446" s="327"/>
      <c r="N446" s="327"/>
      <c r="P446" s="327"/>
      <c r="R446" s="327"/>
      <c r="T446" s="327"/>
      <c r="V446" s="327"/>
      <c r="X446" s="327"/>
      <c r="Z446" s="327"/>
      <c r="AB446" s="327"/>
      <c r="AD446" s="327"/>
      <c r="AF446" s="327"/>
    </row>
    <row r="447" spans="2:32" s="326" customFormat="1" ht="9.9499999999999993" customHeight="1" x14ac:dyDescent="0.2">
      <c r="B447" s="327"/>
      <c r="D447" s="327"/>
      <c r="F447" s="327"/>
      <c r="H447" s="327"/>
      <c r="J447" s="327"/>
      <c r="L447" s="327"/>
      <c r="N447" s="327"/>
      <c r="P447" s="327"/>
      <c r="R447" s="327"/>
      <c r="T447" s="327"/>
      <c r="V447" s="327"/>
      <c r="X447" s="327"/>
      <c r="Z447" s="327"/>
      <c r="AB447" s="327"/>
      <c r="AD447" s="327"/>
      <c r="AF447" s="327"/>
    </row>
    <row r="448" spans="2:32" s="326" customFormat="1" ht="9.9499999999999993" customHeight="1" x14ac:dyDescent="0.2">
      <c r="B448" s="327"/>
      <c r="D448" s="327"/>
      <c r="F448" s="327"/>
      <c r="H448" s="327"/>
      <c r="J448" s="327"/>
      <c r="L448" s="327"/>
      <c r="N448" s="327"/>
      <c r="P448" s="327"/>
      <c r="R448" s="327"/>
      <c r="T448" s="327"/>
      <c r="V448" s="327"/>
      <c r="X448" s="327"/>
      <c r="Z448" s="327"/>
      <c r="AB448" s="327"/>
      <c r="AD448" s="327"/>
      <c r="AF448" s="327"/>
    </row>
    <row r="449" spans="2:32" s="326" customFormat="1" ht="9.9499999999999993" customHeight="1" x14ac:dyDescent="0.2">
      <c r="B449" s="327"/>
      <c r="D449" s="327"/>
      <c r="F449" s="327"/>
      <c r="H449" s="327"/>
      <c r="J449" s="327"/>
      <c r="L449" s="327"/>
      <c r="N449" s="327"/>
      <c r="P449" s="327"/>
      <c r="R449" s="327"/>
      <c r="T449" s="327"/>
      <c r="V449" s="327"/>
      <c r="X449" s="327"/>
      <c r="Z449" s="327"/>
      <c r="AB449" s="327"/>
      <c r="AD449" s="327"/>
      <c r="AF449" s="327"/>
    </row>
    <row r="450" spans="2:32" s="326" customFormat="1" ht="9.9499999999999993" customHeight="1" x14ac:dyDescent="0.2">
      <c r="B450" s="327"/>
      <c r="D450" s="327"/>
      <c r="F450" s="327"/>
      <c r="H450" s="327"/>
      <c r="J450" s="327"/>
      <c r="L450" s="327"/>
      <c r="N450" s="327"/>
      <c r="P450" s="327"/>
      <c r="R450" s="327"/>
      <c r="T450" s="327"/>
      <c r="V450" s="327"/>
      <c r="X450" s="327"/>
      <c r="Z450" s="327"/>
      <c r="AB450" s="327"/>
      <c r="AD450" s="327"/>
      <c r="AF450" s="327"/>
    </row>
    <row r="451" spans="2:32" s="326" customFormat="1" ht="9.9499999999999993" customHeight="1" x14ac:dyDescent="0.2">
      <c r="B451" s="327"/>
      <c r="D451" s="327"/>
      <c r="F451" s="327"/>
      <c r="H451" s="327"/>
      <c r="J451" s="327"/>
      <c r="L451" s="327"/>
      <c r="N451" s="327"/>
      <c r="P451" s="327"/>
      <c r="R451" s="327"/>
      <c r="T451" s="327"/>
      <c r="V451" s="327"/>
      <c r="X451" s="327"/>
      <c r="Z451" s="327"/>
      <c r="AB451" s="327"/>
      <c r="AD451" s="327"/>
      <c r="AF451" s="327"/>
    </row>
    <row r="452" spans="2:32" s="326" customFormat="1" ht="9.9499999999999993" customHeight="1" x14ac:dyDescent="0.2">
      <c r="B452" s="327"/>
      <c r="D452" s="327"/>
      <c r="F452" s="327"/>
      <c r="H452" s="327"/>
      <c r="J452" s="327"/>
      <c r="L452" s="327"/>
      <c r="N452" s="327"/>
      <c r="P452" s="327"/>
      <c r="R452" s="327"/>
      <c r="T452" s="327"/>
      <c r="V452" s="327"/>
      <c r="X452" s="327"/>
      <c r="Z452" s="327"/>
      <c r="AB452" s="327"/>
      <c r="AD452" s="327"/>
      <c r="AF452" s="327"/>
    </row>
    <row r="453" spans="2:32" s="326" customFormat="1" ht="9.9499999999999993" customHeight="1" x14ac:dyDescent="0.2">
      <c r="B453" s="327"/>
      <c r="D453" s="327"/>
      <c r="F453" s="327"/>
      <c r="H453" s="327"/>
      <c r="J453" s="327"/>
      <c r="L453" s="327"/>
      <c r="N453" s="327"/>
      <c r="P453" s="327"/>
      <c r="R453" s="327"/>
      <c r="T453" s="327"/>
      <c r="V453" s="327"/>
      <c r="X453" s="327"/>
      <c r="Z453" s="327"/>
      <c r="AB453" s="327"/>
      <c r="AD453" s="327"/>
      <c r="AF453" s="327"/>
    </row>
    <row r="454" spans="2:32" s="326" customFormat="1" ht="9.9499999999999993" customHeight="1" x14ac:dyDescent="0.2">
      <c r="B454" s="327"/>
      <c r="D454" s="327"/>
      <c r="F454" s="327"/>
      <c r="H454" s="327"/>
      <c r="J454" s="327"/>
      <c r="L454" s="327"/>
      <c r="N454" s="327"/>
      <c r="P454" s="327"/>
      <c r="R454" s="327"/>
      <c r="T454" s="327"/>
      <c r="V454" s="327"/>
      <c r="X454" s="327"/>
      <c r="Z454" s="327"/>
      <c r="AB454" s="327"/>
      <c r="AD454" s="327"/>
      <c r="AF454" s="327"/>
    </row>
    <row r="455" spans="2:32" s="326" customFormat="1" ht="9.9499999999999993" customHeight="1" x14ac:dyDescent="0.2">
      <c r="B455" s="327"/>
      <c r="D455" s="327"/>
      <c r="F455" s="327"/>
      <c r="H455" s="327"/>
      <c r="J455" s="327"/>
      <c r="L455" s="327"/>
      <c r="N455" s="327"/>
      <c r="P455" s="327"/>
      <c r="R455" s="327"/>
      <c r="T455" s="327"/>
      <c r="V455" s="327"/>
      <c r="X455" s="327"/>
      <c r="Z455" s="327"/>
      <c r="AB455" s="327"/>
      <c r="AD455" s="327"/>
      <c r="AF455" s="327"/>
    </row>
    <row r="456" spans="2:32" s="326" customFormat="1" ht="9.9499999999999993" customHeight="1" x14ac:dyDescent="0.2">
      <c r="B456" s="327"/>
      <c r="D456" s="327"/>
      <c r="F456" s="327"/>
      <c r="H456" s="327"/>
      <c r="J456" s="327"/>
      <c r="L456" s="327"/>
      <c r="N456" s="327"/>
      <c r="P456" s="327"/>
      <c r="R456" s="327"/>
      <c r="T456" s="327"/>
      <c r="V456" s="327"/>
      <c r="X456" s="327"/>
      <c r="Z456" s="327"/>
      <c r="AB456" s="327"/>
      <c r="AD456" s="327"/>
      <c r="AF456" s="327"/>
    </row>
    <row r="457" spans="2:32" s="326" customFormat="1" ht="9.9499999999999993" customHeight="1" x14ac:dyDescent="0.2">
      <c r="B457" s="327"/>
      <c r="D457" s="327"/>
      <c r="F457" s="327"/>
      <c r="H457" s="327"/>
      <c r="J457" s="327"/>
      <c r="L457" s="327"/>
      <c r="N457" s="327"/>
      <c r="P457" s="327"/>
      <c r="R457" s="327"/>
      <c r="T457" s="327"/>
      <c r="V457" s="327"/>
      <c r="X457" s="327"/>
      <c r="Z457" s="327"/>
      <c r="AB457" s="327"/>
      <c r="AD457" s="327"/>
      <c r="AF457" s="327"/>
    </row>
    <row r="458" spans="2:32" s="326" customFormat="1" ht="9.9499999999999993" customHeight="1" x14ac:dyDescent="0.2">
      <c r="B458" s="327"/>
      <c r="D458" s="327"/>
      <c r="F458" s="327"/>
      <c r="H458" s="327"/>
      <c r="J458" s="327"/>
      <c r="L458" s="327"/>
      <c r="N458" s="327"/>
      <c r="P458" s="327"/>
      <c r="R458" s="327"/>
      <c r="T458" s="327"/>
      <c r="V458" s="327"/>
      <c r="X458" s="327"/>
      <c r="Z458" s="327"/>
      <c r="AB458" s="327"/>
      <c r="AD458" s="327"/>
      <c r="AF458" s="327"/>
    </row>
    <row r="459" spans="2:32" s="326" customFormat="1" ht="9.9499999999999993" customHeight="1" x14ac:dyDescent="0.2">
      <c r="B459" s="327"/>
      <c r="D459" s="327"/>
      <c r="F459" s="327"/>
      <c r="H459" s="327"/>
      <c r="J459" s="327"/>
      <c r="L459" s="327"/>
      <c r="N459" s="327"/>
      <c r="P459" s="327"/>
      <c r="R459" s="327"/>
      <c r="T459" s="327"/>
      <c r="V459" s="327"/>
      <c r="X459" s="327"/>
      <c r="Z459" s="327"/>
      <c r="AB459" s="327"/>
      <c r="AD459" s="327"/>
      <c r="AF459" s="327"/>
    </row>
    <row r="460" spans="2:32" s="326" customFormat="1" ht="9.9499999999999993" customHeight="1" x14ac:dyDescent="0.2">
      <c r="B460" s="327"/>
      <c r="D460" s="327"/>
      <c r="F460" s="327"/>
      <c r="H460" s="327"/>
      <c r="J460" s="327"/>
      <c r="L460" s="327"/>
      <c r="N460" s="327"/>
      <c r="P460" s="327"/>
      <c r="R460" s="327"/>
      <c r="T460" s="327"/>
      <c r="V460" s="327"/>
      <c r="X460" s="327"/>
      <c r="Z460" s="327"/>
      <c r="AB460" s="327"/>
      <c r="AD460" s="327"/>
      <c r="AF460" s="327"/>
    </row>
    <row r="461" spans="2:32" s="326" customFormat="1" ht="9.9499999999999993" customHeight="1" x14ac:dyDescent="0.2">
      <c r="B461" s="327"/>
      <c r="D461" s="327"/>
      <c r="F461" s="327"/>
      <c r="H461" s="327"/>
      <c r="J461" s="327"/>
      <c r="L461" s="327"/>
      <c r="N461" s="327"/>
      <c r="P461" s="327"/>
      <c r="R461" s="327"/>
      <c r="T461" s="327"/>
      <c r="V461" s="327"/>
      <c r="X461" s="327"/>
      <c r="Z461" s="327"/>
      <c r="AB461" s="327"/>
      <c r="AD461" s="327"/>
      <c r="AF461" s="327"/>
    </row>
    <row r="462" spans="2:32" s="326" customFormat="1" ht="9.9499999999999993" customHeight="1" x14ac:dyDescent="0.2">
      <c r="B462" s="327"/>
      <c r="D462" s="327"/>
      <c r="F462" s="327"/>
      <c r="H462" s="327"/>
      <c r="J462" s="327"/>
      <c r="L462" s="327"/>
      <c r="N462" s="327"/>
      <c r="P462" s="327"/>
      <c r="R462" s="327"/>
      <c r="T462" s="327"/>
      <c r="V462" s="327"/>
      <c r="X462" s="327"/>
      <c r="Z462" s="327"/>
      <c r="AB462" s="327"/>
      <c r="AD462" s="327"/>
      <c r="AF462" s="327"/>
    </row>
    <row r="463" spans="2:32" s="326" customFormat="1" ht="9.9499999999999993" customHeight="1" x14ac:dyDescent="0.2">
      <c r="B463" s="327"/>
      <c r="D463" s="327"/>
      <c r="F463" s="327"/>
      <c r="H463" s="327"/>
      <c r="J463" s="327"/>
      <c r="L463" s="327"/>
      <c r="N463" s="327"/>
      <c r="P463" s="327"/>
      <c r="R463" s="327"/>
      <c r="T463" s="327"/>
      <c r="V463" s="327"/>
      <c r="X463" s="327"/>
      <c r="Z463" s="327"/>
      <c r="AB463" s="327"/>
      <c r="AD463" s="327"/>
      <c r="AF463" s="327"/>
    </row>
    <row r="464" spans="2:32" s="326" customFormat="1" ht="9.9499999999999993" customHeight="1" x14ac:dyDescent="0.2">
      <c r="B464" s="327"/>
      <c r="D464" s="327"/>
      <c r="F464" s="327"/>
      <c r="H464" s="327"/>
      <c r="J464" s="327"/>
      <c r="L464" s="327"/>
      <c r="N464" s="327"/>
      <c r="P464" s="327"/>
      <c r="R464" s="327"/>
      <c r="T464" s="327"/>
      <c r="V464" s="327"/>
      <c r="X464" s="327"/>
      <c r="Z464" s="327"/>
      <c r="AB464" s="327"/>
      <c r="AD464" s="327"/>
      <c r="AF464" s="327"/>
    </row>
    <row r="465" spans="2:32" s="326" customFormat="1" ht="9.9499999999999993" customHeight="1" x14ac:dyDescent="0.2">
      <c r="B465" s="327"/>
      <c r="D465" s="327"/>
      <c r="F465" s="327"/>
      <c r="H465" s="327"/>
      <c r="J465" s="327"/>
      <c r="L465" s="327"/>
      <c r="N465" s="327"/>
      <c r="P465" s="327"/>
      <c r="R465" s="327"/>
      <c r="T465" s="327"/>
      <c r="V465" s="327"/>
      <c r="X465" s="327"/>
      <c r="Z465" s="327"/>
      <c r="AB465" s="327"/>
      <c r="AD465" s="327"/>
      <c r="AF465" s="327"/>
    </row>
    <row r="466" spans="2:32" s="326" customFormat="1" ht="9.9499999999999993" customHeight="1" x14ac:dyDescent="0.2">
      <c r="B466" s="327"/>
      <c r="D466" s="327"/>
      <c r="F466" s="327"/>
      <c r="H466" s="327"/>
      <c r="J466" s="327"/>
      <c r="L466" s="327"/>
      <c r="N466" s="327"/>
      <c r="P466" s="327"/>
      <c r="R466" s="327"/>
      <c r="T466" s="327"/>
      <c r="V466" s="327"/>
      <c r="X466" s="327"/>
      <c r="Z466" s="327"/>
      <c r="AB466" s="327"/>
      <c r="AD466" s="327"/>
      <c r="AF466" s="327"/>
    </row>
    <row r="467" spans="2:32" s="326" customFormat="1" ht="9.9499999999999993" customHeight="1" x14ac:dyDescent="0.2">
      <c r="B467" s="327"/>
      <c r="D467" s="327"/>
      <c r="F467" s="327"/>
      <c r="H467" s="327"/>
      <c r="J467" s="327"/>
      <c r="L467" s="327"/>
      <c r="N467" s="327"/>
      <c r="P467" s="327"/>
      <c r="R467" s="327"/>
      <c r="T467" s="327"/>
      <c r="V467" s="327"/>
      <c r="X467" s="327"/>
      <c r="Z467" s="327"/>
      <c r="AB467" s="327"/>
      <c r="AD467" s="327"/>
      <c r="AF467" s="327"/>
    </row>
    <row r="468" spans="2:32" s="326" customFormat="1" ht="9.9499999999999993" customHeight="1" x14ac:dyDescent="0.2">
      <c r="B468" s="327"/>
      <c r="D468" s="327"/>
      <c r="F468" s="327"/>
      <c r="H468" s="327"/>
      <c r="J468" s="327"/>
      <c r="L468" s="327"/>
      <c r="N468" s="327"/>
      <c r="P468" s="327"/>
      <c r="R468" s="327"/>
      <c r="T468" s="327"/>
      <c r="V468" s="327"/>
      <c r="X468" s="327"/>
      <c r="Z468" s="327"/>
      <c r="AB468" s="327"/>
      <c r="AD468" s="327"/>
      <c r="AF468" s="327"/>
    </row>
    <row r="469" spans="2:32" s="326" customFormat="1" ht="9.9499999999999993" customHeight="1" x14ac:dyDescent="0.2">
      <c r="B469" s="327"/>
      <c r="D469" s="327"/>
      <c r="F469" s="327"/>
      <c r="H469" s="327"/>
      <c r="J469" s="327"/>
      <c r="L469" s="327"/>
      <c r="N469" s="327"/>
      <c r="P469" s="327"/>
      <c r="R469" s="327"/>
      <c r="T469" s="327"/>
      <c r="V469" s="327"/>
      <c r="X469" s="327"/>
      <c r="Z469" s="327"/>
      <c r="AB469" s="327"/>
      <c r="AD469" s="327"/>
      <c r="AF469" s="327"/>
    </row>
    <row r="470" spans="2:32" s="326" customFormat="1" ht="9.9499999999999993" customHeight="1" x14ac:dyDescent="0.2">
      <c r="B470" s="327"/>
      <c r="D470" s="327"/>
      <c r="F470" s="327"/>
      <c r="H470" s="327"/>
      <c r="J470" s="327"/>
      <c r="L470" s="327"/>
      <c r="N470" s="327"/>
      <c r="P470" s="327"/>
      <c r="R470" s="327"/>
      <c r="T470" s="327"/>
      <c r="V470" s="327"/>
      <c r="X470" s="327"/>
      <c r="Z470" s="327"/>
      <c r="AB470" s="327"/>
      <c r="AD470" s="327"/>
      <c r="AF470" s="327"/>
    </row>
    <row r="471" spans="2:32" s="326" customFormat="1" ht="9.9499999999999993" customHeight="1" x14ac:dyDescent="0.2">
      <c r="B471" s="327"/>
      <c r="D471" s="327"/>
      <c r="F471" s="327"/>
      <c r="H471" s="327"/>
      <c r="J471" s="327"/>
      <c r="L471" s="327"/>
      <c r="N471" s="327"/>
      <c r="P471" s="327"/>
      <c r="R471" s="327"/>
      <c r="T471" s="327"/>
      <c r="V471" s="327"/>
      <c r="X471" s="327"/>
      <c r="Z471" s="327"/>
      <c r="AB471" s="327"/>
      <c r="AD471" s="327"/>
      <c r="AF471" s="327"/>
    </row>
    <row r="472" spans="2:32" s="326" customFormat="1" ht="9.9499999999999993" customHeight="1" x14ac:dyDescent="0.2">
      <c r="B472" s="327"/>
      <c r="D472" s="327"/>
      <c r="F472" s="327"/>
      <c r="H472" s="327"/>
      <c r="J472" s="327"/>
      <c r="L472" s="327"/>
      <c r="N472" s="327"/>
      <c r="P472" s="327"/>
      <c r="R472" s="327"/>
      <c r="T472" s="327"/>
      <c r="V472" s="327"/>
      <c r="X472" s="327"/>
      <c r="Z472" s="327"/>
      <c r="AB472" s="327"/>
      <c r="AD472" s="327"/>
      <c r="AF472" s="327"/>
    </row>
    <row r="473" spans="2:32" s="326" customFormat="1" ht="9.9499999999999993" customHeight="1" x14ac:dyDescent="0.2">
      <c r="B473" s="327"/>
      <c r="D473" s="327"/>
      <c r="F473" s="327"/>
      <c r="H473" s="327"/>
      <c r="J473" s="327"/>
      <c r="L473" s="327"/>
      <c r="N473" s="327"/>
      <c r="P473" s="327"/>
      <c r="R473" s="327"/>
      <c r="T473" s="327"/>
      <c r="V473" s="327"/>
      <c r="X473" s="327"/>
      <c r="Z473" s="327"/>
      <c r="AB473" s="327"/>
      <c r="AD473" s="327"/>
      <c r="AF473" s="327"/>
    </row>
    <row r="474" spans="2:32" s="326" customFormat="1" ht="9.9499999999999993" customHeight="1" x14ac:dyDescent="0.2">
      <c r="B474" s="327"/>
      <c r="D474" s="327"/>
      <c r="F474" s="327"/>
      <c r="H474" s="327"/>
      <c r="J474" s="327"/>
      <c r="L474" s="327"/>
      <c r="N474" s="327"/>
      <c r="P474" s="327"/>
      <c r="R474" s="327"/>
      <c r="T474" s="327"/>
      <c r="V474" s="327"/>
      <c r="X474" s="327"/>
      <c r="Z474" s="327"/>
      <c r="AB474" s="327"/>
      <c r="AD474" s="327"/>
      <c r="AF474" s="327"/>
    </row>
    <row r="475" spans="2:32" s="326" customFormat="1" ht="9.9499999999999993" customHeight="1" x14ac:dyDescent="0.2">
      <c r="B475" s="327"/>
      <c r="D475" s="327"/>
      <c r="F475" s="327"/>
      <c r="H475" s="327"/>
      <c r="J475" s="327"/>
      <c r="L475" s="327"/>
      <c r="N475" s="327"/>
      <c r="P475" s="327"/>
      <c r="R475" s="327"/>
      <c r="T475" s="327"/>
      <c r="V475" s="327"/>
      <c r="X475" s="327"/>
      <c r="Z475" s="327"/>
      <c r="AB475" s="327"/>
      <c r="AD475" s="327"/>
      <c r="AF475" s="327"/>
    </row>
    <row r="476" spans="2:32" s="326" customFormat="1" ht="9.9499999999999993" customHeight="1" x14ac:dyDescent="0.2">
      <c r="B476" s="327"/>
      <c r="D476" s="327"/>
      <c r="F476" s="327"/>
      <c r="H476" s="327"/>
      <c r="J476" s="327"/>
      <c r="L476" s="327"/>
      <c r="N476" s="327"/>
      <c r="P476" s="327"/>
      <c r="R476" s="327"/>
      <c r="T476" s="327"/>
      <c r="V476" s="327"/>
      <c r="X476" s="327"/>
      <c r="Z476" s="327"/>
      <c r="AB476" s="327"/>
      <c r="AD476" s="327"/>
      <c r="AF476" s="327"/>
    </row>
    <row r="477" spans="2:32" s="326" customFormat="1" ht="9.9499999999999993" customHeight="1" x14ac:dyDescent="0.2">
      <c r="B477" s="327"/>
      <c r="D477" s="327"/>
      <c r="F477" s="327"/>
      <c r="H477" s="327"/>
      <c r="J477" s="327"/>
      <c r="L477" s="327"/>
      <c r="N477" s="327"/>
      <c r="P477" s="327"/>
      <c r="R477" s="327"/>
      <c r="T477" s="327"/>
      <c r="V477" s="327"/>
      <c r="X477" s="327"/>
      <c r="Z477" s="327"/>
      <c r="AB477" s="327"/>
      <c r="AD477" s="327"/>
      <c r="AF477" s="327"/>
    </row>
    <row r="478" spans="2:32" s="326" customFormat="1" ht="9.9499999999999993" customHeight="1" x14ac:dyDescent="0.2">
      <c r="B478" s="327"/>
      <c r="D478" s="327"/>
      <c r="F478" s="327"/>
      <c r="H478" s="327"/>
      <c r="J478" s="327"/>
      <c r="L478" s="327"/>
      <c r="N478" s="327"/>
      <c r="P478" s="327"/>
      <c r="R478" s="327"/>
      <c r="T478" s="327"/>
      <c r="V478" s="327"/>
      <c r="X478" s="327"/>
      <c r="Z478" s="327"/>
      <c r="AB478" s="327"/>
      <c r="AD478" s="327"/>
      <c r="AF478" s="327"/>
    </row>
    <row r="479" spans="2:32" s="326" customFormat="1" ht="9.9499999999999993" customHeight="1" x14ac:dyDescent="0.2">
      <c r="B479" s="327"/>
      <c r="D479" s="327"/>
      <c r="F479" s="327"/>
      <c r="H479" s="327"/>
      <c r="J479" s="327"/>
      <c r="L479" s="327"/>
      <c r="N479" s="327"/>
      <c r="P479" s="327"/>
      <c r="R479" s="327"/>
      <c r="T479" s="327"/>
      <c r="V479" s="327"/>
      <c r="X479" s="327"/>
      <c r="Z479" s="327"/>
      <c r="AB479" s="327"/>
      <c r="AD479" s="327"/>
      <c r="AF479" s="327"/>
    </row>
    <row r="480" spans="2:32" s="326" customFormat="1" ht="9.9499999999999993" customHeight="1" x14ac:dyDescent="0.2">
      <c r="B480" s="327"/>
      <c r="D480" s="327"/>
      <c r="F480" s="327"/>
      <c r="H480" s="327"/>
      <c r="J480" s="327"/>
      <c r="L480" s="327"/>
      <c r="N480" s="327"/>
      <c r="P480" s="327"/>
      <c r="R480" s="327"/>
      <c r="T480" s="327"/>
      <c r="V480" s="327"/>
      <c r="X480" s="327"/>
      <c r="Z480" s="327"/>
      <c r="AB480" s="327"/>
      <c r="AD480" s="327"/>
      <c r="AF480" s="327"/>
    </row>
    <row r="481" spans="2:32" s="326" customFormat="1" ht="9.9499999999999993" customHeight="1" x14ac:dyDescent="0.2">
      <c r="B481" s="327"/>
      <c r="D481" s="327"/>
      <c r="F481" s="327"/>
      <c r="H481" s="327"/>
      <c r="J481" s="327"/>
      <c r="L481" s="327"/>
      <c r="N481" s="327"/>
      <c r="P481" s="327"/>
      <c r="R481" s="327"/>
      <c r="T481" s="327"/>
      <c r="V481" s="327"/>
      <c r="X481" s="327"/>
      <c r="Z481" s="327"/>
      <c r="AB481" s="327"/>
      <c r="AD481" s="327"/>
      <c r="AF481" s="327"/>
    </row>
    <row r="482" spans="2:32" s="326" customFormat="1" ht="9.9499999999999993" customHeight="1" x14ac:dyDescent="0.2">
      <c r="B482" s="327"/>
      <c r="D482" s="327"/>
      <c r="F482" s="327"/>
      <c r="H482" s="327"/>
      <c r="J482" s="327"/>
      <c r="L482" s="327"/>
      <c r="N482" s="327"/>
      <c r="P482" s="327"/>
      <c r="R482" s="327"/>
      <c r="T482" s="327"/>
      <c r="V482" s="327"/>
      <c r="X482" s="327"/>
      <c r="Z482" s="327"/>
      <c r="AB482" s="327"/>
      <c r="AD482" s="327"/>
      <c r="AF482" s="327"/>
    </row>
    <row r="483" spans="2:32" s="326" customFormat="1" ht="9.9499999999999993" customHeight="1" x14ac:dyDescent="0.2">
      <c r="B483" s="327"/>
      <c r="D483" s="327"/>
      <c r="F483" s="327"/>
      <c r="H483" s="327"/>
      <c r="J483" s="327"/>
      <c r="L483" s="327"/>
      <c r="N483" s="327"/>
      <c r="P483" s="327"/>
      <c r="R483" s="327"/>
      <c r="T483" s="327"/>
      <c r="V483" s="327"/>
      <c r="X483" s="327"/>
      <c r="Z483" s="327"/>
      <c r="AB483" s="327"/>
      <c r="AD483" s="327"/>
      <c r="AF483" s="327"/>
    </row>
    <row r="484" spans="2:32" s="326" customFormat="1" ht="9.9499999999999993" customHeight="1" x14ac:dyDescent="0.2">
      <c r="B484" s="327"/>
      <c r="D484" s="327"/>
      <c r="F484" s="327"/>
      <c r="H484" s="327"/>
      <c r="J484" s="327"/>
      <c r="L484" s="327"/>
      <c r="N484" s="327"/>
      <c r="P484" s="327"/>
      <c r="R484" s="327"/>
      <c r="T484" s="327"/>
      <c r="V484" s="327"/>
      <c r="X484" s="327"/>
      <c r="Z484" s="327"/>
      <c r="AB484" s="327"/>
      <c r="AD484" s="327"/>
      <c r="AF484" s="327"/>
    </row>
    <row r="485" spans="2:32" s="326" customFormat="1" ht="9.9499999999999993" customHeight="1" x14ac:dyDescent="0.2">
      <c r="B485" s="327"/>
      <c r="D485" s="327"/>
      <c r="F485" s="327"/>
      <c r="H485" s="327"/>
      <c r="J485" s="327"/>
      <c r="L485" s="327"/>
      <c r="N485" s="327"/>
      <c r="P485" s="327"/>
      <c r="R485" s="327"/>
      <c r="T485" s="327"/>
      <c r="V485" s="327"/>
      <c r="X485" s="327"/>
      <c r="Z485" s="327"/>
      <c r="AB485" s="327"/>
      <c r="AD485" s="327"/>
      <c r="AF485" s="327"/>
    </row>
    <row r="486" spans="2:32" s="326" customFormat="1" ht="9.9499999999999993" customHeight="1" x14ac:dyDescent="0.2">
      <c r="B486" s="327"/>
      <c r="D486" s="327"/>
      <c r="F486" s="327"/>
      <c r="H486" s="327"/>
      <c r="J486" s="327"/>
      <c r="L486" s="327"/>
      <c r="N486" s="327"/>
      <c r="P486" s="327"/>
      <c r="R486" s="327"/>
      <c r="T486" s="327"/>
      <c r="V486" s="327"/>
      <c r="X486" s="327"/>
      <c r="Z486" s="327"/>
      <c r="AB486" s="327"/>
      <c r="AD486" s="327"/>
      <c r="AF486" s="327"/>
    </row>
    <row r="487" spans="2:32" s="326" customFormat="1" ht="9.9499999999999993" customHeight="1" x14ac:dyDescent="0.2">
      <c r="B487" s="327"/>
      <c r="D487" s="327"/>
      <c r="F487" s="327"/>
      <c r="H487" s="327"/>
      <c r="J487" s="327"/>
      <c r="L487" s="327"/>
      <c r="N487" s="327"/>
      <c r="P487" s="327"/>
      <c r="R487" s="327"/>
      <c r="T487" s="327"/>
      <c r="V487" s="327"/>
      <c r="X487" s="327"/>
      <c r="Z487" s="327"/>
      <c r="AB487" s="327"/>
      <c r="AD487" s="327"/>
      <c r="AF487" s="327"/>
    </row>
    <row r="488" spans="2:32" s="326" customFormat="1" ht="9.9499999999999993" customHeight="1" x14ac:dyDescent="0.2">
      <c r="B488" s="327"/>
      <c r="D488" s="327"/>
      <c r="F488" s="327"/>
      <c r="H488" s="327"/>
      <c r="J488" s="327"/>
      <c r="L488" s="327"/>
      <c r="N488" s="327"/>
      <c r="P488" s="327"/>
      <c r="R488" s="327"/>
      <c r="T488" s="327"/>
      <c r="V488" s="327"/>
      <c r="X488" s="327"/>
      <c r="Z488" s="327"/>
      <c r="AB488" s="327"/>
      <c r="AD488" s="327"/>
      <c r="AF488" s="327"/>
    </row>
    <row r="489" spans="2:32" s="326" customFormat="1" ht="9.9499999999999993" customHeight="1" x14ac:dyDescent="0.2">
      <c r="B489" s="327"/>
      <c r="D489" s="327"/>
      <c r="F489" s="327"/>
      <c r="H489" s="327"/>
      <c r="J489" s="327"/>
      <c r="L489" s="327"/>
      <c r="N489" s="327"/>
      <c r="P489" s="327"/>
      <c r="R489" s="327"/>
      <c r="T489" s="327"/>
      <c r="V489" s="327"/>
      <c r="X489" s="327"/>
      <c r="Z489" s="327"/>
      <c r="AB489" s="327"/>
      <c r="AD489" s="327"/>
      <c r="AF489" s="327"/>
    </row>
    <row r="490" spans="2:32" s="326" customFormat="1" ht="9.9499999999999993" customHeight="1" x14ac:dyDescent="0.2">
      <c r="B490" s="327"/>
      <c r="D490" s="327"/>
      <c r="F490" s="327"/>
      <c r="H490" s="327"/>
      <c r="J490" s="327"/>
      <c r="L490" s="327"/>
      <c r="N490" s="327"/>
      <c r="P490" s="327"/>
      <c r="R490" s="327"/>
      <c r="T490" s="327"/>
      <c r="V490" s="327"/>
      <c r="X490" s="327"/>
      <c r="Z490" s="327"/>
      <c r="AB490" s="327"/>
      <c r="AD490" s="327"/>
      <c r="AF490" s="327"/>
    </row>
    <row r="491" spans="2:32" s="326" customFormat="1" ht="9.9499999999999993" customHeight="1" x14ac:dyDescent="0.2">
      <c r="B491" s="327"/>
      <c r="D491" s="327"/>
      <c r="F491" s="327"/>
      <c r="H491" s="327"/>
      <c r="J491" s="327"/>
      <c r="L491" s="327"/>
      <c r="N491" s="327"/>
      <c r="P491" s="327"/>
      <c r="R491" s="327"/>
      <c r="T491" s="327"/>
      <c r="V491" s="327"/>
      <c r="X491" s="327"/>
      <c r="Z491" s="327"/>
      <c r="AB491" s="327"/>
      <c r="AD491" s="327"/>
      <c r="AF491" s="327"/>
    </row>
    <row r="492" spans="2:32" s="326" customFormat="1" ht="9.9499999999999993" customHeight="1" x14ac:dyDescent="0.2">
      <c r="B492" s="327"/>
      <c r="D492" s="327"/>
      <c r="F492" s="327"/>
      <c r="H492" s="327"/>
      <c r="J492" s="327"/>
      <c r="L492" s="327"/>
      <c r="N492" s="327"/>
      <c r="P492" s="327"/>
      <c r="R492" s="327"/>
      <c r="T492" s="327"/>
      <c r="V492" s="327"/>
      <c r="X492" s="327"/>
      <c r="Z492" s="327"/>
      <c r="AB492" s="327"/>
      <c r="AD492" s="327"/>
      <c r="AF492" s="327"/>
    </row>
    <row r="493" spans="2:32" s="326" customFormat="1" ht="9.9499999999999993" customHeight="1" x14ac:dyDescent="0.2">
      <c r="B493" s="327"/>
      <c r="D493" s="327"/>
      <c r="F493" s="327"/>
      <c r="H493" s="327"/>
      <c r="J493" s="327"/>
      <c r="L493" s="327"/>
      <c r="N493" s="327"/>
      <c r="P493" s="327"/>
      <c r="R493" s="327"/>
      <c r="T493" s="327"/>
      <c r="V493" s="327"/>
      <c r="X493" s="327"/>
      <c r="Z493" s="327"/>
      <c r="AB493" s="327"/>
      <c r="AD493" s="327"/>
      <c r="AF493" s="327"/>
    </row>
    <row r="494" spans="2:32" s="326" customFormat="1" ht="9.9499999999999993" customHeight="1" x14ac:dyDescent="0.2">
      <c r="B494" s="327"/>
      <c r="D494" s="327"/>
      <c r="F494" s="327"/>
      <c r="H494" s="327"/>
      <c r="J494" s="327"/>
      <c r="L494" s="327"/>
      <c r="N494" s="327"/>
      <c r="P494" s="327"/>
      <c r="R494" s="327"/>
      <c r="T494" s="327"/>
      <c r="V494" s="327"/>
      <c r="X494" s="327"/>
      <c r="Z494" s="327"/>
      <c r="AB494" s="327"/>
      <c r="AD494" s="327"/>
      <c r="AF494" s="327"/>
    </row>
    <row r="495" spans="2:32" s="326" customFormat="1" ht="9.9499999999999993" customHeight="1" x14ac:dyDescent="0.2">
      <c r="B495" s="327"/>
      <c r="D495" s="327"/>
      <c r="F495" s="327"/>
      <c r="H495" s="327"/>
      <c r="J495" s="327"/>
      <c r="L495" s="327"/>
      <c r="N495" s="327"/>
      <c r="P495" s="327"/>
      <c r="R495" s="327"/>
      <c r="T495" s="327"/>
      <c r="V495" s="327"/>
      <c r="X495" s="327"/>
      <c r="Z495" s="327"/>
      <c r="AB495" s="327"/>
      <c r="AD495" s="327"/>
      <c r="AF495" s="327"/>
    </row>
    <row r="496" spans="2:32" s="326" customFormat="1" ht="9.9499999999999993" customHeight="1" x14ac:dyDescent="0.2">
      <c r="B496" s="327"/>
      <c r="D496" s="327"/>
      <c r="F496" s="327"/>
      <c r="H496" s="327"/>
      <c r="J496" s="327"/>
      <c r="L496" s="327"/>
      <c r="N496" s="327"/>
      <c r="P496" s="327"/>
      <c r="R496" s="327"/>
      <c r="T496" s="327"/>
      <c r="V496" s="327"/>
      <c r="X496" s="327"/>
      <c r="Z496" s="327"/>
      <c r="AB496" s="327"/>
      <c r="AD496" s="327"/>
      <c r="AF496" s="327"/>
    </row>
    <row r="497" spans="2:32" s="326" customFormat="1" ht="9.9499999999999993" customHeight="1" x14ac:dyDescent="0.2">
      <c r="B497" s="327"/>
      <c r="D497" s="327"/>
      <c r="F497" s="327"/>
      <c r="H497" s="327"/>
      <c r="J497" s="327"/>
      <c r="L497" s="327"/>
      <c r="N497" s="327"/>
      <c r="P497" s="327"/>
      <c r="R497" s="327"/>
      <c r="T497" s="327"/>
      <c r="V497" s="327"/>
      <c r="X497" s="327"/>
      <c r="Z497" s="327"/>
      <c r="AB497" s="327"/>
      <c r="AD497" s="327"/>
      <c r="AF497" s="327"/>
    </row>
    <row r="498" spans="2:32" s="326" customFormat="1" ht="9.9499999999999993" customHeight="1" x14ac:dyDescent="0.2">
      <c r="B498" s="327"/>
      <c r="D498" s="327"/>
      <c r="F498" s="327"/>
      <c r="H498" s="327"/>
      <c r="J498" s="327"/>
      <c r="L498" s="327"/>
      <c r="N498" s="327"/>
      <c r="P498" s="327"/>
      <c r="R498" s="327"/>
      <c r="T498" s="327"/>
      <c r="V498" s="327"/>
      <c r="X498" s="327"/>
      <c r="Z498" s="327"/>
      <c r="AB498" s="327"/>
      <c r="AD498" s="327"/>
      <c r="AF498" s="327"/>
    </row>
    <row r="499" spans="2:32" s="326" customFormat="1" ht="9.9499999999999993" customHeight="1" x14ac:dyDescent="0.2">
      <c r="B499" s="327"/>
      <c r="D499" s="327"/>
      <c r="F499" s="327"/>
      <c r="H499" s="327"/>
      <c r="J499" s="327"/>
      <c r="L499" s="327"/>
      <c r="N499" s="327"/>
      <c r="P499" s="327"/>
      <c r="R499" s="327"/>
      <c r="T499" s="327"/>
      <c r="V499" s="327"/>
      <c r="X499" s="327"/>
      <c r="Z499" s="327"/>
      <c r="AB499" s="327"/>
      <c r="AD499" s="327"/>
      <c r="AF499" s="327"/>
    </row>
    <row r="500" spans="2:32" s="326" customFormat="1" ht="9.9499999999999993" customHeight="1" x14ac:dyDescent="0.2">
      <c r="B500" s="327"/>
      <c r="D500" s="327"/>
      <c r="F500" s="327"/>
      <c r="H500" s="327"/>
      <c r="J500" s="327"/>
      <c r="L500" s="327"/>
      <c r="N500" s="327"/>
      <c r="P500" s="327"/>
      <c r="R500" s="327"/>
      <c r="T500" s="327"/>
      <c r="V500" s="327"/>
      <c r="X500" s="327"/>
      <c r="Z500" s="327"/>
      <c r="AB500" s="327"/>
      <c r="AD500" s="327"/>
      <c r="AF500" s="327"/>
    </row>
    <row r="501" spans="2:32" s="326" customFormat="1" ht="9.9499999999999993" customHeight="1" x14ac:dyDescent="0.2">
      <c r="B501" s="327"/>
      <c r="D501" s="327"/>
      <c r="F501" s="327"/>
      <c r="H501" s="327"/>
      <c r="J501" s="327"/>
      <c r="L501" s="327"/>
      <c r="N501" s="327"/>
      <c r="P501" s="327"/>
      <c r="R501" s="327"/>
      <c r="T501" s="327"/>
      <c r="V501" s="327"/>
      <c r="X501" s="327"/>
      <c r="Z501" s="327"/>
      <c r="AB501" s="327"/>
      <c r="AD501" s="327"/>
      <c r="AF501" s="327"/>
    </row>
    <row r="502" spans="2:32" s="326" customFormat="1" ht="9.9499999999999993" customHeight="1" x14ac:dyDescent="0.2">
      <c r="B502" s="327"/>
      <c r="D502" s="327"/>
      <c r="F502" s="327"/>
      <c r="H502" s="327"/>
      <c r="J502" s="327"/>
      <c r="L502" s="327"/>
      <c r="N502" s="327"/>
      <c r="P502" s="327"/>
      <c r="R502" s="327"/>
      <c r="T502" s="327"/>
      <c r="V502" s="327"/>
      <c r="X502" s="327"/>
      <c r="Z502" s="327"/>
      <c r="AB502" s="327"/>
      <c r="AD502" s="327"/>
      <c r="AF502" s="327"/>
    </row>
    <row r="503" spans="2:32" s="326" customFormat="1" ht="9.9499999999999993" customHeight="1" x14ac:dyDescent="0.2">
      <c r="B503" s="327"/>
      <c r="D503" s="327"/>
      <c r="F503" s="327"/>
      <c r="H503" s="327"/>
      <c r="J503" s="327"/>
      <c r="L503" s="327"/>
      <c r="N503" s="327"/>
      <c r="P503" s="327"/>
      <c r="R503" s="327"/>
      <c r="T503" s="327"/>
      <c r="V503" s="327"/>
      <c r="X503" s="327"/>
      <c r="Z503" s="327"/>
      <c r="AB503" s="327"/>
      <c r="AD503" s="327"/>
      <c r="AF503" s="327"/>
    </row>
    <row r="504" spans="2:32" s="326" customFormat="1" ht="9.9499999999999993" customHeight="1" x14ac:dyDescent="0.2">
      <c r="B504" s="327"/>
      <c r="D504" s="327"/>
      <c r="F504" s="327"/>
      <c r="H504" s="327"/>
      <c r="J504" s="327"/>
      <c r="L504" s="327"/>
      <c r="N504" s="327"/>
      <c r="P504" s="327"/>
      <c r="R504" s="327"/>
      <c r="T504" s="327"/>
      <c r="V504" s="327"/>
      <c r="X504" s="327"/>
      <c r="Z504" s="327"/>
      <c r="AB504" s="327"/>
      <c r="AD504" s="327"/>
      <c r="AF504" s="327"/>
    </row>
    <row r="505" spans="2:32" s="326" customFormat="1" ht="9.9499999999999993" customHeight="1" x14ac:dyDescent="0.2">
      <c r="B505" s="327"/>
      <c r="D505" s="327"/>
      <c r="F505" s="327"/>
      <c r="H505" s="327"/>
      <c r="J505" s="327"/>
      <c r="L505" s="327"/>
      <c r="N505" s="327"/>
      <c r="P505" s="327"/>
      <c r="R505" s="327"/>
      <c r="T505" s="327"/>
      <c r="V505" s="327"/>
      <c r="X505" s="327"/>
      <c r="Z505" s="327"/>
      <c r="AB505" s="327"/>
      <c r="AD505" s="327"/>
      <c r="AF505" s="327"/>
    </row>
    <row r="506" spans="2:32" s="326" customFormat="1" ht="9.9499999999999993" customHeight="1" x14ac:dyDescent="0.2">
      <c r="B506" s="327"/>
      <c r="D506" s="327"/>
      <c r="F506" s="327"/>
      <c r="H506" s="327"/>
      <c r="J506" s="327"/>
      <c r="L506" s="327"/>
      <c r="N506" s="327"/>
      <c r="P506" s="327"/>
      <c r="R506" s="327"/>
      <c r="T506" s="327"/>
      <c r="V506" s="327"/>
      <c r="X506" s="327"/>
      <c r="Z506" s="327"/>
      <c r="AB506" s="327"/>
      <c r="AD506" s="327"/>
      <c r="AF506" s="327"/>
    </row>
    <row r="507" spans="2:32" s="326" customFormat="1" ht="9.9499999999999993" customHeight="1" x14ac:dyDescent="0.2">
      <c r="B507" s="327"/>
      <c r="D507" s="327"/>
      <c r="F507" s="327"/>
      <c r="H507" s="327"/>
      <c r="J507" s="327"/>
      <c r="L507" s="327"/>
      <c r="N507" s="327"/>
      <c r="P507" s="327"/>
      <c r="R507" s="327"/>
      <c r="T507" s="327"/>
      <c r="V507" s="327"/>
      <c r="X507" s="327"/>
      <c r="Z507" s="327"/>
      <c r="AB507" s="327"/>
      <c r="AD507" s="327"/>
      <c r="AF507" s="327"/>
    </row>
    <row r="508" spans="2:32" s="326" customFormat="1" ht="9.9499999999999993" customHeight="1" x14ac:dyDescent="0.2">
      <c r="B508" s="327"/>
      <c r="D508" s="327"/>
      <c r="F508" s="327"/>
      <c r="H508" s="327"/>
      <c r="J508" s="327"/>
      <c r="L508" s="327"/>
      <c r="N508" s="327"/>
      <c r="P508" s="327"/>
      <c r="R508" s="327"/>
      <c r="T508" s="327"/>
      <c r="V508" s="327"/>
      <c r="X508" s="327"/>
      <c r="Z508" s="327"/>
      <c r="AB508" s="327"/>
      <c r="AD508" s="327"/>
      <c r="AF508" s="327"/>
    </row>
    <row r="509" spans="2:32" s="326" customFormat="1" ht="9.9499999999999993" customHeight="1" x14ac:dyDescent="0.2">
      <c r="B509" s="327"/>
      <c r="D509" s="327"/>
      <c r="F509" s="327"/>
      <c r="H509" s="327"/>
      <c r="J509" s="327"/>
      <c r="L509" s="327"/>
      <c r="N509" s="327"/>
      <c r="P509" s="327"/>
      <c r="R509" s="327"/>
      <c r="T509" s="327"/>
      <c r="V509" s="327"/>
      <c r="X509" s="327"/>
      <c r="Z509" s="327"/>
      <c r="AB509" s="327"/>
      <c r="AD509" s="327"/>
      <c r="AF509" s="327"/>
    </row>
    <row r="510" spans="2:32" s="326" customFormat="1" ht="9.9499999999999993" customHeight="1" x14ac:dyDescent="0.2">
      <c r="B510" s="327"/>
      <c r="D510" s="327"/>
      <c r="F510" s="327"/>
      <c r="H510" s="327"/>
      <c r="J510" s="327"/>
      <c r="L510" s="327"/>
      <c r="N510" s="327"/>
      <c r="P510" s="327"/>
      <c r="R510" s="327"/>
      <c r="T510" s="327"/>
      <c r="V510" s="327"/>
      <c r="X510" s="327"/>
      <c r="Z510" s="327"/>
      <c r="AB510" s="327"/>
      <c r="AD510" s="327"/>
      <c r="AF510" s="327"/>
    </row>
    <row r="511" spans="2:32" s="326" customFormat="1" ht="9.9499999999999993" customHeight="1" x14ac:dyDescent="0.2">
      <c r="B511" s="327"/>
      <c r="D511" s="327"/>
      <c r="F511" s="327"/>
      <c r="H511" s="327"/>
      <c r="J511" s="327"/>
      <c r="L511" s="327"/>
      <c r="N511" s="327"/>
      <c r="P511" s="327"/>
      <c r="R511" s="327"/>
      <c r="T511" s="327"/>
      <c r="V511" s="327"/>
      <c r="X511" s="327"/>
      <c r="Z511" s="327"/>
      <c r="AB511" s="327"/>
      <c r="AD511" s="327"/>
      <c r="AF511" s="327"/>
    </row>
    <row r="512" spans="2:32" s="326" customFormat="1" ht="9.9499999999999993" customHeight="1" x14ac:dyDescent="0.2">
      <c r="B512" s="327"/>
      <c r="D512" s="327"/>
      <c r="F512" s="327"/>
      <c r="H512" s="327"/>
      <c r="J512" s="327"/>
      <c r="L512" s="327"/>
      <c r="N512" s="327"/>
      <c r="P512" s="327"/>
      <c r="R512" s="327"/>
      <c r="T512" s="327"/>
      <c r="V512" s="327"/>
      <c r="X512" s="327"/>
      <c r="Z512" s="327"/>
      <c r="AB512" s="327"/>
      <c r="AD512" s="327"/>
      <c r="AF512" s="327"/>
    </row>
    <row r="513" spans="2:32" s="326" customFormat="1" ht="9.9499999999999993" customHeight="1" x14ac:dyDescent="0.2">
      <c r="B513" s="327"/>
      <c r="D513" s="327"/>
      <c r="F513" s="327"/>
      <c r="H513" s="327"/>
      <c r="J513" s="327"/>
      <c r="L513" s="327"/>
      <c r="N513" s="327"/>
      <c r="P513" s="327"/>
      <c r="R513" s="327"/>
      <c r="T513" s="327"/>
      <c r="V513" s="327"/>
      <c r="X513" s="327"/>
      <c r="Z513" s="327"/>
      <c r="AB513" s="327"/>
      <c r="AD513" s="327"/>
      <c r="AF513" s="327"/>
    </row>
    <row r="514" spans="2:32" s="326" customFormat="1" ht="9.9499999999999993" customHeight="1" x14ac:dyDescent="0.2">
      <c r="B514" s="327"/>
      <c r="D514" s="327"/>
      <c r="F514" s="327"/>
      <c r="H514" s="327"/>
      <c r="J514" s="327"/>
      <c r="L514" s="327"/>
      <c r="N514" s="327"/>
      <c r="P514" s="327"/>
      <c r="R514" s="327"/>
      <c r="T514" s="327"/>
      <c r="V514" s="327"/>
      <c r="X514" s="327"/>
      <c r="Z514" s="327"/>
      <c r="AB514" s="327"/>
      <c r="AD514" s="327"/>
      <c r="AF514" s="327"/>
    </row>
    <row r="515" spans="2:32" s="326" customFormat="1" ht="9.9499999999999993" customHeight="1" x14ac:dyDescent="0.2">
      <c r="B515" s="327"/>
      <c r="D515" s="327"/>
      <c r="F515" s="327"/>
      <c r="H515" s="327"/>
      <c r="J515" s="327"/>
      <c r="L515" s="327"/>
      <c r="N515" s="327"/>
      <c r="P515" s="327"/>
      <c r="R515" s="327"/>
      <c r="T515" s="327"/>
      <c r="V515" s="327"/>
      <c r="X515" s="327"/>
      <c r="Z515" s="327"/>
      <c r="AB515" s="327"/>
      <c r="AD515" s="327"/>
      <c r="AF515" s="327"/>
    </row>
    <row r="516" spans="2:32" s="326" customFormat="1" ht="9.9499999999999993" customHeight="1" x14ac:dyDescent="0.2">
      <c r="B516" s="327"/>
      <c r="D516" s="327"/>
      <c r="F516" s="327"/>
      <c r="H516" s="327"/>
      <c r="J516" s="327"/>
      <c r="L516" s="327"/>
      <c r="N516" s="327"/>
      <c r="P516" s="327"/>
      <c r="R516" s="327"/>
      <c r="T516" s="327"/>
      <c r="V516" s="327"/>
      <c r="X516" s="327"/>
      <c r="Z516" s="327"/>
      <c r="AB516" s="327"/>
      <c r="AD516" s="327"/>
      <c r="AF516" s="327"/>
    </row>
    <row r="517" spans="2:32" s="326" customFormat="1" ht="9.9499999999999993" customHeight="1" x14ac:dyDescent="0.2">
      <c r="B517" s="327"/>
      <c r="D517" s="327"/>
      <c r="F517" s="327"/>
      <c r="H517" s="327"/>
      <c r="J517" s="327"/>
      <c r="L517" s="327"/>
      <c r="N517" s="327"/>
      <c r="P517" s="327"/>
      <c r="R517" s="327"/>
      <c r="T517" s="327"/>
      <c r="V517" s="327"/>
      <c r="X517" s="327"/>
      <c r="Z517" s="327"/>
      <c r="AB517" s="327"/>
      <c r="AD517" s="327"/>
      <c r="AF517" s="327"/>
    </row>
    <row r="518" spans="2:32" s="326" customFormat="1" ht="9.9499999999999993" customHeight="1" x14ac:dyDescent="0.2">
      <c r="B518" s="327"/>
      <c r="D518" s="327"/>
      <c r="F518" s="327"/>
      <c r="H518" s="327"/>
      <c r="J518" s="327"/>
      <c r="L518" s="327"/>
      <c r="N518" s="327"/>
      <c r="P518" s="327"/>
      <c r="R518" s="327"/>
      <c r="T518" s="327"/>
      <c r="V518" s="327"/>
      <c r="X518" s="327"/>
      <c r="Z518" s="327"/>
      <c r="AB518" s="327"/>
      <c r="AD518" s="327"/>
      <c r="AF518" s="327"/>
    </row>
    <row r="519" spans="2:32" s="326" customFormat="1" ht="9.9499999999999993" customHeight="1" x14ac:dyDescent="0.2">
      <c r="B519" s="327"/>
      <c r="D519" s="327"/>
      <c r="F519" s="327"/>
      <c r="H519" s="327"/>
      <c r="J519" s="327"/>
      <c r="L519" s="327"/>
      <c r="N519" s="327"/>
      <c r="P519" s="327"/>
      <c r="R519" s="327"/>
      <c r="T519" s="327"/>
      <c r="V519" s="327"/>
      <c r="X519" s="327"/>
      <c r="Z519" s="327"/>
      <c r="AB519" s="327"/>
      <c r="AD519" s="327"/>
      <c r="AF519" s="327"/>
    </row>
    <row r="520" spans="2:32" s="326" customFormat="1" ht="9.9499999999999993" customHeight="1" x14ac:dyDescent="0.2">
      <c r="B520" s="327"/>
      <c r="D520" s="327"/>
      <c r="F520" s="327"/>
      <c r="H520" s="327"/>
      <c r="J520" s="327"/>
      <c r="L520" s="327"/>
      <c r="N520" s="327"/>
      <c r="P520" s="327"/>
      <c r="R520" s="327"/>
      <c r="T520" s="327"/>
      <c r="V520" s="327"/>
      <c r="X520" s="327"/>
      <c r="Z520" s="327"/>
      <c r="AB520" s="327"/>
      <c r="AD520" s="327"/>
      <c r="AF520" s="327"/>
    </row>
    <row r="521" spans="2:32" s="326" customFormat="1" ht="9.9499999999999993" customHeight="1" x14ac:dyDescent="0.2">
      <c r="B521" s="327"/>
      <c r="D521" s="327"/>
      <c r="F521" s="327"/>
      <c r="H521" s="327"/>
      <c r="J521" s="327"/>
      <c r="L521" s="327"/>
      <c r="N521" s="327"/>
      <c r="P521" s="327"/>
      <c r="R521" s="327"/>
      <c r="T521" s="327"/>
      <c r="V521" s="327"/>
      <c r="X521" s="327"/>
      <c r="Z521" s="327"/>
      <c r="AB521" s="327"/>
      <c r="AD521" s="327"/>
      <c r="AF521" s="327"/>
    </row>
    <row r="522" spans="2:32" s="326" customFormat="1" ht="9.9499999999999993" customHeight="1" x14ac:dyDescent="0.2">
      <c r="B522" s="327"/>
      <c r="D522" s="327"/>
      <c r="F522" s="327"/>
      <c r="H522" s="327"/>
      <c r="J522" s="327"/>
      <c r="L522" s="327"/>
      <c r="N522" s="327"/>
      <c r="P522" s="327"/>
      <c r="R522" s="327"/>
      <c r="T522" s="327"/>
      <c r="V522" s="327"/>
      <c r="X522" s="327"/>
      <c r="Z522" s="327"/>
      <c r="AB522" s="327"/>
      <c r="AD522" s="327"/>
      <c r="AF522" s="327"/>
    </row>
    <row r="523" spans="2:32" s="326" customFormat="1" ht="9.9499999999999993" customHeight="1" x14ac:dyDescent="0.2">
      <c r="B523" s="327"/>
      <c r="D523" s="327"/>
      <c r="F523" s="327"/>
      <c r="H523" s="327"/>
      <c r="J523" s="327"/>
      <c r="L523" s="327"/>
      <c r="N523" s="327"/>
      <c r="P523" s="327"/>
      <c r="R523" s="327"/>
      <c r="T523" s="327"/>
      <c r="V523" s="327"/>
      <c r="X523" s="327"/>
      <c r="Z523" s="327"/>
      <c r="AB523" s="327"/>
      <c r="AD523" s="327"/>
      <c r="AF523" s="327"/>
    </row>
    <row r="524" spans="2:32" s="326" customFormat="1" ht="9.9499999999999993" customHeight="1" x14ac:dyDescent="0.2">
      <c r="B524" s="327"/>
      <c r="D524" s="327"/>
      <c r="F524" s="327"/>
      <c r="H524" s="327"/>
      <c r="J524" s="327"/>
      <c r="L524" s="327"/>
      <c r="N524" s="327"/>
      <c r="P524" s="327"/>
      <c r="R524" s="327"/>
      <c r="T524" s="327"/>
      <c r="V524" s="327"/>
      <c r="X524" s="327"/>
      <c r="Z524" s="327"/>
      <c r="AB524" s="327"/>
      <c r="AD524" s="327"/>
      <c r="AF524" s="327"/>
    </row>
    <row r="525" spans="2:32" s="326" customFormat="1" ht="9.9499999999999993" customHeight="1" x14ac:dyDescent="0.2">
      <c r="B525" s="327"/>
      <c r="D525" s="327"/>
      <c r="F525" s="327"/>
      <c r="H525" s="327"/>
      <c r="J525" s="327"/>
      <c r="L525" s="327"/>
      <c r="N525" s="327"/>
      <c r="P525" s="327"/>
      <c r="R525" s="327"/>
      <c r="T525" s="327"/>
      <c r="V525" s="327"/>
      <c r="X525" s="327"/>
      <c r="Z525" s="327"/>
      <c r="AB525" s="327"/>
      <c r="AD525" s="327"/>
      <c r="AF525" s="327"/>
    </row>
    <row r="526" spans="2:32" s="326" customFormat="1" ht="9.9499999999999993" customHeight="1" x14ac:dyDescent="0.2">
      <c r="B526" s="327"/>
      <c r="D526" s="327"/>
      <c r="F526" s="327"/>
      <c r="H526" s="327"/>
      <c r="J526" s="327"/>
      <c r="L526" s="327"/>
      <c r="N526" s="327"/>
      <c r="P526" s="327"/>
      <c r="R526" s="327"/>
      <c r="T526" s="327"/>
      <c r="V526" s="327"/>
      <c r="X526" s="327"/>
      <c r="Z526" s="327"/>
      <c r="AB526" s="327"/>
      <c r="AD526" s="327"/>
      <c r="AF526" s="327"/>
    </row>
    <row r="527" spans="2:32" s="326" customFormat="1" ht="9.9499999999999993" customHeight="1" x14ac:dyDescent="0.2">
      <c r="B527" s="327"/>
      <c r="D527" s="327"/>
      <c r="F527" s="327"/>
      <c r="H527" s="327"/>
      <c r="J527" s="327"/>
      <c r="L527" s="327"/>
      <c r="N527" s="327"/>
      <c r="P527" s="327"/>
      <c r="R527" s="327"/>
      <c r="T527" s="327"/>
      <c r="V527" s="327"/>
      <c r="X527" s="327"/>
      <c r="Z527" s="327"/>
      <c r="AB527" s="327"/>
      <c r="AD527" s="327"/>
      <c r="AF527" s="327"/>
    </row>
    <row r="528" spans="2:32" s="326" customFormat="1" ht="9.9499999999999993" customHeight="1" x14ac:dyDescent="0.2">
      <c r="B528" s="327"/>
      <c r="D528" s="327"/>
      <c r="F528" s="327"/>
      <c r="H528" s="327"/>
      <c r="J528" s="327"/>
      <c r="L528" s="327"/>
      <c r="N528" s="327"/>
      <c r="P528" s="327"/>
      <c r="R528" s="327"/>
      <c r="T528" s="327"/>
      <c r="V528" s="327"/>
      <c r="X528" s="327"/>
      <c r="Z528" s="327"/>
      <c r="AB528" s="327"/>
      <c r="AD528" s="327"/>
      <c r="AF528" s="327"/>
    </row>
    <row r="529" spans="2:32" s="326" customFormat="1" ht="9.9499999999999993" customHeight="1" x14ac:dyDescent="0.2">
      <c r="B529" s="327"/>
      <c r="D529" s="327"/>
      <c r="F529" s="327"/>
      <c r="H529" s="327"/>
      <c r="J529" s="327"/>
      <c r="L529" s="327"/>
      <c r="N529" s="327"/>
      <c r="P529" s="327"/>
      <c r="R529" s="327"/>
      <c r="T529" s="327"/>
      <c r="V529" s="327"/>
      <c r="X529" s="327"/>
      <c r="Z529" s="327"/>
      <c r="AB529" s="327"/>
      <c r="AD529" s="327"/>
      <c r="AF529" s="327"/>
    </row>
    <row r="530" spans="2:32" s="326" customFormat="1" ht="9.9499999999999993" customHeight="1" x14ac:dyDescent="0.2">
      <c r="B530" s="327"/>
      <c r="D530" s="327"/>
      <c r="F530" s="327"/>
      <c r="H530" s="327"/>
      <c r="J530" s="327"/>
      <c r="L530" s="327"/>
      <c r="N530" s="327"/>
      <c r="P530" s="327"/>
      <c r="R530" s="327"/>
      <c r="T530" s="327"/>
      <c r="V530" s="327"/>
      <c r="X530" s="327"/>
      <c r="Z530" s="327"/>
      <c r="AB530" s="327"/>
      <c r="AD530" s="327"/>
      <c r="AF530" s="327"/>
    </row>
    <row r="531" spans="2:32" s="326" customFormat="1" ht="9.9499999999999993" customHeight="1" x14ac:dyDescent="0.2">
      <c r="B531" s="327"/>
      <c r="D531" s="327"/>
      <c r="F531" s="327"/>
      <c r="H531" s="327"/>
      <c r="J531" s="327"/>
      <c r="L531" s="327"/>
      <c r="N531" s="327"/>
      <c r="P531" s="327"/>
      <c r="R531" s="327"/>
      <c r="T531" s="327"/>
      <c r="V531" s="327"/>
      <c r="X531" s="327"/>
      <c r="Z531" s="327"/>
      <c r="AB531" s="327"/>
      <c r="AD531" s="327"/>
      <c r="AF531" s="327"/>
    </row>
    <row r="532" spans="2:32" s="326" customFormat="1" ht="9.9499999999999993" customHeight="1" x14ac:dyDescent="0.2">
      <c r="B532" s="327"/>
      <c r="D532" s="327"/>
      <c r="F532" s="327"/>
      <c r="H532" s="327"/>
      <c r="J532" s="327"/>
      <c r="L532" s="327"/>
      <c r="N532" s="327"/>
      <c r="P532" s="327"/>
      <c r="R532" s="327"/>
      <c r="T532" s="327"/>
      <c r="V532" s="327"/>
      <c r="X532" s="327"/>
      <c r="Z532" s="327"/>
      <c r="AB532" s="327"/>
      <c r="AD532" s="327"/>
      <c r="AF532" s="327"/>
    </row>
    <row r="533" spans="2:32" s="326" customFormat="1" ht="9.9499999999999993" customHeight="1" x14ac:dyDescent="0.2">
      <c r="B533" s="327"/>
      <c r="D533" s="327"/>
      <c r="F533" s="327"/>
      <c r="H533" s="327"/>
      <c r="J533" s="327"/>
      <c r="L533" s="327"/>
      <c r="N533" s="327"/>
      <c r="P533" s="327"/>
      <c r="R533" s="327"/>
      <c r="T533" s="327"/>
      <c r="V533" s="327"/>
      <c r="X533" s="327"/>
      <c r="Z533" s="327"/>
      <c r="AB533" s="327"/>
      <c r="AD533" s="327"/>
      <c r="AF533" s="327"/>
    </row>
    <row r="534" spans="2:32" s="326" customFormat="1" ht="9.9499999999999993" customHeight="1" x14ac:dyDescent="0.2">
      <c r="B534" s="327"/>
      <c r="D534" s="327"/>
      <c r="F534" s="327"/>
      <c r="H534" s="327"/>
      <c r="J534" s="327"/>
      <c r="L534" s="327"/>
      <c r="N534" s="327"/>
      <c r="P534" s="327"/>
      <c r="R534" s="327"/>
      <c r="T534" s="327"/>
      <c r="V534" s="327"/>
      <c r="X534" s="327"/>
      <c r="Z534" s="327"/>
      <c r="AB534" s="327"/>
      <c r="AD534" s="327"/>
      <c r="AF534" s="327"/>
    </row>
    <row r="535" spans="2:32" s="326" customFormat="1" ht="9.9499999999999993" customHeight="1" x14ac:dyDescent="0.2">
      <c r="B535" s="327"/>
      <c r="D535" s="327"/>
      <c r="F535" s="327"/>
      <c r="H535" s="327"/>
      <c r="J535" s="327"/>
      <c r="L535" s="327"/>
      <c r="N535" s="327"/>
      <c r="P535" s="327"/>
      <c r="R535" s="327"/>
      <c r="T535" s="327"/>
      <c r="V535" s="327"/>
      <c r="X535" s="327"/>
      <c r="Z535" s="327"/>
      <c r="AB535" s="327"/>
      <c r="AD535" s="327"/>
      <c r="AF535" s="327"/>
    </row>
    <row r="536" spans="2:32" s="326" customFormat="1" ht="9.9499999999999993" customHeight="1" x14ac:dyDescent="0.2">
      <c r="B536" s="327"/>
      <c r="D536" s="327"/>
      <c r="F536" s="327"/>
      <c r="H536" s="327"/>
      <c r="J536" s="327"/>
      <c r="L536" s="327"/>
      <c r="N536" s="327"/>
      <c r="P536" s="327"/>
      <c r="R536" s="327"/>
      <c r="T536" s="327"/>
      <c r="V536" s="327"/>
      <c r="X536" s="327"/>
      <c r="Z536" s="327"/>
      <c r="AB536" s="327"/>
      <c r="AD536" s="327"/>
      <c r="AF536" s="327"/>
    </row>
    <row r="537" spans="2:32" s="326" customFormat="1" ht="9.9499999999999993" customHeight="1" x14ac:dyDescent="0.2">
      <c r="B537" s="327"/>
      <c r="D537" s="327"/>
      <c r="F537" s="327"/>
      <c r="H537" s="327"/>
      <c r="J537" s="327"/>
      <c r="L537" s="327"/>
      <c r="N537" s="327"/>
      <c r="P537" s="327"/>
      <c r="R537" s="327"/>
      <c r="T537" s="327"/>
      <c r="V537" s="327"/>
      <c r="X537" s="327"/>
      <c r="Z537" s="327"/>
      <c r="AB537" s="327"/>
      <c r="AD537" s="327"/>
      <c r="AF537" s="327"/>
    </row>
    <row r="538" spans="2:32" s="326" customFormat="1" ht="9.9499999999999993" customHeight="1" x14ac:dyDescent="0.2">
      <c r="B538" s="327"/>
      <c r="D538" s="327"/>
      <c r="F538" s="327"/>
      <c r="H538" s="327"/>
      <c r="J538" s="327"/>
      <c r="L538" s="327"/>
      <c r="N538" s="327"/>
      <c r="P538" s="327"/>
      <c r="R538" s="327"/>
      <c r="T538" s="327"/>
      <c r="V538" s="327"/>
      <c r="X538" s="327"/>
      <c r="Z538" s="327"/>
      <c r="AB538" s="327"/>
      <c r="AD538" s="327"/>
      <c r="AF538" s="327"/>
    </row>
    <row r="539" spans="2:32" s="326" customFormat="1" ht="9.9499999999999993" customHeight="1" x14ac:dyDescent="0.2">
      <c r="B539" s="327"/>
      <c r="D539" s="327"/>
      <c r="F539" s="327"/>
      <c r="H539" s="327"/>
      <c r="J539" s="327"/>
      <c r="L539" s="327"/>
      <c r="N539" s="327"/>
      <c r="P539" s="327"/>
      <c r="R539" s="327"/>
      <c r="T539" s="327"/>
      <c r="V539" s="327"/>
      <c r="X539" s="327"/>
      <c r="Z539" s="327"/>
      <c r="AB539" s="327"/>
      <c r="AD539" s="327"/>
      <c r="AF539" s="327"/>
    </row>
    <row r="540" spans="2:32" s="326" customFormat="1" ht="9.9499999999999993" customHeight="1" x14ac:dyDescent="0.2">
      <c r="B540" s="327"/>
      <c r="D540" s="327"/>
      <c r="F540" s="327"/>
      <c r="H540" s="327"/>
      <c r="J540" s="327"/>
      <c r="L540" s="327"/>
      <c r="N540" s="327"/>
      <c r="P540" s="327"/>
      <c r="R540" s="327"/>
      <c r="T540" s="327"/>
      <c r="V540" s="327"/>
      <c r="X540" s="327"/>
      <c r="Z540" s="327"/>
      <c r="AB540" s="327"/>
      <c r="AD540" s="327"/>
      <c r="AF540" s="327"/>
    </row>
    <row r="541" spans="2:32" s="326" customFormat="1" ht="9.9499999999999993" customHeight="1" x14ac:dyDescent="0.2">
      <c r="B541" s="327"/>
      <c r="D541" s="327"/>
      <c r="F541" s="327"/>
      <c r="H541" s="327"/>
      <c r="J541" s="327"/>
      <c r="L541" s="327"/>
      <c r="N541" s="327"/>
      <c r="P541" s="327"/>
      <c r="R541" s="327"/>
      <c r="T541" s="327"/>
      <c r="V541" s="327"/>
      <c r="X541" s="327"/>
      <c r="Z541" s="327"/>
      <c r="AB541" s="327"/>
      <c r="AD541" s="327"/>
      <c r="AF541" s="327"/>
    </row>
    <row r="542" spans="2:32" s="326" customFormat="1" ht="9.9499999999999993" customHeight="1" x14ac:dyDescent="0.2">
      <c r="B542" s="327"/>
      <c r="D542" s="327"/>
      <c r="F542" s="327"/>
      <c r="H542" s="327"/>
      <c r="J542" s="327"/>
      <c r="L542" s="327"/>
      <c r="N542" s="327"/>
      <c r="P542" s="327"/>
      <c r="R542" s="327"/>
      <c r="T542" s="327"/>
      <c r="V542" s="327"/>
      <c r="X542" s="327"/>
      <c r="Z542" s="327"/>
      <c r="AB542" s="327"/>
      <c r="AD542" s="327"/>
      <c r="AF542" s="327"/>
    </row>
    <row r="543" spans="2:32" s="326" customFormat="1" ht="9.9499999999999993" customHeight="1" x14ac:dyDescent="0.2">
      <c r="B543" s="327"/>
      <c r="D543" s="327"/>
      <c r="F543" s="327"/>
      <c r="H543" s="327"/>
      <c r="J543" s="327"/>
      <c r="L543" s="327"/>
      <c r="N543" s="327"/>
      <c r="P543" s="327"/>
      <c r="R543" s="327"/>
      <c r="T543" s="327"/>
      <c r="V543" s="327"/>
      <c r="X543" s="327"/>
      <c r="Z543" s="327"/>
      <c r="AB543" s="327"/>
      <c r="AD543" s="327"/>
      <c r="AF543" s="327"/>
    </row>
    <row r="544" spans="2:32" s="326" customFormat="1" ht="9.9499999999999993" customHeight="1" x14ac:dyDescent="0.2">
      <c r="B544" s="327"/>
      <c r="D544" s="327"/>
      <c r="F544" s="327"/>
      <c r="H544" s="327"/>
      <c r="J544" s="327"/>
      <c r="L544" s="327"/>
      <c r="N544" s="327"/>
      <c r="P544" s="327"/>
      <c r="R544" s="327"/>
      <c r="T544" s="327"/>
      <c r="V544" s="327"/>
      <c r="X544" s="327"/>
      <c r="Z544" s="327"/>
      <c r="AB544" s="327"/>
      <c r="AD544" s="327"/>
      <c r="AF544" s="327"/>
    </row>
    <row r="545" spans="2:32" s="326" customFormat="1" ht="9.9499999999999993" customHeight="1" x14ac:dyDescent="0.2">
      <c r="B545" s="327"/>
      <c r="D545" s="327"/>
      <c r="F545" s="327"/>
      <c r="H545" s="327"/>
      <c r="J545" s="327"/>
      <c r="L545" s="327"/>
      <c r="N545" s="327"/>
      <c r="P545" s="327"/>
      <c r="R545" s="327"/>
      <c r="T545" s="327"/>
      <c r="V545" s="327"/>
      <c r="X545" s="327"/>
      <c r="Z545" s="327"/>
      <c r="AB545" s="327"/>
      <c r="AD545" s="327"/>
      <c r="AF545" s="327"/>
    </row>
    <row r="546" spans="2:32" s="326" customFormat="1" ht="9.9499999999999993" customHeight="1" x14ac:dyDescent="0.2">
      <c r="B546" s="327"/>
      <c r="D546" s="327"/>
      <c r="F546" s="327"/>
      <c r="H546" s="327"/>
      <c r="J546" s="327"/>
      <c r="L546" s="327"/>
      <c r="N546" s="327"/>
      <c r="P546" s="327"/>
      <c r="R546" s="327"/>
      <c r="T546" s="327"/>
      <c r="V546" s="327"/>
      <c r="X546" s="327"/>
      <c r="Z546" s="327"/>
      <c r="AB546" s="327"/>
      <c r="AD546" s="327"/>
      <c r="AF546" s="327"/>
    </row>
    <row r="547" spans="2:32" s="326" customFormat="1" ht="9.9499999999999993" customHeight="1" x14ac:dyDescent="0.2">
      <c r="B547" s="327"/>
      <c r="D547" s="327"/>
      <c r="F547" s="327"/>
      <c r="H547" s="327"/>
      <c r="J547" s="327"/>
      <c r="L547" s="327"/>
      <c r="N547" s="327"/>
      <c r="P547" s="327"/>
      <c r="R547" s="327"/>
      <c r="T547" s="327"/>
      <c r="V547" s="327"/>
      <c r="X547" s="327"/>
      <c r="Z547" s="327"/>
      <c r="AB547" s="327"/>
      <c r="AD547" s="327"/>
      <c r="AF547" s="327"/>
    </row>
    <row r="548" spans="2:32" s="326" customFormat="1" ht="9.9499999999999993" customHeight="1" x14ac:dyDescent="0.2">
      <c r="B548" s="327"/>
      <c r="D548" s="327"/>
      <c r="F548" s="327"/>
      <c r="H548" s="327"/>
      <c r="J548" s="327"/>
      <c r="L548" s="327"/>
      <c r="N548" s="327"/>
      <c r="P548" s="327"/>
      <c r="R548" s="327"/>
      <c r="T548" s="327"/>
      <c r="V548" s="327"/>
      <c r="X548" s="327"/>
      <c r="Z548" s="327"/>
      <c r="AB548" s="327"/>
      <c r="AD548" s="327"/>
      <c r="AF548" s="327"/>
    </row>
    <row r="549" spans="2:32" s="326" customFormat="1" ht="9.9499999999999993" customHeight="1" x14ac:dyDescent="0.2">
      <c r="B549" s="327"/>
      <c r="D549" s="327"/>
      <c r="F549" s="327"/>
      <c r="H549" s="327"/>
      <c r="J549" s="327"/>
      <c r="L549" s="327"/>
      <c r="N549" s="327"/>
      <c r="P549" s="327"/>
      <c r="R549" s="327"/>
      <c r="T549" s="327"/>
      <c r="V549" s="327"/>
      <c r="X549" s="327"/>
      <c r="Z549" s="327"/>
      <c r="AB549" s="327"/>
      <c r="AD549" s="327"/>
      <c r="AF549" s="327"/>
    </row>
    <row r="550" spans="2:32" s="326" customFormat="1" ht="9.9499999999999993" customHeight="1" x14ac:dyDescent="0.2">
      <c r="B550" s="327"/>
      <c r="D550" s="327"/>
      <c r="F550" s="327"/>
      <c r="H550" s="327"/>
      <c r="J550" s="327"/>
      <c r="L550" s="327"/>
      <c r="N550" s="327"/>
      <c r="P550" s="327"/>
      <c r="R550" s="327"/>
      <c r="T550" s="327"/>
      <c r="V550" s="327"/>
      <c r="X550" s="327"/>
      <c r="Z550" s="327"/>
      <c r="AB550" s="327"/>
      <c r="AD550" s="327"/>
      <c r="AF550" s="327"/>
    </row>
    <row r="551" spans="2:32" s="326" customFormat="1" ht="9.9499999999999993" customHeight="1" x14ac:dyDescent="0.2">
      <c r="B551" s="327"/>
      <c r="D551" s="327"/>
      <c r="F551" s="327"/>
      <c r="H551" s="327"/>
      <c r="J551" s="327"/>
      <c r="L551" s="327"/>
      <c r="N551" s="327"/>
      <c r="P551" s="327"/>
      <c r="R551" s="327"/>
      <c r="T551" s="327"/>
      <c r="V551" s="327"/>
      <c r="X551" s="327"/>
      <c r="Z551" s="327"/>
      <c r="AB551" s="327"/>
      <c r="AD551" s="327"/>
      <c r="AF551" s="327"/>
    </row>
    <row r="552" spans="2:32" s="326" customFormat="1" ht="9.9499999999999993" customHeight="1" x14ac:dyDescent="0.2">
      <c r="B552" s="327"/>
      <c r="D552" s="327"/>
      <c r="F552" s="327"/>
      <c r="H552" s="327"/>
      <c r="J552" s="327"/>
      <c r="L552" s="327"/>
      <c r="N552" s="327"/>
      <c r="P552" s="327"/>
      <c r="R552" s="327"/>
      <c r="T552" s="327"/>
      <c r="V552" s="327"/>
      <c r="X552" s="327"/>
      <c r="Z552" s="327"/>
      <c r="AB552" s="327"/>
      <c r="AD552" s="327"/>
      <c r="AF552" s="327"/>
    </row>
    <row r="553" spans="2:32" s="326" customFormat="1" ht="9.9499999999999993" customHeight="1" x14ac:dyDescent="0.2">
      <c r="B553" s="327"/>
      <c r="D553" s="327"/>
      <c r="F553" s="327"/>
      <c r="H553" s="327"/>
      <c r="J553" s="327"/>
      <c r="L553" s="327"/>
      <c r="N553" s="327"/>
      <c r="P553" s="327"/>
      <c r="R553" s="327"/>
      <c r="T553" s="327"/>
      <c r="V553" s="327"/>
      <c r="X553" s="327"/>
      <c r="Z553" s="327"/>
      <c r="AB553" s="327"/>
      <c r="AD553" s="327"/>
      <c r="AF553" s="327"/>
    </row>
    <row r="554" spans="2:32" s="326" customFormat="1" ht="9.9499999999999993" customHeight="1" x14ac:dyDescent="0.2">
      <c r="B554" s="327"/>
      <c r="D554" s="327"/>
      <c r="F554" s="327"/>
      <c r="H554" s="327"/>
      <c r="J554" s="327"/>
      <c r="L554" s="327"/>
      <c r="N554" s="327"/>
      <c r="P554" s="327"/>
      <c r="R554" s="327"/>
      <c r="T554" s="327"/>
      <c r="V554" s="327"/>
      <c r="X554" s="327"/>
      <c r="Z554" s="327"/>
      <c r="AB554" s="327"/>
      <c r="AD554" s="327"/>
      <c r="AF554" s="327"/>
    </row>
    <row r="555" spans="2:32" s="326" customFormat="1" ht="9.9499999999999993" customHeight="1" x14ac:dyDescent="0.2">
      <c r="B555" s="327"/>
      <c r="D555" s="327"/>
      <c r="F555" s="327"/>
      <c r="H555" s="327"/>
      <c r="J555" s="327"/>
      <c r="L555" s="327"/>
      <c r="N555" s="327"/>
      <c r="P555" s="327"/>
      <c r="R555" s="327"/>
      <c r="T555" s="327"/>
      <c r="V555" s="327"/>
      <c r="X555" s="327"/>
      <c r="Z555" s="327"/>
      <c r="AB555" s="327"/>
      <c r="AD555" s="327"/>
      <c r="AF555" s="327"/>
    </row>
    <row r="556" spans="2:32" s="326" customFormat="1" ht="9.9499999999999993" customHeight="1" x14ac:dyDescent="0.2">
      <c r="B556" s="327"/>
      <c r="D556" s="327"/>
      <c r="F556" s="327"/>
      <c r="H556" s="327"/>
      <c r="J556" s="327"/>
      <c r="L556" s="327"/>
      <c r="N556" s="327"/>
      <c r="P556" s="327"/>
      <c r="R556" s="327"/>
      <c r="T556" s="327"/>
      <c r="V556" s="327"/>
      <c r="X556" s="327"/>
      <c r="Z556" s="327"/>
      <c r="AB556" s="327"/>
      <c r="AD556" s="327"/>
      <c r="AF556" s="327"/>
    </row>
    <row r="557" spans="2:32" s="326" customFormat="1" ht="9.9499999999999993" customHeight="1" x14ac:dyDescent="0.2">
      <c r="B557" s="327"/>
      <c r="D557" s="327"/>
      <c r="F557" s="327"/>
      <c r="H557" s="327"/>
      <c r="J557" s="327"/>
      <c r="L557" s="327"/>
      <c r="N557" s="327"/>
      <c r="P557" s="327"/>
      <c r="R557" s="327"/>
      <c r="T557" s="327"/>
      <c r="V557" s="327"/>
      <c r="X557" s="327"/>
      <c r="Z557" s="327"/>
      <c r="AB557" s="327"/>
      <c r="AD557" s="327"/>
      <c r="AF557" s="327"/>
    </row>
    <row r="558" spans="2:32" s="326" customFormat="1" ht="9.9499999999999993" customHeight="1" x14ac:dyDescent="0.2">
      <c r="B558" s="327"/>
      <c r="D558" s="327"/>
      <c r="F558" s="327"/>
      <c r="H558" s="327"/>
      <c r="J558" s="327"/>
      <c r="L558" s="327"/>
      <c r="N558" s="327"/>
      <c r="P558" s="327"/>
      <c r="R558" s="327"/>
      <c r="T558" s="327"/>
      <c r="V558" s="327"/>
      <c r="X558" s="327"/>
      <c r="Z558" s="327"/>
      <c r="AB558" s="327"/>
      <c r="AD558" s="327"/>
      <c r="AF558" s="327"/>
    </row>
    <row r="559" spans="2:32" s="326" customFormat="1" ht="9.9499999999999993" customHeight="1" x14ac:dyDescent="0.2">
      <c r="B559" s="327"/>
      <c r="D559" s="327"/>
      <c r="F559" s="327"/>
      <c r="H559" s="327"/>
      <c r="J559" s="327"/>
      <c r="L559" s="327"/>
      <c r="N559" s="327"/>
      <c r="P559" s="327"/>
      <c r="R559" s="327"/>
      <c r="T559" s="327"/>
      <c r="V559" s="327"/>
      <c r="X559" s="327"/>
      <c r="Z559" s="327"/>
      <c r="AB559" s="327"/>
      <c r="AD559" s="327"/>
      <c r="AF559" s="327"/>
    </row>
    <row r="560" spans="2:32" s="326" customFormat="1" ht="9.9499999999999993" customHeight="1" x14ac:dyDescent="0.2">
      <c r="B560" s="327"/>
      <c r="D560" s="327"/>
      <c r="F560" s="327"/>
      <c r="H560" s="327"/>
      <c r="J560" s="327"/>
      <c r="L560" s="327"/>
      <c r="N560" s="327"/>
      <c r="P560" s="327"/>
      <c r="R560" s="327"/>
      <c r="T560" s="327"/>
      <c r="V560" s="327"/>
      <c r="X560" s="327"/>
      <c r="Z560" s="327"/>
      <c r="AB560" s="327"/>
      <c r="AD560" s="327"/>
      <c r="AF560" s="327"/>
    </row>
    <row r="561" spans="2:32" s="326" customFormat="1" ht="9.9499999999999993" customHeight="1" x14ac:dyDescent="0.2">
      <c r="B561" s="327"/>
      <c r="D561" s="327"/>
      <c r="F561" s="327"/>
      <c r="H561" s="327"/>
      <c r="J561" s="327"/>
      <c r="L561" s="327"/>
      <c r="N561" s="327"/>
      <c r="P561" s="327"/>
      <c r="R561" s="327"/>
      <c r="T561" s="327"/>
      <c r="V561" s="327"/>
      <c r="X561" s="327"/>
      <c r="Z561" s="327"/>
      <c r="AB561" s="327"/>
      <c r="AD561" s="327"/>
      <c r="AF561" s="327"/>
    </row>
    <row r="562" spans="2:32" s="326" customFormat="1" ht="9.9499999999999993" customHeight="1" x14ac:dyDescent="0.2">
      <c r="B562" s="327"/>
      <c r="D562" s="327"/>
      <c r="F562" s="327"/>
      <c r="H562" s="327"/>
      <c r="J562" s="327"/>
      <c r="L562" s="327"/>
      <c r="N562" s="327"/>
      <c r="P562" s="327"/>
      <c r="R562" s="327"/>
      <c r="T562" s="327"/>
      <c r="V562" s="327"/>
      <c r="X562" s="327"/>
      <c r="Z562" s="327"/>
      <c r="AB562" s="327"/>
      <c r="AD562" s="327"/>
      <c r="AF562" s="327"/>
    </row>
    <row r="563" spans="2:32" s="326" customFormat="1" ht="9.9499999999999993" customHeight="1" x14ac:dyDescent="0.2">
      <c r="B563" s="327"/>
      <c r="D563" s="327"/>
      <c r="F563" s="327"/>
      <c r="H563" s="327"/>
      <c r="J563" s="327"/>
      <c r="L563" s="327"/>
      <c r="N563" s="327"/>
      <c r="P563" s="327"/>
      <c r="R563" s="327"/>
      <c r="T563" s="327"/>
      <c r="V563" s="327"/>
      <c r="X563" s="327"/>
      <c r="Z563" s="327"/>
      <c r="AB563" s="327"/>
      <c r="AD563" s="327"/>
      <c r="AF563" s="327"/>
    </row>
    <row r="564" spans="2:32" s="326" customFormat="1" ht="9.9499999999999993" customHeight="1" x14ac:dyDescent="0.2">
      <c r="B564" s="327"/>
      <c r="D564" s="327"/>
      <c r="F564" s="327"/>
      <c r="H564" s="327"/>
      <c r="J564" s="327"/>
      <c r="L564" s="327"/>
      <c r="N564" s="327"/>
      <c r="P564" s="327"/>
      <c r="R564" s="327"/>
      <c r="T564" s="327"/>
      <c r="V564" s="327"/>
      <c r="X564" s="327"/>
      <c r="Z564" s="327"/>
      <c r="AB564" s="327"/>
      <c r="AD564" s="327"/>
      <c r="AF564" s="327"/>
    </row>
    <row r="565" spans="2:32" s="326" customFormat="1" ht="9.9499999999999993" customHeight="1" x14ac:dyDescent="0.2">
      <c r="B565" s="327"/>
      <c r="D565" s="327"/>
      <c r="F565" s="327"/>
      <c r="H565" s="327"/>
      <c r="J565" s="327"/>
      <c r="L565" s="327"/>
      <c r="N565" s="327"/>
      <c r="P565" s="327"/>
      <c r="R565" s="327"/>
      <c r="T565" s="327"/>
      <c r="V565" s="327"/>
      <c r="X565" s="327"/>
      <c r="Z565" s="327"/>
      <c r="AB565" s="327"/>
      <c r="AD565" s="327"/>
      <c r="AF565" s="327"/>
    </row>
    <row r="566" spans="2:32" s="326" customFormat="1" ht="9.9499999999999993" customHeight="1" x14ac:dyDescent="0.2">
      <c r="B566" s="327"/>
      <c r="D566" s="327"/>
      <c r="F566" s="327"/>
      <c r="H566" s="327"/>
      <c r="J566" s="327"/>
      <c r="L566" s="327"/>
      <c r="N566" s="327"/>
      <c r="P566" s="327"/>
      <c r="R566" s="327"/>
      <c r="T566" s="327"/>
      <c r="V566" s="327"/>
      <c r="X566" s="327"/>
      <c r="Z566" s="327"/>
      <c r="AB566" s="327"/>
      <c r="AD566" s="327"/>
      <c r="AF566" s="327"/>
    </row>
    <row r="567" spans="2:32" s="326" customFormat="1" ht="9.9499999999999993" customHeight="1" x14ac:dyDescent="0.2">
      <c r="B567" s="327"/>
      <c r="D567" s="327"/>
      <c r="F567" s="327"/>
      <c r="H567" s="327"/>
      <c r="J567" s="327"/>
      <c r="L567" s="327"/>
      <c r="N567" s="327"/>
      <c r="P567" s="327"/>
      <c r="R567" s="327"/>
      <c r="T567" s="327"/>
      <c r="V567" s="327"/>
      <c r="X567" s="327"/>
      <c r="Z567" s="327"/>
      <c r="AB567" s="327"/>
      <c r="AD567" s="327"/>
      <c r="AF567" s="327"/>
    </row>
    <row r="568" spans="2:32" s="326" customFormat="1" ht="9.9499999999999993" customHeight="1" x14ac:dyDescent="0.2">
      <c r="B568" s="327"/>
      <c r="D568" s="327"/>
      <c r="F568" s="327"/>
      <c r="H568" s="327"/>
      <c r="J568" s="327"/>
      <c r="L568" s="327"/>
      <c r="N568" s="327"/>
      <c r="P568" s="327"/>
      <c r="R568" s="327"/>
      <c r="T568" s="327"/>
      <c r="V568" s="327"/>
      <c r="X568" s="327"/>
      <c r="Z568" s="327"/>
      <c r="AB568" s="327"/>
      <c r="AD568" s="327"/>
      <c r="AF568" s="327"/>
    </row>
    <row r="569" spans="2:32" s="326" customFormat="1" ht="9.9499999999999993" customHeight="1" x14ac:dyDescent="0.2">
      <c r="B569" s="327"/>
      <c r="D569" s="327"/>
      <c r="F569" s="327"/>
      <c r="H569" s="327"/>
      <c r="J569" s="327"/>
      <c r="L569" s="327"/>
      <c r="N569" s="327"/>
      <c r="P569" s="327"/>
      <c r="R569" s="327"/>
      <c r="T569" s="327"/>
      <c r="V569" s="327"/>
      <c r="X569" s="327"/>
      <c r="Z569" s="327"/>
      <c r="AB569" s="327"/>
      <c r="AD569" s="327"/>
      <c r="AF569" s="327"/>
    </row>
    <row r="570" spans="2:32" s="326" customFormat="1" ht="9.9499999999999993" customHeight="1" x14ac:dyDescent="0.2">
      <c r="B570" s="327"/>
      <c r="D570" s="327"/>
      <c r="F570" s="327"/>
      <c r="H570" s="327"/>
      <c r="J570" s="327"/>
      <c r="L570" s="327"/>
      <c r="N570" s="327"/>
      <c r="P570" s="327"/>
      <c r="R570" s="327"/>
      <c r="T570" s="327"/>
      <c r="V570" s="327"/>
      <c r="X570" s="327"/>
      <c r="Z570" s="327"/>
      <c r="AB570" s="327"/>
      <c r="AD570" s="327"/>
      <c r="AF570" s="327"/>
    </row>
    <row r="571" spans="2:32" s="326" customFormat="1" ht="9.9499999999999993" customHeight="1" x14ac:dyDescent="0.2">
      <c r="B571" s="327"/>
      <c r="D571" s="327"/>
      <c r="F571" s="327"/>
      <c r="H571" s="327"/>
      <c r="J571" s="327"/>
      <c r="L571" s="327"/>
      <c r="N571" s="327"/>
      <c r="P571" s="327"/>
      <c r="R571" s="327"/>
      <c r="T571" s="327"/>
      <c r="V571" s="327"/>
      <c r="X571" s="327"/>
      <c r="Z571" s="327"/>
      <c r="AB571" s="327"/>
      <c r="AD571" s="327"/>
      <c r="AF571" s="327"/>
    </row>
    <row r="572" spans="2:32" s="326" customFormat="1" ht="9.9499999999999993" customHeight="1" x14ac:dyDescent="0.2">
      <c r="B572" s="327"/>
      <c r="D572" s="327"/>
      <c r="F572" s="327"/>
      <c r="H572" s="327"/>
      <c r="J572" s="327"/>
      <c r="L572" s="327"/>
      <c r="N572" s="327"/>
      <c r="P572" s="327"/>
      <c r="R572" s="327"/>
      <c r="T572" s="327"/>
      <c r="V572" s="327"/>
      <c r="X572" s="327"/>
      <c r="Z572" s="327"/>
      <c r="AB572" s="327"/>
      <c r="AD572" s="327"/>
      <c r="AF572" s="327"/>
    </row>
    <row r="573" spans="2:32" s="326" customFormat="1" ht="9.9499999999999993" customHeight="1" x14ac:dyDescent="0.2">
      <c r="B573" s="327"/>
      <c r="D573" s="327"/>
      <c r="F573" s="327"/>
      <c r="H573" s="327"/>
      <c r="J573" s="327"/>
      <c r="L573" s="327"/>
      <c r="N573" s="327"/>
      <c r="P573" s="327"/>
      <c r="R573" s="327"/>
      <c r="T573" s="327"/>
      <c r="V573" s="327"/>
      <c r="X573" s="327"/>
      <c r="Z573" s="327"/>
      <c r="AB573" s="327"/>
      <c r="AD573" s="327"/>
      <c r="AF573" s="327"/>
    </row>
    <row r="574" spans="2:32" s="326" customFormat="1" ht="9.9499999999999993" customHeight="1" x14ac:dyDescent="0.2">
      <c r="B574" s="327"/>
      <c r="D574" s="327"/>
      <c r="F574" s="327"/>
      <c r="H574" s="327"/>
      <c r="J574" s="327"/>
      <c r="L574" s="327"/>
      <c r="N574" s="327"/>
      <c r="P574" s="327"/>
      <c r="R574" s="327"/>
      <c r="T574" s="327"/>
      <c r="V574" s="327"/>
      <c r="X574" s="327"/>
      <c r="Z574" s="327"/>
      <c r="AB574" s="327"/>
      <c r="AD574" s="327"/>
      <c r="AF574" s="327"/>
    </row>
    <row r="575" spans="2:32" s="326" customFormat="1" ht="9.9499999999999993" customHeight="1" x14ac:dyDescent="0.2">
      <c r="B575" s="327"/>
      <c r="D575" s="327"/>
      <c r="F575" s="327"/>
      <c r="H575" s="327"/>
      <c r="J575" s="327"/>
      <c r="L575" s="327"/>
      <c r="N575" s="327"/>
      <c r="P575" s="327"/>
      <c r="R575" s="327"/>
      <c r="T575" s="327"/>
      <c r="V575" s="327"/>
      <c r="X575" s="327"/>
      <c r="Z575" s="327"/>
      <c r="AB575" s="327"/>
      <c r="AD575" s="327"/>
      <c r="AF575" s="327"/>
    </row>
    <row r="576" spans="2:32" s="326" customFormat="1" ht="9.9499999999999993" customHeight="1" x14ac:dyDescent="0.2">
      <c r="B576" s="327"/>
      <c r="D576" s="327"/>
      <c r="F576" s="327"/>
      <c r="H576" s="327"/>
      <c r="J576" s="327"/>
      <c r="L576" s="327"/>
      <c r="N576" s="327"/>
      <c r="P576" s="327"/>
      <c r="R576" s="327"/>
      <c r="T576" s="327"/>
      <c r="V576" s="327"/>
      <c r="X576" s="327"/>
      <c r="Z576" s="327"/>
      <c r="AB576" s="327"/>
      <c r="AD576" s="327"/>
      <c r="AF576" s="327"/>
    </row>
    <row r="577" spans="2:32" s="326" customFormat="1" ht="9.9499999999999993" customHeight="1" x14ac:dyDescent="0.2">
      <c r="B577" s="327"/>
      <c r="D577" s="327"/>
      <c r="F577" s="327"/>
      <c r="H577" s="327"/>
      <c r="J577" s="327"/>
      <c r="L577" s="327"/>
      <c r="N577" s="327"/>
      <c r="P577" s="327"/>
      <c r="R577" s="327"/>
      <c r="T577" s="327"/>
      <c r="V577" s="327"/>
      <c r="X577" s="327"/>
      <c r="Z577" s="327"/>
      <c r="AB577" s="327"/>
      <c r="AD577" s="327"/>
      <c r="AF577" s="327"/>
    </row>
    <row r="578" spans="2:32" s="326" customFormat="1" ht="9.9499999999999993" customHeight="1" x14ac:dyDescent="0.2">
      <c r="B578" s="327"/>
      <c r="D578" s="327"/>
      <c r="F578" s="327"/>
      <c r="H578" s="327"/>
      <c r="J578" s="327"/>
      <c r="L578" s="327"/>
      <c r="N578" s="327"/>
      <c r="P578" s="327"/>
      <c r="R578" s="327"/>
      <c r="T578" s="327"/>
      <c r="V578" s="327"/>
      <c r="X578" s="327"/>
      <c r="Z578" s="327"/>
      <c r="AB578" s="327"/>
      <c r="AD578" s="327"/>
      <c r="AF578" s="327"/>
    </row>
    <row r="579" spans="2:32" s="326" customFormat="1" ht="9.9499999999999993" customHeight="1" x14ac:dyDescent="0.2">
      <c r="B579" s="327"/>
      <c r="D579" s="327"/>
      <c r="F579" s="327"/>
      <c r="H579" s="327"/>
      <c r="J579" s="327"/>
      <c r="L579" s="327"/>
      <c r="N579" s="327"/>
      <c r="P579" s="327"/>
      <c r="R579" s="327"/>
      <c r="T579" s="327"/>
      <c r="V579" s="327"/>
      <c r="X579" s="327"/>
      <c r="Z579" s="327"/>
      <c r="AB579" s="327"/>
      <c r="AD579" s="327"/>
      <c r="AF579" s="327"/>
    </row>
    <row r="580" spans="2:32" s="326" customFormat="1" ht="9.9499999999999993" customHeight="1" x14ac:dyDescent="0.2">
      <c r="B580" s="327"/>
      <c r="D580" s="327"/>
      <c r="F580" s="327"/>
      <c r="H580" s="327"/>
      <c r="J580" s="327"/>
      <c r="L580" s="327"/>
      <c r="N580" s="327"/>
      <c r="P580" s="327"/>
      <c r="R580" s="327"/>
      <c r="T580" s="327"/>
      <c r="V580" s="327"/>
      <c r="X580" s="327"/>
      <c r="Z580" s="327"/>
      <c r="AB580" s="327"/>
      <c r="AD580" s="327"/>
      <c r="AF580" s="327"/>
    </row>
    <row r="581" spans="2:32" s="326" customFormat="1" ht="9.9499999999999993" customHeight="1" x14ac:dyDescent="0.2">
      <c r="B581" s="327"/>
      <c r="D581" s="327"/>
      <c r="F581" s="327"/>
      <c r="H581" s="327"/>
      <c r="J581" s="327"/>
      <c r="L581" s="327"/>
      <c r="N581" s="327"/>
      <c r="P581" s="327"/>
      <c r="R581" s="327"/>
      <c r="T581" s="327"/>
      <c r="V581" s="327"/>
      <c r="X581" s="327"/>
      <c r="Z581" s="327"/>
      <c r="AB581" s="327"/>
      <c r="AD581" s="327"/>
      <c r="AF581" s="327"/>
    </row>
    <row r="582" spans="2:32" s="326" customFormat="1" ht="9.9499999999999993" customHeight="1" x14ac:dyDescent="0.2">
      <c r="B582" s="327"/>
      <c r="D582" s="327"/>
      <c r="F582" s="327"/>
      <c r="H582" s="327"/>
      <c r="J582" s="327"/>
      <c r="L582" s="327"/>
      <c r="N582" s="327"/>
      <c r="P582" s="327"/>
      <c r="R582" s="327"/>
      <c r="T582" s="327"/>
      <c r="V582" s="327"/>
      <c r="X582" s="327"/>
      <c r="Z582" s="327"/>
      <c r="AB582" s="327"/>
      <c r="AD582" s="327"/>
      <c r="AF582" s="327"/>
    </row>
    <row r="583" spans="2:32" s="326" customFormat="1" ht="9.9499999999999993" customHeight="1" x14ac:dyDescent="0.2">
      <c r="B583" s="327"/>
      <c r="D583" s="327"/>
      <c r="F583" s="327"/>
      <c r="H583" s="327"/>
      <c r="J583" s="327"/>
      <c r="L583" s="327"/>
      <c r="N583" s="327"/>
      <c r="P583" s="327"/>
      <c r="R583" s="327"/>
      <c r="T583" s="327"/>
      <c r="V583" s="327"/>
      <c r="X583" s="327"/>
      <c r="Z583" s="327"/>
      <c r="AB583" s="327"/>
      <c r="AD583" s="327"/>
      <c r="AF583" s="327"/>
    </row>
    <row r="584" spans="2:32" s="326" customFormat="1" ht="9.9499999999999993" customHeight="1" x14ac:dyDescent="0.2">
      <c r="B584" s="327"/>
      <c r="D584" s="327"/>
      <c r="F584" s="327"/>
      <c r="H584" s="327"/>
      <c r="J584" s="327"/>
      <c r="L584" s="327"/>
      <c r="N584" s="327"/>
      <c r="P584" s="327"/>
      <c r="R584" s="327"/>
      <c r="T584" s="327"/>
      <c r="V584" s="327"/>
      <c r="X584" s="327"/>
      <c r="Z584" s="327"/>
      <c r="AB584" s="327"/>
      <c r="AD584" s="327"/>
      <c r="AF584" s="327"/>
    </row>
    <row r="585" spans="2:32" s="326" customFormat="1" ht="9.9499999999999993" customHeight="1" x14ac:dyDescent="0.2">
      <c r="B585" s="327"/>
      <c r="D585" s="327"/>
      <c r="F585" s="327"/>
      <c r="H585" s="327"/>
      <c r="J585" s="327"/>
      <c r="L585" s="327"/>
      <c r="N585" s="327"/>
      <c r="P585" s="327"/>
      <c r="R585" s="327"/>
      <c r="T585" s="327"/>
      <c r="V585" s="327"/>
      <c r="X585" s="327"/>
      <c r="Z585" s="327"/>
      <c r="AB585" s="327"/>
      <c r="AD585" s="327"/>
      <c r="AF585" s="327"/>
    </row>
    <row r="586" spans="2:32" s="326" customFormat="1" ht="9.9499999999999993" customHeight="1" x14ac:dyDescent="0.2">
      <c r="B586" s="327"/>
      <c r="D586" s="327"/>
      <c r="F586" s="327"/>
      <c r="H586" s="327"/>
      <c r="J586" s="327"/>
      <c r="L586" s="327"/>
      <c r="N586" s="327"/>
      <c r="P586" s="327"/>
      <c r="R586" s="327"/>
      <c r="T586" s="327"/>
      <c r="V586" s="327"/>
      <c r="X586" s="327"/>
      <c r="Z586" s="327"/>
      <c r="AB586" s="327"/>
      <c r="AD586" s="327"/>
      <c r="AF586" s="327"/>
    </row>
    <row r="587" spans="2:32" s="326" customFormat="1" ht="9.9499999999999993" customHeight="1" x14ac:dyDescent="0.2">
      <c r="B587" s="327"/>
      <c r="D587" s="327"/>
      <c r="F587" s="327"/>
      <c r="H587" s="327"/>
      <c r="J587" s="327"/>
      <c r="L587" s="327"/>
      <c r="N587" s="327"/>
      <c r="P587" s="327"/>
      <c r="R587" s="327"/>
      <c r="T587" s="327"/>
      <c r="V587" s="327"/>
      <c r="X587" s="327"/>
      <c r="Z587" s="327"/>
      <c r="AB587" s="327"/>
      <c r="AD587" s="327"/>
      <c r="AF587" s="327"/>
    </row>
    <row r="588" spans="2:32" s="326" customFormat="1" ht="9.9499999999999993" customHeight="1" x14ac:dyDescent="0.2">
      <c r="B588" s="327"/>
      <c r="D588" s="327"/>
      <c r="F588" s="327"/>
      <c r="H588" s="327"/>
      <c r="J588" s="327"/>
      <c r="L588" s="327"/>
      <c r="N588" s="327"/>
      <c r="P588" s="327"/>
      <c r="R588" s="327"/>
      <c r="T588" s="327"/>
      <c r="V588" s="327"/>
      <c r="X588" s="327"/>
      <c r="Z588" s="327"/>
      <c r="AB588" s="327"/>
      <c r="AD588" s="327"/>
      <c r="AF588" s="327"/>
    </row>
    <row r="589" spans="2:32" s="326" customFormat="1" ht="9.9499999999999993" customHeight="1" x14ac:dyDescent="0.2">
      <c r="B589" s="327"/>
      <c r="D589" s="327"/>
      <c r="F589" s="327"/>
      <c r="H589" s="327"/>
      <c r="J589" s="327"/>
      <c r="L589" s="327"/>
      <c r="N589" s="327"/>
      <c r="P589" s="327"/>
      <c r="R589" s="327"/>
      <c r="T589" s="327"/>
      <c r="V589" s="327"/>
      <c r="X589" s="327"/>
      <c r="Z589" s="327"/>
      <c r="AB589" s="327"/>
      <c r="AD589" s="327"/>
      <c r="AF589" s="327"/>
    </row>
    <row r="590" spans="2:32" s="326" customFormat="1" ht="9.9499999999999993" customHeight="1" x14ac:dyDescent="0.2">
      <c r="B590" s="327"/>
      <c r="D590" s="327"/>
      <c r="F590" s="327"/>
      <c r="H590" s="327"/>
      <c r="J590" s="327"/>
      <c r="L590" s="327"/>
      <c r="N590" s="327"/>
      <c r="P590" s="327"/>
      <c r="R590" s="327"/>
      <c r="T590" s="327"/>
      <c r="V590" s="327"/>
      <c r="X590" s="327"/>
      <c r="Z590" s="327"/>
      <c r="AB590" s="327"/>
      <c r="AD590" s="327"/>
      <c r="AF590" s="327"/>
    </row>
    <row r="591" spans="2:32" s="326" customFormat="1" ht="9.9499999999999993" customHeight="1" x14ac:dyDescent="0.2">
      <c r="B591" s="327"/>
      <c r="D591" s="327"/>
      <c r="F591" s="327"/>
      <c r="H591" s="327"/>
      <c r="J591" s="327"/>
      <c r="L591" s="327"/>
      <c r="N591" s="327"/>
      <c r="P591" s="327"/>
      <c r="R591" s="327"/>
      <c r="T591" s="327"/>
      <c r="V591" s="327"/>
      <c r="X591" s="327"/>
      <c r="Z591" s="327"/>
      <c r="AB591" s="327"/>
      <c r="AD591" s="327"/>
      <c r="AF591" s="327"/>
    </row>
    <row r="592" spans="2:32" s="326" customFormat="1" ht="9.9499999999999993" customHeight="1" x14ac:dyDescent="0.2">
      <c r="B592" s="327"/>
      <c r="D592" s="327"/>
      <c r="F592" s="327"/>
      <c r="H592" s="327"/>
      <c r="J592" s="327"/>
      <c r="L592" s="327"/>
      <c r="N592" s="327"/>
      <c r="P592" s="327"/>
      <c r="R592" s="327"/>
      <c r="T592" s="327"/>
      <c r="V592" s="327"/>
      <c r="X592" s="327"/>
      <c r="Z592" s="327"/>
      <c r="AB592" s="327"/>
      <c r="AD592" s="327"/>
      <c r="AF592" s="327"/>
    </row>
    <row r="593" spans="2:32" s="326" customFormat="1" ht="9.9499999999999993" customHeight="1" x14ac:dyDescent="0.2">
      <c r="B593" s="327"/>
      <c r="D593" s="327"/>
      <c r="F593" s="327"/>
      <c r="H593" s="327"/>
      <c r="J593" s="327"/>
      <c r="L593" s="327"/>
      <c r="N593" s="327"/>
      <c r="P593" s="327"/>
      <c r="R593" s="327"/>
      <c r="T593" s="327"/>
      <c r="V593" s="327"/>
      <c r="X593" s="327"/>
      <c r="Z593" s="327"/>
      <c r="AB593" s="327"/>
      <c r="AD593" s="327"/>
      <c r="AF593" s="327"/>
    </row>
    <row r="594" spans="2:32" s="326" customFormat="1" ht="9.9499999999999993" customHeight="1" x14ac:dyDescent="0.2">
      <c r="B594" s="327"/>
      <c r="D594" s="327"/>
      <c r="F594" s="327"/>
      <c r="H594" s="327"/>
      <c r="J594" s="327"/>
      <c r="L594" s="327"/>
      <c r="N594" s="327"/>
      <c r="P594" s="327"/>
      <c r="R594" s="327"/>
      <c r="T594" s="327"/>
      <c r="V594" s="327"/>
      <c r="X594" s="327"/>
      <c r="Z594" s="327"/>
      <c r="AB594" s="327"/>
      <c r="AD594" s="327"/>
      <c r="AF594" s="327"/>
    </row>
    <row r="595" spans="2:32" s="326" customFormat="1" ht="9.9499999999999993" customHeight="1" x14ac:dyDescent="0.2">
      <c r="B595" s="327"/>
      <c r="D595" s="327"/>
      <c r="F595" s="327"/>
      <c r="H595" s="327"/>
      <c r="J595" s="327"/>
      <c r="L595" s="327"/>
      <c r="N595" s="327"/>
      <c r="P595" s="327"/>
      <c r="R595" s="327"/>
      <c r="T595" s="327"/>
      <c r="V595" s="327"/>
      <c r="X595" s="327"/>
      <c r="Z595" s="327"/>
      <c r="AB595" s="327"/>
      <c r="AD595" s="327"/>
      <c r="AF595" s="327"/>
    </row>
    <row r="596" spans="2:32" s="326" customFormat="1" ht="9.9499999999999993" customHeight="1" x14ac:dyDescent="0.2">
      <c r="B596" s="327"/>
      <c r="D596" s="327"/>
      <c r="F596" s="327"/>
      <c r="H596" s="327"/>
      <c r="J596" s="327"/>
      <c r="L596" s="327"/>
      <c r="N596" s="327"/>
      <c r="P596" s="327"/>
      <c r="R596" s="327"/>
      <c r="T596" s="327"/>
      <c r="V596" s="327"/>
      <c r="X596" s="327"/>
      <c r="Z596" s="327"/>
      <c r="AB596" s="327"/>
      <c r="AD596" s="327"/>
      <c r="AF596" s="327"/>
    </row>
    <row r="597" spans="2:32" s="326" customFormat="1" ht="9.9499999999999993" customHeight="1" x14ac:dyDescent="0.2">
      <c r="B597" s="327"/>
      <c r="D597" s="327"/>
      <c r="F597" s="327"/>
      <c r="H597" s="327"/>
      <c r="J597" s="327"/>
      <c r="L597" s="327"/>
      <c r="N597" s="327"/>
      <c r="P597" s="327"/>
      <c r="R597" s="327"/>
      <c r="T597" s="327"/>
      <c r="V597" s="327"/>
      <c r="X597" s="327"/>
      <c r="Z597" s="327"/>
      <c r="AB597" s="327"/>
      <c r="AD597" s="327"/>
      <c r="AF597" s="327"/>
    </row>
    <row r="598" spans="2:32" s="326" customFormat="1" ht="9.9499999999999993" customHeight="1" x14ac:dyDescent="0.2">
      <c r="B598" s="327"/>
      <c r="D598" s="327"/>
      <c r="F598" s="327"/>
      <c r="H598" s="327"/>
      <c r="J598" s="327"/>
      <c r="L598" s="327"/>
      <c r="N598" s="327"/>
      <c r="P598" s="327"/>
      <c r="R598" s="327"/>
      <c r="T598" s="327"/>
      <c r="V598" s="327"/>
      <c r="X598" s="327"/>
      <c r="Z598" s="327"/>
      <c r="AB598" s="327"/>
      <c r="AD598" s="327"/>
      <c r="AF598" s="327"/>
    </row>
    <row r="599" spans="2:32" s="326" customFormat="1" ht="9.9499999999999993" customHeight="1" x14ac:dyDescent="0.2">
      <c r="B599" s="327"/>
      <c r="D599" s="327"/>
      <c r="F599" s="327"/>
      <c r="H599" s="327"/>
      <c r="J599" s="327"/>
      <c r="L599" s="327"/>
      <c r="N599" s="327"/>
      <c r="P599" s="327"/>
      <c r="R599" s="327"/>
      <c r="T599" s="327"/>
      <c r="V599" s="327"/>
      <c r="X599" s="327"/>
      <c r="Z599" s="327"/>
      <c r="AB599" s="327"/>
      <c r="AD599" s="327"/>
      <c r="AF599" s="327"/>
    </row>
    <row r="600" spans="2:32" s="326" customFormat="1" ht="9.9499999999999993" customHeight="1" x14ac:dyDescent="0.2">
      <c r="B600" s="327"/>
      <c r="D600" s="327"/>
      <c r="F600" s="327"/>
      <c r="H600" s="327"/>
      <c r="J600" s="327"/>
      <c r="L600" s="327"/>
      <c r="N600" s="327"/>
      <c r="P600" s="327"/>
      <c r="R600" s="327"/>
      <c r="T600" s="327"/>
      <c r="V600" s="327"/>
      <c r="X600" s="327"/>
      <c r="Z600" s="327"/>
      <c r="AB600" s="327"/>
      <c r="AD600" s="327"/>
      <c r="AF600" s="327"/>
    </row>
    <row r="601" spans="2:32" s="326" customFormat="1" ht="9.9499999999999993" customHeight="1" x14ac:dyDescent="0.2">
      <c r="B601" s="327"/>
      <c r="D601" s="327"/>
      <c r="F601" s="327"/>
      <c r="H601" s="327"/>
      <c r="J601" s="327"/>
      <c r="L601" s="327"/>
      <c r="N601" s="327"/>
      <c r="P601" s="327"/>
      <c r="R601" s="327"/>
      <c r="T601" s="327"/>
      <c r="V601" s="327"/>
      <c r="X601" s="327"/>
      <c r="Z601" s="327"/>
      <c r="AB601" s="327"/>
      <c r="AD601" s="327"/>
      <c r="AF601" s="327"/>
    </row>
    <row r="602" spans="2:32" s="326" customFormat="1" ht="9.9499999999999993" customHeight="1" x14ac:dyDescent="0.2">
      <c r="B602" s="327"/>
      <c r="D602" s="327"/>
      <c r="F602" s="327"/>
      <c r="H602" s="327"/>
      <c r="J602" s="327"/>
      <c r="L602" s="327"/>
      <c r="N602" s="327"/>
      <c r="P602" s="327"/>
      <c r="R602" s="327"/>
      <c r="T602" s="327"/>
      <c r="V602" s="327"/>
      <c r="X602" s="327"/>
      <c r="Z602" s="327"/>
      <c r="AB602" s="327"/>
      <c r="AD602" s="327"/>
      <c r="AF602" s="327"/>
    </row>
    <row r="603" spans="2:32" s="326" customFormat="1" ht="9.9499999999999993" customHeight="1" x14ac:dyDescent="0.2">
      <c r="B603" s="327"/>
      <c r="D603" s="327"/>
      <c r="F603" s="327"/>
      <c r="H603" s="327"/>
      <c r="J603" s="327"/>
      <c r="L603" s="327"/>
      <c r="N603" s="327"/>
      <c r="P603" s="327"/>
      <c r="R603" s="327"/>
      <c r="T603" s="327"/>
      <c r="V603" s="327"/>
      <c r="X603" s="327"/>
      <c r="Z603" s="327"/>
      <c r="AB603" s="327"/>
      <c r="AD603" s="327"/>
      <c r="AF603" s="327"/>
    </row>
    <row r="604" spans="2:32" s="326" customFormat="1" ht="9.9499999999999993" customHeight="1" x14ac:dyDescent="0.2">
      <c r="B604" s="327"/>
      <c r="D604" s="327"/>
      <c r="F604" s="327"/>
      <c r="H604" s="327"/>
      <c r="J604" s="327"/>
      <c r="L604" s="327"/>
      <c r="N604" s="327"/>
      <c r="P604" s="327"/>
      <c r="R604" s="327"/>
      <c r="T604" s="327"/>
      <c r="V604" s="327"/>
      <c r="X604" s="327"/>
      <c r="Z604" s="327"/>
      <c r="AB604" s="327"/>
      <c r="AD604" s="327"/>
      <c r="AF604" s="327"/>
    </row>
    <row r="605" spans="2:32" s="326" customFormat="1" ht="9.9499999999999993" customHeight="1" x14ac:dyDescent="0.2">
      <c r="B605" s="327"/>
      <c r="D605" s="327"/>
      <c r="F605" s="327"/>
      <c r="H605" s="327"/>
      <c r="J605" s="327"/>
      <c r="L605" s="327"/>
      <c r="N605" s="327"/>
      <c r="P605" s="327"/>
      <c r="R605" s="327"/>
      <c r="T605" s="327"/>
      <c r="V605" s="327"/>
      <c r="X605" s="327"/>
      <c r="Z605" s="327"/>
      <c r="AB605" s="327"/>
      <c r="AD605" s="327"/>
      <c r="AF605" s="327"/>
    </row>
    <row r="606" spans="2:32" s="326" customFormat="1" ht="9.9499999999999993" customHeight="1" x14ac:dyDescent="0.2">
      <c r="B606" s="327"/>
      <c r="D606" s="327"/>
      <c r="F606" s="327"/>
      <c r="H606" s="327"/>
      <c r="J606" s="327"/>
      <c r="L606" s="327"/>
      <c r="N606" s="327"/>
      <c r="P606" s="327"/>
      <c r="R606" s="327"/>
      <c r="T606" s="327"/>
      <c r="V606" s="327"/>
      <c r="X606" s="327"/>
      <c r="Z606" s="327"/>
      <c r="AB606" s="327"/>
      <c r="AD606" s="327"/>
      <c r="AF606" s="327"/>
    </row>
    <row r="607" spans="2:32" s="326" customFormat="1" ht="9.9499999999999993" customHeight="1" x14ac:dyDescent="0.2">
      <c r="B607" s="327"/>
      <c r="D607" s="327"/>
      <c r="F607" s="327"/>
      <c r="H607" s="327"/>
      <c r="J607" s="327"/>
      <c r="L607" s="327"/>
      <c r="N607" s="327"/>
      <c r="P607" s="327"/>
      <c r="R607" s="327"/>
      <c r="T607" s="327"/>
      <c r="V607" s="327"/>
      <c r="X607" s="327"/>
      <c r="Z607" s="327"/>
      <c r="AB607" s="327"/>
      <c r="AD607" s="327"/>
      <c r="AF607" s="327"/>
    </row>
    <row r="608" spans="2:32" s="326" customFormat="1" ht="9.9499999999999993" customHeight="1" x14ac:dyDescent="0.2">
      <c r="B608" s="327"/>
      <c r="D608" s="327"/>
      <c r="F608" s="327"/>
      <c r="H608" s="327"/>
      <c r="J608" s="327"/>
      <c r="L608" s="327"/>
      <c r="N608" s="327"/>
      <c r="P608" s="327"/>
      <c r="R608" s="327"/>
      <c r="T608" s="327"/>
      <c r="V608" s="327"/>
      <c r="X608" s="327"/>
      <c r="Z608" s="327"/>
      <c r="AB608" s="327"/>
      <c r="AD608" s="327"/>
      <c r="AF608" s="327"/>
    </row>
    <row r="609" spans="2:32" s="326" customFormat="1" ht="9.9499999999999993" customHeight="1" x14ac:dyDescent="0.2">
      <c r="B609" s="327"/>
      <c r="D609" s="327"/>
      <c r="F609" s="327"/>
      <c r="H609" s="327"/>
      <c r="J609" s="327"/>
      <c r="L609" s="327"/>
      <c r="N609" s="327"/>
      <c r="P609" s="327"/>
      <c r="R609" s="327"/>
      <c r="T609" s="327"/>
      <c r="V609" s="327"/>
      <c r="X609" s="327"/>
      <c r="Z609" s="327"/>
      <c r="AB609" s="327"/>
      <c r="AD609" s="327"/>
      <c r="AF609" s="327"/>
    </row>
    <row r="610" spans="2:32" s="326" customFormat="1" ht="9.9499999999999993" customHeight="1" x14ac:dyDescent="0.2">
      <c r="B610" s="327"/>
      <c r="D610" s="327"/>
      <c r="F610" s="327"/>
      <c r="H610" s="327"/>
      <c r="J610" s="327"/>
      <c r="L610" s="327"/>
      <c r="N610" s="327"/>
      <c r="P610" s="327"/>
      <c r="R610" s="327"/>
      <c r="T610" s="327"/>
      <c r="V610" s="327"/>
      <c r="X610" s="327"/>
      <c r="Z610" s="327"/>
      <c r="AB610" s="327"/>
      <c r="AD610" s="327"/>
      <c r="AF610" s="327"/>
    </row>
    <row r="611" spans="2:32" s="326" customFormat="1" ht="9.9499999999999993" customHeight="1" x14ac:dyDescent="0.2">
      <c r="B611" s="327"/>
      <c r="D611" s="327"/>
      <c r="F611" s="327"/>
      <c r="H611" s="327"/>
      <c r="J611" s="327"/>
      <c r="L611" s="327"/>
      <c r="N611" s="327"/>
      <c r="P611" s="327"/>
      <c r="R611" s="327"/>
      <c r="T611" s="327"/>
      <c r="V611" s="327"/>
      <c r="X611" s="327"/>
      <c r="Z611" s="327"/>
      <c r="AB611" s="327"/>
      <c r="AD611" s="327"/>
      <c r="AF611" s="327"/>
    </row>
    <row r="612" spans="2:32" s="326" customFormat="1" ht="9.9499999999999993" customHeight="1" x14ac:dyDescent="0.2">
      <c r="B612" s="327"/>
      <c r="D612" s="327"/>
      <c r="F612" s="327"/>
      <c r="H612" s="327"/>
      <c r="J612" s="327"/>
      <c r="L612" s="327"/>
      <c r="N612" s="327"/>
      <c r="P612" s="327"/>
      <c r="R612" s="327"/>
      <c r="T612" s="327"/>
      <c r="V612" s="327"/>
      <c r="X612" s="327"/>
      <c r="Z612" s="327"/>
      <c r="AB612" s="327"/>
      <c r="AD612" s="327"/>
      <c r="AF612" s="327"/>
    </row>
    <row r="613" spans="2:32" s="326" customFormat="1" ht="9.9499999999999993" customHeight="1" x14ac:dyDescent="0.2">
      <c r="B613" s="327"/>
      <c r="D613" s="327"/>
      <c r="F613" s="327"/>
      <c r="H613" s="327"/>
      <c r="J613" s="327"/>
      <c r="L613" s="327"/>
      <c r="N613" s="327"/>
      <c r="P613" s="327"/>
      <c r="R613" s="327"/>
      <c r="T613" s="327"/>
      <c r="V613" s="327"/>
      <c r="X613" s="327"/>
      <c r="Z613" s="327"/>
      <c r="AB613" s="327"/>
      <c r="AD613" s="327"/>
      <c r="AF613" s="327"/>
    </row>
    <row r="614" spans="2:32" s="326" customFormat="1" ht="9.9499999999999993" customHeight="1" x14ac:dyDescent="0.2">
      <c r="B614" s="327"/>
      <c r="D614" s="327"/>
      <c r="F614" s="327"/>
      <c r="H614" s="327"/>
      <c r="J614" s="327"/>
      <c r="L614" s="327"/>
      <c r="N614" s="327"/>
      <c r="P614" s="327"/>
      <c r="R614" s="327"/>
      <c r="T614" s="327"/>
      <c r="V614" s="327"/>
      <c r="X614" s="327"/>
      <c r="Z614" s="327"/>
      <c r="AB614" s="327"/>
      <c r="AD614" s="327"/>
      <c r="AF614" s="327"/>
    </row>
    <row r="615" spans="2:32" s="326" customFormat="1" ht="9.9499999999999993" customHeight="1" x14ac:dyDescent="0.2">
      <c r="B615" s="327"/>
      <c r="D615" s="327"/>
      <c r="F615" s="327"/>
      <c r="H615" s="327"/>
      <c r="J615" s="327"/>
      <c r="L615" s="327"/>
      <c r="N615" s="327"/>
      <c r="P615" s="327"/>
      <c r="R615" s="327"/>
      <c r="T615" s="327"/>
      <c r="V615" s="327"/>
      <c r="X615" s="327"/>
      <c r="Z615" s="327"/>
      <c r="AB615" s="327"/>
      <c r="AD615" s="327"/>
      <c r="AF615" s="327"/>
    </row>
    <row r="616" spans="2:32" s="326" customFormat="1" ht="9.9499999999999993" customHeight="1" x14ac:dyDescent="0.2">
      <c r="B616" s="327"/>
      <c r="D616" s="327"/>
      <c r="F616" s="327"/>
      <c r="H616" s="327"/>
      <c r="J616" s="327"/>
      <c r="L616" s="327"/>
      <c r="N616" s="327"/>
      <c r="P616" s="327"/>
      <c r="R616" s="327"/>
      <c r="T616" s="327"/>
      <c r="V616" s="327"/>
      <c r="X616" s="327"/>
      <c r="Z616" s="327"/>
      <c r="AB616" s="327"/>
      <c r="AD616" s="327"/>
      <c r="AF616" s="327"/>
    </row>
    <row r="617" spans="2:32" s="326" customFormat="1" ht="9.9499999999999993" customHeight="1" x14ac:dyDescent="0.2">
      <c r="B617" s="327"/>
      <c r="D617" s="327"/>
      <c r="F617" s="327"/>
      <c r="H617" s="327"/>
      <c r="J617" s="327"/>
      <c r="L617" s="327"/>
      <c r="N617" s="327"/>
      <c r="P617" s="327"/>
      <c r="R617" s="327"/>
      <c r="T617" s="327"/>
      <c r="V617" s="327"/>
      <c r="X617" s="327"/>
      <c r="Z617" s="327"/>
      <c r="AB617" s="327"/>
      <c r="AD617" s="327"/>
      <c r="AF617" s="327"/>
    </row>
    <row r="618" spans="2:32" s="326" customFormat="1" ht="9.9499999999999993" customHeight="1" x14ac:dyDescent="0.2">
      <c r="B618" s="327"/>
      <c r="D618" s="327"/>
      <c r="F618" s="327"/>
      <c r="H618" s="327"/>
      <c r="J618" s="327"/>
      <c r="L618" s="327"/>
      <c r="N618" s="327"/>
      <c r="P618" s="327"/>
      <c r="R618" s="327"/>
      <c r="T618" s="327"/>
      <c r="V618" s="327"/>
      <c r="X618" s="327"/>
      <c r="Z618" s="327"/>
      <c r="AB618" s="327"/>
      <c r="AD618" s="327"/>
      <c r="AF618" s="327"/>
    </row>
    <row r="619" spans="2:32" s="326" customFormat="1" ht="9.9499999999999993" customHeight="1" x14ac:dyDescent="0.2">
      <c r="B619" s="327"/>
      <c r="D619" s="327"/>
      <c r="F619" s="327"/>
      <c r="H619" s="327"/>
      <c r="J619" s="327"/>
      <c r="L619" s="327"/>
      <c r="N619" s="327"/>
      <c r="P619" s="327"/>
      <c r="R619" s="327"/>
      <c r="T619" s="327"/>
      <c r="V619" s="327"/>
      <c r="X619" s="327"/>
      <c r="Z619" s="327"/>
      <c r="AB619" s="327"/>
      <c r="AD619" s="327"/>
      <c r="AF619" s="327"/>
    </row>
    <row r="620" spans="2:32" s="326" customFormat="1" ht="9.9499999999999993" customHeight="1" x14ac:dyDescent="0.2">
      <c r="B620" s="327"/>
      <c r="D620" s="327"/>
      <c r="F620" s="327"/>
      <c r="H620" s="327"/>
      <c r="J620" s="327"/>
      <c r="L620" s="327"/>
      <c r="N620" s="327"/>
      <c r="P620" s="327"/>
      <c r="R620" s="327"/>
      <c r="T620" s="327"/>
      <c r="V620" s="327"/>
      <c r="X620" s="327"/>
      <c r="Z620" s="327"/>
      <c r="AB620" s="327"/>
      <c r="AD620" s="327"/>
      <c r="AF620" s="327"/>
    </row>
    <row r="621" spans="2:32" s="326" customFormat="1" ht="9.9499999999999993" customHeight="1" x14ac:dyDescent="0.2">
      <c r="B621" s="327"/>
      <c r="D621" s="327"/>
      <c r="F621" s="327"/>
      <c r="H621" s="327"/>
      <c r="J621" s="327"/>
      <c r="L621" s="327"/>
      <c r="N621" s="327"/>
      <c r="P621" s="327"/>
      <c r="R621" s="327"/>
      <c r="T621" s="327"/>
      <c r="V621" s="327"/>
      <c r="X621" s="327"/>
      <c r="Z621" s="327"/>
      <c r="AB621" s="327"/>
      <c r="AD621" s="327"/>
      <c r="AF621" s="327"/>
    </row>
    <row r="622" spans="2:32" s="326" customFormat="1" ht="9.9499999999999993" customHeight="1" x14ac:dyDescent="0.2">
      <c r="B622" s="327"/>
      <c r="D622" s="327"/>
      <c r="F622" s="327"/>
      <c r="H622" s="327"/>
      <c r="J622" s="327"/>
      <c r="L622" s="327"/>
      <c r="N622" s="327"/>
      <c r="P622" s="327"/>
      <c r="R622" s="327"/>
      <c r="T622" s="327"/>
      <c r="V622" s="327"/>
      <c r="X622" s="327"/>
      <c r="Z622" s="327"/>
      <c r="AB622" s="327"/>
      <c r="AD622" s="327"/>
      <c r="AF622" s="327"/>
    </row>
    <row r="623" spans="2:32" s="326" customFormat="1" ht="9.9499999999999993" customHeight="1" x14ac:dyDescent="0.2">
      <c r="B623" s="327"/>
      <c r="D623" s="327"/>
      <c r="F623" s="327"/>
      <c r="H623" s="327"/>
      <c r="J623" s="327"/>
      <c r="L623" s="327"/>
      <c r="N623" s="327"/>
      <c r="P623" s="327"/>
      <c r="R623" s="327"/>
      <c r="T623" s="327"/>
      <c r="V623" s="327"/>
      <c r="X623" s="327"/>
      <c r="Z623" s="327"/>
      <c r="AB623" s="327"/>
      <c r="AD623" s="327"/>
      <c r="AF623" s="327"/>
    </row>
    <row r="624" spans="2:32" s="326" customFormat="1" ht="9.9499999999999993" customHeight="1" x14ac:dyDescent="0.2">
      <c r="B624" s="327"/>
      <c r="D624" s="327"/>
      <c r="F624" s="327"/>
      <c r="H624" s="327"/>
      <c r="J624" s="327"/>
      <c r="L624" s="327"/>
      <c r="N624" s="327"/>
      <c r="P624" s="327"/>
      <c r="R624" s="327"/>
      <c r="T624" s="327"/>
      <c r="V624" s="327"/>
      <c r="X624" s="327"/>
      <c r="Z624" s="327"/>
      <c r="AB624" s="327"/>
      <c r="AD624" s="327"/>
      <c r="AF624" s="327"/>
    </row>
    <row r="625" spans="2:32" s="326" customFormat="1" ht="9.9499999999999993" customHeight="1" x14ac:dyDescent="0.2">
      <c r="B625" s="327"/>
      <c r="D625" s="327"/>
      <c r="F625" s="327"/>
      <c r="H625" s="327"/>
      <c r="J625" s="327"/>
      <c r="L625" s="327"/>
      <c r="N625" s="327"/>
      <c r="P625" s="327"/>
      <c r="R625" s="327"/>
      <c r="T625" s="327"/>
      <c r="V625" s="327"/>
      <c r="X625" s="327"/>
      <c r="Z625" s="327"/>
      <c r="AB625" s="327"/>
      <c r="AD625" s="327"/>
      <c r="AF625" s="327"/>
    </row>
    <row r="626" spans="2:32" s="326" customFormat="1" ht="9.9499999999999993" customHeight="1" x14ac:dyDescent="0.2">
      <c r="B626" s="327"/>
      <c r="D626" s="327"/>
      <c r="F626" s="327"/>
      <c r="H626" s="327"/>
      <c r="J626" s="327"/>
      <c r="L626" s="327"/>
      <c r="N626" s="327"/>
      <c r="P626" s="327"/>
      <c r="R626" s="327"/>
      <c r="T626" s="327"/>
      <c r="V626" s="327"/>
      <c r="X626" s="327"/>
      <c r="Z626" s="327"/>
      <c r="AB626" s="327"/>
      <c r="AD626" s="327"/>
      <c r="AF626" s="327"/>
    </row>
    <row r="627" spans="2:32" s="326" customFormat="1" ht="9.9499999999999993" customHeight="1" x14ac:dyDescent="0.2">
      <c r="B627" s="327"/>
      <c r="D627" s="327"/>
      <c r="F627" s="327"/>
      <c r="H627" s="327"/>
      <c r="J627" s="327"/>
      <c r="L627" s="327"/>
      <c r="N627" s="327"/>
      <c r="P627" s="327"/>
      <c r="R627" s="327"/>
      <c r="T627" s="327"/>
      <c r="V627" s="327"/>
      <c r="X627" s="327"/>
      <c r="Z627" s="327"/>
      <c r="AB627" s="327"/>
      <c r="AD627" s="327"/>
      <c r="AF627" s="327"/>
    </row>
    <row r="628" spans="2:32" s="326" customFormat="1" ht="9.9499999999999993" customHeight="1" x14ac:dyDescent="0.2">
      <c r="B628" s="327"/>
      <c r="D628" s="327"/>
      <c r="F628" s="327"/>
      <c r="H628" s="327"/>
      <c r="J628" s="327"/>
      <c r="L628" s="327"/>
      <c r="N628" s="327"/>
      <c r="P628" s="327"/>
      <c r="R628" s="327"/>
      <c r="T628" s="327"/>
      <c r="V628" s="327"/>
      <c r="X628" s="327"/>
      <c r="Z628" s="327"/>
      <c r="AB628" s="327"/>
      <c r="AD628" s="327"/>
      <c r="AF628" s="327"/>
    </row>
    <row r="629" spans="2:32" s="326" customFormat="1" ht="9.9499999999999993" customHeight="1" x14ac:dyDescent="0.2">
      <c r="B629" s="327"/>
      <c r="D629" s="327"/>
      <c r="F629" s="327"/>
      <c r="H629" s="327"/>
      <c r="J629" s="327"/>
      <c r="L629" s="327"/>
      <c r="N629" s="327"/>
      <c r="P629" s="327"/>
      <c r="R629" s="327"/>
      <c r="T629" s="327"/>
      <c r="V629" s="327"/>
      <c r="X629" s="327"/>
      <c r="Z629" s="327"/>
      <c r="AB629" s="327"/>
      <c r="AD629" s="327"/>
      <c r="AF629" s="327"/>
    </row>
    <row r="630" spans="2:32" s="326" customFormat="1" ht="9.9499999999999993" customHeight="1" x14ac:dyDescent="0.2">
      <c r="B630" s="327"/>
      <c r="D630" s="327"/>
      <c r="F630" s="327"/>
      <c r="H630" s="327"/>
      <c r="J630" s="327"/>
      <c r="L630" s="327"/>
      <c r="N630" s="327"/>
      <c r="P630" s="327"/>
      <c r="R630" s="327"/>
      <c r="T630" s="327"/>
      <c r="V630" s="327"/>
      <c r="X630" s="327"/>
      <c r="Z630" s="327"/>
      <c r="AB630" s="327"/>
      <c r="AD630" s="327"/>
      <c r="AF630" s="327"/>
    </row>
    <row r="631" spans="2:32" s="326" customFormat="1" ht="9.9499999999999993" customHeight="1" x14ac:dyDescent="0.2">
      <c r="B631" s="327"/>
      <c r="D631" s="327"/>
      <c r="F631" s="327"/>
      <c r="H631" s="327"/>
      <c r="J631" s="327"/>
      <c r="L631" s="327"/>
      <c r="N631" s="327"/>
      <c r="P631" s="327"/>
      <c r="R631" s="327"/>
      <c r="T631" s="327"/>
      <c r="V631" s="327"/>
      <c r="X631" s="327"/>
      <c r="Z631" s="327"/>
      <c r="AB631" s="327"/>
      <c r="AD631" s="327"/>
      <c r="AF631" s="327"/>
    </row>
    <row r="632" spans="2:32" s="326" customFormat="1" ht="9.9499999999999993" customHeight="1" x14ac:dyDescent="0.2">
      <c r="B632" s="327"/>
      <c r="D632" s="327"/>
      <c r="F632" s="327"/>
      <c r="H632" s="327"/>
      <c r="J632" s="327"/>
      <c r="L632" s="327"/>
      <c r="N632" s="327"/>
      <c r="P632" s="327"/>
      <c r="R632" s="327"/>
      <c r="T632" s="327"/>
      <c r="V632" s="327"/>
      <c r="X632" s="327"/>
      <c r="Z632" s="327"/>
      <c r="AB632" s="327"/>
      <c r="AD632" s="327"/>
      <c r="AF632" s="327"/>
    </row>
    <row r="633" spans="2:32" s="326" customFormat="1" ht="9.9499999999999993" customHeight="1" x14ac:dyDescent="0.2">
      <c r="B633" s="327"/>
      <c r="D633" s="327"/>
      <c r="F633" s="327"/>
      <c r="H633" s="327"/>
      <c r="J633" s="327"/>
      <c r="L633" s="327"/>
      <c r="N633" s="327"/>
      <c r="P633" s="327"/>
      <c r="R633" s="327"/>
      <c r="T633" s="327"/>
      <c r="V633" s="327"/>
      <c r="X633" s="327"/>
      <c r="Z633" s="327"/>
      <c r="AB633" s="327"/>
      <c r="AD633" s="327"/>
      <c r="AF633" s="327"/>
    </row>
    <row r="634" spans="2:32" s="326" customFormat="1" ht="9.9499999999999993" customHeight="1" x14ac:dyDescent="0.2">
      <c r="B634" s="327"/>
      <c r="D634" s="327"/>
      <c r="F634" s="327"/>
      <c r="H634" s="327"/>
      <c r="J634" s="327"/>
      <c r="L634" s="327"/>
      <c r="N634" s="327"/>
      <c r="P634" s="327"/>
      <c r="R634" s="327"/>
      <c r="T634" s="327"/>
      <c r="V634" s="327"/>
      <c r="X634" s="327"/>
      <c r="Z634" s="327"/>
      <c r="AB634" s="327"/>
      <c r="AD634" s="327"/>
      <c r="AF634" s="327"/>
    </row>
    <row r="635" spans="2:32" s="326" customFormat="1" ht="9.9499999999999993" customHeight="1" x14ac:dyDescent="0.2">
      <c r="B635" s="327"/>
      <c r="D635" s="327"/>
      <c r="F635" s="327"/>
      <c r="H635" s="327"/>
      <c r="J635" s="327"/>
      <c r="L635" s="327"/>
      <c r="N635" s="327"/>
      <c r="P635" s="327"/>
      <c r="R635" s="327"/>
      <c r="T635" s="327"/>
      <c r="V635" s="327"/>
      <c r="X635" s="327"/>
      <c r="Z635" s="327"/>
      <c r="AB635" s="327"/>
      <c r="AD635" s="327"/>
      <c r="AF635" s="327"/>
    </row>
    <row r="636" spans="2:32" s="326" customFormat="1" ht="9.9499999999999993" customHeight="1" x14ac:dyDescent="0.2">
      <c r="B636" s="327"/>
      <c r="D636" s="327"/>
      <c r="F636" s="327"/>
      <c r="H636" s="327"/>
      <c r="J636" s="327"/>
      <c r="L636" s="327"/>
      <c r="N636" s="327"/>
      <c r="P636" s="327"/>
      <c r="R636" s="327"/>
      <c r="T636" s="327"/>
      <c r="V636" s="327"/>
      <c r="X636" s="327"/>
      <c r="Z636" s="327"/>
      <c r="AB636" s="327"/>
      <c r="AD636" s="327"/>
      <c r="AF636" s="327"/>
    </row>
    <row r="637" spans="2:32" s="326" customFormat="1" ht="9.9499999999999993" customHeight="1" x14ac:dyDescent="0.2">
      <c r="B637" s="327"/>
      <c r="D637" s="327"/>
      <c r="F637" s="327"/>
      <c r="H637" s="327"/>
      <c r="J637" s="327"/>
      <c r="L637" s="327"/>
      <c r="N637" s="327"/>
      <c r="P637" s="327"/>
      <c r="R637" s="327"/>
      <c r="T637" s="327"/>
      <c r="V637" s="327"/>
      <c r="X637" s="327"/>
      <c r="Z637" s="327"/>
      <c r="AB637" s="327"/>
      <c r="AD637" s="327"/>
      <c r="AF637" s="327"/>
    </row>
    <row r="638" spans="2:32" s="326" customFormat="1" ht="9.9499999999999993" customHeight="1" x14ac:dyDescent="0.2">
      <c r="B638" s="327"/>
      <c r="D638" s="327"/>
      <c r="F638" s="327"/>
      <c r="H638" s="327"/>
      <c r="J638" s="327"/>
      <c r="L638" s="327"/>
      <c r="N638" s="327"/>
      <c r="P638" s="327"/>
      <c r="R638" s="327"/>
      <c r="T638" s="327"/>
      <c r="V638" s="327"/>
      <c r="X638" s="327"/>
      <c r="Z638" s="327"/>
      <c r="AB638" s="327"/>
      <c r="AD638" s="327"/>
      <c r="AF638" s="327"/>
    </row>
    <row r="639" spans="2:32" s="326" customFormat="1" ht="9.9499999999999993" customHeight="1" x14ac:dyDescent="0.2">
      <c r="B639" s="327"/>
      <c r="D639" s="327"/>
      <c r="F639" s="327"/>
      <c r="H639" s="327"/>
      <c r="J639" s="327"/>
      <c r="L639" s="327"/>
      <c r="N639" s="327"/>
      <c r="P639" s="327"/>
      <c r="R639" s="327"/>
      <c r="T639" s="327"/>
      <c r="V639" s="327"/>
      <c r="X639" s="327"/>
      <c r="Z639" s="327"/>
      <c r="AB639" s="327"/>
      <c r="AD639" s="327"/>
      <c r="AF639" s="327"/>
    </row>
    <row r="640" spans="2:32" s="326" customFormat="1" ht="9.9499999999999993" customHeight="1" x14ac:dyDescent="0.2">
      <c r="B640" s="327"/>
      <c r="D640" s="327"/>
      <c r="F640" s="327"/>
      <c r="H640" s="327"/>
      <c r="J640" s="327"/>
      <c r="L640" s="327"/>
      <c r="N640" s="327"/>
      <c r="P640" s="327"/>
      <c r="R640" s="327"/>
      <c r="T640" s="327"/>
      <c r="V640" s="327"/>
      <c r="X640" s="327"/>
      <c r="Z640" s="327"/>
      <c r="AB640" s="327"/>
      <c r="AD640" s="327"/>
      <c r="AF640" s="327"/>
    </row>
    <row r="641" spans="2:32" s="326" customFormat="1" ht="9.9499999999999993" customHeight="1" x14ac:dyDescent="0.2">
      <c r="B641" s="327"/>
      <c r="D641" s="327"/>
      <c r="F641" s="327"/>
      <c r="H641" s="327"/>
      <c r="J641" s="327"/>
      <c r="L641" s="327"/>
      <c r="N641" s="327"/>
      <c r="P641" s="327"/>
      <c r="R641" s="327"/>
      <c r="T641" s="327"/>
      <c r="V641" s="327"/>
      <c r="X641" s="327"/>
      <c r="Z641" s="327"/>
      <c r="AB641" s="327"/>
      <c r="AD641" s="327"/>
      <c r="AF641" s="327"/>
    </row>
    <row r="642" spans="2:32" s="326" customFormat="1" ht="9.9499999999999993" customHeight="1" x14ac:dyDescent="0.2">
      <c r="B642" s="327"/>
      <c r="D642" s="327"/>
      <c r="F642" s="327"/>
      <c r="H642" s="327"/>
      <c r="J642" s="327"/>
      <c r="L642" s="327"/>
      <c r="N642" s="327"/>
      <c r="P642" s="327"/>
      <c r="R642" s="327"/>
      <c r="T642" s="327"/>
      <c r="V642" s="327"/>
      <c r="X642" s="327"/>
      <c r="Z642" s="327"/>
      <c r="AB642" s="327"/>
      <c r="AD642" s="327"/>
      <c r="AF642" s="327"/>
    </row>
    <row r="643" spans="2:32" s="326" customFormat="1" ht="9.9499999999999993" customHeight="1" x14ac:dyDescent="0.2">
      <c r="B643" s="327"/>
      <c r="D643" s="327"/>
      <c r="F643" s="327"/>
      <c r="H643" s="327"/>
      <c r="J643" s="327"/>
      <c r="L643" s="327"/>
      <c r="N643" s="327"/>
      <c r="P643" s="327"/>
      <c r="R643" s="327"/>
      <c r="T643" s="327"/>
      <c r="V643" s="327"/>
      <c r="X643" s="327"/>
      <c r="Z643" s="327"/>
      <c r="AB643" s="327"/>
      <c r="AD643" s="327"/>
      <c r="AF643" s="327"/>
    </row>
    <row r="644" spans="2:32" s="326" customFormat="1" ht="9.9499999999999993" customHeight="1" x14ac:dyDescent="0.2">
      <c r="B644" s="327"/>
      <c r="D644" s="327"/>
      <c r="F644" s="327"/>
      <c r="H644" s="327"/>
      <c r="J644" s="327"/>
      <c r="L644" s="327"/>
      <c r="N644" s="327"/>
      <c r="P644" s="327"/>
      <c r="R644" s="327"/>
      <c r="T644" s="327"/>
      <c r="V644" s="327"/>
      <c r="X644" s="327"/>
      <c r="Z644" s="327"/>
      <c r="AB644" s="327"/>
      <c r="AD644" s="327"/>
      <c r="AF644" s="327"/>
    </row>
    <row r="645" spans="2:32" s="326" customFormat="1" ht="9.9499999999999993" customHeight="1" x14ac:dyDescent="0.2">
      <c r="B645" s="327"/>
      <c r="D645" s="327"/>
      <c r="F645" s="327"/>
      <c r="H645" s="327"/>
      <c r="J645" s="327"/>
      <c r="L645" s="327"/>
      <c r="N645" s="327"/>
      <c r="P645" s="327"/>
      <c r="R645" s="327"/>
      <c r="T645" s="327"/>
      <c r="V645" s="327"/>
      <c r="X645" s="327"/>
      <c r="Z645" s="327"/>
      <c r="AB645" s="327"/>
      <c r="AD645" s="327"/>
      <c r="AF645" s="327"/>
    </row>
    <row r="646" spans="2:32" s="326" customFormat="1" ht="9.9499999999999993" customHeight="1" x14ac:dyDescent="0.2">
      <c r="B646" s="327"/>
      <c r="D646" s="327"/>
      <c r="F646" s="327"/>
      <c r="H646" s="327"/>
      <c r="J646" s="327"/>
      <c r="L646" s="327"/>
      <c r="N646" s="327"/>
      <c r="P646" s="327"/>
      <c r="R646" s="327"/>
      <c r="T646" s="327"/>
      <c r="V646" s="327"/>
      <c r="X646" s="327"/>
      <c r="Z646" s="327"/>
      <c r="AB646" s="327"/>
      <c r="AD646" s="327"/>
      <c r="AF646" s="327"/>
    </row>
    <row r="647" spans="2:32" s="326" customFormat="1" ht="9.9499999999999993" customHeight="1" x14ac:dyDescent="0.2">
      <c r="B647" s="327"/>
      <c r="D647" s="327"/>
      <c r="F647" s="327"/>
      <c r="H647" s="327"/>
      <c r="J647" s="327"/>
      <c r="L647" s="327"/>
      <c r="N647" s="327"/>
      <c r="P647" s="327"/>
      <c r="R647" s="327"/>
      <c r="T647" s="327"/>
      <c r="V647" s="327"/>
      <c r="X647" s="327"/>
      <c r="Z647" s="327"/>
      <c r="AB647" s="327"/>
      <c r="AD647" s="327"/>
      <c r="AF647" s="327"/>
    </row>
    <row r="648" spans="2:32" s="326" customFormat="1" ht="9.9499999999999993" customHeight="1" x14ac:dyDescent="0.2">
      <c r="B648" s="327"/>
      <c r="D648" s="327"/>
      <c r="F648" s="327"/>
      <c r="H648" s="327"/>
      <c r="J648" s="327"/>
      <c r="L648" s="327"/>
      <c r="N648" s="327"/>
      <c r="P648" s="327"/>
      <c r="R648" s="327"/>
      <c r="T648" s="327"/>
      <c r="V648" s="327"/>
      <c r="X648" s="327"/>
      <c r="Z648" s="327"/>
      <c r="AB648" s="327"/>
      <c r="AD648" s="327"/>
      <c r="AF648" s="327"/>
    </row>
    <row r="649" spans="2:32" s="326" customFormat="1" ht="9.9499999999999993" customHeight="1" x14ac:dyDescent="0.2">
      <c r="B649" s="327"/>
      <c r="D649" s="327"/>
      <c r="F649" s="327"/>
      <c r="H649" s="327"/>
      <c r="J649" s="327"/>
      <c r="L649" s="327"/>
      <c r="N649" s="327"/>
      <c r="P649" s="327"/>
      <c r="R649" s="327"/>
      <c r="T649" s="327"/>
      <c r="V649" s="327"/>
      <c r="X649" s="327"/>
      <c r="Z649" s="327"/>
      <c r="AB649" s="327"/>
      <c r="AD649" s="327"/>
      <c r="AF649" s="327"/>
    </row>
    <row r="650" spans="2:32" s="326" customFormat="1" ht="9.9499999999999993" customHeight="1" x14ac:dyDescent="0.2">
      <c r="B650" s="327"/>
      <c r="D650" s="327"/>
      <c r="F650" s="327"/>
      <c r="H650" s="327"/>
      <c r="J650" s="327"/>
      <c r="L650" s="327"/>
      <c r="N650" s="327"/>
      <c r="P650" s="327"/>
      <c r="R650" s="327"/>
      <c r="T650" s="327"/>
      <c r="V650" s="327"/>
      <c r="X650" s="327"/>
      <c r="Z650" s="327"/>
      <c r="AB650" s="327"/>
      <c r="AD650" s="327"/>
      <c r="AF650" s="327"/>
    </row>
    <row r="651" spans="2:32" s="326" customFormat="1" ht="9.9499999999999993" customHeight="1" x14ac:dyDescent="0.2">
      <c r="B651" s="327"/>
      <c r="D651" s="327"/>
      <c r="F651" s="327"/>
      <c r="H651" s="327"/>
      <c r="J651" s="327"/>
      <c r="L651" s="327"/>
      <c r="N651" s="327"/>
      <c r="P651" s="327"/>
      <c r="R651" s="327"/>
      <c r="T651" s="327"/>
      <c r="V651" s="327"/>
      <c r="X651" s="327"/>
      <c r="Z651" s="327"/>
      <c r="AB651" s="327"/>
      <c r="AD651" s="327"/>
      <c r="AF651" s="327"/>
    </row>
    <row r="652" spans="2:32" s="326" customFormat="1" ht="9.9499999999999993" customHeight="1" x14ac:dyDescent="0.2">
      <c r="B652" s="327"/>
      <c r="D652" s="327"/>
      <c r="F652" s="327"/>
      <c r="H652" s="327"/>
      <c r="J652" s="327"/>
      <c r="L652" s="327"/>
      <c r="N652" s="327"/>
      <c r="P652" s="327"/>
      <c r="R652" s="327"/>
      <c r="T652" s="327"/>
      <c r="V652" s="327"/>
      <c r="X652" s="327"/>
      <c r="Z652" s="327"/>
      <c r="AB652" s="327"/>
      <c r="AD652" s="327"/>
      <c r="AF652" s="327"/>
    </row>
    <row r="653" spans="2:32" s="326" customFormat="1" ht="9.9499999999999993" customHeight="1" x14ac:dyDescent="0.2">
      <c r="B653" s="327"/>
      <c r="D653" s="327"/>
      <c r="F653" s="327"/>
      <c r="H653" s="327"/>
      <c r="J653" s="327"/>
      <c r="L653" s="327"/>
      <c r="N653" s="327"/>
      <c r="P653" s="327"/>
      <c r="R653" s="327"/>
      <c r="T653" s="327"/>
      <c r="V653" s="327"/>
      <c r="X653" s="327"/>
      <c r="Z653" s="327"/>
      <c r="AB653" s="327"/>
      <c r="AD653" s="327"/>
      <c r="AF653" s="327"/>
    </row>
    <row r="654" spans="2:32" s="326" customFormat="1" ht="9.9499999999999993" customHeight="1" x14ac:dyDescent="0.2">
      <c r="B654" s="327"/>
      <c r="D654" s="327"/>
      <c r="F654" s="327"/>
      <c r="H654" s="327"/>
      <c r="J654" s="327"/>
      <c r="L654" s="327"/>
      <c r="N654" s="327"/>
      <c r="P654" s="327"/>
      <c r="R654" s="327"/>
      <c r="T654" s="327"/>
      <c r="V654" s="327"/>
      <c r="X654" s="327"/>
      <c r="Z654" s="327"/>
      <c r="AB654" s="327"/>
      <c r="AD654" s="327"/>
      <c r="AF654" s="327"/>
    </row>
    <row r="655" spans="2:32" s="326" customFormat="1" ht="9.9499999999999993" customHeight="1" x14ac:dyDescent="0.2">
      <c r="B655" s="327"/>
      <c r="D655" s="327"/>
      <c r="F655" s="327"/>
      <c r="H655" s="327"/>
      <c r="J655" s="327"/>
      <c r="L655" s="327"/>
      <c r="N655" s="327"/>
      <c r="P655" s="327"/>
      <c r="R655" s="327"/>
      <c r="T655" s="327"/>
      <c r="V655" s="327"/>
      <c r="X655" s="327"/>
      <c r="Z655" s="327"/>
      <c r="AB655" s="327"/>
      <c r="AD655" s="327"/>
      <c r="AF655" s="327"/>
    </row>
    <row r="656" spans="2:32" s="326" customFormat="1" ht="9.9499999999999993" customHeight="1" x14ac:dyDescent="0.2">
      <c r="B656" s="327"/>
      <c r="D656" s="327"/>
      <c r="F656" s="327"/>
      <c r="H656" s="327"/>
      <c r="J656" s="327"/>
      <c r="L656" s="327"/>
      <c r="N656" s="327"/>
      <c r="P656" s="327"/>
      <c r="R656" s="327"/>
      <c r="T656" s="327"/>
      <c r="V656" s="327"/>
      <c r="X656" s="327"/>
      <c r="Z656" s="327"/>
      <c r="AB656" s="327"/>
      <c r="AD656" s="327"/>
      <c r="AF656" s="327"/>
    </row>
    <row r="657" spans="2:32" s="326" customFormat="1" ht="9.9499999999999993" customHeight="1" x14ac:dyDescent="0.2">
      <c r="B657" s="327"/>
      <c r="D657" s="327"/>
      <c r="F657" s="327"/>
      <c r="H657" s="327"/>
      <c r="J657" s="327"/>
      <c r="L657" s="327"/>
      <c r="N657" s="327"/>
      <c r="P657" s="327"/>
      <c r="R657" s="327"/>
      <c r="T657" s="327"/>
      <c r="V657" s="327"/>
      <c r="X657" s="327"/>
      <c r="Z657" s="327"/>
      <c r="AB657" s="327"/>
      <c r="AD657" s="327"/>
      <c r="AF657" s="327"/>
    </row>
    <row r="658" spans="2:32" s="326" customFormat="1" ht="9.9499999999999993" customHeight="1" x14ac:dyDescent="0.2">
      <c r="B658" s="327"/>
      <c r="D658" s="327"/>
      <c r="F658" s="327"/>
      <c r="H658" s="327"/>
      <c r="J658" s="327"/>
      <c r="L658" s="327"/>
      <c r="N658" s="327"/>
      <c r="P658" s="327"/>
      <c r="R658" s="327"/>
      <c r="T658" s="327"/>
      <c r="V658" s="327"/>
      <c r="X658" s="327"/>
      <c r="Z658" s="327"/>
      <c r="AB658" s="327"/>
      <c r="AD658" s="327"/>
      <c r="AF658" s="327"/>
    </row>
    <row r="659" spans="2:32" s="326" customFormat="1" ht="9.9499999999999993" customHeight="1" x14ac:dyDescent="0.2">
      <c r="B659" s="327"/>
      <c r="D659" s="327"/>
      <c r="F659" s="327"/>
      <c r="H659" s="327"/>
      <c r="J659" s="327"/>
      <c r="L659" s="327"/>
      <c r="N659" s="327"/>
      <c r="P659" s="327"/>
      <c r="R659" s="327"/>
      <c r="T659" s="327"/>
      <c r="V659" s="327"/>
      <c r="X659" s="327"/>
      <c r="Z659" s="327"/>
      <c r="AB659" s="327"/>
      <c r="AD659" s="327"/>
      <c r="AF659" s="327"/>
    </row>
    <row r="660" spans="2:32" s="326" customFormat="1" ht="9.9499999999999993" customHeight="1" x14ac:dyDescent="0.2">
      <c r="B660" s="327"/>
      <c r="D660" s="327"/>
      <c r="F660" s="327"/>
      <c r="H660" s="327"/>
      <c r="J660" s="327"/>
      <c r="L660" s="327"/>
      <c r="N660" s="327"/>
      <c r="P660" s="327"/>
      <c r="R660" s="327"/>
      <c r="T660" s="327"/>
      <c r="V660" s="327"/>
      <c r="X660" s="327"/>
      <c r="Z660" s="327"/>
      <c r="AB660" s="327"/>
      <c r="AD660" s="327"/>
      <c r="AF660" s="327"/>
    </row>
    <row r="661" spans="2:32" s="326" customFormat="1" ht="9.9499999999999993" customHeight="1" x14ac:dyDescent="0.2">
      <c r="B661" s="327"/>
      <c r="D661" s="327"/>
      <c r="F661" s="327"/>
      <c r="H661" s="327"/>
      <c r="J661" s="327"/>
      <c r="L661" s="327"/>
      <c r="N661" s="327"/>
      <c r="P661" s="327"/>
      <c r="R661" s="327"/>
      <c r="T661" s="327"/>
      <c r="V661" s="327"/>
      <c r="X661" s="327"/>
      <c r="Z661" s="327"/>
      <c r="AB661" s="327"/>
      <c r="AD661" s="327"/>
      <c r="AF661" s="327"/>
    </row>
    <row r="662" spans="2:32" s="326" customFormat="1" ht="9.9499999999999993" customHeight="1" x14ac:dyDescent="0.2">
      <c r="B662" s="327"/>
      <c r="D662" s="327"/>
      <c r="F662" s="327"/>
      <c r="H662" s="327"/>
      <c r="J662" s="327"/>
      <c r="L662" s="327"/>
      <c r="N662" s="327"/>
      <c r="P662" s="327"/>
      <c r="R662" s="327"/>
      <c r="T662" s="327"/>
      <c r="V662" s="327"/>
      <c r="X662" s="327"/>
      <c r="Z662" s="327"/>
      <c r="AB662" s="327"/>
      <c r="AD662" s="327"/>
      <c r="AF662" s="327"/>
    </row>
    <row r="663" spans="2:32" s="326" customFormat="1" ht="9.9499999999999993" customHeight="1" x14ac:dyDescent="0.2">
      <c r="B663" s="327"/>
      <c r="D663" s="327"/>
      <c r="F663" s="327"/>
      <c r="H663" s="327"/>
      <c r="J663" s="327"/>
      <c r="L663" s="327"/>
      <c r="N663" s="327"/>
      <c r="P663" s="327"/>
      <c r="R663" s="327"/>
      <c r="T663" s="327"/>
      <c r="V663" s="327"/>
      <c r="X663" s="327"/>
      <c r="Z663" s="327"/>
      <c r="AB663" s="327"/>
      <c r="AD663" s="327"/>
      <c r="AF663" s="327"/>
    </row>
    <row r="664" spans="2:32" s="326" customFormat="1" ht="9.9499999999999993" customHeight="1" x14ac:dyDescent="0.2">
      <c r="B664" s="327"/>
      <c r="D664" s="327"/>
      <c r="F664" s="327"/>
      <c r="H664" s="327"/>
      <c r="J664" s="327"/>
      <c r="L664" s="327"/>
      <c r="N664" s="327"/>
      <c r="P664" s="327"/>
      <c r="R664" s="327"/>
      <c r="T664" s="327"/>
      <c r="V664" s="327"/>
      <c r="X664" s="327"/>
      <c r="Z664" s="327"/>
      <c r="AB664" s="327"/>
      <c r="AD664" s="327"/>
      <c r="AF664" s="327"/>
    </row>
    <row r="665" spans="2:32" s="326" customFormat="1" ht="9.9499999999999993" customHeight="1" x14ac:dyDescent="0.2">
      <c r="B665" s="327"/>
      <c r="D665" s="327"/>
      <c r="F665" s="327"/>
      <c r="H665" s="327"/>
      <c r="J665" s="327"/>
      <c r="L665" s="327"/>
      <c r="N665" s="327"/>
      <c r="P665" s="327"/>
      <c r="R665" s="327"/>
      <c r="T665" s="327"/>
      <c r="V665" s="327"/>
      <c r="X665" s="327"/>
      <c r="Z665" s="327"/>
      <c r="AB665" s="327"/>
      <c r="AD665" s="327"/>
      <c r="AF665" s="327"/>
    </row>
    <row r="666" spans="2:32" s="326" customFormat="1" ht="9.9499999999999993" customHeight="1" x14ac:dyDescent="0.2">
      <c r="B666" s="327"/>
      <c r="D666" s="327"/>
      <c r="F666" s="327"/>
      <c r="H666" s="327"/>
      <c r="J666" s="327"/>
      <c r="L666" s="327"/>
      <c r="N666" s="327"/>
      <c r="P666" s="327"/>
      <c r="R666" s="327"/>
      <c r="T666" s="327"/>
      <c r="V666" s="327"/>
      <c r="X666" s="327"/>
      <c r="Z666" s="327"/>
      <c r="AB666" s="327"/>
      <c r="AD666" s="327"/>
      <c r="AF666" s="327"/>
    </row>
    <row r="667" spans="2:32" s="326" customFormat="1" ht="9.9499999999999993" customHeight="1" x14ac:dyDescent="0.2">
      <c r="B667" s="327"/>
      <c r="D667" s="327"/>
      <c r="F667" s="327"/>
      <c r="H667" s="327"/>
      <c r="J667" s="327"/>
      <c r="L667" s="327"/>
      <c r="N667" s="327"/>
      <c r="P667" s="327"/>
      <c r="R667" s="327"/>
      <c r="T667" s="327"/>
      <c r="V667" s="327"/>
      <c r="X667" s="327"/>
      <c r="Z667" s="327"/>
      <c r="AB667" s="327"/>
      <c r="AD667" s="327"/>
      <c r="AF667" s="327"/>
    </row>
    <row r="668" spans="2:32" s="326" customFormat="1" ht="9.9499999999999993" customHeight="1" x14ac:dyDescent="0.2">
      <c r="B668" s="327"/>
      <c r="D668" s="327"/>
      <c r="F668" s="327"/>
      <c r="H668" s="327"/>
      <c r="J668" s="327"/>
      <c r="L668" s="327"/>
      <c r="N668" s="327"/>
      <c r="P668" s="327"/>
      <c r="R668" s="327"/>
      <c r="T668" s="327"/>
      <c r="V668" s="327"/>
      <c r="X668" s="327"/>
      <c r="Z668" s="327"/>
      <c r="AB668" s="327"/>
      <c r="AD668" s="327"/>
      <c r="AF668" s="327"/>
    </row>
    <row r="669" spans="2:32" s="326" customFormat="1" ht="9.9499999999999993" customHeight="1" x14ac:dyDescent="0.2">
      <c r="B669" s="327"/>
      <c r="D669" s="327"/>
      <c r="F669" s="327"/>
      <c r="H669" s="327"/>
      <c r="J669" s="327"/>
      <c r="L669" s="327"/>
      <c r="N669" s="327"/>
      <c r="P669" s="327"/>
      <c r="R669" s="327"/>
      <c r="T669" s="327"/>
      <c r="V669" s="327"/>
      <c r="X669" s="327"/>
      <c r="Z669" s="327"/>
      <c r="AB669" s="327"/>
      <c r="AD669" s="327"/>
      <c r="AF669" s="327"/>
    </row>
    <row r="670" spans="2:32" s="326" customFormat="1" ht="9.9499999999999993" customHeight="1" x14ac:dyDescent="0.2">
      <c r="B670" s="327"/>
      <c r="D670" s="327"/>
      <c r="F670" s="327"/>
      <c r="H670" s="327"/>
      <c r="J670" s="327"/>
      <c r="L670" s="327"/>
      <c r="N670" s="327"/>
      <c r="P670" s="327"/>
      <c r="R670" s="327"/>
      <c r="T670" s="327"/>
      <c r="V670" s="327"/>
      <c r="X670" s="327"/>
      <c r="Z670" s="327"/>
      <c r="AB670" s="327"/>
      <c r="AD670" s="327"/>
      <c r="AF670" s="327"/>
    </row>
    <row r="671" spans="2:32" s="326" customFormat="1" ht="9.9499999999999993" customHeight="1" x14ac:dyDescent="0.2">
      <c r="B671" s="327"/>
      <c r="D671" s="327"/>
      <c r="F671" s="327"/>
      <c r="H671" s="327"/>
      <c r="J671" s="327"/>
      <c r="L671" s="327"/>
      <c r="N671" s="327"/>
      <c r="P671" s="327"/>
      <c r="R671" s="327"/>
      <c r="T671" s="327"/>
      <c r="V671" s="327"/>
      <c r="X671" s="327"/>
      <c r="Z671" s="327"/>
      <c r="AB671" s="327"/>
      <c r="AD671" s="327"/>
      <c r="AF671" s="327"/>
    </row>
    <row r="672" spans="2:32" s="326" customFormat="1" ht="9.9499999999999993" customHeight="1" x14ac:dyDescent="0.2">
      <c r="B672" s="327"/>
      <c r="D672" s="327"/>
      <c r="F672" s="327"/>
      <c r="H672" s="327"/>
      <c r="J672" s="327"/>
      <c r="L672" s="327"/>
      <c r="N672" s="327"/>
      <c r="P672" s="327"/>
      <c r="R672" s="327"/>
      <c r="T672" s="327"/>
      <c r="V672" s="327"/>
      <c r="X672" s="327"/>
      <c r="Z672" s="327"/>
      <c r="AB672" s="327"/>
      <c r="AD672" s="327"/>
      <c r="AF672" s="327"/>
    </row>
    <row r="673" spans="2:32" s="326" customFormat="1" ht="9.9499999999999993" customHeight="1" x14ac:dyDescent="0.2">
      <c r="B673" s="327"/>
      <c r="D673" s="327"/>
      <c r="F673" s="327"/>
      <c r="H673" s="327"/>
      <c r="J673" s="327"/>
      <c r="L673" s="327"/>
      <c r="N673" s="327"/>
      <c r="P673" s="327"/>
      <c r="R673" s="327"/>
      <c r="T673" s="327"/>
      <c r="V673" s="327"/>
      <c r="X673" s="327"/>
      <c r="Z673" s="327"/>
      <c r="AB673" s="327"/>
      <c r="AD673" s="327"/>
      <c r="AF673" s="327"/>
    </row>
    <row r="674" spans="2:32" s="326" customFormat="1" ht="9.9499999999999993" customHeight="1" x14ac:dyDescent="0.2">
      <c r="B674" s="327"/>
      <c r="D674" s="327"/>
      <c r="F674" s="327"/>
      <c r="H674" s="327"/>
      <c r="J674" s="327"/>
      <c r="L674" s="327"/>
      <c r="N674" s="327"/>
      <c r="P674" s="327"/>
      <c r="R674" s="327"/>
      <c r="T674" s="327"/>
      <c r="V674" s="327"/>
      <c r="X674" s="327"/>
      <c r="Z674" s="327"/>
      <c r="AB674" s="327"/>
      <c r="AD674" s="327"/>
      <c r="AF674" s="327"/>
    </row>
    <row r="675" spans="2:32" s="326" customFormat="1" ht="9.9499999999999993" customHeight="1" x14ac:dyDescent="0.2">
      <c r="B675" s="327"/>
      <c r="D675" s="327"/>
      <c r="F675" s="327"/>
      <c r="H675" s="327"/>
      <c r="J675" s="327"/>
      <c r="L675" s="327"/>
      <c r="N675" s="327"/>
      <c r="P675" s="327"/>
      <c r="R675" s="327"/>
      <c r="T675" s="327"/>
      <c r="V675" s="327"/>
      <c r="X675" s="327"/>
      <c r="Z675" s="327"/>
      <c r="AB675" s="327"/>
      <c r="AD675" s="327"/>
      <c r="AF675" s="327"/>
    </row>
    <row r="676" spans="2:32" s="326" customFormat="1" ht="9.9499999999999993" customHeight="1" x14ac:dyDescent="0.2">
      <c r="B676" s="327"/>
      <c r="D676" s="327"/>
      <c r="F676" s="327"/>
      <c r="H676" s="327"/>
      <c r="J676" s="327"/>
      <c r="L676" s="327"/>
      <c r="N676" s="327"/>
      <c r="P676" s="327"/>
      <c r="R676" s="327"/>
      <c r="T676" s="327"/>
      <c r="V676" s="327"/>
      <c r="X676" s="327"/>
      <c r="Z676" s="327"/>
      <c r="AB676" s="327"/>
      <c r="AD676" s="327"/>
      <c r="AF676" s="327"/>
    </row>
    <row r="677" spans="2:32" s="326" customFormat="1" ht="9.9499999999999993" customHeight="1" x14ac:dyDescent="0.2">
      <c r="B677" s="327"/>
      <c r="D677" s="327"/>
      <c r="F677" s="327"/>
      <c r="H677" s="327"/>
      <c r="J677" s="327"/>
      <c r="L677" s="327"/>
      <c r="N677" s="327"/>
      <c r="P677" s="327"/>
      <c r="R677" s="327"/>
      <c r="T677" s="327"/>
      <c r="V677" s="327"/>
      <c r="X677" s="327"/>
      <c r="Z677" s="327"/>
      <c r="AB677" s="327"/>
      <c r="AD677" s="327"/>
      <c r="AF677" s="327"/>
    </row>
    <row r="678" spans="2:32" s="326" customFormat="1" ht="9.9499999999999993" customHeight="1" x14ac:dyDescent="0.2">
      <c r="B678" s="327"/>
      <c r="D678" s="327"/>
      <c r="F678" s="327"/>
      <c r="H678" s="327"/>
      <c r="J678" s="327"/>
      <c r="L678" s="327"/>
      <c r="N678" s="327"/>
      <c r="P678" s="327"/>
      <c r="R678" s="327"/>
      <c r="T678" s="327"/>
      <c r="V678" s="327"/>
      <c r="X678" s="327"/>
      <c r="Z678" s="327"/>
      <c r="AB678" s="327"/>
      <c r="AD678" s="327"/>
      <c r="AF678" s="327"/>
    </row>
    <row r="679" spans="2:32" s="326" customFormat="1" ht="9.9499999999999993" customHeight="1" x14ac:dyDescent="0.2">
      <c r="B679" s="327"/>
      <c r="D679" s="327"/>
      <c r="F679" s="327"/>
      <c r="H679" s="327"/>
      <c r="J679" s="327"/>
      <c r="L679" s="327"/>
      <c r="N679" s="327"/>
      <c r="P679" s="327"/>
      <c r="R679" s="327"/>
      <c r="T679" s="327"/>
      <c r="V679" s="327"/>
      <c r="X679" s="327"/>
      <c r="Z679" s="327"/>
      <c r="AB679" s="327"/>
      <c r="AD679" s="327"/>
      <c r="AF679" s="327"/>
    </row>
    <row r="680" spans="2:32" s="326" customFormat="1" ht="9.9499999999999993" customHeight="1" x14ac:dyDescent="0.2">
      <c r="B680" s="327"/>
      <c r="D680" s="327"/>
      <c r="F680" s="327"/>
      <c r="H680" s="327"/>
      <c r="J680" s="327"/>
      <c r="L680" s="327"/>
      <c r="N680" s="327"/>
      <c r="P680" s="327"/>
      <c r="R680" s="327"/>
      <c r="T680" s="327"/>
      <c r="V680" s="327"/>
      <c r="X680" s="327"/>
      <c r="Z680" s="327"/>
      <c r="AB680" s="327"/>
      <c r="AD680" s="327"/>
      <c r="AF680" s="327"/>
    </row>
    <row r="681" spans="2:32" s="326" customFormat="1" ht="9.9499999999999993" customHeight="1" x14ac:dyDescent="0.2">
      <c r="B681" s="327"/>
      <c r="D681" s="327"/>
      <c r="F681" s="327"/>
      <c r="H681" s="327"/>
      <c r="J681" s="327"/>
      <c r="L681" s="327"/>
      <c r="N681" s="327"/>
      <c r="P681" s="327"/>
      <c r="R681" s="327"/>
      <c r="T681" s="327"/>
      <c r="V681" s="327"/>
      <c r="X681" s="327"/>
      <c r="Z681" s="327"/>
      <c r="AB681" s="327"/>
      <c r="AD681" s="327"/>
      <c r="AF681" s="327"/>
    </row>
    <row r="682" spans="2:32" s="326" customFormat="1" ht="9.9499999999999993" customHeight="1" x14ac:dyDescent="0.2">
      <c r="B682" s="327"/>
      <c r="D682" s="327"/>
      <c r="F682" s="327"/>
      <c r="H682" s="327"/>
      <c r="J682" s="327"/>
      <c r="L682" s="327"/>
      <c r="N682" s="327"/>
      <c r="P682" s="327"/>
      <c r="R682" s="327"/>
      <c r="T682" s="327"/>
      <c r="V682" s="327"/>
      <c r="X682" s="327"/>
      <c r="Z682" s="327"/>
      <c r="AB682" s="327"/>
      <c r="AD682" s="327"/>
      <c r="AF682" s="327"/>
    </row>
    <row r="683" spans="2:32" s="326" customFormat="1" ht="9.9499999999999993" customHeight="1" x14ac:dyDescent="0.2">
      <c r="B683" s="327"/>
      <c r="D683" s="327"/>
      <c r="F683" s="327"/>
      <c r="H683" s="327"/>
      <c r="J683" s="327"/>
      <c r="L683" s="327"/>
      <c r="N683" s="327"/>
      <c r="P683" s="327"/>
      <c r="R683" s="327"/>
      <c r="T683" s="327"/>
      <c r="V683" s="327"/>
      <c r="X683" s="327"/>
      <c r="Z683" s="327"/>
      <c r="AB683" s="327"/>
      <c r="AD683" s="327"/>
      <c r="AF683" s="327"/>
    </row>
    <row r="684" spans="2:32" s="326" customFormat="1" ht="9.9499999999999993" customHeight="1" x14ac:dyDescent="0.2">
      <c r="B684" s="327"/>
      <c r="D684" s="327"/>
      <c r="F684" s="327"/>
      <c r="H684" s="327"/>
      <c r="J684" s="327"/>
      <c r="L684" s="327"/>
      <c r="N684" s="327"/>
      <c r="P684" s="327"/>
      <c r="R684" s="327"/>
      <c r="T684" s="327"/>
      <c r="V684" s="327"/>
      <c r="X684" s="327"/>
      <c r="Z684" s="327"/>
      <c r="AB684" s="327"/>
      <c r="AD684" s="327"/>
      <c r="AF684" s="327"/>
    </row>
    <row r="685" spans="2:32" s="326" customFormat="1" ht="9.9499999999999993" customHeight="1" x14ac:dyDescent="0.2">
      <c r="B685" s="327"/>
      <c r="D685" s="327"/>
      <c r="F685" s="327"/>
      <c r="H685" s="327"/>
      <c r="J685" s="327"/>
      <c r="L685" s="327"/>
      <c r="N685" s="327"/>
      <c r="P685" s="327"/>
      <c r="R685" s="327"/>
      <c r="T685" s="327"/>
      <c r="V685" s="327"/>
      <c r="X685" s="327"/>
      <c r="Z685" s="327"/>
      <c r="AB685" s="327"/>
      <c r="AD685" s="327"/>
      <c r="AF685" s="327"/>
    </row>
    <row r="686" spans="2:32" s="326" customFormat="1" ht="9.9499999999999993" customHeight="1" x14ac:dyDescent="0.2">
      <c r="B686" s="327"/>
      <c r="D686" s="327"/>
      <c r="F686" s="327"/>
      <c r="H686" s="327"/>
      <c r="J686" s="327"/>
      <c r="L686" s="327"/>
      <c r="N686" s="327"/>
      <c r="P686" s="327"/>
      <c r="R686" s="327"/>
      <c r="T686" s="327"/>
      <c r="V686" s="327"/>
      <c r="X686" s="327"/>
      <c r="Z686" s="327"/>
      <c r="AB686" s="327"/>
      <c r="AD686" s="327"/>
      <c r="AF686" s="327"/>
    </row>
    <row r="687" spans="2:32" s="326" customFormat="1" ht="9.9499999999999993" customHeight="1" x14ac:dyDescent="0.2">
      <c r="B687" s="327"/>
      <c r="D687" s="327"/>
      <c r="F687" s="327"/>
      <c r="H687" s="327"/>
      <c r="J687" s="327"/>
      <c r="L687" s="327"/>
      <c r="N687" s="327"/>
      <c r="P687" s="327"/>
      <c r="R687" s="327"/>
      <c r="T687" s="327"/>
      <c r="V687" s="327"/>
      <c r="X687" s="327"/>
      <c r="Z687" s="327"/>
      <c r="AB687" s="327"/>
      <c r="AD687" s="327"/>
      <c r="AF687" s="327"/>
    </row>
    <row r="688" spans="2:32" s="326" customFormat="1" ht="9.9499999999999993" customHeight="1" x14ac:dyDescent="0.2">
      <c r="B688" s="327"/>
      <c r="D688" s="327"/>
      <c r="F688" s="327"/>
      <c r="H688" s="327"/>
      <c r="J688" s="327"/>
      <c r="L688" s="327"/>
      <c r="N688" s="327"/>
      <c r="P688" s="327"/>
      <c r="R688" s="327"/>
      <c r="T688" s="327"/>
      <c r="V688" s="327"/>
      <c r="X688" s="327"/>
      <c r="Z688" s="327"/>
      <c r="AB688" s="327"/>
      <c r="AD688" s="327"/>
      <c r="AF688" s="327"/>
    </row>
    <row r="689" spans="2:32" s="326" customFormat="1" ht="9.9499999999999993" customHeight="1" x14ac:dyDescent="0.2">
      <c r="B689" s="327"/>
      <c r="D689" s="327"/>
      <c r="F689" s="327"/>
      <c r="H689" s="327"/>
      <c r="J689" s="327"/>
      <c r="L689" s="327"/>
      <c r="N689" s="327"/>
      <c r="P689" s="327"/>
      <c r="R689" s="327"/>
      <c r="T689" s="327"/>
      <c r="V689" s="327"/>
      <c r="X689" s="327"/>
      <c r="Z689" s="327"/>
      <c r="AB689" s="327"/>
      <c r="AD689" s="327"/>
      <c r="AF689" s="327"/>
    </row>
    <row r="690" spans="2:32" s="326" customFormat="1" ht="9.9499999999999993" customHeight="1" x14ac:dyDescent="0.2">
      <c r="B690" s="327"/>
      <c r="D690" s="327"/>
      <c r="F690" s="327"/>
      <c r="H690" s="327"/>
      <c r="J690" s="327"/>
      <c r="L690" s="327"/>
      <c r="N690" s="327"/>
      <c r="P690" s="327"/>
      <c r="R690" s="327"/>
      <c r="T690" s="327"/>
      <c r="V690" s="327"/>
      <c r="X690" s="327"/>
      <c r="Z690" s="327"/>
      <c r="AB690" s="327"/>
      <c r="AD690" s="327"/>
      <c r="AF690" s="327"/>
    </row>
    <row r="691" spans="2:32" s="326" customFormat="1" ht="9.9499999999999993" customHeight="1" x14ac:dyDescent="0.2">
      <c r="B691" s="327"/>
      <c r="D691" s="327"/>
      <c r="F691" s="327"/>
      <c r="H691" s="327"/>
      <c r="J691" s="327"/>
      <c r="L691" s="327"/>
      <c r="N691" s="327"/>
      <c r="P691" s="327"/>
      <c r="R691" s="327"/>
      <c r="T691" s="327"/>
      <c r="V691" s="327"/>
      <c r="X691" s="327"/>
      <c r="Z691" s="327"/>
      <c r="AB691" s="327"/>
      <c r="AD691" s="327"/>
      <c r="AF691" s="327"/>
    </row>
    <row r="692" spans="2:32" s="326" customFormat="1" ht="9.9499999999999993" customHeight="1" x14ac:dyDescent="0.2">
      <c r="B692" s="327"/>
      <c r="D692" s="327"/>
      <c r="F692" s="327"/>
      <c r="H692" s="327"/>
      <c r="J692" s="327"/>
      <c r="L692" s="327"/>
      <c r="N692" s="327"/>
      <c r="P692" s="327"/>
      <c r="R692" s="327"/>
      <c r="T692" s="327"/>
      <c r="V692" s="327"/>
      <c r="X692" s="327"/>
      <c r="Z692" s="327"/>
      <c r="AB692" s="327"/>
      <c r="AD692" s="327"/>
      <c r="AF692" s="327"/>
    </row>
    <row r="693" spans="2:32" s="326" customFormat="1" ht="9.9499999999999993" customHeight="1" x14ac:dyDescent="0.2">
      <c r="B693" s="327"/>
      <c r="D693" s="327"/>
      <c r="F693" s="327"/>
      <c r="H693" s="327"/>
      <c r="J693" s="327"/>
      <c r="L693" s="327"/>
      <c r="N693" s="327"/>
      <c r="P693" s="327"/>
      <c r="R693" s="327"/>
      <c r="T693" s="327"/>
      <c r="V693" s="327"/>
      <c r="X693" s="327"/>
      <c r="Z693" s="327"/>
      <c r="AB693" s="327"/>
      <c r="AD693" s="327"/>
      <c r="AF693" s="327"/>
    </row>
    <row r="694" spans="2:32" s="326" customFormat="1" ht="9.9499999999999993" customHeight="1" x14ac:dyDescent="0.2">
      <c r="B694" s="327"/>
      <c r="D694" s="327"/>
      <c r="F694" s="327"/>
      <c r="H694" s="327"/>
      <c r="J694" s="327"/>
      <c r="L694" s="327"/>
      <c r="N694" s="327"/>
      <c r="P694" s="327"/>
      <c r="R694" s="327"/>
      <c r="T694" s="327"/>
      <c r="V694" s="327"/>
      <c r="X694" s="327"/>
      <c r="Z694" s="327"/>
      <c r="AB694" s="327"/>
      <c r="AD694" s="327"/>
      <c r="AF694" s="327"/>
    </row>
    <row r="695" spans="2:32" s="326" customFormat="1" ht="9.9499999999999993" customHeight="1" x14ac:dyDescent="0.2">
      <c r="B695" s="327"/>
      <c r="D695" s="327"/>
      <c r="F695" s="327"/>
      <c r="H695" s="327"/>
      <c r="J695" s="327"/>
      <c r="L695" s="327"/>
      <c r="N695" s="327"/>
      <c r="P695" s="327"/>
      <c r="R695" s="327"/>
      <c r="T695" s="327"/>
      <c r="V695" s="327"/>
      <c r="X695" s="327"/>
      <c r="Z695" s="327"/>
      <c r="AB695" s="327"/>
      <c r="AD695" s="327"/>
      <c r="AF695" s="327"/>
    </row>
    <row r="696" spans="2:32" s="326" customFormat="1" ht="9.9499999999999993" customHeight="1" x14ac:dyDescent="0.2">
      <c r="B696" s="327"/>
      <c r="D696" s="327"/>
      <c r="F696" s="327"/>
      <c r="H696" s="327"/>
      <c r="J696" s="327"/>
      <c r="L696" s="327"/>
      <c r="N696" s="327"/>
      <c r="P696" s="327"/>
      <c r="R696" s="327"/>
      <c r="T696" s="327"/>
      <c r="V696" s="327"/>
      <c r="X696" s="327"/>
      <c r="Z696" s="327"/>
      <c r="AB696" s="327"/>
      <c r="AD696" s="327"/>
      <c r="AF696" s="327"/>
    </row>
    <row r="697" spans="2:32" s="326" customFormat="1" ht="9.9499999999999993" customHeight="1" x14ac:dyDescent="0.2">
      <c r="B697" s="327"/>
      <c r="D697" s="327"/>
      <c r="F697" s="327"/>
      <c r="H697" s="327"/>
      <c r="J697" s="327"/>
      <c r="L697" s="327"/>
      <c r="N697" s="327"/>
      <c r="P697" s="327"/>
      <c r="R697" s="327"/>
      <c r="T697" s="327"/>
      <c r="V697" s="327"/>
      <c r="X697" s="327"/>
      <c r="Z697" s="327"/>
      <c r="AB697" s="327"/>
      <c r="AD697" s="327"/>
      <c r="AF697" s="327"/>
    </row>
    <row r="698" spans="2:32" s="326" customFormat="1" ht="9.9499999999999993" customHeight="1" x14ac:dyDescent="0.2">
      <c r="B698" s="327"/>
      <c r="D698" s="327"/>
      <c r="F698" s="327"/>
      <c r="H698" s="327"/>
      <c r="J698" s="327"/>
      <c r="L698" s="327"/>
      <c r="N698" s="327"/>
      <c r="P698" s="327"/>
      <c r="R698" s="327"/>
      <c r="T698" s="327"/>
      <c r="V698" s="327"/>
      <c r="X698" s="327"/>
      <c r="Z698" s="327"/>
      <c r="AB698" s="327"/>
      <c r="AD698" s="327"/>
      <c r="AF698" s="327"/>
    </row>
    <row r="699" spans="2:32" s="326" customFormat="1" ht="9.9499999999999993" customHeight="1" x14ac:dyDescent="0.2">
      <c r="B699" s="327"/>
      <c r="D699" s="327"/>
      <c r="F699" s="327"/>
      <c r="H699" s="327"/>
      <c r="J699" s="327"/>
      <c r="L699" s="327"/>
      <c r="N699" s="327"/>
      <c r="P699" s="327"/>
      <c r="R699" s="327"/>
      <c r="T699" s="327"/>
      <c r="V699" s="327"/>
      <c r="X699" s="327"/>
      <c r="Z699" s="327"/>
      <c r="AB699" s="327"/>
      <c r="AD699" s="327"/>
      <c r="AF699" s="327"/>
    </row>
    <row r="700" spans="2:32" s="326" customFormat="1" ht="9.9499999999999993" customHeight="1" x14ac:dyDescent="0.2">
      <c r="B700" s="327"/>
      <c r="D700" s="327"/>
      <c r="F700" s="327"/>
      <c r="H700" s="327"/>
      <c r="J700" s="327"/>
      <c r="L700" s="327"/>
      <c r="N700" s="327"/>
      <c r="P700" s="327"/>
      <c r="R700" s="327"/>
      <c r="T700" s="327"/>
      <c r="V700" s="327"/>
      <c r="X700" s="327"/>
      <c r="Z700" s="327"/>
      <c r="AB700" s="327"/>
      <c r="AD700" s="327"/>
      <c r="AF700" s="327"/>
    </row>
    <row r="701" spans="2:32" s="326" customFormat="1" ht="9.9499999999999993" customHeight="1" x14ac:dyDescent="0.2">
      <c r="B701" s="327"/>
      <c r="D701" s="327"/>
      <c r="F701" s="327"/>
      <c r="H701" s="327"/>
      <c r="J701" s="327"/>
      <c r="L701" s="327"/>
      <c r="N701" s="327"/>
      <c r="P701" s="327"/>
      <c r="R701" s="327"/>
      <c r="T701" s="327"/>
      <c r="V701" s="327"/>
      <c r="X701" s="327"/>
      <c r="Z701" s="327"/>
      <c r="AB701" s="327"/>
      <c r="AD701" s="327"/>
      <c r="AF701" s="327"/>
    </row>
    <row r="702" spans="2:32" s="326" customFormat="1" ht="9.9499999999999993" customHeight="1" x14ac:dyDescent="0.2">
      <c r="B702" s="327"/>
      <c r="D702" s="327"/>
      <c r="F702" s="327"/>
      <c r="H702" s="327"/>
      <c r="J702" s="327"/>
      <c r="L702" s="327"/>
      <c r="N702" s="327"/>
      <c r="P702" s="327"/>
      <c r="R702" s="327"/>
      <c r="T702" s="327"/>
      <c r="V702" s="327"/>
      <c r="X702" s="327"/>
      <c r="Z702" s="327"/>
      <c r="AB702" s="327"/>
      <c r="AD702" s="327"/>
      <c r="AF702" s="327"/>
    </row>
    <row r="703" spans="2:32" s="326" customFormat="1" ht="9.9499999999999993" customHeight="1" x14ac:dyDescent="0.2">
      <c r="B703" s="327"/>
      <c r="D703" s="327"/>
      <c r="F703" s="327"/>
      <c r="H703" s="327"/>
      <c r="J703" s="327"/>
      <c r="L703" s="327"/>
      <c r="N703" s="327"/>
      <c r="P703" s="327"/>
      <c r="R703" s="327"/>
      <c r="T703" s="327"/>
      <c r="V703" s="327"/>
      <c r="X703" s="327"/>
      <c r="Z703" s="327"/>
      <c r="AB703" s="327"/>
      <c r="AD703" s="327"/>
      <c r="AF703" s="327"/>
    </row>
    <row r="704" spans="2:32" s="326" customFormat="1" ht="9.9499999999999993" customHeight="1" x14ac:dyDescent="0.2">
      <c r="B704" s="327"/>
      <c r="D704" s="327"/>
      <c r="F704" s="327"/>
      <c r="H704" s="327"/>
      <c r="J704" s="327"/>
      <c r="L704" s="327"/>
      <c r="N704" s="327"/>
      <c r="P704" s="327"/>
      <c r="R704" s="327"/>
      <c r="T704" s="327"/>
      <c r="V704" s="327"/>
      <c r="X704" s="327"/>
      <c r="Z704" s="327"/>
      <c r="AB704" s="327"/>
      <c r="AD704" s="327"/>
      <c r="AF704" s="327"/>
    </row>
    <row r="705" spans="2:32" s="326" customFormat="1" ht="9.9499999999999993" customHeight="1" x14ac:dyDescent="0.2">
      <c r="B705" s="327"/>
      <c r="D705" s="327"/>
      <c r="F705" s="327"/>
      <c r="H705" s="327"/>
      <c r="J705" s="327"/>
      <c r="L705" s="327"/>
      <c r="N705" s="327"/>
      <c r="P705" s="327"/>
      <c r="R705" s="327"/>
      <c r="T705" s="327"/>
      <c r="V705" s="327"/>
      <c r="X705" s="327"/>
      <c r="Z705" s="327"/>
      <c r="AB705" s="327"/>
      <c r="AD705" s="327"/>
      <c r="AF705" s="327"/>
    </row>
    <row r="706" spans="2:32" s="326" customFormat="1" ht="9.9499999999999993" customHeight="1" x14ac:dyDescent="0.2">
      <c r="B706" s="327"/>
      <c r="D706" s="327"/>
      <c r="F706" s="327"/>
      <c r="H706" s="327"/>
      <c r="J706" s="327"/>
      <c r="L706" s="327"/>
      <c r="N706" s="327"/>
      <c r="P706" s="327"/>
      <c r="R706" s="327"/>
      <c r="T706" s="327"/>
      <c r="V706" s="327"/>
      <c r="X706" s="327"/>
      <c r="Z706" s="327"/>
      <c r="AB706" s="327"/>
      <c r="AD706" s="327"/>
      <c r="AF706" s="327"/>
    </row>
    <row r="707" spans="2:32" s="326" customFormat="1" ht="9.9499999999999993" customHeight="1" x14ac:dyDescent="0.2">
      <c r="B707" s="327"/>
      <c r="D707" s="327"/>
      <c r="F707" s="327"/>
      <c r="H707" s="327"/>
      <c r="J707" s="327"/>
      <c r="L707" s="327"/>
      <c r="N707" s="327"/>
      <c r="P707" s="327"/>
      <c r="R707" s="327"/>
      <c r="T707" s="327"/>
      <c r="V707" s="327"/>
      <c r="X707" s="327"/>
      <c r="Z707" s="327"/>
      <c r="AB707" s="327"/>
      <c r="AD707" s="327"/>
      <c r="AF707" s="327"/>
    </row>
    <row r="708" spans="2:32" s="326" customFormat="1" ht="9.9499999999999993" customHeight="1" x14ac:dyDescent="0.2">
      <c r="B708" s="327"/>
      <c r="D708" s="327"/>
      <c r="F708" s="327"/>
      <c r="H708" s="327"/>
      <c r="J708" s="327"/>
      <c r="L708" s="327"/>
      <c r="N708" s="327"/>
      <c r="P708" s="327"/>
      <c r="R708" s="327"/>
      <c r="T708" s="327"/>
      <c r="V708" s="327"/>
      <c r="X708" s="327"/>
      <c r="Z708" s="327"/>
      <c r="AB708" s="327"/>
      <c r="AD708" s="327"/>
      <c r="AF708" s="327"/>
    </row>
    <row r="709" spans="2:32" s="326" customFormat="1" ht="9.9499999999999993" customHeight="1" x14ac:dyDescent="0.2">
      <c r="B709" s="327"/>
      <c r="D709" s="327"/>
      <c r="F709" s="327"/>
      <c r="H709" s="327"/>
      <c r="J709" s="327"/>
      <c r="L709" s="327"/>
      <c r="N709" s="327"/>
      <c r="P709" s="327"/>
      <c r="R709" s="327"/>
      <c r="T709" s="327"/>
      <c r="V709" s="327"/>
      <c r="X709" s="327"/>
      <c r="Z709" s="327"/>
      <c r="AB709" s="327"/>
      <c r="AD709" s="327"/>
      <c r="AF709" s="327"/>
    </row>
    <row r="710" spans="2:32" s="326" customFormat="1" ht="9.9499999999999993" customHeight="1" x14ac:dyDescent="0.2">
      <c r="B710" s="327"/>
      <c r="D710" s="327"/>
      <c r="F710" s="327"/>
      <c r="H710" s="327"/>
      <c r="J710" s="327"/>
      <c r="L710" s="327"/>
      <c r="N710" s="327"/>
      <c r="P710" s="327"/>
      <c r="R710" s="327"/>
      <c r="T710" s="327"/>
      <c r="V710" s="327"/>
      <c r="X710" s="327"/>
      <c r="Z710" s="327"/>
      <c r="AB710" s="327"/>
      <c r="AD710" s="327"/>
      <c r="AF710" s="327"/>
    </row>
    <row r="711" spans="2:32" s="326" customFormat="1" ht="9.9499999999999993" customHeight="1" x14ac:dyDescent="0.2">
      <c r="B711" s="327"/>
      <c r="D711" s="327"/>
      <c r="F711" s="327"/>
      <c r="H711" s="327"/>
      <c r="J711" s="327"/>
      <c r="L711" s="327"/>
      <c r="N711" s="327"/>
      <c r="P711" s="327"/>
      <c r="R711" s="327"/>
      <c r="T711" s="327"/>
      <c r="V711" s="327"/>
      <c r="X711" s="327"/>
      <c r="Z711" s="327"/>
      <c r="AB711" s="327"/>
      <c r="AD711" s="327"/>
      <c r="AF711" s="327"/>
    </row>
    <row r="712" spans="2:32" s="326" customFormat="1" ht="9.9499999999999993" customHeight="1" x14ac:dyDescent="0.2">
      <c r="B712" s="327"/>
      <c r="D712" s="327"/>
      <c r="F712" s="327"/>
      <c r="H712" s="327"/>
      <c r="J712" s="327"/>
      <c r="L712" s="327"/>
      <c r="N712" s="327"/>
      <c r="P712" s="327"/>
      <c r="R712" s="327"/>
      <c r="T712" s="327"/>
      <c r="V712" s="327"/>
      <c r="X712" s="327"/>
      <c r="Z712" s="327"/>
      <c r="AB712" s="327"/>
      <c r="AD712" s="327"/>
      <c r="AF712" s="327"/>
    </row>
    <row r="713" spans="2:32" s="326" customFormat="1" ht="9.9499999999999993" customHeight="1" x14ac:dyDescent="0.2">
      <c r="B713" s="327"/>
      <c r="D713" s="327"/>
      <c r="F713" s="327"/>
      <c r="H713" s="327"/>
      <c r="J713" s="327"/>
      <c r="L713" s="327"/>
      <c r="N713" s="327"/>
      <c r="P713" s="327"/>
      <c r="R713" s="327"/>
      <c r="T713" s="327"/>
      <c r="V713" s="327"/>
      <c r="X713" s="327"/>
      <c r="Z713" s="327"/>
      <c r="AB713" s="327"/>
      <c r="AD713" s="327"/>
      <c r="AF713" s="327"/>
    </row>
    <row r="714" spans="2:32" s="326" customFormat="1" ht="9.9499999999999993" customHeight="1" x14ac:dyDescent="0.2">
      <c r="B714" s="327"/>
      <c r="D714" s="327"/>
      <c r="F714" s="327"/>
      <c r="H714" s="327"/>
      <c r="J714" s="327"/>
      <c r="L714" s="327"/>
      <c r="N714" s="327"/>
      <c r="P714" s="327"/>
      <c r="R714" s="327"/>
      <c r="T714" s="327"/>
      <c r="V714" s="327"/>
      <c r="X714" s="327"/>
      <c r="Z714" s="327"/>
      <c r="AB714" s="327"/>
      <c r="AD714" s="327"/>
      <c r="AF714" s="327"/>
    </row>
    <row r="715" spans="2:32" s="326" customFormat="1" ht="9.9499999999999993" customHeight="1" x14ac:dyDescent="0.2">
      <c r="B715" s="327"/>
      <c r="D715" s="327"/>
      <c r="F715" s="327"/>
      <c r="H715" s="327"/>
      <c r="J715" s="327"/>
      <c r="L715" s="327"/>
      <c r="N715" s="327"/>
      <c r="P715" s="327"/>
      <c r="R715" s="327"/>
      <c r="T715" s="327"/>
      <c r="V715" s="327"/>
      <c r="X715" s="327"/>
      <c r="Z715" s="327"/>
      <c r="AB715" s="327"/>
      <c r="AD715" s="327"/>
      <c r="AF715" s="327"/>
    </row>
    <row r="716" spans="2:32" s="326" customFormat="1" ht="9.9499999999999993" customHeight="1" x14ac:dyDescent="0.2">
      <c r="B716" s="327"/>
      <c r="D716" s="327"/>
      <c r="F716" s="327"/>
      <c r="H716" s="327"/>
      <c r="J716" s="327"/>
      <c r="L716" s="327"/>
      <c r="N716" s="327"/>
      <c r="P716" s="327"/>
      <c r="R716" s="327"/>
      <c r="T716" s="327"/>
      <c r="V716" s="327"/>
      <c r="X716" s="327"/>
      <c r="Z716" s="327"/>
      <c r="AB716" s="327"/>
      <c r="AD716" s="327"/>
      <c r="AF716" s="327"/>
    </row>
    <row r="717" spans="2:32" s="326" customFormat="1" ht="9.9499999999999993" customHeight="1" x14ac:dyDescent="0.2">
      <c r="B717" s="327"/>
      <c r="D717" s="327"/>
      <c r="F717" s="327"/>
      <c r="H717" s="327"/>
      <c r="J717" s="327"/>
      <c r="L717" s="327"/>
      <c r="N717" s="327"/>
      <c r="P717" s="327"/>
      <c r="R717" s="327"/>
      <c r="T717" s="327"/>
      <c r="V717" s="327"/>
      <c r="X717" s="327"/>
      <c r="Z717" s="327"/>
      <c r="AB717" s="327"/>
      <c r="AD717" s="327"/>
      <c r="AF717" s="327"/>
    </row>
    <row r="718" spans="2:32" s="326" customFormat="1" ht="9.9499999999999993" customHeight="1" x14ac:dyDescent="0.2">
      <c r="B718" s="327"/>
      <c r="D718" s="327"/>
      <c r="F718" s="327"/>
      <c r="H718" s="327"/>
      <c r="J718" s="327"/>
      <c r="L718" s="327"/>
      <c r="N718" s="327"/>
      <c r="P718" s="327"/>
      <c r="R718" s="327"/>
      <c r="T718" s="327"/>
      <c r="V718" s="327"/>
      <c r="X718" s="327"/>
      <c r="Z718" s="327"/>
      <c r="AB718" s="327"/>
      <c r="AD718" s="327"/>
      <c r="AF718" s="327"/>
    </row>
    <row r="719" spans="2:32" s="326" customFormat="1" ht="9.9499999999999993" customHeight="1" x14ac:dyDescent="0.2">
      <c r="B719" s="327"/>
      <c r="D719" s="327"/>
      <c r="F719" s="327"/>
      <c r="H719" s="327"/>
      <c r="J719" s="327"/>
      <c r="L719" s="327"/>
      <c r="N719" s="327"/>
      <c r="P719" s="327"/>
      <c r="R719" s="327"/>
      <c r="T719" s="327"/>
      <c r="V719" s="327"/>
      <c r="X719" s="327"/>
      <c r="Z719" s="327"/>
      <c r="AB719" s="327"/>
      <c r="AD719" s="327"/>
      <c r="AF719" s="327"/>
    </row>
    <row r="720" spans="2:32" s="326" customFormat="1" ht="9.9499999999999993" customHeight="1" x14ac:dyDescent="0.2">
      <c r="B720" s="327"/>
      <c r="D720" s="327"/>
      <c r="F720" s="327"/>
      <c r="H720" s="327"/>
      <c r="J720" s="327"/>
      <c r="L720" s="327"/>
      <c r="N720" s="327"/>
      <c r="P720" s="327"/>
      <c r="R720" s="327"/>
      <c r="T720" s="327"/>
      <c r="V720" s="327"/>
      <c r="X720" s="327"/>
      <c r="Z720" s="327"/>
      <c r="AB720" s="327"/>
      <c r="AD720" s="327"/>
      <c r="AF720" s="327"/>
    </row>
    <row r="721" spans="2:32" s="326" customFormat="1" ht="9.9499999999999993" customHeight="1" x14ac:dyDescent="0.2">
      <c r="B721" s="327"/>
      <c r="D721" s="327"/>
      <c r="F721" s="327"/>
      <c r="H721" s="327"/>
      <c r="J721" s="327"/>
      <c r="L721" s="327"/>
      <c r="N721" s="327"/>
      <c r="P721" s="327"/>
      <c r="R721" s="327"/>
      <c r="T721" s="327"/>
      <c r="V721" s="327"/>
      <c r="X721" s="327"/>
      <c r="Z721" s="327"/>
      <c r="AB721" s="327"/>
      <c r="AD721" s="327"/>
      <c r="AF721" s="327"/>
    </row>
    <row r="722" spans="2:32" s="326" customFormat="1" ht="9.9499999999999993" customHeight="1" x14ac:dyDescent="0.2">
      <c r="B722" s="327"/>
      <c r="D722" s="327"/>
      <c r="F722" s="327"/>
      <c r="H722" s="327"/>
      <c r="J722" s="327"/>
      <c r="L722" s="327"/>
      <c r="N722" s="327"/>
      <c r="P722" s="327"/>
      <c r="R722" s="327"/>
      <c r="T722" s="327"/>
      <c r="V722" s="327"/>
      <c r="X722" s="327"/>
      <c r="Z722" s="327"/>
      <c r="AB722" s="327"/>
      <c r="AD722" s="327"/>
      <c r="AF722" s="327"/>
    </row>
    <row r="723" spans="2:32" s="326" customFormat="1" ht="9.9499999999999993" customHeight="1" x14ac:dyDescent="0.2">
      <c r="B723" s="327"/>
      <c r="D723" s="327"/>
      <c r="F723" s="327"/>
      <c r="H723" s="327"/>
      <c r="J723" s="327"/>
      <c r="L723" s="327"/>
      <c r="N723" s="327"/>
      <c r="P723" s="327"/>
      <c r="R723" s="327"/>
      <c r="T723" s="327"/>
      <c r="V723" s="327"/>
      <c r="X723" s="327"/>
      <c r="Z723" s="327"/>
      <c r="AB723" s="327"/>
      <c r="AD723" s="327"/>
      <c r="AF723" s="327"/>
    </row>
    <row r="724" spans="2:32" s="326" customFormat="1" ht="9.9499999999999993" customHeight="1" x14ac:dyDescent="0.2">
      <c r="B724" s="327"/>
      <c r="D724" s="327"/>
      <c r="F724" s="327"/>
      <c r="H724" s="327"/>
      <c r="J724" s="327"/>
      <c r="L724" s="327"/>
      <c r="N724" s="327"/>
      <c r="P724" s="327"/>
      <c r="R724" s="327"/>
      <c r="T724" s="327"/>
      <c r="V724" s="327"/>
      <c r="X724" s="327"/>
      <c r="Z724" s="327"/>
      <c r="AB724" s="327"/>
      <c r="AD724" s="327"/>
      <c r="AF724" s="327"/>
    </row>
    <row r="725" spans="2:32" s="326" customFormat="1" ht="9.9499999999999993" customHeight="1" x14ac:dyDescent="0.2">
      <c r="B725" s="327"/>
      <c r="D725" s="327"/>
      <c r="F725" s="327"/>
      <c r="H725" s="327"/>
      <c r="J725" s="327"/>
      <c r="L725" s="327"/>
      <c r="N725" s="327"/>
      <c r="P725" s="327"/>
      <c r="R725" s="327"/>
      <c r="T725" s="327"/>
      <c r="V725" s="327"/>
      <c r="X725" s="327"/>
      <c r="Z725" s="327"/>
      <c r="AB725" s="327"/>
      <c r="AD725" s="327"/>
      <c r="AF725" s="327"/>
    </row>
    <row r="726" spans="2:32" s="326" customFormat="1" ht="9.9499999999999993" customHeight="1" x14ac:dyDescent="0.2">
      <c r="B726" s="327"/>
      <c r="D726" s="327"/>
      <c r="F726" s="327"/>
      <c r="H726" s="327"/>
      <c r="J726" s="327"/>
      <c r="L726" s="327"/>
      <c r="N726" s="327"/>
      <c r="P726" s="327"/>
      <c r="R726" s="327"/>
      <c r="T726" s="327"/>
      <c r="V726" s="327"/>
      <c r="X726" s="327"/>
      <c r="Z726" s="327"/>
      <c r="AB726" s="327"/>
      <c r="AD726" s="327"/>
      <c r="AF726" s="327"/>
    </row>
    <row r="727" spans="2:32" s="326" customFormat="1" ht="9.9499999999999993" customHeight="1" x14ac:dyDescent="0.2">
      <c r="B727" s="327"/>
      <c r="D727" s="327"/>
      <c r="F727" s="327"/>
      <c r="H727" s="327"/>
      <c r="J727" s="327"/>
      <c r="L727" s="327"/>
      <c r="N727" s="327"/>
      <c r="P727" s="327"/>
      <c r="R727" s="327"/>
      <c r="T727" s="327"/>
      <c r="V727" s="327"/>
      <c r="X727" s="327"/>
      <c r="Z727" s="327"/>
      <c r="AB727" s="327"/>
      <c r="AD727" s="327"/>
      <c r="AF727" s="327"/>
    </row>
    <row r="728" spans="2:32" s="326" customFormat="1" ht="9.9499999999999993" customHeight="1" x14ac:dyDescent="0.2">
      <c r="B728" s="327"/>
      <c r="D728" s="327"/>
      <c r="F728" s="327"/>
      <c r="H728" s="327"/>
      <c r="J728" s="327"/>
      <c r="L728" s="327"/>
      <c r="N728" s="327"/>
      <c r="P728" s="327"/>
      <c r="R728" s="327"/>
      <c r="T728" s="327"/>
      <c r="V728" s="327"/>
      <c r="X728" s="327"/>
      <c r="Z728" s="327"/>
      <c r="AB728" s="327"/>
      <c r="AD728" s="327"/>
      <c r="AF728" s="327"/>
    </row>
    <row r="729" spans="2:32" s="326" customFormat="1" ht="9.9499999999999993" customHeight="1" x14ac:dyDescent="0.2">
      <c r="B729" s="327"/>
      <c r="D729" s="327"/>
      <c r="F729" s="327"/>
      <c r="H729" s="327"/>
      <c r="J729" s="327"/>
      <c r="L729" s="327"/>
      <c r="N729" s="327"/>
      <c r="P729" s="327"/>
      <c r="R729" s="327"/>
      <c r="T729" s="327"/>
      <c r="V729" s="327"/>
      <c r="X729" s="327"/>
      <c r="Z729" s="327"/>
      <c r="AB729" s="327"/>
      <c r="AD729" s="327"/>
      <c r="AF729" s="327"/>
    </row>
    <row r="730" spans="2:32" s="326" customFormat="1" ht="9.9499999999999993" customHeight="1" x14ac:dyDescent="0.2">
      <c r="B730" s="327"/>
      <c r="D730" s="327"/>
      <c r="F730" s="327"/>
      <c r="H730" s="327"/>
      <c r="J730" s="327"/>
      <c r="L730" s="327"/>
      <c r="N730" s="327"/>
      <c r="P730" s="327"/>
      <c r="R730" s="327"/>
      <c r="T730" s="327"/>
      <c r="V730" s="327"/>
      <c r="X730" s="327"/>
      <c r="Z730" s="327"/>
      <c r="AB730" s="327"/>
      <c r="AD730" s="327"/>
      <c r="AF730" s="327"/>
    </row>
    <row r="731" spans="2:32" s="326" customFormat="1" ht="9.9499999999999993" customHeight="1" x14ac:dyDescent="0.2">
      <c r="B731" s="327"/>
      <c r="D731" s="327"/>
      <c r="F731" s="327"/>
      <c r="H731" s="327"/>
      <c r="J731" s="327"/>
      <c r="L731" s="327"/>
      <c r="N731" s="327"/>
      <c r="P731" s="327"/>
      <c r="R731" s="327"/>
      <c r="T731" s="327"/>
      <c r="V731" s="327"/>
      <c r="X731" s="327"/>
      <c r="Z731" s="327"/>
      <c r="AB731" s="327"/>
      <c r="AD731" s="327"/>
      <c r="AF731" s="327"/>
    </row>
    <row r="732" spans="2:32" s="326" customFormat="1" ht="9.9499999999999993" customHeight="1" x14ac:dyDescent="0.2">
      <c r="B732" s="327"/>
      <c r="D732" s="327"/>
      <c r="F732" s="327"/>
      <c r="H732" s="327"/>
      <c r="J732" s="327"/>
      <c r="L732" s="327"/>
      <c r="N732" s="327"/>
      <c r="P732" s="327"/>
      <c r="R732" s="327"/>
      <c r="T732" s="327"/>
      <c r="V732" s="327"/>
      <c r="X732" s="327"/>
      <c r="Z732" s="327"/>
      <c r="AB732" s="327"/>
      <c r="AD732" s="327"/>
      <c r="AF732" s="327"/>
    </row>
    <row r="733" spans="2:32" s="326" customFormat="1" ht="9.9499999999999993" customHeight="1" x14ac:dyDescent="0.2">
      <c r="B733" s="327"/>
      <c r="D733" s="327"/>
      <c r="F733" s="327"/>
      <c r="H733" s="327"/>
      <c r="J733" s="327"/>
      <c r="L733" s="327"/>
      <c r="N733" s="327"/>
      <c r="P733" s="327"/>
      <c r="R733" s="327"/>
      <c r="T733" s="327"/>
      <c r="V733" s="327"/>
      <c r="X733" s="327"/>
      <c r="Z733" s="327"/>
      <c r="AB733" s="327"/>
      <c r="AD733" s="327"/>
      <c r="AF733" s="327"/>
    </row>
    <row r="734" spans="2:32" s="326" customFormat="1" ht="9.9499999999999993" customHeight="1" x14ac:dyDescent="0.2">
      <c r="B734" s="327"/>
      <c r="D734" s="327"/>
      <c r="F734" s="327"/>
      <c r="H734" s="327"/>
      <c r="J734" s="327"/>
      <c r="L734" s="327"/>
      <c r="N734" s="327"/>
      <c r="P734" s="327"/>
      <c r="R734" s="327"/>
      <c r="T734" s="327"/>
      <c r="V734" s="327"/>
      <c r="X734" s="327"/>
      <c r="Z734" s="327"/>
      <c r="AB734" s="327"/>
      <c r="AD734" s="327"/>
      <c r="AF734" s="327"/>
    </row>
    <row r="735" spans="2:32" s="326" customFormat="1" ht="9.9499999999999993" customHeight="1" x14ac:dyDescent="0.2">
      <c r="B735" s="327"/>
      <c r="D735" s="327"/>
      <c r="F735" s="327"/>
      <c r="H735" s="327"/>
      <c r="J735" s="327"/>
      <c r="L735" s="327"/>
      <c r="N735" s="327"/>
      <c r="P735" s="327"/>
      <c r="R735" s="327"/>
      <c r="T735" s="327"/>
      <c r="V735" s="327"/>
      <c r="X735" s="327"/>
      <c r="Z735" s="327"/>
      <c r="AB735" s="327"/>
      <c r="AD735" s="327"/>
      <c r="AF735" s="327"/>
    </row>
    <row r="736" spans="2:32" s="326" customFormat="1" ht="9.9499999999999993" customHeight="1" x14ac:dyDescent="0.2">
      <c r="B736" s="327"/>
      <c r="D736" s="327"/>
      <c r="F736" s="327"/>
      <c r="H736" s="327"/>
      <c r="J736" s="327"/>
      <c r="L736" s="327"/>
      <c r="N736" s="327"/>
      <c r="P736" s="327"/>
      <c r="R736" s="327"/>
      <c r="T736" s="327"/>
      <c r="V736" s="327"/>
      <c r="X736" s="327"/>
      <c r="Z736" s="327"/>
      <c r="AB736" s="327"/>
      <c r="AD736" s="327"/>
      <c r="AF736" s="327"/>
    </row>
    <row r="737" spans="2:32" s="326" customFormat="1" ht="9.9499999999999993" customHeight="1" x14ac:dyDescent="0.2">
      <c r="B737" s="327"/>
      <c r="D737" s="327"/>
      <c r="F737" s="327"/>
      <c r="H737" s="327"/>
      <c r="J737" s="327"/>
      <c r="L737" s="327"/>
      <c r="N737" s="327"/>
      <c r="P737" s="327"/>
      <c r="R737" s="327"/>
      <c r="T737" s="327"/>
      <c r="V737" s="327"/>
      <c r="X737" s="327"/>
      <c r="Z737" s="327"/>
      <c r="AB737" s="327"/>
      <c r="AD737" s="327"/>
      <c r="AF737" s="327"/>
    </row>
    <row r="738" spans="2:32" s="326" customFormat="1" ht="9.9499999999999993" customHeight="1" x14ac:dyDescent="0.2">
      <c r="B738" s="327"/>
      <c r="D738" s="327"/>
      <c r="F738" s="327"/>
      <c r="H738" s="327"/>
      <c r="J738" s="327"/>
      <c r="L738" s="327"/>
      <c r="N738" s="327"/>
      <c r="P738" s="327"/>
      <c r="R738" s="327"/>
      <c r="T738" s="327"/>
      <c r="V738" s="327"/>
      <c r="X738" s="327"/>
      <c r="Z738" s="327"/>
      <c r="AB738" s="327"/>
      <c r="AD738" s="327"/>
      <c r="AF738" s="327"/>
    </row>
    <row r="739" spans="2:32" s="326" customFormat="1" ht="9.9499999999999993" customHeight="1" x14ac:dyDescent="0.2">
      <c r="B739" s="327"/>
      <c r="D739" s="327"/>
      <c r="F739" s="327"/>
      <c r="H739" s="327"/>
      <c r="J739" s="327"/>
      <c r="L739" s="327"/>
      <c r="N739" s="327"/>
      <c r="P739" s="327"/>
      <c r="R739" s="327"/>
      <c r="T739" s="327"/>
      <c r="V739" s="327"/>
      <c r="X739" s="327"/>
      <c r="Z739" s="327"/>
      <c r="AB739" s="327"/>
      <c r="AD739" s="327"/>
      <c r="AF739" s="327"/>
    </row>
    <row r="740" spans="2:32" s="326" customFormat="1" ht="9.9499999999999993" customHeight="1" x14ac:dyDescent="0.2">
      <c r="B740" s="327"/>
      <c r="D740" s="327"/>
      <c r="F740" s="327"/>
      <c r="H740" s="327"/>
      <c r="J740" s="327"/>
      <c r="L740" s="327"/>
      <c r="N740" s="327"/>
      <c r="P740" s="327"/>
      <c r="R740" s="327"/>
      <c r="T740" s="327"/>
      <c r="V740" s="327"/>
      <c r="X740" s="327"/>
      <c r="Z740" s="327"/>
      <c r="AB740" s="327"/>
      <c r="AD740" s="327"/>
      <c r="AF740" s="327"/>
    </row>
    <row r="741" spans="2:32" s="326" customFormat="1" ht="9.9499999999999993" customHeight="1" x14ac:dyDescent="0.2">
      <c r="B741" s="327"/>
      <c r="D741" s="327"/>
      <c r="F741" s="327"/>
      <c r="H741" s="327"/>
      <c r="J741" s="327"/>
      <c r="L741" s="327"/>
      <c r="N741" s="327"/>
      <c r="P741" s="327"/>
      <c r="R741" s="327"/>
      <c r="T741" s="327"/>
      <c r="V741" s="327"/>
      <c r="X741" s="327"/>
      <c r="Z741" s="327"/>
      <c r="AB741" s="327"/>
      <c r="AD741" s="327"/>
      <c r="AF741" s="327"/>
    </row>
    <row r="742" spans="2:32" s="326" customFormat="1" ht="9.9499999999999993" customHeight="1" x14ac:dyDescent="0.2">
      <c r="B742" s="327"/>
      <c r="D742" s="327"/>
      <c r="F742" s="327"/>
      <c r="H742" s="327"/>
      <c r="J742" s="327"/>
      <c r="L742" s="327"/>
      <c r="N742" s="327"/>
      <c r="P742" s="327"/>
      <c r="R742" s="327"/>
      <c r="T742" s="327"/>
      <c r="V742" s="327"/>
      <c r="X742" s="327"/>
      <c r="Z742" s="327"/>
      <c r="AB742" s="327"/>
      <c r="AD742" s="327"/>
      <c r="AF742" s="327"/>
    </row>
    <row r="743" spans="2:32" s="326" customFormat="1" ht="9.9499999999999993" customHeight="1" x14ac:dyDescent="0.2">
      <c r="B743" s="327"/>
      <c r="D743" s="327"/>
      <c r="F743" s="327"/>
      <c r="H743" s="327"/>
      <c r="J743" s="327"/>
      <c r="L743" s="327"/>
      <c r="N743" s="327"/>
      <c r="P743" s="327"/>
      <c r="R743" s="327"/>
      <c r="T743" s="327"/>
      <c r="V743" s="327"/>
      <c r="X743" s="327"/>
      <c r="Z743" s="327"/>
      <c r="AB743" s="327"/>
      <c r="AD743" s="327"/>
      <c r="AF743" s="327"/>
    </row>
    <row r="744" spans="2:32" s="326" customFormat="1" ht="9.9499999999999993" customHeight="1" x14ac:dyDescent="0.2">
      <c r="B744" s="327"/>
      <c r="D744" s="327"/>
      <c r="F744" s="327"/>
      <c r="H744" s="327"/>
      <c r="J744" s="327"/>
      <c r="L744" s="327"/>
      <c r="N744" s="327"/>
      <c r="P744" s="327"/>
      <c r="R744" s="327"/>
      <c r="T744" s="327"/>
      <c r="V744" s="327"/>
      <c r="X744" s="327"/>
      <c r="Z744" s="327"/>
      <c r="AB744" s="327"/>
      <c r="AD744" s="327"/>
      <c r="AF744" s="327"/>
    </row>
    <row r="745" spans="2:32" s="326" customFormat="1" ht="9.9499999999999993" customHeight="1" x14ac:dyDescent="0.2">
      <c r="B745" s="327"/>
      <c r="D745" s="327"/>
      <c r="F745" s="327"/>
      <c r="H745" s="327"/>
      <c r="J745" s="327"/>
      <c r="L745" s="327"/>
      <c r="N745" s="327"/>
      <c r="P745" s="327"/>
      <c r="R745" s="327"/>
      <c r="T745" s="327"/>
      <c r="V745" s="327"/>
      <c r="X745" s="327"/>
      <c r="Z745" s="327"/>
      <c r="AB745" s="327"/>
      <c r="AD745" s="327"/>
      <c r="AF745" s="327"/>
    </row>
    <row r="746" spans="2:32" s="326" customFormat="1" ht="9.9499999999999993" customHeight="1" x14ac:dyDescent="0.2">
      <c r="B746" s="327"/>
      <c r="D746" s="327"/>
      <c r="F746" s="327"/>
      <c r="H746" s="327"/>
      <c r="J746" s="327"/>
      <c r="L746" s="327"/>
      <c r="N746" s="327"/>
      <c r="P746" s="327"/>
      <c r="R746" s="327"/>
      <c r="T746" s="327"/>
      <c r="V746" s="327"/>
      <c r="X746" s="327"/>
      <c r="Z746" s="327"/>
      <c r="AB746" s="327"/>
      <c r="AD746" s="327"/>
      <c r="AF746" s="327"/>
    </row>
    <row r="747" spans="2:32" s="326" customFormat="1" ht="9.9499999999999993" customHeight="1" x14ac:dyDescent="0.2">
      <c r="B747" s="327"/>
      <c r="D747" s="327"/>
      <c r="F747" s="327"/>
      <c r="H747" s="327"/>
      <c r="J747" s="327"/>
      <c r="L747" s="327"/>
      <c r="N747" s="327"/>
      <c r="P747" s="327"/>
      <c r="R747" s="327"/>
      <c r="T747" s="327"/>
      <c r="V747" s="327"/>
      <c r="X747" s="327"/>
      <c r="Z747" s="327"/>
      <c r="AB747" s="327"/>
      <c r="AD747" s="327"/>
      <c r="AF747" s="327"/>
    </row>
    <row r="748" spans="2:32" s="326" customFormat="1" ht="9.9499999999999993" customHeight="1" x14ac:dyDescent="0.2">
      <c r="B748" s="327"/>
      <c r="D748" s="327"/>
      <c r="F748" s="327"/>
      <c r="H748" s="327"/>
      <c r="J748" s="327"/>
      <c r="L748" s="327"/>
      <c r="N748" s="327"/>
      <c r="P748" s="327"/>
      <c r="R748" s="327"/>
      <c r="T748" s="327"/>
      <c r="V748" s="327"/>
      <c r="X748" s="327"/>
      <c r="Z748" s="327"/>
      <c r="AB748" s="327"/>
      <c r="AD748" s="327"/>
      <c r="AF748" s="327"/>
    </row>
    <row r="749" spans="2:32" s="326" customFormat="1" ht="9.9499999999999993" customHeight="1" x14ac:dyDescent="0.2">
      <c r="B749" s="327"/>
      <c r="D749" s="327"/>
      <c r="F749" s="327"/>
      <c r="H749" s="327"/>
      <c r="J749" s="327"/>
      <c r="L749" s="327"/>
      <c r="N749" s="327"/>
      <c r="P749" s="327"/>
      <c r="R749" s="327"/>
      <c r="T749" s="327"/>
      <c r="V749" s="327"/>
      <c r="X749" s="327"/>
      <c r="Z749" s="327"/>
      <c r="AB749" s="327"/>
      <c r="AD749" s="327"/>
      <c r="AF749" s="327"/>
    </row>
    <row r="750" spans="2:32" s="326" customFormat="1" ht="9.9499999999999993" customHeight="1" x14ac:dyDescent="0.2">
      <c r="B750" s="327"/>
      <c r="D750" s="327"/>
      <c r="F750" s="327"/>
      <c r="H750" s="327"/>
      <c r="J750" s="327"/>
      <c r="L750" s="327"/>
      <c r="N750" s="327"/>
      <c r="P750" s="327"/>
      <c r="R750" s="327"/>
      <c r="T750" s="327"/>
      <c r="V750" s="327"/>
      <c r="X750" s="327"/>
      <c r="Z750" s="327"/>
      <c r="AB750" s="327"/>
      <c r="AD750" s="327"/>
      <c r="AF750" s="327"/>
    </row>
    <row r="751" spans="2:32" s="326" customFormat="1" ht="9.9499999999999993" customHeight="1" x14ac:dyDescent="0.2">
      <c r="B751" s="327"/>
      <c r="D751" s="327"/>
      <c r="F751" s="327"/>
      <c r="H751" s="327"/>
      <c r="J751" s="327"/>
      <c r="L751" s="327"/>
      <c r="N751" s="327"/>
      <c r="P751" s="327"/>
      <c r="R751" s="327"/>
      <c r="T751" s="327"/>
      <c r="V751" s="327"/>
      <c r="X751" s="327"/>
      <c r="Z751" s="327"/>
      <c r="AB751" s="327"/>
      <c r="AD751" s="327"/>
      <c r="AF751" s="327"/>
    </row>
    <row r="752" spans="2:32" s="326" customFormat="1" ht="9.9499999999999993" customHeight="1" x14ac:dyDescent="0.2">
      <c r="B752" s="327"/>
      <c r="D752" s="327"/>
      <c r="F752" s="327"/>
      <c r="H752" s="327"/>
      <c r="J752" s="327"/>
      <c r="L752" s="327"/>
      <c r="N752" s="327"/>
      <c r="P752" s="327"/>
      <c r="R752" s="327"/>
      <c r="T752" s="327"/>
      <c r="V752" s="327"/>
      <c r="X752" s="327"/>
      <c r="Z752" s="327"/>
      <c r="AB752" s="327"/>
      <c r="AD752" s="327"/>
      <c r="AF752" s="327"/>
    </row>
    <row r="753" spans="2:32" s="326" customFormat="1" ht="9.9499999999999993" customHeight="1" x14ac:dyDescent="0.2">
      <c r="B753" s="327"/>
      <c r="D753" s="327"/>
      <c r="F753" s="327"/>
      <c r="H753" s="327"/>
      <c r="J753" s="327"/>
      <c r="L753" s="327"/>
      <c r="N753" s="327"/>
      <c r="P753" s="327"/>
      <c r="R753" s="327"/>
      <c r="T753" s="327"/>
      <c r="V753" s="327"/>
      <c r="X753" s="327"/>
      <c r="Z753" s="327"/>
      <c r="AB753" s="327"/>
      <c r="AD753" s="327"/>
      <c r="AF753" s="327"/>
    </row>
    <row r="754" spans="2:32" s="326" customFormat="1" ht="9.9499999999999993" customHeight="1" x14ac:dyDescent="0.2">
      <c r="B754" s="327"/>
      <c r="D754" s="327"/>
      <c r="F754" s="327"/>
      <c r="H754" s="327"/>
      <c r="J754" s="327"/>
      <c r="L754" s="327"/>
      <c r="N754" s="327"/>
      <c r="P754" s="327"/>
      <c r="R754" s="327"/>
      <c r="T754" s="327"/>
      <c r="V754" s="327"/>
      <c r="X754" s="327"/>
      <c r="Z754" s="327"/>
      <c r="AB754" s="327"/>
      <c r="AD754" s="327"/>
      <c r="AF754" s="327"/>
    </row>
    <row r="755" spans="2:32" s="326" customFormat="1" ht="9.9499999999999993" customHeight="1" x14ac:dyDescent="0.2">
      <c r="B755" s="327"/>
      <c r="D755" s="327"/>
      <c r="F755" s="327"/>
      <c r="H755" s="327"/>
      <c r="J755" s="327"/>
      <c r="L755" s="327"/>
      <c r="N755" s="327"/>
      <c r="P755" s="327"/>
      <c r="R755" s="327"/>
      <c r="T755" s="327"/>
      <c r="V755" s="327"/>
      <c r="X755" s="327"/>
      <c r="Z755" s="327"/>
      <c r="AB755" s="327"/>
      <c r="AD755" s="327"/>
      <c r="AF755" s="327"/>
    </row>
    <row r="756" spans="2:32" s="326" customFormat="1" ht="9.9499999999999993" customHeight="1" x14ac:dyDescent="0.2">
      <c r="B756" s="327"/>
      <c r="D756" s="327"/>
      <c r="F756" s="327"/>
      <c r="H756" s="327"/>
      <c r="J756" s="327"/>
      <c r="L756" s="327"/>
      <c r="N756" s="327"/>
      <c r="P756" s="327"/>
      <c r="R756" s="327"/>
      <c r="T756" s="327"/>
      <c r="V756" s="327"/>
      <c r="X756" s="327"/>
      <c r="Z756" s="327"/>
      <c r="AB756" s="327"/>
      <c r="AD756" s="327"/>
      <c r="AF756" s="327"/>
    </row>
    <row r="757" spans="2:32" s="326" customFormat="1" ht="9.9499999999999993" customHeight="1" x14ac:dyDescent="0.2">
      <c r="B757" s="327"/>
      <c r="D757" s="327"/>
      <c r="F757" s="327"/>
      <c r="H757" s="327"/>
      <c r="J757" s="327"/>
      <c r="L757" s="327"/>
      <c r="N757" s="327"/>
      <c r="P757" s="327"/>
      <c r="R757" s="327"/>
      <c r="T757" s="327"/>
      <c r="V757" s="327"/>
      <c r="X757" s="327"/>
      <c r="Z757" s="327"/>
      <c r="AB757" s="327"/>
      <c r="AD757" s="327"/>
      <c r="AF757" s="327"/>
    </row>
    <row r="758" spans="2:32" s="326" customFormat="1" ht="9.9499999999999993" customHeight="1" x14ac:dyDescent="0.2">
      <c r="B758" s="327"/>
      <c r="D758" s="327"/>
      <c r="F758" s="327"/>
      <c r="H758" s="327"/>
      <c r="J758" s="327"/>
      <c r="L758" s="327"/>
      <c r="N758" s="327"/>
      <c r="P758" s="327"/>
      <c r="R758" s="327"/>
      <c r="T758" s="327"/>
      <c r="V758" s="327"/>
      <c r="X758" s="327"/>
      <c r="Z758" s="327"/>
      <c r="AB758" s="327"/>
      <c r="AD758" s="327"/>
      <c r="AF758" s="327"/>
    </row>
    <row r="759" spans="2:32" s="326" customFormat="1" ht="9.9499999999999993" customHeight="1" x14ac:dyDescent="0.2">
      <c r="B759" s="327"/>
      <c r="D759" s="327"/>
      <c r="F759" s="327"/>
      <c r="H759" s="327"/>
      <c r="J759" s="327"/>
      <c r="L759" s="327"/>
      <c r="N759" s="327"/>
      <c r="P759" s="327"/>
      <c r="R759" s="327"/>
      <c r="T759" s="327"/>
      <c r="V759" s="327"/>
      <c r="X759" s="327"/>
      <c r="Z759" s="327"/>
      <c r="AB759" s="327"/>
      <c r="AD759" s="327"/>
      <c r="AF759" s="327"/>
    </row>
    <row r="760" spans="2:32" s="326" customFormat="1" ht="9.9499999999999993" customHeight="1" x14ac:dyDescent="0.2">
      <c r="B760" s="327"/>
      <c r="D760" s="327"/>
      <c r="F760" s="327"/>
      <c r="H760" s="327"/>
      <c r="J760" s="327"/>
      <c r="L760" s="327"/>
      <c r="N760" s="327"/>
      <c r="P760" s="327"/>
      <c r="R760" s="327"/>
      <c r="T760" s="327"/>
      <c r="V760" s="327"/>
      <c r="X760" s="327"/>
      <c r="Z760" s="327"/>
      <c r="AB760" s="327"/>
      <c r="AD760" s="327"/>
      <c r="AF760" s="327"/>
    </row>
    <row r="761" spans="2:32" s="326" customFormat="1" ht="9.9499999999999993" customHeight="1" x14ac:dyDescent="0.2">
      <c r="B761" s="327"/>
      <c r="D761" s="327"/>
      <c r="F761" s="327"/>
      <c r="H761" s="327"/>
      <c r="J761" s="327"/>
      <c r="L761" s="327"/>
      <c r="N761" s="327"/>
      <c r="P761" s="327"/>
      <c r="R761" s="327"/>
      <c r="T761" s="327"/>
      <c r="V761" s="327"/>
      <c r="X761" s="327"/>
      <c r="Z761" s="327"/>
      <c r="AB761" s="327"/>
      <c r="AD761" s="327"/>
      <c r="AF761" s="327"/>
    </row>
    <row r="762" spans="2:32" s="326" customFormat="1" ht="9.9499999999999993" customHeight="1" x14ac:dyDescent="0.2">
      <c r="B762" s="327"/>
      <c r="D762" s="327"/>
      <c r="F762" s="327"/>
      <c r="H762" s="327"/>
      <c r="J762" s="327"/>
      <c r="L762" s="327"/>
      <c r="N762" s="327"/>
      <c r="P762" s="327"/>
      <c r="R762" s="327"/>
      <c r="T762" s="327"/>
      <c r="V762" s="327"/>
      <c r="X762" s="327"/>
      <c r="Z762" s="327"/>
      <c r="AB762" s="327"/>
      <c r="AD762" s="327"/>
      <c r="AF762" s="327"/>
    </row>
    <row r="763" spans="2:32" s="326" customFormat="1" ht="9.9499999999999993" customHeight="1" x14ac:dyDescent="0.2">
      <c r="B763" s="327"/>
      <c r="D763" s="327"/>
      <c r="F763" s="327"/>
      <c r="H763" s="327"/>
      <c r="J763" s="327"/>
      <c r="L763" s="327"/>
      <c r="N763" s="327"/>
      <c r="P763" s="327"/>
      <c r="R763" s="327"/>
      <c r="T763" s="327"/>
      <c r="V763" s="327"/>
      <c r="X763" s="327"/>
      <c r="Z763" s="327"/>
      <c r="AB763" s="327"/>
      <c r="AD763" s="327"/>
      <c r="AF763" s="327"/>
    </row>
    <row r="764" spans="2:32" s="326" customFormat="1" ht="9.9499999999999993" customHeight="1" x14ac:dyDescent="0.2">
      <c r="B764" s="327"/>
      <c r="D764" s="327"/>
      <c r="F764" s="327"/>
      <c r="H764" s="327"/>
      <c r="J764" s="327"/>
      <c r="L764" s="327"/>
      <c r="N764" s="327"/>
      <c r="P764" s="327"/>
      <c r="R764" s="327"/>
      <c r="T764" s="327"/>
      <c r="V764" s="327"/>
      <c r="X764" s="327"/>
      <c r="Z764" s="327"/>
      <c r="AB764" s="327"/>
      <c r="AD764" s="327"/>
      <c r="AF764" s="327"/>
    </row>
    <row r="765" spans="2:32" s="326" customFormat="1" ht="9.9499999999999993" customHeight="1" x14ac:dyDescent="0.2">
      <c r="B765" s="327"/>
      <c r="D765" s="327"/>
      <c r="F765" s="327"/>
      <c r="H765" s="327"/>
      <c r="J765" s="327"/>
      <c r="L765" s="327"/>
      <c r="N765" s="327"/>
      <c r="P765" s="327"/>
      <c r="R765" s="327"/>
      <c r="T765" s="327"/>
      <c r="V765" s="327"/>
      <c r="X765" s="327"/>
      <c r="Z765" s="327"/>
      <c r="AB765" s="327"/>
      <c r="AD765" s="327"/>
      <c r="AF765" s="327"/>
    </row>
    <row r="766" spans="2:32" s="326" customFormat="1" ht="9.9499999999999993" customHeight="1" x14ac:dyDescent="0.2">
      <c r="B766" s="327"/>
      <c r="D766" s="327"/>
      <c r="F766" s="327"/>
      <c r="H766" s="327"/>
      <c r="J766" s="327"/>
      <c r="L766" s="327"/>
      <c r="N766" s="327"/>
      <c r="P766" s="327"/>
      <c r="R766" s="327"/>
      <c r="T766" s="327"/>
      <c r="V766" s="327"/>
      <c r="X766" s="327"/>
      <c r="Z766" s="327"/>
      <c r="AB766" s="327"/>
      <c r="AD766" s="327"/>
      <c r="AF766" s="327"/>
    </row>
    <row r="767" spans="2:32" s="326" customFormat="1" ht="9.9499999999999993" customHeight="1" x14ac:dyDescent="0.2">
      <c r="B767" s="327"/>
      <c r="D767" s="327"/>
      <c r="F767" s="327"/>
      <c r="H767" s="327"/>
      <c r="J767" s="327"/>
      <c r="L767" s="327"/>
      <c r="N767" s="327"/>
      <c r="P767" s="327"/>
      <c r="R767" s="327"/>
      <c r="T767" s="327"/>
      <c r="V767" s="327"/>
      <c r="X767" s="327"/>
      <c r="Z767" s="327"/>
      <c r="AB767" s="327"/>
      <c r="AD767" s="327"/>
      <c r="AF767" s="327"/>
    </row>
    <row r="768" spans="2:32" s="326" customFormat="1" ht="9.9499999999999993" customHeight="1" x14ac:dyDescent="0.2">
      <c r="B768" s="327"/>
      <c r="D768" s="327"/>
      <c r="F768" s="327"/>
      <c r="H768" s="327"/>
      <c r="J768" s="327"/>
      <c r="L768" s="327"/>
      <c r="N768" s="327"/>
      <c r="P768" s="327"/>
      <c r="R768" s="327"/>
      <c r="T768" s="327"/>
      <c r="V768" s="327"/>
      <c r="X768" s="327"/>
      <c r="Z768" s="327"/>
      <c r="AB768" s="327"/>
      <c r="AD768" s="327"/>
      <c r="AF768" s="327"/>
    </row>
    <row r="769" spans="2:32" s="326" customFormat="1" ht="9.9499999999999993" customHeight="1" x14ac:dyDescent="0.2">
      <c r="B769" s="327"/>
      <c r="D769" s="327"/>
      <c r="F769" s="327"/>
      <c r="H769" s="327"/>
      <c r="J769" s="327"/>
      <c r="L769" s="327"/>
      <c r="N769" s="327"/>
      <c r="P769" s="327"/>
      <c r="R769" s="327"/>
      <c r="T769" s="327"/>
      <c r="V769" s="327"/>
      <c r="X769" s="327"/>
      <c r="Z769" s="327"/>
      <c r="AB769" s="327"/>
      <c r="AD769" s="327"/>
      <c r="AF769" s="327"/>
    </row>
    <row r="770" spans="2:32" s="326" customFormat="1" ht="9.9499999999999993" customHeight="1" x14ac:dyDescent="0.2">
      <c r="B770" s="327"/>
      <c r="D770" s="327"/>
      <c r="F770" s="327"/>
      <c r="H770" s="327"/>
      <c r="J770" s="327"/>
      <c r="L770" s="327"/>
      <c r="N770" s="327"/>
      <c r="P770" s="327"/>
      <c r="R770" s="327"/>
      <c r="T770" s="327"/>
      <c r="V770" s="327"/>
      <c r="X770" s="327"/>
      <c r="Z770" s="327"/>
      <c r="AB770" s="327"/>
      <c r="AD770" s="327"/>
      <c r="AF770" s="327"/>
    </row>
    <row r="771" spans="2:32" s="326" customFormat="1" ht="9.9499999999999993" customHeight="1" x14ac:dyDescent="0.2">
      <c r="B771" s="327"/>
      <c r="D771" s="327"/>
      <c r="F771" s="327"/>
      <c r="H771" s="327"/>
      <c r="J771" s="327"/>
      <c r="L771" s="327"/>
      <c r="N771" s="327"/>
      <c r="P771" s="327"/>
      <c r="R771" s="327"/>
      <c r="T771" s="327"/>
      <c r="V771" s="327"/>
      <c r="X771" s="327"/>
      <c r="Z771" s="327"/>
      <c r="AB771" s="327"/>
      <c r="AD771" s="327"/>
      <c r="AF771" s="327"/>
    </row>
    <row r="772" spans="2:32" s="326" customFormat="1" ht="9.9499999999999993" customHeight="1" x14ac:dyDescent="0.2">
      <c r="B772" s="327"/>
      <c r="D772" s="327"/>
      <c r="F772" s="327"/>
      <c r="H772" s="327"/>
      <c r="J772" s="327"/>
      <c r="L772" s="327"/>
      <c r="N772" s="327"/>
      <c r="P772" s="327"/>
      <c r="R772" s="327"/>
      <c r="T772" s="327"/>
      <c r="V772" s="327"/>
      <c r="X772" s="327"/>
      <c r="Z772" s="327"/>
      <c r="AB772" s="327"/>
      <c r="AD772" s="327"/>
      <c r="AF772" s="327"/>
    </row>
    <row r="773" spans="2:32" s="326" customFormat="1" ht="9.9499999999999993" customHeight="1" x14ac:dyDescent="0.2">
      <c r="B773" s="327"/>
      <c r="D773" s="327"/>
      <c r="F773" s="327"/>
      <c r="H773" s="327"/>
      <c r="J773" s="327"/>
      <c r="L773" s="327"/>
      <c r="N773" s="327"/>
      <c r="P773" s="327"/>
      <c r="R773" s="327"/>
      <c r="T773" s="327"/>
      <c r="V773" s="327"/>
      <c r="X773" s="327"/>
      <c r="Z773" s="327"/>
      <c r="AB773" s="327"/>
      <c r="AD773" s="327"/>
      <c r="AF773" s="327"/>
    </row>
    <row r="774" spans="2:32" s="326" customFormat="1" ht="9.9499999999999993" customHeight="1" x14ac:dyDescent="0.2">
      <c r="B774" s="327"/>
      <c r="D774" s="327"/>
      <c r="F774" s="327"/>
      <c r="H774" s="327"/>
      <c r="J774" s="327"/>
      <c r="L774" s="327"/>
      <c r="N774" s="327"/>
      <c r="P774" s="327"/>
      <c r="R774" s="327"/>
      <c r="T774" s="327"/>
      <c r="V774" s="327"/>
      <c r="X774" s="327"/>
      <c r="Z774" s="327"/>
      <c r="AB774" s="327"/>
      <c r="AD774" s="327"/>
      <c r="AF774" s="327"/>
    </row>
    <row r="775" spans="2:32" s="326" customFormat="1" ht="9.9499999999999993" customHeight="1" x14ac:dyDescent="0.2">
      <c r="B775" s="327"/>
      <c r="D775" s="327"/>
      <c r="F775" s="327"/>
      <c r="H775" s="327"/>
      <c r="J775" s="327"/>
      <c r="L775" s="327"/>
      <c r="N775" s="327"/>
      <c r="P775" s="327"/>
      <c r="R775" s="327"/>
      <c r="T775" s="327"/>
      <c r="V775" s="327"/>
      <c r="X775" s="327"/>
      <c r="Z775" s="327"/>
      <c r="AB775" s="327"/>
      <c r="AD775" s="327"/>
      <c r="AF775" s="327"/>
    </row>
    <row r="776" spans="2:32" s="326" customFormat="1" ht="9.9499999999999993" customHeight="1" x14ac:dyDescent="0.2">
      <c r="B776" s="327"/>
      <c r="D776" s="327"/>
      <c r="F776" s="327"/>
      <c r="H776" s="327"/>
      <c r="J776" s="327"/>
      <c r="L776" s="327"/>
      <c r="N776" s="327"/>
      <c r="P776" s="327"/>
      <c r="R776" s="327"/>
      <c r="T776" s="327"/>
      <c r="V776" s="327"/>
      <c r="X776" s="327"/>
      <c r="Z776" s="327"/>
      <c r="AB776" s="327"/>
      <c r="AD776" s="327"/>
      <c r="AF776" s="327"/>
    </row>
    <row r="777" spans="2:32" s="326" customFormat="1" ht="9.9499999999999993" customHeight="1" x14ac:dyDescent="0.2">
      <c r="B777" s="327"/>
      <c r="D777" s="327"/>
      <c r="F777" s="327"/>
      <c r="H777" s="327"/>
      <c r="J777" s="327"/>
      <c r="L777" s="327"/>
      <c r="N777" s="327"/>
      <c r="P777" s="327"/>
      <c r="R777" s="327"/>
      <c r="T777" s="327"/>
      <c r="V777" s="327"/>
      <c r="X777" s="327"/>
      <c r="Z777" s="327"/>
      <c r="AB777" s="327"/>
      <c r="AD777" s="327"/>
      <c r="AF777" s="327"/>
    </row>
    <row r="778" spans="2:32" s="326" customFormat="1" ht="9.9499999999999993" customHeight="1" x14ac:dyDescent="0.2">
      <c r="B778" s="327"/>
      <c r="D778" s="327"/>
      <c r="F778" s="327"/>
      <c r="H778" s="327"/>
      <c r="J778" s="327"/>
      <c r="L778" s="327"/>
      <c r="N778" s="327"/>
      <c r="P778" s="327"/>
      <c r="R778" s="327"/>
      <c r="T778" s="327"/>
      <c r="V778" s="327"/>
      <c r="X778" s="327"/>
      <c r="Z778" s="327"/>
      <c r="AB778" s="327"/>
      <c r="AD778" s="327"/>
      <c r="AF778" s="327"/>
    </row>
    <row r="779" spans="2:32" s="326" customFormat="1" ht="9.9499999999999993" customHeight="1" x14ac:dyDescent="0.2">
      <c r="B779" s="327"/>
      <c r="D779" s="327"/>
      <c r="F779" s="327"/>
      <c r="H779" s="327"/>
      <c r="J779" s="327"/>
      <c r="L779" s="327"/>
      <c r="N779" s="327"/>
      <c r="P779" s="327"/>
      <c r="R779" s="327"/>
      <c r="T779" s="327"/>
      <c r="V779" s="327"/>
      <c r="X779" s="327"/>
      <c r="Z779" s="327"/>
      <c r="AB779" s="327"/>
      <c r="AD779" s="327"/>
      <c r="AF779" s="327"/>
    </row>
    <row r="780" spans="2:32" s="326" customFormat="1" ht="9.9499999999999993" customHeight="1" x14ac:dyDescent="0.2">
      <c r="B780" s="327"/>
      <c r="D780" s="327"/>
      <c r="F780" s="327"/>
      <c r="H780" s="327"/>
      <c r="J780" s="327"/>
      <c r="L780" s="327"/>
      <c r="N780" s="327"/>
      <c r="P780" s="327"/>
      <c r="R780" s="327"/>
      <c r="T780" s="327"/>
      <c r="V780" s="327"/>
      <c r="X780" s="327"/>
      <c r="Z780" s="327"/>
      <c r="AB780" s="327"/>
      <c r="AD780" s="327"/>
      <c r="AF780" s="327"/>
    </row>
    <row r="781" spans="2:32" s="326" customFormat="1" ht="9.9499999999999993" customHeight="1" x14ac:dyDescent="0.2">
      <c r="B781" s="327"/>
      <c r="D781" s="327"/>
      <c r="F781" s="327"/>
      <c r="H781" s="327"/>
      <c r="J781" s="327"/>
      <c r="L781" s="327"/>
      <c r="N781" s="327"/>
      <c r="P781" s="327"/>
      <c r="R781" s="327"/>
      <c r="T781" s="327"/>
      <c r="V781" s="327"/>
      <c r="X781" s="327"/>
      <c r="Z781" s="327"/>
      <c r="AB781" s="327"/>
      <c r="AD781" s="327"/>
      <c r="AF781" s="327"/>
    </row>
    <row r="782" spans="2:32" s="326" customFormat="1" ht="9.9499999999999993" customHeight="1" x14ac:dyDescent="0.2">
      <c r="B782" s="327"/>
      <c r="D782" s="327"/>
      <c r="F782" s="327"/>
      <c r="H782" s="327"/>
      <c r="J782" s="327"/>
      <c r="L782" s="327"/>
      <c r="N782" s="327"/>
      <c r="P782" s="327"/>
      <c r="R782" s="327"/>
      <c r="T782" s="327"/>
      <c r="V782" s="327"/>
      <c r="X782" s="327"/>
      <c r="Z782" s="327"/>
      <c r="AB782" s="327"/>
      <c r="AD782" s="327"/>
      <c r="AF782" s="327"/>
    </row>
    <row r="783" spans="2:32" s="326" customFormat="1" ht="9.9499999999999993" customHeight="1" x14ac:dyDescent="0.2">
      <c r="B783" s="327"/>
      <c r="D783" s="327"/>
      <c r="F783" s="327"/>
      <c r="H783" s="327"/>
      <c r="J783" s="327"/>
      <c r="L783" s="327"/>
      <c r="N783" s="327"/>
      <c r="P783" s="327"/>
      <c r="R783" s="327"/>
      <c r="T783" s="327"/>
      <c r="V783" s="327"/>
      <c r="X783" s="327"/>
      <c r="Z783" s="327"/>
      <c r="AB783" s="327"/>
      <c r="AD783" s="327"/>
      <c r="AF783" s="327"/>
    </row>
    <row r="784" spans="2:32" s="326" customFormat="1" ht="9.9499999999999993" customHeight="1" x14ac:dyDescent="0.2">
      <c r="B784" s="327"/>
      <c r="D784" s="327"/>
      <c r="F784" s="327"/>
      <c r="H784" s="327"/>
      <c r="J784" s="327"/>
      <c r="L784" s="327"/>
      <c r="N784" s="327"/>
      <c r="P784" s="327"/>
      <c r="R784" s="327"/>
      <c r="T784" s="327"/>
      <c r="V784" s="327"/>
      <c r="X784" s="327"/>
      <c r="Z784" s="327"/>
      <c r="AB784" s="327"/>
      <c r="AD784" s="327"/>
      <c r="AF784" s="327"/>
    </row>
    <row r="785" spans="2:32" s="326" customFormat="1" ht="9.9499999999999993" customHeight="1" x14ac:dyDescent="0.2">
      <c r="B785" s="327"/>
      <c r="D785" s="327"/>
      <c r="F785" s="327"/>
      <c r="H785" s="327"/>
      <c r="J785" s="327"/>
      <c r="L785" s="327"/>
      <c r="N785" s="327"/>
      <c r="P785" s="327"/>
      <c r="R785" s="327"/>
      <c r="T785" s="327"/>
      <c r="V785" s="327"/>
      <c r="X785" s="327"/>
      <c r="Z785" s="327"/>
      <c r="AB785" s="327"/>
      <c r="AD785" s="327"/>
      <c r="AF785" s="327"/>
    </row>
    <row r="786" spans="2:32" s="326" customFormat="1" ht="9.9499999999999993" customHeight="1" x14ac:dyDescent="0.2">
      <c r="B786" s="327"/>
      <c r="D786" s="327"/>
      <c r="F786" s="327"/>
      <c r="H786" s="327"/>
      <c r="J786" s="327"/>
      <c r="L786" s="327"/>
      <c r="N786" s="327"/>
      <c r="P786" s="327"/>
      <c r="R786" s="327"/>
      <c r="T786" s="327"/>
      <c r="V786" s="327"/>
      <c r="X786" s="327"/>
      <c r="Z786" s="327"/>
      <c r="AB786" s="327"/>
      <c r="AD786" s="327"/>
      <c r="AF786" s="327"/>
    </row>
    <row r="787" spans="2:32" s="326" customFormat="1" ht="9.9499999999999993" customHeight="1" x14ac:dyDescent="0.2">
      <c r="B787" s="327"/>
      <c r="D787" s="327"/>
      <c r="F787" s="327"/>
      <c r="H787" s="327"/>
      <c r="J787" s="327"/>
      <c r="L787" s="327"/>
      <c r="N787" s="327"/>
      <c r="P787" s="327"/>
      <c r="R787" s="327"/>
      <c r="T787" s="327"/>
      <c r="V787" s="327"/>
      <c r="X787" s="327"/>
      <c r="Z787" s="327"/>
      <c r="AB787" s="327"/>
      <c r="AD787" s="327"/>
      <c r="AF787" s="327"/>
    </row>
    <row r="788" spans="2:32" s="326" customFormat="1" ht="9.9499999999999993" customHeight="1" x14ac:dyDescent="0.2">
      <c r="B788" s="327"/>
      <c r="D788" s="327"/>
      <c r="F788" s="327"/>
      <c r="H788" s="327"/>
      <c r="J788" s="327"/>
      <c r="L788" s="327"/>
      <c r="N788" s="327"/>
      <c r="P788" s="327"/>
      <c r="R788" s="327"/>
      <c r="T788" s="327"/>
      <c r="V788" s="327"/>
      <c r="X788" s="327"/>
      <c r="Z788" s="327"/>
      <c r="AB788" s="327"/>
      <c r="AD788" s="327"/>
      <c r="AF788" s="327"/>
    </row>
    <row r="789" spans="2:32" s="326" customFormat="1" ht="9.9499999999999993" customHeight="1" x14ac:dyDescent="0.2">
      <c r="B789" s="327"/>
      <c r="D789" s="327"/>
      <c r="F789" s="327"/>
      <c r="H789" s="327"/>
      <c r="J789" s="327"/>
      <c r="L789" s="327"/>
      <c r="N789" s="327"/>
      <c r="P789" s="327"/>
      <c r="R789" s="327"/>
      <c r="T789" s="327"/>
      <c r="V789" s="327"/>
      <c r="X789" s="327"/>
      <c r="Z789" s="327"/>
      <c r="AB789" s="327"/>
      <c r="AD789" s="327"/>
      <c r="AF789" s="327"/>
    </row>
    <row r="790" spans="2:32" s="326" customFormat="1" ht="9.9499999999999993" customHeight="1" x14ac:dyDescent="0.2">
      <c r="B790" s="327"/>
      <c r="D790" s="327"/>
      <c r="F790" s="327"/>
      <c r="H790" s="327"/>
      <c r="J790" s="327"/>
      <c r="L790" s="327"/>
      <c r="N790" s="327"/>
      <c r="P790" s="327"/>
      <c r="R790" s="327"/>
      <c r="T790" s="327"/>
      <c r="V790" s="327"/>
      <c r="X790" s="327"/>
      <c r="Z790" s="327"/>
      <c r="AB790" s="327"/>
      <c r="AD790" s="327"/>
      <c r="AF790" s="327"/>
    </row>
    <row r="791" spans="2:32" s="326" customFormat="1" ht="9.9499999999999993" customHeight="1" x14ac:dyDescent="0.2">
      <c r="B791" s="327"/>
      <c r="D791" s="327"/>
      <c r="F791" s="327"/>
      <c r="H791" s="327"/>
      <c r="J791" s="327"/>
      <c r="L791" s="327"/>
      <c r="N791" s="327"/>
      <c r="P791" s="327"/>
      <c r="R791" s="327"/>
      <c r="T791" s="327"/>
      <c r="V791" s="327"/>
      <c r="X791" s="327"/>
      <c r="Z791" s="327"/>
      <c r="AB791" s="327"/>
      <c r="AD791" s="327"/>
      <c r="AF791" s="327"/>
    </row>
    <row r="792" spans="2:32" s="326" customFormat="1" ht="9.9499999999999993" customHeight="1" x14ac:dyDescent="0.2">
      <c r="B792" s="327"/>
      <c r="D792" s="327"/>
      <c r="F792" s="327"/>
      <c r="H792" s="327"/>
      <c r="J792" s="327"/>
      <c r="L792" s="327"/>
      <c r="N792" s="327"/>
      <c r="P792" s="327"/>
      <c r="R792" s="327"/>
      <c r="T792" s="327"/>
      <c r="V792" s="327"/>
      <c r="X792" s="327"/>
      <c r="Z792" s="327"/>
      <c r="AB792" s="327"/>
      <c r="AD792" s="327"/>
      <c r="AF792" s="327"/>
    </row>
    <row r="793" spans="2:32" s="326" customFormat="1" ht="9.9499999999999993" customHeight="1" x14ac:dyDescent="0.2">
      <c r="B793" s="327"/>
      <c r="D793" s="327"/>
      <c r="F793" s="327"/>
      <c r="H793" s="327"/>
      <c r="J793" s="327"/>
      <c r="L793" s="327"/>
      <c r="N793" s="327"/>
      <c r="P793" s="327"/>
      <c r="R793" s="327"/>
      <c r="T793" s="327"/>
      <c r="V793" s="327"/>
      <c r="X793" s="327"/>
      <c r="Z793" s="327"/>
      <c r="AB793" s="327"/>
      <c r="AD793" s="327"/>
      <c r="AF793" s="327"/>
    </row>
    <row r="794" spans="2:32" s="326" customFormat="1" ht="9.9499999999999993" customHeight="1" x14ac:dyDescent="0.2">
      <c r="B794" s="327"/>
      <c r="D794" s="327"/>
      <c r="F794" s="327"/>
      <c r="H794" s="327"/>
      <c r="J794" s="327"/>
      <c r="L794" s="327"/>
      <c r="N794" s="327"/>
      <c r="P794" s="327"/>
      <c r="R794" s="327"/>
      <c r="T794" s="327"/>
      <c r="V794" s="327"/>
      <c r="X794" s="327"/>
      <c r="Z794" s="327"/>
      <c r="AB794" s="327"/>
      <c r="AD794" s="327"/>
      <c r="AF794" s="327"/>
    </row>
    <row r="795" spans="2:32" s="326" customFormat="1" ht="9.9499999999999993" customHeight="1" x14ac:dyDescent="0.2">
      <c r="B795" s="327"/>
      <c r="D795" s="327"/>
      <c r="F795" s="327"/>
      <c r="H795" s="327"/>
      <c r="J795" s="327"/>
      <c r="L795" s="327"/>
      <c r="N795" s="327"/>
      <c r="P795" s="327"/>
      <c r="R795" s="327"/>
      <c r="T795" s="327"/>
      <c r="V795" s="327"/>
      <c r="X795" s="327"/>
      <c r="Z795" s="327"/>
      <c r="AB795" s="327"/>
      <c r="AD795" s="327"/>
      <c r="AF795" s="327"/>
    </row>
    <row r="796" spans="2:32" s="326" customFormat="1" ht="9.9499999999999993" customHeight="1" x14ac:dyDescent="0.2">
      <c r="B796" s="327"/>
      <c r="D796" s="327"/>
      <c r="F796" s="327"/>
      <c r="H796" s="327"/>
      <c r="J796" s="327"/>
      <c r="L796" s="327"/>
      <c r="N796" s="327"/>
      <c r="P796" s="327"/>
      <c r="R796" s="327"/>
      <c r="T796" s="327"/>
      <c r="V796" s="327"/>
      <c r="X796" s="327"/>
      <c r="Z796" s="327"/>
      <c r="AB796" s="327"/>
      <c r="AD796" s="327"/>
      <c r="AF796" s="327"/>
    </row>
    <row r="797" spans="2:32" s="326" customFormat="1" ht="9.9499999999999993" customHeight="1" x14ac:dyDescent="0.2">
      <c r="B797" s="327"/>
      <c r="D797" s="327"/>
      <c r="F797" s="327"/>
      <c r="H797" s="327"/>
      <c r="J797" s="327"/>
      <c r="L797" s="327"/>
      <c r="N797" s="327"/>
      <c r="P797" s="327"/>
      <c r="R797" s="327"/>
      <c r="T797" s="327"/>
      <c r="V797" s="327"/>
      <c r="X797" s="327"/>
      <c r="Z797" s="327"/>
      <c r="AB797" s="327"/>
      <c r="AD797" s="327"/>
      <c r="AF797" s="327"/>
    </row>
    <row r="798" spans="2:32" s="326" customFormat="1" ht="9.9499999999999993" customHeight="1" x14ac:dyDescent="0.2">
      <c r="B798" s="327"/>
      <c r="D798" s="327"/>
      <c r="F798" s="327"/>
      <c r="H798" s="327"/>
      <c r="J798" s="327"/>
      <c r="L798" s="327"/>
      <c r="N798" s="327"/>
      <c r="P798" s="327"/>
      <c r="R798" s="327"/>
      <c r="T798" s="327"/>
      <c r="V798" s="327"/>
      <c r="X798" s="327"/>
      <c r="Z798" s="327"/>
      <c r="AB798" s="327"/>
      <c r="AD798" s="327"/>
      <c r="AF798" s="327"/>
    </row>
    <row r="799" spans="2:32" s="326" customFormat="1" ht="9.9499999999999993" customHeight="1" x14ac:dyDescent="0.2">
      <c r="B799" s="327"/>
      <c r="D799" s="327"/>
      <c r="F799" s="327"/>
      <c r="H799" s="327"/>
      <c r="J799" s="327"/>
      <c r="L799" s="327"/>
      <c r="N799" s="327"/>
      <c r="P799" s="327"/>
      <c r="R799" s="327"/>
      <c r="T799" s="327"/>
      <c r="V799" s="327"/>
      <c r="X799" s="327"/>
      <c r="Z799" s="327"/>
      <c r="AB799" s="327"/>
      <c r="AD799" s="327"/>
      <c r="AF799" s="327"/>
    </row>
    <row r="800" spans="2:32" s="326" customFormat="1" ht="9.9499999999999993" customHeight="1" x14ac:dyDescent="0.2">
      <c r="B800" s="327"/>
      <c r="D800" s="327"/>
      <c r="F800" s="327"/>
      <c r="H800" s="327"/>
      <c r="J800" s="327"/>
      <c r="L800" s="327"/>
      <c r="N800" s="327"/>
      <c r="P800" s="327"/>
      <c r="R800" s="327"/>
      <c r="T800" s="327"/>
      <c r="V800" s="327"/>
      <c r="X800" s="327"/>
      <c r="Z800" s="327"/>
      <c r="AB800" s="327"/>
      <c r="AD800" s="327"/>
      <c r="AF800" s="327"/>
    </row>
    <row r="801" spans="2:32" s="326" customFormat="1" ht="9.9499999999999993" customHeight="1" x14ac:dyDescent="0.2">
      <c r="B801" s="327"/>
      <c r="D801" s="327"/>
      <c r="F801" s="327"/>
      <c r="H801" s="327"/>
      <c r="J801" s="327"/>
      <c r="L801" s="327"/>
      <c r="N801" s="327"/>
      <c r="P801" s="327"/>
      <c r="R801" s="327"/>
      <c r="T801" s="327"/>
      <c r="V801" s="327"/>
      <c r="X801" s="327"/>
      <c r="Z801" s="327"/>
      <c r="AB801" s="327"/>
      <c r="AD801" s="327"/>
      <c r="AF801" s="327"/>
    </row>
    <row r="802" spans="2:32" s="326" customFormat="1" ht="9.9499999999999993" customHeight="1" x14ac:dyDescent="0.2">
      <c r="B802" s="327"/>
      <c r="D802" s="327"/>
      <c r="F802" s="327"/>
      <c r="H802" s="327"/>
      <c r="J802" s="327"/>
      <c r="L802" s="327"/>
      <c r="N802" s="327"/>
      <c r="P802" s="327"/>
      <c r="R802" s="327"/>
      <c r="T802" s="327"/>
      <c r="V802" s="327"/>
      <c r="X802" s="327"/>
      <c r="Z802" s="327"/>
      <c r="AB802" s="327"/>
      <c r="AD802" s="327"/>
      <c r="AF802" s="327"/>
    </row>
    <row r="803" spans="2:32" s="326" customFormat="1" ht="9.9499999999999993" customHeight="1" x14ac:dyDescent="0.2">
      <c r="B803" s="327"/>
      <c r="D803" s="327"/>
      <c r="F803" s="327"/>
      <c r="H803" s="327"/>
      <c r="J803" s="327"/>
      <c r="L803" s="327"/>
      <c r="N803" s="327"/>
      <c r="P803" s="327"/>
      <c r="R803" s="327"/>
      <c r="T803" s="327"/>
      <c r="V803" s="327"/>
      <c r="X803" s="327"/>
      <c r="Z803" s="327"/>
      <c r="AB803" s="327"/>
      <c r="AD803" s="327"/>
      <c r="AF803" s="327"/>
    </row>
    <row r="804" spans="2:32" s="326" customFormat="1" ht="9.9499999999999993" customHeight="1" x14ac:dyDescent="0.2">
      <c r="B804" s="327"/>
      <c r="D804" s="327"/>
      <c r="F804" s="327"/>
      <c r="H804" s="327"/>
      <c r="J804" s="327"/>
      <c r="L804" s="327"/>
      <c r="N804" s="327"/>
      <c r="P804" s="327"/>
      <c r="R804" s="327"/>
      <c r="T804" s="327"/>
      <c r="V804" s="327"/>
      <c r="X804" s="327"/>
      <c r="Z804" s="327"/>
      <c r="AB804" s="327"/>
      <c r="AD804" s="327"/>
      <c r="AF804" s="327"/>
    </row>
    <row r="805" spans="2:32" s="326" customFormat="1" ht="9.9499999999999993" customHeight="1" x14ac:dyDescent="0.2">
      <c r="B805" s="327"/>
      <c r="D805" s="327"/>
      <c r="F805" s="327"/>
      <c r="H805" s="327"/>
      <c r="J805" s="327"/>
      <c r="L805" s="327"/>
      <c r="N805" s="327"/>
      <c r="P805" s="327"/>
      <c r="R805" s="327"/>
      <c r="T805" s="327"/>
      <c r="V805" s="327"/>
      <c r="X805" s="327"/>
      <c r="Z805" s="327"/>
      <c r="AB805" s="327"/>
      <c r="AD805" s="327"/>
      <c r="AF805" s="327"/>
    </row>
    <row r="806" spans="2:32" s="326" customFormat="1" ht="9.9499999999999993" customHeight="1" x14ac:dyDescent="0.2">
      <c r="B806" s="327"/>
      <c r="D806" s="327"/>
      <c r="F806" s="327"/>
      <c r="H806" s="327"/>
      <c r="J806" s="327"/>
      <c r="L806" s="327"/>
      <c r="N806" s="327"/>
      <c r="P806" s="327"/>
      <c r="R806" s="327"/>
      <c r="T806" s="327"/>
      <c r="V806" s="327"/>
      <c r="X806" s="327"/>
      <c r="Z806" s="327"/>
      <c r="AB806" s="327"/>
      <c r="AD806" s="327"/>
      <c r="AF806" s="327"/>
    </row>
    <row r="807" spans="2:32" s="326" customFormat="1" ht="9.9499999999999993" customHeight="1" x14ac:dyDescent="0.2">
      <c r="B807" s="327"/>
      <c r="D807" s="327"/>
      <c r="F807" s="327"/>
      <c r="H807" s="327"/>
      <c r="J807" s="327"/>
      <c r="L807" s="327"/>
      <c r="N807" s="327"/>
      <c r="P807" s="327"/>
      <c r="R807" s="327"/>
      <c r="T807" s="327"/>
      <c r="V807" s="327"/>
      <c r="X807" s="327"/>
      <c r="Z807" s="327"/>
      <c r="AB807" s="327"/>
      <c r="AD807" s="327"/>
      <c r="AF807" s="327"/>
    </row>
    <row r="808" spans="2:32" s="326" customFormat="1" ht="9.9499999999999993" customHeight="1" x14ac:dyDescent="0.2">
      <c r="B808" s="327"/>
      <c r="D808" s="327"/>
      <c r="F808" s="327"/>
      <c r="H808" s="327"/>
      <c r="J808" s="327"/>
      <c r="L808" s="327"/>
      <c r="N808" s="327"/>
      <c r="P808" s="327"/>
      <c r="R808" s="327"/>
      <c r="T808" s="327"/>
      <c r="V808" s="327"/>
      <c r="X808" s="327"/>
      <c r="Z808" s="327"/>
      <c r="AB808" s="327"/>
      <c r="AD808" s="327"/>
      <c r="AF808" s="327"/>
    </row>
    <row r="809" spans="2:32" s="326" customFormat="1" ht="9.9499999999999993" customHeight="1" x14ac:dyDescent="0.2">
      <c r="B809" s="327"/>
      <c r="D809" s="327"/>
      <c r="F809" s="327"/>
      <c r="H809" s="327"/>
      <c r="J809" s="327"/>
      <c r="L809" s="327"/>
      <c r="N809" s="327"/>
      <c r="P809" s="327"/>
      <c r="R809" s="327"/>
      <c r="T809" s="327"/>
      <c r="V809" s="327"/>
      <c r="X809" s="327"/>
      <c r="Z809" s="327"/>
      <c r="AB809" s="327"/>
      <c r="AD809" s="327"/>
      <c r="AF809" s="327"/>
    </row>
    <row r="810" spans="2:32" s="326" customFormat="1" ht="9.9499999999999993" customHeight="1" x14ac:dyDescent="0.2">
      <c r="B810" s="327"/>
      <c r="D810" s="327"/>
      <c r="F810" s="327"/>
      <c r="H810" s="327"/>
      <c r="J810" s="327"/>
      <c r="L810" s="327"/>
      <c r="N810" s="327"/>
      <c r="P810" s="327"/>
      <c r="R810" s="327"/>
      <c r="T810" s="327"/>
      <c r="V810" s="327"/>
      <c r="X810" s="327"/>
      <c r="Z810" s="327"/>
      <c r="AB810" s="327"/>
      <c r="AD810" s="327"/>
      <c r="AF810" s="327"/>
    </row>
    <row r="811" spans="2:32" s="326" customFormat="1" ht="9.9499999999999993" customHeight="1" x14ac:dyDescent="0.2">
      <c r="B811" s="327"/>
      <c r="D811" s="327"/>
      <c r="F811" s="327"/>
      <c r="H811" s="327"/>
      <c r="J811" s="327"/>
      <c r="L811" s="327"/>
      <c r="N811" s="327"/>
      <c r="P811" s="327"/>
      <c r="R811" s="327"/>
      <c r="T811" s="327"/>
      <c r="V811" s="327"/>
      <c r="X811" s="327"/>
      <c r="Z811" s="327"/>
      <c r="AB811" s="327"/>
      <c r="AD811" s="327"/>
      <c r="AF811" s="327"/>
    </row>
    <row r="812" spans="2:32" s="326" customFormat="1" ht="9.9499999999999993" customHeight="1" x14ac:dyDescent="0.2">
      <c r="B812" s="327"/>
      <c r="D812" s="327"/>
      <c r="F812" s="327"/>
      <c r="H812" s="327"/>
      <c r="J812" s="327"/>
      <c r="L812" s="327"/>
      <c r="N812" s="327"/>
      <c r="P812" s="327"/>
      <c r="R812" s="327"/>
      <c r="T812" s="327"/>
      <c r="V812" s="327"/>
      <c r="X812" s="327"/>
      <c r="Z812" s="327"/>
      <c r="AB812" s="327"/>
      <c r="AD812" s="327"/>
      <c r="AF812" s="327"/>
    </row>
    <row r="813" spans="2:32" s="326" customFormat="1" ht="9.9499999999999993" customHeight="1" x14ac:dyDescent="0.2">
      <c r="B813" s="327"/>
      <c r="D813" s="327"/>
      <c r="F813" s="327"/>
      <c r="H813" s="327"/>
      <c r="J813" s="327"/>
      <c r="L813" s="327"/>
      <c r="N813" s="327"/>
      <c r="P813" s="327"/>
      <c r="R813" s="327"/>
      <c r="T813" s="327"/>
      <c r="V813" s="327"/>
      <c r="X813" s="327"/>
      <c r="Z813" s="327"/>
      <c r="AB813" s="327"/>
      <c r="AD813" s="327"/>
      <c r="AF813" s="327"/>
    </row>
    <row r="814" spans="2:32" s="326" customFormat="1" ht="9.9499999999999993" customHeight="1" x14ac:dyDescent="0.2">
      <c r="B814" s="327"/>
      <c r="D814" s="327"/>
      <c r="F814" s="327"/>
      <c r="H814" s="327"/>
      <c r="J814" s="327"/>
      <c r="L814" s="327"/>
      <c r="N814" s="327"/>
      <c r="P814" s="327"/>
      <c r="R814" s="327"/>
      <c r="T814" s="327"/>
      <c r="V814" s="327"/>
      <c r="X814" s="327"/>
      <c r="Z814" s="327"/>
      <c r="AB814" s="327"/>
      <c r="AD814" s="327"/>
      <c r="AF814" s="327"/>
    </row>
    <row r="815" spans="2:32" s="326" customFormat="1" ht="9.9499999999999993" customHeight="1" x14ac:dyDescent="0.2">
      <c r="B815" s="327"/>
      <c r="D815" s="327"/>
      <c r="F815" s="327"/>
      <c r="H815" s="327"/>
      <c r="J815" s="327"/>
      <c r="L815" s="327"/>
      <c r="N815" s="327"/>
      <c r="P815" s="327"/>
      <c r="R815" s="327"/>
      <c r="T815" s="327"/>
      <c r="V815" s="327"/>
      <c r="X815" s="327"/>
      <c r="Z815" s="327"/>
      <c r="AB815" s="327"/>
      <c r="AD815" s="327"/>
      <c r="AF815" s="327"/>
    </row>
    <row r="816" spans="2:32" s="326" customFormat="1" ht="9.9499999999999993" customHeight="1" x14ac:dyDescent="0.2">
      <c r="B816" s="327"/>
      <c r="D816" s="327"/>
      <c r="F816" s="327"/>
      <c r="H816" s="327"/>
      <c r="J816" s="327"/>
      <c r="L816" s="327"/>
      <c r="N816" s="327"/>
      <c r="P816" s="327"/>
      <c r="R816" s="327"/>
      <c r="T816" s="327"/>
      <c r="V816" s="327"/>
      <c r="X816" s="327"/>
      <c r="Z816" s="327"/>
      <c r="AB816" s="327"/>
      <c r="AD816" s="327"/>
      <c r="AF816" s="327"/>
    </row>
    <row r="817" spans="2:32" s="326" customFormat="1" ht="9.9499999999999993" customHeight="1" x14ac:dyDescent="0.2">
      <c r="B817" s="327"/>
      <c r="D817" s="327"/>
      <c r="F817" s="327"/>
      <c r="H817" s="327"/>
      <c r="J817" s="327"/>
      <c r="L817" s="327"/>
      <c r="N817" s="327"/>
      <c r="P817" s="327"/>
      <c r="R817" s="327"/>
      <c r="T817" s="327"/>
      <c r="V817" s="327"/>
      <c r="X817" s="327"/>
      <c r="Z817" s="327"/>
      <c r="AB817" s="327"/>
      <c r="AD817" s="327"/>
      <c r="AF817" s="327"/>
    </row>
    <row r="818" spans="2:32" s="326" customFormat="1" ht="9.9499999999999993" customHeight="1" x14ac:dyDescent="0.2">
      <c r="B818" s="327"/>
      <c r="D818" s="327"/>
      <c r="F818" s="327"/>
      <c r="H818" s="327"/>
      <c r="J818" s="327"/>
      <c r="L818" s="327"/>
      <c r="N818" s="327"/>
      <c r="P818" s="327"/>
      <c r="R818" s="327"/>
      <c r="T818" s="327"/>
      <c r="V818" s="327"/>
      <c r="X818" s="327"/>
      <c r="Z818" s="327"/>
      <c r="AB818" s="327"/>
      <c r="AD818" s="327"/>
      <c r="AF818" s="327"/>
    </row>
  </sheetData>
  <mergeCells count="1">
    <mergeCell ref="O1:AH1"/>
  </mergeCells>
  <phoneticPr fontId="9" type="noConversion"/>
  <printOptions horizontalCentered="1"/>
  <pageMargins left="0.5" right="0.5" top="0.5" bottom="0.625" header="0.5" footer="0.5"/>
  <pageSetup scale="5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theme="6" tint="0.39997558519241921"/>
  </sheetPr>
  <dimension ref="A1:AT823"/>
  <sheetViews>
    <sheetView view="pageBreakPreview" zoomScaleNormal="100" workbookViewId="0">
      <pane xSplit="1" ySplit="12" topLeftCell="B13" activePane="bottomRight" state="frozen"/>
      <selection activeCell="Z13" activeCellId="3" sqref="Z18 Z17 Z15 Z13"/>
      <selection pane="topRight" activeCell="Z13" activeCellId="3" sqref="Z18 Z17 Z15 Z13"/>
      <selection pane="bottomLeft" activeCell="Z13" activeCellId="3" sqref="Z18 Z17 Z15 Z13"/>
      <selection pane="bottomRight" activeCell="Z13" activeCellId="3" sqref="Z18 Z17 Z15 Z13"/>
    </sheetView>
  </sheetViews>
  <sheetFormatPr defaultColWidth="9.140625" defaultRowHeight="9.9499999999999993" customHeight="1" x14ac:dyDescent="0.2"/>
  <cols>
    <col min="1" max="1" width="34.42578125" style="314" customWidth="1"/>
    <col min="2" max="2" width="1.5703125" style="329" customWidth="1"/>
    <col min="3" max="3" width="12.140625" style="314" customWidth="1"/>
    <col min="4" max="4" width="1.5703125" style="314" customWidth="1"/>
    <col min="5" max="5" width="12.140625" style="314" customWidth="1"/>
    <col min="6" max="6" width="1.5703125" style="329" customWidth="1"/>
    <col min="7" max="7" width="12.140625" style="314" customWidth="1"/>
    <col min="8" max="8" width="1.5703125" style="329" customWidth="1"/>
    <col min="9" max="9" width="12.140625" style="314" customWidth="1"/>
    <col min="10" max="10" width="1.5703125" style="329" customWidth="1"/>
    <col min="11" max="11" width="12.140625" style="314" customWidth="1"/>
    <col min="12" max="12" width="1.5703125" style="329" customWidth="1"/>
    <col min="13" max="13" width="12.140625" style="314" customWidth="1"/>
    <col min="14" max="14" width="1.5703125" style="329" customWidth="1"/>
    <col min="15" max="15" width="12.140625" style="314" customWidth="1"/>
    <col min="16" max="16" width="1.5703125" style="329" customWidth="1"/>
    <col min="17" max="17" width="12.140625" style="314" customWidth="1"/>
    <col min="18" max="18" width="1.5703125" style="329" customWidth="1"/>
    <col min="19" max="19" width="12.140625" style="314" customWidth="1"/>
    <col min="20" max="20" width="1.5703125" style="329" hidden="1" customWidth="1"/>
    <col min="21" max="21" width="12.140625" style="314" hidden="1" customWidth="1"/>
    <col min="22" max="22" width="1.5703125" style="329" customWidth="1"/>
    <col min="23" max="23" width="12.140625" style="314" customWidth="1"/>
    <col min="24" max="24" width="1.5703125" style="329" customWidth="1"/>
    <col min="25" max="25" width="12.140625" style="314" customWidth="1"/>
    <col min="26" max="26" width="1.5703125" style="329" customWidth="1"/>
    <col min="27" max="27" width="12.140625" style="314" customWidth="1"/>
    <col min="28" max="28" width="1.5703125" style="329" customWidth="1"/>
    <col min="29" max="29" width="12.140625" style="314" customWidth="1"/>
    <col min="30" max="30" width="1.5703125" style="329" customWidth="1"/>
    <col min="31" max="31" width="12.140625" style="314" customWidth="1"/>
    <col min="32" max="32" width="1.5703125" style="329" customWidth="1"/>
    <col min="33" max="33" width="12.140625" style="314" customWidth="1"/>
    <col min="34" max="16384" width="9.140625" style="314"/>
  </cols>
  <sheetData>
    <row r="1" spans="1:33" s="529" customFormat="1" ht="16.5" customHeight="1" thickBot="1" x14ac:dyDescent="0.25">
      <c r="A1" s="519"/>
      <c r="B1" s="519"/>
      <c r="C1" s="519"/>
      <c r="D1" s="519"/>
      <c r="E1" s="519"/>
      <c r="F1" s="519"/>
      <c r="G1" s="519"/>
      <c r="H1" s="519"/>
      <c r="I1" s="519"/>
      <c r="J1" s="519"/>
      <c r="K1" s="519"/>
      <c r="L1" s="519"/>
      <c r="M1" s="519"/>
      <c r="N1" s="519"/>
      <c r="O1" s="1582" t="s">
        <v>1033</v>
      </c>
      <c r="P1" s="1582"/>
      <c r="Q1" s="1582"/>
      <c r="R1" s="1582"/>
      <c r="S1" s="1582"/>
      <c r="T1" s="1582"/>
      <c r="U1" s="1582"/>
      <c r="V1" s="1582"/>
      <c r="W1" s="1582"/>
      <c r="X1" s="1582"/>
      <c r="Y1" s="1582"/>
      <c r="Z1" s="1582"/>
      <c r="AA1" s="1582"/>
      <c r="AB1" s="1582"/>
      <c r="AC1" s="1582"/>
      <c r="AD1" s="1582"/>
      <c r="AE1" s="1582"/>
      <c r="AF1" s="1582"/>
      <c r="AG1" s="1582"/>
    </row>
    <row r="2" spans="1:33" s="531" customFormat="1" ht="15" customHeight="1" x14ac:dyDescent="0.2">
      <c r="A2" s="700" t="s">
        <v>32</v>
      </c>
      <c r="B2" s="713"/>
      <c r="C2" s="713"/>
      <c r="D2" s="713"/>
      <c r="E2" s="713"/>
      <c r="F2" s="713"/>
      <c r="G2" s="713"/>
      <c r="H2" s="713"/>
      <c r="J2" s="713"/>
      <c r="K2" s="713"/>
      <c r="L2" s="713"/>
      <c r="N2" s="713"/>
      <c r="O2" s="700"/>
      <c r="P2" s="713"/>
      <c r="R2" s="713"/>
      <c r="S2" s="713"/>
      <c r="T2" s="713"/>
      <c r="V2" s="713"/>
      <c r="W2" s="713"/>
      <c r="X2" s="713"/>
      <c r="Y2" s="713"/>
      <c r="Z2" s="713"/>
      <c r="AA2" s="713"/>
      <c r="AB2" s="713"/>
      <c r="AC2" s="713"/>
      <c r="AD2" s="713"/>
      <c r="AF2" s="713"/>
    </row>
    <row r="3" spans="1:33" s="531" customFormat="1" ht="15" customHeight="1" x14ac:dyDescent="0.2">
      <c r="A3" s="700" t="s">
        <v>1007</v>
      </c>
      <c r="B3" s="713"/>
      <c r="C3" s="713"/>
      <c r="D3" s="713"/>
      <c r="E3" s="713"/>
      <c r="F3" s="713"/>
      <c r="G3" s="713"/>
      <c r="H3" s="713"/>
      <c r="J3" s="713"/>
      <c r="K3" s="713"/>
      <c r="L3" s="713"/>
      <c r="N3" s="713"/>
      <c r="O3" s="700"/>
      <c r="P3" s="713"/>
      <c r="R3" s="713"/>
      <c r="S3" s="713"/>
      <c r="T3" s="713"/>
      <c r="V3" s="713"/>
      <c r="W3" s="713"/>
      <c r="X3" s="713"/>
      <c r="Y3" s="713"/>
      <c r="Z3" s="713"/>
      <c r="AA3" s="713"/>
      <c r="AB3" s="713"/>
      <c r="AC3" s="713"/>
      <c r="AD3" s="713"/>
      <c r="AF3" s="713"/>
    </row>
    <row r="4" spans="1:33" s="531" customFormat="1" ht="12.95" customHeight="1" x14ac:dyDescent="0.2">
      <c r="A4" s="1579" t="s">
        <v>1725</v>
      </c>
      <c r="B4" s="1579"/>
      <c r="C4" s="1579"/>
      <c r="D4" s="1579"/>
      <c r="E4" s="1579"/>
      <c r="F4" s="1579"/>
      <c r="G4" s="1579"/>
      <c r="H4" s="1579"/>
      <c r="I4" s="1579"/>
      <c r="J4" s="530"/>
      <c r="L4" s="530"/>
      <c r="N4" s="530"/>
      <c r="O4" s="506"/>
      <c r="P4" s="530"/>
      <c r="R4" s="530"/>
      <c r="T4" s="530"/>
      <c r="V4" s="530"/>
      <c r="W4" s="530"/>
      <c r="X4" s="530"/>
      <c r="Z4" s="530"/>
      <c r="AB4" s="530"/>
      <c r="AC4" s="530"/>
      <c r="AD4" s="530"/>
      <c r="AF4" s="530"/>
    </row>
    <row r="5" spans="1:33" s="247" customFormat="1" ht="12" customHeight="1" x14ac:dyDescent="0.2">
      <c r="A5" s="253" t="s">
        <v>972</v>
      </c>
      <c r="B5" s="521"/>
      <c r="C5" s="521"/>
      <c r="D5" s="521"/>
      <c r="E5" s="521"/>
      <c r="F5" s="521"/>
      <c r="H5" s="521"/>
      <c r="J5" s="521"/>
      <c r="L5" s="521"/>
      <c r="N5" s="521"/>
      <c r="O5" s="253"/>
      <c r="P5" s="521"/>
      <c r="R5" s="521"/>
      <c r="T5" s="521"/>
      <c r="V5" s="521"/>
      <c r="W5" s="522"/>
      <c r="X5" s="521"/>
      <c r="Z5" s="521"/>
      <c r="AB5" s="521"/>
      <c r="AC5" s="522"/>
      <c r="AD5" s="521"/>
      <c r="AF5" s="521"/>
    </row>
    <row r="6" spans="1:33" s="247" customFormat="1" ht="12" customHeight="1" x14ac:dyDescent="0.2">
      <c r="B6" s="521"/>
      <c r="C6" s="521"/>
      <c r="D6" s="521"/>
      <c r="E6" s="445" t="s">
        <v>437</v>
      </c>
      <c r="F6" s="521"/>
      <c r="H6" s="521"/>
      <c r="J6" s="521"/>
      <c r="L6" s="521"/>
      <c r="N6" s="521"/>
      <c r="P6" s="521"/>
      <c r="R6" s="521"/>
      <c r="T6" s="521"/>
      <c r="V6" s="521"/>
      <c r="X6" s="521"/>
      <c r="Z6" s="521"/>
      <c r="AB6" s="521"/>
      <c r="AC6" s="522"/>
      <c r="AD6" s="521"/>
      <c r="AF6" s="521"/>
    </row>
    <row r="7" spans="1:33" s="247" customFormat="1" ht="17.25" hidden="1" customHeight="1" x14ac:dyDescent="0.2">
      <c r="C7" s="522"/>
      <c r="D7" s="522"/>
      <c r="E7" s="735"/>
      <c r="AC7" s="521"/>
    </row>
    <row r="8" spans="1:33" s="212" customFormat="1" ht="12.6" customHeight="1" x14ac:dyDescent="0.2">
      <c r="A8" s="458"/>
      <c r="B8" s="458"/>
      <c r="E8" s="310" t="s">
        <v>1541</v>
      </c>
      <c r="F8" s="458"/>
      <c r="H8" s="458"/>
      <c r="I8" s="445" t="s">
        <v>437</v>
      </c>
      <c r="J8" s="458"/>
      <c r="L8" s="458"/>
      <c r="M8" s="432"/>
      <c r="N8" s="458"/>
      <c r="O8" s="443" t="s">
        <v>437</v>
      </c>
      <c r="P8" s="458"/>
      <c r="R8" s="458"/>
      <c r="T8" s="458"/>
      <c r="U8" s="443"/>
      <c r="V8" s="458"/>
      <c r="W8" s="443"/>
      <c r="X8" s="458"/>
      <c r="Z8" s="458"/>
      <c r="AB8" s="458"/>
      <c r="AC8" s="445"/>
      <c r="AD8" s="458"/>
      <c r="AF8" s="458"/>
      <c r="AG8" s="310" t="s">
        <v>671</v>
      </c>
    </row>
    <row r="9" spans="1:33" s="212" customFormat="1" ht="12.6" customHeight="1" x14ac:dyDescent="0.2">
      <c r="A9" s="458"/>
      <c r="B9" s="458"/>
      <c r="C9" s="445"/>
      <c r="D9" s="445"/>
      <c r="E9" s="445" t="s">
        <v>442</v>
      </c>
      <c r="F9" s="458"/>
      <c r="G9" s="445" t="s">
        <v>437</v>
      </c>
      <c r="H9" s="458"/>
      <c r="I9" s="445" t="s">
        <v>306</v>
      </c>
      <c r="J9" s="458"/>
      <c r="K9" s="445" t="s">
        <v>437</v>
      </c>
      <c r="L9" s="458"/>
      <c r="M9" s="443" t="s">
        <v>246</v>
      </c>
      <c r="N9" s="458"/>
      <c r="O9" s="445" t="s">
        <v>974</v>
      </c>
      <c r="P9" s="458"/>
      <c r="Q9" s="445" t="s">
        <v>247</v>
      </c>
      <c r="R9" s="458"/>
      <c r="S9" s="443" t="s">
        <v>437</v>
      </c>
      <c r="T9" s="458"/>
      <c r="U9" s="443" t="s">
        <v>110</v>
      </c>
      <c r="V9" s="458"/>
      <c r="W9" s="445" t="s">
        <v>974</v>
      </c>
      <c r="X9" s="458"/>
      <c r="Y9" s="443" t="s">
        <v>1099</v>
      </c>
      <c r="Z9" s="458"/>
      <c r="AA9" s="443" t="s">
        <v>1138</v>
      </c>
      <c r="AB9" s="458"/>
      <c r="AC9" s="445"/>
      <c r="AD9" s="458"/>
      <c r="AE9" s="445"/>
      <c r="AF9" s="458"/>
      <c r="AG9" s="310" t="s">
        <v>1064</v>
      </c>
    </row>
    <row r="10" spans="1:33" s="212" customFormat="1" ht="12.6" customHeight="1" x14ac:dyDescent="0.2">
      <c r="A10" s="458"/>
      <c r="B10" s="458"/>
      <c r="D10" s="443"/>
      <c r="E10" s="443" t="s">
        <v>246</v>
      </c>
      <c r="F10" s="458"/>
      <c r="G10" s="443" t="s">
        <v>442</v>
      </c>
      <c r="H10" s="458"/>
      <c r="I10" s="443" t="s">
        <v>60</v>
      </c>
      <c r="J10" s="458"/>
      <c r="K10" s="443" t="s">
        <v>248</v>
      </c>
      <c r="L10" s="458"/>
      <c r="M10" s="443" t="s">
        <v>56</v>
      </c>
      <c r="N10" s="458"/>
      <c r="O10" s="443" t="s">
        <v>246</v>
      </c>
      <c r="P10" s="458"/>
      <c r="Q10" s="443" t="s">
        <v>248</v>
      </c>
      <c r="R10" s="458"/>
      <c r="S10" s="443" t="s">
        <v>310</v>
      </c>
      <c r="T10" s="458"/>
      <c r="U10" s="443" t="s">
        <v>172</v>
      </c>
      <c r="V10" s="458"/>
      <c r="W10" s="443" t="s">
        <v>303</v>
      </c>
      <c r="X10" s="458"/>
      <c r="Y10" s="443" t="s">
        <v>1100</v>
      </c>
      <c r="Z10" s="458"/>
      <c r="AA10" s="443" t="s">
        <v>1139</v>
      </c>
      <c r="AB10" s="458"/>
      <c r="AC10" s="443"/>
      <c r="AD10" s="458"/>
      <c r="AE10" s="445"/>
      <c r="AF10" s="458"/>
      <c r="AG10" s="310" t="s">
        <v>1005</v>
      </c>
    </row>
    <row r="11" spans="1:33" s="336" customFormat="1" ht="12.6" customHeight="1" x14ac:dyDescent="0.2">
      <c r="B11" s="310"/>
      <c r="C11" s="443" t="s">
        <v>1688</v>
      </c>
      <c r="D11" s="443"/>
      <c r="E11" s="443" t="s">
        <v>1230</v>
      </c>
      <c r="F11" s="310"/>
      <c r="G11" s="443" t="s">
        <v>60</v>
      </c>
      <c r="H11" s="310"/>
      <c r="I11" s="443" t="s">
        <v>439</v>
      </c>
      <c r="J11" s="310"/>
      <c r="K11" s="443" t="s">
        <v>439</v>
      </c>
      <c r="L11" s="310"/>
      <c r="M11" s="443" t="s">
        <v>781</v>
      </c>
      <c r="N11" s="310"/>
      <c r="O11" s="445" t="s">
        <v>60</v>
      </c>
      <c r="P11" s="310"/>
      <c r="Q11" s="443" t="s">
        <v>439</v>
      </c>
      <c r="R11" s="310"/>
      <c r="S11" s="445" t="s">
        <v>439</v>
      </c>
      <c r="T11" s="310"/>
      <c r="U11" s="445" t="s">
        <v>1240</v>
      </c>
      <c r="V11" s="310"/>
      <c r="W11" s="445" t="s">
        <v>60</v>
      </c>
      <c r="X11" s="310"/>
      <c r="Y11" s="443" t="s">
        <v>1101</v>
      </c>
      <c r="Z11" s="310"/>
      <c r="AA11" s="443" t="s">
        <v>409</v>
      </c>
      <c r="AB11" s="310"/>
      <c r="AC11" s="443" t="s">
        <v>1316</v>
      </c>
      <c r="AD11" s="310"/>
      <c r="AE11" s="445" t="s">
        <v>1538</v>
      </c>
      <c r="AF11" s="310"/>
      <c r="AG11" s="310" t="s">
        <v>761</v>
      </c>
    </row>
    <row r="12" spans="1:33" s="336" customFormat="1" ht="12.6" customHeight="1" x14ac:dyDescent="0.2">
      <c r="B12" s="310"/>
      <c r="C12" s="446" t="s">
        <v>437</v>
      </c>
      <c r="D12" s="443"/>
      <c r="E12" s="446" t="s">
        <v>436</v>
      </c>
      <c r="F12" s="310"/>
      <c r="G12" s="446" t="s">
        <v>436</v>
      </c>
      <c r="H12" s="310"/>
      <c r="I12" s="446" t="s">
        <v>436</v>
      </c>
      <c r="J12" s="310"/>
      <c r="K12" s="446" t="s">
        <v>444</v>
      </c>
      <c r="L12" s="310"/>
      <c r="M12" s="446" t="s">
        <v>437</v>
      </c>
      <c r="N12" s="310"/>
      <c r="O12" s="446" t="s">
        <v>436</v>
      </c>
      <c r="P12" s="310"/>
      <c r="Q12" s="446" t="s">
        <v>436</v>
      </c>
      <c r="R12" s="310"/>
      <c r="S12" s="446" t="s">
        <v>436</v>
      </c>
      <c r="T12" s="310"/>
      <c r="U12" s="446" t="s">
        <v>436</v>
      </c>
      <c r="V12" s="310"/>
      <c r="W12" s="446" t="s">
        <v>436</v>
      </c>
      <c r="X12" s="310"/>
      <c r="Y12" s="446" t="s">
        <v>436</v>
      </c>
      <c r="Z12" s="310"/>
      <c r="AA12" s="446" t="s">
        <v>1140</v>
      </c>
      <c r="AB12" s="310"/>
      <c r="AC12" s="945" t="s">
        <v>437</v>
      </c>
      <c r="AD12" s="310"/>
      <c r="AE12" s="446" t="s">
        <v>1539</v>
      </c>
      <c r="AF12" s="310"/>
      <c r="AG12" s="574" t="s">
        <v>762</v>
      </c>
    </row>
    <row r="13" spans="1:33" s="253" customFormat="1" ht="9.9499999999999993" customHeight="1" x14ac:dyDescent="0.2">
      <c r="A13" s="417" t="s">
        <v>868</v>
      </c>
      <c r="B13" s="361"/>
      <c r="F13" s="361"/>
      <c r="H13" s="361"/>
      <c r="J13" s="361"/>
      <c r="L13" s="361"/>
      <c r="N13" s="361">
        <v>0</v>
      </c>
      <c r="P13" s="361"/>
      <c r="R13" s="361"/>
      <c r="T13" s="361"/>
      <c r="V13" s="361"/>
      <c r="X13" s="361"/>
      <c r="Z13" s="361"/>
      <c r="AB13" s="361"/>
      <c r="AD13" s="361"/>
      <c r="AF13" s="361"/>
    </row>
    <row r="14" spans="1:33" s="253" customFormat="1" ht="9.9499999999999993" hidden="1" customHeight="1" x14ac:dyDescent="0.2">
      <c r="A14" s="428" t="s">
        <v>869</v>
      </c>
    </row>
    <row r="15" spans="1:33" s="253" customFormat="1" ht="9.9499999999999993" hidden="1" customHeight="1" x14ac:dyDescent="0.2">
      <c r="A15" s="426" t="s">
        <v>829</v>
      </c>
      <c r="B15" s="342"/>
      <c r="C15" s="346">
        <f>+SORECGFws!BD5</f>
        <v>0</v>
      </c>
      <c r="D15" s="346"/>
      <c r="E15" s="346"/>
      <c r="F15" s="342"/>
      <c r="G15" s="346">
        <f>+SORECGFws!BE5</f>
        <v>0</v>
      </c>
      <c r="H15" s="342"/>
      <c r="I15" s="346">
        <f>+SORECGFws!BG5</f>
        <v>0</v>
      </c>
      <c r="J15" s="342"/>
      <c r="K15" s="346">
        <f>+SORECGFws!BI5</f>
        <v>0</v>
      </c>
      <c r="L15" s="342"/>
      <c r="M15" s="346">
        <f>+SORECGFws!BJ5</f>
        <v>0</v>
      </c>
      <c r="N15" s="342"/>
      <c r="O15" s="346">
        <f>+SORECGFws!BM5</f>
        <v>0</v>
      </c>
      <c r="P15" s="342"/>
      <c r="Q15" s="346">
        <f>+SORECGFws!BL5</f>
        <v>0</v>
      </c>
      <c r="R15" s="342"/>
      <c r="S15" s="346">
        <f>+SORECGFws!BO5</f>
        <v>0</v>
      </c>
      <c r="T15" s="342"/>
      <c r="U15" s="346">
        <f>+SORECGFws!BN5</f>
        <v>0</v>
      </c>
      <c r="V15" s="342"/>
      <c r="W15" s="346">
        <f>+SORECGFws!BO5</f>
        <v>0</v>
      </c>
      <c r="X15" s="342"/>
      <c r="Y15" s="346">
        <f>SORECGFws!BP5</f>
        <v>0</v>
      </c>
      <c r="Z15" s="342"/>
      <c r="AA15" s="346">
        <f>+SORECGFws!BS5</f>
        <v>0</v>
      </c>
      <c r="AB15" s="342"/>
      <c r="AC15" s="346">
        <f>+SORECGFws!BH5</f>
        <v>0</v>
      </c>
      <c r="AD15" s="342"/>
      <c r="AE15" s="346">
        <f>+SORECGFws!BF5</f>
        <v>0</v>
      </c>
      <c r="AF15" s="342"/>
      <c r="AG15" s="346">
        <f t="shared" ref="AG15:AG28" si="0">SUM(C15:AE15)</f>
        <v>0</v>
      </c>
    </row>
    <row r="16" spans="1:33" s="253" customFormat="1" ht="9.9499999999999993" hidden="1" customHeight="1" x14ac:dyDescent="0.2">
      <c r="A16" s="426" t="s">
        <v>830</v>
      </c>
      <c r="B16" s="342"/>
      <c r="C16" s="450">
        <f>+SORECGFws!BD6</f>
        <v>0</v>
      </c>
      <c r="D16" s="450"/>
      <c r="E16" s="450"/>
      <c r="F16" s="342"/>
      <c r="G16" s="450">
        <f>+SORECGFws!BE6</f>
        <v>0</v>
      </c>
      <c r="H16" s="342"/>
      <c r="I16" s="450">
        <f>+SORECGFws!BG6</f>
        <v>0</v>
      </c>
      <c r="J16" s="342"/>
      <c r="K16" s="450">
        <f>+SORECGFws!BI6</f>
        <v>0</v>
      </c>
      <c r="L16" s="342"/>
      <c r="M16" s="450">
        <f>+SORECGFws!BJ6</f>
        <v>0</v>
      </c>
      <c r="N16" s="342"/>
      <c r="O16" s="450">
        <f>+SORECGFws!BM6</f>
        <v>0</v>
      </c>
      <c r="P16" s="342"/>
      <c r="Q16" s="450">
        <f>+SORECGFws!BL6</f>
        <v>0</v>
      </c>
      <c r="R16" s="342"/>
      <c r="S16" s="450">
        <f>+SORECGFws!BO6</f>
        <v>0</v>
      </c>
      <c r="T16" s="342"/>
      <c r="U16" s="450">
        <f>+SORECGFws!BN6</f>
        <v>0</v>
      </c>
      <c r="V16" s="342"/>
      <c r="W16" s="450">
        <f>+SORECGFws!BO6</f>
        <v>0</v>
      </c>
      <c r="X16" s="342"/>
      <c r="Y16" s="450">
        <f>SORECGFws!BP6</f>
        <v>0</v>
      </c>
      <c r="Z16" s="342"/>
      <c r="AA16" s="450">
        <f>+SORECGFws!BS6</f>
        <v>0</v>
      </c>
      <c r="AB16" s="342"/>
      <c r="AC16" s="450">
        <f>+SORECGFws!BH6</f>
        <v>0</v>
      </c>
      <c r="AD16" s="342"/>
      <c r="AE16" s="450">
        <f>+SORECGFws!BG6</f>
        <v>0</v>
      </c>
      <c r="AF16" s="342"/>
      <c r="AG16" s="450">
        <f t="shared" si="0"/>
        <v>0</v>
      </c>
    </row>
    <row r="17" spans="1:44" s="253" customFormat="1" ht="9.9499999999999993" hidden="1" customHeight="1" x14ac:dyDescent="0.2">
      <c r="A17" s="426" t="s">
        <v>831</v>
      </c>
      <c r="B17" s="342"/>
      <c r="C17" s="450">
        <f>+SORECGFws!BD7</f>
        <v>0</v>
      </c>
      <c r="D17" s="450"/>
      <c r="E17" s="450"/>
      <c r="F17" s="342"/>
      <c r="G17" s="450">
        <f>+SORECGFws!BE7</f>
        <v>0</v>
      </c>
      <c r="H17" s="342"/>
      <c r="I17" s="450">
        <f>+SORECGFws!BG7</f>
        <v>0</v>
      </c>
      <c r="J17" s="342"/>
      <c r="K17" s="450">
        <f>+SORECGFws!BI7</f>
        <v>0</v>
      </c>
      <c r="L17" s="342"/>
      <c r="M17" s="450">
        <f>+SORECGFws!BJ7</f>
        <v>0</v>
      </c>
      <c r="N17" s="342"/>
      <c r="O17" s="450">
        <f>+SORECGFws!BM7</f>
        <v>0</v>
      </c>
      <c r="P17" s="342"/>
      <c r="Q17" s="450">
        <f>+SORECGFws!BL7</f>
        <v>0</v>
      </c>
      <c r="R17" s="342"/>
      <c r="S17" s="450">
        <f>+SORECGFws!BO7</f>
        <v>0</v>
      </c>
      <c r="T17" s="342"/>
      <c r="U17" s="450">
        <f>+SORECGFws!BN7</f>
        <v>0</v>
      </c>
      <c r="V17" s="342"/>
      <c r="W17" s="450">
        <f>+SORECGFws!BO7</f>
        <v>0</v>
      </c>
      <c r="X17" s="342"/>
      <c r="Y17" s="450">
        <f>SORECGFws!BP7</f>
        <v>0</v>
      </c>
      <c r="Z17" s="342"/>
      <c r="AA17" s="450">
        <f>+SORECGFws!BS7</f>
        <v>0</v>
      </c>
      <c r="AB17" s="342"/>
      <c r="AC17" s="450">
        <f>+SORECGFws!BH7</f>
        <v>0</v>
      </c>
      <c r="AD17" s="342"/>
      <c r="AE17" s="450">
        <f>+SORECGFws!BG7</f>
        <v>0</v>
      </c>
      <c r="AF17" s="342"/>
      <c r="AG17" s="450">
        <f t="shared" si="0"/>
        <v>0</v>
      </c>
    </row>
    <row r="18" spans="1:44" s="253" customFormat="1" ht="9.9499999999999993" hidden="1" customHeight="1" x14ac:dyDescent="0.2">
      <c r="A18" s="426" t="s">
        <v>827</v>
      </c>
      <c r="B18" s="342"/>
      <c r="C18" s="450">
        <f>+SORECGFws!BD8</f>
        <v>0</v>
      </c>
      <c r="D18" s="450"/>
      <c r="E18" s="450"/>
      <c r="F18" s="342"/>
      <c r="G18" s="450">
        <f>+SORECGFws!BE8</f>
        <v>0</v>
      </c>
      <c r="H18" s="342"/>
      <c r="I18" s="450">
        <f>+SORECGFws!BG8</f>
        <v>0</v>
      </c>
      <c r="J18" s="342"/>
      <c r="K18" s="450">
        <f>+SORECGFws!BI8</f>
        <v>0</v>
      </c>
      <c r="L18" s="342"/>
      <c r="M18" s="450">
        <f>+SORECGFws!BJ8</f>
        <v>0</v>
      </c>
      <c r="N18" s="342"/>
      <c r="O18" s="450">
        <f>+SORECGFws!BM8</f>
        <v>0</v>
      </c>
      <c r="P18" s="342"/>
      <c r="Q18" s="450">
        <f>+SORECGFws!BL8</f>
        <v>0</v>
      </c>
      <c r="R18" s="342"/>
      <c r="S18" s="450">
        <f>+SORECGFws!BO8</f>
        <v>0</v>
      </c>
      <c r="T18" s="342"/>
      <c r="U18" s="450">
        <f>+SORECGFws!BN8</f>
        <v>0</v>
      </c>
      <c r="V18" s="342"/>
      <c r="W18" s="450">
        <f>+SORECGFws!BO8</f>
        <v>0</v>
      </c>
      <c r="X18" s="342"/>
      <c r="Y18" s="450">
        <f>SORECGFws!BP8</f>
        <v>0</v>
      </c>
      <c r="Z18" s="342"/>
      <c r="AA18" s="450">
        <f>+SORECGFws!BS8</f>
        <v>0</v>
      </c>
      <c r="AB18" s="342"/>
      <c r="AC18" s="450">
        <f>+SORECGFws!BH8</f>
        <v>0</v>
      </c>
      <c r="AD18" s="342"/>
      <c r="AE18" s="450">
        <f>+SORECGFws!BG8</f>
        <v>0</v>
      </c>
      <c r="AF18" s="342"/>
      <c r="AG18" s="450">
        <f t="shared" si="0"/>
        <v>0</v>
      </c>
    </row>
    <row r="19" spans="1:44" s="533" customFormat="1" ht="9.9499999999999993" hidden="1" customHeight="1" x14ac:dyDescent="0.2">
      <c r="A19" s="426" t="s">
        <v>832</v>
      </c>
      <c r="B19" s="534"/>
      <c r="C19" s="450">
        <f>+SORECGFws!BD9</f>
        <v>0</v>
      </c>
      <c r="D19" s="450"/>
      <c r="E19" s="450"/>
      <c r="F19" s="534"/>
      <c r="G19" s="450">
        <f>+SORECGFws!BE9</f>
        <v>0</v>
      </c>
      <c r="H19" s="534"/>
      <c r="I19" s="450">
        <f>+SORECGFws!BG9</f>
        <v>0</v>
      </c>
      <c r="J19" s="534"/>
      <c r="K19" s="450">
        <f>+SORECGFws!BI9</f>
        <v>0</v>
      </c>
      <c r="L19" s="534"/>
      <c r="M19" s="450">
        <f>+SORECGFws!BJ9</f>
        <v>0</v>
      </c>
      <c r="N19" s="645"/>
      <c r="O19" s="450">
        <f>+SORECGFws!BM9</f>
        <v>0</v>
      </c>
      <c r="P19" s="645"/>
      <c r="Q19" s="450">
        <f>+SORECGFws!BL9</f>
        <v>0</v>
      </c>
      <c r="R19" s="534"/>
      <c r="S19" s="450">
        <f>+SORECGFws!BO9</f>
        <v>0</v>
      </c>
      <c r="T19" s="534"/>
      <c r="U19" s="450">
        <f>+SORECGFws!BN9</f>
        <v>0</v>
      </c>
      <c r="V19" s="534"/>
      <c r="W19" s="450">
        <f>+SORECGFws!BO9</f>
        <v>0</v>
      </c>
      <c r="X19" s="534"/>
      <c r="Y19" s="450">
        <f>SORECGFws!BP9</f>
        <v>0</v>
      </c>
      <c r="Z19" s="534"/>
      <c r="AA19" s="450">
        <f>+SORECGFws!BS9</f>
        <v>0</v>
      </c>
      <c r="AB19" s="534"/>
      <c r="AC19" s="450">
        <f>+SORECGFws!BH9</f>
        <v>0</v>
      </c>
      <c r="AD19" s="534"/>
      <c r="AE19" s="450">
        <f>+SORECGFws!BG9</f>
        <v>0</v>
      </c>
      <c r="AF19" s="534"/>
      <c r="AG19" s="450">
        <f t="shared" si="0"/>
        <v>0</v>
      </c>
    </row>
    <row r="20" spans="1:44" s="533" customFormat="1" ht="9.9499999999999993" hidden="1" customHeight="1" x14ac:dyDescent="0.2">
      <c r="A20" s="426" t="s">
        <v>944</v>
      </c>
      <c r="B20" s="534"/>
      <c r="C20" s="450">
        <f>+SORECGFws!BD10</f>
        <v>0</v>
      </c>
      <c r="D20" s="450"/>
      <c r="E20" s="450"/>
      <c r="F20" s="534"/>
      <c r="G20" s="450">
        <f>+SORECGFws!BE10</f>
        <v>0</v>
      </c>
      <c r="H20" s="534"/>
      <c r="I20" s="450">
        <f>+SORECGFws!BG10</f>
        <v>0</v>
      </c>
      <c r="J20" s="534"/>
      <c r="K20" s="450">
        <f>+SORECGFws!BI10</f>
        <v>0</v>
      </c>
      <c r="L20" s="534"/>
      <c r="M20" s="450">
        <f>+SORECGFws!BJ10</f>
        <v>0</v>
      </c>
      <c r="N20" s="645"/>
      <c r="O20" s="450">
        <f>+SORECGFws!BM10</f>
        <v>0</v>
      </c>
      <c r="P20" s="645"/>
      <c r="Q20" s="450">
        <f>+SORECGFws!BL10</f>
        <v>0</v>
      </c>
      <c r="R20" s="534"/>
      <c r="S20" s="450">
        <f>+SORECGFws!BO10</f>
        <v>0</v>
      </c>
      <c r="T20" s="534"/>
      <c r="U20" s="450">
        <f>+SORECGFws!BN10</f>
        <v>0</v>
      </c>
      <c r="V20" s="534"/>
      <c r="W20" s="450">
        <f>+SORECGFws!BO10</f>
        <v>0</v>
      </c>
      <c r="X20" s="534"/>
      <c r="Y20" s="450">
        <f>SORECGFws!BP10</f>
        <v>0</v>
      </c>
      <c r="Z20" s="534"/>
      <c r="AA20" s="450">
        <f>+SORECGFws!BS10</f>
        <v>0</v>
      </c>
      <c r="AB20" s="534"/>
      <c r="AC20" s="450">
        <f>+SORECGFws!BH10</f>
        <v>0</v>
      </c>
      <c r="AD20" s="534"/>
      <c r="AE20" s="450">
        <f>+SORECGFws!BG10</f>
        <v>0</v>
      </c>
      <c r="AF20" s="534"/>
      <c r="AG20" s="450">
        <f t="shared" si="0"/>
        <v>0</v>
      </c>
    </row>
    <row r="21" spans="1:44" s="533" customFormat="1" ht="9.9499999999999993" hidden="1" customHeight="1" x14ac:dyDescent="0.2">
      <c r="A21" s="425" t="s">
        <v>945</v>
      </c>
      <c r="B21" s="534"/>
      <c r="C21" s="450">
        <f>+SORECGFws!BD11</f>
        <v>0</v>
      </c>
      <c r="D21" s="450"/>
      <c r="E21" s="450"/>
      <c r="F21" s="534"/>
      <c r="G21" s="450">
        <f>+SORECGFws!BE11</f>
        <v>0</v>
      </c>
      <c r="H21" s="534"/>
      <c r="I21" s="450">
        <f>+SORECGFws!BG11</f>
        <v>0</v>
      </c>
      <c r="J21" s="534"/>
      <c r="K21" s="450">
        <f>+SORECGFws!BI11</f>
        <v>0</v>
      </c>
      <c r="L21" s="534"/>
      <c r="M21" s="450">
        <f>+SORECGFws!BJ11</f>
        <v>0</v>
      </c>
      <c r="N21" s="645"/>
      <c r="O21" s="450">
        <f>+SORECGFws!BK11</f>
        <v>0</v>
      </c>
      <c r="P21" s="645"/>
      <c r="Q21" s="450">
        <f>+SORECGFws!BL11</f>
        <v>0</v>
      </c>
      <c r="R21" s="534"/>
      <c r="S21" s="450">
        <f>+SORECGFws!BO11</f>
        <v>0</v>
      </c>
      <c r="T21" s="534"/>
      <c r="U21" s="450">
        <f>+SORECGFws!BN11</f>
        <v>0</v>
      </c>
      <c r="V21" s="534"/>
      <c r="W21" s="450">
        <f>+SORECGFws!BO11</f>
        <v>0</v>
      </c>
      <c r="X21" s="534"/>
      <c r="Y21" s="450">
        <f>SORECGFws!BP11</f>
        <v>0</v>
      </c>
      <c r="Z21" s="534"/>
      <c r="AA21" s="450">
        <f>+SORECGFws!BS11</f>
        <v>0</v>
      </c>
      <c r="AB21" s="534"/>
      <c r="AC21" s="450">
        <f>+SORECGFws!BH11</f>
        <v>0</v>
      </c>
      <c r="AD21" s="534"/>
      <c r="AE21" s="450">
        <f>+SORECGFws!BG11</f>
        <v>0</v>
      </c>
      <c r="AF21" s="534"/>
      <c r="AG21" s="450">
        <f t="shared" si="0"/>
        <v>0</v>
      </c>
    </row>
    <row r="22" spans="1:44" s="454" customFormat="1" ht="9.9499999999999993" customHeight="1" x14ac:dyDescent="0.2">
      <c r="A22" s="425" t="s">
        <v>946</v>
      </c>
      <c r="B22" s="513"/>
      <c r="C22" s="339">
        <v>0</v>
      </c>
      <c r="D22" s="346"/>
      <c r="E22" s="346">
        <f>+SORECGFws!BQ12</f>
        <v>2878</v>
      </c>
      <c r="F22" s="513"/>
      <c r="G22" s="339">
        <f>+SORECGFws!BE12</f>
        <v>0</v>
      </c>
      <c r="H22" s="513"/>
      <c r="I22" s="339">
        <f>+SORECGFws!BG12</f>
        <v>0</v>
      </c>
      <c r="J22" s="513"/>
      <c r="K22" s="339">
        <f>+SORECGFws!BI12</f>
        <v>0</v>
      </c>
      <c r="L22" s="513"/>
      <c r="M22" s="339">
        <f>+SORECGFws!BJ12</f>
        <v>0</v>
      </c>
      <c r="N22" s="459"/>
      <c r="O22" s="339">
        <f>+SORECGFws!BK12</f>
        <v>0</v>
      </c>
      <c r="P22" s="459"/>
      <c r="Q22" s="339">
        <f>+SORECGFws!BL12</f>
        <v>0</v>
      </c>
      <c r="R22" s="513"/>
      <c r="S22" s="339">
        <v>0</v>
      </c>
      <c r="T22" s="513"/>
      <c r="V22" s="513"/>
      <c r="W22" s="339">
        <f>+SORECGFws!BO12</f>
        <v>0</v>
      </c>
      <c r="X22" s="513"/>
      <c r="Y22" s="339">
        <f>SORECGFws!BP12</f>
        <v>0</v>
      </c>
      <c r="Z22" s="513"/>
      <c r="AA22" s="339">
        <f>+SORECGFws!BS12</f>
        <v>0</v>
      </c>
      <c r="AB22" s="513"/>
      <c r="AC22" s="339">
        <f>SORECGFws!BH12</f>
        <v>0</v>
      </c>
      <c r="AD22" s="513"/>
      <c r="AE22" s="339">
        <f>+SORECGFws!BF12</f>
        <v>0</v>
      </c>
      <c r="AF22" s="513"/>
      <c r="AG22" s="346">
        <f t="shared" si="0"/>
        <v>2878</v>
      </c>
    </row>
    <row r="23" spans="1:44" s="533" customFormat="1" ht="9.9499999999999993" hidden="1" customHeight="1" x14ac:dyDescent="0.2">
      <c r="A23" s="425" t="s">
        <v>947</v>
      </c>
      <c r="B23" s="534"/>
      <c r="C23" s="450"/>
      <c r="D23" s="450"/>
      <c r="E23" s="450"/>
      <c r="F23" s="534"/>
      <c r="G23" s="450">
        <f>+SORECGFws!BE13</f>
        <v>0</v>
      </c>
      <c r="H23" s="534"/>
      <c r="I23" s="450">
        <f>+SORECGFws!BG13</f>
        <v>0</v>
      </c>
      <c r="J23" s="534"/>
      <c r="K23" s="450">
        <f>+SORECGFws!BI13</f>
        <v>0</v>
      </c>
      <c r="L23" s="534"/>
      <c r="M23" s="450">
        <f>+SORECGFws!BJ13</f>
        <v>0</v>
      </c>
      <c r="N23" s="645"/>
      <c r="O23" s="450">
        <f>+SORECGFws!BK13</f>
        <v>0</v>
      </c>
      <c r="P23" s="645"/>
      <c r="Q23" s="450">
        <f>+SORECGFws!BL13</f>
        <v>0</v>
      </c>
      <c r="R23" s="534"/>
      <c r="S23" s="450">
        <f>+SORECGFws!BO13</f>
        <v>0</v>
      </c>
      <c r="T23" s="534"/>
      <c r="U23" s="450">
        <f>+SORECGFws!BN13</f>
        <v>0</v>
      </c>
      <c r="V23" s="534"/>
      <c r="W23" s="450">
        <f>+SORECGFws!BO13</f>
        <v>0</v>
      </c>
      <c r="X23" s="534"/>
      <c r="Y23" s="450">
        <f>SORECGFws!BP13</f>
        <v>0</v>
      </c>
      <c r="Z23" s="534"/>
      <c r="AA23" s="450">
        <f>+SORECGFws!BS13</f>
        <v>0</v>
      </c>
      <c r="AB23" s="534"/>
      <c r="AC23" s="450">
        <f>+SORECGFws!BH13</f>
        <v>0</v>
      </c>
      <c r="AD23" s="534"/>
      <c r="AE23" s="450">
        <f>+SORECGFws!BF13</f>
        <v>0</v>
      </c>
      <c r="AF23" s="534"/>
      <c r="AG23" s="450">
        <f t="shared" si="0"/>
        <v>0</v>
      </c>
    </row>
    <row r="24" spans="1:44" s="454" customFormat="1" ht="9.9499999999999993" customHeight="1" x14ac:dyDescent="0.2">
      <c r="A24" s="425" t="s">
        <v>948</v>
      </c>
      <c r="B24" s="513"/>
      <c r="C24" s="450">
        <f>SORECGFws!BD14</f>
        <v>0</v>
      </c>
      <c r="D24" s="346"/>
      <c r="E24" s="450">
        <f>+SORECGFws!BQ14</f>
        <v>0</v>
      </c>
      <c r="F24" s="450"/>
      <c r="G24" s="450">
        <f>+SORECGFws!BE14</f>
        <v>20</v>
      </c>
      <c r="H24" s="450"/>
      <c r="I24" s="450">
        <f>+SORECGFws!BG14</f>
        <v>0</v>
      </c>
      <c r="J24" s="450"/>
      <c r="K24" s="450">
        <f>+SORECGFws!BI14</f>
        <v>0</v>
      </c>
      <c r="L24" s="450"/>
      <c r="M24" s="450">
        <f>+SORECGFws!BJ14</f>
        <v>21158</v>
      </c>
      <c r="N24" s="450"/>
      <c r="O24" s="450">
        <f>+SORECGFws!BK14</f>
        <v>0</v>
      </c>
      <c r="P24" s="450"/>
      <c r="Q24" s="450">
        <f>+SORECGFws!BL14</f>
        <v>0</v>
      </c>
      <c r="R24" s="450"/>
      <c r="S24" s="450">
        <f>SORECGFws!BM14</f>
        <v>0</v>
      </c>
      <c r="T24" s="450"/>
      <c r="U24" s="450">
        <f>+SORECGFws!BN14</f>
        <v>0</v>
      </c>
      <c r="V24" s="450"/>
      <c r="W24" s="450">
        <f>+SORECGFws!BO14</f>
        <v>0</v>
      </c>
      <c r="X24" s="450"/>
      <c r="Y24" s="450">
        <f>SORECGFws!BP14</f>
        <v>2657</v>
      </c>
      <c r="Z24" s="450"/>
      <c r="AA24" s="450">
        <f>+SORECGFws!BS14</f>
        <v>0</v>
      </c>
      <c r="AB24" s="450"/>
      <c r="AC24" s="450">
        <f>+SORECGFws!BH14</f>
        <v>0</v>
      </c>
      <c r="AD24" s="450"/>
      <c r="AE24" s="450">
        <f>+SORECGFws!BF14</f>
        <v>0</v>
      </c>
      <c r="AF24" s="538"/>
      <c r="AG24" s="450">
        <f t="shared" ref="AG24" si="1">SUM(C24:AE24)</f>
        <v>23835</v>
      </c>
    </row>
    <row r="25" spans="1:44" s="253" customFormat="1" ht="9.9499999999999993" hidden="1" customHeight="1" x14ac:dyDescent="0.2">
      <c r="A25" s="425" t="s">
        <v>16</v>
      </c>
      <c r="B25" s="301"/>
      <c r="C25" s="450"/>
      <c r="D25" s="450"/>
      <c r="E25" s="450"/>
      <c r="F25" s="450"/>
      <c r="G25" s="450">
        <f>+SORECGFws!BE15</f>
        <v>0</v>
      </c>
      <c r="H25" s="450"/>
      <c r="I25" s="450">
        <f>+SORECGFws!BG15</f>
        <v>0</v>
      </c>
      <c r="J25" s="450"/>
      <c r="K25" s="450">
        <f>+SORECGFws!BI15</f>
        <v>0</v>
      </c>
      <c r="L25" s="450"/>
      <c r="M25" s="450">
        <f>+SORECGFws!BJ15</f>
        <v>0</v>
      </c>
      <c r="N25" s="450"/>
      <c r="O25" s="450">
        <f>+SORECGFws!BK15</f>
        <v>0</v>
      </c>
      <c r="P25" s="450"/>
      <c r="Q25" s="450">
        <f>+SORECGFws!BL15</f>
        <v>0</v>
      </c>
      <c r="R25" s="450"/>
      <c r="S25" s="450">
        <f>+SORECGFws!BO15</f>
        <v>0</v>
      </c>
      <c r="T25" s="450"/>
      <c r="U25" s="450">
        <f>+SORECGFws!BN15</f>
        <v>0</v>
      </c>
      <c r="V25" s="450"/>
      <c r="W25" s="450">
        <f>+SORECGFws!BO15</f>
        <v>0</v>
      </c>
      <c r="X25" s="450"/>
      <c r="Y25" s="450">
        <f>SORECGFws!BP15</f>
        <v>0</v>
      </c>
      <c r="Z25" s="450"/>
      <c r="AA25" s="450">
        <f>+SORECGFws!BS15</f>
        <v>0</v>
      </c>
      <c r="AB25" s="450"/>
      <c r="AC25" s="450">
        <f>+SORECGFws!BH15</f>
        <v>0</v>
      </c>
      <c r="AD25" s="301"/>
      <c r="AE25" s="450">
        <f>+SORECGFws!BF15</f>
        <v>0</v>
      </c>
      <c r="AF25" s="301"/>
      <c r="AG25" s="450">
        <f t="shared" si="0"/>
        <v>0</v>
      </c>
    </row>
    <row r="26" spans="1:44" s="253" customFormat="1" ht="9.9499999999999993" customHeight="1" x14ac:dyDescent="0.2">
      <c r="A26" s="425" t="s">
        <v>775</v>
      </c>
      <c r="B26" s="342"/>
      <c r="C26" s="450">
        <f>SORECGFws!BD16</f>
        <v>0</v>
      </c>
      <c r="D26" s="450"/>
      <c r="E26" s="450">
        <f>+SORECGFws!BQ16</f>
        <v>173</v>
      </c>
      <c r="F26" s="450"/>
      <c r="G26" s="450">
        <f>+SORECGFws!BE16</f>
        <v>0</v>
      </c>
      <c r="H26" s="450"/>
      <c r="I26" s="450">
        <f>+SORECGFws!BG16</f>
        <v>0</v>
      </c>
      <c r="J26" s="450"/>
      <c r="K26" s="450">
        <f>+SORECGFws!BI16</f>
        <v>0</v>
      </c>
      <c r="L26" s="450"/>
      <c r="M26" s="450">
        <f>+SORECGFws!BJ16</f>
        <v>82</v>
      </c>
      <c r="N26" s="450"/>
      <c r="O26" s="450">
        <f>+SORECGFws!BK16</f>
        <v>1</v>
      </c>
      <c r="P26" s="450"/>
      <c r="Q26" s="450">
        <f>+SORECGFws!BL16</f>
        <v>0</v>
      </c>
      <c r="R26" s="450"/>
      <c r="S26" s="450">
        <f>SORECGFws!BM16</f>
        <v>7</v>
      </c>
      <c r="T26" s="450"/>
      <c r="U26" s="450">
        <f>+SORECGFws!BN16</f>
        <v>0</v>
      </c>
      <c r="V26" s="450"/>
      <c r="W26" s="450">
        <f>+SORECGFws!BR16</f>
        <v>0</v>
      </c>
      <c r="X26" s="450"/>
      <c r="Y26" s="450">
        <f>SORECGFws!BP16</f>
        <v>190</v>
      </c>
      <c r="Z26" s="450"/>
      <c r="AA26" s="450">
        <f>+SORECGFws!BS16</f>
        <v>0</v>
      </c>
      <c r="AB26" s="450"/>
      <c r="AC26" s="450">
        <f>SORECGFws!BH16</f>
        <v>2631</v>
      </c>
      <c r="AD26" s="342"/>
      <c r="AE26" s="450">
        <f>+SORECGFws!BF16</f>
        <v>0</v>
      </c>
      <c r="AF26" s="342"/>
      <c r="AG26" s="450">
        <f t="shared" si="0"/>
        <v>3084</v>
      </c>
    </row>
    <row r="27" spans="1:44" s="533" customFormat="1" ht="9.9499999999999993" customHeight="1" x14ac:dyDescent="0.2">
      <c r="A27" s="349" t="s">
        <v>1664</v>
      </c>
      <c r="B27" s="645"/>
      <c r="C27" s="450">
        <f>SORECGFws!BD17</f>
        <v>0</v>
      </c>
      <c r="D27" s="538"/>
      <c r="E27" s="450">
        <f>+SORECGFws!BQ17</f>
        <v>5142</v>
      </c>
      <c r="F27" s="450"/>
      <c r="G27" s="450">
        <f>+SORECGFws!BE17</f>
        <v>7</v>
      </c>
      <c r="H27" s="450"/>
      <c r="I27" s="450">
        <f>+SORECGFws!BG17</f>
        <v>0</v>
      </c>
      <c r="J27" s="450"/>
      <c r="K27" s="450">
        <f>+SORECGFws!BI17</f>
        <v>0</v>
      </c>
      <c r="L27" s="450"/>
      <c r="M27" s="450">
        <f>+SORECGFws!BJ17</f>
        <v>262</v>
      </c>
      <c r="N27" s="450"/>
      <c r="O27" s="450">
        <f>+SORECGFws!BK17</f>
        <v>1659</v>
      </c>
      <c r="P27" s="450"/>
      <c r="Q27" s="450">
        <f>+SORECGFws!BL17</f>
        <v>36</v>
      </c>
      <c r="R27" s="450"/>
      <c r="S27" s="450">
        <f>SORECGFws!BM17</f>
        <v>0</v>
      </c>
      <c r="T27" s="450"/>
      <c r="U27" s="450">
        <f>+SORECGFws!BN17</f>
        <v>0</v>
      </c>
      <c r="V27" s="450"/>
      <c r="W27" s="450">
        <f>SORECGFws!BR17</f>
        <v>1713</v>
      </c>
      <c r="X27" s="450"/>
      <c r="Y27" s="450">
        <f>SORECGFws!BP17</f>
        <v>133</v>
      </c>
      <c r="Z27" s="450"/>
      <c r="AA27" s="450">
        <f>+SORECGFws!BS17</f>
        <v>128</v>
      </c>
      <c r="AB27" s="450"/>
      <c r="AC27" s="450">
        <f>+SORECGFws!BH17</f>
        <v>0</v>
      </c>
      <c r="AD27" s="450"/>
      <c r="AE27" s="450">
        <f>+SORECGFws!BF17</f>
        <v>15</v>
      </c>
      <c r="AF27" s="450"/>
      <c r="AG27" s="450">
        <f t="shared" si="0"/>
        <v>9095</v>
      </c>
      <c r="AH27" s="538"/>
      <c r="AI27" s="538"/>
      <c r="AJ27" s="538"/>
      <c r="AK27" s="538"/>
      <c r="AL27" s="538"/>
      <c r="AM27" s="538"/>
      <c r="AN27" s="538"/>
      <c r="AO27" s="538"/>
      <c r="AP27" s="538"/>
      <c r="AQ27" s="538"/>
      <c r="AR27" s="538"/>
    </row>
    <row r="28" spans="1:44" s="253" customFormat="1" ht="9.9499999999999993" customHeight="1" x14ac:dyDescent="0.2">
      <c r="A28" s="425" t="s">
        <v>766</v>
      </c>
      <c r="B28" s="342"/>
      <c r="C28" s="450">
        <f>SORECGFws!BD18</f>
        <v>0</v>
      </c>
      <c r="D28" s="450"/>
      <c r="E28" s="450">
        <f>+SORECGFws!BQ18</f>
        <v>780</v>
      </c>
      <c r="F28" s="450"/>
      <c r="G28" s="450">
        <f>+SORECGFws!BE18</f>
        <v>0</v>
      </c>
      <c r="H28" s="450"/>
      <c r="I28" s="450">
        <f>+SORECGFws!BG18</f>
        <v>0</v>
      </c>
      <c r="J28" s="450"/>
      <c r="K28" s="450">
        <f>+SORECGFws!BI18</f>
        <v>0</v>
      </c>
      <c r="L28" s="450"/>
      <c r="M28" s="450">
        <f>+SORECGFws!BJ18</f>
        <v>0</v>
      </c>
      <c r="N28" s="450"/>
      <c r="O28" s="450">
        <f>+SORECGFws!BK18</f>
        <v>0</v>
      </c>
      <c r="P28" s="450"/>
      <c r="Q28" s="450">
        <f>+SORECGFws!BL18</f>
        <v>0</v>
      </c>
      <c r="R28" s="450"/>
      <c r="S28" s="450">
        <f>SORECGFws!BM18</f>
        <v>0</v>
      </c>
      <c r="T28" s="450"/>
      <c r="U28" s="450"/>
      <c r="V28" s="450"/>
      <c r="W28" s="450">
        <f>+SORECGFws!BO18</f>
        <v>0</v>
      </c>
      <c r="X28" s="450"/>
      <c r="Y28" s="450">
        <f>SORECGFws!BP18</f>
        <v>1816</v>
      </c>
      <c r="Z28" s="450"/>
      <c r="AA28" s="450">
        <f>+SORECGFws!BS18</f>
        <v>711</v>
      </c>
      <c r="AB28" s="450"/>
      <c r="AC28" s="450">
        <f>+SORECGFws!BH18</f>
        <v>0</v>
      </c>
      <c r="AD28" s="342"/>
      <c r="AE28" s="450">
        <f>+SORECGFws!BF18</f>
        <v>0</v>
      </c>
      <c r="AF28" s="342"/>
      <c r="AG28" s="450">
        <f t="shared" si="0"/>
        <v>3307</v>
      </c>
    </row>
    <row r="29" spans="1:44" s="253" customFormat="1" ht="5.0999999999999996" customHeight="1" x14ac:dyDescent="0.2">
      <c r="A29" s="450"/>
      <c r="B29" s="301"/>
      <c r="C29" s="340"/>
      <c r="D29" s="273"/>
      <c r="E29" s="340"/>
      <c r="F29" s="301"/>
      <c r="G29" s="340"/>
      <c r="H29" s="301"/>
      <c r="I29" s="340"/>
      <c r="J29" s="301"/>
      <c r="K29" s="340"/>
      <c r="L29" s="301"/>
      <c r="M29" s="340"/>
      <c r="N29" s="301"/>
      <c r="O29" s="340"/>
      <c r="P29" s="301"/>
      <c r="Q29" s="340"/>
      <c r="R29" s="301"/>
      <c r="S29" s="340"/>
      <c r="T29" s="301"/>
      <c r="U29" s="340"/>
      <c r="V29" s="301"/>
      <c r="W29" s="340"/>
      <c r="X29" s="301"/>
      <c r="Y29" s="340"/>
      <c r="Z29" s="301"/>
      <c r="AA29" s="340"/>
      <c r="AB29" s="301"/>
      <c r="AC29" s="340"/>
      <c r="AD29" s="301"/>
      <c r="AE29" s="340"/>
      <c r="AF29" s="301"/>
      <c r="AG29" s="340"/>
    </row>
    <row r="30" spans="1:44" s="253" customFormat="1" ht="11.1" customHeight="1" x14ac:dyDescent="0.2">
      <c r="A30" s="417" t="s">
        <v>950</v>
      </c>
      <c r="B30" s="301"/>
      <c r="C30" s="341">
        <f>SUM(C15:C28)</f>
        <v>0</v>
      </c>
      <c r="D30" s="273"/>
      <c r="E30" s="341">
        <f>SUM(E15:E28)</f>
        <v>8973</v>
      </c>
      <c r="F30" s="301"/>
      <c r="G30" s="341">
        <f>SUM(G15:G28)</f>
        <v>27</v>
      </c>
      <c r="H30" s="301"/>
      <c r="I30" s="341">
        <f>SUM(I15:I28)</f>
        <v>0</v>
      </c>
      <c r="J30" s="301"/>
      <c r="K30" s="341">
        <f>SUM(K15:K28)</f>
        <v>0</v>
      </c>
      <c r="L30" s="301"/>
      <c r="M30" s="341">
        <f>SUM(M15:M28)</f>
        <v>21502</v>
      </c>
      <c r="N30" s="301"/>
      <c r="O30" s="341">
        <f>SUM(O15:O28)</f>
        <v>1660</v>
      </c>
      <c r="P30" s="301"/>
      <c r="Q30" s="341">
        <f>SUM(Q15:Q28)</f>
        <v>36</v>
      </c>
      <c r="R30" s="301"/>
      <c r="S30" s="341">
        <f>SUM(S15:S28)</f>
        <v>7</v>
      </c>
      <c r="T30" s="301"/>
      <c r="U30" s="341">
        <f>SUM(U15:U28)</f>
        <v>0</v>
      </c>
      <c r="V30" s="301"/>
      <c r="W30" s="341">
        <f>SUM(W15:W28)</f>
        <v>1713</v>
      </c>
      <c r="X30" s="301"/>
      <c r="Y30" s="341">
        <f>SUM(Y15:Y28)</f>
        <v>4796</v>
      </c>
      <c r="Z30" s="301"/>
      <c r="AA30" s="341">
        <f>SUM(AA15:AA28)</f>
        <v>839</v>
      </c>
      <c r="AB30" s="301"/>
      <c r="AC30" s="341">
        <f>SUM(AC15:AC28)</f>
        <v>2631</v>
      </c>
      <c r="AD30" s="301"/>
      <c r="AE30" s="341">
        <f>SUM(AE15:AE28)</f>
        <v>15</v>
      </c>
      <c r="AF30" s="301"/>
      <c r="AG30" s="341">
        <f>SUM(AG15:AG28)</f>
        <v>42199</v>
      </c>
    </row>
    <row r="31" spans="1:44" s="253" customFormat="1" ht="5.0999999999999996" customHeight="1" x14ac:dyDescent="0.2">
      <c r="A31" s="450"/>
      <c r="B31" s="301"/>
      <c r="C31" s="273"/>
      <c r="D31" s="273"/>
      <c r="E31" s="273"/>
      <c r="F31" s="301"/>
      <c r="G31" s="273"/>
      <c r="H31" s="301"/>
      <c r="I31" s="273"/>
      <c r="J31" s="301"/>
      <c r="K31" s="273"/>
      <c r="L31" s="301"/>
      <c r="M31" s="273"/>
      <c r="N31" s="301"/>
      <c r="O31" s="273"/>
      <c r="P31" s="301"/>
      <c r="Q31" s="273"/>
      <c r="R31" s="301"/>
      <c r="S31" s="273"/>
      <c r="T31" s="301"/>
      <c r="U31" s="273"/>
      <c r="V31" s="301"/>
      <c r="W31" s="273"/>
      <c r="X31" s="301"/>
      <c r="Y31" s="273"/>
      <c r="Z31" s="301"/>
      <c r="AA31" s="273"/>
      <c r="AB31" s="301"/>
      <c r="AC31" s="273"/>
      <c r="AD31" s="301"/>
      <c r="AE31" s="273"/>
      <c r="AF31" s="301"/>
      <c r="AG31" s="273"/>
    </row>
    <row r="32" spans="1:44" s="253" customFormat="1" ht="9.9499999999999993" customHeight="1" x14ac:dyDescent="0.2">
      <c r="A32" s="417" t="s">
        <v>590</v>
      </c>
      <c r="B32" s="301"/>
      <c r="C32" s="273"/>
      <c r="D32" s="273"/>
      <c r="E32" s="273"/>
      <c r="F32" s="301"/>
      <c r="G32" s="273"/>
      <c r="H32" s="301"/>
      <c r="I32" s="273"/>
      <c r="J32" s="301"/>
      <c r="K32" s="273"/>
      <c r="L32" s="301"/>
      <c r="M32" s="273"/>
      <c r="N32" s="301"/>
      <c r="O32" s="273"/>
      <c r="P32" s="301"/>
      <c r="Q32" s="273"/>
      <c r="R32" s="301"/>
      <c r="S32" s="273"/>
      <c r="T32" s="301"/>
      <c r="U32" s="273"/>
      <c r="V32" s="301"/>
      <c r="W32" s="273"/>
      <c r="X32" s="301"/>
      <c r="Y32" s="273"/>
      <c r="Z32" s="301"/>
      <c r="AA32" s="273"/>
      <c r="AB32" s="301"/>
      <c r="AC32" s="273"/>
      <c r="AD32" s="301"/>
      <c r="AE32" s="273"/>
      <c r="AF32" s="301"/>
      <c r="AG32" s="273"/>
    </row>
    <row r="33" spans="1:33" s="253" customFormat="1" ht="9.9499999999999993" customHeight="1" x14ac:dyDescent="0.2">
      <c r="A33" s="425" t="s">
        <v>952</v>
      </c>
      <c r="B33" s="364"/>
      <c r="C33" s="273"/>
      <c r="D33" s="273"/>
      <c r="E33" s="273"/>
      <c r="F33" s="364"/>
      <c r="G33" s="273"/>
      <c r="H33" s="364"/>
      <c r="I33" s="273"/>
      <c r="J33" s="364"/>
      <c r="K33" s="273"/>
      <c r="L33" s="364"/>
      <c r="M33" s="273"/>
      <c r="N33" s="364"/>
      <c r="O33" s="273"/>
      <c r="P33" s="364"/>
      <c r="Q33" s="273"/>
      <c r="R33" s="364"/>
      <c r="S33" s="273"/>
      <c r="T33" s="364"/>
      <c r="U33" s="273"/>
      <c r="V33" s="364"/>
      <c r="W33" s="273"/>
      <c r="X33" s="364"/>
      <c r="Y33" s="273"/>
      <c r="Z33" s="364"/>
      <c r="AA33" s="273"/>
      <c r="AB33" s="364"/>
      <c r="AC33" s="273"/>
      <c r="AD33" s="364"/>
      <c r="AE33" s="273"/>
      <c r="AF33" s="364"/>
      <c r="AG33" s="273"/>
    </row>
    <row r="34" spans="1:33" s="253" customFormat="1" ht="9.9499999999999993" customHeight="1" x14ac:dyDescent="0.2">
      <c r="A34" s="426" t="s">
        <v>953</v>
      </c>
      <c r="B34" s="342"/>
      <c r="C34" s="450">
        <f>SORECGFws!BD23</f>
        <v>0</v>
      </c>
      <c r="D34" s="450"/>
      <c r="E34" s="450">
        <f>+SORECGFws!BQ23</f>
        <v>0</v>
      </c>
      <c r="F34" s="450"/>
      <c r="G34" s="450">
        <f>+SORECGFws!BE23</f>
        <v>0</v>
      </c>
      <c r="H34" s="450"/>
      <c r="I34" s="450">
        <f>+SORECGFws!BG23</f>
        <v>0</v>
      </c>
      <c r="J34" s="450"/>
      <c r="K34" s="450">
        <f>+SORECGFws!BI23</f>
        <v>0</v>
      </c>
      <c r="L34" s="450"/>
      <c r="M34" s="450">
        <f>+SORECGFws!BJ23</f>
        <v>0</v>
      </c>
      <c r="N34" s="450"/>
      <c r="O34" s="450">
        <f>+SORECGFws!BK23</f>
        <v>3</v>
      </c>
      <c r="P34" s="450"/>
      <c r="Q34" s="450">
        <f>+SORECGFws!BL23</f>
        <v>0</v>
      </c>
      <c r="R34" s="450"/>
      <c r="S34" s="450">
        <f>+SORECGFws!BO23</f>
        <v>0</v>
      </c>
      <c r="T34" s="450"/>
      <c r="U34" s="450"/>
      <c r="V34" s="450"/>
      <c r="W34" s="450">
        <f>SORECGFws!BO23</f>
        <v>0</v>
      </c>
      <c r="X34" s="450"/>
      <c r="Y34" s="450">
        <f>SORECGFws!BP23</f>
        <v>0</v>
      </c>
      <c r="Z34" s="450"/>
      <c r="AA34" s="450">
        <f>+SORECGFws!BS24</f>
        <v>0</v>
      </c>
      <c r="AB34" s="450"/>
      <c r="AC34" s="450">
        <f>+SORECGFws!BH23</f>
        <v>0</v>
      </c>
      <c r="AD34" s="450"/>
      <c r="AE34" s="450">
        <f>+SORECGFws!BF23</f>
        <v>9359</v>
      </c>
      <c r="AF34" s="450"/>
      <c r="AG34" s="450">
        <f t="shared" ref="AG34:AG57" si="2">SUM(C34:AE34)</f>
        <v>9362</v>
      </c>
    </row>
    <row r="35" spans="1:33" s="253" customFormat="1" ht="9.9499999999999993" hidden="1" customHeight="1" x14ac:dyDescent="0.2">
      <c r="A35" s="426" t="s">
        <v>954</v>
      </c>
      <c r="B35" s="342"/>
      <c r="C35" s="450"/>
      <c r="D35" s="450"/>
      <c r="E35" s="450">
        <f>+SORECGFws!BQ24</f>
        <v>0</v>
      </c>
      <c r="F35" s="342"/>
      <c r="G35" s="450">
        <f>+SORECGFws!BE24</f>
        <v>0</v>
      </c>
      <c r="H35" s="342"/>
      <c r="I35" s="450">
        <f>+SORECGFws!BG24</f>
        <v>0</v>
      </c>
      <c r="J35" s="342"/>
      <c r="K35" s="450">
        <f>+SORECGFws!BI24</f>
        <v>0</v>
      </c>
      <c r="L35" s="342"/>
      <c r="M35" s="450">
        <f>+SORECGFws!BJ24</f>
        <v>0</v>
      </c>
      <c r="N35" s="342"/>
      <c r="O35" s="450">
        <f>SORECGFws!BK24</f>
        <v>0</v>
      </c>
      <c r="P35" s="342"/>
      <c r="Q35" s="450">
        <f>+SORECGFws!BL24</f>
        <v>0</v>
      </c>
      <c r="R35" s="342"/>
      <c r="S35" s="450">
        <f>+SORECGFws!BO24</f>
        <v>0</v>
      </c>
      <c r="T35" s="342"/>
      <c r="U35" s="450"/>
      <c r="V35" s="342"/>
      <c r="W35" s="450">
        <f>SORECGFws!BO24</f>
        <v>0</v>
      </c>
      <c r="X35" s="342"/>
      <c r="Y35" s="450">
        <f>SORECGFws!BP24</f>
        <v>0</v>
      </c>
      <c r="Z35" s="342"/>
      <c r="AA35" s="450">
        <f>+SORECGFws!BS25</f>
        <v>0</v>
      </c>
      <c r="AB35" s="342"/>
      <c r="AC35" s="450">
        <f>+SORECGFws!BH24</f>
        <v>0</v>
      </c>
      <c r="AD35" s="342"/>
      <c r="AE35" s="450">
        <f>+SORECGFws!BG24</f>
        <v>0</v>
      </c>
      <c r="AF35" s="342"/>
      <c r="AG35" s="450">
        <f t="shared" si="2"/>
        <v>0</v>
      </c>
    </row>
    <row r="36" spans="1:33" s="253" customFormat="1" ht="9.9499999999999993" hidden="1" customHeight="1" x14ac:dyDescent="0.2">
      <c r="A36" s="426" t="s">
        <v>955</v>
      </c>
      <c r="B36" s="342"/>
      <c r="C36" s="450"/>
      <c r="D36" s="450"/>
      <c r="E36" s="450">
        <f>+SORECGFws!BQ25</f>
        <v>0</v>
      </c>
      <c r="F36" s="342"/>
      <c r="G36" s="450">
        <f>+SORECGFws!BE25</f>
        <v>0</v>
      </c>
      <c r="H36" s="342"/>
      <c r="I36" s="450"/>
      <c r="J36" s="342"/>
      <c r="K36" s="450">
        <f>+SORECGFws!BI25</f>
        <v>0</v>
      </c>
      <c r="L36" s="342"/>
      <c r="M36" s="450">
        <f>+SORECGFws!BJ25</f>
        <v>0</v>
      </c>
      <c r="N36" s="342"/>
      <c r="O36" s="450">
        <f>+SORECGFws!BM25</f>
        <v>0</v>
      </c>
      <c r="P36" s="342"/>
      <c r="Q36" s="450">
        <f>+SORECGFws!BL25</f>
        <v>0</v>
      </c>
      <c r="R36" s="342"/>
      <c r="S36" s="450">
        <f>+SORECGFws!BO25</f>
        <v>0</v>
      </c>
      <c r="T36" s="342"/>
      <c r="U36" s="450"/>
      <c r="V36" s="342"/>
      <c r="W36" s="450">
        <f>SORECGFws!BO25</f>
        <v>0</v>
      </c>
      <c r="X36" s="342"/>
      <c r="Y36" s="450">
        <f>SORECGFws!BP25</f>
        <v>0</v>
      </c>
      <c r="Z36" s="342"/>
      <c r="AA36" s="450">
        <f>+SORECGFws!BS26</f>
        <v>0</v>
      </c>
      <c r="AB36" s="342"/>
      <c r="AC36" s="450">
        <f>+SORECGFws!BH25</f>
        <v>0</v>
      </c>
      <c r="AD36" s="342"/>
      <c r="AE36" s="450">
        <f>+SORECGFws!BG25</f>
        <v>0</v>
      </c>
      <c r="AF36" s="342"/>
      <c r="AG36" s="450">
        <f t="shared" si="2"/>
        <v>0</v>
      </c>
    </row>
    <row r="37" spans="1:33" s="253" customFormat="1" ht="9.9499999999999993" hidden="1" customHeight="1" x14ac:dyDescent="0.2">
      <c r="A37" s="426" t="s">
        <v>956</v>
      </c>
      <c r="B37" s="342"/>
      <c r="C37" s="450"/>
      <c r="D37" s="450"/>
      <c r="E37" s="450">
        <f>+SORECGFws!BQ26</f>
        <v>0</v>
      </c>
      <c r="F37" s="342"/>
      <c r="G37" s="450">
        <f>+SORECGFws!BE26</f>
        <v>0</v>
      </c>
      <c r="H37" s="342"/>
      <c r="I37" s="450">
        <f>+SORECGFws!BG26</f>
        <v>0</v>
      </c>
      <c r="J37" s="342"/>
      <c r="K37" s="450">
        <f>+SORECGFws!BI26</f>
        <v>0</v>
      </c>
      <c r="L37" s="342"/>
      <c r="M37" s="450">
        <f>+SORECGFws!BJ26</f>
        <v>0</v>
      </c>
      <c r="N37" s="342"/>
      <c r="O37" s="450">
        <f>+SORECGFws!BM26</f>
        <v>0</v>
      </c>
      <c r="P37" s="342"/>
      <c r="Q37" s="450">
        <f>+SORECGFws!BL26</f>
        <v>0</v>
      </c>
      <c r="R37" s="342"/>
      <c r="S37" s="450">
        <f>+SORECGFws!BO26</f>
        <v>0</v>
      </c>
      <c r="T37" s="342"/>
      <c r="U37" s="450"/>
      <c r="V37" s="342"/>
      <c r="W37" s="450">
        <f>SORECGFws!BO26</f>
        <v>0</v>
      </c>
      <c r="X37" s="342"/>
      <c r="Y37" s="450">
        <f>SORECGFws!BP26</f>
        <v>0</v>
      </c>
      <c r="Z37" s="342"/>
      <c r="AA37" s="450">
        <f>+SORECGFws!BS27</f>
        <v>0</v>
      </c>
      <c r="AB37" s="342"/>
      <c r="AC37" s="450">
        <f>+SORECGFws!BH26</f>
        <v>0</v>
      </c>
      <c r="AD37" s="342"/>
      <c r="AE37" s="450">
        <f>+SORECGFws!BG26</f>
        <v>0</v>
      </c>
      <c r="AF37" s="342"/>
      <c r="AG37" s="450">
        <f t="shared" si="2"/>
        <v>0</v>
      </c>
    </row>
    <row r="38" spans="1:33" s="253" customFormat="1" ht="9.9499999999999993" hidden="1" customHeight="1" x14ac:dyDescent="0.2">
      <c r="A38" s="426" t="s">
        <v>958</v>
      </c>
      <c r="B38" s="342"/>
      <c r="C38" s="450"/>
      <c r="D38" s="450"/>
      <c r="E38" s="450">
        <f>+SORECGFws!BQ27</f>
        <v>0</v>
      </c>
      <c r="F38" s="342"/>
      <c r="G38" s="450">
        <f>+SORECGFws!BE27</f>
        <v>0</v>
      </c>
      <c r="H38" s="342"/>
      <c r="I38" s="450">
        <f>+SORECGFws!BG27</f>
        <v>0</v>
      </c>
      <c r="J38" s="342"/>
      <c r="K38" s="450">
        <f>+SORECGFws!BI27</f>
        <v>0</v>
      </c>
      <c r="L38" s="342"/>
      <c r="M38" s="450">
        <f>+SORECGFws!BJ27</f>
        <v>0</v>
      </c>
      <c r="N38" s="342"/>
      <c r="O38" s="450">
        <f>+SORECGFws!BM27</f>
        <v>0</v>
      </c>
      <c r="P38" s="342"/>
      <c r="Q38" s="450">
        <f>+SORECGFws!BL27</f>
        <v>0</v>
      </c>
      <c r="R38" s="342"/>
      <c r="S38" s="450">
        <f>+SORECGFws!BO27</f>
        <v>0</v>
      </c>
      <c r="T38" s="342"/>
      <c r="U38" s="450"/>
      <c r="V38" s="342"/>
      <c r="W38" s="450">
        <f>SORECGFws!BO27</f>
        <v>0</v>
      </c>
      <c r="X38" s="342"/>
      <c r="Y38" s="450">
        <f>SORECGFws!BP27</f>
        <v>0</v>
      </c>
      <c r="Z38" s="342"/>
      <c r="AA38" s="450">
        <f>+SORECGFws!BS28</f>
        <v>0</v>
      </c>
      <c r="AB38" s="342"/>
      <c r="AC38" s="450">
        <f>+SORECGFws!BH27</f>
        <v>0</v>
      </c>
      <c r="AD38" s="342"/>
      <c r="AE38" s="450">
        <f>+SORECGFws!BG27</f>
        <v>0</v>
      </c>
      <c r="AF38" s="342"/>
      <c r="AG38" s="450">
        <f t="shared" si="2"/>
        <v>0</v>
      </c>
    </row>
    <row r="39" spans="1:33" s="253" customFormat="1" ht="9.9499999999999993" hidden="1" customHeight="1" x14ac:dyDescent="0.2">
      <c r="A39" s="426" t="s">
        <v>959</v>
      </c>
      <c r="B39" s="342"/>
      <c r="C39" s="450"/>
      <c r="D39" s="450"/>
      <c r="E39" s="450">
        <f>+SORECGFws!BQ28</f>
        <v>0</v>
      </c>
      <c r="F39" s="342"/>
      <c r="G39" s="450">
        <f>+SORECGFws!BE28</f>
        <v>0</v>
      </c>
      <c r="H39" s="342"/>
      <c r="I39" s="450">
        <f>+SORECGFws!BG28</f>
        <v>0</v>
      </c>
      <c r="J39" s="342"/>
      <c r="K39" s="450">
        <f>+SORECGFws!BI28</f>
        <v>0</v>
      </c>
      <c r="L39" s="342"/>
      <c r="M39" s="450">
        <f>+SORECGFws!BJ28</f>
        <v>0</v>
      </c>
      <c r="N39" s="342"/>
      <c r="O39" s="450">
        <f>+SORECGFws!BM28</f>
        <v>0</v>
      </c>
      <c r="P39" s="342"/>
      <c r="Q39" s="450">
        <f>+SORECGFws!BL28</f>
        <v>0</v>
      </c>
      <c r="R39" s="342"/>
      <c r="S39" s="450">
        <f>+SORECGFws!BO28</f>
        <v>0</v>
      </c>
      <c r="T39" s="342"/>
      <c r="U39" s="450"/>
      <c r="V39" s="342"/>
      <c r="W39" s="450">
        <f>SORECGFws!BO28</f>
        <v>0</v>
      </c>
      <c r="X39" s="342"/>
      <c r="Y39" s="450">
        <f>SORECGFws!BP28</f>
        <v>0</v>
      </c>
      <c r="Z39" s="342"/>
      <c r="AA39" s="450">
        <f>+SORECGFws!BS29</f>
        <v>0</v>
      </c>
      <c r="AB39" s="342"/>
      <c r="AC39" s="450">
        <f>+SORECGFws!BH28</f>
        <v>0</v>
      </c>
      <c r="AD39" s="342"/>
      <c r="AE39" s="450">
        <f>+SORECGFws!BG28</f>
        <v>0</v>
      </c>
      <c r="AF39" s="342"/>
      <c r="AG39" s="450">
        <f t="shared" si="2"/>
        <v>0</v>
      </c>
    </row>
    <row r="40" spans="1:33" s="454" customFormat="1" ht="9.9499999999999993" customHeight="1" x14ac:dyDescent="0.2">
      <c r="A40" s="426" t="s">
        <v>961</v>
      </c>
      <c r="B40" s="513"/>
      <c r="C40" s="346"/>
      <c r="D40" s="346"/>
      <c r="E40" s="450">
        <f>+SORECGFws!BQ29</f>
        <v>0</v>
      </c>
      <c r="F40" s="450"/>
      <c r="G40" s="450">
        <f>+SORECGFws!BE29</f>
        <v>0</v>
      </c>
      <c r="H40" s="450"/>
      <c r="I40" s="450">
        <f>+SORECGFws!BG29</f>
        <v>0</v>
      </c>
      <c r="J40" s="450"/>
      <c r="K40" s="450">
        <f>+SORECGFws!BI29</f>
        <v>0</v>
      </c>
      <c r="L40" s="450"/>
      <c r="M40" s="450">
        <f>+SORECGFws!BJ29</f>
        <v>27089</v>
      </c>
      <c r="N40" s="450"/>
      <c r="O40" s="450">
        <f>+SORECGFws!BK29</f>
        <v>0</v>
      </c>
      <c r="P40" s="450"/>
      <c r="Q40" s="450">
        <f>+SORECGFws!BL29</f>
        <v>0</v>
      </c>
      <c r="R40" s="450"/>
      <c r="S40" s="450">
        <f>+SORECGFws!BO29</f>
        <v>0</v>
      </c>
      <c r="T40" s="450"/>
      <c r="U40" s="450"/>
      <c r="V40" s="450"/>
      <c r="W40" s="450">
        <f>SORECGFws!BO29</f>
        <v>0</v>
      </c>
      <c r="X40" s="450"/>
      <c r="Y40" s="450">
        <f>SORECGFws!BP29</f>
        <v>0</v>
      </c>
      <c r="Z40" s="450"/>
      <c r="AA40" s="450">
        <f>+SORECGFws!BS30</f>
        <v>0</v>
      </c>
      <c r="AB40" s="450"/>
      <c r="AC40" s="450">
        <f>+SORECGFws!BH29</f>
        <v>0</v>
      </c>
      <c r="AD40" s="450"/>
      <c r="AE40" s="450">
        <f>+SORECGFws!BG29</f>
        <v>0</v>
      </c>
      <c r="AF40" s="450"/>
      <c r="AG40" s="450">
        <f t="shared" si="2"/>
        <v>27089</v>
      </c>
    </row>
    <row r="41" spans="1:33" s="253" customFormat="1" ht="9.9499999999999993" customHeight="1" x14ac:dyDescent="0.2">
      <c r="A41" s="426" t="s">
        <v>960</v>
      </c>
      <c r="B41" s="342"/>
      <c r="C41" s="450">
        <f>SORECGFws!BD30</f>
        <v>0</v>
      </c>
      <c r="D41" s="450"/>
      <c r="E41" s="450">
        <f>+SORECGFws!BQ30</f>
        <v>0</v>
      </c>
      <c r="F41" s="450"/>
      <c r="G41" s="450">
        <f>+SORECGFws!BE30</f>
        <v>0</v>
      </c>
      <c r="H41" s="450"/>
      <c r="I41" s="450">
        <f>+SORECGFws!BG30</f>
        <v>0</v>
      </c>
      <c r="J41" s="450"/>
      <c r="K41" s="450">
        <f>+SORECGFws!BI30</f>
        <v>0</v>
      </c>
      <c r="L41" s="450"/>
      <c r="M41" s="450">
        <f>+SORECGFws!BJ30</f>
        <v>0</v>
      </c>
      <c r="N41" s="450"/>
      <c r="O41" s="450">
        <f>+SORECGFws!BM30</f>
        <v>0</v>
      </c>
      <c r="P41" s="450"/>
      <c r="Q41" s="450">
        <f>+SORECGFws!BL30</f>
        <v>0</v>
      </c>
      <c r="R41" s="450"/>
      <c r="S41" s="450">
        <f>+SORECGFws!BO30</f>
        <v>0</v>
      </c>
      <c r="T41" s="450"/>
      <c r="U41" s="450"/>
      <c r="V41" s="450"/>
      <c r="W41" s="450">
        <f>SORECGFws!BO30</f>
        <v>0</v>
      </c>
      <c r="X41" s="450"/>
      <c r="Y41" s="450">
        <f>SORECGFws!BP30</f>
        <v>0</v>
      </c>
      <c r="Z41" s="450"/>
      <c r="AA41" s="450"/>
      <c r="AB41" s="450"/>
      <c r="AC41" s="450">
        <f>+SORECGFws!BH30</f>
        <v>30807</v>
      </c>
      <c r="AD41" s="342"/>
      <c r="AE41" s="450">
        <f>+SORECGFws!BG30</f>
        <v>0</v>
      </c>
      <c r="AF41" s="342"/>
      <c r="AG41" s="450">
        <f t="shared" si="2"/>
        <v>30807</v>
      </c>
    </row>
    <row r="42" spans="1:33" s="454" customFormat="1" ht="9.9499999999999993" customHeight="1" x14ac:dyDescent="0.2">
      <c r="A42" s="426" t="s">
        <v>963</v>
      </c>
      <c r="B42" s="513"/>
      <c r="C42" s="450"/>
      <c r="D42" s="450"/>
      <c r="E42" s="450">
        <f>+SORECGFws!BQ31</f>
        <v>0</v>
      </c>
      <c r="F42" s="450"/>
      <c r="G42" s="450">
        <f>+SORECGFws!BE31</f>
        <v>0</v>
      </c>
      <c r="H42" s="450"/>
      <c r="I42" s="450">
        <f>+SORECGFws!BG31</f>
        <v>0</v>
      </c>
      <c r="J42" s="450"/>
      <c r="K42" s="450">
        <f>+SORECGFws!BI31</f>
        <v>0</v>
      </c>
      <c r="L42" s="450"/>
      <c r="M42" s="450">
        <f>+SORECGFws!BJ31</f>
        <v>0</v>
      </c>
      <c r="N42" s="450"/>
      <c r="O42" s="450">
        <f>+SORECGFws!BM31</f>
        <v>0</v>
      </c>
      <c r="P42" s="450"/>
      <c r="Q42" s="450">
        <f>+SORECGFws!BL31</f>
        <v>0</v>
      </c>
      <c r="R42" s="450"/>
      <c r="S42" s="450"/>
      <c r="T42" s="450"/>
      <c r="U42" s="450"/>
      <c r="V42" s="450"/>
      <c r="W42" s="450">
        <f>SORECGFws!BO31</f>
        <v>0</v>
      </c>
      <c r="X42" s="450"/>
      <c r="Y42" s="450">
        <f>SORECGFws!BP31</f>
        <v>0</v>
      </c>
      <c r="Z42" s="450"/>
      <c r="AA42" s="450">
        <f>+SORECGFws!BS31</f>
        <v>3735</v>
      </c>
      <c r="AB42" s="450"/>
      <c r="AC42" s="450">
        <f>+SORECGFws!BH31</f>
        <v>0</v>
      </c>
      <c r="AD42" s="342"/>
      <c r="AE42" s="450">
        <f>+SORECGFws!BG31</f>
        <v>0</v>
      </c>
      <c r="AF42" s="342"/>
      <c r="AG42" s="450">
        <f t="shared" si="2"/>
        <v>3735</v>
      </c>
    </row>
    <row r="43" spans="1:33" s="454" customFormat="1" ht="9.9499999999999993" customHeight="1" x14ac:dyDescent="0.2">
      <c r="A43" s="426" t="s">
        <v>1191</v>
      </c>
      <c r="B43" s="513"/>
      <c r="C43" s="450"/>
      <c r="D43" s="450"/>
      <c r="E43" s="450">
        <f>+SORECGFws!BQ32</f>
        <v>98663</v>
      </c>
      <c r="F43" s="450"/>
      <c r="G43" s="450">
        <f>+SORECGFws!BE32</f>
        <v>0</v>
      </c>
      <c r="H43" s="450"/>
      <c r="I43" s="450">
        <f>+SORECGFws!BG32</f>
        <v>0</v>
      </c>
      <c r="J43" s="450"/>
      <c r="K43" s="450">
        <f>+SORECGFws!BI32</f>
        <v>0</v>
      </c>
      <c r="L43" s="450"/>
      <c r="M43" s="450">
        <f>+SORECGFws!BJ32</f>
        <v>0</v>
      </c>
      <c r="N43" s="450"/>
      <c r="O43" s="450">
        <f>+SORECGFws!BK32</f>
        <v>0</v>
      </c>
      <c r="P43" s="450"/>
      <c r="Q43" s="450">
        <f>+SORECGFws!BL32</f>
        <v>0</v>
      </c>
      <c r="R43" s="450"/>
      <c r="S43" s="450">
        <f>SORECGFws!BM32</f>
        <v>0</v>
      </c>
      <c r="T43" s="450"/>
      <c r="U43" s="450"/>
      <c r="V43" s="450"/>
      <c r="W43" s="450">
        <f>SORECGFws!BO32</f>
        <v>0</v>
      </c>
      <c r="X43" s="450"/>
      <c r="Y43" s="450">
        <f>SORECGFws!BP32</f>
        <v>0</v>
      </c>
      <c r="Z43" s="450"/>
      <c r="AA43" s="450">
        <f>+SORECGFws!BS33</f>
        <v>0</v>
      </c>
      <c r="AB43" s="450"/>
      <c r="AC43" s="450">
        <f>+SORECGFws!BH32</f>
        <v>0</v>
      </c>
      <c r="AD43" s="342"/>
      <c r="AE43" s="450">
        <f>+SORECGFws!BF32</f>
        <v>0</v>
      </c>
      <c r="AF43" s="342"/>
      <c r="AG43" s="450">
        <f t="shared" si="2"/>
        <v>98663</v>
      </c>
    </row>
    <row r="44" spans="1:33" s="454" customFormat="1" ht="9.9499999999999993" customHeight="1" x14ac:dyDescent="0.2">
      <c r="A44" s="426" t="s">
        <v>964</v>
      </c>
      <c r="B44" s="513"/>
      <c r="C44" s="450"/>
      <c r="D44" s="346"/>
      <c r="E44" s="450">
        <f>+SORECGFws!BQ33</f>
        <v>0</v>
      </c>
      <c r="F44" s="450"/>
      <c r="G44" s="450">
        <f>+SORECGFws!BE33</f>
        <v>1</v>
      </c>
      <c r="H44" s="450"/>
      <c r="I44" s="450">
        <f>+SORECGFws!BG33</f>
        <v>0</v>
      </c>
      <c r="J44" s="450"/>
      <c r="K44" s="450">
        <f>+SORECGFws!BI33</f>
        <v>0</v>
      </c>
      <c r="L44" s="450"/>
      <c r="M44" s="450">
        <f>+SORECGFws!BJ33</f>
        <v>0</v>
      </c>
      <c r="N44" s="450"/>
      <c r="O44" s="450">
        <f>+SORECGFws!BK33</f>
        <v>0</v>
      </c>
      <c r="P44" s="450"/>
      <c r="Q44" s="450">
        <f>+SORECGFws!BL33</f>
        <v>4</v>
      </c>
      <c r="R44" s="450"/>
      <c r="S44" s="450">
        <f>SORECGFws!BM33</f>
        <v>259</v>
      </c>
      <c r="T44" s="450"/>
      <c r="U44" s="450"/>
      <c r="V44" s="450"/>
      <c r="W44" s="450">
        <f>SORECGFws!BO33</f>
        <v>0</v>
      </c>
      <c r="X44" s="450"/>
      <c r="Y44" s="450">
        <f>SORECGFws!BP33</f>
        <v>3939</v>
      </c>
      <c r="Z44" s="450"/>
      <c r="AA44" s="450">
        <f>+SORECGFws!BS35</f>
        <v>0</v>
      </c>
      <c r="AB44" s="450"/>
      <c r="AC44" s="450">
        <f>+SORECGFws!BH33</f>
        <v>0</v>
      </c>
      <c r="AD44" s="342"/>
      <c r="AE44" s="450">
        <f>+SORECGFws!BF33</f>
        <v>0</v>
      </c>
      <c r="AF44" s="342"/>
      <c r="AG44" s="450">
        <f t="shared" si="2"/>
        <v>4203</v>
      </c>
    </row>
    <row r="45" spans="1:33" s="454" customFormat="1" ht="9.9499999999999993" hidden="1" customHeight="1" x14ac:dyDescent="0.2">
      <c r="A45" s="426" t="s">
        <v>1414</v>
      </c>
      <c r="B45" s="513"/>
      <c r="C45" s="346"/>
      <c r="D45" s="346"/>
      <c r="E45" s="450">
        <f>+SORECGFws!BQ34</f>
        <v>0</v>
      </c>
      <c r="F45" s="450"/>
      <c r="G45" s="450">
        <f>+SORECGFws!BE34</f>
        <v>0</v>
      </c>
      <c r="H45" s="450"/>
      <c r="I45" s="450">
        <f>+SORECGFws!BG34</f>
        <v>0</v>
      </c>
      <c r="J45" s="450"/>
      <c r="K45" s="450">
        <f>+SORECGFws!BI34</f>
        <v>0</v>
      </c>
      <c r="L45" s="450"/>
      <c r="M45" s="450">
        <f>+SORECGFws!BJ34</f>
        <v>0</v>
      </c>
      <c r="N45" s="450"/>
      <c r="O45" s="450">
        <f>+SORECGFws!BK34</f>
        <v>0</v>
      </c>
      <c r="P45" s="450"/>
      <c r="Q45" s="450">
        <f>+SORECGFws!BL34</f>
        <v>0</v>
      </c>
      <c r="R45" s="450"/>
      <c r="S45" s="450">
        <f>SORECGFws!BM34</f>
        <v>0</v>
      </c>
      <c r="T45" s="450"/>
      <c r="U45" s="450"/>
      <c r="V45" s="450"/>
      <c r="W45" s="450">
        <f>SORECGFws!BO34</f>
        <v>0</v>
      </c>
      <c r="X45" s="450"/>
      <c r="Y45" s="450">
        <f>SORECGFws!BP34</f>
        <v>0</v>
      </c>
      <c r="Z45" s="450"/>
      <c r="AA45" s="450">
        <f>+SORECGFws!BS36</f>
        <v>0</v>
      </c>
      <c r="AB45" s="450"/>
      <c r="AC45" s="450">
        <f>+SORECGFws!BH34</f>
        <v>0</v>
      </c>
      <c r="AD45" s="342"/>
      <c r="AE45" s="450">
        <f>+SORECGFws!BF34</f>
        <v>0</v>
      </c>
      <c r="AF45" s="342"/>
      <c r="AG45" s="450">
        <f t="shared" si="2"/>
        <v>0</v>
      </c>
    </row>
    <row r="46" spans="1:33" s="253" customFormat="1" ht="9.9499999999999993" customHeight="1" x14ac:dyDescent="0.2">
      <c r="A46" s="426" t="s">
        <v>888</v>
      </c>
      <c r="B46" s="342"/>
      <c r="C46" s="450"/>
      <c r="D46" s="450"/>
      <c r="E46" s="450">
        <f>+SORECGFws!BQ35</f>
        <v>780</v>
      </c>
      <c r="F46" s="450"/>
      <c r="G46" s="450">
        <f>+SORECGFws!BE35</f>
        <v>0</v>
      </c>
      <c r="H46" s="450"/>
      <c r="I46" s="450">
        <f>+SORECGFws!BG35</f>
        <v>0</v>
      </c>
      <c r="J46" s="450"/>
      <c r="K46" s="450">
        <f>+SORECGFws!BI35</f>
        <v>0</v>
      </c>
      <c r="L46" s="450"/>
      <c r="M46" s="450">
        <f>+SORECGFws!BJ35</f>
        <v>0</v>
      </c>
      <c r="N46" s="450"/>
      <c r="O46" s="450">
        <f>+SORECGFws!BK35</f>
        <v>0</v>
      </c>
      <c r="P46" s="450"/>
      <c r="Q46" s="450">
        <f>+SORECGFws!BL35</f>
        <v>0</v>
      </c>
      <c r="R46" s="450"/>
      <c r="S46" s="450">
        <f>+SORECGFws!BO35</f>
        <v>0</v>
      </c>
      <c r="T46" s="450"/>
      <c r="U46" s="450"/>
      <c r="V46" s="450"/>
      <c r="W46" s="450">
        <f>SORECGFws!BO35</f>
        <v>0</v>
      </c>
      <c r="X46" s="450"/>
      <c r="Y46" s="450">
        <f>SORECGFws!BP35</f>
        <v>0</v>
      </c>
      <c r="Z46" s="450"/>
      <c r="AA46" s="450">
        <f>+SORECGFws!BS36</f>
        <v>0</v>
      </c>
      <c r="AB46" s="450"/>
      <c r="AC46" s="450">
        <f>+SORECGFws!BH35</f>
        <v>0</v>
      </c>
      <c r="AD46" s="342"/>
      <c r="AE46" s="450">
        <f>+SORECGFws!BG35</f>
        <v>0</v>
      </c>
      <c r="AF46" s="342"/>
      <c r="AG46" s="450">
        <f t="shared" si="2"/>
        <v>780</v>
      </c>
    </row>
    <row r="47" spans="1:33" s="253" customFormat="1" ht="9.9499999999999993" customHeight="1" x14ac:dyDescent="0.2">
      <c r="A47" s="425" t="s">
        <v>965</v>
      </c>
      <c r="B47" s="342"/>
      <c r="C47" s="450"/>
      <c r="D47" s="450"/>
      <c r="E47" s="450">
        <f>+SORECGFws!BQ36</f>
        <v>0</v>
      </c>
      <c r="F47" s="450"/>
      <c r="G47" s="450">
        <f>+SORECGFws!BE36</f>
        <v>0</v>
      </c>
      <c r="H47" s="450"/>
      <c r="I47" s="450">
        <f>+SORECGFws!BG36</f>
        <v>0</v>
      </c>
      <c r="J47" s="450"/>
      <c r="K47" s="450">
        <f>+SORECGFws!BI36</f>
        <v>0</v>
      </c>
      <c r="L47" s="450"/>
      <c r="M47" s="450">
        <f>+SORECGFws!BJ36</f>
        <v>0</v>
      </c>
      <c r="N47" s="450"/>
      <c r="O47" s="450">
        <f>+SORECGFws!BK36</f>
        <v>0</v>
      </c>
      <c r="P47" s="450"/>
      <c r="Q47" s="450">
        <f>+SORECGFws!BL36</f>
        <v>0</v>
      </c>
      <c r="R47" s="450"/>
      <c r="S47" s="450">
        <f>+SORECGFws!BO36</f>
        <v>0</v>
      </c>
      <c r="T47" s="450"/>
      <c r="U47" s="450"/>
      <c r="V47" s="450"/>
      <c r="W47" s="450">
        <f>SORECGFws!BO36</f>
        <v>0</v>
      </c>
      <c r="X47" s="450"/>
      <c r="Y47" s="450">
        <f>SORECGFws!BP36</f>
        <v>0</v>
      </c>
      <c r="Z47" s="450"/>
      <c r="AA47" s="450">
        <f>+SORECGFws!BS37</f>
        <v>0</v>
      </c>
      <c r="AB47" s="450"/>
      <c r="AC47" s="450">
        <f>+SORECGFws!BH36</f>
        <v>0</v>
      </c>
      <c r="AD47" s="342"/>
      <c r="AE47" s="450">
        <f>+SORECGFws!BG36</f>
        <v>0</v>
      </c>
      <c r="AF47" s="342"/>
      <c r="AG47" s="450">
        <f t="shared" si="2"/>
        <v>0</v>
      </c>
    </row>
    <row r="48" spans="1:33" s="253" customFormat="1" ht="9.9499999999999993" customHeight="1" x14ac:dyDescent="0.2">
      <c r="A48" s="426" t="s">
        <v>966</v>
      </c>
      <c r="B48" s="342"/>
      <c r="C48" s="450">
        <f>SORECGFws!BD37</f>
        <v>0</v>
      </c>
      <c r="D48" s="450"/>
      <c r="E48" s="450">
        <f>+SORECGFws!BQ37</f>
        <v>0</v>
      </c>
      <c r="F48" s="450"/>
      <c r="G48" s="450">
        <f>+SORECGFws!BE37</f>
        <v>0</v>
      </c>
      <c r="H48" s="450"/>
      <c r="I48" s="450">
        <f>+SORECGFws!BG37</f>
        <v>0</v>
      </c>
      <c r="J48" s="450"/>
      <c r="K48" s="450">
        <f>+SORECGFws!BI37</f>
        <v>0</v>
      </c>
      <c r="L48" s="450"/>
      <c r="M48" s="450">
        <f>+SORECGFws!BJ37</f>
        <v>1211</v>
      </c>
      <c r="N48" s="450"/>
      <c r="O48" s="450">
        <f>+SORECGFws!BK37</f>
        <v>31975</v>
      </c>
      <c r="P48" s="450"/>
      <c r="Q48" s="450">
        <f>+SORECGFws!BL37</f>
        <v>1100</v>
      </c>
      <c r="R48" s="450"/>
      <c r="S48" s="450">
        <f>+SORECGFws!BO37</f>
        <v>0</v>
      </c>
      <c r="T48" s="450"/>
      <c r="U48" s="450"/>
      <c r="V48" s="450"/>
      <c r="W48" s="450">
        <f>SORECGFws!BR37</f>
        <v>4040</v>
      </c>
      <c r="X48" s="450"/>
      <c r="Y48" s="450">
        <f>SORECGFws!BP37</f>
        <v>0</v>
      </c>
      <c r="Z48" s="450"/>
      <c r="AA48" s="450">
        <f>+SORECGFws!BS38</f>
        <v>0</v>
      </c>
      <c r="AB48" s="450"/>
      <c r="AC48" s="450">
        <f>+SORECGFws!BH37</f>
        <v>23</v>
      </c>
      <c r="AD48" s="342"/>
      <c r="AE48" s="450">
        <f>+SORECGFws!BG37</f>
        <v>0</v>
      </c>
      <c r="AF48" s="342"/>
      <c r="AG48" s="450">
        <f t="shared" si="2"/>
        <v>38349</v>
      </c>
    </row>
    <row r="49" spans="1:33" s="253" customFormat="1" ht="9.9499999999999993" customHeight="1" x14ac:dyDescent="0.2">
      <c r="A49" s="426" t="s">
        <v>949</v>
      </c>
      <c r="B49" s="342"/>
      <c r="C49" s="450">
        <f>SORECGFws!BD38</f>
        <v>0</v>
      </c>
      <c r="D49" s="450"/>
      <c r="E49" s="450">
        <f>+SORECGFws!BQ38</f>
        <v>0</v>
      </c>
      <c r="F49" s="450"/>
      <c r="G49" s="450">
        <f>+SORECGFws!BE38</f>
        <v>0</v>
      </c>
      <c r="H49" s="450"/>
      <c r="I49" s="450">
        <f>+SORECGFws!BG38</f>
        <v>0</v>
      </c>
      <c r="J49" s="450"/>
      <c r="K49" s="450">
        <f>+SORECGFws!BI38</f>
        <v>0</v>
      </c>
      <c r="L49" s="450"/>
      <c r="M49" s="450">
        <f>+SORECGFws!BJ38</f>
        <v>201</v>
      </c>
      <c r="N49" s="450"/>
      <c r="O49" s="450">
        <f>+SORECGFws!BK38</f>
        <v>4812</v>
      </c>
      <c r="P49" s="450"/>
      <c r="Q49" s="450">
        <f>+SORECGFws!BL38</f>
        <v>560</v>
      </c>
      <c r="R49" s="450"/>
      <c r="S49" s="450">
        <f>+SORECGFws!BO38</f>
        <v>0</v>
      </c>
      <c r="T49" s="450"/>
      <c r="U49" s="450"/>
      <c r="V49" s="450"/>
      <c r="W49" s="450">
        <f>SORECGFws!BR38</f>
        <v>24767</v>
      </c>
      <c r="X49" s="450"/>
      <c r="Y49" s="450">
        <f>SORECGFws!BP38</f>
        <v>0</v>
      </c>
      <c r="Z49" s="450"/>
      <c r="AA49" s="450">
        <f>+SORECGFws!BS39</f>
        <v>0</v>
      </c>
      <c r="AB49" s="450"/>
      <c r="AC49" s="450">
        <f>+SORECGFws!BH38</f>
        <v>0</v>
      </c>
      <c r="AD49" s="342"/>
      <c r="AE49" s="450">
        <f>+SORECGFws!BG38</f>
        <v>0</v>
      </c>
      <c r="AF49" s="342"/>
      <c r="AG49" s="450">
        <f t="shared" si="2"/>
        <v>30340</v>
      </c>
    </row>
    <row r="50" spans="1:33" s="253" customFormat="1" ht="9.9499999999999993" hidden="1" customHeight="1" x14ac:dyDescent="0.2">
      <c r="A50" s="426" t="s">
        <v>91</v>
      </c>
      <c r="B50" s="301"/>
      <c r="C50" s="450"/>
      <c r="D50" s="450"/>
      <c r="E50" s="450">
        <f>+SORECGFws!BQ39</f>
        <v>0</v>
      </c>
      <c r="F50" s="301"/>
      <c r="G50" s="450">
        <f>+SORECGFws!BE39</f>
        <v>0</v>
      </c>
      <c r="H50" s="301"/>
      <c r="I50" s="450">
        <f>+SORECGFws!BG39</f>
        <v>0</v>
      </c>
      <c r="J50" s="301"/>
      <c r="K50" s="450">
        <f>+SORECGFws!BI39</f>
        <v>0</v>
      </c>
      <c r="L50" s="301"/>
      <c r="M50" s="450">
        <f>+SORECGFws!BJ39</f>
        <v>0</v>
      </c>
      <c r="N50" s="301"/>
      <c r="O50" s="450">
        <f>+SORECGFws!BK39</f>
        <v>0</v>
      </c>
      <c r="P50" s="301"/>
      <c r="Q50" s="450">
        <f>+SORECGFws!BL39</f>
        <v>0</v>
      </c>
      <c r="R50" s="301"/>
      <c r="S50" s="450">
        <f>+SORECGFws!BO39</f>
        <v>0</v>
      </c>
      <c r="T50" s="301"/>
      <c r="U50" s="450"/>
      <c r="V50" s="301"/>
      <c r="W50" s="450">
        <f>SORECGFws!BR39</f>
        <v>0</v>
      </c>
      <c r="X50" s="301"/>
      <c r="Y50" s="450">
        <f>SORECGFws!BP39</f>
        <v>0</v>
      </c>
      <c r="Z50" s="301"/>
      <c r="AA50" s="450">
        <f>+SORECGFws!BS40</f>
        <v>0</v>
      </c>
      <c r="AB50" s="301"/>
      <c r="AC50" s="450">
        <f>+SORECGFws!BH39</f>
        <v>0</v>
      </c>
      <c r="AD50" s="301"/>
      <c r="AE50" s="450">
        <f>+SORECGFws!BG39</f>
        <v>0</v>
      </c>
      <c r="AF50" s="301"/>
      <c r="AG50" s="450">
        <f t="shared" si="2"/>
        <v>0</v>
      </c>
    </row>
    <row r="51" spans="1:33" s="253" customFormat="1" ht="9.9499999999999993" customHeight="1" x14ac:dyDescent="0.2">
      <c r="A51" s="426" t="s">
        <v>968</v>
      </c>
      <c r="B51" s="301"/>
      <c r="C51" s="450"/>
      <c r="D51" s="450"/>
      <c r="E51" s="450">
        <f>+SORECGFws!BQ40</f>
        <v>0</v>
      </c>
      <c r="F51" s="301"/>
      <c r="G51" s="450">
        <f>+SORECGFws!BE40</f>
        <v>0</v>
      </c>
      <c r="H51" s="301"/>
      <c r="I51" s="450">
        <f>+SORECGFws!BG40</f>
        <v>0</v>
      </c>
      <c r="J51" s="301"/>
      <c r="K51" s="450">
        <f>+SORECGFws!BI40</f>
        <v>0</v>
      </c>
      <c r="L51" s="301"/>
      <c r="M51" s="450">
        <f>+SORECGFws!BJ40</f>
        <v>0</v>
      </c>
      <c r="N51" s="301"/>
      <c r="O51" s="450">
        <f>+SORECGFws!BK40</f>
        <v>225</v>
      </c>
      <c r="P51" s="301"/>
      <c r="Q51" s="450">
        <f>+SORECGFws!BL40</f>
        <v>0</v>
      </c>
      <c r="R51" s="301"/>
      <c r="S51" s="450">
        <f>+SORECGFws!BO40</f>
        <v>0</v>
      </c>
      <c r="T51" s="301"/>
      <c r="U51" s="450"/>
      <c r="V51" s="301"/>
      <c r="W51" s="450">
        <f>SORECGFws!BR40</f>
        <v>0</v>
      </c>
      <c r="X51" s="301"/>
      <c r="Y51" s="450">
        <f>SORECGFws!BP40</f>
        <v>0</v>
      </c>
      <c r="Z51" s="301"/>
      <c r="AA51" s="450"/>
      <c r="AB51" s="301"/>
      <c r="AC51" s="450">
        <f>+SORECGFws!BH40</f>
        <v>0</v>
      </c>
      <c r="AD51" s="301"/>
      <c r="AE51" s="450">
        <f>+SORECGFws!BG40</f>
        <v>0</v>
      </c>
      <c r="AF51" s="301"/>
      <c r="AG51" s="450">
        <f t="shared" si="2"/>
        <v>225</v>
      </c>
    </row>
    <row r="52" spans="1:33" s="253" customFormat="1" ht="9.9499999999999993" customHeight="1" x14ac:dyDescent="0.2">
      <c r="A52" s="425" t="s">
        <v>1595</v>
      </c>
      <c r="B52" s="301"/>
      <c r="C52" s="450"/>
      <c r="D52" s="450"/>
      <c r="E52" s="450"/>
      <c r="F52" s="301"/>
      <c r="G52" s="450"/>
      <c r="H52" s="301"/>
      <c r="I52" s="450"/>
      <c r="J52" s="301"/>
      <c r="K52" s="450"/>
      <c r="L52" s="301"/>
      <c r="M52" s="450"/>
      <c r="N52" s="301"/>
      <c r="O52" s="450"/>
      <c r="P52" s="301"/>
      <c r="Q52" s="450"/>
      <c r="R52" s="301"/>
      <c r="S52" s="450"/>
      <c r="T52" s="301"/>
      <c r="U52" s="450"/>
      <c r="V52" s="301"/>
      <c r="W52" s="450"/>
      <c r="X52" s="301"/>
      <c r="Y52" s="450"/>
      <c r="Z52" s="301"/>
      <c r="AA52" s="450"/>
      <c r="AB52" s="301"/>
      <c r="AC52" s="450"/>
      <c r="AD52" s="301"/>
      <c r="AE52" s="450"/>
      <c r="AF52" s="301"/>
      <c r="AG52" s="450">
        <f t="shared" si="2"/>
        <v>0</v>
      </c>
    </row>
    <row r="53" spans="1:33" s="253" customFormat="1" ht="9.9499999999999993" customHeight="1" x14ac:dyDescent="0.2">
      <c r="A53" s="426" t="s">
        <v>966</v>
      </c>
      <c r="B53" s="301"/>
      <c r="C53" s="450"/>
      <c r="D53" s="450"/>
      <c r="E53" s="450">
        <f>+SORECGFws!BQ42</f>
        <v>2525</v>
      </c>
      <c r="F53" s="450"/>
      <c r="G53" s="450">
        <f>+SORECGFws!BE42</f>
        <v>0</v>
      </c>
      <c r="H53" s="301"/>
      <c r="I53" s="450">
        <f>+SORECGFws!BG42</f>
        <v>0</v>
      </c>
      <c r="J53" s="301"/>
      <c r="K53" s="450">
        <f>+SORECGFws!BI42</f>
        <v>0</v>
      </c>
      <c r="L53" s="301"/>
      <c r="M53" s="450">
        <f>+SORECGFws!BJ42</f>
        <v>368</v>
      </c>
      <c r="N53" s="301"/>
      <c r="O53" s="450">
        <f>+SORECGFws!BK42</f>
        <v>0</v>
      </c>
      <c r="P53" s="301"/>
      <c r="Q53" s="450">
        <f>+SORECGFws!BL42</f>
        <v>0</v>
      </c>
      <c r="R53" s="301"/>
      <c r="S53" s="450">
        <f>+SORECGFws!BO42</f>
        <v>0</v>
      </c>
      <c r="T53" s="450"/>
      <c r="U53" s="450"/>
      <c r="V53" s="450"/>
      <c r="W53" s="450">
        <f>SORECGFws!BR42</f>
        <v>0</v>
      </c>
      <c r="X53" s="450"/>
      <c r="Y53" s="450">
        <f>SORECGFws!BP42</f>
        <v>69</v>
      </c>
      <c r="Z53" s="301"/>
      <c r="AA53" s="450"/>
      <c r="AB53" s="301"/>
      <c r="AC53" s="450">
        <f>+SORECGFws!BH42</f>
        <v>0</v>
      </c>
      <c r="AD53" s="301"/>
      <c r="AE53" s="450">
        <f>+SORECGFws!BG42</f>
        <v>0</v>
      </c>
      <c r="AF53" s="301"/>
      <c r="AG53" s="450">
        <f t="shared" si="2"/>
        <v>2962</v>
      </c>
    </row>
    <row r="54" spans="1:33" s="253" customFormat="1" ht="9.9499999999999993" customHeight="1" x14ac:dyDescent="0.2">
      <c r="A54" s="426" t="s">
        <v>949</v>
      </c>
      <c r="B54" s="301"/>
      <c r="C54" s="450"/>
      <c r="D54" s="450"/>
      <c r="E54" s="450">
        <f>+SORECGFws!BQ43</f>
        <v>256</v>
      </c>
      <c r="F54" s="450"/>
      <c r="G54" s="450">
        <f>+SORECGFws!BE43</f>
        <v>0</v>
      </c>
      <c r="H54" s="301"/>
      <c r="I54" s="450">
        <f>+SORECGFws!BG43</f>
        <v>0</v>
      </c>
      <c r="J54" s="301"/>
      <c r="K54" s="450">
        <f>+SORECGFws!BI43</f>
        <v>0</v>
      </c>
      <c r="L54" s="301"/>
      <c r="M54" s="450">
        <f>+SORECGFws!BJ43</f>
        <v>31</v>
      </c>
      <c r="N54" s="301"/>
      <c r="O54" s="450">
        <f>+SORECGFws!BK43</f>
        <v>0</v>
      </c>
      <c r="P54" s="301"/>
      <c r="Q54" s="450">
        <f>+SORECGFws!BL43</f>
        <v>0</v>
      </c>
      <c r="R54" s="301"/>
      <c r="S54" s="450">
        <f>+SORECGFws!BO43</f>
        <v>0</v>
      </c>
      <c r="T54" s="450"/>
      <c r="U54" s="450"/>
      <c r="V54" s="450"/>
      <c r="W54" s="450">
        <f>SORECGFws!BR43</f>
        <v>0</v>
      </c>
      <c r="X54" s="450"/>
      <c r="Y54" s="450">
        <f>SORECGFws!BP43</f>
        <v>208</v>
      </c>
      <c r="Z54" s="301"/>
      <c r="AA54" s="450"/>
      <c r="AB54" s="301"/>
      <c r="AC54" s="450">
        <f>+SORECGFws!BH43</f>
        <v>0</v>
      </c>
      <c r="AD54" s="301"/>
      <c r="AE54" s="450">
        <f>+SORECGFws!BG43</f>
        <v>0</v>
      </c>
      <c r="AF54" s="301"/>
      <c r="AG54" s="450">
        <f t="shared" si="2"/>
        <v>495</v>
      </c>
    </row>
    <row r="55" spans="1:33" s="253" customFormat="1" ht="9.9499999999999993" customHeight="1" x14ac:dyDescent="0.2">
      <c r="A55" s="425" t="s">
        <v>1641</v>
      </c>
      <c r="B55" s="301"/>
      <c r="C55" s="450"/>
      <c r="D55" s="450"/>
      <c r="E55" s="450">
        <f>+SORECGFws!BQ44</f>
        <v>0</v>
      </c>
      <c r="F55" s="450"/>
      <c r="G55" s="450"/>
      <c r="H55" s="301"/>
      <c r="I55" s="450"/>
      <c r="J55" s="301"/>
      <c r="K55" s="450"/>
      <c r="L55" s="301"/>
      <c r="M55" s="450"/>
      <c r="N55" s="301"/>
      <c r="O55" s="450"/>
      <c r="P55" s="301"/>
      <c r="Q55" s="450"/>
      <c r="R55" s="301"/>
      <c r="S55" s="450"/>
      <c r="T55" s="450"/>
      <c r="U55" s="450"/>
      <c r="V55" s="450"/>
      <c r="W55" s="450"/>
      <c r="X55" s="450"/>
      <c r="Y55" s="450"/>
      <c r="Z55" s="301"/>
      <c r="AA55" s="450"/>
      <c r="AB55" s="301"/>
      <c r="AC55" s="450"/>
      <c r="AD55" s="301"/>
      <c r="AE55" s="450"/>
      <c r="AF55" s="301"/>
      <c r="AG55" s="450">
        <f t="shared" si="2"/>
        <v>0</v>
      </c>
    </row>
    <row r="56" spans="1:33" s="253" customFormat="1" ht="9.9499999999999993" customHeight="1" x14ac:dyDescent="0.2">
      <c r="A56" s="426" t="s">
        <v>966</v>
      </c>
      <c r="B56" s="301"/>
      <c r="C56" s="450">
        <f>SORECGFws!BD45</f>
        <v>0</v>
      </c>
      <c r="D56" s="450"/>
      <c r="E56" s="450">
        <f>+SORECGFws!BQ45</f>
        <v>217</v>
      </c>
      <c r="F56" s="450"/>
      <c r="G56" s="450"/>
      <c r="H56" s="301"/>
      <c r="I56" s="450"/>
      <c r="J56" s="301"/>
      <c r="K56" s="450"/>
      <c r="L56" s="301"/>
      <c r="M56" s="450"/>
      <c r="N56" s="301"/>
      <c r="O56" s="450"/>
      <c r="P56" s="301"/>
      <c r="Q56" s="450"/>
      <c r="R56" s="301"/>
      <c r="S56" s="450"/>
      <c r="T56" s="450"/>
      <c r="U56" s="450"/>
      <c r="V56" s="450"/>
      <c r="W56" s="450"/>
      <c r="X56" s="450"/>
      <c r="Y56" s="450"/>
      <c r="Z56" s="301"/>
      <c r="AA56" s="450"/>
      <c r="AB56" s="301"/>
      <c r="AC56" s="450"/>
      <c r="AD56" s="301"/>
      <c r="AE56" s="450"/>
      <c r="AF56" s="301"/>
      <c r="AG56" s="450">
        <f t="shared" si="2"/>
        <v>217</v>
      </c>
    </row>
    <row r="57" spans="1:33" s="253" customFormat="1" ht="9.9499999999999993" customHeight="1" x14ac:dyDescent="0.2">
      <c r="A57" s="426" t="s">
        <v>949</v>
      </c>
      <c r="B57" s="301"/>
      <c r="C57" s="450">
        <f>SORECGFws!BD46</f>
        <v>0</v>
      </c>
      <c r="D57" s="450"/>
      <c r="E57" s="450">
        <f>+SORECGFws!BQ46</f>
        <v>16</v>
      </c>
      <c r="F57" s="450"/>
      <c r="G57" s="450"/>
      <c r="H57" s="301"/>
      <c r="I57" s="450"/>
      <c r="J57" s="301"/>
      <c r="K57" s="450"/>
      <c r="L57" s="301"/>
      <c r="M57" s="450"/>
      <c r="N57" s="301"/>
      <c r="O57" s="450"/>
      <c r="P57" s="301"/>
      <c r="Q57" s="450"/>
      <c r="R57" s="301"/>
      <c r="S57" s="450"/>
      <c r="T57" s="450"/>
      <c r="U57" s="450"/>
      <c r="V57" s="450"/>
      <c r="W57" s="450"/>
      <c r="X57" s="450"/>
      <c r="Y57" s="450"/>
      <c r="Z57" s="301"/>
      <c r="AA57" s="450"/>
      <c r="AB57" s="301"/>
      <c r="AC57" s="450"/>
      <c r="AD57" s="301"/>
      <c r="AE57" s="450"/>
      <c r="AF57" s="301"/>
      <c r="AG57" s="450">
        <f t="shared" si="2"/>
        <v>16</v>
      </c>
    </row>
    <row r="58" spans="1:33" s="253" customFormat="1" ht="5.0999999999999996" customHeight="1" x14ac:dyDescent="0.2">
      <c r="A58" s="450"/>
      <c r="B58" s="301"/>
      <c r="C58" s="340"/>
      <c r="D58" s="273"/>
      <c r="E58" s="340"/>
      <c r="F58" s="301"/>
      <c r="G58" s="340"/>
      <c r="H58" s="301"/>
      <c r="I58" s="340"/>
      <c r="J58" s="301"/>
      <c r="K58" s="340"/>
      <c r="L58" s="301"/>
      <c r="M58" s="340"/>
      <c r="N58" s="301"/>
      <c r="O58" s="340"/>
      <c r="P58" s="301"/>
      <c r="Q58" s="340"/>
      <c r="R58" s="301"/>
      <c r="S58" s="340"/>
      <c r="T58" s="301"/>
      <c r="U58" s="340"/>
      <c r="V58" s="301"/>
      <c r="W58" s="340"/>
      <c r="X58" s="301"/>
      <c r="Y58" s="340"/>
      <c r="Z58" s="301"/>
      <c r="AA58" s="340"/>
      <c r="AB58" s="301"/>
      <c r="AC58" s="340"/>
      <c r="AD58" s="301"/>
      <c r="AE58" s="340"/>
      <c r="AF58" s="301"/>
      <c r="AG58" s="340"/>
    </row>
    <row r="59" spans="1:33" s="253" customFormat="1" ht="9.9499999999999993" customHeight="1" x14ac:dyDescent="0.2">
      <c r="A59" s="417" t="s">
        <v>970</v>
      </c>
      <c r="B59" s="301"/>
      <c r="C59" s="450">
        <f>SUM(C34:C58)</f>
        <v>0</v>
      </c>
      <c r="D59" s="450"/>
      <c r="E59" s="450">
        <f>SUM(E34:E58)</f>
        <v>102457</v>
      </c>
      <c r="F59" s="301"/>
      <c r="G59" s="450">
        <f>SUM(G34:G58)</f>
        <v>1</v>
      </c>
      <c r="H59" s="301"/>
      <c r="I59" s="450">
        <f>SUM(I34:I58)</f>
        <v>0</v>
      </c>
      <c r="J59" s="301"/>
      <c r="K59" s="450">
        <f>SUM(K34:K57)</f>
        <v>0</v>
      </c>
      <c r="L59" s="301"/>
      <c r="M59" s="450">
        <f t="shared" ref="M59" si="3">SUM(M34:M57)</f>
        <v>28900</v>
      </c>
      <c r="N59" s="301"/>
      <c r="O59" s="450">
        <f t="shared" ref="O59" si="4">SUM(O34:O57)</f>
        <v>37015</v>
      </c>
      <c r="P59" s="301"/>
      <c r="Q59" s="450">
        <f t="shared" ref="Q59" si="5">SUM(Q34:Q57)</f>
        <v>1664</v>
      </c>
      <c r="R59" s="301"/>
      <c r="S59" s="450">
        <f t="shared" ref="S59" si="6">SUM(S34:S57)</f>
        <v>259</v>
      </c>
      <c r="T59" s="301"/>
      <c r="U59" s="450">
        <f t="shared" ref="U59" si="7">SUM(U34:U57)</f>
        <v>0</v>
      </c>
      <c r="V59" s="301"/>
      <c r="W59" s="450">
        <f t="shared" ref="W59" si="8">SUM(W34:W57)</f>
        <v>28807</v>
      </c>
      <c r="X59" s="301"/>
      <c r="Y59" s="450">
        <f t="shared" ref="Y59" si="9">SUM(Y34:Y57)</f>
        <v>4216</v>
      </c>
      <c r="Z59" s="301"/>
      <c r="AA59" s="450">
        <f t="shared" ref="AA59" si="10">SUM(AA34:AA57)</f>
        <v>3735</v>
      </c>
      <c r="AB59" s="301"/>
      <c r="AC59" s="450">
        <f t="shared" ref="AC59" si="11">SUM(AC34:AC57)</f>
        <v>30830</v>
      </c>
      <c r="AD59" s="301"/>
      <c r="AE59" s="450">
        <f t="shared" ref="AE59" si="12">SUM(AE34:AE57)</f>
        <v>9359</v>
      </c>
      <c r="AF59" s="301"/>
      <c r="AG59" s="450">
        <f t="shared" ref="AG59" si="13">SUM(AG34:AG57)</f>
        <v>247243</v>
      </c>
    </row>
    <row r="60" spans="1:33" s="253" customFormat="1" ht="5.0999999999999996" customHeight="1" x14ac:dyDescent="0.2">
      <c r="A60" s="451"/>
      <c r="B60" s="301"/>
      <c r="C60" s="450"/>
      <c r="D60" s="450"/>
      <c r="E60" s="450"/>
      <c r="F60" s="301"/>
      <c r="G60" s="450"/>
      <c r="H60" s="301"/>
      <c r="I60" s="450"/>
      <c r="J60" s="301"/>
      <c r="K60" s="450"/>
      <c r="L60" s="301"/>
      <c r="M60" s="450"/>
      <c r="N60" s="301"/>
      <c r="O60" s="450"/>
      <c r="P60" s="301"/>
      <c r="Q60" s="450"/>
      <c r="R60" s="301"/>
      <c r="S60" s="450"/>
      <c r="T60" s="301"/>
      <c r="U60" s="450"/>
      <c r="V60" s="301"/>
      <c r="W60" s="450"/>
      <c r="X60" s="301"/>
      <c r="Y60" s="450"/>
      <c r="Z60" s="301"/>
      <c r="AA60" s="450"/>
      <c r="AB60" s="301"/>
      <c r="AC60" s="450"/>
      <c r="AD60" s="301"/>
      <c r="AE60" s="450"/>
      <c r="AF60" s="301"/>
      <c r="AG60" s="450"/>
    </row>
    <row r="61" spans="1:33" s="253" customFormat="1" ht="9.9499999999999993" customHeight="1" x14ac:dyDescent="0.2">
      <c r="A61" s="417" t="s">
        <v>19</v>
      </c>
      <c r="B61" s="301"/>
      <c r="F61" s="301"/>
      <c r="H61" s="301"/>
      <c r="J61" s="301"/>
      <c r="L61" s="301"/>
      <c r="N61" s="301"/>
      <c r="P61" s="301"/>
      <c r="R61" s="301"/>
      <c r="T61" s="301"/>
      <c r="V61" s="301"/>
      <c r="X61" s="301"/>
      <c r="Z61" s="301"/>
      <c r="AB61" s="301"/>
      <c r="AD61" s="301"/>
      <c r="AF61" s="301"/>
    </row>
    <row r="62" spans="1:33" s="253" customFormat="1" ht="9.9499999999999993" customHeight="1" x14ac:dyDescent="0.2">
      <c r="A62" s="428" t="s">
        <v>20</v>
      </c>
      <c r="B62" s="301"/>
      <c r="C62" s="450">
        <f>+C30-C59</f>
        <v>0</v>
      </c>
      <c r="D62" s="450"/>
      <c r="E62" s="450">
        <f>+E30-E59</f>
        <v>-93484</v>
      </c>
      <c r="F62" s="301"/>
      <c r="G62" s="450">
        <f>+G30-G59</f>
        <v>26</v>
      </c>
      <c r="H62" s="301"/>
      <c r="I62" s="450">
        <f>+I30-I59</f>
        <v>0</v>
      </c>
      <c r="J62" s="301"/>
      <c r="K62" s="450">
        <f>+K30-K59</f>
        <v>0</v>
      </c>
      <c r="L62" s="301"/>
      <c r="M62" s="450">
        <f>+M30-M59</f>
        <v>-7398</v>
      </c>
      <c r="N62" s="301"/>
      <c r="O62" s="450">
        <f>+O30-O59</f>
        <v>-35355</v>
      </c>
      <c r="P62" s="301"/>
      <c r="Q62" s="450">
        <f>+Q30-Q59</f>
        <v>-1628</v>
      </c>
      <c r="R62" s="301"/>
      <c r="S62" s="450">
        <f>+S30-S59</f>
        <v>-252</v>
      </c>
      <c r="T62" s="301"/>
      <c r="U62" s="450">
        <f>+U30-U59</f>
        <v>0</v>
      </c>
      <c r="V62" s="301"/>
      <c r="W62" s="450">
        <f>+W30-W59</f>
        <v>-27094</v>
      </c>
      <c r="X62" s="301"/>
      <c r="Y62" s="450">
        <f>+Y30-Y59</f>
        <v>580</v>
      </c>
      <c r="Z62" s="301"/>
      <c r="AA62" s="450">
        <f>+AA30-AA59</f>
        <v>-2896</v>
      </c>
      <c r="AB62" s="301"/>
      <c r="AC62" s="450">
        <f>+AC30-AC59</f>
        <v>-28199</v>
      </c>
      <c r="AD62" s="301"/>
      <c r="AE62" s="450">
        <f>+AE30-AE59</f>
        <v>-9344</v>
      </c>
      <c r="AF62" s="301"/>
      <c r="AG62" s="450">
        <f>+AG30-AG59</f>
        <v>-205044</v>
      </c>
    </row>
    <row r="63" spans="1:33" s="253" customFormat="1" ht="5.0999999999999996" customHeight="1" x14ac:dyDescent="0.2">
      <c r="A63" s="450"/>
      <c r="B63" s="301"/>
      <c r="C63" s="340"/>
      <c r="D63" s="273"/>
      <c r="E63" s="340"/>
      <c r="F63" s="301"/>
      <c r="G63" s="340"/>
      <c r="H63" s="301"/>
      <c r="I63" s="340"/>
      <c r="J63" s="301"/>
      <c r="K63" s="340"/>
      <c r="L63" s="301"/>
      <c r="M63" s="340"/>
      <c r="N63" s="301"/>
      <c r="O63" s="340"/>
      <c r="P63" s="301"/>
      <c r="Q63" s="340"/>
      <c r="R63" s="301"/>
      <c r="S63" s="340"/>
      <c r="T63" s="301"/>
      <c r="U63" s="340"/>
      <c r="V63" s="301"/>
      <c r="W63" s="340"/>
      <c r="X63" s="301"/>
      <c r="Y63" s="340"/>
      <c r="Z63" s="301"/>
      <c r="AA63" s="340"/>
      <c r="AB63" s="301"/>
      <c r="AC63" s="340"/>
      <c r="AD63" s="301"/>
      <c r="AE63" s="340"/>
      <c r="AF63" s="301"/>
      <c r="AG63" s="340"/>
    </row>
    <row r="64" spans="1:33" s="253" customFormat="1" ht="9.9499999999999993" customHeight="1" x14ac:dyDescent="0.2">
      <c r="A64" s="417" t="s">
        <v>34</v>
      </c>
      <c r="B64" s="301"/>
      <c r="C64" s="450"/>
      <c r="D64" s="450"/>
      <c r="E64" s="450"/>
      <c r="F64" s="301"/>
      <c r="G64" s="450"/>
      <c r="H64" s="301"/>
      <c r="I64" s="450"/>
      <c r="J64" s="301"/>
      <c r="K64" s="450"/>
      <c r="L64" s="301"/>
      <c r="M64" s="450"/>
      <c r="N64" s="301"/>
      <c r="O64" s="450"/>
      <c r="P64" s="301"/>
      <c r="Q64" s="450"/>
      <c r="R64" s="301"/>
      <c r="S64" s="450"/>
      <c r="T64" s="301"/>
      <c r="U64" s="450"/>
      <c r="V64" s="301"/>
      <c r="W64" s="450"/>
      <c r="X64" s="301"/>
      <c r="Y64" s="450"/>
      <c r="Z64" s="301"/>
      <c r="AA64" s="450"/>
      <c r="AB64" s="301"/>
      <c r="AC64" s="450"/>
      <c r="AD64" s="301"/>
      <c r="AE64" s="450"/>
      <c r="AF64" s="301"/>
      <c r="AG64" s="450"/>
    </row>
    <row r="65" spans="1:33" s="253" customFormat="1" ht="9.9499999999999993" customHeight="1" x14ac:dyDescent="0.2">
      <c r="A65" s="425" t="s">
        <v>667</v>
      </c>
      <c r="B65" s="301"/>
      <c r="C65" s="273"/>
      <c r="D65" s="273"/>
      <c r="E65" s="273">
        <f>+SORECGFws!BQ53</f>
        <v>0</v>
      </c>
      <c r="F65" s="301"/>
      <c r="G65" s="273">
        <f>+SORECGFws!BE53</f>
        <v>0</v>
      </c>
      <c r="H65" s="301"/>
      <c r="I65" s="273">
        <f>+SORECGFws!BG53</f>
        <v>0</v>
      </c>
      <c r="J65" s="301"/>
      <c r="K65" s="273">
        <f>+SORECGFws!BI53</f>
        <v>0</v>
      </c>
      <c r="L65" s="301"/>
      <c r="M65" s="273">
        <f>+SORECGFws!BJ53</f>
        <v>1014</v>
      </c>
      <c r="N65" s="301"/>
      <c r="O65" s="273">
        <f>+SORECGFws!BK53</f>
        <v>29445</v>
      </c>
      <c r="P65" s="301"/>
      <c r="Q65" s="450">
        <f>+SORECGFws!BL53</f>
        <v>0</v>
      </c>
      <c r="R65" s="301"/>
      <c r="S65" s="273">
        <f>+SORECGFws!BO53</f>
        <v>0</v>
      </c>
      <c r="T65" s="301"/>
      <c r="U65" s="273">
        <f>+SORECGFws!BN56</f>
        <v>0</v>
      </c>
      <c r="V65" s="301"/>
      <c r="W65" s="273">
        <f>SORECGFws!BR53</f>
        <v>0</v>
      </c>
      <c r="X65" s="301"/>
      <c r="Y65" s="273">
        <f>SORECGFws!BP53</f>
        <v>0</v>
      </c>
      <c r="Z65" s="301"/>
      <c r="AA65" s="273">
        <f>+SORECGFws!BS56</f>
        <v>0</v>
      </c>
      <c r="AB65" s="301"/>
      <c r="AC65" s="273">
        <f>+SORECGFws!BH53</f>
        <v>278</v>
      </c>
      <c r="AD65" s="301"/>
      <c r="AE65" s="273">
        <f>SORECGFws!BF53</f>
        <v>0</v>
      </c>
      <c r="AF65" s="301"/>
      <c r="AG65" s="450">
        <f t="shared" ref="AG65:AG74" si="14">SUM(C65:AE65)</f>
        <v>30737</v>
      </c>
    </row>
    <row r="66" spans="1:33" s="253" customFormat="1" ht="9.9499999999999993" hidden="1" customHeight="1" x14ac:dyDescent="0.2">
      <c r="A66" s="425" t="s">
        <v>1235</v>
      </c>
      <c r="B66" s="301"/>
      <c r="C66" s="273"/>
      <c r="D66" s="273"/>
      <c r="E66" s="273"/>
      <c r="F66" s="301"/>
      <c r="G66" s="273">
        <f>+SORECGFws!BE54</f>
        <v>0</v>
      </c>
      <c r="H66" s="301"/>
      <c r="I66" s="273">
        <f>+SORECGFws!BG54</f>
        <v>0</v>
      </c>
      <c r="J66" s="301"/>
      <c r="K66" s="273">
        <f>+SORECGFws!BI54</f>
        <v>0</v>
      </c>
      <c r="L66" s="301"/>
      <c r="M66" s="273">
        <f>+SORECGFws!BJ54</f>
        <v>0</v>
      </c>
      <c r="N66" s="301"/>
      <c r="O66" s="273">
        <f>+SORECGFws!BK54</f>
        <v>0</v>
      </c>
      <c r="P66" s="301"/>
      <c r="Q66" s="450">
        <f>+SORECGFws!BL54</f>
        <v>0</v>
      </c>
      <c r="R66" s="301"/>
      <c r="S66" s="273">
        <f>+SORECGFws!BO54</f>
        <v>0</v>
      </c>
      <c r="T66" s="301"/>
      <c r="U66" s="273">
        <f>+SORECGFws!BN59</f>
        <v>0</v>
      </c>
      <c r="V66" s="301"/>
      <c r="W66" s="273">
        <f>SORECGFws!BR54</f>
        <v>0</v>
      </c>
      <c r="X66" s="301"/>
      <c r="Y66" s="273">
        <f>SORECGFws!BP54</f>
        <v>0</v>
      </c>
      <c r="Z66" s="301"/>
      <c r="AA66" s="273">
        <f>+SORECGFws!BS59</f>
        <v>0</v>
      </c>
      <c r="AB66" s="301"/>
      <c r="AC66" s="273">
        <f>+SORECGFws!BH54</f>
        <v>0</v>
      </c>
      <c r="AD66" s="301"/>
      <c r="AE66" s="273">
        <f>SORECGFws!BF54</f>
        <v>0</v>
      </c>
      <c r="AF66" s="301"/>
      <c r="AG66" s="450">
        <f>SUM(C66:AE66)</f>
        <v>0</v>
      </c>
    </row>
    <row r="67" spans="1:33" s="253" customFormat="1" ht="9.9499999999999993" hidden="1" customHeight="1" x14ac:dyDescent="0.2">
      <c r="A67" s="425" t="s">
        <v>973</v>
      </c>
      <c r="B67" s="301"/>
      <c r="C67" s="273"/>
      <c r="D67" s="273"/>
      <c r="E67" s="273">
        <f>+SORECGFws!BQ55</f>
        <v>0</v>
      </c>
      <c r="F67" s="301"/>
      <c r="G67" s="273">
        <f>+SORECGFws!BE55</f>
        <v>0</v>
      </c>
      <c r="H67" s="301"/>
      <c r="I67" s="273">
        <f>+SORECGFws!BG55</f>
        <v>0</v>
      </c>
      <c r="J67" s="301"/>
      <c r="K67" s="273">
        <f>+SORECGFws!BI55</f>
        <v>0</v>
      </c>
      <c r="L67" s="301"/>
      <c r="M67" s="273">
        <f>+SORECGFws!BJ55</f>
        <v>0</v>
      </c>
      <c r="N67" s="301"/>
      <c r="O67" s="273">
        <f>+SORECGFws!BK55</f>
        <v>0</v>
      </c>
      <c r="P67" s="301"/>
      <c r="Q67" s="450">
        <f>+SORECGFws!BL55</f>
        <v>0</v>
      </c>
      <c r="R67" s="301"/>
      <c r="S67" s="273">
        <f>+SORECGFws!BO55</f>
        <v>0</v>
      </c>
      <c r="T67" s="301"/>
      <c r="U67" s="273">
        <f>+SORECGFws!BN59</f>
        <v>0</v>
      </c>
      <c r="V67" s="301"/>
      <c r="W67" s="273">
        <f>SORECGFws!BR55</f>
        <v>0</v>
      </c>
      <c r="X67" s="301"/>
      <c r="Y67" s="273">
        <f>SORECGFws!BP55</f>
        <v>0</v>
      </c>
      <c r="Z67" s="301"/>
      <c r="AA67" s="273">
        <f>+SORECGFws!BS59</f>
        <v>0</v>
      </c>
      <c r="AB67" s="301"/>
      <c r="AC67" s="273">
        <f>+SORECGFws!BH55</f>
        <v>0</v>
      </c>
      <c r="AD67" s="301"/>
      <c r="AE67" s="273">
        <f>SORECGFws!BF55</f>
        <v>0</v>
      </c>
      <c r="AF67" s="301"/>
      <c r="AG67" s="450">
        <f t="shared" si="14"/>
        <v>0</v>
      </c>
    </row>
    <row r="68" spans="1:33" s="253" customFormat="1" ht="9.9499999999999993" hidden="1" customHeight="1" x14ac:dyDescent="0.2">
      <c r="A68" s="425" t="s">
        <v>666</v>
      </c>
      <c r="B68" s="342"/>
      <c r="C68" s="273">
        <f>SORECGFws!BD56</f>
        <v>0</v>
      </c>
      <c r="D68" s="273"/>
      <c r="E68" s="273">
        <f>+SORECGFws!BQ56</f>
        <v>0</v>
      </c>
      <c r="F68" s="342"/>
      <c r="G68" s="273">
        <f>+SORECGFws!BE56</f>
        <v>0</v>
      </c>
      <c r="H68" s="342"/>
      <c r="I68" s="273">
        <f>+SORECGFws!BG56</f>
        <v>0</v>
      </c>
      <c r="J68" s="342"/>
      <c r="K68" s="273">
        <f>+SORECGFws!BI56</f>
        <v>0</v>
      </c>
      <c r="L68" s="342"/>
      <c r="M68" s="273">
        <f>+SORECGFws!BJ56</f>
        <v>0</v>
      </c>
      <c r="N68" s="342"/>
      <c r="O68" s="273">
        <f>+SORECGFws!BK56</f>
        <v>0</v>
      </c>
      <c r="P68" s="342"/>
      <c r="Q68" s="450">
        <f>+SORECGFws!BL56</f>
        <v>0</v>
      </c>
      <c r="R68" s="342"/>
      <c r="S68" s="273">
        <f>+SORECGFws!BO56</f>
        <v>0</v>
      </c>
      <c r="T68" s="342"/>
      <c r="U68" s="273">
        <f>+SORECGFws!BN60</f>
        <v>0</v>
      </c>
      <c r="V68" s="342"/>
      <c r="W68" s="273">
        <f>SORECGFws!BR56</f>
        <v>0</v>
      </c>
      <c r="X68" s="342"/>
      <c r="Y68" s="273">
        <f>SORECGFws!BP56</f>
        <v>0</v>
      </c>
      <c r="Z68" s="342"/>
      <c r="AA68" s="273">
        <f>+SORECGFws!BS60</f>
        <v>0</v>
      </c>
      <c r="AB68" s="342"/>
      <c r="AC68" s="273">
        <f>+SORECGFws!BH56</f>
        <v>0</v>
      </c>
      <c r="AD68" s="342"/>
      <c r="AE68" s="273">
        <f>SORECGFws!BF56</f>
        <v>0</v>
      </c>
      <c r="AF68" s="342"/>
      <c r="AG68" s="450">
        <f t="shared" si="14"/>
        <v>0</v>
      </c>
    </row>
    <row r="69" spans="1:33" s="253" customFormat="1" ht="9.9499999999999993" customHeight="1" x14ac:dyDescent="0.2">
      <c r="A69" s="425" t="s">
        <v>1581</v>
      </c>
      <c r="B69" s="342"/>
      <c r="C69" s="273">
        <f>SORECGFws!BD57</f>
        <v>0</v>
      </c>
      <c r="D69" s="273"/>
      <c r="E69" s="273">
        <f>+SORECGFws!BQ57</f>
        <v>0</v>
      </c>
      <c r="F69" s="342"/>
      <c r="G69" s="273">
        <f>+SORECGFws!BE57</f>
        <v>0</v>
      </c>
      <c r="H69" s="342"/>
      <c r="I69" s="273">
        <f>+SORECGFws!BG57</f>
        <v>0</v>
      </c>
      <c r="J69" s="342"/>
      <c r="K69" s="273">
        <f>+SORECGFws!BI57</f>
        <v>0</v>
      </c>
      <c r="L69" s="342"/>
      <c r="M69" s="273">
        <f>+SORECGFws!BJ57</f>
        <v>2615</v>
      </c>
      <c r="N69" s="342"/>
      <c r="O69" s="273">
        <f>+SORECGFws!BK57</f>
        <v>0</v>
      </c>
      <c r="P69" s="342"/>
      <c r="Q69" s="450">
        <f>+SORECGFws!BL57</f>
        <v>0</v>
      </c>
      <c r="R69" s="342"/>
      <c r="S69" s="273">
        <f>+SORECGFws!BO57</f>
        <v>0</v>
      </c>
      <c r="T69" s="342"/>
      <c r="U69" s="273">
        <f>+SORECGFws!BN61</f>
        <v>0</v>
      </c>
      <c r="V69" s="342"/>
      <c r="W69" s="273">
        <f>SORECGFws!BR57</f>
        <v>0</v>
      </c>
      <c r="X69" s="342"/>
      <c r="Y69" s="273">
        <f>SORECGFws!BP57</f>
        <v>0</v>
      </c>
      <c r="Z69" s="342"/>
      <c r="AA69" s="273"/>
      <c r="AB69" s="342"/>
      <c r="AC69" s="273">
        <f>+SORECGFws!BH57</f>
        <v>0</v>
      </c>
      <c r="AD69" s="342"/>
      <c r="AE69" s="273">
        <f>SORECGFws!BF57</f>
        <v>0</v>
      </c>
      <c r="AF69" s="342"/>
      <c r="AG69" s="450">
        <f t="shared" ref="AG69" si="15">SUM(C69:AE69)</f>
        <v>2615</v>
      </c>
    </row>
    <row r="70" spans="1:33" s="253" customFormat="1" ht="9.9499999999999993" customHeight="1" x14ac:dyDescent="0.2">
      <c r="A70" s="425" t="s">
        <v>1642</v>
      </c>
      <c r="B70" s="342"/>
      <c r="C70" s="273">
        <f>SORECGFws!BD58</f>
        <v>0</v>
      </c>
      <c r="D70" s="273"/>
      <c r="E70" s="273">
        <f>+SORECGFws!BQ58</f>
        <v>758</v>
      </c>
      <c r="F70" s="342"/>
      <c r="G70" s="273">
        <f>+SORECGFws!BE58</f>
        <v>0</v>
      </c>
      <c r="H70" s="342"/>
      <c r="I70" s="273">
        <f>+SORECGFws!BG58</f>
        <v>0</v>
      </c>
      <c r="J70" s="342"/>
      <c r="K70" s="273">
        <f>+SORECGFws!BI58</f>
        <v>0</v>
      </c>
      <c r="L70" s="342"/>
      <c r="M70" s="273">
        <f>+SORECGFws!BJ58</f>
        <v>0</v>
      </c>
      <c r="N70" s="342"/>
      <c r="O70" s="273">
        <f>+SORECGFws!BK58</f>
        <v>0</v>
      </c>
      <c r="P70" s="342"/>
      <c r="Q70" s="450">
        <f>+SORECGFws!BL58</f>
        <v>0</v>
      </c>
      <c r="R70" s="342"/>
      <c r="S70" s="273">
        <f>+SORECGFws!BO58</f>
        <v>0</v>
      </c>
      <c r="T70" s="342"/>
      <c r="U70" s="273">
        <f>+SORECGFws!BN62</f>
        <v>0</v>
      </c>
      <c r="V70" s="342"/>
      <c r="W70" s="273">
        <f>SORECGFws!BR58</f>
        <v>0</v>
      </c>
      <c r="X70" s="342"/>
      <c r="Y70" s="273">
        <f>SORECGFws!BP58</f>
        <v>0</v>
      </c>
      <c r="Z70" s="342"/>
      <c r="AA70" s="273"/>
      <c r="AB70" s="342"/>
      <c r="AC70" s="273">
        <f>+SORECGFws!BH58</f>
        <v>0</v>
      </c>
      <c r="AD70" s="342"/>
      <c r="AE70" s="273">
        <f>SORECGFws!BF58</f>
        <v>0</v>
      </c>
      <c r="AF70" s="342"/>
      <c r="AG70" s="450">
        <f t="shared" ref="AG70" si="16">SUM(C70:AE70)</f>
        <v>758</v>
      </c>
    </row>
    <row r="71" spans="1:33" s="253" customFormat="1" ht="9.9499999999999993" hidden="1" customHeight="1" x14ac:dyDescent="0.2">
      <c r="A71" s="425" t="s">
        <v>668</v>
      </c>
      <c r="B71" s="342"/>
      <c r="C71" s="273">
        <f>SORECGFws!BD59</f>
        <v>0</v>
      </c>
      <c r="D71" s="273"/>
      <c r="E71" s="273">
        <f>+SORECGFws!BQ59</f>
        <v>0</v>
      </c>
      <c r="F71" s="342"/>
      <c r="G71" s="273">
        <f>+SORECGFws!BE59</f>
        <v>0</v>
      </c>
      <c r="H71" s="342"/>
      <c r="I71" s="273">
        <f>+SORECGFws!BG59</f>
        <v>0</v>
      </c>
      <c r="J71" s="342"/>
      <c r="K71" s="273">
        <f>+SORECGFws!BI59</f>
        <v>0</v>
      </c>
      <c r="L71" s="342"/>
      <c r="M71" s="273">
        <f>+SORECGFws!BJ59</f>
        <v>0</v>
      </c>
      <c r="N71" s="342"/>
      <c r="O71" s="273">
        <f>+SORECGFws!BK59</f>
        <v>0</v>
      </c>
      <c r="P71" s="342"/>
      <c r="Q71" s="450">
        <f>+SORECGFws!BL59</f>
        <v>0</v>
      </c>
      <c r="R71" s="342"/>
      <c r="S71" s="273">
        <f>+SORECGFws!BO59</f>
        <v>0</v>
      </c>
      <c r="T71" s="342"/>
      <c r="U71" s="273"/>
      <c r="V71" s="342"/>
      <c r="W71" s="273">
        <f>SORECGFws!BR59</f>
        <v>0</v>
      </c>
      <c r="X71" s="342"/>
      <c r="Y71" s="273">
        <f>SORECGFws!BP59</f>
        <v>0</v>
      </c>
      <c r="Z71" s="342"/>
      <c r="AA71" s="273"/>
      <c r="AB71" s="342"/>
      <c r="AC71" s="273">
        <f>+SORECGFws!BH59</f>
        <v>0</v>
      </c>
      <c r="AD71" s="342"/>
      <c r="AE71" s="273">
        <f>SORECGFws!BF59</f>
        <v>0</v>
      </c>
      <c r="AF71" s="342"/>
      <c r="AG71" s="450">
        <f t="shared" si="14"/>
        <v>0</v>
      </c>
    </row>
    <row r="72" spans="1:33" s="253" customFormat="1" ht="9.9499999999999993" customHeight="1" x14ac:dyDescent="0.2">
      <c r="A72" s="425" t="s">
        <v>404</v>
      </c>
      <c r="B72" s="342"/>
      <c r="C72" s="273">
        <f>SORECGFws!BD60</f>
        <v>0</v>
      </c>
      <c r="D72" s="273"/>
      <c r="E72" s="273">
        <f>+SORECGFws!BQ60</f>
        <v>0</v>
      </c>
      <c r="F72" s="342"/>
      <c r="G72" s="273">
        <f>+SORECGFws!BE60</f>
        <v>0</v>
      </c>
      <c r="H72" s="342"/>
      <c r="I72" s="273">
        <f>+SORECGFws!BG60</f>
        <v>0</v>
      </c>
      <c r="J72" s="342"/>
      <c r="K72" s="273">
        <f>+SORECGFws!BI60</f>
        <v>0</v>
      </c>
      <c r="L72" s="342"/>
      <c r="M72" s="273">
        <f>+SORECGFws!BJ60</f>
        <v>0</v>
      </c>
      <c r="N72" s="342"/>
      <c r="O72" s="273">
        <f>+SORECGFws!BK60</f>
        <v>1333</v>
      </c>
      <c r="P72" s="342"/>
      <c r="Q72" s="450">
        <f>+SORECGFws!BL60</f>
        <v>0</v>
      </c>
      <c r="R72" s="342"/>
      <c r="S72" s="273">
        <f>+SORECGFws!BO60</f>
        <v>0</v>
      </c>
      <c r="T72" s="342"/>
      <c r="U72" s="273"/>
      <c r="V72" s="342"/>
      <c r="W72" s="273">
        <f>SORECGFws!BR60</f>
        <v>0</v>
      </c>
      <c r="X72" s="342"/>
      <c r="Y72" s="273">
        <f>SORECGFws!BP60</f>
        <v>0</v>
      </c>
      <c r="Z72" s="342"/>
      <c r="AA72" s="273"/>
      <c r="AB72" s="342"/>
      <c r="AC72" s="273">
        <f>+SORECGFws!BH60</f>
        <v>0</v>
      </c>
      <c r="AD72" s="342"/>
      <c r="AE72" s="273">
        <f>SORECGFws!BF60</f>
        <v>0</v>
      </c>
      <c r="AF72" s="342"/>
      <c r="AG72" s="450">
        <f t="shared" si="14"/>
        <v>1333</v>
      </c>
    </row>
    <row r="73" spans="1:33" s="253" customFormat="1" ht="9.9499999999999993" customHeight="1" x14ac:dyDescent="0.2">
      <c r="A73" s="425" t="s">
        <v>21</v>
      </c>
      <c r="B73" s="342"/>
      <c r="C73" s="273">
        <f>SORECGFws!BD61</f>
        <v>0</v>
      </c>
      <c r="D73" s="273"/>
      <c r="E73" s="273">
        <f>+SORECGFws!BQ61</f>
        <v>99556</v>
      </c>
      <c r="F73" s="342"/>
      <c r="G73" s="273">
        <f>+SORECGFws!BE61</f>
        <v>0</v>
      </c>
      <c r="H73" s="342"/>
      <c r="I73" s="273">
        <f>+SORECGFws!BG61</f>
        <v>0</v>
      </c>
      <c r="J73" s="342"/>
      <c r="K73" s="273">
        <f>+SORECGFws!BI61</f>
        <v>0</v>
      </c>
      <c r="L73" s="342"/>
      <c r="M73" s="273">
        <f>+SORECGFws!BJ61</f>
        <v>175</v>
      </c>
      <c r="N73" s="342"/>
      <c r="O73" s="273">
        <f>+SORECGFws!BK61</f>
        <v>5964</v>
      </c>
      <c r="P73" s="342"/>
      <c r="Q73" s="450">
        <f>+SORECGFws!BL61</f>
        <v>1605</v>
      </c>
      <c r="R73" s="342"/>
      <c r="S73" s="273">
        <f>SORECGFws!BM61</f>
        <v>200</v>
      </c>
      <c r="T73" s="342"/>
      <c r="U73" s="273">
        <f>SORECGFws!BN61</f>
        <v>0</v>
      </c>
      <c r="V73" s="342"/>
      <c r="W73" s="273">
        <f>SORECGFws!BR61</f>
        <v>28768</v>
      </c>
      <c r="X73" s="342"/>
      <c r="Y73" s="273">
        <f>SORECGFws!BP61</f>
        <v>4</v>
      </c>
      <c r="Z73" s="342"/>
      <c r="AA73" s="273">
        <f>+SORECGFws!BS61</f>
        <v>546</v>
      </c>
      <c r="AB73" s="342"/>
      <c r="AC73" s="273">
        <f>SORECGFws!BH61</f>
        <v>27552</v>
      </c>
      <c r="AD73" s="342"/>
      <c r="AE73" s="273">
        <f>SORECGFws!BF61</f>
        <v>9493</v>
      </c>
      <c r="AF73" s="342"/>
      <c r="AG73" s="450">
        <f t="shared" si="14"/>
        <v>173863</v>
      </c>
    </row>
    <row r="74" spans="1:33" s="253" customFormat="1" ht="9.9499999999999993" customHeight="1" x14ac:dyDescent="0.2">
      <c r="A74" s="425" t="s">
        <v>22</v>
      </c>
      <c r="B74" s="342"/>
      <c r="C74" s="273">
        <f>SORECGFws!BD62</f>
        <v>0</v>
      </c>
      <c r="D74" s="273"/>
      <c r="E74" s="273">
        <f>+SORECGFws!BQ62</f>
        <v>0</v>
      </c>
      <c r="F74" s="342"/>
      <c r="G74" s="273">
        <f>+SORECGFws!BE62</f>
        <v>0</v>
      </c>
      <c r="H74" s="342"/>
      <c r="I74" s="273">
        <f>+SORECGFws!BG62</f>
        <v>0</v>
      </c>
      <c r="J74" s="342"/>
      <c r="K74" s="273">
        <f>+SORECGFws!BI62</f>
        <v>0</v>
      </c>
      <c r="L74" s="342"/>
      <c r="M74" s="273">
        <f>+SORECGFws!BJ62</f>
        <v>-1697</v>
      </c>
      <c r="N74" s="342"/>
      <c r="O74" s="273">
        <f>+SORECGFws!BK62</f>
        <v>-13400</v>
      </c>
      <c r="P74" s="342"/>
      <c r="Q74" s="450">
        <f>+SORECGFws!BL62</f>
        <v>0</v>
      </c>
      <c r="R74" s="342"/>
      <c r="S74" s="450">
        <f>SORECGFws!BM62</f>
        <v>0</v>
      </c>
      <c r="T74" s="342"/>
      <c r="U74" s="273">
        <f>SORECGFws!BN62</f>
        <v>0</v>
      </c>
      <c r="V74" s="342"/>
      <c r="W74" s="273">
        <f>SORECGFws!BR62</f>
        <v>-1089</v>
      </c>
      <c r="X74" s="342"/>
      <c r="Y74" s="273">
        <f>SORECGFws!BP62</f>
        <v>0</v>
      </c>
      <c r="Z74" s="342"/>
      <c r="AA74" s="273">
        <f>+SORECGFws!BS62</f>
        <v>-30</v>
      </c>
      <c r="AB74" s="342"/>
      <c r="AC74" s="273">
        <f>+SORECGFws!BH62</f>
        <v>0</v>
      </c>
      <c r="AD74" s="342"/>
      <c r="AE74" s="273">
        <f>SORECGFws!BF62</f>
        <v>0</v>
      </c>
      <c r="AF74" s="342"/>
      <c r="AG74" s="450">
        <f t="shared" si="14"/>
        <v>-16216</v>
      </c>
    </row>
    <row r="75" spans="1:33" s="253" customFormat="1" ht="5.0999999999999996" customHeight="1" x14ac:dyDescent="0.2">
      <c r="A75" s="450"/>
      <c r="B75" s="301"/>
      <c r="C75" s="340"/>
      <c r="D75" s="273"/>
      <c r="E75" s="340"/>
      <c r="F75" s="301"/>
      <c r="G75" s="340"/>
      <c r="H75" s="301"/>
      <c r="I75" s="340"/>
      <c r="J75" s="301"/>
      <c r="K75" s="340"/>
      <c r="L75" s="301"/>
      <c r="M75" s="340"/>
      <c r="N75" s="301"/>
      <c r="O75" s="340"/>
      <c r="P75" s="301"/>
      <c r="Q75" s="340"/>
      <c r="R75" s="301"/>
      <c r="S75" s="340"/>
      <c r="T75" s="301"/>
      <c r="U75" s="340"/>
      <c r="V75" s="301"/>
      <c r="W75" s="340"/>
      <c r="X75" s="301"/>
      <c r="Y75" s="340"/>
      <c r="Z75" s="301"/>
      <c r="AA75" s="340"/>
      <c r="AB75" s="301"/>
      <c r="AC75" s="340"/>
      <c r="AD75" s="301"/>
      <c r="AE75" s="340"/>
      <c r="AF75" s="301"/>
      <c r="AG75" s="340"/>
    </row>
    <row r="76" spans="1:33" s="253" customFormat="1" ht="9.9499999999999993" customHeight="1" x14ac:dyDescent="0.2">
      <c r="A76" s="417" t="s">
        <v>1673</v>
      </c>
      <c r="B76" s="342"/>
      <c r="C76" s="273">
        <f>SUM(C65:C75)</f>
        <v>0</v>
      </c>
      <c r="D76" s="273"/>
      <c r="E76" s="273">
        <f>SUM(E65:E75)</f>
        <v>100314</v>
      </c>
      <c r="F76" s="342"/>
      <c r="G76" s="273">
        <f>SUM(G65:G75)</f>
        <v>0</v>
      </c>
      <c r="H76" s="342"/>
      <c r="I76" s="273">
        <f>SUM(I65:I75)</f>
        <v>0</v>
      </c>
      <c r="J76" s="342"/>
      <c r="K76" s="273">
        <f>SUM(K65:K75)</f>
        <v>0</v>
      </c>
      <c r="L76" s="342"/>
      <c r="M76" s="273">
        <f>SUM(M65:M75)</f>
        <v>2107</v>
      </c>
      <c r="N76" s="342"/>
      <c r="O76" s="273">
        <f>SUM(O65:O75)</f>
        <v>23342</v>
      </c>
      <c r="P76" s="342"/>
      <c r="Q76" s="273">
        <f>SUM(Q65:Q75)</f>
        <v>1605</v>
      </c>
      <c r="R76" s="342"/>
      <c r="S76" s="273">
        <f>SUM(S65:S75)</f>
        <v>200</v>
      </c>
      <c r="T76" s="342"/>
      <c r="U76" s="273">
        <f>SUM(U65:U75)</f>
        <v>0</v>
      </c>
      <c r="V76" s="342"/>
      <c r="W76" s="273">
        <f>SUM(W65:W75)</f>
        <v>27679</v>
      </c>
      <c r="X76" s="342"/>
      <c r="Y76" s="273">
        <f>SUM(Y65:Y75)</f>
        <v>4</v>
      </c>
      <c r="Z76" s="342"/>
      <c r="AA76" s="273">
        <f>SUM(AA65:AA75)</f>
        <v>516</v>
      </c>
      <c r="AB76" s="342"/>
      <c r="AC76" s="273">
        <f>SUM(AC65:AC75)</f>
        <v>27830</v>
      </c>
      <c r="AD76" s="342"/>
      <c r="AE76" s="273">
        <f>SUM(AE65:AE75)</f>
        <v>9493</v>
      </c>
      <c r="AF76" s="342"/>
      <c r="AG76" s="273">
        <f>SUM(AG65:AG75)</f>
        <v>193090</v>
      </c>
    </row>
    <row r="77" spans="1:33" s="253" customFormat="1" ht="5.0999999999999996" customHeight="1" x14ac:dyDescent="0.2">
      <c r="A77" s="450"/>
      <c r="B77" s="301"/>
      <c r="C77" s="273"/>
      <c r="D77" s="273"/>
      <c r="E77" s="273"/>
      <c r="F77" s="301"/>
      <c r="G77" s="273"/>
      <c r="H77" s="301"/>
      <c r="I77" s="273"/>
      <c r="J77" s="301"/>
      <c r="K77" s="273"/>
      <c r="L77" s="301"/>
      <c r="M77" s="273"/>
      <c r="N77" s="301"/>
      <c r="O77" s="273"/>
      <c r="P77" s="301"/>
      <c r="Q77" s="273"/>
      <c r="R77" s="301"/>
      <c r="S77" s="273"/>
      <c r="T77" s="301"/>
      <c r="U77" s="273"/>
      <c r="V77" s="301"/>
      <c r="W77" s="273"/>
      <c r="X77" s="301"/>
      <c r="Y77" s="273"/>
      <c r="Z77" s="301"/>
      <c r="AA77" s="273"/>
      <c r="AB77" s="301"/>
      <c r="AC77" s="273"/>
      <c r="AD77" s="301"/>
      <c r="AE77" s="273"/>
      <c r="AF77" s="301"/>
      <c r="AG77" s="273"/>
    </row>
    <row r="78" spans="1:33" s="253" customFormat="1" ht="9.9499999999999993" customHeight="1" x14ac:dyDescent="0.2">
      <c r="A78" s="417" t="s">
        <v>989</v>
      </c>
      <c r="B78" s="342"/>
      <c r="C78" s="450">
        <f>+C62+C76</f>
        <v>0</v>
      </c>
      <c r="D78" s="450"/>
      <c r="E78" s="450">
        <f>+E62+E76</f>
        <v>6830</v>
      </c>
      <c r="F78" s="342"/>
      <c r="G78" s="450">
        <f>+G62+G76</f>
        <v>26</v>
      </c>
      <c r="H78" s="342"/>
      <c r="I78" s="450">
        <f>+I62+I76</f>
        <v>0</v>
      </c>
      <c r="J78" s="342"/>
      <c r="K78" s="450">
        <f>+K62+K76</f>
        <v>0</v>
      </c>
      <c r="L78" s="342"/>
      <c r="M78" s="450">
        <f>+M62+M76</f>
        <v>-5291</v>
      </c>
      <c r="N78" s="342"/>
      <c r="O78" s="450">
        <f>+O62+O76</f>
        <v>-12013</v>
      </c>
      <c r="P78" s="342"/>
      <c r="Q78" s="450">
        <f>+Q62+Q76</f>
        <v>-23</v>
      </c>
      <c r="R78" s="342"/>
      <c r="S78" s="450">
        <f>+S62+S76</f>
        <v>-52</v>
      </c>
      <c r="T78" s="342"/>
      <c r="U78" s="450">
        <f>+U62+U76</f>
        <v>0</v>
      </c>
      <c r="V78" s="342"/>
      <c r="W78" s="450">
        <f>+W62+W76</f>
        <v>585</v>
      </c>
      <c r="X78" s="342"/>
      <c r="Y78" s="450">
        <f>+Y62+Y76</f>
        <v>584</v>
      </c>
      <c r="Z78" s="342"/>
      <c r="AA78" s="450">
        <f>+AA62+AA76</f>
        <v>-2380</v>
      </c>
      <c r="AB78" s="342"/>
      <c r="AC78" s="450">
        <f>+AC62+AC76</f>
        <v>-369</v>
      </c>
      <c r="AD78" s="342"/>
      <c r="AE78" s="450">
        <f>+AE62+AE76</f>
        <v>149</v>
      </c>
      <c r="AF78" s="342"/>
      <c r="AG78" s="450">
        <f>+AG62+AG76</f>
        <v>-11954</v>
      </c>
    </row>
    <row r="79" spans="1:33" s="253" customFormat="1" ht="5.0999999999999996" customHeight="1" x14ac:dyDescent="0.2">
      <c r="A79" s="418"/>
      <c r="B79" s="362"/>
      <c r="F79" s="362"/>
      <c r="H79" s="362"/>
      <c r="J79" s="362"/>
      <c r="L79" s="362"/>
      <c r="N79" s="362"/>
      <c r="P79" s="362"/>
      <c r="R79" s="362"/>
      <c r="T79" s="362"/>
      <c r="V79" s="362"/>
      <c r="X79" s="362"/>
      <c r="Z79" s="362"/>
      <c r="AB79" s="362"/>
      <c r="AD79" s="362"/>
      <c r="AF79" s="362"/>
    </row>
    <row r="80" spans="1:33" s="253" customFormat="1" ht="11.1" customHeight="1" x14ac:dyDescent="0.2">
      <c r="A80" s="418" t="s">
        <v>990</v>
      </c>
      <c r="B80" s="301"/>
      <c r="C80" s="450">
        <v>424</v>
      </c>
      <c r="D80" s="450"/>
      <c r="E80" s="450">
        <v>123413</v>
      </c>
      <c r="F80" s="301"/>
      <c r="G80" s="450">
        <v>267</v>
      </c>
      <c r="H80" s="301"/>
      <c r="I80" s="450">
        <v>7</v>
      </c>
      <c r="J80" s="301"/>
      <c r="K80" s="450">
        <v>29</v>
      </c>
      <c r="L80" s="301"/>
      <c r="M80" s="450">
        <v>9780</v>
      </c>
      <c r="N80" s="301"/>
      <c r="O80" s="450">
        <v>36231</v>
      </c>
      <c r="P80" s="301"/>
      <c r="Q80" s="450">
        <v>317</v>
      </c>
      <c r="R80" s="301"/>
      <c r="S80" s="450">
        <v>1813</v>
      </c>
      <c r="T80" s="301"/>
      <c r="U80" s="450">
        <v>0</v>
      </c>
      <c r="V80" s="301"/>
      <c r="W80" s="450">
        <v>31396</v>
      </c>
      <c r="X80" s="301"/>
      <c r="Y80" s="450">
        <v>3627</v>
      </c>
      <c r="Z80" s="301"/>
      <c r="AA80" s="450">
        <v>4832</v>
      </c>
      <c r="AB80" s="301"/>
      <c r="AC80" s="450">
        <v>10313</v>
      </c>
      <c r="AD80" s="301"/>
      <c r="AE80" s="450">
        <v>247</v>
      </c>
      <c r="AF80" s="301"/>
      <c r="AG80" s="450">
        <f>SUM(C80:AE80)</f>
        <v>222696</v>
      </c>
    </row>
    <row r="81" spans="1:46" s="439" customFormat="1" ht="5.0999999999999996" customHeight="1" x14ac:dyDescent="0.2">
      <c r="A81" s="418"/>
      <c r="B81" s="450"/>
      <c r="C81" s="452"/>
      <c r="D81" s="450"/>
      <c r="E81" s="452"/>
      <c r="F81" s="450"/>
      <c r="G81" s="452"/>
      <c r="H81" s="450"/>
      <c r="I81" s="452"/>
      <c r="J81" s="450"/>
      <c r="K81" s="452"/>
      <c r="L81" s="450"/>
      <c r="M81" s="452"/>
      <c r="N81" s="450"/>
      <c r="O81" s="452"/>
      <c r="P81" s="450"/>
      <c r="Q81" s="452"/>
      <c r="R81" s="450"/>
      <c r="S81" s="452"/>
      <c r="T81" s="450"/>
      <c r="U81" s="452"/>
      <c r="V81" s="450"/>
      <c r="W81" s="452"/>
      <c r="X81" s="450"/>
      <c r="Y81" s="452"/>
      <c r="Z81" s="450"/>
      <c r="AA81" s="452"/>
      <c r="AB81" s="450"/>
      <c r="AC81" s="452"/>
      <c r="AD81" s="450"/>
      <c r="AE81" s="452"/>
      <c r="AF81" s="450"/>
      <c r="AG81" s="452"/>
      <c r="AH81" s="450"/>
      <c r="AI81" s="450"/>
      <c r="AJ81" s="418"/>
      <c r="AK81" s="418"/>
      <c r="AL81" s="418"/>
      <c r="AM81" s="418"/>
      <c r="AN81" s="418"/>
      <c r="AO81" s="418"/>
      <c r="AP81" s="418"/>
      <c r="AQ81" s="418"/>
      <c r="AR81" s="418"/>
      <c r="AS81" s="418"/>
      <c r="AT81" s="418"/>
    </row>
    <row r="82" spans="1:46" s="439" customFormat="1" ht="11.1" hidden="1" customHeight="1" x14ac:dyDescent="0.2">
      <c r="A82" s="418" t="s">
        <v>1715</v>
      </c>
      <c r="B82" s="450"/>
      <c r="C82" s="450"/>
      <c r="D82" s="450"/>
      <c r="E82" s="45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0"/>
      <c r="AF82" s="450"/>
      <c r="AG82" s="450">
        <f t="shared" ref="AG82" si="17">SUM(C82:AE82)</f>
        <v>0</v>
      </c>
      <c r="AH82" s="450"/>
      <c r="AI82" s="450"/>
      <c r="AJ82" s="418"/>
      <c r="AK82" s="418"/>
      <c r="AL82" s="418"/>
      <c r="AM82" s="418"/>
      <c r="AN82" s="418"/>
      <c r="AO82" s="418"/>
      <c r="AP82" s="418"/>
      <c r="AQ82" s="418"/>
      <c r="AR82" s="418"/>
      <c r="AS82" s="418"/>
      <c r="AT82" s="418"/>
    </row>
    <row r="83" spans="1:46" s="439" customFormat="1" ht="5.0999999999999996" hidden="1" customHeight="1" x14ac:dyDescent="0.2">
      <c r="A83" s="418"/>
      <c r="B83" s="450"/>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450"/>
      <c r="AD83" s="450"/>
      <c r="AE83" s="450"/>
      <c r="AF83" s="450"/>
      <c r="AG83" s="450"/>
      <c r="AH83" s="450"/>
      <c r="AI83" s="450"/>
      <c r="AJ83" s="418"/>
      <c r="AK83" s="418"/>
      <c r="AL83" s="418"/>
      <c r="AM83" s="418"/>
      <c r="AN83" s="418"/>
      <c r="AO83" s="418"/>
      <c r="AP83" s="418"/>
      <c r="AQ83" s="418"/>
      <c r="AR83" s="418"/>
      <c r="AS83" s="418"/>
      <c r="AT83" s="418"/>
    </row>
    <row r="84" spans="1:46" s="439" customFormat="1" ht="11.1" customHeight="1" x14ac:dyDescent="0.2">
      <c r="A84" s="418" t="s">
        <v>1716</v>
      </c>
      <c r="B84" s="450"/>
      <c r="C84" s="450">
        <f>SORECGFws!BD71</f>
        <v>-424</v>
      </c>
      <c r="D84" s="450"/>
      <c r="E84" s="450">
        <f>SORECGFws!BQ71</f>
        <v>0</v>
      </c>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450"/>
      <c r="AD84" s="450"/>
      <c r="AE84" s="450"/>
      <c r="AF84" s="450"/>
      <c r="AG84" s="450">
        <f t="shared" ref="AG84" si="18">SUM(C84:AE84)</f>
        <v>-424</v>
      </c>
      <c r="AH84" s="450"/>
      <c r="AI84" s="450"/>
      <c r="AJ84" s="418"/>
      <c r="AK84" s="418"/>
      <c r="AL84" s="418"/>
      <c r="AM84" s="418"/>
      <c r="AN84" s="418"/>
      <c r="AO84" s="418"/>
      <c r="AP84" s="418"/>
      <c r="AQ84" s="418"/>
      <c r="AR84" s="418"/>
      <c r="AS84" s="418"/>
      <c r="AT84" s="418"/>
    </row>
    <row r="85" spans="1:46" s="439" customFormat="1" ht="5.0999999999999996" hidden="1" customHeight="1" x14ac:dyDescent="0.2">
      <c r="A85" s="418"/>
      <c r="B85" s="450"/>
      <c r="C85" s="450"/>
      <c r="D85" s="450"/>
      <c r="E85" s="450"/>
      <c r="F85" s="450"/>
      <c r="G85" s="450"/>
      <c r="H85" s="450"/>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18"/>
      <c r="AK85" s="418"/>
      <c r="AL85" s="418"/>
      <c r="AM85" s="418"/>
      <c r="AN85" s="418"/>
      <c r="AO85" s="418"/>
      <c r="AP85" s="418"/>
      <c r="AQ85" s="418"/>
      <c r="AR85" s="418"/>
      <c r="AS85" s="418"/>
      <c r="AT85" s="418"/>
    </row>
    <row r="86" spans="1:46" s="439" customFormat="1" ht="11.1" hidden="1" customHeight="1" x14ac:dyDescent="0.2">
      <c r="A86" s="418" t="s">
        <v>1717</v>
      </c>
      <c r="B86" s="450"/>
      <c r="C86" s="450"/>
      <c r="D86" s="450"/>
      <c r="E86" s="450"/>
      <c r="F86" s="450"/>
      <c r="G86" s="450"/>
      <c r="H86" s="450"/>
      <c r="I86" s="450"/>
      <c r="J86" s="450"/>
      <c r="K86" s="450"/>
      <c r="L86" s="450"/>
      <c r="M86" s="450"/>
      <c r="N86" s="450"/>
      <c r="O86" s="450"/>
      <c r="P86" s="450"/>
      <c r="Q86" s="450"/>
      <c r="R86" s="450"/>
      <c r="S86" s="450"/>
      <c r="T86" s="450"/>
      <c r="U86" s="450"/>
      <c r="V86" s="450"/>
      <c r="W86" s="450"/>
      <c r="X86" s="450"/>
      <c r="Y86" s="450"/>
      <c r="Z86" s="450"/>
      <c r="AA86" s="450"/>
      <c r="AB86" s="450"/>
      <c r="AC86" s="450"/>
      <c r="AD86" s="450"/>
      <c r="AE86" s="450"/>
      <c r="AF86" s="450"/>
      <c r="AG86" s="450">
        <f t="shared" ref="AG86" si="19">SUM(C86:AE86)</f>
        <v>0</v>
      </c>
      <c r="AH86" s="450"/>
      <c r="AI86" s="450"/>
      <c r="AJ86" s="418"/>
      <c r="AK86" s="418"/>
      <c r="AL86" s="418"/>
      <c r="AM86" s="418"/>
      <c r="AN86" s="418"/>
      <c r="AO86" s="418"/>
      <c r="AP86" s="418"/>
      <c r="AQ86" s="418"/>
      <c r="AR86" s="418"/>
      <c r="AS86" s="418"/>
      <c r="AT86" s="418"/>
    </row>
    <row r="87" spans="1:46" s="439" customFormat="1" ht="5.0999999999999996" customHeight="1" x14ac:dyDescent="0.2">
      <c r="A87" s="418"/>
      <c r="B87" s="450"/>
      <c r="C87" s="450"/>
      <c r="D87" s="450"/>
      <c r="E87" s="450"/>
      <c r="F87" s="450"/>
      <c r="G87" s="450"/>
      <c r="H87" s="450"/>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18"/>
      <c r="AK87" s="418"/>
      <c r="AL87" s="418"/>
      <c r="AM87" s="418"/>
      <c r="AN87" s="418"/>
      <c r="AO87" s="418"/>
      <c r="AP87" s="418"/>
      <c r="AQ87" s="418"/>
      <c r="AR87" s="418"/>
      <c r="AS87" s="418"/>
      <c r="AT87" s="418"/>
    </row>
    <row r="88" spans="1:46" s="439" customFormat="1" ht="11.1" customHeight="1" x14ac:dyDescent="0.2">
      <c r="A88" s="425" t="s">
        <v>1720</v>
      </c>
      <c r="B88" s="450"/>
      <c r="C88" s="273">
        <f>SUM(C80:C87)</f>
        <v>0</v>
      </c>
      <c r="D88" s="450"/>
      <c r="E88" s="273">
        <f>SUM(E80:E87)</f>
        <v>123413</v>
      </c>
      <c r="F88" s="450"/>
      <c r="G88" s="273">
        <f>SUM(G80:G87)</f>
        <v>267</v>
      </c>
      <c r="H88" s="450"/>
      <c r="I88" s="273">
        <f>SUM(I80:I87)</f>
        <v>7</v>
      </c>
      <c r="J88" s="450"/>
      <c r="K88" s="273">
        <f>SUM(K80:K87)</f>
        <v>29</v>
      </c>
      <c r="L88" s="450"/>
      <c r="M88" s="273">
        <f>SUM(M80:M87)</f>
        <v>9780</v>
      </c>
      <c r="N88" s="450"/>
      <c r="O88" s="273">
        <f>SUM(O80:O87)</f>
        <v>36231</v>
      </c>
      <c r="P88" s="450"/>
      <c r="Q88" s="273">
        <f>SUM(Q80:Q87)</f>
        <v>317</v>
      </c>
      <c r="R88" s="450"/>
      <c r="S88" s="273">
        <f>SUM(S80:S87)</f>
        <v>1813</v>
      </c>
      <c r="T88" s="450"/>
      <c r="U88" s="450"/>
      <c r="V88" s="450"/>
      <c r="W88" s="273">
        <f>SUM(W80:W87)</f>
        <v>31396</v>
      </c>
      <c r="X88" s="450"/>
      <c r="Y88" s="273">
        <f>SUM(Y80:Y87)</f>
        <v>3627</v>
      </c>
      <c r="Z88" s="450"/>
      <c r="AA88" s="273">
        <f>SUM(AA80:AA87)</f>
        <v>4832</v>
      </c>
      <c r="AB88" s="450"/>
      <c r="AC88" s="273">
        <f>SUM(AC80:AC87)</f>
        <v>10313</v>
      </c>
      <c r="AD88" s="450"/>
      <c r="AE88" s="273">
        <f>SUM(AE80:AE87)</f>
        <v>247</v>
      </c>
      <c r="AF88" s="450"/>
      <c r="AG88" s="273">
        <f>SUM(AG80:AG87)</f>
        <v>222272</v>
      </c>
      <c r="AH88" s="450"/>
      <c r="AI88" s="273">
        <f>SUM(AI80:AI87)</f>
        <v>0</v>
      </c>
      <c r="AJ88" s="418"/>
      <c r="AK88" s="418"/>
      <c r="AL88" s="418"/>
      <c r="AM88" s="418"/>
      <c r="AN88" s="418"/>
      <c r="AO88" s="418"/>
      <c r="AP88" s="418"/>
      <c r="AQ88" s="418"/>
      <c r="AR88" s="418"/>
      <c r="AS88" s="418"/>
      <c r="AT88" s="418"/>
    </row>
    <row r="89" spans="1:46" s="253" customFormat="1" ht="5.0999999999999996" customHeight="1" x14ac:dyDescent="0.2">
      <c r="A89" s="450"/>
      <c r="B89" s="301"/>
      <c r="C89" s="366"/>
      <c r="D89" s="273"/>
      <c r="E89" s="366"/>
      <c r="F89" s="301"/>
      <c r="G89" s="366"/>
      <c r="H89" s="301"/>
      <c r="I89" s="366"/>
      <c r="J89" s="301"/>
      <c r="K89" s="366"/>
      <c r="L89" s="301"/>
      <c r="M89" s="366"/>
      <c r="N89" s="301"/>
      <c r="O89" s="366"/>
      <c r="P89" s="301"/>
      <c r="Q89" s="366"/>
      <c r="R89" s="301"/>
      <c r="S89" s="366"/>
      <c r="T89" s="301"/>
      <c r="U89" s="340"/>
      <c r="V89" s="301"/>
      <c r="W89" s="366"/>
      <c r="X89" s="301"/>
      <c r="Y89" s="366"/>
      <c r="Z89" s="301"/>
      <c r="AA89" s="366"/>
      <c r="AB89" s="301"/>
      <c r="AC89" s="366"/>
      <c r="AD89" s="301"/>
      <c r="AE89" s="366"/>
      <c r="AF89" s="301"/>
      <c r="AG89" s="366"/>
    </row>
    <row r="90" spans="1:46" s="253" customFormat="1" ht="11.1" customHeight="1" thickBot="1" x14ac:dyDescent="0.25">
      <c r="A90" s="417" t="s">
        <v>991</v>
      </c>
      <c r="B90" s="362"/>
      <c r="C90" s="344">
        <f>+C88+C78</f>
        <v>0</v>
      </c>
      <c r="D90" s="339"/>
      <c r="E90" s="344">
        <f>+E88+E78</f>
        <v>130243</v>
      </c>
      <c r="F90" s="362"/>
      <c r="G90" s="344">
        <f>+G88+G78</f>
        <v>293</v>
      </c>
      <c r="H90" s="362"/>
      <c r="I90" s="344">
        <f>+I88+I78</f>
        <v>7</v>
      </c>
      <c r="J90" s="362"/>
      <c r="K90" s="344">
        <f>+K88+K78</f>
        <v>29</v>
      </c>
      <c r="L90" s="362"/>
      <c r="M90" s="344">
        <f>+M88+M78</f>
        <v>4489</v>
      </c>
      <c r="N90" s="362"/>
      <c r="O90" s="344">
        <f>+O88+O78</f>
        <v>24218</v>
      </c>
      <c r="P90" s="362"/>
      <c r="Q90" s="344">
        <f>+Q88+Q78</f>
        <v>294</v>
      </c>
      <c r="R90" s="362"/>
      <c r="S90" s="344">
        <f>+S88+S78</f>
        <v>1761</v>
      </c>
      <c r="T90" s="362"/>
      <c r="U90" s="344">
        <f>+U78+U80</f>
        <v>0</v>
      </c>
      <c r="V90" s="362"/>
      <c r="W90" s="344">
        <f>+W88+W78</f>
        <v>31981</v>
      </c>
      <c r="X90" s="362"/>
      <c r="Y90" s="344">
        <f>+Y88+Y78</f>
        <v>4211</v>
      </c>
      <c r="Z90" s="362"/>
      <c r="AA90" s="344">
        <f>+AA88+AA78</f>
        <v>2452</v>
      </c>
      <c r="AB90" s="362"/>
      <c r="AC90" s="344">
        <f>+AC88+AC78</f>
        <v>9944</v>
      </c>
      <c r="AD90" s="362"/>
      <c r="AE90" s="344">
        <f>+AE88+AE78</f>
        <v>396</v>
      </c>
      <c r="AF90" s="362"/>
      <c r="AG90" s="344">
        <f>+AG88+AG78</f>
        <v>210318</v>
      </c>
    </row>
    <row r="91" spans="1:46" s="253" customFormat="1" ht="5.0999999999999996" customHeight="1" thickTop="1" x14ac:dyDescent="0.2">
      <c r="A91" s="418"/>
      <c r="B91" s="362"/>
      <c r="F91" s="362"/>
      <c r="H91" s="362"/>
      <c r="J91" s="362"/>
      <c r="L91" s="362"/>
      <c r="N91" s="362"/>
      <c r="P91" s="362"/>
      <c r="R91" s="362"/>
      <c r="T91" s="362"/>
      <c r="V91" s="362"/>
      <c r="X91" s="362"/>
      <c r="Z91" s="362"/>
      <c r="AB91" s="362"/>
      <c r="AD91" s="362"/>
      <c r="AF91" s="362"/>
    </row>
    <row r="92" spans="1:46" s="253" customFormat="1" ht="9.9499999999999993" customHeight="1" x14ac:dyDescent="0.2">
      <c r="A92" s="418"/>
      <c r="B92" s="362"/>
      <c r="F92" s="362"/>
      <c r="H92" s="362"/>
      <c r="J92" s="362"/>
      <c r="L92" s="362"/>
      <c r="N92" s="362"/>
      <c r="P92" s="362"/>
      <c r="R92" s="362"/>
      <c r="T92" s="362"/>
      <c r="V92" s="362"/>
      <c r="X92" s="362"/>
      <c r="Z92" s="362"/>
      <c r="AB92" s="362"/>
      <c r="AD92" s="362"/>
      <c r="AF92" s="362"/>
    </row>
    <row r="93" spans="1:46" s="511" customFormat="1" ht="9.9499999999999993" customHeight="1" x14ac:dyDescent="0.2">
      <c r="A93" s="1014" t="s">
        <v>992</v>
      </c>
      <c r="B93" s="512"/>
      <c r="C93" s="511">
        <f>+C90-'Blended BS'!C69</f>
        <v>0</v>
      </c>
      <c r="E93" s="511">
        <f>+E90-'Blended BS'!E69</f>
        <v>0</v>
      </c>
      <c r="G93" s="511">
        <f>+G90-'Blended BS'!G69</f>
        <v>0</v>
      </c>
      <c r="I93" s="511">
        <f>+I90-'Blended BS'!I69</f>
        <v>0</v>
      </c>
      <c r="K93" s="511">
        <f>+K90-'Blended BS'!K69</f>
        <v>0</v>
      </c>
      <c r="M93" s="511">
        <f>+M90-'Blended BS'!M69</f>
        <v>0</v>
      </c>
      <c r="O93" s="511">
        <f>+O90-'Blended BS'!O69</f>
        <v>0</v>
      </c>
      <c r="Q93" s="511">
        <f>+Q90-'Blended BS'!Q69</f>
        <v>0</v>
      </c>
      <c r="S93" s="511">
        <f>+S90-'Blended BS'!S69</f>
        <v>0</v>
      </c>
      <c r="U93" s="511">
        <f>+U90-'Blended BS'!U69</f>
        <v>0</v>
      </c>
      <c r="W93" s="511">
        <f>+W90-'Blended BS'!W69</f>
        <v>0</v>
      </c>
      <c r="Y93" s="511">
        <f>+Y90-'Blended BS'!Y69</f>
        <v>0</v>
      </c>
      <c r="AA93" s="511">
        <f>+AA90-'Blended BS'!AA69</f>
        <v>0</v>
      </c>
      <c r="AC93" s="511">
        <f>+AC90-'Blended BS'!AC69</f>
        <v>0</v>
      </c>
      <c r="AE93" s="511">
        <f>+AE90-'Blended BS'!AE69</f>
        <v>0</v>
      </c>
      <c r="AG93" s="511">
        <f>SUM(C93:AE93)</f>
        <v>0</v>
      </c>
    </row>
    <row r="94" spans="1:46" s="422" customFormat="1" ht="9.9499999999999993" customHeight="1" x14ac:dyDescent="0.2">
      <c r="B94" s="423"/>
      <c r="F94" s="423"/>
      <c r="H94" s="423"/>
      <c r="J94" s="423"/>
      <c r="L94" s="423"/>
      <c r="N94" s="423"/>
      <c r="P94" s="423"/>
      <c r="R94" s="423"/>
      <c r="T94" s="423"/>
      <c r="V94" s="423"/>
      <c r="X94" s="423"/>
      <c r="Z94" s="423"/>
      <c r="AB94" s="423"/>
      <c r="AD94" s="423"/>
      <c r="AF94" s="423"/>
    </row>
    <row r="95" spans="1:46" s="422" customFormat="1" ht="9.9499999999999993" customHeight="1" x14ac:dyDescent="0.2">
      <c r="B95" s="423"/>
      <c r="F95" s="423"/>
      <c r="H95" s="423"/>
      <c r="J95" s="423"/>
      <c r="L95" s="423"/>
      <c r="N95" s="423"/>
      <c r="P95" s="423"/>
      <c r="R95" s="423"/>
      <c r="T95" s="423"/>
      <c r="V95" s="423"/>
      <c r="X95" s="423"/>
      <c r="Z95" s="423"/>
      <c r="AB95" s="423"/>
      <c r="AD95" s="423"/>
      <c r="AF95" s="423"/>
    </row>
    <row r="96" spans="1:46" s="422" customFormat="1" ht="9.9499999999999993" customHeight="1" x14ac:dyDescent="0.2">
      <c r="B96" s="423"/>
      <c r="F96" s="423"/>
      <c r="H96" s="423"/>
      <c r="J96" s="423"/>
      <c r="L96" s="423"/>
      <c r="N96" s="423"/>
      <c r="P96" s="423"/>
      <c r="R96" s="423"/>
      <c r="T96" s="423"/>
      <c r="V96" s="423"/>
      <c r="X96" s="423"/>
      <c r="Z96" s="423"/>
      <c r="AB96" s="423"/>
      <c r="AD96" s="423"/>
      <c r="AF96" s="423"/>
    </row>
    <row r="97" spans="2:32" s="422" customFormat="1" ht="9.9499999999999993" customHeight="1" x14ac:dyDescent="0.2">
      <c r="B97" s="423"/>
      <c r="F97" s="423"/>
      <c r="H97" s="423"/>
      <c r="J97" s="423"/>
      <c r="L97" s="423"/>
      <c r="N97" s="423"/>
      <c r="P97" s="423"/>
      <c r="R97" s="423"/>
      <c r="T97" s="423"/>
      <c r="V97" s="423"/>
      <c r="X97" s="423"/>
      <c r="Z97" s="423"/>
      <c r="AB97" s="423"/>
      <c r="AD97" s="423"/>
      <c r="AF97" s="423"/>
    </row>
    <row r="98" spans="2:32" s="422" customFormat="1" ht="9.9499999999999993" customHeight="1" x14ac:dyDescent="0.2">
      <c r="B98" s="423"/>
      <c r="F98" s="423"/>
      <c r="H98" s="423"/>
      <c r="J98" s="423"/>
      <c r="L98" s="423"/>
      <c r="N98" s="423"/>
      <c r="P98" s="423"/>
      <c r="R98" s="423"/>
      <c r="T98" s="423"/>
      <c r="V98" s="423"/>
      <c r="X98" s="423"/>
      <c r="Z98" s="423"/>
      <c r="AB98" s="423"/>
      <c r="AD98" s="423"/>
      <c r="AF98" s="423"/>
    </row>
    <row r="99" spans="2:32" s="422" customFormat="1" ht="9.9499999999999993" customHeight="1" x14ac:dyDescent="0.2">
      <c r="B99" s="423"/>
      <c r="F99" s="423"/>
      <c r="H99" s="423"/>
      <c r="J99" s="423"/>
      <c r="L99" s="423"/>
      <c r="N99" s="423"/>
      <c r="P99" s="423"/>
      <c r="R99" s="423"/>
      <c r="T99" s="423"/>
      <c r="V99" s="423"/>
      <c r="X99" s="423"/>
      <c r="Z99" s="423"/>
      <c r="AB99" s="423"/>
      <c r="AD99" s="423"/>
      <c r="AF99" s="423"/>
    </row>
    <row r="100" spans="2:32" s="422" customFormat="1" ht="9.9499999999999993" customHeight="1" x14ac:dyDescent="0.2">
      <c r="B100" s="423"/>
      <c r="F100" s="423"/>
      <c r="H100" s="423"/>
      <c r="J100" s="423"/>
      <c r="L100" s="423"/>
      <c r="N100" s="423"/>
      <c r="P100" s="423"/>
      <c r="R100" s="423"/>
      <c r="T100" s="423"/>
      <c r="V100" s="423"/>
      <c r="X100" s="423"/>
      <c r="Z100" s="423"/>
      <c r="AB100" s="423"/>
      <c r="AD100" s="423"/>
      <c r="AF100" s="423"/>
    </row>
    <row r="101" spans="2:32" s="422" customFormat="1" ht="9.9499999999999993" customHeight="1" x14ac:dyDescent="0.2">
      <c r="B101" s="423"/>
      <c r="F101" s="423"/>
      <c r="H101" s="423"/>
      <c r="J101" s="423"/>
      <c r="L101" s="423"/>
      <c r="N101" s="423"/>
      <c r="P101" s="423"/>
      <c r="R101" s="423"/>
      <c r="T101" s="423"/>
      <c r="V101" s="423"/>
      <c r="X101" s="423"/>
      <c r="Z101" s="423"/>
      <c r="AB101" s="423"/>
      <c r="AD101" s="423"/>
      <c r="AF101" s="423"/>
    </row>
    <row r="102" spans="2:32" s="422" customFormat="1" ht="9.9499999999999993" customHeight="1" x14ac:dyDescent="0.2">
      <c r="B102" s="423"/>
      <c r="F102" s="423"/>
      <c r="H102" s="423"/>
      <c r="J102" s="423"/>
      <c r="L102" s="423"/>
      <c r="N102" s="423"/>
      <c r="P102" s="423"/>
      <c r="R102" s="423"/>
      <c r="T102" s="423"/>
      <c r="V102" s="423"/>
      <c r="X102" s="423"/>
      <c r="Z102" s="423"/>
      <c r="AB102" s="423"/>
      <c r="AD102" s="423"/>
      <c r="AF102" s="423"/>
    </row>
    <row r="103" spans="2:32" s="422" customFormat="1" ht="9.9499999999999993" customHeight="1" x14ac:dyDescent="0.2">
      <c r="B103" s="423"/>
      <c r="F103" s="423"/>
      <c r="H103" s="423"/>
      <c r="J103" s="423"/>
      <c r="L103" s="423"/>
      <c r="N103" s="423"/>
      <c r="P103" s="423"/>
      <c r="R103" s="423"/>
      <c r="T103" s="423"/>
      <c r="V103" s="423"/>
      <c r="X103" s="423"/>
      <c r="Z103" s="423"/>
      <c r="AB103" s="423"/>
      <c r="AD103" s="423"/>
      <c r="AF103" s="423"/>
    </row>
    <row r="104" spans="2:32" s="422" customFormat="1" ht="9.9499999999999993" customHeight="1" x14ac:dyDescent="0.2">
      <c r="B104" s="423"/>
      <c r="F104" s="423"/>
      <c r="H104" s="423"/>
      <c r="J104" s="423"/>
      <c r="L104" s="423"/>
      <c r="N104" s="423"/>
      <c r="P104" s="423"/>
      <c r="R104" s="423"/>
      <c r="T104" s="423"/>
      <c r="V104" s="423"/>
      <c r="X104" s="423"/>
      <c r="Z104" s="423"/>
      <c r="AB104" s="423"/>
      <c r="AD104" s="423"/>
      <c r="AF104" s="423"/>
    </row>
    <row r="105" spans="2:32" s="422" customFormat="1" ht="9.9499999999999993" customHeight="1" x14ac:dyDescent="0.2">
      <c r="B105" s="423"/>
      <c r="F105" s="423"/>
      <c r="H105" s="423"/>
      <c r="J105" s="423"/>
      <c r="L105" s="423"/>
      <c r="N105" s="423"/>
      <c r="P105" s="423"/>
      <c r="R105" s="423"/>
      <c r="T105" s="423"/>
      <c r="V105" s="423"/>
      <c r="X105" s="423"/>
      <c r="Z105" s="423"/>
      <c r="AB105" s="423"/>
      <c r="AD105" s="423"/>
      <c r="AF105" s="423"/>
    </row>
    <row r="106" spans="2:32" s="422" customFormat="1" ht="9.9499999999999993" customHeight="1" x14ac:dyDescent="0.2">
      <c r="B106" s="423"/>
      <c r="F106" s="423"/>
      <c r="H106" s="423"/>
      <c r="J106" s="423"/>
      <c r="L106" s="423"/>
      <c r="N106" s="423"/>
      <c r="P106" s="423"/>
      <c r="R106" s="423"/>
      <c r="T106" s="423"/>
      <c r="V106" s="423"/>
      <c r="X106" s="423"/>
      <c r="Z106" s="423"/>
      <c r="AB106" s="423"/>
      <c r="AD106" s="423"/>
      <c r="AF106" s="423"/>
    </row>
    <row r="107" spans="2:32" s="422" customFormat="1" ht="9.9499999999999993" customHeight="1" x14ac:dyDescent="0.2">
      <c r="B107" s="423"/>
      <c r="F107" s="423"/>
      <c r="H107" s="423"/>
      <c r="J107" s="423"/>
      <c r="L107" s="423"/>
      <c r="N107" s="423"/>
      <c r="P107" s="423"/>
      <c r="R107" s="423"/>
      <c r="T107" s="423"/>
      <c r="V107" s="423"/>
      <c r="X107" s="423"/>
      <c r="Z107" s="423"/>
      <c r="AB107" s="423"/>
      <c r="AD107" s="423"/>
      <c r="AF107" s="423"/>
    </row>
    <row r="108" spans="2:32" s="422" customFormat="1" ht="9.9499999999999993" customHeight="1" x14ac:dyDescent="0.2">
      <c r="B108" s="423"/>
      <c r="F108" s="423"/>
      <c r="H108" s="423"/>
      <c r="J108" s="423"/>
      <c r="L108" s="423"/>
      <c r="N108" s="423"/>
      <c r="P108" s="423"/>
      <c r="R108" s="423"/>
      <c r="T108" s="423"/>
      <c r="V108" s="423"/>
      <c r="X108" s="423"/>
      <c r="Z108" s="423"/>
      <c r="AB108" s="423"/>
      <c r="AD108" s="423"/>
      <c r="AF108" s="423"/>
    </row>
    <row r="109" spans="2:32" s="422" customFormat="1" ht="9.9499999999999993" customHeight="1" x14ac:dyDescent="0.2">
      <c r="B109" s="423"/>
      <c r="F109" s="423"/>
      <c r="H109" s="423"/>
      <c r="J109" s="423"/>
      <c r="L109" s="423"/>
      <c r="N109" s="423"/>
      <c r="P109" s="423"/>
      <c r="R109" s="423"/>
      <c r="T109" s="423"/>
      <c r="V109" s="423"/>
      <c r="X109" s="423"/>
      <c r="Z109" s="423"/>
      <c r="AB109" s="423"/>
      <c r="AD109" s="423"/>
      <c r="AF109" s="423"/>
    </row>
    <row r="110" spans="2:32" s="422" customFormat="1" ht="9.9499999999999993" customHeight="1" x14ac:dyDescent="0.2">
      <c r="B110" s="423"/>
      <c r="F110" s="423"/>
      <c r="H110" s="423"/>
      <c r="J110" s="423"/>
      <c r="L110" s="423"/>
      <c r="N110" s="423"/>
      <c r="P110" s="423"/>
      <c r="R110" s="423"/>
      <c r="T110" s="423"/>
      <c r="V110" s="423"/>
      <c r="X110" s="423"/>
      <c r="Z110" s="423"/>
      <c r="AB110" s="423"/>
      <c r="AD110" s="423"/>
      <c r="AF110" s="423"/>
    </row>
    <row r="111" spans="2:32" s="422" customFormat="1" ht="9.9499999999999993" customHeight="1" x14ac:dyDescent="0.2">
      <c r="B111" s="423"/>
      <c r="F111" s="423"/>
      <c r="H111" s="423"/>
      <c r="J111" s="423"/>
      <c r="L111" s="423"/>
      <c r="N111" s="423"/>
      <c r="P111" s="423"/>
      <c r="R111" s="423"/>
      <c r="T111" s="423"/>
      <c r="V111" s="423"/>
      <c r="X111" s="423"/>
      <c r="Z111" s="423"/>
      <c r="AB111" s="423"/>
      <c r="AD111" s="423"/>
      <c r="AF111" s="423"/>
    </row>
    <row r="112" spans="2:32" s="422" customFormat="1" ht="9.9499999999999993" customHeight="1" x14ac:dyDescent="0.2">
      <c r="B112" s="423"/>
      <c r="F112" s="423"/>
      <c r="H112" s="423"/>
      <c r="J112" s="423"/>
      <c r="L112" s="423"/>
      <c r="N112" s="423"/>
      <c r="P112" s="423"/>
      <c r="R112" s="423"/>
      <c r="T112" s="423"/>
      <c r="V112" s="423"/>
      <c r="X112" s="423"/>
      <c r="Z112" s="423"/>
      <c r="AB112" s="423"/>
      <c r="AD112" s="423"/>
      <c r="AF112" s="423"/>
    </row>
    <row r="113" spans="2:32" s="422" customFormat="1" ht="9.9499999999999993" customHeight="1" x14ac:dyDescent="0.2">
      <c r="B113" s="423"/>
      <c r="F113" s="423"/>
      <c r="H113" s="423"/>
      <c r="J113" s="423"/>
      <c r="L113" s="423"/>
      <c r="N113" s="423"/>
      <c r="P113" s="423"/>
      <c r="R113" s="423"/>
      <c r="T113" s="423"/>
      <c r="V113" s="423"/>
      <c r="X113" s="423"/>
      <c r="Z113" s="423"/>
      <c r="AB113" s="423"/>
      <c r="AD113" s="423"/>
      <c r="AF113" s="423"/>
    </row>
    <row r="114" spans="2:32" s="422" customFormat="1" ht="9.9499999999999993" customHeight="1" x14ac:dyDescent="0.2">
      <c r="B114" s="423"/>
      <c r="F114" s="423"/>
      <c r="H114" s="423"/>
      <c r="J114" s="423"/>
      <c r="L114" s="423"/>
      <c r="N114" s="423"/>
      <c r="P114" s="423"/>
      <c r="R114" s="423"/>
      <c r="T114" s="423"/>
      <c r="V114" s="423"/>
      <c r="X114" s="423"/>
      <c r="Z114" s="423"/>
      <c r="AB114" s="423"/>
      <c r="AD114" s="423"/>
      <c r="AF114" s="423"/>
    </row>
    <row r="115" spans="2:32" s="422" customFormat="1" ht="9.9499999999999993" customHeight="1" x14ac:dyDescent="0.2">
      <c r="B115" s="423"/>
      <c r="F115" s="423"/>
      <c r="H115" s="423"/>
      <c r="J115" s="423"/>
      <c r="L115" s="423"/>
      <c r="N115" s="423"/>
      <c r="P115" s="423"/>
      <c r="R115" s="423"/>
      <c r="T115" s="423"/>
      <c r="V115" s="423"/>
      <c r="X115" s="423"/>
      <c r="Z115" s="423"/>
      <c r="AB115" s="423"/>
      <c r="AD115" s="423"/>
      <c r="AF115" s="423"/>
    </row>
    <row r="116" spans="2:32" s="422" customFormat="1" ht="9.9499999999999993" customHeight="1" x14ac:dyDescent="0.2">
      <c r="B116" s="423"/>
      <c r="F116" s="423"/>
      <c r="H116" s="423"/>
      <c r="J116" s="423"/>
      <c r="L116" s="423"/>
      <c r="N116" s="423"/>
      <c r="P116" s="423"/>
      <c r="R116" s="423"/>
      <c r="T116" s="423"/>
      <c r="V116" s="423"/>
      <c r="X116" s="423"/>
      <c r="Z116" s="423"/>
      <c r="AB116" s="423"/>
      <c r="AD116" s="423"/>
      <c r="AF116" s="423"/>
    </row>
    <row r="117" spans="2:32" s="422" customFormat="1" ht="9.9499999999999993" customHeight="1" x14ac:dyDescent="0.2">
      <c r="B117" s="423"/>
      <c r="F117" s="423"/>
      <c r="H117" s="423"/>
      <c r="J117" s="423"/>
      <c r="L117" s="423"/>
      <c r="N117" s="423"/>
      <c r="P117" s="423"/>
      <c r="R117" s="423"/>
      <c r="T117" s="423"/>
      <c r="V117" s="423"/>
      <c r="X117" s="423"/>
      <c r="Z117" s="423"/>
      <c r="AB117" s="423"/>
      <c r="AD117" s="423"/>
      <c r="AF117" s="423"/>
    </row>
    <row r="118" spans="2:32" s="422" customFormat="1" ht="9.9499999999999993" customHeight="1" x14ac:dyDescent="0.2">
      <c r="B118" s="423"/>
      <c r="F118" s="423"/>
      <c r="H118" s="423"/>
      <c r="J118" s="423"/>
      <c r="L118" s="423"/>
      <c r="N118" s="423"/>
      <c r="P118" s="423"/>
      <c r="R118" s="423"/>
      <c r="T118" s="423"/>
      <c r="V118" s="423"/>
      <c r="X118" s="423"/>
      <c r="Z118" s="423"/>
      <c r="AB118" s="423"/>
      <c r="AD118" s="423"/>
      <c r="AF118" s="423"/>
    </row>
    <row r="119" spans="2:32" s="422" customFormat="1" ht="9.9499999999999993" customHeight="1" x14ac:dyDescent="0.2">
      <c r="B119" s="423"/>
      <c r="F119" s="423"/>
      <c r="H119" s="423"/>
      <c r="J119" s="423"/>
      <c r="L119" s="423"/>
      <c r="N119" s="423"/>
      <c r="P119" s="423"/>
      <c r="R119" s="423"/>
      <c r="T119" s="423"/>
      <c r="V119" s="423"/>
      <c r="X119" s="423"/>
      <c r="Z119" s="423"/>
      <c r="AB119" s="423"/>
      <c r="AD119" s="423"/>
      <c r="AF119" s="423"/>
    </row>
    <row r="120" spans="2:32" s="422" customFormat="1" ht="9.9499999999999993" customHeight="1" x14ac:dyDescent="0.2">
      <c r="B120" s="423"/>
      <c r="F120" s="423"/>
      <c r="H120" s="423"/>
      <c r="J120" s="423"/>
      <c r="L120" s="423"/>
      <c r="N120" s="423"/>
      <c r="P120" s="423"/>
      <c r="R120" s="423"/>
      <c r="T120" s="423"/>
      <c r="V120" s="423"/>
      <c r="X120" s="423"/>
      <c r="Z120" s="423"/>
      <c r="AB120" s="423"/>
      <c r="AD120" s="423"/>
      <c r="AF120" s="423"/>
    </row>
    <row r="121" spans="2:32" s="422" customFormat="1" ht="9.9499999999999993" customHeight="1" x14ac:dyDescent="0.2">
      <c r="B121" s="423"/>
      <c r="F121" s="423"/>
      <c r="H121" s="423"/>
      <c r="J121" s="423"/>
      <c r="L121" s="423"/>
      <c r="N121" s="423"/>
      <c r="P121" s="423"/>
      <c r="R121" s="423"/>
      <c r="T121" s="423"/>
      <c r="V121" s="423"/>
      <c r="X121" s="423"/>
      <c r="Z121" s="423"/>
      <c r="AB121" s="423"/>
      <c r="AD121" s="423"/>
      <c r="AF121" s="423"/>
    </row>
    <row r="122" spans="2:32" s="422" customFormat="1" ht="9.9499999999999993" customHeight="1" x14ac:dyDescent="0.2">
      <c r="B122" s="423"/>
      <c r="F122" s="423"/>
      <c r="H122" s="423"/>
      <c r="J122" s="423"/>
      <c r="L122" s="423"/>
      <c r="N122" s="423"/>
      <c r="P122" s="423"/>
      <c r="R122" s="423"/>
      <c r="T122" s="423"/>
      <c r="V122" s="423"/>
      <c r="X122" s="423"/>
      <c r="Z122" s="423"/>
      <c r="AB122" s="423"/>
      <c r="AD122" s="423"/>
      <c r="AF122" s="423"/>
    </row>
    <row r="123" spans="2:32" s="422" customFormat="1" ht="9.9499999999999993" customHeight="1" x14ac:dyDescent="0.2">
      <c r="B123" s="423"/>
      <c r="F123" s="423"/>
      <c r="H123" s="423"/>
      <c r="J123" s="423"/>
      <c r="L123" s="423"/>
      <c r="N123" s="423"/>
      <c r="P123" s="423"/>
      <c r="R123" s="423"/>
      <c r="T123" s="423"/>
      <c r="V123" s="423"/>
      <c r="X123" s="423"/>
      <c r="Z123" s="423"/>
      <c r="AB123" s="423"/>
      <c r="AD123" s="423"/>
      <c r="AF123" s="423"/>
    </row>
    <row r="124" spans="2:32" s="422" customFormat="1" ht="9.9499999999999993" customHeight="1" x14ac:dyDescent="0.2">
      <c r="B124" s="423"/>
      <c r="F124" s="423"/>
      <c r="H124" s="423"/>
      <c r="J124" s="423"/>
      <c r="L124" s="423"/>
      <c r="N124" s="423"/>
      <c r="P124" s="423"/>
      <c r="R124" s="423"/>
      <c r="T124" s="423"/>
      <c r="V124" s="423"/>
      <c r="X124" s="423"/>
      <c r="Z124" s="423"/>
      <c r="AB124" s="423"/>
      <c r="AD124" s="423"/>
      <c r="AF124" s="423"/>
    </row>
    <row r="125" spans="2:32" s="422" customFormat="1" ht="9.9499999999999993" customHeight="1" x14ac:dyDescent="0.2">
      <c r="B125" s="423"/>
      <c r="F125" s="423"/>
      <c r="H125" s="423"/>
      <c r="J125" s="423"/>
      <c r="L125" s="423"/>
      <c r="N125" s="423"/>
      <c r="P125" s="423"/>
      <c r="R125" s="423"/>
      <c r="T125" s="423"/>
      <c r="V125" s="423"/>
      <c r="X125" s="423"/>
      <c r="Z125" s="423"/>
      <c r="AB125" s="423"/>
      <c r="AD125" s="423"/>
      <c r="AF125" s="423"/>
    </row>
    <row r="126" spans="2:32" s="422" customFormat="1" ht="9.9499999999999993" customHeight="1" x14ac:dyDescent="0.2">
      <c r="B126" s="423"/>
      <c r="F126" s="423"/>
      <c r="H126" s="423"/>
      <c r="J126" s="423"/>
      <c r="L126" s="423"/>
      <c r="N126" s="423"/>
      <c r="P126" s="423"/>
      <c r="R126" s="423"/>
      <c r="T126" s="423"/>
      <c r="V126" s="423"/>
      <c r="X126" s="423"/>
      <c r="Z126" s="423"/>
      <c r="AB126" s="423"/>
      <c r="AD126" s="423"/>
      <c r="AF126" s="423"/>
    </row>
    <row r="127" spans="2:32" s="422" customFormat="1" ht="9.9499999999999993" customHeight="1" x14ac:dyDescent="0.2">
      <c r="B127" s="423"/>
      <c r="F127" s="423"/>
      <c r="H127" s="423"/>
      <c r="J127" s="423"/>
      <c r="L127" s="423"/>
      <c r="N127" s="423"/>
      <c r="P127" s="423"/>
      <c r="R127" s="423"/>
      <c r="T127" s="423"/>
      <c r="V127" s="423"/>
      <c r="X127" s="423"/>
      <c r="Z127" s="423"/>
      <c r="AB127" s="423"/>
      <c r="AD127" s="423"/>
      <c r="AF127" s="423"/>
    </row>
    <row r="128" spans="2:32" s="422" customFormat="1" ht="9.9499999999999993" customHeight="1" x14ac:dyDescent="0.2">
      <c r="B128" s="423"/>
      <c r="F128" s="423"/>
      <c r="H128" s="423"/>
      <c r="J128" s="423"/>
      <c r="L128" s="423"/>
      <c r="N128" s="423"/>
      <c r="P128" s="423"/>
      <c r="R128" s="423"/>
      <c r="T128" s="423"/>
      <c r="V128" s="423"/>
      <c r="X128" s="423"/>
      <c r="Z128" s="423"/>
      <c r="AB128" s="423"/>
      <c r="AD128" s="423"/>
      <c r="AF128" s="423"/>
    </row>
    <row r="129" spans="2:32" s="422" customFormat="1" ht="9.9499999999999993" customHeight="1" x14ac:dyDescent="0.2">
      <c r="B129" s="423"/>
      <c r="F129" s="423"/>
      <c r="H129" s="423"/>
      <c r="J129" s="423"/>
      <c r="L129" s="423"/>
      <c r="N129" s="423"/>
      <c r="P129" s="423"/>
      <c r="R129" s="423"/>
      <c r="T129" s="423"/>
      <c r="V129" s="423"/>
      <c r="X129" s="423"/>
      <c r="Z129" s="423"/>
      <c r="AB129" s="423"/>
      <c r="AD129" s="423"/>
      <c r="AF129" s="423"/>
    </row>
    <row r="130" spans="2:32" s="422" customFormat="1" ht="9.9499999999999993" customHeight="1" x14ac:dyDescent="0.2">
      <c r="B130" s="423"/>
      <c r="F130" s="423"/>
      <c r="H130" s="423"/>
      <c r="J130" s="423"/>
      <c r="L130" s="423"/>
      <c r="N130" s="423"/>
      <c r="P130" s="423"/>
      <c r="R130" s="423"/>
      <c r="T130" s="423"/>
      <c r="V130" s="423"/>
      <c r="X130" s="423"/>
      <c r="Z130" s="423"/>
      <c r="AB130" s="423"/>
      <c r="AD130" s="423"/>
      <c r="AF130" s="423"/>
    </row>
    <row r="131" spans="2:32" s="422" customFormat="1" ht="9.9499999999999993" customHeight="1" x14ac:dyDescent="0.2">
      <c r="B131" s="423"/>
      <c r="F131" s="423"/>
      <c r="H131" s="423"/>
      <c r="J131" s="423"/>
      <c r="L131" s="423"/>
      <c r="N131" s="423"/>
      <c r="P131" s="423"/>
      <c r="R131" s="423"/>
      <c r="T131" s="423"/>
      <c r="V131" s="423"/>
      <c r="X131" s="423"/>
      <c r="Z131" s="423"/>
      <c r="AB131" s="423"/>
      <c r="AD131" s="423"/>
      <c r="AF131" s="423"/>
    </row>
    <row r="132" spans="2:32" s="422" customFormat="1" ht="9.9499999999999993" customHeight="1" x14ac:dyDescent="0.2">
      <c r="B132" s="423"/>
      <c r="F132" s="423"/>
      <c r="H132" s="423"/>
      <c r="J132" s="423"/>
      <c r="L132" s="423"/>
      <c r="N132" s="423"/>
      <c r="P132" s="423"/>
      <c r="R132" s="423"/>
      <c r="T132" s="423"/>
      <c r="V132" s="423"/>
      <c r="X132" s="423"/>
      <c r="Z132" s="423"/>
      <c r="AB132" s="423"/>
      <c r="AD132" s="423"/>
      <c r="AF132" s="423"/>
    </row>
    <row r="133" spans="2:32" s="422" customFormat="1" ht="9.9499999999999993" customHeight="1" x14ac:dyDescent="0.2">
      <c r="B133" s="423"/>
      <c r="F133" s="423"/>
      <c r="H133" s="423"/>
      <c r="J133" s="423"/>
      <c r="L133" s="423"/>
      <c r="N133" s="423"/>
      <c r="P133" s="423"/>
      <c r="R133" s="423"/>
      <c r="T133" s="423"/>
      <c r="V133" s="423"/>
      <c r="X133" s="423"/>
      <c r="Z133" s="423"/>
      <c r="AB133" s="423"/>
      <c r="AD133" s="423"/>
      <c r="AF133" s="423"/>
    </row>
    <row r="134" spans="2:32" s="422" customFormat="1" ht="9.9499999999999993" customHeight="1" x14ac:dyDescent="0.2">
      <c r="B134" s="423"/>
      <c r="F134" s="423"/>
      <c r="H134" s="423"/>
      <c r="J134" s="423"/>
      <c r="L134" s="423"/>
      <c r="N134" s="423"/>
      <c r="P134" s="423"/>
      <c r="R134" s="423"/>
      <c r="T134" s="423"/>
      <c r="V134" s="423"/>
      <c r="X134" s="423"/>
      <c r="Z134" s="423"/>
      <c r="AB134" s="423"/>
      <c r="AD134" s="423"/>
      <c r="AF134" s="423"/>
    </row>
    <row r="135" spans="2:32" s="422" customFormat="1" ht="9.9499999999999993" customHeight="1" x14ac:dyDescent="0.2">
      <c r="B135" s="423"/>
      <c r="F135" s="423"/>
      <c r="H135" s="423"/>
      <c r="J135" s="423"/>
      <c r="L135" s="423"/>
      <c r="N135" s="423"/>
      <c r="P135" s="423"/>
      <c r="R135" s="423"/>
      <c r="T135" s="423"/>
      <c r="V135" s="423"/>
      <c r="X135" s="423"/>
      <c r="Z135" s="423"/>
      <c r="AB135" s="423"/>
      <c r="AD135" s="423"/>
      <c r="AF135" s="423"/>
    </row>
    <row r="136" spans="2:32" s="422" customFormat="1" ht="9.9499999999999993" customHeight="1" x14ac:dyDescent="0.2">
      <c r="B136" s="423"/>
      <c r="F136" s="423"/>
      <c r="H136" s="423"/>
      <c r="J136" s="423"/>
      <c r="L136" s="423"/>
      <c r="N136" s="423"/>
      <c r="P136" s="423"/>
      <c r="R136" s="423"/>
      <c r="T136" s="423"/>
      <c r="V136" s="423"/>
      <c r="X136" s="423"/>
      <c r="Z136" s="423"/>
      <c r="AB136" s="423"/>
      <c r="AD136" s="423"/>
      <c r="AF136" s="423"/>
    </row>
    <row r="137" spans="2:32" s="422" customFormat="1" ht="9.9499999999999993" customHeight="1" x14ac:dyDescent="0.2">
      <c r="B137" s="423"/>
      <c r="F137" s="423"/>
      <c r="H137" s="423"/>
      <c r="J137" s="423"/>
      <c r="L137" s="423"/>
      <c r="N137" s="423"/>
      <c r="P137" s="423"/>
      <c r="R137" s="423"/>
      <c r="T137" s="423"/>
      <c r="V137" s="423"/>
      <c r="X137" s="423"/>
      <c r="Z137" s="423"/>
      <c r="AB137" s="423"/>
      <c r="AD137" s="423"/>
      <c r="AF137" s="423"/>
    </row>
    <row r="138" spans="2:32" s="422" customFormat="1" ht="9.9499999999999993" customHeight="1" x14ac:dyDescent="0.2">
      <c r="B138" s="423"/>
      <c r="F138" s="423"/>
      <c r="H138" s="423"/>
      <c r="J138" s="423"/>
      <c r="L138" s="423"/>
      <c r="N138" s="423"/>
      <c r="P138" s="423"/>
      <c r="R138" s="423"/>
      <c r="T138" s="423"/>
      <c r="V138" s="423"/>
      <c r="X138" s="423"/>
      <c r="Z138" s="423"/>
      <c r="AB138" s="423"/>
      <c r="AD138" s="423"/>
      <c r="AF138" s="423"/>
    </row>
    <row r="139" spans="2:32" s="422" customFormat="1" ht="9.9499999999999993" customHeight="1" x14ac:dyDescent="0.2">
      <c r="B139" s="423"/>
      <c r="F139" s="423"/>
      <c r="H139" s="423"/>
      <c r="J139" s="423"/>
      <c r="L139" s="423"/>
      <c r="N139" s="423"/>
      <c r="P139" s="423"/>
      <c r="R139" s="423"/>
      <c r="T139" s="423"/>
      <c r="V139" s="423"/>
      <c r="X139" s="423"/>
      <c r="Z139" s="423"/>
      <c r="AB139" s="423"/>
      <c r="AD139" s="423"/>
      <c r="AF139" s="423"/>
    </row>
    <row r="140" spans="2:32" s="422" customFormat="1" ht="9.9499999999999993" customHeight="1" x14ac:dyDescent="0.2">
      <c r="B140" s="423"/>
      <c r="F140" s="423"/>
      <c r="H140" s="423"/>
      <c r="J140" s="423"/>
      <c r="L140" s="423"/>
      <c r="N140" s="423"/>
      <c r="P140" s="423"/>
      <c r="R140" s="423"/>
      <c r="T140" s="423"/>
      <c r="V140" s="423"/>
      <c r="X140" s="423"/>
      <c r="Z140" s="423"/>
      <c r="AB140" s="423"/>
      <c r="AD140" s="423"/>
      <c r="AF140" s="423"/>
    </row>
    <row r="141" spans="2:32" s="422" customFormat="1" ht="9.9499999999999993" customHeight="1" x14ac:dyDescent="0.2">
      <c r="B141" s="423"/>
      <c r="F141" s="423"/>
      <c r="H141" s="423"/>
      <c r="J141" s="423"/>
      <c r="L141" s="423"/>
      <c r="N141" s="423"/>
      <c r="P141" s="423"/>
      <c r="R141" s="423"/>
      <c r="T141" s="423"/>
      <c r="V141" s="423"/>
      <c r="X141" s="423"/>
      <c r="Z141" s="423"/>
      <c r="AB141" s="423"/>
      <c r="AD141" s="423"/>
      <c r="AF141" s="423"/>
    </row>
    <row r="142" spans="2:32" s="422" customFormat="1" ht="9.9499999999999993" customHeight="1" x14ac:dyDescent="0.2">
      <c r="B142" s="423"/>
      <c r="F142" s="423"/>
      <c r="H142" s="423"/>
      <c r="J142" s="423"/>
      <c r="L142" s="423"/>
      <c r="N142" s="423"/>
      <c r="P142" s="423"/>
      <c r="R142" s="423"/>
      <c r="T142" s="423"/>
      <c r="V142" s="423"/>
      <c r="X142" s="423"/>
      <c r="Z142" s="423"/>
      <c r="AB142" s="423"/>
      <c r="AD142" s="423"/>
      <c r="AF142" s="423"/>
    </row>
    <row r="143" spans="2:32" s="422" customFormat="1" ht="9.9499999999999993" customHeight="1" x14ac:dyDescent="0.2">
      <c r="B143" s="423"/>
      <c r="F143" s="423"/>
      <c r="G143" s="422">
        <v>21</v>
      </c>
      <c r="H143" s="423"/>
      <c r="J143" s="423"/>
      <c r="L143" s="423"/>
      <c r="N143" s="423"/>
      <c r="P143" s="423"/>
      <c r="R143" s="423"/>
      <c r="T143" s="423"/>
      <c r="V143" s="423"/>
      <c r="X143" s="423"/>
      <c r="Z143" s="423"/>
      <c r="AB143" s="423"/>
      <c r="AD143" s="423"/>
      <c r="AF143" s="423"/>
    </row>
    <row r="144" spans="2:32" s="422" customFormat="1" ht="9.9499999999999993" customHeight="1" x14ac:dyDescent="0.2">
      <c r="B144" s="423"/>
      <c r="F144" s="423"/>
      <c r="H144" s="423"/>
      <c r="J144" s="423"/>
      <c r="L144" s="423"/>
      <c r="N144" s="423"/>
      <c r="P144" s="423"/>
      <c r="R144" s="423"/>
      <c r="T144" s="423"/>
      <c r="V144" s="423"/>
      <c r="X144" s="423"/>
      <c r="Z144" s="423"/>
      <c r="AB144" s="423"/>
      <c r="AD144" s="423"/>
      <c r="AF144" s="423"/>
    </row>
    <row r="145" spans="2:32" s="422" customFormat="1" ht="9.9499999999999993" customHeight="1" x14ac:dyDescent="0.2">
      <c r="B145" s="423"/>
      <c r="F145" s="423"/>
      <c r="H145" s="423"/>
      <c r="J145" s="423"/>
      <c r="L145" s="423"/>
      <c r="N145" s="423"/>
      <c r="P145" s="423"/>
      <c r="R145" s="423"/>
      <c r="T145" s="423"/>
      <c r="V145" s="423"/>
      <c r="X145" s="423"/>
      <c r="Z145" s="423"/>
      <c r="AB145" s="423"/>
      <c r="AD145" s="423"/>
      <c r="AF145" s="423"/>
    </row>
    <row r="146" spans="2:32" s="422" customFormat="1" ht="9.9499999999999993" customHeight="1" x14ac:dyDescent="0.2">
      <c r="B146" s="423"/>
      <c r="F146" s="423"/>
      <c r="H146" s="423"/>
      <c r="J146" s="423"/>
      <c r="L146" s="423"/>
      <c r="N146" s="423"/>
      <c r="P146" s="423"/>
      <c r="R146" s="423"/>
      <c r="T146" s="423"/>
      <c r="V146" s="423"/>
      <c r="X146" s="423"/>
      <c r="Z146" s="423"/>
      <c r="AB146" s="423"/>
      <c r="AD146" s="423"/>
      <c r="AF146" s="423"/>
    </row>
    <row r="147" spans="2:32" s="422" customFormat="1" ht="9.9499999999999993" customHeight="1" x14ac:dyDescent="0.2">
      <c r="B147" s="423"/>
      <c r="F147" s="423"/>
      <c r="H147" s="423"/>
      <c r="J147" s="423"/>
      <c r="L147" s="423"/>
      <c r="N147" s="423"/>
      <c r="P147" s="423"/>
      <c r="R147" s="423"/>
      <c r="T147" s="423"/>
      <c r="V147" s="423"/>
      <c r="X147" s="423"/>
      <c r="Z147" s="423"/>
      <c r="AB147" s="423"/>
      <c r="AD147" s="423"/>
      <c r="AF147" s="423"/>
    </row>
    <row r="148" spans="2:32" s="422" customFormat="1" ht="9.9499999999999993" customHeight="1" x14ac:dyDescent="0.2">
      <c r="B148" s="423"/>
      <c r="F148" s="423"/>
      <c r="H148" s="423"/>
      <c r="J148" s="423"/>
      <c r="L148" s="423"/>
      <c r="N148" s="423"/>
      <c r="P148" s="423"/>
      <c r="R148" s="423"/>
      <c r="T148" s="423"/>
      <c r="V148" s="423"/>
      <c r="X148" s="423"/>
      <c r="Z148" s="423"/>
      <c r="AB148" s="423"/>
      <c r="AD148" s="423"/>
      <c r="AF148" s="423"/>
    </row>
    <row r="149" spans="2:32" s="422" customFormat="1" ht="9.9499999999999993" customHeight="1" x14ac:dyDescent="0.2">
      <c r="B149" s="423"/>
      <c r="F149" s="423"/>
      <c r="H149" s="423"/>
      <c r="J149" s="423"/>
      <c r="L149" s="423"/>
      <c r="N149" s="423"/>
      <c r="P149" s="423"/>
      <c r="R149" s="423"/>
      <c r="T149" s="423"/>
      <c r="V149" s="423"/>
      <c r="X149" s="423"/>
      <c r="Z149" s="423"/>
      <c r="AB149" s="423"/>
      <c r="AD149" s="423"/>
      <c r="AF149" s="423"/>
    </row>
    <row r="150" spans="2:32" s="422" customFormat="1" ht="9.9499999999999993" customHeight="1" x14ac:dyDescent="0.2">
      <c r="B150" s="423"/>
      <c r="F150" s="423"/>
      <c r="H150" s="423"/>
      <c r="J150" s="423"/>
      <c r="L150" s="423"/>
      <c r="N150" s="423"/>
      <c r="P150" s="423"/>
      <c r="R150" s="423"/>
      <c r="T150" s="423"/>
      <c r="V150" s="423"/>
      <c r="X150" s="423"/>
      <c r="Z150" s="423"/>
      <c r="AB150" s="423"/>
      <c r="AD150" s="423"/>
      <c r="AF150" s="423"/>
    </row>
    <row r="151" spans="2:32" s="422" customFormat="1" ht="9.9499999999999993" customHeight="1" x14ac:dyDescent="0.2">
      <c r="B151" s="423"/>
      <c r="F151" s="423"/>
      <c r="H151" s="423"/>
      <c r="J151" s="423"/>
      <c r="L151" s="423"/>
      <c r="N151" s="423"/>
      <c r="P151" s="423"/>
      <c r="R151" s="423"/>
      <c r="T151" s="423"/>
      <c r="V151" s="423"/>
      <c r="X151" s="423"/>
      <c r="Z151" s="423"/>
      <c r="AB151" s="423"/>
      <c r="AD151" s="423"/>
      <c r="AF151" s="423"/>
    </row>
    <row r="152" spans="2:32" s="422" customFormat="1" ht="9.9499999999999993" customHeight="1" x14ac:dyDescent="0.2">
      <c r="B152" s="423"/>
      <c r="F152" s="423"/>
      <c r="H152" s="423"/>
      <c r="J152" s="423"/>
      <c r="L152" s="423"/>
      <c r="N152" s="423"/>
      <c r="P152" s="423"/>
      <c r="R152" s="423"/>
      <c r="T152" s="423"/>
      <c r="V152" s="423"/>
      <c r="X152" s="423"/>
      <c r="Z152" s="423"/>
      <c r="AB152" s="423"/>
      <c r="AD152" s="423"/>
      <c r="AF152" s="423"/>
    </row>
    <row r="153" spans="2:32" s="422" customFormat="1" ht="9.9499999999999993" customHeight="1" x14ac:dyDescent="0.2">
      <c r="B153" s="423"/>
      <c r="F153" s="423"/>
      <c r="H153" s="423"/>
      <c r="J153" s="423"/>
      <c r="L153" s="423"/>
      <c r="N153" s="423"/>
      <c r="P153" s="423"/>
      <c r="R153" s="423"/>
      <c r="T153" s="423"/>
      <c r="V153" s="423"/>
      <c r="X153" s="423"/>
      <c r="Z153" s="423"/>
      <c r="AB153" s="423"/>
      <c r="AD153" s="423"/>
      <c r="AF153" s="423"/>
    </row>
    <row r="154" spans="2:32" s="422" customFormat="1" ht="9.9499999999999993" customHeight="1" x14ac:dyDescent="0.2">
      <c r="B154" s="423"/>
      <c r="F154" s="423"/>
      <c r="H154" s="423"/>
      <c r="J154" s="423"/>
      <c r="L154" s="423"/>
      <c r="N154" s="423"/>
      <c r="P154" s="423"/>
      <c r="R154" s="423"/>
      <c r="T154" s="423"/>
      <c r="V154" s="423"/>
      <c r="X154" s="423"/>
      <c r="Z154" s="423"/>
      <c r="AB154" s="423"/>
      <c r="AD154" s="423"/>
      <c r="AF154" s="423"/>
    </row>
    <row r="155" spans="2:32" s="422" customFormat="1" ht="9.9499999999999993" customHeight="1" x14ac:dyDescent="0.2">
      <c r="B155" s="423"/>
      <c r="F155" s="423"/>
      <c r="H155" s="423"/>
      <c r="J155" s="423"/>
      <c r="L155" s="423"/>
      <c r="N155" s="423"/>
      <c r="P155" s="423"/>
      <c r="R155" s="423"/>
      <c r="T155" s="423"/>
      <c r="V155" s="423"/>
      <c r="X155" s="423"/>
      <c r="Z155" s="423"/>
      <c r="AB155" s="423"/>
      <c r="AD155" s="423"/>
      <c r="AF155" s="423"/>
    </row>
    <row r="156" spans="2:32" s="422" customFormat="1" ht="9.9499999999999993" customHeight="1" x14ac:dyDescent="0.2">
      <c r="B156" s="423"/>
      <c r="F156" s="423"/>
      <c r="H156" s="423"/>
      <c r="J156" s="423"/>
      <c r="L156" s="423"/>
      <c r="N156" s="423"/>
      <c r="P156" s="423"/>
      <c r="R156" s="423"/>
      <c r="T156" s="423"/>
      <c r="V156" s="423"/>
      <c r="X156" s="423"/>
      <c r="Z156" s="423"/>
      <c r="AB156" s="423"/>
      <c r="AD156" s="423"/>
      <c r="AF156" s="423"/>
    </row>
    <row r="157" spans="2:32" s="422" customFormat="1" ht="9.9499999999999993" customHeight="1" x14ac:dyDescent="0.2">
      <c r="B157" s="423"/>
      <c r="F157" s="423"/>
      <c r="H157" s="423"/>
      <c r="J157" s="423"/>
      <c r="L157" s="423"/>
      <c r="N157" s="423"/>
      <c r="P157" s="423"/>
      <c r="R157" s="423"/>
      <c r="T157" s="423"/>
      <c r="V157" s="423"/>
      <c r="X157" s="423"/>
      <c r="Z157" s="423"/>
      <c r="AB157" s="423"/>
      <c r="AD157" s="423"/>
      <c r="AF157" s="423"/>
    </row>
    <row r="158" spans="2:32" s="422" customFormat="1" ht="9.9499999999999993" customHeight="1" x14ac:dyDescent="0.2">
      <c r="B158" s="423"/>
      <c r="F158" s="423"/>
      <c r="H158" s="423"/>
      <c r="J158" s="423"/>
      <c r="L158" s="423"/>
      <c r="N158" s="423"/>
      <c r="P158" s="423"/>
      <c r="R158" s="423"/>
      <c r="T158" s="423"/>
      <c r="V158" s="423"/>
      <c r="X158" s="423"/>
      <c r="Z158" s="423"/>
      <c r="AB158" s="423"/>
      <c r="AD158" s="423"/>
      <c r="AF158" s="423"/>
    </row>
    <row r="159" spans="2:32" s="422" customFormat="1" ht="9.9499999999999993" customHeight="1" x14ac:dyDescent="0.2">
      <c r="B159" s="423"/>
      <c r="F159" s="423"/>
      <c r="H159" s="423"/>
      <c r="J159" s="423"/>
      <c r="L159" s="423"/>
      <c r="N159" s="423"/>
      <c r="P159" s="423"/>
      <c r="R159" s="423"/>
      <c r="T159" s="423"/>
      <c r="V159" s="423"/>
      <c r="X159" s="423"/>
      <c r="Z159" s="423"/>
      <c r="AB159" s="423"/>
      <c r="AD159" s="423"/>
      <c r="AF159" s="423"/>
    </row>
    <row r="160" spans="2:32" s="422" customFormat="1" ht="9.9499999999999993" customHeight="1" x14ac:dyDescent="0.2">
      <c r="B160" s="423"/>
      <c r="F160" s="423"/>
      <c r="H160" s="423"/>
      <c r="J160" s="423"/>
      <c r="L160" s="423"/>
      <c r="N160" s="423"/>
      <c r="P160" s="423"/>
      <c r="R160" s="423"/>
      <c r="T160" s="423"/>
      <c r="V160" s="423"/>
      <c r="X160" s="423"/>
      <c r="Z160" s="423"/>
      <c r="AB160" s="423"/>
      <c r="AD160" s="423"/>
      <c r="AF160" s="423"/>
    </row>
    <row r="161" spans="2:32" s="422" customFormat="1" ht="9.9499999999999993" customHeight="1" x14ac:dyDescent="0.2">
      <c r="B161" s="423"/>
      <c r="F161" s="423"/>
      <c r="H161" s="423"/>
      <c r="J161" s="423"/>
      <c r="L161" s="423"/>
      <c r="N161" s="423"/>
      <c r="P161" s="423"/>
      <c r="R161" s="423"/>
      <c r="T161" s="423"/>
      <c r="V161" s="423"/>
      <c r="X161" s="423"/>
      <c r="Z161" s="423"/>
      <c r="AB161" s="423"/>
      <c r="AD161" s="423"/>
      <c r="AF161" s="423"/>
    </row>
    <row r="162" spans="2:32" s="422" customFormat="1" ht="9.9499999999999993" customHeight="1" x14ac:dyDescent="0.2">
      <c r="B162" s="423"/>
      <c r="F162" s="423"/>
      <c r="H162" s="423"/>
      <c r="J162" s="423"/>
      <c r="L162" s="423"/>
      <c r="N162" s="423"/>
      <c r="P162" s="423"/>
      <c r="R162" s="423"/>
      <c r="T162" s="423"/>
      <c r="V162" s="423"/>
      <c r="X162" s="423"/>
      <c r="Z162" s="423"/>
      <c r="AB162" s="423"/>
      <c r="AD162" s="423"/>
      <c r="AF162" s="423"/>
    </row>
    <row r="163" spans="2:32" s="422" customFormat="1" ht="9.9499999999999993" customHeight="1" x14ac:dyDescent="0.2">
      <c r="B163" s="423"/>
      <c r="F163" s="423"/>
      <c r="H163" s="423"/>
      <c r="J163" s="423"/>
      <c r="L163" s="423"/>
      <c r="N163" s="423"/>
      <c r="P163" s="423"/>
      <c r="R163" s="423"/>
      <c r="T163" s="423"/>
      <c r="V163" s="423"/>
      <c r="X163" s="423"/>
      <c r="Z163" s="423"/>
      <c r="AB163" s="423"/>
      <c r="AD163" s="423"/>
      <c r="AF163" s="423"/>
    </row>
    <row r="164" spans="2:32" s="422" customFormat="1" ht="9.9499999999999993" customHeight="1" x14ac:dyDescent="0.2">
      <c r="B164" s="423"/>
      <c r="F164" s="423"/>
      <c r="H164" s="423"/>
      <c r="J164" s="423"/>
      <c r="L164" s="423"/>
      <c r="N164" s="423"/>
      <c r="P164" s="423"/>
      <c r="R164" s="423"/>
      <c r="T164" s="423"/>
      <c r="V164" s="423"/>
      <c r="X164" s="423"/>
      <c r="Z164" s="423"/>
      <c r="AB164" s="423"/>
      <c r="AD164" s="423"/>
      <c r="AF164" s="423"/>
    </row>
    <row r="165" spans="2:32" s="422" customFormat="1" ht="9.9499999999999993" customHeight="1" x14ac:dyDescent="0.2">
      <c r="B165" s="423"/>
      <c r="F165" s="423"/>
      <c r="H165" s="423"/>
      <c r="J165" s="423"/>
      <c r="L165" s="423"/>
      <c r="N165" s="423"/>
      <c r="P165" s="423"/>
      <c r="R165" s="423"/>
      <c r="T165" s="423"/>
      <c r="V165" s="423"/>
      <c r="X165" s="423"/>
      <c r="Z165" s="423"/>
      <c r="AB165" s="423"/>
      <c r="AD165" s="423"/>
      <c r="AF165" s="423"/>
    </row>
    <row r="166" spans="2:32" s="422" customFormat="1" ht="9.9499999999999993" customHeight="1" x14ac:dyDescent="0.2">
      <c r="B166" s="423"/>
      <c r="F166" s="423"/>
      <c r="H166" s="423"/>
      <c r="J166" s="423"/>
      <c r="L166" s="423"/>
      <c r="N166" s="423"/>
      <c r="P166" s="423"/>
      <c r="R166" s="423"/>
      <c r="T166" s="423"/>
      <c r="V166" s="423"/>
      <c r="X166" s="423"/>
      <c r="Z166" s="423"/>
      <c r="AB166" s="423"/>
      <c r="AD166" s="423"/>
      <c r="AF166" s="423"/>
    </row>
    <row r="167" spans="2:32" s="422" customFormat="1" ht="9.9499999999999993" customHeight="1" x14ac:dyDescent="0.2">
      <c r="B167" s="423"/>
      <c r="F167" s="423"/>
      <c r="H167" s="423"/>
      <c r="J167" s="423"/>
      <c r="L167" s="423"/>
      <c r="N167" s="423"/>
      <c r="P167" s="423"/>
      <c r="R167" s="423"/>
      <c r="T167" s="423"/>
      <c r="V167" s="423"/>
      <c r="X167" s="423"/>
      <c r="Z167" s="423"/>
      <c r="AB167" s="423"/>
      <c r="AD167" s="423"/>
      <c r="AF167" s="423"/>
    </row>
    <row r="168" spans="2:32" s="422" customFormat="1" ht="9.9499999999999993" customHeight="1" x14ac:dyDescent="0.2">
      <c r="B168" s="423"/>
      <c r="F168" s="423"/>
      <c r="H168" s="423"/>
      <c r="J168" s="423"/>
      <c r="L168" s="423"/>
      <c r="N168" s="423"/>
      <c r="P168" s="423"/>
      <c r="R168" s="423"/>
      <c r="T168" s="423"/>
      <c r="V168" s="423"/>
      <c r="X168" s="423"/>
      <c r="Z168" s="423"/>
      <c r="AB168" s="423"/>
      <c r="AD168" s="423"/>
      <c r="AF168" s="423"/>
    </row>
    <row r="169" spans="2:32" s="422" customFormat="1" ht="9.9499999999999993" customHeight="1" x14ac:dyDescent="0.2">
      <c r="B169" s="423"/>
      <c r="F169" s="423"/>
      <c r="H169" s="423"/>
      <c r="J169" s="423"/>
      <c r="L169" s="423"/>
      <c r="N169" s="423"/>
      <c r="P169" s="423"/>
      <c r="R169" s="423"/>
      <c r="T169" s="423"/>
      <c r="V169" s="423"/>
      <c r="X169" s="423"/>
      <c r="Z169" s="423"/>
      <c r="AB169" s="423"/>
      <c r="AD169" s="423"/>
      <c r="AF169" s="423"/>
    </row>
    <row r="170" spans="2:32" s="422" customFormat="1" ht="9.9499999999999993" customHeight="1" x14ac:dyDescent="0.2">
      <c r="B170" s="423"/>
      <c r="F170" s="423"/>
      <c r="H170" s="423"/>
      <c r="J170" s="423"/>
      <c r="L170" s="423"/>
      <c r="N170" s="423"/>
      <c r="P170" s="423"/>
      <c r="R170" s="423"/>
      <c r="T170" s="423"/>
      <c r="V170" s="423"/>
      <c r="X170" s="423"/>
      <c r="Z170" s="423"/>
      <c r="AB170" s="423"/>
      <c r="AD170" s="423"/>
      <c r="AF170" s="423"/>
    </row>
    <row r="171" spans="2:32" s="326" customFormat="1" ht="9.9499999999999993" customHeight="1" x14ac:dyDescent="0.2">
      <c r="B171" s="327"/>
      <c r="F171" s="327"/>
      <c r="H171" s="327"/>
      <c r="J171" s="327"/>
      <c r="L171" s="327"/>
      <c r="N171" s="327"/>
      <c r="P171" s="327"/>
      <c r="R171" s="327"/>
      <c r="T171" s="327"/>
      <c r="V171" s="327"/>
      <c r="X171" s="327"/>
      <c r="Z171" s="327"/>
      <c r="AB171" s="327"/>
      <c r="AD171" s="327"/>
      <c r="AF171" s="327"/>
    </row>
    <row r="172" spans="2:32" s="326" customFormat="1" ht="9.9499999999999993" customHeight="1" x14ac:dyDescent="0.2">
      <c r="B172" s="327"/>
      <c r="F172" s="327"/>
      <c r="H172" s="327"/>
      <c r="J172" s="327"/>
      <c r="L172" s="327"/>
      <c r="N172" s="327"/>
      <c r="P172" s="327"/>
      <c r="R172" s="327"/>
      <c r="T172" s="327"/>
      <c r="V172" s="327"/>
      <c r="X172" s="327"/>
      <c r="Z172" s="327"/>
      <c r="AB172" s="327"/>
      <c r="AD172" s="327"/>
      <c r="AF172" s="327"/>
    </row>
    <row r="173" spans="2:32" s="326" customFormat="1" ht="9.9499999999999993" customHeight="1" x14ac:dyDescent="0.2">
      <c r="B173" s="327"/>
      <c r="F173" s="327"/>
      <c r="H173" s="327"/>
      <c r="J173" s="327"/>
      <c r="L173" s="327"/>
      <c r="N173" s="327"/>
      <c r="P173" s="327"/>
      <c r="R173" s="327"/>
      <c r="T173" s="327"/>
      <c r="V173" s="327"/>
      <c r="X173" s="327"/>
      <c r="Z173" s="327"/>
      <c r="AB173" s="327"/>
      <c r="AD173" s="327"/>
      <c r="AF173" s="327"/>
    </row>
    <row r="174" spans="2:32" s="326" customFormat="1" ht="9.9499999999999993" customHeight="1" x14ac:dyDescent="0.2">
      <c r="B174" s="327"/>
      <c r="F174" s="327"/>
      <c r="H174" s="327"/>
      <c r="J174" s="327"/>
      <c r="L174" s="327"/>
      <c r="N174" s="327"/>
      <c r="P174" s="327"/>
      <c r="R174" s="327"/>
      <c r="T174" s="327"/>
      <c r="V174" s="327"/>
      <c r="X174" s="327"/>
      <c r="Z174" s="327"/>
      <c r="AB174" s="327"/>
      <c r="AD174" s="327"/>
      <c r="AF174" s="327"/>
    </row>
    <row r="175" spans="2:32" s="326" customFormat="1" ht="9.9499999999999993" customHeight="1" x14ac:dyDescent="0.2">
      <c r="B175" s="327"/>
      <c r="F175" s="327"/>
      <c r="H175" s="327"/>
      <c r="J175" s="327"/>
      <c r="L175" s="327"/>
      <c r="N175" s="327"/>
      <c r="P175" s="327"/>
      <c r="R175" s="327"/>
      <c r="T175" s="327"/>
      <c r="V175" s="327"/>
      <c r="X175" s="327"/>
      <c r="Z175" s="327"/>
      <c r="AB175" s="327"/>
      <c r="AD175" s="327"/>
      <c r="AF175" s="327"/>
    </row>
    <row r="176" spans="2:32" s="326" customFormat="1" ht="9.9499999999999993" customHeight="1" x14ac:dyDescent="0.2">
      <c r="B176" s="327"/>
      <c r="F176" s="327"/>
      <c r="H176" s="327"/>
      <c r="J176" s="327"/>
      <c r="L176" s="327"/>
      <c r="N176" s="327"/>
      <c r="P176" s="327"/>
      <c r="R176" s="327"/>
      <c r="T176" s="327"/>
      <c r="V176" s="327"/>
      <c r="X176" s="327"/>
      <c r="Z176" s="327"/>
      <c r="AB176" s="327"/>
      <c r="AD176" s="327"/>
      <c r="AF176" s="327"/>
    </row>
    <row r="177" spans="2:32" s="326" customFormat="1" ht="9.9499999999999993" customHeight="1" x14ac:dyDescent="0.2">
      <c r="B177" s="327"/>
      <c r="F177" s="327"/>
      <c r="H177" s="327"/>
      <c r="J177" s="327"/>
      <c r="L177" s="327"/>
      <c r="N177" s="327"/>
      <c r="P177" s="327"/>
      <c r="R177" s="327"/>
      <c r="T177" s="327"/>
      <c r="V177" s="327"/>
      <c r="X177" s="327"/>
      <c r="Z177" s="327"/>
      <c r="AB177" s="327"/>
      <c r="AD177" s="327"/>
      <c r="AF177" s="327"/>
    </row>
    <row r="178" spans="2:32" s="326" customFormat="1" ht="9.9499999999999993" customHeight="1" x14ac:dyDescent="0.2">
      <c r="B178" s="327"/>
      <c r="F178" s="327"/>
      <c r="H178" s="327"/>
      <c r="J178" s="327"/>
      <c r="L178" s="327"/>
      <c r="N178" s="327"/>
      <c r="P178" s="327"/>
      <c r="R178" s="327"/>
      <c r="T178" s="327"/>
      <c r="V178" s="327"/>
      <c r="X178" s="327"/>
      <c r="Z178" s="327"/>
      <c r="AB178" s="327"/>
      <c r="AD178" s="327"/>
      <c r="AF178" s="327"/>
    </row>
    <row r="179" spans="2:32" s="326" customFormat="1" ht="9.9499999999999993" customHeight="1" x14ac:dyDescent="0.2">
      <c r="B179" s="327"/>
      <c r="F179" s="327"/>
      <c r="H179" s="327"/>
      <c r="J179" s="327"/>
      <c r="L179" s="327"/>
      <c r="N179" s="327"/>
      <c r="P179" s="327"/>
      <c r="R179" s="327"/>
      <c r="T179" s="327"/>
      <c r="V179" s="327"/>
      <c r="X179" s="327"/>
      <c r="Z179" s="327"/>
      <c r="AB179" s="327"/>
      <c r="AD179" s="327"/>
      <c r="AF179" s="327"/>
    </row>
    <row r="180" spans="2:32" s="326" customFormat="1" ht="9.9499999999999993" customHeight="1" x14ac:dyDescent="0.2">
      <c r="B180" s="327"/>
      <c r="F180" s="327"/>
      <c r="H180" s="327"/>
      <c r="J180" s="327"/>
      <c r="L180" s="327"/>
      <c r="N180" s="327"/>
      <c r="P180" s="327"/>
      <c r="R180" s="327"/>
      <c r="T180" s="327"/>
      <c r="V180" s="327"/>
      <c r="X180" s="327"/>
      <c r="Z180" s="327"/>
      <c r="AB180" s="327"/>
      <c r="AD180" s="327"/>
      <c r="AF180" s="327"/>
    </row>
    <row r="181" spans="2:32" s="326" customFormat="1" ht="9.9499999999999993" customHeight="1" x14ac:dyDescent="0.2">
      <c r="B181" s="327"/>
      <c r="F181" s="327"/>
      <c r="H181" s="327"/>
      <c r="J181" s="327"/>
      <c r="L181" s="327"/>
      <c r="N181" s="327"/>
      <c r="P181" s="327"/>
      <c r="R181" s="327"/>
      <c r="T181" s="327"/>
      <c r="V181" s="327"/>
      <c r="X181" s="327"/>
      <c r="Z181" s="327"/>
      <c r="AB181" s="327"/>
      <c r="AD181" s="327"/>
      <c r="AF181" s="327"/>
    </row>
    <row r="182" spans="2:32" s="326" customFormat="1" ht="9.9499999999999993" customHeight="1" x14ac:dyDescent="0.2">
      <c r="B182" s="327"/>
      <c r="F182" s="327"/>
      <c r="H182" s="327"/>
      <c r="J182" s="327"/>
      <c r="L182" s="327"/>
      <c r="N182" s="327"/>
      <c r="P182" s="327"/>
      <c r="R182" s="327"/>
      <c r="T182" s="327"/>
      <c r="V182" s="327"/>
      <c r="X182" s="327"/>
      <c r="Z182" s="327"/>
      <c r="AB182" s="327"/>
      <c r="AD182" s="327"/>
      <c r="AF182" s="327"/>
    </row>
    <row r="183" spans="2:32" s="326" customFormat="1" ht="9.9499999999999993" customHeight="1" x14ac:dyDescent="0.2">
      <c r="B183" s="327"/>
      <c r="F183" s="327"/>
      <c r="H183" s="327"/>
      <c r="J183" s="327"/>
      <c r="L183" s="327"/>
      <c r="N183" s="327"/>
      <c r="P183" s="327"/>
      <c r="R183" s="327"/>
      <c r="T183" s="327"/>
      <c r="V183" s="327"/>
      <c r="X183" s="327"/>
      <c r="Z183" s="327"/>
      <c r="AB183" s="327"/>
      <c r="AD183" s="327"/>
      <c r="AF183" s="327"/>
    </row>
    <row r="184" spans="2:32" s="326" customFormat="1" ht="9.9499999999999993" customHeight="1" x14ac:dyDescent="0.2">
      <c r="B184" s="327"/>
      <c r="F184" s="327"/>
      <c r="H184" s="327"/>
      <c r="J184" s="327"/>
      <c r="L184" s="327"/>
      <c r="N184" s="327"/>
      <c r="P184" s="327"/>
      <c r="R184" s="327"/>
      <c r="T184" s="327"/>
      <c r="V184" s="327"/>
      <c r="X184" s="327"/>
      <c r="Z184" s="327"/>
      <c r="AB184" s="327"/>
      <c r="AD184" s="327"/>
      <c r="AF184" s="327"/>
    </row>
    <row r="185" spans="2:32" s="326" customFormat="1" ht="9.9499999999999993" customHeight="1" x14ac:dyDescent="0.2">
      <c r="B185" s="327"/>
      <c r="F185" s="327"/>
      <c r="H185" s="327"/>
      <c r="J185" s="327"/>
      <c r="L185" s="327"/>
      <c r="N185" s="327"/>
      <c r="P185" s="327"/>
      <c r="R185" s="327"/>
      <c r="T185" s="327"/>
      <c r="V185" s="327"/>
      <c r="X185" s="327"/>
      <c r="Z185" s="327"/>
      <c r="AB185" s="327"/>
      <c r="AD185" s="327"/>
      <c r="AF185" s="327"/>
    </row>
    <row r="186" spans="2:32" s="326" customFormat="1" ht="9.9499999999999993" customHeight="1" x14ac:dyDescent="0.2">
      <c r="B186" s="327"/>
      <c r="F186" s="327"/>
      <c r="H186" s="327"/>
      <c r="J186" s="327"/>
      <c r="L186" s="327"/>
      <c r="N186" s="327"/>
      <c r="P186" s="327"/>
      <c r="R186" s="327"/>
      <c r="T186" s="327"/>
      <c r="V186" s="327"/>
      <c r="X186" s="327"/>
      <c r="Z186" s="327"/>
      <c r="AB186" s="327"/>
      <c r="AD186" s="327"/>
      <c r="AF186" s="327"/>
    </row>
    <row r="187" spans="2:32" s="326" customFormat="1" ht="9.9499999999999993" customHeight="1" x14ac:dyDescent="0.2">
      <c r="B187" s="327"/>
      <c r="F187" s="327"/>
      <c r="H187" s="327"/>
      <c r="J187" s="327"/>
      <c r="L187" s="327"/>
      <c r="N187" s="327"/>
      <c r="P187" s="327"/>
      <c r="R187" s="327"/>
      <c r="T187" s="327"/>
      <c r="V187" s="327"/>
      <c r="X187" s="327"/>
      <c r="Z187" s="327"/>
      <c r="AB187" s="327"/>
      <c r="AD187" s="327"/>
      <c r="AF187" s="327"/>
    </row>
    <row r="188" spans="2:32" s="326" customFormat="1" ht="9.9499999999999993" customHeight="1" x14ac:dyDescent="0.2">
      <c r="B188" s="327"/>
      <c r="F188" s="327"/>
      <c r="H188" s="327"/>
      <c r="J188" s="327"/>
      <c r="L188" s="327"/>
      <c r="N188" s="327"/>
      <c r="P188" s="327"/>
      <c r="R188" s="327"/>
      <c r="T188" s="327"/>
      <c r="V188" s="327"/>
      <c r="X188" s="327"/>
      <c r="Z188" s="327"/>
      <c r="AB188" s="327"/>
      <c r="AD188" s="327"/>
      <c r="AF188" s="327"/>
    </row>
    <row r="189" spans="2:32" s="326" customFormat="1" ht="9.9499999999999993" customHeight="1" x14ac:dyDescent="0.2">
      <c r="B189" s="327"/>
      <c r="F189" s="327"/>
      <c r="H189" s="327"/>
      <c r="J189" s="327"/>
      <c r="L189" s="327"/>
      <c r="N189" s="327"/>
      <c r="P189" s="327"/>
      <c r="R189" s="327"/>
      <c r="T189" s="327"/>
      <c r="V189" s="327"/>
      <c r="X189" s="327"/>
      <c r="Z189" s="327"/>
      <c r="AB189" s="327"/>
      <c r="AD189" s="327"/>
      <c r="AF189" s="327"/>
    </row>
    <row r="190" spans="2:32" s="326" customFormat="1" ht="9.9499999999999993" customHeight="1" x14ac:dyDescent="0.2">
      <c r="B190" s="327"/>
      <c r="F190" s="327"/>
      <c r="H190" s="327"/>
      <c r="J190" s="327"/>
      <c r="L190" s="327"/>
      <c r="N190" s="327"/>
      <c r="P190" s="327"/>
      <c r="R190" s="327"/>
      <c r="T190" s="327"/>
      <c r="V190" s="327"/>
      <c r="X190" s="327"/>
      <c r="Z190" s="327"/>
      <c r="AB190" s="327"/>
      <c r="AD190" s="327"/>
      <c r="AF190" s="327"/>
    </row>
    <row r="191" spans="2:32" s="326" customFormat="1" ht="9.9499999999999993" customHeight="1" x14ac:dyDescent="0.2">
      <c r="B191" s="327"/>
      <c r="F191" s="327"/>
      <c r="H191" s="327"/>
      <c r="J191" s="327"/>
      <c r="L191" s="327"/>
      <c r="N191" s="327"/>
      <c r="P191" s="327"/>
      <c r="R191" s="327"/>
      <c r="T191" s="327"/>
      <c r="V191" s="327"/>
      <c r="X191" s="327"/>
      <c r="Z191" s="327"/>
      <c r="AB191" s="327"/>
      <c r="AD191" s="327"/>
      <c r="AF191" s="327"/>
    </row>
    <row r="192" spans="2:32" s="326" customFormat="1" ht="9.9499999999999993" customHeight="1" x14ac:dyDescent="0.2">
      <c r="B192" s="327"/>
      <c r="F192" s="327"/>
      <c r="H192" s="327"/>
      <c r="J192" s="327"/>
      <c r="L192" s="327"/>
      <c r="N192" s="327"/>
      <c r="P192" s="327"/>
      <c r="R192" s="327"/>
      <c r="T192" s="327"/>
      <c r="V192" s="327"/>
      <c r="X192" s="327"/>
      <c r="Z192" s="327"/>
      <c r="AB192" s="327"/>
      <c r="AD192" s="327"/>
      <c r="AF192" s="327"/>
    </row>
    <row r="193" spans="2:32" s="326" customFormat="1" ht="9.9499999999999993" customHeight="1" x14ac:dyDescent="0.2">
      <c r="B193" s="327"/>
      <c r="F193" s="327"/>
      <c r="H193" s="327"/>
      <c r="J193" s="327"/>
      <c r="L193" s="327"/>
      <c r="N193" s="327"/>
      <c r="P193" s="327"/>
      <c r="R193" s="327"/>
      <c r="T193" s="327"/>
      <c r="V193" s="327"/>
      <c r="X193" s="327"/>
      <c r="Z193" s="327"/>
      <c r="AB193" s="327"/>
      <c r="AD193" s="327"/>
      <c r="AF193" s="327"/>
    </row>
    <row r="194" spans="2:32" s="326" customFormat="1" ht="9.9499999999999993" customHeight="1" x14ac:dyDescent="0.2">
      <c r="B194" s="327"/>
      <c r="F194" s="327"/>
      <c r="H194" s="327"/>
      <c r="J194" s="327"/>
      <c r="L194" s="327"/>
      <c r="N194" s="327"/>
      <c r="P194" s="327"/>
      <c r="R194" s="327"/>
      <c r="T194" s="327"/>
      <c r="V194" s="327"/>
      <c r="X194" s="327"/>
      <c r="Z194" s="327"/>
      <c r="AB194" s="327"/>
      <c r="AD194" s="327"/>
      <c r="AF194" s="327"/>
    </row>
    <row r="195" spans="2:32" s="326" customFormat="1" ht="9.9499999999999993" customHeight="1" x14ac:dyDescent="0.2">
      <c r="B195" s="327"/>
      <c r="F195" s="327"/>
      <c r="H195" s="327"/>
      <c r="J195" s="327"/>
      <c r="L195" s="327"/>
      <c r="N195" s="327"/>
      <c r="P195" s="327"/>
      <c r="R195" s="327"/>
      <c r="T195" s="327"/>
      <c r="V195" s="327"/>
      <c r="X195" s="327"/>
      <c r="Z195" s="327"/>
      <c r="AB195" s="327"/>
      <c r="AD195" s="327"/>
      <c r="AF195" s="327"/>
    </row>
    <row r="196" spans="2:32" s="326" customFormat="1" ht="9.9499999999999993" customHeight="1" x14ac:dyDescent="0.2">
      <c r="B196" s="327"/>
      <c r="F196" s="327"/>
      <c r="H196" s="327"/>
      <c r="J196" s="327"/>
      <c r="L196" s="327"/>
      <c r="N196" s="327"/>
      <c r="P196" s="327"/>
      <c r="R196" s="327"/>
      <c r="T196" s="327"/>
      <c r="V196" s="327"/>
      <c r="X196" s="327"/>
      <c r="Z196" s="327"/>
      <c r="AB196" s="327"/>
      <c r="AD196" s="327"/>
      <c r="AF196" s="327"/>
    </row>
    <row r="197" spans="2:32" s="326" customFormat="1" ht="9.9499999999999993" customHeight="1" x14ac:dyDescent="0.2">
      <c r="B197" s="327"/>
      <c r="F197" s="327"/>
      <c r="H197" s="327"/>
      <c r="J197" s="327"/>
      <c r="L197" s="327"/>
      <c r="N197" s="327"/>
      <c r="P197" s="327"/>
      <c r="R197" s="327"/>
      <c r="T197" s="327"/>
      <c r="V197" s="327"/>
      <c r="X197" s="327"/>
      <c r="Z197" s="327"/>
      <c r="AB197" s="327"/>
      <c r="AD197" s="327"/>
      <c r="AF197" s="327"/>
    </row>
    <row r="198" spans="2:32" s="326" customFormat="1" ht="9.9499999999999993" customHeight="1" x14ac:dyDescent="0.2">
      <c r="B198" s="327"/>
      <c r="F198" s="327"/>
      <c r="H198" s="327"/>
      <c r="J198" s="327"/>
      <c r="L198" s="327"/>
      <c r="N198" s="327"/>
      <c r="P198" s="327"/>
      <c r="R198" s="327"/>
      <c r="T198" s="327"/>
      <c r="V198" s="327"/>
      <c r="X198" s="327"/>
      <c r="Z198" s="327"/>
      <c r="AB198" s="327"/>
      <c r="AD198" s="327"/>
      <c r="AF198" s="327"/>
    </row>
    <row r="199" spans="2:32" s="326" customFormat="1" ht="9.9499999999999993" customHeight="1" x14ac:dyDescent="0.2">
      <c r="B199" s="327"/>
      <c r="F199" s="327"/>
      <c r="H199" s="327"/>
      <c r="J199" s="327"/>
      <c r="L199" s="327"/>
      <c r="N199" s="327"/>
      <c r="P199" s="327"/>
      <c r="R199" s="327"/>
      <c r="T199" s="327"/>
      <c r="V199" s="327"/>
      <c r="X199" s="327"/>
      <c r="Z199" s="327"/>
      <c r="AB199" s="327"/>
      <c r="AD199" s="327"/>
      <c r="AF199" s="327"/>
    </row>
    <row r="200" spans="2:32" s="326" customFormat="1" ht="9.9499999999999993" customHeight="1" x14ac:dyDescent="0.2">
      <c r="B200" s="327"/>
      <c r="F200" s="327"/>
      <c r="H200" s="327"/>
      <c r="J200" s="327"/>
      <c r="L200" s="327"/>
      <c r="N200" s="327"/>
      <c r="P200" s="327"/>
      <c r="R200" s="327"/>
      <c r="T200" s="327"/>
      <c r="V200" s="327"/>
      <c r="X200" s="327"/>
      <c r="Z200" s="327"/>
      <c r="AB200" s="327"/>
      <c r="AD200" s="327"/>
      <c r="AF200" s="327"/>
    </row>
    <row r="201" spans="2:32" s="326" customFormat="1" ht="9.9499999999999993" customHeight="1" x14ac:dyDescent="0.2">
      <c r="B201" s="327"/>
      <c r="F201" s="327"/>
      <c r="H201" s="327"/>
      <c r="J201" s="327"/>
      <c r="L201" s="327"/>
      <c r="N201" s="327"/>
      <c r="P201" s="327"/>
      <c r="R201" s="327"/>
      <c r="T201" s="327"/>
      <c r="V201" s="327"/>
      <c r="X201" s="327"/>
      <c r="Z201" s="327"/>
      <c r="AB201" s="327"/>
      <c r="AD201" s="327"/>
      <c r="AF201" s="327"/>
    </row>
    <row r="202" spans="2:32" s="326" customFormat="1" ht="9.9499999999999993" customHeight="1" x14ac:dyDescent="0.2">
      <c r="B202" s="327"/>
      <c r="F202" s="327"/>
      <c r="H202" s="327"/>
      <c r="J202" s="327"/>
      <c r="L202" s="327"/>
      <c r="N202" s="327"/>
      <c r="P202" s="327"/>
      <c r="R202" s="327"/>
      <c r="T202" s="327"/>
      <c r="V202" s="327"/>
      <c r="X202" s="327"/>
      <c r="Z202" s="327"/>
      <c r="AB202" s="327"/>
      <c r="AD202" s="327"/>
      <c r="AF202" s="327"/>
    </row>
    <row r="203" spans="2:32" s="326" customFormat="1" ht="9.9499999999999993" customHeight="1" x14ac:dyDescent="0.2">
      <c r="B203" s="327"/>
      <c r="F203" s="327"/>
      <c r="H203" s="327"/>
      <c r="J203" s="327"/>
      <c r="L203" s="327"/>
      <c r="N203" s="327"/>
      <c r="P203" s="327"/>
      <c r="R203" s="327"/>
      <c r="T203" s="327"/>
      <c r="V203" s="327"/>
      <c r="X203" s="327"/>
      <c r="Z203" s="327"/>
      <c r="AB203" s="327"/>
      <c r="AD203" s="327"/>
      <c r="AF203" s="327"/>
    </row>
    <row r="204" spans="2:32" s="326" customFormat="1" ht="9.9499999999999993" customHeight="1" x14ac:dyDescent="0.2">
      <c r="B204" s="327"/>
      <c r="F204" s="327"/>
      <c r="H204" s="327"/>
      <c r="J204" s="327"/>
      <c r="L204" s="327"/>
      <c r="N204" s="327"/>
      <c r="P204" s="327"/>
      <c r="R204" s="327"/>
      <c r="T204" s="327"/>
      <c r="V204" s="327"/>
      <c r="X204" s="327"/>
      <c r="Z204" s="327"/>
      <c r="AB204" s="327"/>
      <c r="AD204" s="327"/>
      <c r="AF204" s="327"/>
    </row>
    <row r="205" spans="2:32" s="326" customFormat="1" ht="9.9499999999999993" customHeight="1" x14ac:dyDescent="0.2">
      <c r="B205" s="327"/>
      <c r="F205" s="327"/>
      <c r="H205" s="327"/>
      <c r="J205" s="327"/>
      <c r="L205" s="327"/>
      <c r="N205" s="327"/>
      <c r="P205" s="327"/>
      <c r="R205" s="327"/>
      <c r="T205" s="327"/>
      <c r="V205" s="327"/>
      <c r="X205" s="327"/>
      <c r="Z205" s="327"/>
      <c r="AB205" s="327"/>
      <c r="AD205" s="327"/>
      <c r="AF205" s="327"/>
    </row>
    <row r="206" spans="2:32" s="326" customFormat="1" ht="9.9499999999999993" customHeight="1" x14ac:dyDescent="0.2">
      <c r="B206" s="327"/>
      <c r="F206" s="327"/>
      <c r="H206" s="327"/>
      <c r="J206" s="327"/>
      <c r="L206" s="327"/>
      <c r="N206" s="327"/>
      <c r="P206" s="327"/>
      <c r="R206" s="327"/>
      <c r="T206" s="327"/>
      <c r="V206" s="327"/>
      <c r="X206" s="327"/>
      <c r="Z206" s="327"/>
      <c r="AB206" s="327"/>
      <c r="AD206" s="327"/>
      <c r="AF206" s="327"/>
    </row>
    <row r="207" spans="2:32" s="326" customFormat="1" ht="9.9499999999999993" customHeight="1" x14ac:dyDescent="0.2">
      <c r="B207" s="327"/>
      <c r="F207" s="327"/>
      <c r="H207" s="327"/>
      <c r="J207" s="327"/>
      <c r="L207" s="327"/>
      <c r="N207" s="327"/>
      <c r="P207" s="327"/>
      <c r="R207" s="327"/>
      <c r="T207" s="327"/>
      <c r="V207" s="327"/>
      <c r="X207" s="327"/>
      <c r="Z207" s="327"/>
      <c r="AB207" s="327"/>
      <c r="AD207" s="327"/>
      <c r="AF207" s="327"/>
    </row>
    <row r="208" spans="2:32" s="326" customFormat="1" ht="9.9499999999999993" customHeight="1" x14ac:dyDescent="0.2">
      <c r="B208" s="327"/>
      <c r="F208" s="327"/>
      <c r="H208" s="327"/>
      <c r="J208" s="327"/>
      <c r="L208" s="327"/>
      <c r="N208" s="327"/>
      <c r="P208" s="327"/>
      <c r="R208" s="327"/>
      <c r="T208" s="327"/>
      <c r="V208" s="327"/>
      <c r="X208" s="327"/>
      <c r="Z208" s="327"/>
      <c r="AB208" s="327"/>
      <c r="AD208" s="327"/>
      <c r="AF208" s="327"/>
    </row>
    <row r="209" spans="2:32" s="326" customFormat="1" ht="9.9499999999999993" customHeight="1" x14ac:dyDescent="0.2">
      <c r="B209" s="327"/>
      <c r="F209" s="327"/>
      <c r="H209" s="327"/>
      <c r="J209" s="327"/>
      <c r="L209" s="327"/>
      <c r="N209" s="327"/>
      <c r="P209" s="327"/>
      <c r="R209" s="327"/>
      <c r="T209" s="327"/>
      <c r="V209" s="327"/>
      <c r="X209" s="327"/>
      <c r="Z209" s="327"/>
      <c r="AB209" s="327"/>
      <c r="AD209" s="327"/>
      <c r="AF209" s="327"/>
    </row>
    <row r="210" spans="2:32" s="326" customFormat="1" ht="9.9499999999999993" customHeight="1" x14ac:dyDescent="0.2">
      <c r="B210" s="327"/>
      <c r="F210" s="327"/>
      <c r="H210" s="327"/>
      <c r="J210" s="327"/>
      <c r="L210" s="327"/>
      <c r="N210" s="327"/>
      <c r="P210" s="327"/>
      <c r="R210" s="327"/>
      <c r="T210" s="327"/>
      <c r="V210" s="327"/>
      <c r="X210" s="327"/>
      <c r="Z210" s="327"/>
      <c r="AB210" s="327"/>
      <c r="AD210" s="327"/>
      <c r="AF210" s="327"/>
    </row>
    <row r="211" spans="2:32" s="326" customFormat="1" ht="9.9499999999999993" customHeight="1" x14ac:dyDescent="0.2">
      <c r="B211" s="327"/>
      <c r="F211" s="327"/>
      <c r="H211" s="327"/>
      <c r="J211" s="327"/>
      <c r="L211" s="327"/>
      <c r="N211" s="327"/>
      <c r="P211" s="327"/>
      <c r="R211" s="327"/>
      <c r="T211" s="327"/>
      <c r="V211" s="327"/>
      <c r="X211" s="327"/>
      <c r="Z211" s="327"/>
      <c r="AB211" s="327"/>
      <c r="AD211" s="327"/>
      <c r="AF211" s="327"/>
    </row>
    <row r="212" spans="2:32" s="326" customFormat="1" ht="9.9499999999999993" customHeight="1" x14ac:dyDescent="0.2">
      <c r="B212" s="327"/>
      <c r="F212" s="327"/>
      <c r="H212" s="327"/>
      <c r="J212" s="327"/>
      <c r="L212" s="327"/>
      <c r="N212" s="327"/>
      <c r="P212" s="327"/>
      <c r="R212" s="327"/>
      <c r="T212" s="327"/>
      <c r="V212" s="327"/>
      <c r="X212" s="327"/>
      <c r="Z212" s="327"/>
      <c r="AB212" s="327"/>
      <c r="AD212" s="327"/>
      <c r="AF212" s="327"/>
    </row>
    <row r="213" spans="2:32" s="326" customFormat="1" ht="9.9499999999999993" customHeight="1" x14ac:dyDescent="0.2">
      <c r="B213" s="327"/>
      <c r="F213" s="327"/>
      <c r="H213" s="327"/>
      <c r="J213" s="327"/>
      <c r="L213" s="327"/>
      <c r="N213" s="327"/>
      <c r="P213" s="327"/>
      <c r="R213" s="327"/>
      <c r="T213" s="327"/>
      <c r="V213" s="327"/>
      <c r="X213" s="327"/>
      <c r="Z213" s="327"/>
      <c r="AB213" s="327"/>
      <c r="AD213" s="327"/>
      <c r="AF213" s="327"/>
    </row>
    <row r="214" spans="2:32" s="326" customFormat="1" ht="9.9499999999999993" customHeight="1" x14ac:dyDescent="0.2">
      <c r="B214" s="327"/>
      <c r="F214" s="327"/>
      <c r="H214" s="327"/>
      <c r="J214" s="327"/>
      <c r="L214" s="327"/>
      <c r="N214" s="327"/>
      <c r="P214" s="327"/>
      <c r="R214" s="327"/>
      <c r="T214" s="327"/>
      <c r="V214" s="327"/>
      <c r="X214" s="327"/>
      <c r="Z214" s="327"/>
      <c r="AB214" s="327"/>
      <c r="AD214" s="327"/>
      <c r="AF214" s="327"/>
    </row>
    <row r="215" spans="2:32" s="326" customFormat="1" ht="9.9499999999999993" customHeight="1" x14ac:dyDescent="0.2">
      <c r="B215" s="327"/>
      <c r="F215" s="327"/>
      <c r="H215" s="327"/>
      <c r="J215" s="327"/>
      <c r="L215" s="327"/>
      <c r="N215" s="327"/>
      <c r="P215" s="327"/>
      <c r="R215" s="327"/>
      <c r="T215" s="327"/>
      <c r="V215" s="327"/>
      <c r="X215" s="327"/>
      <c r="Z215" s="327"/>
      <c r="AB215" s="327"/>
      <c r="AD215" s="327"/>
      <c r="AF215" s="327"/>
    </row>
    <row r="216" spans="2:32" s="326" customFormat="1" ht="9.9499999999999993" customHeight="1" x14ac:dyDescent="0.2">
      <c r="B216" s="327"/>
      <c r="F216" s="327"/>
      <c r="H216" s="327"/>
      <c r="J216" s="327"/>
      <c r="L216" s="327"/>
      <c r="N216" s="327"/>
      <c r="P216" s="327"/>
      <c r="R216" s="327"/>
      <c r="T216" s="327"/>
      <c r="V216" s="327"/>
      <c r="X216" s="327"/>
      <c r="Z216" s="327"/>
      <c r="AB216" s="327"/>
      <c r="AD216" s="327"/>
      <c r="AF216" s="327"/>
    </row>
    <row r="217" spans="2:32" s="326" customFormat="1" ht="9.9499999999999993" customHeight="1" x14ac:dyDescent="0.2">
      <c r="B217" s="327"/>
      <c r="F217" s="327"/>
      <c r="H217" s="327"/>
      <c r="J217" s="327"/>
      <c r="L217" s="327"/>
      <c r="N217" s="327"/>
      <c r="P217" s="327"/>
      <c r="R217" s="327"/>
      <c r="T217" s="327"/>
      <c r="V217" s="327"/>
      <c r="X217" s="327"/>
      <c r="Z217" s="327"/>
      <c r="AB217" s="327"/>
      <c r="AD217" s="327"/>
      <c r="AF217" s="327"/>
    </row>
    <row r="218" spans="2:32" s="326" customFormat="1" ht="9.9499999999999993" customHeight="1" x14ac:dyDescent="0.2">
      <c r="B218" s="327"/>
      <c r="F218" s="327"/>
      <c r="H218" s="327"/>
      <c r="J218" s="327"/>
      <c r="L218" s="327"/>
      <c r="N218" s="327"/>
      <c r="P218" s="327"/>
      <c r="R218" s="327"/>
      <c r="T218" s="327"/>
      <c r="V218" s="327"/>
      <c r="X218" s="327"/>
      <c r="Z218" s="327"/>
      <c r="AB218" s="327"/>
      <c r="AD218" s="327"/>
      <c r="AF218" s="327"/>
    </row>
    <row r="219" spans="2:32" s="326" customFormat="1" ht="9.9499999999999993" customHeight="1" x14ac:dyDescent="0.2">
      <c r="B219" s="327"/>
      <c r="F219" s="327"/>
      <c r="H219" s="327"/>
      <c r="J219" s="327"/>
      <c r="L219" s="327"/>
      <c r="N219" s="327"/>
      <c r="P219" s="327"/>
      <c r="R219" s="327"/>
      <c r="T219" s="327"/>
      <c r="V219" s="327"/>
      <c r="X219" s="327"/>
      <c r="Z219" s="327"/>
      <c r="AB219" s="327"/>
      <c r="AD219" s="327"/>
      <c r="AF219" s="327"/>
    </row>
    <row r="220" spans="2:32" s="326" customFormat="1" ht="9.9499999999999993" customHeight="1" x14ac:dyDescent="0.2">
      <c r="B220" s="327"/>
      <c r="F220" s="327"/>
      <c r="H220" s="327"/>
      <c r="J220" s="327"/>
      <c r="L220" s="327"/>
      <c r="N220" s="327"/>
      <c r="P220" s="327"/>
      <c r="R220" s="327"/>
      <c r="T220" s="327"/>
      <c r="V220" s="327"/>
      <c r="X220" s="327"/>
      <c r="Z220" s="327"/>
      <c r="AB220" s="327"/>
      <c r="AD220" s="327"/>
      <c r="AF220" s="327"/>
    </row>
    <row r="221" spans="2:32" s="326" customFormat="1" ht="9.9499999999999993" customHeight="1" x14ac:dyDescent="0.2">
      <c r="B221" s="327"/>
      <c r="F221" s="327"/>
      <c r="H221" s="327"/>
      <c r="J221" s="327"/>
      <c r="L221" s="327"/>
      <c r="N221" s="327"/>
      <c r="P221" s="327"/>
      <c r="R221" s="327"/>
      <c r="T221" s="327"/>
      <c r="V221" s="327"/>
      <c r="X221" s="327"/>
      <c r="Z221" s="327"/>
      <c r="AB221" s="327"/>
      <c r="AD221" s="327"/>
      <c r="AF221" s="327"/>
    </row>
    <row r="222" spans="2:32" s="326" customFormat="1" ht="9.9499999999999993" customHeight="1" x14ac:dyDescent="0.2">
      <c r="B222" s="327"/>
      <c r="F222" s="327"/>
      <c r="H222" s="327"/>
      <c r="J222" s="327"/>
      <c r="L222" s="327"/>
      <c r="N222" s="327"/>
      <c r="P222" s="327"/>
      <c r="R222" s="327"/>
      <c r="T222" s="327"/>
      <c r="V222" s="327"/>
      <c r="X222" s="327"/>
      <c r="Z222" s="327"/>
      <c r="AB222" s="327"/>
      <c r="AD222" s="327"/>
      <c r="AF222" s="327"/>
    </row>
    <row r="223" spans="2:32" s="326" customFormat="1" ht="9.9499999999999993" customHeight="1" x14ac:dyDescent="0.2">
      <c r="B223" s="327"/>
      <c r="F223" s="327"/>
      <c r="H223" s="327"/>
      <c r="J223" s="327"/>
      <c r="L223" s="327"/>
      <c r="N223" s="327"/>
      <c r="P223" s="327"/>
      <c r="R223" s="327"/>
      <c r="T223" s="327"/>
      <c r="V223" s="327"/>
      <c r="X223" s="327"/>
      <c r="Z223" s="327"/>
      <c r="AB223" s="327"/>
      <c r="AD223" s="327"/>
      <c r="AF223" s="327"/>
    </row>
    <row r="224" spans="2:32" s="326" customFormat="1" ht="9.9499999999999993" customHeight="1" x14ac:dyDescent="0.2">
      <c r="B224" s="327"/>
      <c r="F224" s="327"/>
      <c r="H224" s="327"/>
      <c r="J224" s="327"/>
      <c r="L224" s="327"/>
      <c r="N224" s="327"/>
      <c r="P224" s="327"/>
      <c r="R224" s="327"/>
      <c r="T224" s="327"/>
      <c r="V224" s="327"/>
      <c r="X224" s="327"/>
      <c r="Z224" s="327"/>
      <c r="AB224" s="327"/>
      <c r="AD224" s="327"/>
      <c r="AF224" s="327"/>
    </row>
    <row r="225" spans="2:32" s="326" customFormat="1" ht="9.9499999999999993" customHeight="1" x14ac:dyDescent="0.2">
      <c r="B225" s="327"/>
      <c r="F225" s="327"/>
      <c r="H225" s="327"/>
      <c r="J225" s="327"/>
      <c r="L225" s="327"/>
      <c r="N225" s="327"/>
      <c r="P225" s="327"/>
      <c r="R225" s="327"/>
      <c r="T225" s="327"/>
      <c r="V225" s="327"/>
      <c r="X225" s="327"/>
      <c r="Z225" s="327"/>
      <c r="AB225" s="327"/>
      <c r="AD225" s="327"/>
      <c r="AF225" s="327"/>
    </row>
    <row r="226" spans="2:32" s="326" customFormat="1" ht="9.9499999999999993" customHeight="1" x14ac:dyDescent="0.2">
      <c r="B226" s="327"/>
      <c r="F226" s="327"/>
      <c r="H226" s="327"/>
      <c r="J226" s="327"/>
      <c r="L226" s="327"/>
      <c r="N226" s="327"/>
      <c r="P226" s="327"/>
      <c r="R226" s="327"/>
      <c r="T226" s="327"/>
      <c r="V226" s="327"/>
      <c r="X226" s="327"/>
      <c r="Z226" s="327"/>
      <c r="AB226" s="327"/>
      <c r="AD226" s="327"/>
      <c r="AF226" s="327"/>
    </row>
    <row r="227" spans="2:32" s="326" customFormat="1" ht="9.9499999999999993" customHeight="1" x14ac:dyDescent="0.2">
      <c r="B227" s="327"/>
      <c r="F227" s="327"/>
      <c r="H227" s="327"/>
      <c r="J227" s="327"/>
      <c r="L227" s="327"/>
      <c r="N227" s="327"/>
      <c r="P227" s="327"/>
      <c r="R227" s="327"/>
      <c r="T227" s="327"/>
      <c r="V227" s="327"/>
      <c r="X227" s="327"/>
      <c r="Z227" s="327"/>
      <c r="AB227" s="327"/>
      <c r="AD227" s="327"/>
      <c r="AF227" s="327"/>
    </row>
    <row r="228" spans="2:32" s="326" customFormat="1" ht="9.9499999999999993" customHeight="1" x14ac:dyDescent="0.2">
      <c r="B228" s="327"/>
      <c r="F228" s="327"/>
      <c r="H228" s="327"/>
      <c r="J228" s="327"/>
      <c r="L228" s="327"/>
      <c r="N228" s="327"/>
      <c r="P228" s="327"/>
      <c r="R228" s="327"/>
      <c r="T228" s="327"/>
      <c r="V228" s="327"/>
      <c r="X228" s="327"/>
      <c r="Z228" s="327"/>
      <c r="AB228" s="327"/>
      <c r="AD228" s="327"/>
      <c r="AF228" s="327"/>
    </row>
    <row r="229" spans="2:32" s="326" customFormat="1" ht="9.9499999999999993" customHeight="1" x14ac:dyDescent="0.2">
      <c r="B229" s="327"/>
      <c r="F229" s="327"/>
      <c r="H229" s="327"/>
      <c r="J229" s="327"/>
      <c r="L229" s="327"/>
      <c r="N229" s="327"/>
      <c r="P229" s="327"/>
      <c r="R229" s="327"/>
      <c r="T229" s="327"/>
      <c r="V229" s="327"/>
      <c r="X229" s="327"/>
      <c r="Z229" s="327"/>
      <c r="AB229" s="327"/>
      <c r="AD229" s="327"/>
      <c r="AF229" s="327"/>
    </row>
    <row r="230" spans="2:32" s="326" customFormat="1" ht="9.9499999999999993" customHeight="1" x14ac:dyDescent="0.2">
      <c r="B230" s="327"/>
      <c r="F230" s="327"/>
      <c r="H230" s="327"/>
      <c r="J230" s="327"/>
      <c r="L230" s="327"/>
      <c r="N230" s="327"/>
      <c r="P230" s="327"/>
      <c r="R230" s="327"/>
      <c r="T230" s="327"/>
      <c r="V230" s="327"/>
      <c r="X230" s="327"/>
      <c r="Z230" s="327"/>
      <c r="AB230" s="327"/>
      <c r="AD230" s="327"/>
      <c r="AF230" s="327"/>
    </row>
    <row r="231" spans="2:32" s="326" customFormat="1" ht="9.9499999999999993" customHeight="1" x14ac:dyDescent="0.2">
      <c r="B231" s="327"/>
      <c r="F231" s="327"/>
      <c r="H231" s="327"/>
      <c r="J231" s="327"/>
      <c r="L231" s="327"/>
      <c r="N231" s="327"/>
      <c r="P231" s="327"/>
      <c r="R231" s="327"/>
      <c r="T231" s="327"/>
      <c r="V231" s="327"/>
      <c r="X231" s="327"/>
      <c r="Z231" s="327"/>
      <c r="AB231" s="327"/>
      <c r="AD231" s="327"/>
      <c r="AF231" s="327"/>
    </row>
    <row r="232" spans="2:32" s="326" customFormat="1" ht="9.9499999999999993" customHeight="1" x14ac:dyDescent="0.2">
      <c r="B232" s="327"/>
      <c r="F232" s="327"/>
      <c r="H232" s="327"/>
      <c r="J232" s="327"/>
      <c r="L232" s="327"/>
      <c r="N232" s="327"/>
      <c r="P232" s="327"/>
      <c r="R232" s="327"/>
      <c r="T232" s="327"/>
      <c r="V232" s="327"/>
      <c r="X232" s="327"/>
      <c r="Z232" s="327"/>
      <c r="AB232" s="327"/>
      <c r="AD232" s="327"/>
      <c r="AF232" s="327"/>
    </row>
    <row r="233" spans="2:32" s="326" customFormat="1" ht="9.9499999999999993" customHeight="1" x14ac:dyDescent="0.2">
      <c r="B233" s="327"/>
      <c r="F233" s="327"/>
      <c r="H233" s="327"/>
      <c r="J233" s="327"/>
      <c r="L233" s="327"/>
      <c r="N233" s="327"/>
      <c r="P233" s="327"/>
      <c r="R233" s="327"/>
      <c r="T233" s="327"/>
      <c r="V233" s="327"/>
      <c r="X233" s="327"/>
      <c r="Z233" s="327"/>
      <c r="AB233" s="327"/>
      <c r="AD233" s="327"/>
      <c r="AF233" s="327"/>
    </row>
    <row r="234" spans="2:32" s="326" customFormat="1" ht="9.9499999999999993" customHeight="1" x14ac:dyDescent="0.2">
      <c r="B234" s="327"/>
      <c r="F234" s="327"/>
      <c r="H234" s="327"/>
      <c r="J234" s="327"/>
      <c r="L234" s="327"/>
      <c r="N234" s="327"/>
      <c r="P234" s="327"/>
      <c r="R234" s="327"/>
      <c r="T234" s="327"/>
      <c r="V234" s="327"/>
      <c r="X234" s="327"/>
      <c r="Z234" s="327"/>
      <c r="AB234" s="327"/>
      <c r="AD234" s="327"/>
      <c r="AF234" s="327"/>
    </row>
    <row r="235" spans="2:32" s="326" customFormat="1" ht="9.9499999999999993" customHeight="1" x14ac:dyDescent="0.2">
      <c r="B235" s="327"/>
      <c r="F235" s="327"/>
      <c r="H235" s="327"/>
      <c r="J235" s="327"/>
      <c r="L235" s="327"/>
      <c r="N235" s="327"/>
      <c r="P235" s="327"/>
      <c r="R235" s="327"/>
      <c r="T235" s="327"/>
      <c r="V235" s="327"/>
      <c r="X235" s="327"/>
      <c r="Z235" s="327"/>
      <c r="AB235" s="327"/>
      <c r="AD235" s="327"/>
      <c r="AF235" s="327"/>
    </row>
    <row r="236" spans="2:32" s="326" customFormat="1" ht="9.9499999999999993" customHeight="1" x14ac:dyDescent="0.2">
      <c r="B236" s="327"/>
      <c r="F236" s="327"/>
      <c r="H236" s="327"/>
      <c r="J236" s="327"/>
      <c r="L236" s="327"/>
      <c r="N236" s="327"/>
      <c r="P236" s="327"/>
      <c r="R236" s="327"/>
      <c r="T236" s="327"/>
      <c r="V236" s="327"/>
      <c r="X236" s="327"/>
      <c r="Z236" s="327"/>
      <c r="AB236" s="327"/>
      <c r="AD236" s="327"/>
      <c r="AF236" s="327"/>
    </row>
    <row r="237" spans="2:32" s="326" customFormat="1" ht="9.9499999999999993" customHeight="1" x14ac:dyDescent="0.2">
      <c r="B237" s="327"/>
      <c r="F237" s="327"/>
      <c r="H237" s="327"/>
      <c r="J237" s="327"/>
      <c r="L237" s="327"/>
      <c r="N237" s="327"/>
      <c r="P237" s="327"/>
      <c r="R237" s="327"/>
      <c r="T237" s="327"/>
      <c r="V237" s="327"/>
      <c r="X237" s="327"/>
      <c r="Z237" s="327"/>
      <c r="AB237" s="327"/>
      <c r="AD237" s="327"/>
      <c r="AF237" s="327"/>
    </row>
    <row r="238" spans="2:32" s="326" customFormat="1" ht="9.9499999999999993" customHeight="1" x14ac:dyDescent="0.2">
      <c r="B238" s="327"/>
      <c r="F238" s="327"/>
      <c r="H238" s="327"/>
      <c r="J238" s="327"/>
      <c r="L238" s="327"/>
      <c r="N238" s="327"/>
      <c r="P238" s="327"/>
      <c r="R238" s="327"/>
      <c r="T238" s="327"/>
      <c r="V238" s="327"/>
      <c r="X238" s="327"/>
      <c r="Z238" s="327"/>
      <c r="AB238" s="327"/>
      <c r="AD238" s="327"/>
      <c r="AF238" s="327"/>
    </row>
    <row r="239" spans="2:32" s="326" customFormat="1" ht="9.9499999999999993" customHeight="1" x14ac:dyDescent="0.2">
      <c r="B239" s="327"/>
      <c r="F239" s="327"/>
      <c r="H239" s="327"/>
      <c r="J239" s="327"/>
      <c r="L239" s="327"/>
      <c r="N239" s="327"/>
      <c r="P239" s="327"/>
      <c r="R239" s="327"/>
      <c r="T239" s="327"/>
      <c r="V239" s="327"/>
      <c r="X239" s="327"/>
      <c r="Z239" s="327"/>
      <c r="AB239" s="327"/>
      <c r="AD239" s="327"/>
      <c r="AF239" s="327"/>
    </row>
    <row r="240" spans="2:32" s="326" customFormat="1" ht="9.9499999999999993" customHeight="1" x14ac:dyDescent="0.2">
      <c r="B240" s="327"/>
      <c r="F240" s="327"/>
      <c r="H240" s="327"/>
      <c r="J240" s="327"/>
      <c r="L240" s="327"/>
      <c r="N240" s="327"/>
      <c r="P240" s="327"/>
      <c r="R240" s="327"/>
      <c r="T240" s="327"/>
      <c r="V240" s="327"/>
      <c r="X240" s="327"/>
      <c r="Z240" s="327"/>
      <c r="AB240" s="327"/>
      <c r="AD240" s="327"/>
      <c r="AF240" s="327"/>
    </row>
    <row r="241" spans="2:32" s="326" customFormat="1" ht="9.9499999999999993" customHeight="1" x14ac:dyDescent="0.2">
      <c r="B241" s="327"/>
      <c r="F241" s="327"/>
      <c r="H241" s="327"/>
      <c r="J241" s="327"/>
      <c r="L241" s="327"/>
      <c r="N241" s="327"/>
      <c r="P241" s="327"/>
      <c r="R241" s="327"/>
      <c r="T241" s="327"/>
      <c r="V241" s="327"/>
      <c r="X241" s="327"/>
      <c r="Z241" s="327"/>
      <c r="AB241" s="327"/>
      <c r="AD241" s="327"/>
      <c r="AF241" s="327"/>
    </row>
    <row r="242" spans="2:32" s="326" customFormat="1" ht="9.9499999999999993" customHeight="1" x14ac:dyDescent="0.2">
      <c r="B242" s="327"/>
      <c r="F242" s="327"/>
      <c r="H242" s="327"/>
      <c r="J242" s="327"/>
      <c r="L242" s="327"/>
      <c r="N242" s="327"/>
      <c r="P242" s="327"/>
      <c r="R242" s="327"/>
      <c r="T242" s="327"/>
      <c r="V242" s="327"/>
      <c r="X242" s="327"/>
      <c r="Z242" s="327"/>
      <c r="AB242" s="327"/>
      <c r="AD242" s="327"/>
      <c r="AF242" s="327"/>
    </row>
    <row r="243" spans="2:32" s="326" customFormat="1" ht="9.9499999999999993" customHeight="1" x14ac:dyDescent="0.2">
      <c r="B243" s="327"/>
      <c r="F243" s="327"/>
      <c r="H243" s="327"/>
      <c r="J243" s="327"/>
      <c r="L243" s="327"/>
      <c r="N243" s="327"/>
      <c r="P243" s="327"/>
      <c r="R243" s="327"/>
      <c r="T243" s="327"/>
      <c r="V243" s="327"/>
      <c r="X243" s="327"/>
      <c r="Z243" s="327"/>
      <c r="AB243" s="327"/>
      <c r="AD243" s="327"/>
      <c r="AF243" s="327"/>
    </row>
    <row r="244" spans="2:32" s="326" customFormat="1" ht="9.9499999999999993" customHeight="1" x14ac:dyDescent="0.2">
      <c r="B244" s="327"/>
      <c r="F244" s="327"/>
      <c r="H244" s="327"/>
      <c r="J244" s="327"/>
      <c r="L244" s="327"/>
      <c r="N244" s="327"/>
      <c r="P244" s="327"/>
      <c r="R244" s="327"/>
      <c r="T244" s="327"/>
      <c r="V244" s="327"/>
      <c r="X244" s="327"/>
      <c r="Z244" s="327"/>
      <c r="AB244" s="327"/>
      <c r="AD244" s="327"/>
      <c r="AF244" s="327"/>
    </row>
    <row r="245" spans="2:32" s="326" customFormat="1" ht="9.9499999999999993" customHeight="1" x14ac:dyDescent="0.2">
      <c r="B245" s="327"/>
      <c r="F245" s="327"/>
      <c r="H245" s="327"/>
      <c r="J245" s="327"/>
      <c r="L245" s="327"/>
      <c r="N245" s="327"/>
      <c r="P245" s="327"/>
      <c r="R245" s="327"/>
      <c r="T245" s="327"/>
      <c r="V245" s="327"/>
      <c r="X245" s="327"/>
      <c r="Z245" s="327"/>
      <c r="AB245" s="327"/>
      <c r="AD245" s="327"/>
      <c r="AF245" s="327"/>
    </row>
    <row r="246" spans="2:32" s="326" customFormat="1" ht="9.9499999999999993" customHeight="1" x14ac:dyDescent="0.2">
      <c r="B246" s="327"/>
      <c r="F246" s="327"/>
      <c r="H246" s="327"/>
      <c r="J246" s="327"/>
      <c r="L246" s="327"/>
      <c r="N246" s="327"/>
      <c r="P246" s="327"/>
      <c r="R246" s="327"/>
      <c r="T246" s="327"/>
      <c r="V246" s="327"/>
      <c r="X246" s="327"/>
      <c r="Z246" s="327"/>
      <c r="AB246" s="327"/>
      <c r="AD246" s="327"/>
      <c r="AF246" s="327"/>
    </row>
    <row r="247" spans="2:32" s="326" customFormat="1" ht="9.9499999999999993" customHeight="1" x14ac:dyDescent="0.2">
      <c r="B247" s="327"/>
      <c r="F247" s="327"/>
      <c r="H247" s="327"/>
      <c r="J247" s="327"/>
      <c r="L247" s="327"/>
      <c r="N247" s="327"/>
      <c r="P247" s="327"/>
      <c r="R247" s="327"/>
      <c r="T247" s="327"/>
      <c r="V247" s="327"/>
      <c r="X247" s="327"/>
      <c r="Z247" s="327"/>
      <c r="AB247" s="327"/>
      <c r="AD247" s="327"/>
      <c r="AF247" s="327"/>
    </row>
    <row r="248" spans="2:32" s="326" customFormat="1" ht="9.9499999999999993" customHeight="1" x14ac:dyDescent="0.2">
      <c r="B248" s="327"/>
      <c r="F248" s="327"/>
      <c r="H248" s="327"/>
      <c r="J248" s="327"/>
      <c r="L248" s="327"/>
      <c r="N248" s="327"/>
      <c r="P248" s="327"/>
      <c r="R248" s="327"/>
      <c r="T248" s="327"/>
      <c r="V248" s="327"/>
      <c r="X248" s="327"/>
      <c r="Z248" s="327"/>
      <c r="AB248" s="327"/>
      <c r="AD248" s="327"/>
      <c r="AF248" s="327"/>
    </row>
    <row r="249" spans="2:32" s="326" customFormat="1" ht="9.9499999999999993" customHeight="1" x14ac:dyDescent="0.2">
      <c r="B249" s="327"/>
      <c r="F249" s="327"/>
      <c r="H249" s="327"/>
      <c r="J249" s="327"/>
      <c r="L249" s="327"/>
      <c r="N249" s="327"/>
      <c r="P249" s="327"/>
      <c r="R249" s="327"/>
      <c r="T249" s="327"/>
      <c r="V249" s="327"/>
      <c r="X249" s="327"/>
      <c r="Z249" s="327"/>
      <c r="AB249" s="327"/>
      <c r="AD249" s="327"/>
      <c r="AF249" s="327"/>
    </row>
    <row r="250" spans="2:32" s="326" customFormat="1" ht="9.9499999999999993" customHeight="1" x14ac:dyDescent="0.2">
      <c r="B250" s="327"/>
      <c r="F250" s="327"/>
      <c r="H250" s="327"/>
      <c r="J250" s="327"/>
      <c r="L250" s="327"/>
      <c r="N250" s="327"/>
      <c r="P250" s="327"/>
      <c r="R250" s="327"/>
      <c r="T250" s="327"/>
      <c r="V250" s="327"/>
      <c r="X250" s="327"/>
      <c r="Z250" s="327"/>
      <c r="AB250" s="327"/>
      <c r="AD250" s="327"/>
      <c r="AF250" s="327"/>
    </row>
    <row r="251" spans="2:32" s="326" customFormat="1" ht="9.9499999999999993" customHeight="1" x14ac:dyDescent="0.2">
      <c r="B251" s="327"/>
      <c r="F251" s="327"/>
      <c r="H251" s="327"/>
      <c r="J251" s="327"/>
      <c r="L251" s="327"/>
      <c r="N251" s="327"/>
      <c r="P251" s="327"/>
      <c r="R251" s="327"/>
      <c r="T251" s="327"/>
      <c r="V251" s="327"/>
      <c r="X251" s="327"/>
      <c r="Z251" s="327"/>
      <c r="AB251" s="327"/>
      <c r="AD251" s="327"/>
      <c r="AF251" s="327"/>
    </row>
    <row r="252" spans="2:32" s="326" customFormat="1" ht="9.9499999999999993" customHeight="1" x14ac:dyDescent="0.2">
      <c r="B252" s="327"/>
      <c r="F252" s="327"/>
      <c r="H252" s="327"/>
      <c r="J252" s="327"/>
      <c r="L252" s="327"/>
      <c r="N252" s="327"/>
      <c r="P252" s="327"/>
      <c r="R252" s="327"/>
      <c r="T252" s="327"/>
      <c r="V252" s="327"/>
      <c r="X252" s="327"/>
      <c r="Z252" s="327"/>
      <c r="AB252" s="327"/>
      <c r="AD252" s="327"/>
      <c r="AF252" s="327"/>
    </row>
    <row r="253" spans="2:32" s="326" customFormat="1" ht="9.9499999999999993" customHeight="1" x14ac:dyDescent="0.2">
      <c r="B253" s="327"/>
      <c r="F253" s="327"/>
      <c r="H253" s="327"/>
      <c r="J253" s="327"/>
      <c r="L253" s="327"/>
      <c r="N253" s="327"/>
      <c r="P253" s="327"/>
      <c r="R253" s="327"/>
      <c r="T253" s="327"/>
      <c r="V253" s="327"/>
      <c r="X253" s="327"/>
      <c r="Z253" s="327"/>
      <c r="AB253" s="327"/>
      <c r="AD253" s="327"/>
      <c r="AF253" s="327"/>
    </row>
    <row r="254" spans="2:32" s="326" customFormat="1" ht="9.9499999999999993" customHeight="1" x14ac:dyDescent="0.2">
      <c r="B254" s="327"/>
      <c r="F254" s="327"/>
      <c r="H254" s="327"/>
      <c r="J254" s="327"/>
      <c r="L254" s="327"/>
      <c r="N254" s="327"/>
      <c r="P254" s="327"/>
      <c r="R254" s="327"/>
      <c r="T254" s="327"/>
      <c r="V254" s="327"/>
      <c r="X254" s="327"/>
      <c r="Z254" s="327"/>
      <c r="AB254" s="327"/>
      <c r="AD254" s="327"/>
      <c r="AF254" s="327"/>
    </row>
    <row r="255" spans="2:32" s="326" customFormat="1" ht="9.9499999999999993" customHeight="1" x14ac:dyDescent="0.2">
      <c r="B255" s="327"/>
      <c r="F255" s="327"/>
      <c r="H255" s="327"/>
      <c r="J255" s="327"/>
      <c r="L255" s="327"/>
      <c r="N255" s="327"/>
      <c r="P255" s="327"/>
      <c r="R255" s="327"/>
      <c r="T255" s="327"/>
      <c r="V255" s="327"/>
      <c r="X255" s="327"/>
      <c r="Z255" s="327"/>
      <c r="AB255" s="327"/>
      <c r="AD255" s="327"/>
      <c r="AF255" s="327"/>
    </row>
    <row r="256" spans="2:32" s="326" customFormat="1" ht="9.9499999999999993" customHeight="1" x14ac:dyDescent="0.2">
      <c r="B256" s="327"/>
      <c r="F256" s="327"/>
      <c r="H256" s="327"/>
      <c r="J256" s="327"/>
      <c r="L256" s="327"/>
      <c r="N256" s="327"/>
      <c r="P256" s="327"/>
      <c r="R256" s="327"/>
      <c r="T256" s="327"/>
      <c r="V256" s="327"/>
      <c r="X256" s="327"/>
      <c r="Z256" s="327"/>
      <c r="AB256" s="327"/>
      <c r="AD256" s="327"/>
      <c r="AF256" s="327"/>
    </row>
    <row r="257" spans="2:32" s="326" customFormat="1" ht="9.9499999999999993" customHeight="1" x14ac:dyDescent="0.2">
      <c r="B257" s="327"/>
      <c r="F257" s="327"/>
      <c r="H257" s="327"/>
      <c r="J257" s="327"/>
      <c r="L257" s="327"/>
      <c r="N257" s="327"/>
      <c r="P257" s="327"/>
      <c r="R257" s="327"/>
      <c r="T257" s="327"/>
      <c r="V257" s="327"/>
      <c r="X257" s="327"/>
      <c r="Z257" s="327"/>
      <c r="AB257" s="327"/>
      <c r="AD257" s="327"/>
      <c r="AF257" s="327"/>
    </row>
    <row r="258" spans="2:32" s="326" customFormat="1" ht="9.9499999999999993" customHeight="1" x14ac:dyDescent="0.2">
      <c r="B258" s="327"/>
      <c r="F258" s="327"/>
      <c r="H258" s="327"/>
      <c r="J258" s="327"/>
      <c r="L258" s="327"/>
      <c r="N258" s="327"/>
      <c r="P258" s="327"/>
      <c r="R258" s="327"/>
      <c r="T258" s="327"/>
      <c r="V258" s="327"/>
      <c r="X258" s="327"/>
      <c r="Z258" s="327"/>
      <c r="AB258" s="327"/>
      <c r="AD258" s="327"/>
      <c r="AF258" s="327"/>
    </row>
    <row r="259" spans="2:32" s="326" customFormat="1" ht="9.9499999999999993" customHeight="1" x14ac:dyDescent="0.2">
      <c r="B259" s="327"/>
      <c r="F259" s="327"/>
      <c r="H259" s="327"/>
      <c r="J259" s="327"/>
      <c r="L259" s="327"/>
      <c r="N259" s="327"/>
      <c r="P259" s="327"/>
      <c r="R259" s="327"/>
      <c r="T259" s="327"/>
      <c r="V259" s="327"/>
      <c r="X259" s="327"/>
      <c r="Z259" s="327"/>
      <c r="AB259" s="327"/>
      <c r="AD259" s="327"/>
      <c r="AF259" s="327"/>
    </row>
    <row r="260" spans="2:32" s="326" customFormat="1" ht="9.9499999999999993" customHeight="1" x14ac:dyDescent="0.2">
      <c r="B260" s="327"/>
      <c r="F260" s="327"/>
      <c r="H260" s="327"/>
      <c r="J260" s="327"/>
      <c r="L260" s="327"/>
      <c r="N260" s="327"/>
      <c r="P260" s="327"/>
      <c r="R260" s="327"/>
      <c r="T260" s="327"/>
      <c r="V260" s="327"/>
      <c r="X260" s="327"/>
      <c r="Z260" s="327"/>
      <c r="AB260" s="327"/>
      <c r="AD260" s="327"/>
      <c r="AF260" s="327"/>
    </row>
    <row r="261" spans="2:32" s="326" customFormat="1" ht="9.9499999999999993" customHeight="1" x14ac:dyDescent="0.2">
      <c r="B261" s="327"/>
      <c r="F261" s="327"/>
      <c r="H261" s="327"/>
      <c r="J261" s="327"/>
      <c r="L261" s="327"/>
      <c r="N261" s="327"/>
      <c r="P261" s="327"/>
      <c r="R261" s="327"/>
      <c r="T261" s="327"/>
      <c r="V261" s="327"/>
      <c r="X261" s="327"/>
      <c r="Z261" s="327"/>
      <c r="AB261" s="327"/>
      <c r="AD261" s="327"/>
      <c r="AF261" s="327"/>
    </row>
    <row r="262" spans="2:32" s="326" customFormat="1" ht="9.9499999999999993" customHeight="1" x14ac:dyDescent="0.2">
      <c r="B262" s="327"/>
      <c r="F262" s="327"/>
      <c r="H262" s="327"/>
      <c r="J262" s="327"/>
      <c r="L262" s="327"/>
      <c r="N262" s="327"/>
      <c r="P262" s="327"/>
      <c r="R262" s="327"/>
      <c r="T262" s="327"/>
      <c r="V262" s="327"/>
      <c r="X262" s="327"/>
      <c r="Z262" s="327"/>
      <c r="AB262" s="327"/>
      <c r="AD262" s="327"/>
      <c r="AF262" s="327"/>
    </row>
    <row r="263" spans="2:32" s="326" customFormat="1" ht="9.9499999999999993" customHeight="1" x14ac:dyDescent="0.2">
      <c r="B263" s="327"/>
      <c r="F263" s="327"/>
      <c r="H263" s="327"/>
      <c r="J263" s="327"/>
      <c r="L263" s="327"/>
      <c r="N263" s="327"/>
      <c r="P263" s="327"/>
      <c r="R263" s="327"/>
      <c r="T263" s="327"/>
      <c r="V263" s="327"/>
      <c r="X263" s="327"/>
      <c r="Z263" s="327"/>
      <c r="AB263" s="327"/>
      <c r="AD263" s="327"/>
      <c r="AF263" s="327"/>
    </row>
    <row r="264" spans="2:32" s="326" customFormat="1" ht="9.9499999999999993" customHeight="1" x14ac:dyDescent="0.2">
      <c r="B264" s="327"/>
      <c r="F264" s="327"/>
      <c r="H264" s="327"/>
      <c r="J264" s="327"/>
      <c r="L264" s="327"/>
      <c r="N264" s="327"/>
      <c r="P264" s="327"/>
      <c r="R264" s="327"/>
      <c r="T264" s="327"/>
      <c r="V264" s="327"/>
      <c r="X264" s="327"/>
      <c r="Z264" s="327"/>
      <c r="AB264" s="327"/>
      <c r="AD264" s="327"/>
      <c r="AF264" s="327"/>
    </row>
    <row r="265" spans="2:32" s="326" customFormat="1" ht="9.9499999999999993" customHeight="1" x14ac:dyDescent="0.2">
      <c r="B265" s="327"/>
      <c r="F265" s="327"/>
      <c r="H265" s="327"/>
      <c r="J265" s="327"/>
      <c r="L265" s="327"/>
      <c r="N265" s="327"/>
      <c r="P265" s="327"/>
      <c r="R265" s="327"/>
      <c r="T265" s="327"/>
      <c r="V265" s="327"/>
      <c r="X265" s="327"/>
      <c r="Z265" s="327"/>
      <c r="AB265" s="327"/>
      <c r="AD265" s="327"/>
      <c r="AF265" s="327"/>
    </row>
    <row r="266" spans="2:32" s="326" customFormat="1" ht="9.9499999999999993" customHeight="1" x14ac:dyDescent="0.2">
      <c r="B266" s="327"/>
      <c r="F266" s="327"/>
      <c r="H266" s="327"/>
      <c r="J266" s="327"/>
      <c r="L266" s="327"/>
      <c r="N266" s="327"/>
      <c r="P266" s="327"/>
      <c r="R266" s="327"/>
      <c r="T266" s="327"/>
      <c r="V266" s="327"/>
      <c r="X266" s="327"/>
      <c r="Z266" s="327"/>
      <c r="AB266" s="327"/>
      <c r="AD266" s="327"/>
      <c r="AF266" s="327"/>
    </row>
    <row r="267" spans="2:32" s="326" customFormat="1" ht="9.9499999999999993" customHeight="1" x14ac:dyDescent="0.2">
      <c r="B267" s="327"/>
      <c r="F267" s="327"/>
      <c r="H267" s="327"/>
      <c r="J267" s="327"/>
      <c r="L267" s="327"/>
      <c r="N267" s="327"/>
      <c r="P267" s="327"/>
      <c r="R267" s="327"/>
      <c r="T267" s="327"/>
      <c r="V267" s="327"/>
      <c r="X267" s="327"/>
      <c r="Z267" s="327"/>
      <c r="AB267" s="327"/>
      <c r="AD267" s="327"/>
      <c r="AF267" s="327"/>
    </row>
    <row r="268" spans="2:32" s="326" customFormat="1" ht="9.9499999999999993" customHeight="1" x14ac:dyDescent="0.2">
      <c r="B268" s="327"/>
      <c r="F268" s="327"/>
      <c r="H268" s="327"/>
      <c r="J268" s="327"/>
      <c r="L268" s="327"/>
      <c r="N268" s="327"/>
      <c r="P268" s="327"/>
      <c r="R268" s="327"/>
      <c r="T268" s="327"/>
      <c r="V268" s="327"/>
      <c r="X268" s="327"/>
      <c r="Z268" s="327"/>
      <c r="AB268" s="327"/>
      <c r="AD268" s="327"/>
      <c r="AF268" s="327"/>
    </row>
    <row r="269" spans="2:32" s="326" customFormat="1" ht="9.9499999999999993" customHeight="1" x14ac:dyDescent="0.2">
      <c r="B269" s="327"/>
      <c r="F269" s="327"/>
      <c r="H269" s="327"/>
      <c r="J269" s="327"/>
      <c r="L269" s="327"/>
      <c r="N269" s="327"/>
      <c r="P269" s="327"/>
      <c r="R269" s="327"/>
      <c r="T269" s="327"/>
      <c r="V269" s="327"/>
      <c r="X269" s="327"/>
      <c r="Z269" s="327"/>
      <c r="AB269" s="327"/>
      <c r="AD269" s="327"/>
      <c r="AF269" s="327"/>
    </row>
    <row r="270" spans="2:32" s="326" customFormat="1" ht="9.9499999999999993" customHeight="1" x14ac:dyDescent="0.2">
      <c r="B270" s="327"/>
      <c r="F270" s="327"/>
      <c r="H270" s="327"/>
      <c r="J270" s="327"/>
      <c r="L270" s="327"/>
      <c r="N270" s="327"/>
      <c r="P270" s="327"/>
      <c r="R270" s="327"/>
      <c r="T270" s="327"/>
      <c r="V270" s="327"/>
      <c r="X270" s="327"/>
      <c r="Z270" s="327"/>
      <c r="AB270" s="327"/>
      <c r="AD270" s="327"/>
      <c r="AF270" s="327"/>
    </row>
    <row r="271" spans="2:32" s="326" customFormat="1" ht="9.9499999999999993" customHeight="1" x14ac:dyDescent="0.2">
      <c r="B271" s="327"/>
      <c r="F271" s="327"/>
      <c r="H271" s="327"/>
      <c r="J271" s="327"/>
      <c r="L271" s="327"/>
      <c r="N271" s="327"/>
      <c r="P271" s="327"/>
      <c r="R271" s="327"/>
      <c r="T271" s="327"/>
      <c r="V271" s="327"/>
      <c r="X271" s="327"/>
      <c r="Z271" s="327"/>
      <c r="AB271" s="327"/>
      <c r="AD271" s="327"/>
      <c r="AF271" s="327"/>
    </row>
    <row r="272" spans="2:32" s="326" customFormat="1" ht="9.9499999999999993" customHeight="1" x14ac:dyDescent="0.2">
      <c r="B272" s="327"/>
      <c r="F272" s="327"/>
      <c r="H272" s="327"/>
      <c r="J272" s="327"/>
      <c r="L272" s="327"/>
      <c r="N272" s="327"/>
      <c r="P272" s="327"/>
      <c r="R272" s="327"/>
      <c r="T272" s="327"/>
      <c r="V272" s="327"/>
      <c r="X272" s="327"/>
      <c r="Z272" s="327"/>
      <c r="AB272" s="327"/>
      <c r="AD272" s="327"/>
      <c r="AF272" s="327"/>
    </row>
    <row r="273" spans="2:32" s="326" customFormat="1" ht="9.9499999999999993" customHeight="1" x14ac:dyDescent="0.2">
      <c r="B273" s="327"/>
      <c r="F273" s="327"/>
      <c r="H273" s="327"/>
      <c r="J273" s="327"/>
      <c r="L273" s="327"/>
      <c r="N273" s="327"/>
      <c r="P273" s="327"/>
      <c r="R273" s="327"/>
      <c r="T273" s="327"/>
      <c r="V273" s="327"/>
      <c r="X273" s="327"/>
      <c r="Z273" s="327"/>
      <c r="AB273" s="327"/>
      <c r="AD273" s="327"/>
      <c r="AF273" s="327"/>
    </row>
    <row r="274" spans="2:32" s="326" customFormat="1" ht="9.9499999999999993" customHeight="1" x14ac:dyDescent="0.2">
      <c r="B274" s="327"/>
      <c r="F274" s="327"/>
      <c r="H274" s="327"/>
      <c r="J274" s="327"/>
      <c r="L274" s="327"/>
      <c r="N274" s="327"/>
      <c r="P274" s="327"/>
      <c r="R274" s="327"/>
      <c r="T274" s="327"/>
      <c r="V274" s="327"/>
      <c r="X274" s="327"/>
      <c r="Z274" s="327"/>
      <c r="AB274" s="327"/>
      <c r="AD274" s="327"/>
      <c r="AF274" s="327"/>
    </row>
    <row r="275" spans="2:32" s="326" customFormat="1" ht="9.9499999999999993" customHeight="1" x14ac:dyDescent="0.2">
      <c r="B275" s="327"/>
      <c r="F275" s="327"/>
      <c r="H275" s="327"/>
      <c r="J275" s="327"/>
      <c r="L275" s="327"/>
      <c r="N275" s="327"/>
      <c r="P275" s="327"/>
      <c r="R275" s="327"/>
      <c r="T275" s="327"/>
      <c r="V275" s="327"/>
      <c r="X275" s="327"/>
      <c r="Z275" s="327"/>
      <c r="AB275" s="327"/>
      <c r="AD275" s="327"/>
      <c r="AF275" s="327"/>
    </row>
    <row r="276" spans="2:32" s="326" customFormat="1" ht="9.9499999999999993" customHeight="1" x14ac:dyDescent="0.2">
      <c r="B276" s="327"/>
      <c r="F276" s="327"/>
      <c r="H276" s="327"/>
      <c r="J276" s="327"/>
      <c r="L276" s="327"/>
      <c r="N276" s="327"/>
      <c r="P276" s="327"/>
      <c r="R276" s="327"/>
      <c r="T276" s="327"/>
      <c r="V276" s="327"/>
      <c r="X276" s="327"/>
      <c r="Z276" s="327"/>
      <c r="AB276" s="327"/>
      <c r="AD276" s="327"/>
      <c r="AF276" s="327"/>
    </row>
    <row r="277" spans="2:32" s="326" customFormat="1" ht="9.9499999999999993" customHeight="1" x14ac:dyDescent="0.2">
      <c r="B277" s="327"/>
      <c r="F277" s="327"/>
      <c r="H277" s="327"/>
      <c r="J277" s="327"/>
      <c r="L277" s="327"/>
      <c r="N277" s="327"/>
      <c r="P277" s="327"/>
      <c r="R277" s="327"/>
      <c r="T277" s="327"/>
      <c r="V277" s="327"/>
      <c r="X277" s="327"/>
      <c r="Z277" s="327"/>
      <c r="AB277" s="327"/>
      <c r="AD277" s="327"/>
      <c r="AF277" s="327"/>
    </row>
    <row r="278" spans="2:32" s="326" customFormat="1" ht="9.9499999999999993" customHeight="1" x14ac:dyDescent="0.2">
      <c r="B278" s="327"/>
      <c r="F278" s="327"/>
      <c r="H278" s="327"/>
      <c r="J278" s="327"/>
      <c r="L278" s="327"/>
      <c r="N278" s="327"/>
      <c r="P278" s="327"/>
      <c r="R278" s="327"/>
      <c r="T278" s="327"/>
      <c r="V278" s="327"/>
      <c r="X278" s="327"/>
      <c r="Z278" s="327"/>
      <c r="AB278" s="327"/>
      <c r="AD278" s="327"/>
      <c r="AF278" s="327"/>
    </row>
    <row r="279" spans="2:32" s="326" customFormat="1" ht="9.9499999999999993" customHeight="1" x14ac:dyDescent="0.2">
      <c r="B279" s="327"/>
      <c r="F279" s="327"/>
      <c r="H279" s="327"/>
      <c r="J279" s="327"/>
      <c r="L279" s="327"/>
      <c r="N279" s="327"/>
      <c r="P279" s="327"/>
      <c r="R279" s="327"/>
      <c r="T279" s="327"/>
      <c r="V279" s="327"/>
      <c r="X279" s="327"/>
      <c r="Z279" s="327"/>
      <c r="AB279" s="327"/>
      <c r="AD279" s="327"/>
      <c r="AF279" s="327"/>
    </row>
    <row r="280" spans="2:32" s="326" customFormat="1" ht="9.9499999999999993" customHeight="1" x14ac:dyDescent="0.2">
      <c r="B280" s="327"/>
      <c r="F280" s="327"/>
      <c r="H280" s="327"/>
      <c r="J280" s="327"/>
      <c r="L280" s="327"/>
      <c r="N280" s="327"/>
      <c r="P280" s="327"/>
      <c r="R280" s="327"/>
      <c r="T280" s="327"/>
      <c r="V280" s="327"/>
      <c r="X280" s="327"/>
      <c r="Z280" s="327"/>
      <c r="AB280" s="327"/>
      <c r="AD280" s="327"/>
      <c r="AF280" s="327"/>
    </row>
    <row r="281" spans="2:32" s="326" customFormat="1" ht="9.9499999999999993" customHeight="1" x14ac:dyDescent="0.2">
      <c r="B281" s="327"/>
      <c r="F281" s="327"/>
      <c r="H281" s="327"/>
      <c r="J281" s="327"/>
      <c r="L281" s="327"/>
      <c r="N281" s="327"/>
      <c r="P281" s="327"/>
      <c r="R281" s="327"/>
      <c r="T281" s="327"/>
      <c r="V281" s="327"/>
      <c r="X281" s="327"/>
      <c r="Z281" s="327"/>
      <c r="AB281" s="327"/>
      <c r="AD281" s="327"/>
      <c r="AF281" s="327"/>
    </row>
    <row r="282" spans="2:32" s="326" customFormat="1" ht="9.9499999999999993" customHeight="1" x14ac:dyDescent="0.2">
      <c r="B282" s="327"/>
      <c r="F282" s="327"/>
      <c r="H282" s="327"/>
      <c r="J282" s="327"/>
      <c r="L282" s="327"/>
      <c r="N282" s="327"/>
      <c r="P282" s="327"/>
      <c r="R282" s="327"/>
      <c r="T282" s="327"/>
      <c r="V282" s="327"/>
      <c r="X282" s="327"/>
      <c r="Z282" s="327"/>
      <c r="AB282" s="327"/>
      <c r="AD282" s="327"/>
      <c r="AF282" s="327"/>
    </row>
    <row r="283" spans="2:32" s="326" customFormat="1" ht="9.9499999999999993" customHeight="1" x14ac:dyDescent="0.2">
      <c r="B283" s="327"/>
      <c r="F283" s="327"/>
      <c r="H283" s="327"/>
      <c r="J283" s="327"/>
      <c r="L283" s="327"/>
      <c r="N283" s="327"/>
      <c r="P283" s="327"/>
      <c r="R283" s="327"/>
      <c r="T283" s="327"/>
      <c r="V283" s="327"/>
      <c r="X283" s="327"/>
      <c r="Z283" s="327"/>
      <c r="AB283" s="327"/>
      <c r="AD283" s="327"/>
      <c r="AF283" s="327"/>
    </row>
    <row r="284" spans="2:32" s="326" customFormat="1" ht="9.9499999999999993" customHeight="1" x14ac:dyDescent="0.2">
      <c r="B284" s="327"/>
      <c r="F284" s="327"/>
      <c r="H284" s="327"/>
      <c r="J284" s="327"/>
      <c r="L284" s="327"/>
      <c r="N284" s="327"/>
      <c r="P284" s="327"/>
      <c r="R284" s="327"/>
      <c r="T284" s="327"/>
      <c r="V284" s="327"/>
      <c r="X284" s="327"/>
      <c r="Z284" s="327"/>
      <c r="AB284" s="327"/>
      <c r="AD284" s="327"/>
      <c r="AF284" s="327"/>
    </row>
    <row r="285" spans="2:32" s="326" customFormat="1" ht="9.9499999999999993" customHeight="1" x14ac:dyDescent="0.2">
      <c r="B285" s="327"/>
      <c r="F285" s="327"/>
      <c r="H285" s="327"/>
      <c r="J285" s="327"/>
      <c r="L285" s="327"/>
      <c r="N285" s="327"/>
      <c r="P285" s="327"/>
      <c r="R285" s="327"/>
      <c r="T285" s="327"/>
      <c r="V285" s="327"/>
      <c r="X285" s="327"/>
      <c r="Z285" s="327"/>
      <c r="AB285" s="327"/>
      <c r="AD285" s="327"/>
      <c r="AF285" s="327"/>
    </row>
    <row r="286" spans="2:32" s="326" customFormat="1" ht="9.9499999999999993" customHeight="1" x14ac:dyDescent="0.2">
      <c r="B286" s="327"/>
      <c r="F286" s="327"/>
      <c r="H286" s="327"/>
      <c r="J286" s="327"/>
      <c r="L286" s="327"/>
      <c r="N286" s="327"/>
      <c r="P286" s="327"/>
      <c r="R286" s="327"/>
      <c r="T286" s="327"/>
      <c r="V286" s="327"/>
      <c r="X286" s="327"/>
      <c r="Z286" s="327"/>
      <c r="AB286" s="327"/>
      <c r="AD286" s="327"/>
      <c r="AF286" s="327"/>
    </row>
    <row r="287" spans="2:32" s="326" customFormat="1" ht="9.9499999999999993" customHeight="1" x14ac:dyDescent="0.2">
      <c r="B287" s="327"/>
      <c r="F287" s="327"/>
      <c r="H287" s="327"/>
      <c r="J287" s="327"/>
      <c r="L287" s="327"/>
      <c r="N287" s="327"/>
      <c r="P287" s="327"/>
      <c r="R287" s="327"/>
      <c r="T287" s="327"/>
      <c r="V287" s="327"/>
      <c r="X287" s="327"/>
      <c r="Z287" s="327"/>
      <c r="AB287" s="327"/>
      <c r="AD287" s="327"/>
      <c r="AF287" s="327"/>
    </row>
    <row r="288" spans="2:32" s="326" customFormat="1" ht="9.9499999999999993" customHeight="1" x14ac:dyDescent="0.2">
      <c r="B288" s="327"/>
      <c r="F288" s="327"/>
      <c r="H288" s="327"/>
      <c r="J288" s="327"/>
      <c r="L288" s="327"/>
      <c r="N288" s="327"/>
      <c r="P288" s="327"/>
      <c r="R288" s="327"/>
      <c r="T288" s="327"/>
      <c r="V288" s="327"/>
      <c r="X288" s="327"/>
      <c r="Z288" s="327"/>
      <c r="AB288" s="327"/>
      <c r="AD288" s="327"/>
      <c r="AF288" s="327"/>
    </row>
    <row r="289" spans="2:32" s="326" customFormat="1" ht="9.9499999999999993" customHeight="1" x14ac:dyDescent="0.2">
      <c r="B289" s="327"/>
      <c r="F289" s="327"/>
      <c r="H289" s="327"/>
      <c r="J289" s="327"/>
      <c r="L289" s="327"/>
      <c r="N289" s="327"/>
      <c r="P289" s="327"/>
      <c r="R289" s="327"/>
      <c r="T289" s="327"/>
      <c r="V289" s="327"/>
      <c r="X289" s="327"/>
      <c r="Z289" s="327"/>
      <c r="AB289" s="327"/>
      <c r="AD289" s="327"/>
      <c r="AF289" s="327"/>
    </row>
    <row r="290" spans="2:32" s="326" customFormat="1" ht="9.9499999999999993" customHeight="1" x14ac:dyDescent="0.2">
      <c r="B290" s="327"/>
      <c r="F290" s="327"/>
      <c r="H290" s="327"/>
      <c r="J290" s="327"/>
      <c r="L290" s="327"/>
      <c r="N290" s="327"/>
      <c r="P290" s="327"/>
      <c r="R290" s="327"/>
      <c r="T290" s="327"/>
      <c r="V290" s="327"/>
      <c r="X290" s="327"/>
      <c r="Z290" s="327"/>
      <c r="AB290" s="327"/>
      <c r="AD290" s="327"/>
      <c r="AF290" s="327"/>
    </row>
    <row r="291" spans="2:32" s="326" customFormat="1" ht="9.9499999999999993" customHeight="1" x14ac:dyDescent="0.2">
      <c r="B291" s="327"/>
      <c r="F291" s="327"/>
      <c r="H291" s="327"/>
      <c r="J291" s="327"/>
      <c r="L291" s="327"/>
      <c r="N291" s="327"/>
      <c r="P291" s="327"/>
      <c r="R291" s="327"/>
      <c r="T291" s="327"/>
      <c r="V291" s="327"/>
      <c r="X291" s="327"/>
      <c r="Z291" s="327"/>
      <c r="AB291" s="327"/>
      <c r="AD291" s="327"/>
      <c r="AF291" s="327"/>
    </row>
    <row r="292" spans="2:32" s="326" customFormat="1" ht="9.9499999999999993" customHeight="1" x14ac:dyDescent="0.2">
      <c r="B292" s="327"/>
      <c r="F292" s="327"/>
      <c r="H292" s="327"/>
      <c r="J292" s="327"/>
      <c r="L292" s="327"/>
      <c r="N292" s="327"/>
      <c r="P292" s="327"/>
      <c r="R292" s="327"/>
      <c r="T292" s="327"/>
      <c r="V292" s="327"/>
      <c r="X292" s="327"/>
      <c r="Z292" s="327"/>
      <c r="AB292" s="327"/>
      <c r="AD292" s="327"/>
      <c r="AF292" s="327"/>
    </row>
    <row r="293" spans="2:32" s="326" customFormat="1" ht="9.9499999999999993" customHeight="1" x14ac:dyDescent="0.2">
      <c r="B293" s="327"/>
      <c r="F293" s="327"/>
      <c r="H293" s="327"/>
      <c r="J293" s="327"/>
      <c r="L293" s="327"/>
      <c r="N293" s="327"/>
      <c r="P293" s="327"/>
      <c r="R293" s="327"/>
      <c r="T293" s="327"/>
      <c r="V293" s="327"/>
      <c r="X293" s="327"/>
      <c r="Z293" s="327"/>
      <c r="AB293" s="327"/>
      <c r="AD293" s="327"/>
      <c r="AF293" s="327"/>
    </row>
    <row r="294" spans="2:32" s="326" customFormat="1" ht="9.9499999999999993" customHeight="1" x14ac:dyDescent="0.2">
      <c r="B294" s="327"/>
      <c r="F294" s="327"/>
      <c r="H294" s="327"/>
      <c r="J294" s="327"/>
      <c r="L294" s="327"/>
      <c r="N294" s="327"/>
      <c r="P294" s="327"/>
      <c r="R294" s="327"/>
      <c r="T294" s="327"/>
      <c r="V294" s="327"/>
      <c r="X294" s="327"/>
      <c r="Z294" s="327"/>
      <c r="AB294" s="327"/>
      <c r="AD294" s="327"/>
      <c r="AF294" s="327"/>
    </row>
    <row r="295" spans="2:32" s="326" customFormat="1" ht="9.9499999999999993" customHeight="1" x14ac:dyDescent="0.2">
      <c r="B295" s="327"/>
      <c r="F295" s="327"/>
      <c r="H295" s="327"/>
      <c r="J295" s="327"/>
      <c r="L295" s="327"/>
      <c r="N295" s="327"/>
      <c r="P295" s="327"/>
      <c r="R295" s="327"/>
      <c r="T295" s="327"/>
      <c r="V295" s="327"/>
      <c r="X295" s="327"/>
      <c r="Z295" s="327"/>
      <c r="AB295" s="327"/>
      <c r="AD295" s="327"/>
      <c r="AF295" s="327"/>
    </row>
    <row r="296" spans="2:32" s="326" customFormat="1" ht="9.9499999999999993" customHeight="1" x14ac:dyDescent="0.2">
      <c r="B296" s="327"/>
      <c r="F296" s="327"/>
      <c r="H296" s="327"/>
      <c r="J296" s="327"/>
      <c r="L296" s="327"/>
      <c r="N296" s="327"/>
      <c r="P296" s="327"/>
      <c r="R296" s="327"/>
      <c r="T296" s="327"/>
      <c r="V296" s="327"/>
      <c r="X296" s="327"/>
      <c r="Z296" s="327"/>
      <c r="AB296" s="327"/>
      <c r="AD296" s="327"/>
      <c r="AF296" s="327"/>
    </row>
    <row r="297" spans="2:32" s="326" customFormat="1" ht="9.9499999999999993" customHeight="1" x14ac:dyDescent="0.2">
      <c r="B297" s="327"/>
      <c r="F297" s="327"/>
      <c r="H297" s="327"/>
      <c r="J297" s="327"/>
      <c r="L297" s="327"/>
      <c r="N297" s="327"/>
      <c r="P297" s="327"/>
      <c r="R297" s="327"/>
      <c r="T297" s="327"/>
      <c r="V297" s="327"/>
      <c r="X297" s="327"/>
      <c r="Z297" s="327"/>
      <c r="AB297" s="327"/>
      <c r="AD297" s="327"/>
      <c r="AF297" s="327"/>
    </row>
    <row r="298" spans="2:32" s="326" customFormat="1" ht="9.9499999999999993" customHeight="1" x14ac:dyDescent="0.2">
      <c r="B298" s="327"/>
      <c r="F298" s="327"/>
      <c r="H298" s="327"/>
      <c r="J298" s="327"/>
      <c r="L298" s="327"/>
      <c r="N298" s="327"/>
      <c r="P298" s="327"/>
      <c r="R298" s="327"/>
      <c r="T298" s="327"/>
      <c r="V298" s="327"/>
      <c r="X298" s="327"/>
      <c r="Z298" s="327"/>
      <c r="AB298" s="327"/>
      <c r="AD298" s="327"/>
      <c r="AF298" s="327"/>
    </row>
    <row r="299" spans="2:32" s="326" customFormat="1" ht="9.9499999999999993" customHeight="1" x14ac:dyDescent="0.2">
      <c r="B299" s="327"/>
      <c r="F299" s="327"/>
      <c r="H299" s="327"/>
      <c r="J299" s="327"/>
      <c r="L299" s="327"/>
      <c r="N299" s="327"/>
      <c r="P299" s="327"/>
      <c r="R299" s="327"/>
      <c r="T299" s="327"/>
      <c r="V299" s="327"/>
      <c r="X299" s="327"/>
      <c r="Z299" s="327"/>
      <c r="AB299" s="327"/>
      <c r="AD299" s="327"/>
      <c r="AF299" s="327"/>
    </row>
    <row r="300" spans="2:32" s="326" customFormat="1" ht="9.9499999999999993" customHeight="1" x14ac:dyDescent="0.2">
      <c r="B300" s="327"/>
      <c r="F300" s="327"/>
      <c r="H300" s="327"/>
      <c r="J300" s="327"/>
      <c r="L300" s="327"/>
      <c r="N300" s="327"/>
      <c r="P300" s="327"/>
      <c r="R300" s="327"/>
      <c r="T300" s="327"/>
      <c r="V300" s="327"/>
      <c r="X300" s="327"/>
      <c r="Z300" s="327"/>
      <c r="AB300" s="327"/>
      <c r="AD300" s="327"/>
      <c r="AF300" s="327"/>
    </row>
    <row r="301" spans="2:32" s="326" customFormat="1" ht="9.9499999999999993" customHeight="1" x14ac:dyDescent="0.2">
      <c r="B301" s="327"/>
      <c r="F301" s="327"/>
      <c r="H301" s="327"/>
      <c r="J301" s="327"/>
      <c r="L301" s="327"/>
      <c r="N301" s="327"/>
      <c r="P301" s="327"/>
      <c r="R301" s="327"/>
      <c r="T301" s="327"/>
      <c r="V301" s="327"/>
      <c r="X301" s="327"/>
      <c r="Z301" s="327"/>
      <c r="AB301" s="327"/>
      <c r="AD301" s="327"/>
      <c r="AF301" s="327"/>
    </row>
    <row r="302" spans="2:32" s="326" customFormat="1" ht="9.9499999999999993" customHeight="1" x14ac:dyDescent="0.2">
      <c r="B302" s="327"/>
      <c r="F302" s="327"/>
      <c r="H302" s="327"/>
      <c r="J302" s="327"/>
      <c r="L302" s="327"/>
      <c r="N302" s="327"/>
      <c r="P302" s="327"/>
      <c r="R302" s="327"/>
      <c r="T302" s="327"/>
      <c r="V302" s="327"/>
      <c r="X302" s="327"/>
      <c r="Z302" s="327"/>
      <c r="AB302" s="327"/>
      <c r="AD302" s="327"/>
      <c r="AF302" s="327"/>
    </row>
    <row r="303" spans="2:32" s="326" customFormat="1" ht="9.9499999999999993" customHeight="1" x14ac:dyDescent="0.2">
      <c r="B303" s="327"/>
      <c r="F303" s="327"/>
      <c r="H303" s="327"/>
      <c r="J303" s="327"/>
      <c r="L303" s="327"/>
      <c r="N303" s="327"/>
      <c r="P303" s="327"/>
      <c r="R303" s="327"/>
      <c r="T303" s="327"/>
      <c r="V303" s="327"/>
      <c r="X303" s="327"/>
      <c r="Z303" s="327"/>
      <c r="AB303" s="327"/>
      <c r="AD303" s="327"/>
      <c r="AF303" s="327"/>
    </row>
    <row r="304" spans="2:32" s="326" customFormat="1" ht="9.9499999999999993" customHeight="1" x14ac:dyDescent="0.2">
      <c r="B304" s="327"/>
      <c r="F304" s="327"/>
      <c r="H304" s="327"/>
      <c r="J304" s="327"/>
      <c r="L304" s="327"/>
      <c r="N304" s="327"/>
      <c r="P304" s="327"/>
      <c r="R304" s="327"/>
      <c r="T304" s="327"/>
      <c r="V304" s="327"/>
      <c r="X304" s="327"/>
      <c r="Z304" s="327"/>
      <c r="AB304" s="327"/>
      <c r="AD304" s="327"/>
      <c r="AF304" s="327"/>
    </row>
    <row r="305" spans="2:32" s="326" customFormat="1" ht="9.9499999999999993" customHeight="1" x14ac:dyDescent="0.2">
      <c r="B305" s="327"/>
      <c r="F305" s="327"/>
      <c r="H305" s="327"/>
      <c r="J305" s="327"/>
      <c r="L305" s="327"/>
      <c r="N305" s="327"/>
      <c r="P305" s="327"/>
      <c r="R305" s="327"/>
      <c r="T305" s="327"/>
      <c r="V305" s="327"/>
      <c r="X305" s="327"/>
      <c r="Z305" s="327"/>
      <c r="AB305" s="327"/>
      <c r="AD305" s="327"/>
      <c r="AF305" s="327"/>
    </row>
    <row r="306" spans="2:32" s="326" customFormat="1" ht="9.9499999999999993" customHeight="1" x14ac:dyDescent="0.2">
      <c r="B306" s="327"/>
      <c r="F306" s="327"/>
      <c r="H306" s="327"/>
      <c r="J306" s="327"/>
      <c r="L306" s="327"/>
      <c r="N306" s="327"/>
      <c r="P306" s="327"/>
      <c r="R306" s="327"/>
      <c r="T306" s="327"/>
      <c r="V306" s="327"/>
      <c r="X306" s="327"/>
      <c r="Z306" s="327"/>
      <c r="AB306" s="327"/>
      <c r="AD306" s="327"/>
      <c r="AF306" s="327"/>
    </row>
    <row r="307" spans="2:32" s="326" customFormat="1" ht="9.9499999999999993" customHeight="1" x14ac:dyDescent="0.2">
      <c r="B307" s="327"/>
      <c r="F307" s="327"/>
      <c r="H307" s="327"/>
      <c r="J307" s="327"/>
      <c r="L307" s="327"/>
      <c r="N307" s="327"/>
      <c r="P307" s="327"/>
      <c r="R307" s="327"/>
      <c r="T307" s="327"/>
      <c r="V307" s="327"/>
      <c r="X307" s="327"/>
      <c r="Z307" s="327"/>
      <c r="AB307" s="327"/>
      <c r="AD307" s="327"/>
      <c r="AF307" s="327"/>
    </row>
    <row r="308" spans="2:32" s="326" customFormat="1" ht="9.9499999999999993" customHeight="1" x14ac:dyDescent="0.2">
      <c r="B308" s="327"/>
      <c r="F308" s="327"/>
      <c r="H308" s="327"/>
      <c r="J308" s="327"/>
      <c r="L308" s="327"/>
      <c r="N308" s="327"/>
      <c r="P308" s="327"/>
      <c r="R308" s="327"/>
      <c r="T308" s="327"/>
      <c r="V308" s="327"/>
      <c r="X308" s="327"/>
      <c r="Z308" s="327"/>
      <c r="AB308" s="327"/>
      <c r="AD308" s="327"/>
      <c r="AF308" s="327"/>
    </row>
    <row r="309" spans="2:32" s="326" customFormat="1" ht="9.9499999999999993" customHeight="1" x14ac:dyDescent="0.2">
      <c r="B309" s="327"/>
      <c r="F309" s="327"/>
      <c r="H309" s="327"/>
      <c r="J309" s="327"/>
      <c r="L309" s="327"/>
      <c r="N309" s="327"/>
      <c r="P309" s="327"/>
      <c r="R309" s="327"/>
      <c r="T309" s="327"/>
      <c r="V309" s="327"/>
      <c r="X309" s="327"/>
      <c r="Z309" s="327"/>
      <c r="AB309" s="327"/>
      <c r="AD309" s="327"/>
      <c r="AF309" s="327"/>
    </row>
    <row r="310" spans="2:32" s="326" customFormat="1" ht="9.9499999999999993" customHeight="1" x14ac:dyDescent="0.2">
      <c r="B310" s="327"/>
      <c r="F310" s="327"/>
      <c r="H310" s="327"/>
      <c r="J310" s="327"/>
      <c r="L310" s="327"/>
      <c r="N310" s="327"/>
      <c r="P310" s="327"/>
      <c r="R310" s="327"/>
      <c r="T310" s="327"/>
      <c r="V310" s="327"/>
      <c r="X310" s="327"/>
      <c r="Z310" s="327"/>
      <c r="AB310" s="327"/>
      <c r="AD310" s="327"/>
      <c r="AF310" s="327"/>
    </row>
    <row r="311" spans="2:32" s="326" customFormat="1" ht="9.9499999999999993" customHeight="1" x14ac:dyDescent="0.2">
      <c r="B311" s="327"/>
      <c r="F311" s="327"/>
      <c r="H311" s="327"/>
      <c r="J311" s="327"/>
      <c r="L311" s="327"/>
      <c r="N311" s="327"/>
      <c r="P311" s="327"/>
      <c r="R311" s="327"/>
      <c r="T311" s="327"/>
      <c r="V311" s="327"/>
      <c r="X311" s="327"/>
      <c r="Z311" s="327"/>
      <c r="AB311" s="327"/>
      <c r="AD311" s="327"/>
      <c r="AF311" s="327"/>
    </row>
    <row r="312" spans="2:32" s="326" customFormat="1" ht="9.9499999999999993" customHeight="1" x14ac:dyDescent="0.2">
      <c r="B312" s="327"/>
      <c r="F312" s="327"/>
      <c r="H312" s="327"/>
      <c r="J312" s="327"/>
      <c r="L312" s="327"/>
      <c r="N312" s="327"/>
      <c r="P312" s="327"/>
      <c r="R312" s="327"/>
      <c r="T312" s="327"/>
      <c r="V312" s="327"/>
      <c r="X312" s="327"/>
      <c r="Z312" s="327"/>
      <c r="AB312" s="327"/>
      <c r="AD312" s="327"/>
      <c r="AF312" s="327"/>
    </row>
    <row r="313" spans="2:32" s="326" customFormat="1" ht="9.9499999999999993" customHeight="1" x14ac:dyDescent="0.2">
      <c r="B313" s="327"/>
      <c r="F313" s="327"/>
      <c r="H313" s="327"/>
      <c r="J313" s="327"/>
      <c r="L313" s="327"/>
      <c r="N313" s="327"/>
      <c r="P313" s="327"/>
      <c r="R313" s="327"/>
      <c r="T313" s="327"/>
      <c r="V313" s="327"/>
      <c r="X313" s="327"/>
      <c r="Z313" s="327"/>
      <c r="AB313" s="327"/>
      <c r="AD313" s="327"/>
      <c r="AF313" s="327"/>
    </row>
    <row r="314" spans="2:32" s="326" customFormat="1" ht="9.9499999999999993" customHeight="1" x14ac:dyDescent="0.2">
      <c r="B314" s="327"/>
      <c r="F314" s="327"/>
      <c r="H314" s="327"/>
      <c r="J314" s="327"/>
      <c r="L314" s="327"/>
      <c r="N314" s="327"/>
      <c r="P314" s="327"/>
      <c r="R314" s="327"/>
      <c r="T314" s="327"/>
      <c r="V314" s="327"/>
      <c r="X314" s="327"/>
      <c r="Z314" s="327"/>
      <c r="AB314" s="327"/>
      <c r="AD314" s="327"/>
      <c r="AF314" s="327"/>
    </row>
    <row r="315" spans="2:32" s="326" customFormat="1" ht="9.9499999999999993" customHeight="1" x14ac:dyDescent="0.2">
      <c r="B315" s="327"/>
      <c r="F315" s="327"/>
      <c r="H315" s="327"/>
      <c r="J315" s="327"/>
      <c r="L315" s="327"/>
      <c r="N315" s="327"/>
      <c r="P315" s="327"/>
      <c r="R315" s="327"/>
      <c r="T315" s="327"/>
      <c r="V315" s="327"/>
      <c r="X315" s="327"/>
      <c r="Z315" s="327"/>
      <c r="AB315" s="327"/>
      <c r="AD315" s="327"/>
      <c r="AF315" s="327"/>
    </row>
    <row r="316" spans="2:32" s="326" customFormat="1" ht="9.9499999999999993" customHeight="1" x14ac:dyDescent="0.2">
      <c r="B316" s="327"/>
      <c r="F316" s="327"/>
      <c r="H316" s="327"/>
      <c r="J316" s="327"/>
      <c r="L316" s="327"/>
      <c r="N316" s="327"/>
      <c r="P316" s="327"/>
      <c r="R316" s="327"/>
      <c r="T316" s="327"/>
      <c r="V316" s="327"/>
      <c r="X316" s="327"/>
      <c r="Z316" s="327"/>
      <c r="AB316" s="327"/>
      <c r="AD316" s="327"/>
      <c r="AF316" s="327"/>
    </row>
    <row r="317" spans="2:32" s="326" customFormat="1" ht="9.9499999999999993" customHeight="1" x14ac:dyDescent="0.2">
      <c r="B317" s="327"/>
      <c r="F317" s="327"/>
      <c r="H317" s="327"/>
      <c r="J317" s="327"/>
      <c r="L317" s="327"/>
      <c r="N317" s="327"/>
      <c r="P317" s="327"/>
      <c r="R317" s="327"/>
      <c r="T317" s="327"/>
      <c r="V317" s="327"/>
      <c r="X317" s="327"/>
      <c r="Z317" s="327"/>
      <c r="AB317" s="327"/>
      <c r="AD317" s="327"/>
      <c r="AF317" s="327"/>
    </row>
    <row r="318" spans="2:32" s="326" customFormat="1" ht="9.9499999999999993" customHeight="1" x14ac:dyDescent="0.2">
      <c r="B318" s="327"/>
      <c r="F318" s="327"/>
      <c r="H318" s="327"/>
      <c r="J318" s="327"/>
      <c r="L318" s="327"/>
      <c r="N318" s="327"/>
      <c r="P318" s="327"/>
      <c r="R318" s="327"/>
      <c r="T318" s="327"/>
      <c r="V318" s="327"/>
      <c r="X318" s="327"/>
      <c r="Z318" s="327"/>
      <c r="AB318" s="327"/>
      <c r="AD318" s="327"/>
      <c r="AF318" s="327"/>
    </row>
    <row r="319" spans="2:32" s="326" customFormat="1" ht="9.9499999999999993" customHeight="1" x14ac:dyDescent="0.2">
      <c r="B319" s="327"/>
      <c r="F319" s="327"/>
      <c r="H319" s="327"/>
      <c r="J319" s="327"/>
      <c r="L319" s="327"/>
      <c r="N319" s="327"/>
      <c r="P319" s="327"/>
      <c r="R319" s="327"/>
      <c r="T319" s="327"/>
      <c r="V319" s="327"/>
      <c r="X319" s="327"/>
      <c r="Z319" s="327"/>
      <c r="AB319" s="327"/>
      <c r="AD319" s="327"/>
      <c r="AF319" s="327"/>
    </row>
    <row r="320" spans="2:32" s="326" customFormat="1" ht="9.9499999999999993" customHeight="1" x14ac:dyDescent="0.2">
      <c r="B320" s="327"/>
      <c r="F320" s="327"/>
      <c r="H320" s="327"/>
      <c r="J320" s="327"/>
      <c r="L320" s="327"/>
      <c r="N320" s="327"/>
      <c r="P320" s="327"/>
      <c r="R320" s="327"/>
      <c r="T320" s="327"/>
      <c r="V320" s="327"/>
      <c r="X320" s="327"/>
      <c r="Z320" s="327"/>
      <c r="AB320" s="327"/>
      <c r="AD320" s="327"/>
      <c r="AF320" s="327"/>
    </row>
    <row r="321" spans="2:32" s="326" customFormat="1" ht="9.9499999999999993" customHeight="1" x14ac:dyDescent="0.2">
      <c r="B321" s="327"/>
      <c r="F321" s="327"/>
      <c r="H321" s="327"/>
      <c r="J321" s="327"/>
      <c r="L321" s="327"/>
      <c r="N321" s="327"/>
      <c r="P321" s="327"/>
      <c r="R321" s="327"/>
      <c r="T321" s="327"/>
      <c r="V321" s="327"/>
      <c r="X321" s="327"/>
      <c r="Z321" s="327"/>
      <c r="AB321" s="327"/>
      <c r="AD321" s="327"/>
      <c r="AF321" s="327"/>
    </row>
    <row r="322" spans="2:32" s="326" customFormat="1" ht="9.9499999999999993" customHeight="1" x14ac:dyDescent="0.2">
      <c r="B322" s="327"/>
      <c r="F322" s="327"/>
      <c r="H322" s="327"/>
      <c r="J322" s="327"/>
      <c r="L322" s="327"/>
      <c r="N322" s="327"/>
      <c r="P322" s="327"/>
      <c r="R322" s="327"/>
      <c r="T322" s="327"/>
      <c r="V322" s="327"/>
      <c r="X322" s="327"/>
      <c r="Z322" s="327"/>
      <c r="AB322" s="327"/>
      <c r="AD322" s="327"/>
      <c r="AF322" s="327"/>
    </row>
    <row r="323" spans="2:32" s="326" customFormat="1" ht="9.9499999999999993" customHeight="1" x14ac:dyDescent="0.2">
      <c r="B323" s="327"/>
      <c r="F323" s="327"/>
      <c r="H323" s="327"/>
      <c r="J323" s="327"/>
      <c r="L323" s="327"/>
      <c r="N323" s="327"/>
      <c r="P323" s="327"/>
      <c r="R323" s="327"/>
      <c r="T323" s="327"/>
      <c r="V323" s="327"/>
      <c r="X323" s="327"/>
      <c r="Z323" s="327"/>
      <c r="AB323" s="327"/>
      <c r="AD323" s="327"/>
      <c r="AF323" s="327"/>
    </row>
    <row r="324" spans="2:32" s="326" customFormat="1" ht="9.9499999999999993" customHeight="1" x14ac:dyDescent="0.2">
      <c r="B324" s="327"/>
      <c r="F324" s="327"/>
      <c r="H324" s="327"/>
      <c r="J324" s="327"/>
      <c r="L324" s="327"/>
      <c r="N324" s="327"/>
      <c r="P324" s="327"/>
      <c r="R324" s="327"/>
      <c r="T324" s="327"/>
      <c r="V324" s="327"/>
      <c r="X324" s="327"/>
      <c r="Z324" s="327"/>
      <c r="AB324" s="327"/>
      <c r="AD324" s="327"/>
      <c r="AF324" s="327"/>
    </row>
    <row r="325" spans="2:32" s="326" customFormat="1" ht="9.9499999999999993" customHeight="1" x14ac:dyDescent="0.2">
      <c r="B325" s="327"/>
      <c r="F325" s="327"/>
      <c r="H325" s="327"/>
      <c r="J325" s="327"/>
      <c r="L325" s="327"/>
      <c r="N325" s="327"/>
      <c r="P325" s="327"/>
      <c r="R325" s="327"/>
      <c r="T325" s="327"/>
      <c r="V325" s="327"/>
      <c r="X325" s="327"/>
      <c r="Z325" s="327"/>
      <c r="AB325" s="327"/>
      <c r="AD325" s="327"/>
      <c r="AF325" s="327"/>
    </row>
    <row r="326" spans="2:32" s="326" customFormat="1" ht="9.9499999999999993" customHeight="1" x14ac:dyDescent="0.2">
      <c r="B326" s="327"/>
      <c r="F326" s="327"/>
      <c r="H326" s="327"/>
      <c r="J326" s="327"/>
      <c r="L326" s="327"/>
      <c r="N326" s="327"/>
      <c r="P326" s="327"/>
      <c r="R326" s="327"/>
      <c r="T326" s="327"/>
      <c r="V326" s="327"/>
      <c r="X326" s="327"/>
      <c r="Z326" s="327"/>
      <c r="AB326" s="327"/>
      <c r="AD326" s="327"/>
      <c r="AF326" s="327"/>
    </row>
    <row r="327" spans="2:32" s="326" customFormat="1" ht="9.9499999999999993" customHeight="1" x14ac:dyDescent="0.2">
      <c r="B327" s="327"/>
      <c r="F327" s="327"/>
      <c r="H327" s="327"/>
      <c r="J327" s="327"/>
      <c r="L327" s="327"/>
      <c r="N327" s="327"/>
      <c r="P327" s="327"/>
      <c r="R327" s="327"/>
      <c r="T327" s="327"/>
      <c r="V327" s="327"/>
      <c r="X327" s="327"/>
      <c r="Z327" s="327"/>
      <c r="AB327" s="327"/>
      <c r="AD327" s="327"/>
      <c r="AF327" s="327"/>
    </row>
    <row r="328" spans="2:32" s="326" customFormat="1" ht="9.9499999999999993" customHeight="1" x14ac:dyDescent="0.2">
      <c r="B328" s="327"/>
      <c r="F328" s="327"/>
      <c r="H328" s="327"/>
      <c r="J328" s="327"/>
      <c r="L328" s="327"/>
      <c r="N328" s="327"/>
      <c r="P328" s="327"/>
      <c r="R328" s="327"/>
      <c r="T328" s="327"/>
      <c r="V328" s="327"/>
      <c r="X328" s="327"/>
      <c r="Z328" s="327"/>
      <c r="AB328" s="327"/>
      <c r="AD328" s="327"/>
      <c r="AF328" s="327"/>
    </row>
    <row r="329" spans="2:32" s="326" customFormat="1" ht="9.9499999999999993" customHeight="1" x14ac:dyDescent="0.2">
      <c r="B329" s="327"/>
      <c r="F329" s="327"/>
      <c r="H329" s="327"/>
      <c r="J329" s="327"/>
      <c r="L329" s="327"/>
      <c r="N329" s="327"/>
      <c r="P329" s="327"/>
      <c r="R329" s="327"/>
      <c r="T329" s="327"/>
      <c r="V329" s="327"/>
      <c r="X329" s="327"/>
      <c r="Z329" s="327"/>
      <c r="AB329" s="327"/>
      <c r="AD329" s="327"/>
      <c r="AF329" s="327"/>
    </row>
    <row r="330" spans="2:32" s="326" customFormat="1" ht="9.9499999999999993" customHeight="1" x14ac:dyDescent="0.2">
      <c r="B330" s="327"/>
      <c r="F330" s="327"/>
      <c r="H330" s="327"/>
      <c r="J330" s="327"/>
      <c r="L330" s="327"/>
      <c r="N330" s="327"/>
      <c r="P330" s="327"/>
      <c r="R330" s="327"/>
      <c r="T330" s="327"/>
      <c r="V330" s="327"/>
      <c r="X330" s="327"/>
      <c r="Z330" s="327"/>
      <c r="AB330" s="327"/>
      <c r="AD330" s="327"/>
      <c r="AF330" s="327"/>
    </row>
    <row r="331" spans="2:32" s="326" customFormat="1" ht="9.9499999999999993" customHeight="1" x14ac:dyDescent="0.2">
      <c r="B331" s="327"/>
      <c r="F331" s="327"/>
      <c r="H331" s="327"/>
      <c r="J331" s="327"/>
      <c r="L331" s="327"/>
      <c r="N331" s="327"/>
      <c r="P331" s="327"/>
      <c r="R331" s="327"/>
      <c r="T331" s="327"/>
      <c r="V331" s="327"/>
      <c r="X331" s="327"/>
      <c r="Z331" s="327"/>
      <c r="AB331" s="327"/>
      <c r="AD331" s="327"/>
      <c r="AF331" s="327"/>
    </row>
    <row r="332" spans="2:32" s="326" customFormat="1" ht="9.9499999999999993" customHeight="1" x14ac:dyDescent="0.2">
      <c r="B332" s="327"/>
      <c r="F332" s="327"/>
      <c r="H332" s="327"/>
      <c r="J332" s="327"/>
      <c r="L332" s="327"/>
      <c r="N332" s="327"/>
      <c r="P332" s="327"/>
      <c r="R332" s="327"/>
      <c r="T332" s="327"/>
      <c r="V332" s="327"/>
      <c r="X332" s="327"/>
      <c r="Z332" s="327"/>
      <c r="AB332" s="327"/>
      <c r="AD332" s="327"/>
      <c r="AF332" s="327"/>
    </row>
    <row r="333" spans="2:32" s="326" customFormat="1" ht="9.9499999999999993" customHeight="1" x14ac:dyDescent="0.2">
      <c r="B333" s="327"/>
      <c r="F333" s="327"/>
      <c r="H333" s="327"/>
      <c r="J333" s="327"/>
      <c r="L333" s="327"/>
      <c r="N333" s="327"/>
      <c r="P333" s="327"/>
      <c r="R333" s="327"/>
      <c r="T333" s="327"/>
      <c r="V333" s="327"/>
      <c r="X333" s="327"/>
      <c r="Z333" s="327"/>
      <c r="AB333" s="327"/>
      <c r="AD333" s="327"/>
      <c r="AF333" s="327"/>
    </row>
    <row r="334" spans="2:32" s="326" customFormat="1" ht="9.9499999999999993" customHeight="1" x14ac:dyDescent="0.2">
      <c r="B334" s="327"/>
      <c r="F334" s="327"/>
      <c r="H334" s="327"/>
      <c r="J334" s="327"/>
      <c r="L334" s="327"/>
      <c r="N334" s="327"/>
      <c r="P334" s="327"/>
      <c r="R334" s="327"/>
      <c r="T334" s="327"/>
      <c r="V334" s="327"/>
      <c r="X334" s="327"/>
      <c r="Z334" s="327"/>
      <c r="AB334" s="327"/>
      <c r="AD334" s="327"/>
      <c r="AF334" s="327"/>
    </row>
    <row r="335" spans="2:32" s="326" customFormat="1" ht="9.9499999999999993" customHeight="1" x14ac:dyDescent="0.2">
      <c r="B335" s="327"/>
      <c r="F335" s="327"/>
      <c r="H335" s="327"/>
      <c r="J335" s="327"/>
      <c r="L335" s="327"/>
      <c r="N335" s="327"/>
      <c r="P335" s="327"/>
      <c r="R335" s="327"/>
      <c r="T335" s="327"/>
      <c r="V335" s="327"/>
      <c r="X335" s="327"/>
      <c r="Z335" s="327"/>
      <c r="AB335" s="327"/>
      <c r="AD335" s="327"/>
      <c r="AF335" s="327"/>
    </row>
    <row r="336" spans="2:32" s="326" customFormat="1" ht="9.9499999999999993" customHeight="1" x14ac:dyDescent="0.2">
      <c r="B336" s="327"/>
      <c r="F336" s="327"/>
      <c r="H336" s="327"/>
      <c r="J336" s="327"/>
      <c r="L336" s="327"/>
      <c r="N336" s="327"/>
      <c r="P336" s="327"/>
      <c r="R336" s="327"/>
      <c r="T336" s="327"/>
      <c r="V336" s="327"/>
      <c r="X336" s="327"/>
      <c r="Z336" s="327"/>
      <c r="AB336" s="327"/>
      <c r="AD336" s="327"/>
      <c r="AF336" s="327"/>
    </row>
    <row r="337" spans="2:32" s="326" customFormat="1" ht="9.9499999999999993" customHeight="1" x14ac:dyDescent="0.2">
      <c r="B337" s="327"/>
      <c r="F337" s="327"/>
      <c r="H337" s="327"/>
      <c r="J337" s="327"/>
      <c r="L337" s="327"/>
      <c r="N337" s="327"/>
      <c r="P337" s="327"/>
      <c r="R337" s="327"/>
      <c r="T337" s="327"/>
      <c r="V337" s="327"/>
      <c r="X337" s="327"/>
      <c r="Z337" s="327"/>
      <c r="AB337" s="327"/>
      <c r="AD337" s="327"/>
      <c r="AF337" s="327"/>
    </row>
    <row r="338" spans="2:32" s="326" customFormat="1" ht="9.9499999999999993" customHeight="1" x14ac:dyDescent="0.2">
      <c r="B338" s="327"/>
      <c r="F338" s="327"/>
      <c r="H338" s="327"/>
      <c r="J338" s="327"/>
      <c r="L338" s="327"/>
      <c r="N338" s="327"/>
      <c r="P338" s="327"/>
      <c r="R338" s="327"/>
      <c r="T338" s="327"/>
      <c r="V338" s="327"/>
      <c r="X338" s="327"/>
      <c r="Z338" s="327"/>
      <c r="AB338" s="327"/>
      <c r="AD338" s="327"/>
      <c r="AF338" s="327"/>
    </row>
    <row r="339" spans="2:32" s="326" customFormat="1" ht="9.9499999999999993" customHeight="1" x14ac:dyDescent="0.2">
      <c r="B339" s="327"/>
      <c r="F339" s="327"/>
      <c r="H339" s="327"/>
      <c r="J339" s="327"/>
      <c r="L339" s="327"/>
      <c r="N339" s="327"/>
      <c r="P339" s="327"/>
      <c r="R339" s="327"/>
      <c r="T339" s="327"/>
      <c r="V339" s="327"/>
      <c r="X339" s="327"/>
      <c r="Z339" s="327"/>
      <c r="AB339" s="327"/>
      <c r="AD339" s="327"/>
      <c r="AF339" s="327"/>
    </row>
    <row r="340" spans="2:32" s="326" customFormat="1" ht="9.9499999999999993" customHeight="1" x14ac:dyDescent="0.2">
      <c r="B340" s="327"/>
      <c r="F340" s="327"/>
      <c r="H340" s="327"/>
      <c r="J340" s="327"/>
      <c r="L340" s="327"/>
      <c r="N340" s="327"/>
      <c r="P340" s="327"/>
      <c r="R340" s="327"/>
      <c r="T340" s="327"/>
      <c r="V340" s="327"/>
      <c r="X340" s="327"/>
      <c r="Z340" s="327"/>
      <c r="AB340" s="327"/>
      <c r="AD340" s="327"/>
      <c r="AF340" s="327"/>
    </row>
    <row r="341" spans="2:32" s="326" customFormat="1" ht="9.9499999999999993" customHeight="1" x14ac:dyDescent="0.2">
      <c r="B341" s="327"/>
      <c r="F341" s="327"/>
      <c r="H341" s="327"/>
      <c r="J341" s="327"/>
      <c r="L341" s="327"/>
      <c r="N341" s="327"/>
      <c r="P341" s="327"/>
      <c r="R341" s="327"/>
      <c r="T341" s="327"/>
      <c r="V341" s="327"/>
      <c r="X341" s="327"/>
      <c r="Z341" s="327"/>
      <c r="AB341" s="327"/>
      <c r="AD341" s="327"/>
      <c r="AF341" s="327"/>
    </row>
    <row r="342" spans="2:32" s="326" customFormat="1" ht="9.9499999999999993" customHeight="1" x14ac:dyDescent="0.2">
      <c r="B342" s="327"/>
      <c r="F342" s="327"/>
      <c r="H342" s="327"/>
      <c r="J342" s="327"/>
      <c r="L342" s="327"/>
      <c r="N342" s="327"/>
      <c r="P342" s="327"/>
      <c r="R342" s="327"/>
      <c r="T342" s="327"/>
      <c r="V342" s="327"/>
      <c r="X342" s="327"/>
      <c r="Z342" s="327"/>
      <c r="AB342" s="327"/>
      <c r="AD342" s="327"/>
      <c r="AF342" s="327"/>
    </row>
    <row r="343" spans="2:32" s="326" customFormat="1" ht="9.9499999999999993" customHeight="1" x14ac:dyDescent="0.2">
      <c r="B343" s="327"/>
      <c r="F343" s="327"/>
      <c r="H343" s="327"/>
      <c r="J343" s="327"/>
      <c r="L343" s="327"/>
      <c r="N343" s="327"/>
      <c r="P343" s="327"/>
      <c r="R343" s="327"/>
      <c r="T343" s="327"/>
      <c r="V343" s="327"/>
      <c r="X343" s="327"/>
      <c r="Z343" s="327"/>
      <c r="AB343" s="327"/>
      <c r="AD343" s="327"/>
      <c r="AF343" s="327"/>
    </row>
    <row r="344" spans="2:32" s="326" customFormat="1" ht="9.9499999999999993" customHeight="1" x14ac:dyDescent="0.2">
      <c r="B344" s="327"/>
      <c r="F344" s="327"/>
      <c r="H344" s="327"/>
      <c r="J344" s="327"/>
      <c r="L344" s="327"/>
      <c r="N344" s="327"/>
      <c r="P344" s="327"/>
      <c r="R344" s="327"/>
      <c r="T344" s="327"/>
      <c r="V344" s="327"/>
      <c r="X344" s="327"/>
      <c r="Z344" s="327"/>
      <c r="AB344" s="327"/>
      <c r="AD344" s="327"/>
      <c r="AF344" s="327"/>
    </row>
    <row r="345" spans="2:32" s="326" customFormat="1" ht="9.9499999999999993" customHeight="1" x14ac:dyDescent="0.2">
      <c r="B345" s="327"/>
      <c r="F345" s="327"/>
      <c r="H345" s="327"/>
      <c r="J345" s="327"/>
      <c r="L345" s="327"/>
      <c r="N345" s="327"/>
      <c r="P345" s="327"/>
      <c r="R345" s="327"/>
      <c r="T345" s="327"/>
      <c r="V345" s="327"/>
      <c r="X345" s="327"/>
      <c r="Z345" s="327"/>
      <c r="AB345" s="327"/>
      <c r="AD345" s="327"/>
      <c r="AF345" s="327"/>
    </row>
    <row r="346" spans="2:32" s="326" customFormat="1" ht="9.9499999999999993" customHeight="1" x14ac:dyDescent="0.2">
      <c r="B346" s="327"/>
      <c r="F346" s="327"/>
      <c r="H346" s="327"/>
      <c r="J346" s="327"/>
      <c r="L346" s="327"/>
      <c r="N346" s="327"/>
      <c r="P346" s="327"/>
      <c r="R346" s="327"/>
      <c r="T346" s="327"/>
      <c r="V346" s="327"/>
      <c r="X346" s="327"/>
      <c r="Z346" s="327"/>
      <c r="AB346" s="327"/>
      <c r="AD346" s="327"/>
      <c r="AF346" s="327"/>
    </row>
    <row r="347" spans="2:32" s="326" customFormat="1" ht="9.9499999999999993" customHeight="1" x14ac:dyDescent="0.2">
      <c r="B347" s="327"/>
      <c r="F347" s="327"/>
      <c r="H347" s="327"/>
      <c r="J347" s="327"/>
      <c r="L347" s="327"/>
      <c r="N347" s="327"/>
      <c r="P347" s="327"/>
      <c r="R347" s="327"/>
      <c r="T347" s="327"/>
      <c r="V347" s="327"/>
      <c r="X347" s="327"/>
      <c r="Z347" s="327"/>
      <c r="AB347" s="327"/>
      <c r="AD347" s="327"/>
      <c r="AF347" s="327"/>
    </row>
    <row r="348" spans="2:32" s="326" customFormat="1" ht="9.9499999999999993" customHeight="1" x14ac:dyDescent="0.2">
      <c r="B348" s="327"/>
      <c r="F348" s="327"/>
      <c r="H348" s="327"/>
      <c r="J348" s="327"/>
      <c r="L348" s="327"/>
      <c r="N348" s="327"/>
      <c r="P348" s="327"/>
      <c r="R348" s="327"/>
      <c r="T348" s="327"/>
      <c r="V348" s="327"/>
      <c r="X348" s="327"/>
      <c r="Z348" s="327"/>
      <c r="AB348" s="327"/>
      <c r="AD348" s="327"/>
      <c r="AF348" s="327"/>
    </row>
    <row r="349" spans="2:32" s="326" customFormat="1" ht="9.9499999999999993" customHeight="1" x14ac:dyDescent="0.2">
      <c r="B349" s="327"/>
      <c r="F349" s="327"/>
      <c r="H349" s="327"/>
      <c r="J349" s="327"/>
      <c r="L349" s="327"/>
      <c r="N349" s="327"/>
      <c r="P349" s="327"/>
      <c r="R349" s="327"/>
      <c r="T349" s="327"/>
      <c r="V349" s="327"/>
      <c r="X349" s="327"/>
      <c r="Z349" s="327"/>
      <c r="AB349" s="327"/>
      <c r="AD349" s="327"/>
      <c r="AF349" s="327"/>
    </row>
    <row r="350" spans="2:32" s="326" customFormat="1" ht="9.9499999999999993" customHeight="1" x14ac:dyDescent="0.2">
      <c r="B350" s="327"/>
      <c r="F350" s="327"/>
      <c r="H350" s="327"/>
      <c r="J350" s="327"/>
      <c r="L350" s="327"/>
      <c r="N350" s="327"/>
      <c r="P350" s="327"/>
      <c r="R350" s="327"/>
      <c r="T350" s="327"/>
      <c r="V350" s="327"/>
      <c r="X350" s="327"/>
      <c r="Z350" s="327"/>
      <c r="AB350" s="327"/>
      <c r="AD350" s="327"/>
      <c r="AF350" s="327"/>
    </row>
    <row r="351" spans="2:32" s="326" customFormat="1" ht="9.9499999999999993" customHeight="1" x14ac:dyDescent="0.2">
      <c r="B351" s="327"/>
      <c r="F351" s="327"/>
      <c r="H351" s="327"/>
      <c r="J351" s="327"/>
      <c r="L351" s="327"/>
      <c r="N351" s="327"/>
      <c r="P351" s="327"/>
      <c r="R351" s="327"/>
      <c r="T351" s="327"/>
      <c r="V351" s="327"/>
      <c r="X351" s="327"/>
      <c r="Z351" s="327"/>
      <c r="AB351" s="327"/>
      <c r="AD351" s="327"/>
      <c r="AF351" s="327"/>
    </row>
    <row r="352" spans="2:32" s="326" customFormat="1" ht="9.9499999999999993" customHeight="1" x14ac:dyDescent="0.2">
      <c r="B352" s="327"/>
      <c r="F352" s="327"/>
      <c r="H352" s="327"/>
      <c r="J352" s="327"/>
      <c r="L352" s="327"/>
      <c r="N352" s="327"/>
      <c r="P352" s="327"/>
      <c r="R352" s="327"/>
      <c r="T352" s="327"/>
      <c r="V352" s="327"/>
      <c r="X352" s="327"/>
      <c r="Z352" s="327"/>
      <c r="AB352" s="327"/>
      <c r="AD352" s="327"/>
      <c r="AF352" s="327"/>
    </row>
    <row r="353" spans="2:32" s="326" customFormat="1" ht="9.9499999999999993" customHeight="1" x14ac:dyDescent="0.2">
      <c r="B353" s="327"/>
      <c r="F353" s="327"/>
      <c r="H353" s="327"/>
      <c r="J353" s="327"/>
      <c r="L353" s="327"/>
      <c r="N353" s="327"/>
      <c r="P353" s="327"/>
      <c r="R353" s="327"/>
      <c r="T353" s="327"/>
      <c r="V353" s="327"/>
      <c r="X353" s="327"/>
      <c r="Z353" s="327"/>
      <c r="AB353" s="327"/>
      <c r="AD353" s="327"/>
      <c r="AF353" s="327"/>
    </row>
    <row r="354" spans="2:32" s="326" customFormat="1" ht="9.9499999999999993" customHeight="1" x14ac:dyDescent="0.2">
      <c r="B354" s="327"/>
      <c r="F354" s="327"/>
      <c r="H354" s="327"/>
      <c r="J354" s="327"/>
      <c r="L354" s="327"/>
      <c r="N354" s="327"/>
      <c r="P354" s="327"/>
      <c r="R354" s="327"/>
      <c r="T354" s="327"/>
      <c r="V354" s="327"/>
      <c r="X354" s="327"/>
      <c r="Z354" s="327"/>
      <c r="AB354" s="327"/>
      <c r="AD354" s="327"/>
      <c r="AF354" s="327"/>
    </row>
    <row r="355" spans="2:32" s="326" customFormat="1" ht="9.9499999999999993" customHeight="1" x14ac:dyDescent="0.2">
      <c r="B355" s="327"/>
      <c r="F355" s="327"/>
      <c r="H355" s="327"/>
      <c r="J355" s="327"/>
      <c r="L355" s="327"/>
      <c r="N355" s="327"/>
      <c r="P355" s="327"/>
      <c r="R355" s="327"/>
      <c r="T355" s="327"/>
      <c r="V355" s="327"/>
      <c r="X355" s="327"/>
      <c r="Z355" s="327"/>
      <c r="AB355" s="327"/>
      <c r="AD355" s="327"/>
      <c r="AF355" s="327"/>
    </row>
    <row r="356" spans="2:32" s="326" customFormat="1" ht="9.9499999999999993" customHeight="1" x14ac:dyDescent="0.2">
      <c r="B356" s="327"/>
      <c r="F356" s="327"/>
      <c r="H356" s="327"/>
      <c r="J356" s="327"/>
      <c r="L356" s="327"/>
      <c r="N356" s="327"/>
      <c r="P356" s="327"/>
      <c r="R356" s="327"/>
      <c r="T356" s="327"/>
      <c r="V356" s="327"/>
      <c r="X356" s="327"/>
      <c r="Z356" s="327"/>
      <c r="AB356" s="327"/>
      <c r="AD356" s="327"/>
      <c r="AF356" s="327"/>
    </row>
    <row r="357" spans="2:32" s="326" customFormat="1" ht="9.9499999999999993" customHeight="1" x14ac:dyDescent="0.2">
      <c r="B357" s="327"/>
      <c r="F357" s="327"/>
      <c r="H357" s="327"/>
      <c r="J357" s="327"/>
      <c r="L357" s="327"/>
      <c r="N357" s="327"/>
      <c r="P357" s="327"/>
      <c r="R357" s="327"/>
      <c r="T357" s="327"/>
      <c r="V357" s="327"/>
      <c r="X357" s="327"/>
      <c r="Z357" s="327"/>
      <c r="AB357" s="327"/>
      <c r="AD357" s="327"/>
      <c r="AF357" s="327"/>
    </row>
    <row r="358" spans="2:32" s="326" customFormat="1" ht="9.9499999999999993" customHeight="1" x14ac:dyDescent="0.2">
      <c r="B358" s="327"/>
      <c r="F358" s="327"/>
      <c r="H358" s="327"/>
      <c r="J358" s="327"/>
      <c r="L358" s="327"/>
      <c r="N358" s="327"/>
      <c r="P358" s="327"/>
      <c r="R358" s="327"/>
      <c r="T358" s="327"/>
      <c r="V358" s="327"/>
      <c r="X358" s="327"/>
      <c r="Z358" s="327"/>
      <c r="AB358" s="327"/>
      <c r="AD358" s="327"/>
      <c r="AF358" s="327"/>
    </row>
    <row r="359" spans="2:32" s="326" customFormat="1" ht="9.9499999999999993" customHeight="1" x14ac:dyDescent="0.2">
      <c r="B359" s="327"/>
      <c r="F359" s="327"/>
      <c r="H359" s="327"/>
      <c r="J359" s="327"/>
      <c r="L359" s="327"/>
      <c r="N359" s="327"/>
      <c r="P359" s="327"/>
      <c r="R359" s="327"/>
      <c r="T359" s="327"/>
      <c r="V359" s="327"/>
      <c r="X359" s="327"/>
      <c r="Z359" s="327"/>
      <c r="AB359" s="327"/>
      <c r="AD359" s="327"/>
      <c r="AF359" s="327"/>
    </row>
    <row r="360" spans="2:32" s="326" customFormat="1" ht="9.9499999999999993" customHeight="1" x14ac:dyDescent="0.2">
      <c r="B360" s="327"/>
      <c r="F360" s="327"/>
      <c r="H360" s="327"/>
      <c r="J360" s="327"/>
      <c r="L360" s="327"/>
      <c r="N360" s="327"/>
      <c r="P360" s="327"/>
      <c r="R360" s="327"/>
      <c r="T360" s="327"/>
      <c r="V360" s="327"/>
      <c r="X360" s="327"/>
      <c r="Z360" s="327"/>
      <c r="AB360" s="327"/>
      <c r="AD360" s="327"/>
      <c r="AF360" s="327"/>
    </row>
    <row r="361" spans="2:32" s="326" customFormat="1" ht="9.9499999999999993" customHeight="1" x14ac:dyDescent="0.2">
      <c r="B361" s="327"/>
      <c r="F361" s="327"/>
      <c r="H361" s="327"/>
      <c r="J361" s="327"/>
      <c r="L361" s="327"/>
      <c r="N361" s="327"/>
      <c r="P361" s="327"/>
      <c r="R361" s="327"/>
      <c r="T361" s="327"/>
      <c r="V361" s="327"/>
      <c r="X361" s="327"/>
      <c r="Z361" s="327"/>
      <c r="AB361" s="327"/>
      <c r="AD361" s="327"/>
      <c r="AF361" s="327"/>
    </row>
    <row r="362" spans="2:32" s="326" customFormat="1" ht="9.9499999999999993" customHeight="1" x14ac:dyDescent="0.2">
      <c r="B362" s="327"/>
      <c r="F362" s="327"/>
      <c r="H362" s="327"/>
      <c r="J362" s="327"/>
      <c r="L362" s="327"/>
      <c r="N362" s="327"/>
      <c r="P362" s="327"/>
      <c r="R362" s="327"/>
      <c r="T362" s="327"/>
      <c r="V362" s="327"/>
      <c r="X362" s="327"/>
      <c r="Z362" s="327"/>
      <c r="AB362" s="327"/>
      <c r="AD362" s="327"/>
      <c r="AF362" s="327"/>
    </row>
    <row r="363" spans="2:32" s="326" customFormat="1" ht="9.9499999999999993" customHeight="1" x14ac:dyDescent="0.2">
      <c r="B363" s="327"/>
      <c r="F363" s="327"/>
      <c r="H363" s="327"/>
      <c r="J363" s="327"/>
      <c r="L363" s="327"/>
      <c r="N363" s="327"/>
      <c r="P363" s="327"/>
      <c r="R363" s="327"/>
      <c r="T363" s="327"/>
      <c r="V363" s="327"/>
      <c r="X363" s="327"/>
      <c r="Z363" s="327"/>
      <c r="AB363" s="327"/>
      <c r="AD363" s="327"/>
      <c r="AF363" s="327"/>
    </row>
    <row r="364" spans="2:32" s="326" customFormat="1" ht="9.9499999999999993" customHeight="1" x14ac:dyDescent="0.2">
      <c r="B364" s="327"/>
      <c r="F364" s="327"/>
      <c r="H364" s="327"/>
      <c r="J364" s="327"/>
      <c r="L364" s="327"/>
      <c r="N364" s="327"/>
      <c r="P364" s="327"/>
      <c r="R364" s="327"/>
      <c r="T364" s="327"/>
      <c r="V364" s="327"/>
      <c r="X364" s="327"/>
      <c r="Z364" s="327"/>
      <c r="AB364" s="327"/>
      <c r="AD364" s="327"/>
      <c r="AF364" s="327"/>
    </row>
    <row r="365" spans="2:32" s="326" customFormat="1" ht="9.9499999999999993" customHeight="1" x14ac:dyDescent="0.2">
      <c r="B365" s="327"/>
      <c r="F365" s="327"/>
      <c r="H365" s="327"/>
      <c r="J365" s="327"/>
      <c r="L365" s="327"/>
      <c r="N365" s="327"/>
      <c r="P365" s="327"/>
      <c r="R365" s="327"/>
      <c r="T365" s="327"/>
      <c r="V365" s="327"/>
      <c r="X365" s="327"/>
      <c r="Z365" s="327"/>
      <c r="AB365" s="327"/>
      <c r="AD365" s="327"/>
      <c r="AF365" s="327"/>
    </row>
    <row r="366" spans="2:32" s="326" customFormat="1" ht="9.9499999999999993" customHeight="1" x14ac:dyDescent="0.2">
      <c r="B366" s="327"/>
      <c r="F366" s="327"/>
      <c r="H366" s="327"/>
      <c r="J366" s="327"/>
      <c r="L366" s="327"/>
      <c r="N366" s="327"/>
      <c r="P366" s="327"/>
      <c r="R366" s="327"/>
      <c r="T366" s="327"/>
      <c r="V366" s="327"/>
      <c r="X366" s="327"/>
      <c r="Z366" s="327"/>
      <c r="AB366" s="327"/>
      <c r="AD366" s="327"/>
      <c r="AF366" s="327"/>
    </row>
    <row r="367" spans="2:32" s="326" customFormat="1" ht="9.9499999999999993" customHeight="1" x14ac:dyDescent="0.2">
      <c r="B367" s="327"/>
      <c r="F367" s="327"/>
      <c r="H367" s="327"/>
      <c r="J367" s="327"/>
      <c r="L367" s="327"/>
      <c r="N367" s="327"/>
      <c r="P367" s="327"/>
      <c r="R367" s="327"/>
      <c r="T367" s="327"/>
      <c r="V367" s="327"/>
      <c r="X367" s="327"/>
      <c r="Z367" s="327"/>
      <c r="AB367" s="327"/>
      <c r="AD367" s="327"/>
      <c r="AF367" s="327"/>
    </row>
    <row r="368" spans="2:32" s="326" customFormat="1" ht="9.9499999999999993" customHeight="1" x14ac:dyDescent="0.2">
      <c r="B368" s="327"/>
      <c r="F368" s="327"/>
      <c r="H368" s="327"/>
      <c r="J368" s="327"/>
      <c r="L368" s="327"/>
      <c r="N368" s="327"/>
      <c r="P368" s="327"/>
      <c r="R368" s="327"/>
      <c r="T368" s="327"/>
      <c r="V368" s="327"/>
      <c r="X368" s="327"/>
      <c r="Z368" s="327"/>
      <c r="AB368" s="327"/>
      <c r="AD368" s="327"/>
      <c r="AF368" s="327"/>
    </row>
    <row r="369" spans="2:32" s="326" customFormat="1" ht="9.9499999999999993" customHeight="1" x14ac:dyDescent="0.2">
      <c r="B369" s="327"/>
      <c r="F369" s="327"/>
      <c r="H369" s="327"/>
      <c r="J369" s="327"/>
      <c r="L369" s="327"/>
      <c r="N369" s="327"/>
      <c r="P369" s="327"/>
      <c r="R369" s="327"/>
      <c r="T369" s="327"/>
      <c r="V369" s="327"/>
      <c r="X369" s="327"/>
      <c r="Z369" s="327"/>
      <c r="AB369" s="327"/>
      <c r="AD369" s="327"/>
      <c r="AF369" s="327"/>
    </row>
    <row r="370" spans="2:32" s="326" customFormat="1" ht="9.9499999999999993" customHeight="1" x14ac:dyDescent="0.2">
      <c r="B370" s="327"/>
      <c r="F370" s="327"/>
      <c r="H370" s="327"/>
      <c r="J370" s="327"/>
      <c r="L370" s="327"/>
      <c r="N370" s="327"/>
      <c r="P370" s="327"/>
      <c r="R370" s="327"/>
      <c r="T370" s="327"/>
      <c r="V370" s="327"/>
      <c r="X370" s="327"/>
      <c r="Z370" s="327"/>
      <c r="AB370" s="327"/>
      <c r="AD370" s="327"/>
      <c r="AF370" s="327"/>
    </row>
    <row r="371" spans="2:32" s="326" customFormat="1" ht="9.9499999999999993" customHeight="1" x14ac:dyDescent="0.2">
      <c r="B371" s="327"/>
      <c r="F371" s="327"/>
      <c r="H371" s="327"/>
      <c r="J371" s="327"/>
      <c r="L371" s="327"/>
      <c r="N371" s="327"/>
      <c r="P371" s="327"/>
      <c r="R371" s="327"/>
      <c r="T371" s="327"/>
      <c r="V371" s="327"/>
      <c r="X371" s="327"/>
      <c r="Z371" s="327"/>
      <c r="AB371" s="327"/>
      <c r="AD371" s="327"/>
      <c r="AF371" s="327"/>
    </row>
    <row r="372" spans="2:32" s="326" customFormat="1" ht="9.9499999999999993" customHeight="1" x14ac:dyDescent="0.2">
      <c r="B372" s="327"/>
      <c r="F372" s="327"/>
      <c r="H372" s="327"/>
      <c r="J372" s="327"/>
      <c r="L372" s="327"/>
      <c r="N372" s="327"/>
      <c r="P372" s="327"/>
      <c r="R372" s="327"/>
      <c r="T372" s="327"/>
      <c r="V372" s="327"/>
      <c r="X372" s="327"/>
      <c r="Z372" s="327"/>
      <c r="AB372" s="327"/>
      <c r="AD372" s="327"/>
      <c r="AF372" s="327"/>
    </row>
    <row r="373" spans="2:32" s="326" customFormat="1" ht="9.9499999999999993" customHeight="1" x14ac:dyDescent="0.2">
      <c r="B373" s="327"/>
      <c r="F373" s="327"/>
      <c r="H373" s="327"/>
      <c r="J373" s="327"/>
      <c r="L373" s="327"/>
      <c r="N373" s="327"/>
      <c r="P373" s="327"/>
      <c r="R373" s="327"/>
      <c r="T373" s="327"/>
      <c r="V373" s="327"/>
      <c r="X373" s="327"/>
      <c r="Z373" s="327"/>
      <c r="AB373" s="327"/>
      <c r="AD373" s="327"/>
      <c r="AF373" s="327"/>
    </row>
    <row r="374" spans="2:32" s="326" customFormat="1" ht="9.9499999999999993" customHeight="1" x14ac:dyDescent="0.2">
      <c r="B374" s="327"/>
      <c r="F374" s="327"/>
      <c r="H374" s="327"/>
      <c r="J374" s="327"/>
      <c r="L374" s="327"/>
      <c r="N374" s="327"/>
      <c r="P374" s="327"/>
      <c r="R374" s="327"/>
      <c r="T374" s="327"/>
      <c r="V374" s="327"/>
      <c r="X374" s="327"/>
      <c r="Z374" s="327"/>
      <c r="AB374" s="327"/>
      <c r="AD374" s="327"/>
      <c r="AF374" s="327"/>
    </row>
    <row r="375" spans="2:32" s="326" customFormat="1" ht="9.9499999999999993" customHeight="1" x14ac:dyDescent="0.2">
      <c r="B375" s="327"/>
      <c r="F375" s="327"/>
      <c r="H375" s="327"/>
      <c r="J375" s="327"/>
      <c r="L375" s="327"/>
      <c r="N375" s="327"/>
      <c r="P375" s="327"/>
      <c r="R375" s="327"/>
      <c r="T375" s="327"/>
      <c r="V375" s="327"/>
      <c r="X375" s="327"/>
      <c r="Z375" s="327"/>
      <c r="AB375" s="327"/>
      <c r="AD375" s="327"/>
      <c r="AF375" s="327"/>
    </row>
    <row r="376" spans="2:32" s="326" customFormat="1" ht="9.9499999999999993" customHeight="1" x14ac:dyDescent="0.2">
      <c r="B376" s="327"/>
      <c r="F376" s="327"/>
      <c r="H376" s="327"/>
      <c r="J376" s="327"/>
      <c r="L376" s="327"/>
      <c r="N376" s="327"/>
      <c r="P376" s="327"/>
      <c r="R376" s="327"/>
      <c r="T376" s="327"/>
      <c r="V376" s="327"/>
      <c r="X376" s="327"/>
      <c r="Z376" s="327"/>
      <c r="AB376" s="327"/>
      <c r="AD376" s="327"/>
      <c r="AF376" s="327"/>
    </row>
    <row r="377" spans="2:32" s="326" customFormat="1" ht="9.9499999999999993" customHeight="1" x14ac:dyDescent="0.2">
      <c r="B377" s="327"/>
      <c r="F377" s="327"/>
      <c r="H377" s="327"/>
      <c r="J377" s="327"/>
      <c r="L377" s="327"/>
      <c r="N377" s="327"/>
      <c r="P377" s="327"/>
      <c r="R377" s="327"/>
      <c r="T377" s="327"/>
      <c r="V377" s="327"/>
      <c r="X377" s="327"/>
      <c r="Z377" s="327"/>
      <c r="AB377" s="327"/>
      <c r="AD377" s="327"/>
      <c r="AF377" s="327"/>
    </row>
    <row r="378" spans="2:32" s="326" customFormat="1" ht="9.9499999999999993" customHeight="1" x14ac:dyDescent="0.2">
      <c r="B378" s="327"/>
      <c r="F378" s="327"/>
      <c r="H378" s="327"/>
      <c r="J378" s="327"/>
      <c r="L378" s="327"/>
      <c r="N378" s="327"/>
      <c r="P378" s="327"/>
      <c r="R378" s="327"/>
      <c r="T378" s="327"/>
      <c r="V378" s="327"/>
      <c r="X378" s="327"/>
      <c r="Z378" s="327"/>
      <c r="AB378" s="327"/>
      <c r="AD378" s="327"/>
      <c r="AF378" s="327"/>
    </row>
    <row r="379" spans="2:32" s="326" customFormat="1" ht="9.9499999999999993" customHeight="1" x14ac:dyDescent="0.2">
      <c r="B379" s="327"/>
      <c r="F379" s="327"/>
      <c r="H379" s="327"/>
      <c r="J379" s="327"/>
      <c r="L379" s="327"/>
      <c r="N379" s="327"/>
      <c r="P379" s="327"/>
      <c r="R379" s="327"/>
      <c r="T379" s="327"/>
      <c r="V379" s="327"/>
      <c r="X379" s="327"/>
      <c r="Z379" s="327"/>
      <c r="AB379" s="327"/>
      <c r="AD379" s="327"/>
      <c r="AF379" s="327"/>
    </row>
    <row r="380" spans="2:32" s="326" customFormat="1" ht="9.9499999999999993" customHeight="1" x14ac:dyDescent="0.2">
      <c r="B380" s="327"/>
      <c r="F380" s="327"/>
      <c r="H380" s="327"/>
      <c r="J380" s="327"/>
      <c r="L380" s="327"/>
      <c r="N380" s="327"/>
      <c r="P380" s="327"/>
      <c r="R380" s="327"/>
      <c r="T380" s="327"/>
      <c r="V380" s="327"/>
      <c r="X380" s="327"/>
      <c r="Z380" s="327"/>
      <c r="AB380" s="327"/>
      <c r="AD380" s="327"/>
      <c r="AF380" s="327"/>
    </row>
    <row r="381" spans="2:32" s="326" customFormat="1" ht="9.9499999999999993" customHeight="1" x14ac:dyDescent="0.2">
      <c r="B381" s="327"/>
      <c r="F381" s="327"/>
      <c r="H381" s="327"/>
      <c r="J381" s="327"/>
      <c r="L381" s="327"/>
      <c r="N381" s="327"/>
      <c r="P381" s="327"/>
      <c r="R381" s="327"/>
      <c r="T381" s="327"/>
      <c r="V381" s="327"/>
      <c r="X381" s="327"/>
      <c r="Z381" s="327"/>
      <c r="AB381" s="327"/>
      <c r="AD381" s="327"/>
      <c r="AF381" s="327"/>
    </row>
    <row r="382" spans="2:32" s="326" customFormat="1" ht="9.9499999999999993" customHeight="1" x14ac:dyDescent="0.2">
      <c r="B382" s="327"/>
      <c r="F382" s="327"/>
      <c r="H382" s="327"/>
      <c r="J382" s="327"/>
      <c r="L382" s="327"/>
      <c r="N382" s="327"/>
      <c r="P382" s="327"/>
      <c r="R382" s="327"/>
      <c r="T382" s="327"/>
      <c r="V382" s="327"/>
      <c r="X382" s="327"/>
      <c r="Z382" s="327"/>
      <c r="AB382" s="327"/>
      <c r="AD382" s="327"/>
      <c r="AF382" s="327"/>
    </row>
    <row r="383" spans="2:32" s="326" customFormat="1" ht="9.9499999999999993" customHeight="1" x14ac:dyDescent="0.2">
      <c r="B383" s="327"/>
      <c r="F383" s="327"/>
      <c r="H383" s="327"/>
      <c r="J383" s="327"/>
      <c r="L383" s="327"/>
      <c r="N383" s="327"/>
      <c r="P383" s="327"/>
      <c r="R383" s="327"/>
      <c r="T383" s="327"/>
      <c r="V383" s="327"/>
      <c r="X383" s="327"/>
      <c r="Z383" s="327"/>
      <c r="AB383" s="327"/>
      <c r="AD383" s="327"/>
      <c r="AF383" s="327"/>
    </row>
    <row r="384" spans="2:32" s="326" customFormat="1" ht="9.9499999999999993" customHeight="1" x14ac:dyDescent="0.2">
      <c r="B384" s="327"/>
      <c r="F384" s="327"/>
      <c r="H384" s="327"/>
      <c r="J384" s="327"/>
      <c r="L384" s="327"/>
      <c r="N384" s="327"/>
      <c r="P384" s="327"/>
      <c r="R384" s="327"/>
      <c r="T384" s="327"/>
      <c r="V384" s="327"/>
      <c r="X384" s="327"/>
      <c r="Z384" s="327"/>
      <c r="AB384" s="327"/>
      <c r="AD384" s="327"/>
      <c r="AF384" s="327"/>
    </row>
    <row r="385" spans="2:32" s="326" customFormat="1" ht="9.9499999999999993" customHeight="1" x14ac:dyDescent="0.2">
      <c r="B385" s="327"/>
      <c r="F385" s="327"/>
      <c r="H385" s="327"/>
      <c r="J385" s="327"/>
      <c r="L385" s="327"/>
      <c r="N385" s="327"/>
      <c r="P385" s="327"/>
      <c r="R385" s="327"/>
      <c r="T385" s="327"/>
      <c r="V385" s="327"/>
      <c r="X385" s="327"/>
      <c r="Z385" s="327"/>
      <c r="AB385" s="327"/>
      <c r="AD385" s="327"/>
      <c r="AF385" s="327"/>
    </row>
    <row r="386" spans="2:32" s="326" customFormat="1" ht="9.9499999999999993" customHeight="1" x14ac:dyDescent="0.2">
      <c r="B386" s="327"/>
      <c r="F386" s="327"/>
      <c r="H386" s="327"/>
      <c r="J386" s="327"/>
      <c r="L386" s="327"/>
      <c r="N386" s="327"/>
      <c r="P386" s="327"/>
      <c r="R386" s="327"/>
      <c r="T386" s="327"/>
      <c r="V386" s="327"/>
      <c r="X386" s="327"/>
      <c r="Z386" s="327"/>
      <c r="AB386" s="327"/>
      <c r="AD386" s="327"/>
      <c r="AF386" s="327"/>
    </row>
    <row r="387" spans="2:32" s="326" customFormat="1" ht="9.9499999999999993" customHeight="1" x14ac:dyDescent="0.2">
      <c r="B387" s="327"/>
      <c r="F387" s="327"/>
      <c r="H387" s="327"/>
      <c r="J387" s="327"/>
      <c r="L387" s="327"/>
      <c r="N387" s="327"/>
      <c r="P387" s="327"/>
      <c r="R387" s="327"/>
      <c r="T387" s="327"/>
      <c r="V387" s="327"/>
      <c r="X387" s="327"/>
      <c r="Z387" s="327"/>
      <c r="AB387" s="327"/>
      <c r="AD387" s="327"/>
      <c r="AF387" s="327"/>
    </row>
    <row r="388" spans="2:32" s="326" customFormat="1" ht="9.9499999999999993" customHeight="1" x14ac:dyDescent="0.2">
      <c r="B388" s="327"/>
      <c r="F388" s="327"/>
      <c r="H388" s="327"/>
      <c r="J388" s="327"/>
      <c r="L388" s="327"/>
      <c r="N388" s="327"/>
      <c r="P388" s="327"/>
      <c r="R388" s="327"/>
      <c r="T388" s="327"/>
      <c r="V388" s="327"/>
      <c r="X388" s="327"/>
      <c r="Z388" s="327"/>
      <c r="AB388" s="327"/>
      <c r="AD388" s="327"/>
      <c r="AF388" s="327"/>
    </row>
    <row r="389" spans="2:32" s="326" customFormat="1" ht="9.9499999999999993" customHeight="1" x14ac:dyDescent="0.2">
      <c r="B389" s="327"/>
      <c r="F389" s="327"/>
      <c r="H389" s="327"/>
      <c r="J389" s="327"/>
      <c r="L389" s="327"/>
      <c r="N389" s="327"/>
      <c r="P389" s="327"/>
      <c r="R389" s="327"/>
      <c r="T389" s="327"/>
      <c r="V389" s="327"/>
      <c r="X389" s="327"/>
      <c r="Z389" s="327"/>
      <c r="AB389" s="327"/>
      <c r="AD389" s="327"/>
      <c r="AF389" s="327"/>
    </row>
    <row r="390" spans="2:32" s="326" customFormat="1" ht="9.9499999999999993" customHeight="1" x14ac:dyDescent="0.2">
      <c r="B390" s="327"/>
      <c r="F390" s="327"/>
      <c r="H390" s="327"/>
      <c r="J390" s="327"/>
      <c r="L390" s="327"/>
      <c r="N390" s="327"/>
      <c r="P390" s="327"/>
      <c r="R390" s="327"/>
      <c r="T390" s="327"/>
      <c r="V390" s="327"/>
      <c r="X390" s="327"/>
      <c r="Z390" s="327"/>
      <c r="AB390" s="327"/>
      <c r="AD390" s="327"/>
      <c r="AF390" s="327"/>
    </row>
    <row r="391" spans="2:32" s="326" customFormat="1" ht="9.9499999999999993" customHeight="1" x14ac:dyDescent="0.2">
      <c r="B391" s="327"/>
      <c r="F391" s="327"/>
      <c r="H391" s="327"/>
      <c r="J391" s="327"/>
      <c r="L391" s="327"/>
      <c r="N391" s="327"/>
      <c r="P391" s="327"/>
      <c r="R391" s="327"/>
      <c r="T391" s="327"/>
      <c r="V391" s="327"/>
      <c r="X391" s="327"/>
      <c r="Z391" s="327"/>
      <c r="AB391" s="327"/>
      <c r="AD391" s="327"/>
      <c r="AF391" s="327"/>
    </row>
    <row r="392" spans="2:32" s="326" customFormat="1" ht="9.9499999999999993" customHeight="1" x14ac:dyDescent="0.2">
      <c r="B392" s="327"/>
      <c r="F392" s="327"/>
      <c r="H392" s="327"/>
      <c r="J392" s="327"/>
      <c r="L392" s="327"/>
      <c r="N392" s="327"/>
      <c r="P392" s="327"/>
      <c r="R392" s="327"/>
      <c r="T392" s="327"/>
      <c r="V392" s="327"/>
      <c r="X392" s="327"/>
      <c r="Z392" s="327"/>
      <c r="AB392" s="327"/>
      <c r="AD392" s="327"/>
      <c r="AF392" s="327"/>
    </row>
    <row r="393" spans="2:32" s="326" customFormat="1" ht="9.9499999999999993" customHeight="1" x14ac:dyDescent="0.2">
      <c r="B393" s="327"/>
      <c r="F393" s="327"/>
      <c r="H393" s="327"/>
      <c r="J393" s="327"/>
      <c r="L393" s="327"/>
      <c r="N393" s="327"/>
      <c r="P393" s="327"/>
      <c r="R393" s="327"/>
      <c r="T393" s="327"/>
      <c r="V393" s="327"/>
      <c r="X393" s="327"/>
      <c r="Z393" s="327"/>
      <c r="AB393" s="327"/>
      <c r="AD393" s="327"/>
      <c r="AF393" s="327"/>
    </row>
    <row r="394" spans="2:32" s="326" customFormat="1" ht="9.9499999999999993" customHeight="1" x14ac:dyDescent="0.2">
      <c r="B394" s="327"/>
      <c r="F394" s="327"/>
      <c r="H394" s="327"/>
      <c r="J394" s="327"/>
      <c r="L394" s="327"/>
      <c r="N394" s="327"/>
      <c r="P394" s="327"/>
      <c r="R394" s="327"/>
      <c r="T394" s="327"/>
      <c r="V394" s="327"/>
      <c r="X394" s="327"/>
      <c r="Z394" s="327"/>
      <c r="AB394" s="327"/>
      <c r="AD394" s="327"/>
      <c r="AF394" s="327"/>
    </row>
    <row r="395" spans="2:32" s="326" customFormat="1" ht="9.9499999999999993" customHeight="1" x14ac:dyDescent="0.2">
      <c r="B395" s="327"/>
      <c r="F395" s="327"/>
      <c r="H395" s="327"/>
      <c r="J395" s="327"/>
      <c r="L395" s="327"/>
      <c r="N395" s="327"/>
      <c r="P395" s="327"/>
      <c r="R395" s="327"/>
      <c r="T395" s="327"/>
      <c r="V395" s="327"/>
      <c r="X395" s="327"/>
      <c r="Z395" s="327"/>
      <c r="AB395" s="327"/>
      <c r="AD395" s="327"/>
      <c r="AF395" s="327"/>
    </row>
    <row r="396" spans="2:32" s="326" customFormat="1" ht="9.9499999999999993" customHeight="1" x14ac:dyDescent="0.2">
      <c r="B396" s="327"/>
      <c r="F396" s="327"/>
      <c r="H396" s="327"/>
      <c r="J396" s="327"/>
      <c r="L396" s="327"/>
      <c r="N396" s="327"/>
      <c r="P396" s="327"/>
      <c r="R396" s="327"/>
      <c r="T396" s="327"/>
      <c r="V396" s="327"/>
      <c r="X396" s="327"/>
      <c r="Z396" s="327"/>
      <c r="AB396" s="327"/>
      <c r="AD396" s="327"/>
      <c r="AF396" s="327"/>
    </row>
    <row r="397" spans="2:32" s="326" customFormat="1" ht="9.9499999999999993" customHeight="1" x14ac:dyDescent="0.2">
      <c r="B397" s="327"/>
      <c r="F397" s="327"/>
      <c r="H397" s="327"/>
      <c r="J397" s="327"/>
      <c r="L397" s="327"/>
      <c r="N397" s="327"/>
      <c r="P397" s="327"/>
      <c r="R397" s="327"/>
      <c r="T397" s="327"/>
      <c r="V397" s="327"/>
      <c r="X397" s="327"/>
      <c r="Z397" s="327"/>
      <c r="AB397" s="327"/>
      <c r="AD397" s="327"/>
      <c r="AF397" s="327"/>
    </row>
    <row r="398" spans="2:32" s="326" customFormat="1" ht="9.9499999999999993" customHeight="1" x14ac:dyDescent="0.2">
      <c r="B398" s="327"/>
      <c r="F398" s="327"/>
      <c r="H398" s="327"/>
      <c r="J398" s="327"/>
      <c r="L398" s="327"/>
      <c r="N398" s="327"/>
      <c r="P398" s="327"/>
      <c r="R398" s="327"/>
      <c r="T398" s="327"/>
      <c r="V398" s="327"/>
      <c r="X398" s="327"/>
      <c r="Z398" s="327"/>
      <c r="AB398" s="327"/>
      <c r="AD398" s="327"/>
      <c r="AF398" s="327"/>
    </row>
    <row r="399" spans="2:32" s="326" customFormat="1" ht="9.9499999999999993" customHeight="1" x14ac:dyDescent="0.2">
      <c r="B399" s="327"/>
      <c r="F399" s="327"/>
      <c r="H399" s="327"/>
      <c r="J399" s="327"/>
      <c r="L399" s="327"/>
      <c r="N399" s="327"/>
      <c r="P399" s="327"/>
      <c r="R399" s="327"/>
      <c r="T399" s="327"/>
      <c r="V399" s="327"/>
      <c r="X399" s="327"/>
      <c r="Z399" s="327"/>
      <c r="AB399" s="327"/>
      <c r="AD399" s="327"/>
      <c r="AF399" s="327"/>
    </row>
    <row r="400" spans="2:32" s="326" customFormat="1" ht="9.9499999999999993" customHeight="1" x14ac:dyDescent="0.2">
      <c r="B400" s="327"/>
      <c r="F400" s="327"/>
      <c r="H400" s="327"/>
      <c r="J400" s="327"/>
      <c r="L400" s="327"/>
      <c r="N400" s="327"/>
      <c r="P400" s="327"/>
      <c r="R400" s="327"/>
      <c r="T400" s="327"/>
      <c r="V400" s="327"/>
      <c r="X400" s="327"/>
      <c r="Z400" s="327"/>
      <c r="AB400" s="327"/>
      <c r="AD400" s="327"/>
      <c r="AF400" s="327"/>
    </row>
    <row r="401" spans="2:32" s="326" customFormat="1" ht="9.9499999999999993" customHeight="1" x14ac:dyDescent="0.2">
      <c r="B401" s="327"/>
      <c r="F401" s="327"/>
      <c r="H401" s="327"/>
      <c r="J401" s="327"/>
      <c r="L401" s="327"/>
      <c r="N401" s="327"/>
      <c r="P401" s="327"/>
      <c r="R401" s="327"/>
      <c r="T401" s="327"/>
      <c r="V401" s="327"/>
      <c r="X401" s="327"/>
      <c r="Z401" s="327"/>
      <c r="AB401" s="327"/>
      <c r="AD401" s="327"/>
      <c r="AF401" s="327"/>
    </row>
    <row r="402" spans="2:32" s="326" customFormat="1" ht="9.9499999999999993" customHeight="1" x14ac:dyDescent="0.2">
      <c r="B402" s="327"/>
      <c r="F402" s="327"/>
      <c r="H402" s="327"/>
      <c r="J402" s="327"/>
      <c r="L402" s="327"/>
      <c r="N402" s="327"/>
      <c r="P402" s="327"/>
      <c r="R402" s="327"/>
      <c r="T402" s="327"/>
      <c r="V402" s="327"/>
      <c r="X402" s="327"/>
      <c r="Z402" s="327"/>
      <c r="AB402" s="327"/>
      <c r="AD402" s="327"/>
      <c r="AF402" s="327"/>
    </row>
    <row r="403" spans="2:32" s="326" customFormat="1" ht="9.9499999999999993" customHeight="1" x14ac:dyDescent="0.2">
      <c r="B403" s="327"/>
      <c r="F403" s="327"/>
      <c r="H403" s="327"/>
      <c r="J403" s="327"/>
      <c r="L403" s="327"/>
      <c r="N403" s="327"/>
      <c r="P403" s="327"/>
      <c r="R403" s="327"/>
      <c r="T403" s="327"/>
      <c r="V403" s="327"/>
      <c r="X403" s="327"/>
      <c r="Z403" s="327"/>
      <c r="AB403" s="327"/>
      <c r="AD403" s="327"/>
      <c r="AF403" s="327"/>
    </row>
    <row r="404" spans="2:32" s="326" customFormat="1" ht="9.9499999999999993" customHeight="1" x14ac:dyDescent="0.2">
      <c r="B404" s="327"/>
      <c r="F404" s="327"/>
      <c r="H404" s="327"/>
      <c r="J404" s="327"/>
      <c r="L404" s="327"/>
      <c r="N404" s="327"/>
      <c r="P404" s="327"/>
      <c r="R404" s="327"/>
      <c r="T404" s="327"/>
      <c r="V404" s="327"/>
      <c r="X404" s="327"/>
      <c r="Z404" s="327"/>
      <c r="AB404" s="327"/>
      <c r="AD404" s="327"/>
      <c r="AF404" s="327"/>
    </row>
    <row r="405" spans="2:32" s="326" customFormat="1" ht="9.9499999999999993" customHeight="1" x14ac:dyDescent="0.2">
      <c r="B405" s="327"/>
      <c r="F405" s="327"/>
      <c r="H405" s="327"/>
      <c r="J405" s="327"/>
      <c r="L405" s="327"/>
      <c r="N405" s="327"/>
      <c r="P405" s="327"/>
      <c r="R405" s="327"/>
      <c r="T405" s="327"/>
      <c r="V405" s="327"/>
      <c r="X405" s="327"/>
      <c r="Z405" s="327"/>
      <c r="AB405" s="327"/>
      <c r="AD405" s="327"/>
      <c r="AF405" s="327"/>
    </row>
    <row r="406" spans="2:32" s="326" customFormat="1" ht="9.9499999999999993" customHeight="1" x14ac:dyDescent="0.2">
      <c r="B406" s="327"/>
      <c r="F406" s="327"/>
      <c r="H406" s="327"/>
      <c r="J406" s="327"/>
      <c r="L406" s="327"/>
      <c r="N406" s="327"/>
      <c r="P406" s="327"/>
      <c r="R406" s="327"/>
      <c r="T406" s="327"/>
      <c r="V406" s="327"/>
      <c r="X406" s="327"/>
      <c r="Z406" s="327"/>
      <c r="AB406" s="327"/>
      <c r="AD406" s="327"/>
      <c r="AF406" s="327"/>
    </row>
    <row r="407" spans="2:32" s="326" customFormat="1" ht="9.9499999999999993" customHeight="1" x14ac:dyDescent="0.2">
      <c r="B407" s="327"/>
      <c r="F407" s="327"/>
      <c r="H407" s="327"/>
      <c r="J407" s="327"/>
      <c r="L407" s="327"/>
      <c r="N407" s="327"/>
      <c r="P407" s="327"/>
      <c r="R407" s="327"/>
      <c r="T407" s="327"/>
      <c r="V407" s="327"/>
      <c r="X407" s="327"/>
      <c r="Z407" s="327"/>
      <c r="AB407" s="327"/>
      <c r="AD407" s="327"/>
      <c r="AF407" s="327"/>
    </row>
    <row r="408" spans="2:32" s="326" customFormat="1" ht="9.9499999999999993" customHeight="1" x14ac:dyDescent="0.2">
      <c r="B408" s="327"/>
      <c r="F408" s="327"/>
      <c r="H408" s="327"/>
      <c r="J408" s="327"/>
      <c r="L408" s="327"/>
      <c r="N408" s="327"/>
      <c r="P408" s="327"/>
      <c r="R408" s="327"/>
      <c r="T408" s="327"/>
      <c r="V408" s="327"/>
      <c r="X408" s="327"/>
      <c r="Z408" s="327"/>
      <c r="AB408" s="327"/>
      <c r="AD408" s="327"/>
      <c r="AF408" s="327"/>
    </row>
    <row r="409" spans="2:32" s="326" customFormat="1" ht="9.9499999999999993" customHeight="1" x14ac:dyDescent="0.2">
      <c r="B409" s="327"/>
      <c r="F409" s="327"/>
      <c r="H409" s="327"/>
      <c r="J409" s="327"/>
      <c r="L409" s="327"/>
      <c r="N409" s="327"/>
      <c r="P409" s="327"/>
      <c r="R409" s="327"/>
      <c r="T409" s="327"/>
      <c r="V409" s="327"/>
      <c r="X409" s="327"/>
      <c r="Z409" s="327"/>
      <c r="AB409" s="327"/>
      <c r="AD409" s="327"/>
      <c r="AF409" s="327"/>
    </row>
    <row r="410" spans="2:32" s="326" customFormat="1" ht="9.9499999999999993" customHeight="1" x14ac:dyDescent="0.2">
      <c r="B410" s="327"/>
      <c r="F410" s="327"/>
      <c r="H410" s="327"/>
      <c r="J410" s="327"/>
      <c r="L410" s="327"/>
      <c r="N410" s="327"/>
      <c r="P410" s="327"/>
      <c r="R410" s="327"/>
      <c r="T410" s="327"/>
      <c r="V410" s="327"/>
      <c r="X410" s="327"/>
      <c r="Z410" s="327"/>
      <c r="AB410" s="327"/>
      <c r="AD410" s="327"/>
      <c r="AF410" s="327"/>
    </row>
    <row r="411" spans="2:32" s="326" customFormat="1" ht="9.9499999999999993" customHeight="1" x14ac:dyDescent="0.2">
      <c r="B411" s="327"/>
      <c r="F411" s="327"/>
      <c r="H411" s="327"/>
      <c r="J411" s="327"/>
      <c r="L411" s="327"/>
      <c r="N411" s="327"/>
      <c r="P411" s="327"/>
      <c r="R411" s="327"/>
      <c r="T411" s="327"/>
      <c r="V411" s="327"/>
      <c r="X411" s="327"/>
      <c r="Z411" s="327"/>
      <c r="AB411" s="327"/>
      <c r="AD411" s="327"/>
      <c r="AF411" s="327"/>
    </row>
    <row r="412" spans="2:32" s="326" customFormat="1" ht="9.9499999999999993" customHeight="1" x14ac:dyDescent="0.2">
      <c r="B412" s="327"/>
      <c r="F412" s="327"/>
      <c r="H412" s="327"/>
      <c r="J412" s="327"/>
      <c r="L412" s="327"/>
      <c r="N412" s="327"/>
      <c r="P412" s="327"/>
      <c r="R412" s="327"/>
      <c r="T412" s="327"/>
      <c r="V412" s="327"/>
      <c r="X412" s="327"/>
      <c r="Z412" s="327"/>
      <c r="AB412" s="327"/>
      <c r="AD412" s="327"/>
      <c r="AF412" s="327"/>
    </row>
    <row r="413" spans="2:32" s="326" customFormat="1" ht="9.9499999999999993" customHeight="1" x14ac:dyDescent="0.2">
      <c r="B413" s="327"/>
      <c r="F413" s="327"/>
      <c r="H413" s="327"/>
      <c r="J413" s="327"/>
      <c r="L413" s="327"/>
      <c r="N413" s="327"/>
      <c r="P413" s="327"/>
      <c r="R413" s="327"/>
      <c r="T413" s="327"/>
      <c r="V413" s="327"/>
      <c r="X413" s="327"/>
      <c r="Z413" s="327"/>
      <c r="AB413" s="327"/>
      <c r="AD413" s="327"/>
      <c r="AF413" s="327"/>
    </row>
    <row r="414" spans="2:32" s="326" customFormat="1" ht="9.9499999999999993" customHeight="1" x14ac:dyDescent="0.2">
      <c r="B414" s="327"/>
      <c r="F414" s="327"/>
      <c r="H414" s="327"/>
      <c r="J414" s="327"/>
      <c r="L414" s="327"/>
      <c r="N414" s="327"/>
      <c r="P414" s="327"/>
      <c r="R414" s="327"/>
      <c r="T414" s="327"/>
      <c r="V414" s="327"/>
      <c r="X414" s="327"/>
      <c r="Z414" s="327"/>
      <c r="AB414" s="327"/>
      <c r="AD414" s="327"/>
      <c r="AF414" s="327"/>
    </row>
    <row r="415" spans="2:32" s="326" customFormat="1" ht="9.9499999999999993" customHeight="1" x14ac:dyDescent="0.2">
      <c r="B415" s="327"/>
      <c r="F415" s="327"/>
      <c r="H415" s="327"/>
      <c r="J415" s="327"/>
      <c r="L415" s="327"/>
      <c r="N415" s="327"/>
      <c r="P415" s="327"/>
      <c r="R415" s="327"/>
      <c r="T415" s="327"/>
      <c r="V415" s="327"/>
      <c r="X415" s="327"/>
      <c r="Z415" s="327"/>
      <c r="AB415" s="327"/>
      <c r="AD415" s="327"/>
      <c r="AF415" s="327"/>
    </row>
    <row r="416" spans="2:32" s="326" customFormat="1" ht="9.9499999999999993" customHeight="1" x14ac:dyDescent="0.2">
      <c r="B416" s="327"/>
      <c r="F416" s="327"/>
      <c r="H416" s="327"/>
      <c r="J416" s="327"/>
      <c r="L416" s="327"/>
      <c r="N416" s="327"/>
      <c r="P416" s="327"/>
      <c r="R416" s="327"/>
      <c r="T416" s="327"/>
      <c r="V416" s="327"/>
      <c r="X416" s="327"/>
      <c r="Z416" s="327"/>
      <c r="AB416" s="327"/>
      <c r="AD416" s="327"/>
      <c r="AF416" s="327"/>
    </row>
    <row r="417" spans="2:32" s="326" customFormat="1" ht="9.9499999999999993" customHeight="1" x14ac:dyDescent="0.2">
      <c r="B417" s="327"/>
      <c r="F417" s="327"/>
      <c r="H417" s="327"/>
      <c r="J417" s="327"/>
      <c r="L417" s="327"/>
      <c r="N417" s="327"/>
      <c r="P417" s="327"/>
      <c r="R417" s="327"/>
      <c r="T417" s="327"/>
      <c r="V417" s="327"/>
      <c r="X417" s="327"/>
      <c r="Z417" s="327"/>
      <c r="AB417" s="327"/>
      <c r="AD417" s="327"/>
      <c r="AF417" s="327"/>
    </row>
    <row r="418" spans="2:32" s="326" customFormat="1" ht="9.9499999999999993" customHeight="1" x14ac:dyDescent="0.2">
      <c r="B418" s="327"/>
      <c r="F418" s="327"/>
      <c r="H418" s="327"/>
      <c r="J418" s="327"/>
      <c r="L418" s="327"/>
      <c r="N418" s="327"/>
      <c r="P418" s="327"/>
      <c r="R418" s="327"/>
      <c r="T418" s="327"/>
      <c r="V418" s="327"/>
      <c r="X418" s="327"/>
      <c r="Z418" s="327"/>
      <c r="AB418" s="327"/>
      <c r="AD418" s="327"/>
      <c r="AF418" s="327"/>
    </row>
    <row r="419" spans="2:32" s="326" customFormat="1" ht="9.9499999999999993" customHeight="1" x14ac:dyDescent="0.2">
      <c r="B419" s="327"/>
      <c r="F419" s="327"/>
      <c r="H419" s="327"/>
      <c r="J419" s="327"/>
      <c r="L419" s="327"/>
      <c r="N419" s="327"/>
      <c r="P419" s="327"/>
      <c r="R419" s="327"/>
      <c r="T419" s="327"/>
      <c r="V419" s="327"/>
      <c r="X419" s="327"/>
      <c r="Z419" s="327"/>
      <c r="AB419" s="327"/>
      <c r="AD419" s="327"/>
      <c r="AF419" s="327"/>
    </row>
    <row r="420" spans="2:32" s="326" customFormat="1" ht="9.9499999999999993" customHeight="1" x14ac:dyDescent="0.2">
      <c r="B420" s="327"/>
      <c r="F420" s="327"/>
      <c r="H420" s="327"/>
      <c r="J420" s="327"/>
      <c r="L420" s="327"/>
      <c r="N420" s="327"/>
      <c r="P420" s="327"/>
      <c r="R420" s="327"/>
      <c r="T420" s="327"/>
      <c r="V420" s="327"/>
      <c r="X420" s="327"/>
      <c r="Z420" s="327"/>
      <c r="AB420" s="327"/>
      <c r="AD420" s="327"/>
      <c r="AF420" s="327"/>
    </row>
    <row r="421" spans="2:32" s="326" customFormat="1" ht="9.9499999999999993" customHeight="1" x14ac:dyDescent="0.2">
      <c r="B421" s="327"/>
      <c r="F421" s="327"/>
      <c r="H421" s="327"/>
      <c r="J421" s="327"/>
      <c r="L421" s="327"/>
      <c r="N421" s="327"/>
      <c r="P421" s="327"/>
      <c r="R421" s="327"/>
      <c r="T421" s="327"/>
      <c r="V421" s="327"/>
      <c r="X421" s="327"/>
      <c r="Z421" s="327"/>
      <c r="AB421" s="327"/>
      <c r="AD421" s="327"/>
      <c r="AF421" s="327"/>
    </row>
    <row r="422" spans="2:32" s="326" customFormat="1" ht="9.9499999999999993" customHeight="1" x14ac:dyDescent="0.2">
      <c r="B422" s="327"/>
      <c r="F422" s="327"/>
      <c r="H422" s="327"/>
      <c r="J422" s="327"/>
      <c r="L422" s="327"/>
      <c r="N422" s="327"/>
      <c r="P422" s="327"/>
      <c r="R422" s="327"/>
      <c r="T422" s="327"/>
      <c r="V422" s="327"/>
      <c r="X422" s="327"/>
      <c r="Z422" s="327"/>
      <c r="AB422" s="327"/>
      <c r="AD422" s="327"/>
      <c r="AF422" s="327"/>
    </row>
    <row r="423" spans="2:32" s="326" customFormat="1" ht="9.9499999999999993" customHeight="1" x14ac:dyDescent="0.2">
      <c r="B423" s="327"/>
      <c r="F423" s="327"/>
      <c r="H423" s="327"/>
      <c r="J423" s="327"/>
      <c r="L423" s="327"/>
      <c r="N423" s="327"/>
      <c r="P423" s="327"/>
      <c r="R423" s="327"/>
      <c r="T423" s="327"/>
      <c r="V423" s="327"/>
      <c r="X423" s="327"/>
      <c r="Z423" s="327"/>
      <c r="AB423" s="327"/>
      <c r="AD423" s="327"/>
      <c r="AF423" s="327"/>
    </row>
    <row r="424" spans="2:32" s="326" customFormat="1" ht="9.9499999999999993" customHeight="1" x14ac:dyDescent="0.2">
      <c r="B424" s="327"/>
      <c r="F424" s="327"/>
      <c r="H424" s="327"/>
      <c r="J424" s="327"/>
      <c r="L424" s="327"/>
      <c r="N424" s="327"/>
      <c r="P424" s="327"/>
      <c r="R424" s="327"/>
      <c r="T424" s="327"/>
      <c r="V424" s="327"/>
      <c r="X424" s="327"/>
      <c r="Z424" s="327"/>
      <c r="AB424" s="327"/>
      <c r="AD424" s="327"/>
      <c r="AF424" s="327"/>
    </row>
    <row r="425" spans="2:32" s="326" customFormat="1" ht="9.9499999999999993" customHeight="1" x14ac:dyDescent="0.2">
      <c r="B425" s="327"/>
      <c r="F425" s="327"/>
      <c r="H425" s="327"/>
      <c r="J425" s="327"/>
      <c r="L425" s="327"/>
      <c r="N425" s="327"/>
      <c r="P425" s="327"/>
      <c r="R425" s="327"/>
      <c r="T425" s="327"/>
      <c r="V425" s="327"/>
      <c r="X425" s="327"/>
      <c r="Z425" s="327"/>
      <c r="AB425" s="327"/>
      <c r="AD425" s="327"/>
      <c r="AF425" s="327"/>
    </row>
    <row r="426" spans="2:32" s="326" customFormat="1" ht="9.9499999999999993" customHeight="1" x14ac:dyDescent="0.2">
      <c r="B426" s="327"/>
      <c r="F426" s="327"/>
      <c r="H426" s="327"/>
      <c r="J426" s="327"/>
      <c r="L426" s="327"/>
      <c r="N426" s="327"/>
      <c r="P426" s="327"/>
      <c r="R426" s="327"/>
      <c r="T426" s="327"/>
      <c r="V426" s="327"/>
      <c r="X426" s="327"/>
      <c r="Z426" s="327"/>
      <c r="AB426" s="327"/>
      <c r="AD426" s="327"/>
      <c r="AF426" s="327"/>
    </row>
    <row r="427" spans="2:32" s="326" customFormat="1" ht="9.9499999999999993" customHeight="1" x14ac:dyDescent="0.2">
      <c r="B427" s="327"/>
      <c r="F427" s="327"/>
      <c r="H427" s="327"/>
      <c r="J427" s="327"/>
      <c r="L427" s="327"/>
      <c r="N427" s="327"/>
      <c r="P427" s="327"/>
      <c r="R427" s="327"/>
      <c r="T427" s="327"/>
      <c r="V427" s="327"/>
      <c r="X427" s="327"/>
      <c r="Z427" s="327"/>
      <c r="AB427" s="327"/>
      <c r="AD427" s="327"/>
      <c r="AF427" s="327"/>
    </row>
    <row r="428" spans="2:32" s="326" customFormat="1" ht="9.9499999999999993" customHeight="1" x14ac:dyDescent="0.2">
      <c r="B428" s="327"/>
      <c r="F428" s="327"/>
      <c r="H428" s="327"/>
      <c r="J428" s="327"/>
      <c r="L428" s="327"/>
      <c r="N428" s="327"/>
      <c r="P428" s="327"/>
      <c r="R428" s="327"/>
      <c r="T428" s="327"/>
      <c r="V428" s="327"/>
      <c r="X428" s="327"/>
      <c r="Z428" s="327"/>
      <c r="AB428" s="327"/>
      <c r="AD428" s="327"/>
      <c r="AF428" s="327"/>
    </row>
    <row r="429" spans="2:32" s="326" customFormat="1" ht="9.9499999999999993" customHeight="1" x14ac:dyDescent="0.2">
      <c r="B429" s="327"/>
      <c r="F429" s="327"/>
      <c r="H429" s="327"/>
      <c r="J429" s="327"/>
      <c r="L429" s="327"/>
      <c r="N429" s="327"/>
      <c r="P429" s="327"/>
      <c r="R429" s="327"/>
      <c r="T429" s="327"/>
      <c r="V429" s="327"/>
      <c r="X429" s="327"/>
      <c r="Z429" s="327"/>
      <c r="AB429" s="327"/>
      <c r="AD429" s="327"/>
      <c r="AF429" s="327"/>
    </row>
    <row r="430" spans="2:32" s="326" customFormat="1" ht="9.9499999999999993" customHeight="1" x14ac:dyDescent="0.2">
      <c r="B430" s="327"/>
      <c r="F430" s="327"/>
      <c r="H430" s="327"/>
      <c r="J430" s="327"/>
      <c r="L430" s="327"/>
      <c r="N430" s="327"/>
      <c r="P430" s="327"/>
      <c r="R430" s="327"/>
      <c r="T430" s="327"/>
      <c r="V430" s="327"/>
      <c r="X430" s="327"/>
      <c r="Z430" s="327"/>
      <c r="AB430" s="327"/>
      <c r="AD430" s="327"/>
      <c r="AF430" s="327"/>
    </row>
    <row r="431" spans="2:32" s="326" customFormat="1" ht="9.9499999999999993" customHeight="1" x14ac:dyDescent="0.2">
      <c r="B431" s="327"/>
      <c r="F431" s="327"/>
      <c r="H431" s="327"/>
      <c r="J431" s="327"/>
      <c r="L431" s="327"/>
      <c r="N431" s="327"/>
      <c r="P431" s="327"/>
      <c r="R431" s="327"/>
      <c r="T431" s="327"/>
      <c r="V431" s="327"/>
      <c r="X431" s="327"/>
      <c r="Z431" s="327"/>
      <c r="AB431" s="327"/>
      <c r="AD431" s="327"/>
      <c r="AF431" s="327"/>
    </row>
    <row r="432" spans="2:32" s="326" customFormat="1" ht="9.9499999999999993" customHeight="1" x14ac:dyDescent="0.2">
      <c r="B432" s="327"/>
      <c r="F432" s="327"/>
      <c r="H432" s="327"/>
      <c r="J432" s="327"/>
      <c r="L432" s="327"/>
      <c r="N432" s="327"/>
      <c r="P432" s="327"/>
      <c r="R432" s="327"/>
      <c r="T432" s="327"/>
      <c r="V432" s="327"/>
      <c r="X432" s="327"/>
      <c r="Z432" s="327"/>
      <c r="AB432" s="327"/>
      <c r="AD432" s="327"/>
      <c r="AF432" s="327"/>
    </row>
    <row r="433" spans="2:32" s="326" customFormat="1" ht="9.9499999999999993" customHeight="1" x14ac:dyDescent="0.2">
      <c r="B433" s="327"/>
      <c r="F433" s="327"/>
      <c r="H433" s="327"/>
      <c r="J433" s="327"/>
      <c r="L433" s="327"/>
      <c r="N433" s="327"/>
      <c r="P433" s="327"/>
      <c r="R433" s="327"/>
      <c r="T433" s="327"/>
      <c r="V433" s="327"/>
      <c r="X433" s="327"/>
      <c r="Z433" s="327"/>
      <c r="AB433" s="327"/>
      <c r="AD433" s="327"/>
      <c r="AF433" s="327"/>
    </row>
    <row r="434" spans="2:32" s="326" customFormat="1" ht="9.9499999999999993" customHeight="1" x14ac:dyDescent="0.2">
      <c r="B434" s="327"/>
      <c r="F434" s="327"/>
      <c r="H434" s="327"/>
      <c r="J434" s="327"/>
      <c r="L434" s="327"/>
      <c r="N434" s="327"/>
      <c r="P434" s="327"/>
      <c r="R434" s="327"/>
      <c r="T434" s="327"/>
      <c r="V434" s="327"/>
      <c r="X434" s="327"/>
      <c r="Z434" s="327"/>
      <c r="AB434" s="327"/>
      <c r="AD434" s="327"/>
      <c r="AF434" s="327"/>
    </row>
    <row r="435" spans="2:32" s="326" customFormat="1" ht="9.9499999999999993" customHeight="1" x14ac:dyDescent="0.2">
      <c r="B435" s="327"/>
      <c r="F435" s="327"/>
      <c r="H435" s="327"/>
      <c r="J435" s="327"/>
      <c r="L435" s="327"/>
      <c r="N435" s="327"/>
      <c r="P435" s="327"/>
      <c r="R435" s="327"/>
      <c r="T435" s="327"/>
      <c r="V435" s="327"/>
      <c r="X435" s="327"/>
      <c r="Z435" s="327"/>
      <c r="AB435" s="327"/>
      <c r="AD435" s="327"/>
      <c r="AF435" s="327"/>
    </row>
    <row r="436" spans="2:32" s="326" customFormat="1" ht="9.9499999999999993" customHeight="1" x14ac:dyDescent="0.2">
      <c r="B436" s="327"/>
      <c r="F436" s="327"/>
      <c r="H436" s="327"/>
      <c r="J436" s="327"/>
      <c r="L436" s="327"/>
      <c r="N436" s="327"/>
      <c r="P436" s="327"/>
      <c r="R436" s="327"/>
      <c r="T436" s="327"/>
      <c r="V436" s="327"/>
      <c r="X436" s="327"/>
      <c r="Z436" s="327"/>
      <c r="AB436" s="327"/>
      <c r="AD436" s="327"/>
      <c r="AF436" s="327"/>
    </row>
    <row r="437" spans="2:32" s="326" customFormat="1" ht="9.9499999999999993" customHeight="1" x14ac:dyDescent="0.2">
      <c r="B437" s="327"/>
      <c r="F437" s="327"/>
      <c r="H437" s="327"/>
      <c r="J437" s="327"/>
      <c r="L437" s="327"/>
      <c r="N437" s="327"/>
      <c r="P437" s="327"/>
      <c r="R437" s="327"/>
      <c r="T437" s="327"/>
      <c r="V437" s="327"/>
      <c r="X437" s="327"/>
      <c r="Z437" s="327"/>
      <c r="AB437" s="327"/>
      <c r="AD437" s="327"/>
      <c r="AF437" s="327"/>
    </row>
    <row r="438" spans="2:32" s="326" customFormat="1" ht="9.9499999999999993" customHeight="1" x14ac:dyDescent="0.2">
      <c r="B438" s="327"/>
      <c r="F438" s="327"/>
      <c r="H438" s="327"/>
      <c r="J438" s="327"/>
      <c r="L438" s="327"/>
      <c r="N438" s="327"/>
      <c r="P438" s="327"/>
      <c r="R438" s="327"/>
      <c r="T438" s="327"/>
      <c r="V438" s="327"/>
      <c r="X438" s="327"/>
      <c r="Z438" s="327"/>
      <c r="AB438" s="327"/>
      <c r="AD438" s="327"/>
      <c r="AF438" s="327"/>
    </row>
    <row r="439" spans="2:32" s="326" customFormat="1" ht="9.9499999999999993" customHeight="1" x14ac:dyDescent="0.2">
      <c r="B439" s="327"/>
      <c r="F439" s="327"/>
      <c r="H439" s="327"/>
      <c r="J439" s="327"/>
      <c r="L439" s="327"/>
      <c r="N439" s="327"/>
      <c r="P439" s="327"/>
      <c r="R439" s="327"/>
      <c r="T439" s="327"/>
      <c r="V439" s="327"/>
      <c r="X439" s="327"/>
      <c r="Z439" s="327"/>
      <c r="AB439" s="327"/>
      <c r="AD439" s="327"/>
      <c r="AF439" s="327"/>
    </row>
    <row r="440" spans="2:32" s="326" customFormat="1" ht="9.9499999999999993" customHeight="1" x14ac:dyDescent="0.2">
      <c r="B440" s="327"/>
      <c r="F440" s="327"/>
      <c r="H440" s="327"/>
      <c r="J440" s="327"/>
      <c r="L440" s="327"/>
      <c r="N440" s="327"/>
      <c r="P440" s="327"/>
      <c r="R440" s="327"/>
      <c r="T440" s="327"/>
      <c r="V440" s="327"/>
      <c r="X440" s="327"/>
      <c r="Z440" s="327"/>
      <c r="AB440" s="327"/>
      <c r="AD440" s="327"/>
      <c r="AF440" s="327"/>
    </row>
    <row r="441" spans="2:32" s="326" customFormat="1" ht="9.9499999999999993" customHeight="1" x14ac:dyDescent="0.2">
      <c r="B441" s="327"/>
      <c r="F441" s="327"/>
      <c r="H441" s="327"/>
      <c r="J441" s="327"/>
      <c r="L441" s="327"/>
      <c r="N441" s="327"/>
      <c r="P441" s="327"/>
      <c r="R441" s="327"/>
      <c r="T441" s="327"/>
      <c r="V441" s="327"/>
      <c r="X441" s="327"/>
      <c r="Z441" s="327"/>
      <c r="AB441" s="327"/>
      <c r="AD441" s="327"/>
      <c r="AF441" s="327"/>
    </row>
    <row r="442" spans="2:32" s="326" customFormat="1" ht="9.9499999999999993" customHeight="1" x14ac:dyDescent="0.2">
      <c r="B442" s="327"/>
      <c r="F442" s="327"/>
      <c r="H442" s="327"/>
      <c r="J442" s="327"/>
      <c r="L442" s="327"/>
      <c r="N442" s="327"/>
      <c r="P442" s="327"/>
      <c r="R442" s="327"/>
      <c r="T442" s="327"/>
      <c r="V442" s="327"/>
      <c r="X442" s="327"/>
      <c r="Z442" s="327"/>
      <c r="AB442" s="327"/>
      <c r="AD442" s="327"/>
      <c r="AF442" s="327"/>
    </row>
    <row r="443" spans="2:32" s="326" customFormat="1" ht="9.9499999999999993" customHeight="1" x14ac:dyDescent="0.2">
      <c r="B443" s="327"/>
      <c r="F443" s="327"/>
      <c r="H443" s="327"/>
      <c r="J443" s="327"/>
      <c r="L443" s="327"/>
      <c r="N443" s="327"/>
      <c r="P443" s="327"/>
      <c r="R443" s="327"/>
      <c r="T443" s="327"/>
      <c r="V443" s="327"/>
      <c r="X443" s="327"/>
      <c r="Z443" s="327"/>
      <c r="AB443" s="327"/>
      <c r="AD443" s="327"/>
      <c r="AF443" s="327"/>
    </row>
    <row r="444" spans="2:32" s="326" customFormat="1" ht="9.9499999999999993" customHeight="1" x14ac:dyDescent="0.2">
      <c r="B444" s="327"/>
      <c r="F444" s="327"/>
      <c r="H444" s="327"/>
      <c r="J444" s="327"/>
      <c r="L444" s="327"/>
      <c r="N444" s="327"/>
      <c r="P444" s="327"/>
      <c r="R444" s="327"/>
      <c r="T444" s="327"/>
      <c r="V444" s="327"/>
      <c r="X444" s="327"/>
      <c r="Z444" s="327"/>
      <c r="AB444" s="327"/>
      <c r="AD444" s="327"/>
      <c r="AF444" s="327"/>
    </row>
    <row r="445" spans="2:32" s="326" customFormat="1" ht="9.9499999999999993" customHeight="1" x14ac:dyDescent="0.2">
      <c r="B445" s="327"/>
      <c r="F445" s="327"/>
      <c r="H445" s="327"/>
      <c r="J445" s="327"/>
      <c r="L445" s="327"/>
      <c r="N445" s="327"/>
      <c r="P445" s="327"/>
      <c r="R445" s="327"/>
      <c r="T445" s="327"/>
      <c r="V445" s="327"/>
      <c r="X445" s="327"/>
      <c r="Z445" s="327"/>
      <c r="AB445" s="327"/>
      <c r="AD445" s="327"/>
      <c r="AF445" s="327"/>
    </row>
    <row r="446" spans="2:32" s="326" customFormat="1" ht="9.9499999999999993" customHeight="1" x14ac:dyDescent="0.2">
      <c r="B446" s="327"/>
      <c r="F446" s="327"/>
      <c r="H446" s="327"/>
      <c r="J446" s="327"/>
      <c r="L446" s="327"/>
      <c r="N446" s="327"/>
      <c r="P446" s="327"/>
      <c r="R446" s="327"/>
      <c r="T446" s="327"/>
      <c r="V446" s="327"/>
      <c r="X446" s="327"/>
      <c r="Z446" s="327"/>
      <c r="AB446" s="327"/>
      <c r="AD446" s="327"/>
      <c r="AF446" s="327"/>
    </row>
    <row r="447" spans="2:32" s="326" customFormat="1" ht="9.9499999999999993" customHeight="1" x14ac:dyDescent="0.2">
      <c r="B447" s="327"/>
      <c r="F447" s="327"/>
      <c r="H447" s="327"/>
      <c r="J447" s="327"/>
      <c r="L447" s="327"/>
      <c r="N447" s="327"/>
      <c r="P447" s="327"/>
      <c r="R447" s="327"/>
      <c r="T447" s="327"/>
      <c r="V447" s="327"/>
      <c r="X447" s="327"/>
      <c r="Z447" s="327"/>
      <c r="AB447" s="327"/>
      <c r="AD447" s="327"/>
      <c r="AF447" s="327"/>
    </row>
    <row r="448" spans="2:32" s="326" customFormat="1" ht="9.9499999999999993" customHeight="1" x14ac:dyDescent="0.2">
      <c r="B448" s="327"/>
      <c r="F448" s="327"/>
      <c r="H448" s="327"/>
      <c r="J448" s="327"/>
      <c r="L448" s="327"/>
      <c r="N448" s="327"/>
      <c r="P448" s="327"/>
      <c r="R448" s="327"/>
      <c r="T448" s="327"/>
      <c r="V448" s="327"/>
      <c r="X448" s="327"/>
      <c r="Z448" s="327"/>
      <c r="AB448" s="327"/>
      <c r="AD448" s="327"/>
      <c r="AF448" s="327"/>
    </row>
    <row r="449" spans="2:32" s="326" customFormat="1" ht="9.9499999999999993" customHeight="1" x14ac:dyDescent="0.2">
      <c r="B449" s="327"/>
      <c r="F449" s="327"/>
      <c r="H449" s="327"/>
      <c r="J449" s="327"/>
      <c r="L449" s="327"/>
      <c r="N449" s="327"/>
      <c r="P449" s="327"/>
      <c r="R449" s="327"/>
      <c r="T449" s="327"/>
      <c r="V449" s="327"/>
      <c r="X449" s="327"/>
      <c r="Z449" s="327"/>
      <c r="AB449" s="327"/>
      <c r="AD449" s="327"/>
      <c r="AF449" s="327"/>
    </row>
    <row r="450" spans="2:32" s="326" customFormat="1" ht="9.9499999999999993" customHeight="1" x14ac:dyDescent="0.2">
      <c r="B450" s="327"/>
      <c r="F450" s="327"/>
      <c r="H450" s="327"/>
      <c r="J450" s="327"/>
      <c r="L450" s="327"/>
      <c r="N450" s="327"/>
      <c r="P450" s="327"/>
      <c r="R450" s="327"/>
      <c r="T450" s="327"/>
      <c r="V450" s="327"/>
      <c r="X450" s="327"/>
      <c r="Z450" s="327"/>
      <c r="AB450" s="327"/>
      <c r="AD450" s="327"/>
      <c r="AF450" s="327"/>
    </row>
    <row r="451" spans="2:32" s="326" customFormat="1" ht="9.9499999999999993" customHeight="1" x14ac:dyDescent="0.2">
      <c r="B451" s="327"/>
      <c r="F451" s="327"/>
      <c r="H451" s="327"/>
      <c r="J451" s="327"/>
      <c r="L451" s="327"/>
      <c r="N451" s="327"/>
      <c r="P451" s="327"/>
      <c r="R451" s="327"/>
      <c r="T451" s="327"/>
      <c r="V451" s="327"/>
      <c r="X451" s="327"/>
      <c r="Z451" s="327"/>
      <c r="AB451" s="327"/>
      <c r="AD451" s="327"/>
      <c r="AF451" s="327"/>
    </row>
    <row r="452" spans="2:32" s="326" customFormat="1" ht="9.9499999999999993" customHeight="1" x14ac:dyDescent="0.2">
      <c r="B452" s="327"/>
      <c r="F452" s="327"/>
      <c r="H452" s="327"/>
      <c r="J452" s="327"/>
      <c r="L452" s="327"/>
      <c r="N452" s="327"/>
      <c r="P452" s="327"/>
      <c r="R452" s="327"/>
      <c r="T452" s="327"/>
      <c r="V452" s="327"/>
      <c r="X452" s="327"/>
      <c r="Z452" s="327"/>
      <c r="AB452" s="327"/>
      <c r="AD452" s="327"/>
      <c r="AF452" s="327"/>
    </row>
    <row r="453" spans="2:32" s="326" customFormat="1" ht="9.9499999999999993" customHeight="1" x14ac:dyDescent="0.2">
      <c r="B453" s="327"/>
      <c r="F453" s="327"/>
      <c r="H453" s="327"/>
      <c r="J453" s="327"/>
      <c r="L453" s="327"/>
      <c r="N453" s="327"/>
      <c r="P453" s="327"/>
      <c r="R453" s="327"/>
      <c r="T453" s="327"/>
      <c r="V453" s="327"/>
      <c r="X453" s="327"/>
      <c r="Z453" s="327"/>
      <c r="AB453" s="327"/>
      <c r="AD453" s="327"/>
      <c r="AF453" s="327"/>
    </row>
    <row r="454" spans="2:32" s="326" customFormat="1" ht="9.9499999999999993" customHeight="1" x14ac:dyDescent="0.2">
      <c r="B454" s="327"/>
      <c r="F454" s="327"/>
      <c r="H454" s="327"/>
      <c r="J454" s="327"/>
      <c r="L454" s="327"/>
      <c r="N454" s="327"/>
      <c r="P454" s="327"/>
      <c r="R454" s="327"/>
      <c r="T454" s="327"/>
      <c r="V454" s="327"/>
      <c r="X454" s="327"/>
      <c r="Z454" s="327"/>
      <c r="AB454" s="327"/>
      <c r="AD454" s="327"/>
      <c r="AF454" s="327"/>
    </row>
    <row r="455" spans="2:32" s="326" customFormat="1" ht="9.9499999999999993" customHeight="1" x14ac:dyDescent="0.2">
      <c r="B455" s="327"/>
      <c r="F455" s="327"/>
      <c r="H455" s="327"/>
      <c r="J455" s="327"/>
      <c r="L455" s="327"/>
      <c r="N455" s="327"/>
      <c r="P455" s="327"/>
      <c r="R455" s="327"/>
      <c r="T455" s="327"/>
      <c r="V455" s="327"/>
      <c r="X455" s="327"/>
      <c r="Z455" s="327"/>
      <c r="AB455" s="327"/>
      <c r="AD455" s="327"/>
      <c r="AF455" s="327"/>
    </row>
    <row r="456" spans="2:32" s="326" customFormat="1" ht="9.9499999999999993" customHeight="1" x14ac:dyDescent="0.2">
      <c r="B456" s="327"/>
      <c r="F456" s="327"/>
      <c r="H456" s="327"/>
      <c r="J456" s="327"/>
      <c r="L456" s="327"/>
      <c r="N456" s="327"/>
      <c r="P456" s="327"/>
      <c r="R456" s="327"/>
      <c r="T456" s="327"/>
      <c r="V456" s="327"/>
      <c r="X456" s="327"/>
      <c r="Z456" s="327"/>
      <c r="AB456" s="327"/>
      <c r="AD456" s="327"/>
      <c r="AF456" s="327"/>
    </row>
    <row r="457" spans="2:32" s="326" customFormat="1" ht="9.9499999999999993" customHeight="1" x14ac:dyDescent="0.2">
      <c r="B457" s="327"/>
      <c r="F457" s="327"/>
      <c r="H457" s="327"/>
      <c r="J457" s="327"/>
      <c r="L457" s="327"/>
      <c r="N457" s="327"/>
      <c r="P457" s="327"/>
      <c r="R457" s="327"/>
      <c r="T457" s="327"/>
      <c r="V457" s="327"/>
      <c r="X457" s="327"/>
      <c r="Z457" s="327"/>
      <c r="AB457" s="327"/>
      <c r="AD457" s="327"/>
      <c r="AF457" s="327"/>
    </row>
    <row r="458" spans="2:32" s="326" customFormat="1" ht="9.9499999999999993" customHeight="1" x14ac:dyDescent="0.2">
      <c r="B458" s="327"/>
      <c r="F458" s="327"/>
      <c r="H458" s="327"/>
      <c r="J458" s="327"/>
      <c r="L458" s="327"/>
      <c r="N458" s="327"/>
      <c r="P458" s="327"/>
      <c r="R458" s="327"/>
      <c r="T458" s="327"/>
      <c r="V458" s="327"/>
      <c r="X458" s="327"/>
      <c r="Z458" s="327"/>
      <c r="AB458" s="327"/>
      <c r="AD458" s="327"/>
      <c r="AF458" s="327"/>
    </row>
    <row r="459" spans="2:32" s="326" customFormat="1" ht="9.9499999999999993" customHeight="1" x14ac:dyDescent="0.2">
      <c r="B459" s="327"/>
      <c r="F459" s="327"/>
      <c r="H459" s="327"/>
      <c r="J459" s="327"/>
      <c r="L459" s="327"/>
      <c r="N459" s="327"/>
      <c r="P459" s="327"/>
      <c r="R459" s="327"/>
      <c r="T459" s="327"/>
      <c r="V459" s="327"/>
      <c r="X459" s="327"/>
      <c r="Z459" s="327"/>
      <c r="AB459" s="327"/>
      <c r="AD459" s="327"/>
      <c r="AF459" s="327"/>
    </row>
    <row r="460" spans="2:32" s="326" customFormat="1" ht="9.9499999999999993" customHeight="1" x14ac:dyDescent="0.2">
      <c r="B460" s="327"/>
      <c r="F460" s="327"/>
      <c r="H460" s="327"/>
      <c r="J460" s="327"/>
      <c r="L460" s="327"/>
      <c r="N460" s="327"/>
      <c r="P460" s="327"/>
      <c r="R460" s="327"/>
      <c r="T460" s="327"/>
      <c r="V460" s="327"/>
      <c r="X460" s="327"/>
      <c r="Z460" s="327"/>
      <c r="AB460" s="327"/>
      <c r="AD460" s="327"/>
      <c r="AF460" s="327"/>
    </row>
    <row r="461" spans="2:32" s="326" customFormat="1" ht="9.9499999999999993" customHeight="1" x14ac:dyDescent="0.2">
      <c r="B461" s="327"/>
      <c r="F461" s="327"/>
      <c r="H461" s="327"/>
      <c r="J461" s="327"/>
      <c r="L461" s="327"/>
      <c r="N461" s="327"/>
      <c r="P461" s="327"/>
      <c r="R461" s="327"/>
      <c r="T461" s="327"/>
      <c r="V461" s="327"/>
      <c r="X461" s="327"/>
      <c r="Z461" s="327"/>
      <c r="AB461" s="327"/>
      <c r="AD461" s="327"/>
      <c r="AF461" s="327"/>
    </row>
    <row r="462" spans="2:32" s="326" customFormat="1" ht="9.9499999999999993" customHeight="1" x14ac:dyDescent="0.2">
      <c r="B462" s="327"/>
      <c r="F462" s="327"/>
      <c r="H462" s="327"/>
      <c r="J462" s="327"/>
      <c r="L462" s="327"/>
      <c r="N462" s="327"/>
      <c r="P462" s="327"/>
      <c r="R462" s="327"/>
      <c r="T462" s="327"/>
      <c r="V462" s="327"/>
      <c r="X462" s="327"/>
      <c r="Z462" s="327"/>
      <c r="AB462" s="327"/>
      <c r="AD462" s="327"/>
      <c r="AF462" s="327"/>
    </row>
    <row r="463" spans="2:32" s="326" customFormat="1" ht="9.9499999999999993" customHeight="1" x14ac:dyDescent="0.2">
      <c r="B463" s="327"/>
      <c r="F463" s="327"/>
      <c r="H463" s="327"/>
      <c r="J463" s="327"/>
      <c r="L463" s="327"/>
      <c r="N463" s="327"/>
      <c r="P463" s="327"/>
      <c r="R463" s="327"/>
      <c r="T463" s="327"/>
      <c r="V463" s="327"/>
      <c r="X463" s="327"/>
      <c r="Z463" s="327"/>
      <c r="AB463" s="327"/>
      <c r="AD463" s="327"/>
      <c r="AF463" s="327"/>
    </row>
    <row r="464" spans="2:32" s="326" customFormat="1" ht="9.9499999999999993" customHeight="1" x14ac:dyDescent="0.2">
      <c r="B464" s="327"/>
      <c r="F464" s="327"/>
      <c r="H464" s="327"/>
      <c r="J464" s="327"/>
      <c r="L464" s="327"/>
      <c r="N464" s="327"/>
      <c r="P464" s="327"/>
      <c r="R464" s="327"/>
      <c r="T464" s="327"/>
      <c r="V464" s="327"/>
      <c r="X464" s="327"/>
      <c r="Z464" s="327"/>
      <c r="AB464" s="327"/>
      <c r="AD464" s="327"/>
      <c r="AF464" s="327"/>
    </row>
    <row r="465" spans="2:32" s="326" customFormat="1" ht="9.9499999999999993" customHeight="1" x14ac:dyDescent="0.2">
      <c r="B465" s="327"/>
      <c r="F465" s="327"/>
      <c r="H465" s="327"/>
      <c r="J465" s="327"/>
      <c r="L465" s="327"/>
      <c r="N465" s="327"/>
      <c r="P465" s="327"/>
      <c r="R465" s="327"/>
      <c r="T465" s="327"/>
      <c r="V465" s="327"/>
      <c r="X465" s="327"/>
      <c r="Z465" s="327"/>
      <c r="AB465" s="327"/>
      <c r="AD465" s="327"/>
      <c r="AF465" s="327"/>
    </row>
    <row r="466" spans="2:32" s="326" customFormat="1" ht="9.9499999999999993" customHeight="1" x14ac:dyDescent="0.2">
      <c r="B466" s="327"/>
      <c r="F466" s="327"/>
      <c r="H466" s="327"/>
      <c r="J466" s="327"/>
      <c r="L466" s="327"/>
      <c r="N466" s="327"/>
      <c r="P466" s="327"/>
      <c r="R466" s="327"/>
      <c r="T466" s="327"/>
      <c r="V466" s="327"/>
      <c r="X466" s="327"/>
      <c r="Z466" s="327"/>
      <c r="AB466" s="327"/>
      <c r="AD466" s="327"/>
      <c r="AF466" s="327"/>
    </row>
    <row r="467" spans="2:32" s="326" customFormat="1" ht="9.9499999999999993" customHeight="1" x14ac:dyDescent="0.2">
      <c r="B467" s="327"/>
      <c r="F467" s="327"/>
      <c r="H467" s="327"/>
      <c r="J467" s="327"/>
      <c r="L467" s="327"/>
      <c r="N467" s="327"/>
      <c r="P467" s="327"/>
      <c r="R467" s="327"/>
      <c r="T467" s="327"/>
      <c r="V467" s="327"/>
      <c r="X467" s="327"/>
      <c r="Z467" s="327"/>
      <c r="AB467" s="327"/>
      <c r="AD467" s="327"/>
      <c r="AF467" s="327"/>
    </row>
    <row r="468" spans="2:32" s="326" customFormat="1" ht="9.9499999999999993" customHeight="1" x14ac:dyDescent="0.2">
      <c r="B468" s="327"/>
      <c r="F468" s="327"/>
      <c r="H468" s="327"/>
      <c r="J468" s="327"/>
      <c r="L468" s="327"/>
      <c r="N468" s="327"/>
      <c r="P468" s="327"/>
      <c r="R468" s="327"/>
      <c r="T468" s="327"/>
      <c r="V468" s="327"/>
      <c r="X468" s="327"/>
      <c r="Z468" s="327"/>
      <c r="AB468" s="327"/>
      <c r="AD468" s="327"/>
      <c r="AF468" s="327"/>
    </row>
    <row r="469" spans="2:32" s="326" customFormat="1" ht="9.9499999999999993" customHeight="1" x14ac:dyDescent="0.2">
      <c r="B469" s="327"/>
      <c r="F469" s="327"/>
      <c r="H469" s="327"/>
      <c r="J469" s="327"/>
      <c r="L469" s="327"/>
      <c r="N469" s="327"/>
      <c r="P469" s="327"/>
      <c r="R469" s="327"/>
      <c r="T469" s="327"/>
      <c r="V469" s="327"/>
      <c r="X469" s="327"/>
      <c r="Z469" s="327"/>
      <c r="AB469" s="327"/>
      <c r="AD469" s="327"/>
      <c r="AF469" s="327"/>
    </row>
    <row r="470" spans="2:32" s="326" customFormat="1" ht="9.9499999999999993" customHeight="1" x14ac:dyDescent="0.2">
      <c r="B470" s="327"/>
      <c r="F470" s="327"/>
      <c r="H470" s="327"/>
      <c r="J470" s="327"/>
      <c r="L470" s="327"/>
      <c r="N470" s="327"/>
      <c r="P470" s="327"/>
      <c r="R470" s="327"/>
      <c r="T470" s="327"/>
      <c r="V470" s="327"/>
      <c r="X470" s="327"/>
      <c r="Z470" s="327"/>
      <c r="AB470" s="327"/>
      <c r="AD470" s="327"/>
      <c r="AF470" s="327"/>
    </row>
    <row r="471" spans="2:32" s="326" customFormat="1" ht="9.9499999999999993" customHeight="1" x14ac:dyDescent="0.2">
      <c r="B471" s="327"/>
      <c r="F471" s="327"/>
      <c r="H471" s="327"/>
      <c r="J471" s="327"/>
      <c r="L471" s="327"/>
      <c r="N471" s="327"/>
      <c r="P471" s="327"/>
      <c r="R471" s="327"/>
      <c r="T471" s="327"/>
      <c r="V471" s="327"/>
      <c r="X471" s="327"/>
      <c r="Z471" s="327"/>
      <c r="AB471" s="327"/>
      <c r="AD471" s="327"/>
      <c r="AF471" s="327"/>
    </row>
    <row r="472" spans="2:32" s="326" customFormat="1" ht="9.9499999999999993" customHeight="1" x14ac:dyDescent="0.2">
      <c r="B472" s="327"/>
      <c r="F472" s="327"/>
      <c r="H472" s="327"/>
      <c r="J472" s="327"/>
      <c r="L472" s="327"/>
      <c r="N472" s="327"/>
      <c r="P472" s="327"/>
      <c r="R472" s="327"/>
      <c r="T472" s="327"/>
      <c r="V472" s="327"/>
      <c r="X472" s="327"/>
      <c r="Z472" s="327"/>
      <c r="AB472" s="327"/>
      <c r="AD472" s="327"/>
      <c r="AF472" s="327"/>
    </row>
    <row r="473" spans="2:32" s="326" customFormat="1" ht="9.9499999999999993" customHeight="1" x14ac:dyDescent="0.2">
      <c r="B473" s="327"/>
      <c r="F473" s="327"/>
      <c r="H473" s="327"/>
      <c r="J473" s="327"/>
      <c r="L473" s="327"/>
      <c r="N473" s="327"/>
      <c r="P473" s="327"/>
      <c r="R473" s="327"/>
      <c r="T473" s="327"/>
      <c r="V473" s="327"/>
      <c r="X473" s="327"/>
      <c r="Z473" s="327"/>
      <c r="AB473" s="327"/>
      <c r="AD473" s="327"/>
      <c r="AF473" s="327"/>
    </row>
    <row r="474" spans="2:32" s="326" customFormat="1" ht="9.9499999999999993" customHeight="1" x14ac:dyDescent="0.2">
      <c r="B474" s="327"/>
      <c r="F474" s="327"/>
      <c r="H474" s="327"/>
      <c r="J474" s="327"/>
      <c r="L474" s="327"/>
      <c r="N474" s="327"/>
      <c r="P474" s="327"/>
      <c r="R474" s="327"/>
      <c r="T474" s="327"/>
      <c r="V474" s="327"/>
      <c r="X474" s="327"/>
      <c r="Z474" s="327"/>
      <c r="AB474" s="327"/>
      <c r="AD474" s="327"/>
      <c r="AF474" s="327"/>
    </row>
    <row r="475" spans="2:32" s="326" customFormat="1" ht="9.9499999999999993" customHeight="1" x14ac:dyDescent="0.2">
      <c r="B475" s="327"/>
      <c r="F475" s="327"/>
      <c r="H475" s="327"/>
      <c r="J475" s="327"/>
      <c r="L475" s="327"/>
      <c r="N475" s="327"/>
      <c r="P475" s="327"/>
      <c r="R475" s="327"/>
      <c r="T475" s="327"/>
      <c r="V475" s="327"/>
      <c r="X475" s="327"/>
      <c r="Z475" s="327"/>
      <c r="AB475" s="327"/>
      <c r="AD475" s="327"/>
      <c r="AF475" s="327"/>
    </row>
    <row r="476" spans="2:32" s="326" customFormat="1" ht="9.9499999999999993" customHeight="1" x14ac:dyDescent="0.2">
      <c r="B476" s="327"/>
      <c r="F476" s="327"/>
      <c r="H476" s="327"/>
      <c r="J476" s="327"/>
      <c r="L476" s="327"/>
      <c r="N476" s="327"/>
      <c r="P476" s="327"/>
      <c r="R476" s="327"/>
      <c r="T476" s="327"/>
      <c r="V476" s="327"/>
      <c r="X476" s="327"/>
      <c r="Z476" s="327"/>
      <c r="AB476" s="327"/>
      <c r="AD476" s="327"/>
      <c r="AF476" s="327"/>
    </row>
    <row r="477" spans="2:32" s="326" customFormat="1" ht="9.9499999999999993" customHeight="1" x14ac:dyDescent="0.2">
      <c r="B477" s="327"/>
      <c r="F477" s="327"/>
      <c r="H477" s="327"/>
      <c r="J477" s="327"/>
      <c r="L477" s="327"/>
      <c r="N477" s="327"/>
      <c r="P477" s="327"/>
      <c r="R477" s="327"/>
      <c r="T477" s="327"/>
      <c r="V477" s="327"/>
      <c r="X477" s="327"/>
      <c r="Z477" s="327"/>
      <c r="AB477" s="327"/>
      <c r="AD477" s="327"/>
      <c r="AF477" s="327"/>
    </row>
    <row r="478" spans="2:32" s="326" customFormat="1" ht="9.9499999999999993" customHeight="1" x14ac:dyDescent="0.2">
      <c r="B478" s="327"/>
      <c r="F478" s="327"/>
      <c r="H478" s="327"/>
      <c r="J478" s="327"/>
      <c r="L478" s="327"/>
      <c r="N478" s="327"/>
      <c r="P478" s="327"/>
      <c r="R478" s="327"/>
      <c r="T478" s="327"/>
      <c r="V478" s="327"/>
      <c r="X478" s="327"/>
      <c r="Z478" s="327"/>
      <c r="AB478" s="327"/>
      <c r="AD478" s="327"/>
      <c r="AF478" s="327"/>
    </row>
    <row r="479" spans="2:32" s="326" customFormat="1" ht="9.9499999999999993" customHeight="1" x14ac:dyDescent="0.2">
      <c r="B479" s="327"/>
      <c r="F479" s="327"/>
      <c r="H479" s="327"/>
      <c r="J479" s="327"/>
      <c r="L479" s="327"/>
      <c r="N479" s="327"/>
      <c r="P479" s="327"/>
      <c r="R479" s="327"/>
      <c r="T479" s="327"/>
      <c r="V479" s="327"/>
      <c r="X479" s="327"/>
      <c r="Z479" s="327"/>
      <c r="AB479" s="327"/>
      <c r="AD479" s="327"/>
      <c r="AF479" s="327"/>
    </row>
    <row r="480" spans="2:32" s="326" customFormat="1" ht="9.9499999999999993" customHeight="1" x14ac:dyDescent="0.2">
      <c r="B480" s="327"/>
      <c r="F480" s="327"/>
      <c r="H480" s="327"/>
      <c r="J480" s="327"/>
      <c r="L480" s="327"/>
      <c r="N480" s="327"/>
      <c r="P480" s="327"/>
      <c r="R480" s="327"/>
      <c r="T480" s="327"/>
      <c r="V480" s="327"/>
      <c r="X480" s="327"/>
      <c r="Z480" s="327"/>
      <c r="AB480" s="327"/>
      <c r="AD480" s="327"/>
      <c r="AF480" s="327"/>
    </row>
    <row r="481" spans="2:32" s="326" customFormat="1" ht="9.9499999999999993" customHeight="1" x14ac:dyDescent="0.2">
      <c r="B481" s="327"/>
      <c r="F481" s="327"/>
      <c r="H481" s="327"/>
      <c r="J481" s="327"/>
      <c r="L481" s="327"/>
      <c r="N481" s="327"/>
      <c r="P481" s="327"/>
      <c r="R481" s="327"/>
      <c r="T481" s="327"/>
      <c r="V481" s="327"/>
      <c r="X481" s="327"/>
      <c r="Z481" s="327"/>
      <c r="AB481" s="327"/>
      <c r="AD481" s="327"/>
      <c r="AF481" s="327"/>
    </row>
    <row r="482" spans="2:32" s="326" customFormat="1" ht="9.9499999999999993" customHeight="1" x14ac:dyDescent="0.2">
      <c r="B482" s="327"/>
      <c r="F482" s="327"/>
      <c r="H482" s="327"/>
      <c r="J482" s="327"/>
      <c r="L482" s="327"/>
      <c r="N482" s="327"/>
      <c r="P482" s="327"/>
      <c r="R482" s="327"/>
      <c r="T482" s="327"/>
      <c r="V482" s="327"/>
      <c r="X482" s="327"/>
      <c r="Z482" s="327"/>
      <c r="AB482" s="327"/>
      <c r="AD482" s="327"/>
      <c r="AF482" s="327"/>
    </row>
    <row r="483" spans="2:32" s="326" customFormat="1" ht="9.9499999999999993" customHeight="1" x14ac:dyDescent="0.2">
      <c r="B483" s="327"/>
      <c r="F483" s="327"/>
      <c r="H483" s="327"/>
      <c r="J483" s="327"/>
      <c r="L483" s="327"/>
      <c r="N483" s="327"/>
      <c r="P483" s="327"/>
      <c r="R483" s="327"/>
      <c r="T483" s="327"/>
      <c r="V483" s="327"/>
      <c r="X483" s="327"/>
      <c r="Z483" s="327"/>
      <c r="AB483" s="327"/>
      <c r="AD483" s="327"/>
      <c r="AF483" s="327"/>
    </row>
    <row r="484" spans="2:32" s="326" customFormat="1" ht="9.9499999999999993" customHeight="1" x14ac:dyDescent="0.2">
      <c r="B484" s="327"/>
      <c r="F484" s="327"/>
      <c r="H484" s="327"/>
      <c r="J484" s="327"/>
      <c r="L484" s="327"/>
      <c r="N484" s="327"/>
      <c r="P484" s="327"/>
      <c r="R484" s="327"/>
      <c r="T484" s="327"/>
      <c r="V484" s="327"/>
      <c r="X484" s="327"/>
      <c r="Z484" s="327"/>
      <c r="AB484" s="327"/>
      <c r="AD484" s="327"/>
      <c r="AF484" s="327"/>
    </row>
    <row r="485" spans="2:32" s="326" customFormat="1" ht="9.9499999999999993" customHeight="1" x14ac:dyDescent="0.2">
      <c r="B485" s="327"/>
      <c r="F485" s="327"/>
      <c r="H485" s="327"/>
      <c r="J485" s="327"/>
      <c r="L485" s="327"/>
      <c r="N485" s="327"/>
      <c r="P485" s="327"/>
      <c r="R485" s="327"/>
      <c r="T485" s="327"/>
      <c r="V485" s="327"/>
      <c r="X485" s="327"/>
      <c r="Z485" s="327"/>
      <c r="AB485" s="327"/>
      <c r="AD485" s="327"/>
      <c r="AF485" s="327"/>
    </row>
    <row r="486" spans="2:32" s="326" customFormat="1" ht="9.9499999999999993" customHeight="1" x14ac:dyDescent="0.2">
      <c r="B486" s="327"/>
      <c r="F486" s="327"/>
      <c r="H486" s="327"/>
      <c r="J486" s="327"/>
      <c r="L486" s="327"/>
      <c r="N486" s="327"/>
      <c r="P486" s="327"/>
      <c r="R486" s="327"/>
      <c r="T486" s="327"/>
      <c r="V486" s="327"/>
      <c r="X486" s="327"/>
      <c r="Z486" s="327"/>
      <c r="AB486" s="327"/>
      <c r="AD486" s="327"/>
      <c r="AF486" s="327"/>
    </row>
    <row r="487" spans="2:32" s="326" customFormat="1" ht="9.9499999999999993" customHeight="1" x14ac:dyDescent="0.2">
      <c r="B487" s="327"/>
      <c r="F487" s="327"/>
      <c r="H487" s="327"/>
      <c r="J487" s="327"/>
      <c r="L487" s="327"/>
      <c r="N487" s="327"/>
      <c r="P487" s="327"/>
      <c r="R487" s="327"/>
      <c r="T487" s="327"/>
      <c r="V487" s="327"/>
      <c r="X487" s="327"/>
      <c r="Z487" s="327"/>
      <c r="AB487" s="327"/>
      <c r="AD487" s="327"/>
      <c r="AF487" s="327"/>
    </row>
    <row r="488" spans="2:32" s="326" customFormat="1" ht="9.9499999999999993" customHeight="1" x14ac:dyDescent="0.2">
      <c r="B488" s="327"/>
      <c r="F488" s="327"/>
      <c r="H488" s="327"/>
      <c r="J488" s="327"/>
      <c r="L488" s="327"/>
      <c r="N488" s="327"/>
      <c r="P488" s="327"/>
      <c r="R488" s="327"/>
      <c r="T488" s="327"/>
      <c r="V488" s="327"/>
      <c r="X488" s="327"/>
      <c r="Z488" s="327"/>
      <c r="AB488" s="327"/>
      <c r="AD488" s="327"/>
      <c r="AF488" s="327"/>
    </row>
    <row r="489" spans="2:32" s="326" customFormat="1" ht="9.9499999999999993" customHeight="1" x14ac:dyDescent="0.2">
      <c r="B489" s="327"/>
      <c r="F489" s="327"/>
      <c r="H489" s="327"/>
      <c r="J489" s="327"/>
      <c r="L489" s="327"/>
      <c r="N489" s="327"/>
      <c r="P489" s="327"/>
      <c r="R489" s="327"/>
      <c r="T489" s="327"/>
      <c r="V489" s="327"/>
      <c r="X489" s="327"/>
      <c r="Z489" s="327"/>
      <c r="AB489" s="327"/>
      <c r="AD489" s="327"/>
      <c r="AF489" s="327"/>
    </row>
    <row r="490" spans="2:32" s="326" customFormat="1" ht="9.9499999999999993" customHeight="1" x14ac:dyDescent="0.2">
      <c r="B490" s="327"/>
      <c r="F490" s="327"/>
      <c r="H490" s="327"/>
      <c r="J490" s="327"/>
      <c r="L490" s="327"/>
      <c r="N490" s="327"/>
      <c r="P490" s="327"/>
      <c r="R490" s="327"/>
      <c r="T490" s="327"/>
      <c r="V490" s="327"/>
      <c r="X490" s="327"/>
      <c r="Z490" s="327"/>
      <c r="AB490" s="327"/>
      <c r="AD490" s="327"/>
      <c r="AF490" s="327"/>
    </row>
    <row r="491" spans="2:32" s="326" customFormat="1" ht="9.9499999999999993" customHeight="1" x14ac:dyDescent="0.2">
      <c r="B491" s="327"/>
      <c r="F491" s="327"/>
      <c r="H491" s="327"/>
      <c r="J491" s="327"/>
      <c r="L491" s="327"/>
      <c r="N491" s="327"/>
      <c r="P491" s="327"/>
      <c r="R491" s="327"/>
      <c r="T491" s="327"/>
      <c r="V491" s="327"/>
      <c r="X491" s="327"/>
      <c r="Z491" s="327"/>
      <c r="AB491" s="327"/>
      <c r="AD491" s="327"/>
      <c r="AF491" s="327"/>
    </row>
    <row r="492" spans="2:32" s="326" customFormat="1" ht="9.9499999999999993" customHeight="1" x14ac:dyDescent="0.2">
      <c r="B492" s="327"/>
      <c r="F492" s="327"/>
      <c r="H492" s="327"/>
      <c r="J492" s="327"/>
      <c r="L492" s="327"/>
      <c r="N492" s="327"/>
      <c r="P492" s="327"/>
      <c r="R492" s="327"/>
      <c r="T492" s="327"/>
      <c r="V492" s="327"/>
      <c r="X492" s="327"/>
      <c r="Z492" s="327"/>
      <c r="AB492" s="327"/>
      <c r="AD492" s="327"/>
      <c r="AF492" s="327"/>
    </row>
    <row r="493" spans="2:32" s="326" customFormat="1" ht="9.9499999999999993" customHeight="1" x14ac:dyDescent="0.2">
      <c r="B493" s="327"/>
      <c r="F493" s="327"/>
      <c r="H493" s="327"/>
      <c r="J493" s="327"/>
      <c r="L493" s="327"/>
      <c r="N493" s="327"/>
      <c r="P493" s="327"/>
      <c r="R493" s="327"/>
      <c r="T493" s="327"/>
      <c r="V493" s="327"/>
      <c r="X493" s="327"/>
      <c r="Z493" s="327"/>
      <c r="AB493" s="327"/>
      <c r="AD493" s="327"/>
      <c r="AF493" s="327"/>
    </row>
    <row r="494" spans="2:32" s="326" customFormat="1" ht="9.9499999999999993" customHeight="1" x14ac:dyDescent="0.2">
      <c r="B494" s="327"/>
      <c r="F494" s="327"/>
      <c r="H494" s="327"/>
      <c r="J494" s="327"/>
      <c r="L494" s="327"/>
      <c r="N494" s="327"/>
      <c r="P494" s="327"/>
      <c r="R494" s="327"/>
      <c r="T494" s="327"/>
      <c r="V494" s="327"/>
      <c r="X494" s="327"/>
      <c r="Z494" s="327"/>
      <c r="AB494" s="327"/>
      <c r="AD494" s="327"/>
      <c r="AF494" s="327"/>
    </row>
    <row r="495" spans="2:32" s="326" customFormat="1" ht="9.9499999999999993" customHeight="1" x14ac:dyDescent="0.2">
      <c r="B495" s="327"/>
      <c r="F495" s="327"/>
      <c r="H495" s="327"/>
      <c r="J495" s="327"/>
      <c r="L495" s="327"/>
      <c r="N495" s="327"/>
      <c r="P495" s="327"/>
      <c r="R495" s="327"/>
      <c r="T495" s="327"/>
      <c r="V495" s="327"/>
      <c r="X495" s="327"/>
      <c r="Z495" s="327"/>
      <c r="AB495" s="327"/>
      <c r="AD495" s="327"/>
      <c r="AF495" s="327"/>
    </row>
    <row r="496" spans="2:32" s="326" customFormat="1" ht="9.9499999999999993" customHeight="1" x14ac:dyDescent="0.2">
      <c r="B496" s="327"/>
      <c r="F496" s="327"/>
      <c r="H496" s="327"/>
      <c r="J496" s="327"/>
      <c r="L496" s="327"/>
      <c r="N496" s="327"/>
      <c r="P496" s="327"/>
      <c r="R496" s="327"/>
      <c r="T496" s="327"/>
      <c r="V496" s="327"/>
      <c r="X496" s="327"/>
      <c r="Z496" s="327"/>
      <c r="AB496" s="327"/>
      <c r="AD496" s="327"/>
      <c r="AF496" s="327"/>
    </row>
    <row r="497" spans="2:32" s="326" customFormat="1" ht="9.9499999999999993" customHeight="1" x14ac:dyDescent="0.2">
      <c r="B497" s="327"/>
      <c r="F497" s="327"/>
      <c r="H497" s="327"/>
      <c r="J497" s="327"/>
      <c r="L497" s="327"/>
      <c r="N497" s="327"/>
      <c r="P497" s="327"/>
      <c r="R497" s="327"/>
      <c r="T497" s="327"/>
      <c r="V497" s="327"/>
      <c r="X497" s="327"/>
      <c r="Z497" s="327"/>
      <c r="AB497" s="327"/>
      <c r="AD497" s="327"/>
      <c r="AF497" s="327"/>
    </row>
    <row r="498" spans="2:32" s="326" customFormat="1" ht="9.9499999999999993" customHeight="1" x14ac:dyDescent="0.2">
      <c r="B498" s="327"/>
      <c r="F498" s="327"/>
      <c r="H498" s="327"/>
      <c r="J498" s="327"/>
      <c r="L498" s="327"/>
      <c r="N498" s="327"/>
      <c r="P498" s="327"/>
      <c r="R498" s="327"/>
      <c r="T498" s="327"/>
      <c r="V498" s="327"/>
      <c r="X498" s="327"/>
      <c r="Z498" s="327"/>
      <c r="AB498" s="327"/>
      <c r="AD498" s="327"/>
      <c r="AF498" s="327"/>
    </row>
    <row r="499" spans="2:32" s="326" customFormat="1" ht="9.9499999999999993" customHeight="1" x14ac:dyDescent="0.2">
      <c r="B499" s="327"/>
      <c r="F499" s="327"/>
      <c r="H499" s="327"/>
      <c r="J499" s="327"/>
      <c r="L499" s="327"/>
      <c r="N499" s="327"/>
      <c r="P499" s="327"/>
      <c r="R499" s="327"/>
      <c r="T499" s="327"/>
      <c r="V499" s="327"/>
      <c r="X499" s="327"/>
      <c r="Z499" s="327"/>
      <c r="AB499" s="327"/>
      <c r="AD499" s="327"/>
      <c r="AF499" s="327"/>
    </row>
    <row r="500" spans="2:32" s="326" customFormat="1" ht="9.9499999999999993" customHeight="1" x14ac:dyDescent="0.2">
      <c r="B500" s="327"/>
      <c r="F500" s="327"/>
      <c r="H500" s="327"/>
      <c r="J500" s="327"/>
      <c r="L500" s="327"/>
      <c r="N500" s="327"/>
      <c r="P500" s="327"/>
      <c r="R500" s="327"/>
      <c r="T500" s="327"/>
      <c r="V500" s="327"/>
      <c r="X500" s="327"/>
      <c r="Z500" s="327"/>
      <c r="AB500" s="327"/>
      <c r="AD500" s="327"/>
      <c r="AF500" s="327"/>
    </row>
    <row r="501" spans="2:32" s="326" customFormat="1" ht="9.9499999999999993" customHeight="1" x14ac:dyDescent="0.2">
      <c r="B501" s="327"/>
      <c r="F501" s="327"/>
      <c r="H501" s="327"/>
      <c r="J501" s="327"/>
      <c r="L501" s="327"/>
      <c r="N501" s="327"/>
      <c r="P501" s="327"/>
      <c r="R501" s="327"/>
      <c r="T501" s="327"/>
      <c r="V501" s="327"/>
      <c r="X501" s="327"/>
      <c r="Z501" s="327"/>
      <c r="AB501" s="327"/>
      <c r="AD501" s="327"/>
      <c r="AF501" s="327"/>
    </row>
    <row r="502" spans="2:32" s="326" customFormat="1" ht="9.9499999999999993" customHeight="1" x14ac:dyDescent="0.2">
      <c r="B502" s="327"/>
      <c r="F502" s="327"/>
      <c r="H502" s="327"/>
      <c r="J502" s="327"/>
      <c r="L502" s="327"/>
      <c r="N502" s="327"/>
      <c r="P502" s="327"/>
      <c r="R502" s="327"/>
      <c r="T502" s="327"/>
      <c r="V502" s="327"/>
      <c r="X502" s="327"/>
      <c r="Z502" s="327"/>
      <c r="AB502" s="327"/>
      <c r="AD502" s="327"/>
      <c r="AF502" s="327"/>
    </row>
    <row r="503" spans="2:32" s="326" customFormat="1" ht="9.9499999999999993" customHeight="1" x14ac:dyDescent="0.2">
      <c r="B503" s="327"/>
      <c r="F503" s="327"/>
      <c r="H503" s="327"/>
      <c r="J503" s="327"/>
      <c r="L503" s="327"/>
      <c r="N503" s="327"/>
      <c r="P503" s="327"/>
      <c r="R503" s="327"/>
      <c r="T503" s="327"/>
      <c r="V503" s="327"/>
      <c r="X503" s="327"/>
      <c r="Z503" s="327"/>
      <c r="AB503" s="327"/>
      <c r="AD503" s="327"/>
      <c r="AF503" s="327"/>
    </row>
    <row r="504" spans="2:32" s="326" customFormat="1" ht="9.9499999999999993" customHeight="1" x14ac:dyDescent="0.2">
      <c r="B504" s="327"/>
      <c r="F504" s="327"/>
      <c r="H504" s="327"/>
      <c r="J504" s="327"/>
      <c r="L504" s="327"/>
      <c r="N504" s="327"/>
      <c r="P504" s="327"/>
      <c r="R504" s="327"/>
      <c r="T504" s="327"/>
      <c r="V504" s="327"/>
      <c r="X504" s="327"/>
      <c r="Z504" s="327"/>
      <c r="AB504" s="327"/>
      <c r="AD504" s="327"/>
      <c r="AF504" s="327"/>
    </row>
    <row r="505" spans="2:32" s="326" customFormat="1" ht="9.9499999999999993" customHeight="1" x14ac:dyDescent="0.2">
      <c r="B505" s="327"/>
      <c r="F505" s="327"/>
      <c r="H505" s="327"/>
      <c r="J505" s="327"/>
      <c r="L505" s="327"/>
      <c r="N505" s="327"/>
      <c r="P505" s="327"/>
      <c r="R505" s="327"/>
      <c r="T505" s="327"/>
      <c r="V505" s="327"/>
      <c r="X505" s="327"/>
      <c r="Z505" s="327"/>
      <c r="AB505" s="327"/>
      <c r="AD505" s="327"/>
      <c r="AF505" s="327"/>
    </row>
    <row r="506" spans="2:32" s="326" customFormat="1" ht="9.9499999999999993" customHeight="1" x14ac:dyDescent="0.2">
      <c r="B506" s="327"/>
      <c r="F506" s="327"/>
      <c r="H506" s="327"/>
      <c r="J506" s="327"/>
      <c r="L506" s="327"/>
      <c r="N506" s="327"/>
      <c r="P506" s="327"/>
      <c r="R506" s="327"/>
      <c r="T506" s="327"/>
      <c r="V506" s="327"/>
      <c r="X506" s="327"/>
      <c r="Z506" s="327"/>
      <c r="AB506" s="327"/>
      <c r="AD506" s="327"/>
      <c r="AF506" s="327"/>
    </row>
    <row r="507" spans="2:32" s="326" customFormat="1" ht="9.9499999999999993" customHeight="1" x14ac:dyDescent="0.2">
      <c r="B507" s="327"/>
      <c r="F507" s="327"/>
      <c r="H507" s="327"/>
      <c r="J507" s="327"/>
      <c r="L507" s="327"/>
      <c r="N507" s="327"/>
      <c r="P507" s="327"/>
      <c r="R507" s="327"/>
      <c r="T507" s="327"/>
      <c r="V507" s="327"/>
      <c r="X507" s="327"/>
      <c r="Z507" s="327"/>
      <c r="AB507" s="327"/>
      <c r="AD507" s="327"/>
      <c r="AF507" s="327"/>
    </row>
    <row r="508" spans="2:32" s="326" customFormat="1" ht="9.9499999999999993" customHeight="1" x14ac:dyDescent="0.2">
      <c r="B508" s="327"/>
      <c r="F508" s="327"/>
      <c r="H508" s="327"/>
      <c r="J508" s="327"/>
      <c r="L508" s="327"/>
      <c r="N508" s="327"/>
      <c r="P508" s="327"/>
      <c r="R508" s="327"/>
      <c r="T508" s="327"/>
      <c r="V508" s="327"/>
      <c r="X508" s="327"/>
      <c r="Z508" s="327"/>
      <c r="AB508" s="327"/>
      <c r="AD508" s="327"/>
      <c r="AF508" s="327"/>
    </row>
    <row r="509" spans="2:32" s="326" customFormat="1" ht="9.9499999999999993" customHeight="1" x14ac:dyDescent="0.2">
      <c r="B509" s="327"/>
      <c r="F509" s="327"/>
      <c r="H509" s="327"/>
      <c r="J509" s="327"/>
      <c r="L509" s="327"/>
      <c r="N509" s="327"/>
      <c r="P509" s="327"/>
      <c r="R509" s="327"/>
      <c r="T509" s="327"/>
      <c r="V509" s="327"/>
      <c r="X509" s="327"/>
      <c r="Z509" s="327"/>
      <c r="AB509" s="327"/>
      <c r="AD509" s="327"/>
      <c r="AF509" s="327"/>
    </row>
    <row r="510" spans="2:32" s="326" customFormat="1" ht="9.9499999999999993" customHeight="1" x14ac:dyDescent="0.2">
      <c r="B510" s="327"/>
      <c r="F510" s="327"/>
      <c r="H510" s="327"/>
      <c r="J510" s="327"/>
      <c r="L510" s="327"/>
      <c r="N510" s="327"/>
      <c r="P510" s="327"/>
      <c r="R510" s="327"/>
      <c r="T510" s="327"/>
      <c r="V510" s="327"/>
      <c r="X510" s="327"/>
      <c r="Z510" s="327"/>
      <c r="AB510" s="327"/>
      <c r="AD510" s="327"/>
      <c r="AF510" s="327"/>
    </row>
    <row r="511" spans="2:32" s="326" customFormat="1" ht="9.9499999999999993" customHeight="1" x14ac:dyDescent="0.2">
      <c r="B511" s="327"/>
      <c r="F511" s="327"/>
      <c r="H511" s="327"/>
      <c r="J511" s="327"/>
      <c r="L511" s="327"/>
      <c r="N511" s="327"/>
      <c r="P511" s="327"/>
      <c r="R511" s="327"/>
      <c r="T511" s="327"/>
      <c r="V511" s="327"/>
      <c r="X511" s="327"/>
      <c r="Z511" s="327"/>
      <c r="AB511" s="327"/>
      <c r="AD511" s="327"/>
      <c r="AF511" s="327"/>
    </row>
    <row r="512" spans="2:32" s="326" customFormat="1" ht="9.9499999999999993" customHeight="1" x14ac:dyDescent="0.2">
      <c r="B512" s="327"/>
      <c r="F512" s="327"/>
      <c r="H512" s="327"/>
      <c r="J512" s="327"/>
      <c r="L512" s="327"/>
      <c r="N512" s="327"/>
      <c r="P512" s="327"/>
      <c r="R512" s="327"/>
      <c r="T512" s="327"/>
      <c r="V512" s="327"/>
      <c r="X512" s="327"/>
      <c r="Z512" s="327"/>
      <c r="AB512" s="327"/>
      <c r="AD512" s="327"/>
      <c r="AF512" s="327"/>
    </row>
    <row r="513" spans="2:32" s="326" customFormat="1" ht="9.9499999999999993" customHeight="1" x14ac:dyDescent="0.2">
      <c r="B513" s="327"/>
      <c r="F513" s="327"/>
      <c r="H513" s="327"/>
      <c r="J513" s="327"/>
      <c r="L513" s="327"/>
      <c r="N513" s="327"/>
      <c r="P513" s="327"/>
      <c r="R513" s="327"/>
      <c r="T513" s="327"/>
      <c r="V513" s="327"/>
      <c r="X513" s="327"/>
      <c r="Z513" s="327"/>
      <c r="AB513" s="327"/>
      <c r="AD513" s="327"/>
      <c r="AF513" s="327"/>
    </row>
    <row r="514" spans="2:32" s="326" customFormat="1" ht="9.9499999999999993" customHeight="1" x14ac:dyDescent="0.2">
      <c r="B514" s="327"/>
      <c r="F514" s="327"/>
      <c r="H514" s="327"/>
      <c r="J514" s="327"/>
      <c r="L514" s="327"/>
      <c r="N514" s="327"/>
      <c r="P514" s="327"/>
      <c r="R514" s="327"/>
      <c r="T514" s="327"/>
      <c r="V514" s="327"/>
      <c r="X514" s="327"/>
      <c r="Z514" s="327"/>
      <c r="AB514" s="327"/>
      <c r="AD514" s="327"/>
      <c r="AF514" s="327"/>
    </row>
    <row r="515" spans="2:32" s="326" customFormat="1" ht="9.9499999999999993" customHeight="1" x14ac:dyDescent="0.2">
      <c r="B515" s="327"/>
      <c r="F515" s="327"/>
      <c r="H515" s="327"/>
      <c r="J515" s="327"/>
      <c r="L515" s="327"/>
      <c r="N515" s="327"/>
      <c r="P515" s="327"/>
      <c r="R515" s="327"/>
      <c r="T515" s="327"/>
      <c r="V515" s="327"/>
      <c r="X515" s="327"/>
      <c r="Z515" s="327"/>
      <c r="AB515" s="327"/>
      <c r="AD515" s="327"/>
      <c r="AF515" s="327"/>
    </row>
    <row r="516" spans="2:32" s="326" customFormat="1" ht="9.9499999999999993" customHeight="1" x14ac:dyDescent="0.2">
      <c r="B516" s="327"/>
      <c r="F516" s="327"/>
      <c r="H516" s="327"/>
      <c r="J516" s="327"/>
      <c r="L516" s="327"/>
      <c r="N516" s="327"/>
      <c r="P516" s="327"/>
      <c r="R516" s="327"/>
      <c r="T516" s="327"/>
      <c r="V516" s="327"/>
      <c r="X516" s="327"/>
      <c r="Z516" s="327"/>
      <c r="AB516" s="327"/>
      <c r="AD516" s="327"/>
      <c r="AF516" s="327"/>
    </row>
    <row r="517" spans="2:32" s="326" customFormat="1" ht="9.9499999999999993" customHeight="1" x14ac:dyDescent="0.2">
      <c r="B517" s="327"/>
      <c r="F517" s="327"/>
      <c r="H517" s="327"/>
      <c r="J517" s="327"/>
      <c r="L517" s="327"/>
      <c r="N517" s="327"/>
      <c r="P517" s="327"/>
      <c r="R517" s="327"/>
      <c r="T517" s="327"/>
      <c r="V517" s="327"/>
      <c r="X517" s="327"/>
      <c r="Z517" s="327"/>
      <c r="AB517" s="327"/>
      <c r="AD517" s="327"/>
      <c r="AF517" s="327"/>
    </row>
    <row r="518" spans="2:32" s="326" customFormat="1" ht="9.9499999999999993" customHeight="1" x14ac:dyDescent="0.2">
      <c r="B518" s="327"/>
      <c r="F518" s="327"/>
      <c r="H518" s="327"/>
      <c r="J518" s="327"/>
      <c r="L518" s="327"/>
      <c r="N518" s="327"/>
      <c r="P518" s="327"/>
      <c r="R518" s="327"/>
      <c r="T518" s="327"/>
      <c r="V518" s="327"/>
      <c r="X518" s="327"/>
      <c r="Z518" s="327"/>
      <c r="AB518" s="327"/>
      <c r="AD518" s="327"/>
      <c r="AF518" s="327"/>
    </row>
    <row r="519" spans="2:32" s="326" customFormat="1" ht="9.9499999999999993" customHeight="1" x14ac:dyDescent="0.2">
      <c r="B519" s="327"/>
      <c r="F519" s="327"/>
      <c r="H519" s="327"/>
      <c r="J519" s="327"/>
      <c r="L519" s="327"/>
      <c r="N519" s="327"/>
      <c r="P519" s="327"/>
      <c r="R519" s="327"/>
      <c r="T519" s="327"/>
      <c r="V519" s="327"/>
      <c r="X519" s="327"/>
      <c r="Z519" s="327"/>
      <c r="AB519" s="327"/>
      <c r="AD519" s="327"/>
      <c r="AF519" s="327"/>
    </row>
    <row r="520" spans="2:32" s="326" customFormat="1" ht="9.9499999999999993" customHeight="1" x14ac:dyDescent="0.2">
      <c r="B520" s="327"/>
      <c r="F520" s="327"/>
      <c r="H520" s="327"/>
      <c r="J520" s="327"/>
      <c r="L520" s="327"/>
      <c r="N520" s="327"/>
      <c r="P520" s="327"/>
      <c r="R520" s="327"/>
      <c r="T520" s="327"/>
      <c r="V520" s="327"/>
      <c r="X520" s="327"/>
      <c r="Z520" s="327"/>
      <c r="AB520" s="327"/>
      <c r="AD520" s="327"/>
      <c r="AF520" s="327"/>
    </row>
    <row r="521" spans="2:32" s="326" customFormat="1" ht="9.9499999999999993" customHeight="1" x14ac:dyDescent="0.2">
      <c r="B521" s="327"/>
      <c r="F521" s="327"/>
      <c r="H521" s="327"/>
      <c r="J521" s="327"/>
      <c r="L521" s="327"/>
      <c r="N521" s="327"/>
      <c r="P521" s="327"/>
      <c r="R521" s="327"/>
      <c r="T521" s="327"/>
      <c r="V521" s="327"/>
      <c r="X521" s="327"/>
      <c r="Z521" s="327"/>
      <c r="AB521" s="327"/>
      <c r="AD521" s="327"/>
      <c r="AF521" s="327"/>
    </row>
    <row r="522" spans="2:32" s="326" customFormat="1" ht="9.9499999999999993" customHeight="1" x14ac:dyDescent="0.2">
      <c r="B522" s="327"/>
      <c r="F522" s="327"/>
      <c r="H522" s="327"/>
      <c r="J522" s="327"/>
      <c r="L522" s="327"/>
      <c r="N522" s="327"/>
      <c r="P522" s="327"/>
      <c r="R522" s="327"/>
      <c r="T522" s="327"/>
      <c r="V522" s="327"/>
      <c r="X522" s="327"/>
      <c r="Z522" s="327"/>
      <c r="AB522" s="327"/>
      <c r="AD522" s="327"/>
      <c r="AF522" s="327"/>
    </row>
    <row r="523" spans="2:32" s="326" customFormat="1" ht="9.9499999999999993" customHeight="1" x14ac:dyDescent="0.2">
      <c r="B523" s="327"/>
      <c r="F523" s="327"/>
      <c r="H523" s="327"/>
      <c r="J523" s="327"/>
      <c r="L523" s="327"/>
      <c r="N523" s="327"/>
      <c r="P523" s="327"/>
      <c r="R523" s="327"/>
      <c r="T523" s="327"/>
      <c r="V523" s="327"/>
      <c r="X523" s="327"/>
      <c r="Z523" s="327"/>
      <c r="AB523" s="327"/>
      <c r="AD523" s="327"/>
      <c r="AF523" s="327"/>
    </row>
    <row r="524" spans="2:32" s="326" customFormat="1" ht="9.9499999999999993" customHeight="1" x14ac:dyDescent="0.2">
      <c r="B524" s="327"/>
      <c r="F524" s="327"/>
      <c r="H524" s="327"/>
      <c r="J524" s="327"/>
      <c r="L524" s="327"/>
      <c r="N524" s="327"/>
      <c r="P524" s="327"/>
      <c r="R524" s="327"/>
      <c r="T524" s="327"/>
      <c r="V524" s="327"/>
      <c r="X524" s="327"/>
      <c r="Z524" s="327"/>
      <c r="AB524" s="327"/>
      <c r="AD524" s="327"/>
      <c r="AF524" s="327"/>
    </row>
    <row r="525" spans="2:32" s="326" customFormat="1" ht="9.9499999999999993" customHeight="1" x14ac:dyDescent="0.2">
      <c r="B525" s="327"/>
      <c r="F525" s="327"/>
      <c r="H525" s="327"/>
      <c r="J525" s="327"/>
      <c r="L525" s="327"/>
      <c r="N525" s="327"/>
      <c r="P525" s="327"/>
      <c r="R525" s="327"/>
      <c r="T525" s="327"/>
      <c r="V525" s="327"/>
      <c r="X525" s="327"/>
      <c r="Z525" s="327"/>
      <c r="AB525" s="327"/>
      <c r="AD525" s="327"/>
      <c r="AF525" s="327"/>
    </row>
    <row r="526" spans="2:32" s="326" customFormat="1" ht="9.9499999999999993" customHeight="1" x14ac:dyDescent="0.2">
      <c r="B526" s="327"/>
      <c r="F526" s="327"/>
      <c r="H526" s="327"/>
      <c r="J526" s="327"/>
      <c r="L526" s="327"/>
      <c r="N526" s="327"/>
      <c r="P526" s="327"/>
      <c r="R526" s="327"/>
      <c r="T526" s="327"/>
      <c r="V526" s="327"/>
      <c r="X526" s="327"/>
      <c r="Z526" s="327"/>
      <c r="AB526" s="327"/>
      <c r="AD526" s="327"/>
      <c r="AF526" s="327"/>
    </row>
    <row r="527" spans="2:32" s="326" customFormat="1" ht="9.9499999999999993" customHeight="1" x14ac:dyDescent="0.2">
      <c r="B527" s="327"/>
      <c r="F527" s="327"/>
      <c r="H527" s="327"/>
      <c r="J527" s="327"/>
      <c r="L527" s="327"/>
      <c r="N527" s="327"/>
      <c r="P527" s="327"/>
      <c r="R527" s="327"/>
      <c r="T527" s="327"/>
      <c r="V527" s="327"/>
      <c r="X527" s="327"/>
      <c r="Z527" s="327"/>
      <c r="AB527" s="327"/>
      <c r="AD527" s="327"/>
      <c r="AF527" s="327"/>
    </row>
    <row r="528" spans="2:32" s="326" customFormat="1" ht="9.9499999999999993" customHeight="1" x14ac:dyDescent="0.2">
      <c r="B528" s="327"/>
      <c r="F528" s="327"/>
      <c r="H528" s="327"/>
      <c r="J528" s="327"/>
      <c r="L528" s="327"/>
      <c r="N528" s="327"/>
      <c r="P528" s="327"/>
      <c r="R528" s="327"/>
      <c r="T528" s="327"/>
      <c r="V528" s="327"/>
      <c r="X528" s="327"/>
      <c r="Z528" s="327"/>
      <c r="AB528" s="327"/>
      <c r="AD528" s="327"/>
      <c r="AF528" s="327"/>
    </row>
    <row r="529" spans="2:32" s="326" customFormat="1" ht="9.9499999999999993" customHeight="1" x14ac:dyDescent="0.2">
      <c r="B529" s="327"/>
      <c r="F529" s="327"/>
      <c r="H529" s="327"/>
      <c r="J529" s="327"/>
      <c r="L529" s="327"/>
      <c r="N529" s="327"/>
      <c r="P529" s="327"/>
      <c r="R529" s="327"/>
      <c r="T529" s="327"/>
      <c r="V529" s="327"/>
      <c r="X529" s="327"/>
      <c r="Z529" s="327"/>
      <c r="AB529" s="327"/>
      <c r="AD529" s="327"/>
      <c r="AF529" s="327"/>
    </row>
    <row r="530" spans="2:32" s="326" customFormat="1" ht="9.9499999999999993" customHeight="1" x14ac:dyDescent="0.2">
      <c r="B530" s="327"/>
      <c r="F530" s="327"/>
      <c r="H530" s="327"/>
      <c r="J530" s="327"/>
      <c r="L530" s="327"/>
      <c r="N530" s="327"/>
      <c r="P530" s="327"/>
      <c r="R530" s="327"/>
      <c r="T530" s="327"/>
      <c r="V530" s="327"/>
      <c r="X530" s="327"/>
      <c r="Z530" s="327"/>
      <c r="AB530" s="327"/>
      <c r="AD530" s="327"/>
      <c r="AF530" s="327"/>
    </row>
    <row r="531" spans="2:32" s="326" customFormat="1" ht="9.9499999999999993" customHeight="1" x14ac:dyDescent="0.2">
      <c r="B531" s="327"/>
      <c r="F531" s="327"/>
      <c r="H531" s="327"/>
      <c r="J531" s="327"/>
      <c r="L531" s="327"/>
      <c r="N531" s="327"/>
      <c r="P531" s="327"/>
      <c r="R531" s="327"/>
      <c r="T531" s="327"/>
      <c r="V531" s="327"/>
      <c r="X531" s="327"/>
      <c r="Z531" s="327"/>
      <c r="AB531" s="327"/>
      <c r="AD531" s="327"/>
      <c r="AF531" s="327"/>
    </row>
    <row r="532" spans="2:32" s="326" customFormat="1" ht="9.9499999999999993" customHeight="1" x14ac:dyDescent="0.2">
      <c r="B532" s="327"/>
      <c r="F532" s="327"/>
      <c r="H532" s="327"/>
      <c r="J532" s="327"/>
      <c r="L532" s="327"/>
      <c r="N532" s="327"/>
      <c r="P532" s="327"/>
      <c r="R532" s="327"/>
      <c r="T532" s="327"/>
      <c r="V532" s="327"/>
      <c r="X532" s="327"/>
      <c r="Z532" s="327"/>
      <c r="AB532" s="327"/>
      <c r="AD532" s="327"/>
      <c r="AF532" s="327"/>
    </row>
    <row r="533" spans="2:32" s="326" customFormat="1" ht="9.9499999999999993" customHeight="1" x14ac:dyDescent="0.2">
      <c r="B533" s="327"/>
      <c r="F533" s="327"/>
      <c r="H533" s="327"/>
      <c r="J533" s="327"/>
      <c r="L533" s="327"/>
      <c r="N533" s="327"/>
      <c r="P533" s="327"/>
      <c r="R533" s="327"/>
      <c r="T533" s="327"/>
      <c r="V533" s="327"/>
      <c r="X533" s="327"/>
      <c r="Z533" s="327"/>
      <c r="AB533" s="327"/>
      <c r="AD533" s="327"/>
      <c r="AF533" s="327"/>
    </row>
    <row r="534" spans="2:32" s="326" customFormat="1" ht="9.9499999999999993" customHeight="1" x14ac:dyDescent="0.2">
      <c r="B534" s="327"/>
      <c r="F534" s="327"/>
      <c r="H534" s="327"/>
      <c r="J534" s="327"/>
      <c r="L534" s="327"/>
      <c r="N534" s="327"/>
      <c r="P534" s="327"/>
      <c r="R534" s="327"/>
      <c r="T534" s="327"/>
      <c r="V534" s="327"/>
      <c r="X534" s="327"/>
      <c r="Z534" s="327"/>
      <c r="AB534" s="327"/>
      <c r="AD534" s="327"/>
      <c r="AF534" s="327"/>
    </row>
    <row r="535" spans="2:32" s="326" customFormat="1" ht="9.9499999999999993" customHeight="1" x14ac:dyDescent="0.2">
      <c r="B535" s="327"/>
      <c r="F535" s="327"/>
      <c r="H535" s="327"/>
      <c r="J535" s="327"/>
      <c r="L535" s="327"/>
      <c r="N535" s="327"/>
      <c r="P535" s="327"/>
      <c r="R535" s="327"/>
      <c r="T535" s="327"/>
      <c r="V535" s="327"/>
      <c r="X535" s="327"/>
      <c r="Z535" s="327"/>
      <c r="AB535" s="327"/>
      <c r="AD535" s="327"/>
      <c r="AF535" s="327"/>
    </row>
    <row r="536" spans="2:32" s="326" customFormat="1" ht="9.9499999999999993" customHeight="1" x14ac:dyDescent="0.2">
      <c r="B536" s="327"/>
      <c r="F536" s="327"/>
      <c r="H536" s="327"/>
      <c r="J536" s="327"/>
      <c r="L536" s="327"/>
      <c r="N536" s="327"/>
      <c r="P536" s="327"/>
      <c r="R536" s="327"/>
      <c r="T536" s="327"/>
      <c r="V536" s="327"/>
      <c r="X536" s="327"/>
      <c r="Z536" s="327"/>
      <c r="AB536" s="327"/>
      <c r="AD536" s="327"/>
      <c r="AF536" s="327"/>
    </row>
    <row r="537" spans="2:32" s="326" customFormat="1" ht="9.9499999999999993" customHeight="1" x14ac:dyDescent="0.2">
      <c r="B537" s="327"/>
      <c r="F537" s="327"/>
      <c r="H537" s="327"/>
      <c r="J537" s="327"/>
      <c r="L537" s="327"/>
      <c r="N537" s="327"/>
      <c r="P537" s="327"/>
      <c r="R537" s="327"/>
      <c r="T537" s="327"/>
      <c r="V537" s="327"/>
      <c r="X537" s="327"/>
      <c r="Z537" s="327"/>
      <c r="AB537" s="327"/>
      <c r="AD537" s="327"/>
      <c r="AF537" s="327"/>
    </row>
    <row r="538" spans="2:32" s="326" customFormat="1" ht="9.9499999999999993" customHeight="1" x14ac:dyDescent="0.2">
      <c r="B538" s="327"/>
      <c r="F538" s="327"/>
      <c r="H538" s="327"/>
      <c r="J538" s="327"/>
      <c r="L538" s="327"/>
      <c r="N538" s="327"/>
      <c r="P538" s="327"/>
      <c r="R538" s="327"/>
      <c r="T538" s="327"/>
      <c r="V538" s="327"/>
      <c r="X538" s="327"/>
      <c r="Z538" s="327"/>
      <c r="AB538" s="327"/>
      <c r="AD538" s="327"/>
      <c r="AF538" s="327"/>
    </row>
    <row r="539" spans="2:32" s="326" customFormat="1" ht="9.9499999999999993" customHeight="1" x14ac:dyDescent="0.2">
      <c r="B539" s="327"/>
      <c r="F539" s="327"/>
      <c r="H539" s="327"/>
      <c r="J539" s="327"/>
      <c r="L539" s="327"/>
      <c r="N539" s="327"/>
      <c r="P539" s="327"/>
      <c r="R539" s="327"/>
      <c r="T539" s="327"/>
      <c r="V539" s="327"/>
      <c r="X539" s="327"/>
      <c r="Z539" s="327"/>
      <c r="AB539" s="327"/>
      <c r="AD539" s="327"/>
      <c r="AF539" s="327"/>
    </row>
    <row r="540" spans="2:32" s="326" customFormat="1" ht="9.9499999999999993" customHeight="1" x14ac:dyDescent="0.2">
      <c r="B540" s="327"/>
      <c r="F540" s="327"/>
      <c r="H540" s="327"/>
      <c r="J540" s="327"/>
      <c r="L540" s="327"/>
      <c r="N540" s="327"/>
      <c r="P540" s="327"/>
      <c r="R540" s="327"/>
      <c r="T540" s="327"/>
      <c r="V540" s="327"/>
      <c r="X540" s="327"/>
      <c r="Z540" s="327"/>
      <c r="AB540" s="327"/>
      <c r="AD540" s="327"/>
      <c r="AF540" s="327"/>
    </row>
    <row r="541" spans="2:32" s="326" customFormat="1" ht="9.9499999999999993" customHeight="1" x14ac:dyDescent="0.2">
      <c r="B541" s="327"/>
      <c r="F541" s="327"/>
      <c r="H541" s="327"/>
      <c r="J541" s="327"/>
      <c r="L541" s="327"/>
      <c r="N541" s="327"/>
      <c r="P541" s="327"/>
      <c r="R541" s="327"/>
      <c r="T541" s="327"/>
      <c r="V541" s="327"/>
      <c r="X541" s="327"/>
      <c r="Z541" s="327"/>
      <c r="AB541" s="327"/>
      <c r="AD541" s="327"/>
      <c r="AF541" s="327"/>
    </row>
    <row r="542" spans="2:32" s="326" customFormat="1" ht="9.9499999999999993" customHeight="1" x14ac:dyDescent="0.2">
      <c r="B542" s="327"/>
      <c r="F542" s="327"/>
      <c r="H542" s="327"/>
      <c r="J542" s="327"/>
      <c r="L542" s="327"/>
      <c r="N542" s="327"/>
      <c r="P542" s="327"/>
      <c r="R542" s="327"/>
      <c r="T542" s="327"/>
      <c r="V542" s="327"/>
      <c r="X542" s="327"/>
      <c r="Z542" s="327"/>
      <c r="AB542" s="327"/>
      <c r="AD542" s="327"/>
      <c r="AF542" s="327"/>
    </row>
    <row r="543" spans="2:32" s="326" customFormat="1" ht="9.9499999999999993" customHeight="1" x14ac:dyDescent="0.2">
      <c r="B543" s="327"/>
      <c r="F543" s="327"/>
      <c r="H543" s="327"/>
      <c r="J543" s="327"/>
      <c r="L543" s="327"/>
      <c r="N543" s="327"/>
      <c r="P543" s="327"/>
      <c r="R543" s="327"/>
      <c r="T543" s="327"/>
      <c r="V543" s="327"/>
      <c r="X543" s="327"/>
      <c r="Z543" s="327"/>
      <c r="AB543" s="327"/>
      <c r="AD543" s="327"/>
      <c r="AF543" s="327"/>
    </row>
    <row r="544" spans="2:32" s="326" customFormat="1" ht="9.9499999999999993" customHeight="1" x14ac:dyDescent="0.2">
      <c r="B544" s="327"/>
      <c r="F544" s="327"/>
      <c r="H544" s="327"/>
      <c r="J544" s="327"/>
      <c r="L544" s="327"/>
      <c r="N544" s="327"/>
      <c r="P544" s="327"/>
      <c r="R544" s="327"/>
      <c r="T544" s="327"/>
      <c r="V544" s="327"/>
      <c r="X544" s="327"/>
      <c r="Z544" s="327"/>
      <c r="AB544" s="327"/>
      <c r="AD544" s="327"/>
      <c r="AF544" s="327"/>
    </row>
    <row r="545" spans="2:32" s="326" customFormat="1" ht="9.9499999999999993" customHeight="1" x14ac:dyDescent="0.2">
      <c r="B545" s="327"/>
      <c r="F545" s="327"/>
      <c r="H545" s="327"/>
      <c r="J545" s="327"/>
      <c r="L545" s="327"/>
      <c r="N545" s="327"/>
      <c r="P545" s="327"/>
      <c r="R545" s="327"/>
      <c r="T545" s="327"/>
      <c r="V545" s="327"/>
      <c r="X545" s="327"/>
      <c r="Z545" s="327"/>
      <c r="AB545" s="327"/>
      <c r="AD545" s="327"/>
      <c r="AF545" s="327"/>
    </row>
    <row r="546" spans="2:32" s="326" customFormat="1" ht="9.9499999999999993" customHeight="1" x14ac:dyDescent="0.2">
      <c r="B546" s="327"/>
      <c r="F546" s="327"/>
      <c r="H546" s="327"/>
      <c r="J546" s="327"/>
      <c r="L546" s="327"/>
      <c r="N546" s="327"/>
      <c r="P546" s="327"/>
      <c r="R546" s="327"/>
      <c r="T546" s="327"/>
      <c r="V546" s="327"/>
      <c r="X546" s="327"/>
      <c r="Z546" s="327"/>
      <c r="AB546" s="327"/>
      <c r="AD546" s="327"/>
      <c r="AF546" s="327"/>
    </row>
    <row r="547" spans="2:32" s="326" customFormat="1" ht="9.9499999999999993" customHeight="1" x14ac:dyDescent="0.2">
      <c r="B547" s="327"/>
      <c r="F547" s="327"/>
      <c r="H547" s="327"/>
      <c r="J547" s="327"/>
      <c r="L547" s="327"/>
      <c r="N547" s="327"/>
      <c r="P547" s="327"/>
      <c r="R547" s="327"/>
      <c r="T547" s="327"/>
      <c r="V547" s="327"/>
      <c r="X547" s="327"/>
      <c r="Z547" s="327"/>
      <c r="AB547" s="327"/>
      <c r="AD547" s="327"/>
      <c r="AF547" s="327"/>
    </row>
    <row r="548" spans="2:32" s="326" customFormat="1" ht="9.9499999999999993" customHeight="1" x14ac:dyDescent="0.2">
      <c r="B548" s="327"/>
      <c r="F548" s="327"/>
      <c r="H548" s="327"/>
      <c r="J548" s="327"/>
      <c r="L548" s="327"/>
      <c r="N548" s="327"/>
      <c r="P548" s="327"/>
      <c r="R548" s="327"/>
      <c r="T548" s="327"/>
      <c r="V548" s="327"/>
      <c r="X548" s="327"/>
      <c r="Z548" s="327"/>
      <c r="AB548" s="327"/>
      <c r="AD548" s="327"/>
      <c r="AF548" s="327"/>
    </row>
    <row r="549" spans="2:32" s="326" customFormat="1" ht="9.9499999999999993" customHeight="1" x14ac:dyDescent="0.2">
      <c r="B549" s="327"/>
      <c r="F549" s="327"/>
      <c r="H549" s="327"/>
      <c r="J549" s="327"/>
      <c r="L549" s="327"/>
      <c r="N549" s="327"/>
      <c r="P549" s="327"/>
      <c r="R549" s="327"/>
      <c r="T549" s="327"/>
      <c r="V549" s="327"/>
      <c r="X549" s="327"/>
      <c r="Z549" s="327"/>
      <c r="AB549" s="327"/>
      <c r="AD549" s="327"/>
      <c r="AF549" s="327"/>
    </row>
    <row r="550" spans="2:32" s="326" customFormat="1" ht="9.9499999999999993" customHeight="1" x14ac:dyDescent="0.2">
      <c r="B550" s="327"/>
      <c r="F550" s="327"/>
      <c r="H550" s="327"/>
      <c r="J550" s="327"/>
      <c r="L550" s="327"/>
      <c r="N550" s="327"/>
      <c r="P550" s="327"/>
      <c r="R550" s="327"/>
      <c r="T550" s="327"/>
      <c r="V550" s="327"/>
      <c r="X550" s="327"/>
      <c r="Z550" s="327"/>
      <c r="AB550" s="327"/>
      <c r="AD550" s="327"/>
      <c r="AF550" s="327"/>
    </row>
    <row r="551" spans="2:32" s="326" customFormat="1" ht="9.9499999999999993" customHeight="1" x14ac:dyDescent="0.2">
      <c r="B551" s="327"/>
      <c r="F551" s="327"/>
      <c r="H551" s="327"/>
      <c r="J551" s="327"/>
      <c r="L551" s="327"/>
      <c r="N551" s="327"/>
      <c r="P551" s="327"/>
      <c r="R551" s="327"/>
      <c r="T551" s="327"/>
      <c r="V551" s="327"/>
      <c r="X551" s="327"/>
      <c r="Z551" s="327"/>
      <c r="AB551" s="327"/>
      <c r="AD551" s="327"/>
      <c r="AF551" s="327"/>
    </row>
    <row r="552" spans="2:32" s="326" customFormat="1" ht="9.9499999999999993" customHeight="1" x14ac:dyDescent="0.2">
      <c r="B552" s="327"/>
      <c r="F552" s="327"/>
      <c r="H552" s="327"/>
      <c r="J552" s="327"/>
      <c r="L552" s="327"/>
      <c r="N552" s="327"/>
      <c r="P552" s="327"/>
      <c r="R552" s="327"/>
      <c r="T552" s="327"/>
      <c r="V552" s="327"/>
      <c r="X552" s="327"/>
      <c r="Z552" s="327"/>
      <c r="AB552" s="327"/>
      <c r="AD552" s="327"/>
      <c r="AF552" s="327"/>
    </row>
    <row r="553" spans="2:32" s="326" customFormat="1" ht="9.9499999999999993" customHeight="1" x14ac:dyDescent="0.2">
      <c r="B553" s="327"/>
      <c r="F553" s="327"/>
      <c r="H553" s="327"/>
      <c r="J553" s="327"/>
      <c r="L553" s="327"/>
      <c r="N553" s="327"/>
      <c r="P553" s="327"/>
      <c r="R553" s="327"/>
      <c r="T553" s="327"/>
      <c r="V553" s="327"/>
      <c r="X553" s="327"/>
      <c r="Z553" s="327"/>
      <c r="AB553" s="327"/>
      <c r="AD553" s="327"/>
      <c r="AF553" s="327"/>
    </row>
    <row r="554" spans="2:32" s="326" customFormat="1" ht="9.9499999999999993" customHeight="1" x14ac:dyDescent="0.2">
      <c r="B554" s="327"/>
      <c r="F554" s="327"/>
      <c r="H554" s="327"/>
      <c r="J554" s="327"/>
      <c r="L554" s="327"/>
      <c r="N554" s="327"/>
      <c r="P554" s="327"/>
      <c r="R554" s="327"/>
      <c r="T554" s="327"/>
      <c r="V554" s="327"/>
      <c r="X554" s="327"/>
      <c r="Z554" s="327"/>
      <c r="AB554" s="327"/>
      <c r="AD554" s="327"/>
      <c r="AF554" s="327"/>
    </row>
    <row r="555" spans="2:32" s="326" customFormat="1" ht="9.9499999999999993" customHeight="1" x14ac:dyDescent="0.2">
      <c r="B555" s="327"/>
      <c r="F555" s="327"/>
      <c r="H555" s="327"/>
      <c r="J555" s="327"/>
      <c r="L555" s="327"/>
      <c r="N555" s="327"/>
      <c r="P555" s="327"/>
      <c r="R555" s="327"/>
      <c r="T555" s="327"/>
      <c r="V555" s="327"/>
      <c r="X555" s="327"/>
      <c r="Z555" s="327"/>
      <c r="AB555" s="327"/>
      <c r="AD555" s="327"/>
      <c r="AF555" s="327"/>
    </row>
    <row r="556" spans="2:32" s="326" customFormat="1" ht="9.9499999999999993" customHeight="1" x14ac:dyDescent="0.2">
      <c r="B556" s="327"/>
      <c r="F556" s="327"/>
      <c r="H556" s="327"/>
      <c r="J556" s="327"/>
      <c r="L556" s="327"/>
      <c r="N556" s="327"/>
      <c r="P556" s="327"/>
      <c r="R556" s="327"/>
      <c r="T556" s="327"/>
      <c r="V556" s="327"/>
      <c r="X556" s="327"/>
      <c r="Z556" s="327"/>
      <c r="AB556" s="327"/>
      <c r="AD556" s="327"/>
      <c r="AF556" s="327"/>
    </row>
    <row r="557" spans="2:32" s="326" customFormat="1" ht="9.9499999999999993" customHeight="1" x14ac:dyDescent="0.2">
      <c r="B557" s="327"/>
      <c r="F557" s="327"/>
      <c r="H557" s="327"/>
      <c r="J557" s="327"/>
      <c r="L557" s="327"/>
      <c r="N557" s="327"/>
      <c r="P557" s="327"/>
      <c r="R557" s="327"/>
      <c r="T557" s="327"/>
      <c r="V557" s="327"/>
      <c r="X557" s="327"/>
      <c r="Z557" s="327"/>
      <c r="AB557" s="327"/>
      <c r="AD557" s="327"/>
      <c r="AF557" s="327"/>
    </row>
    <row r="558" spans="2:32" s="326" customFormat="1" ht="9.9499999999999993" customHeight="1" x14ac:dyDescent="0.2">
      <c r="B558" s="327"/>
      <c r="F558" s="327"/>
      <c r="H558" s="327"/>
      <c r="J558" s="327"/>
      <c r="L558" s="327"/>
      <c r="N558" s="327"/>
      <c r="P558" s="327"/>
      <c r="R558" s="327"/>
      <c r="T558" s="327"/>
      <c r="V558" s="327"/>
      <c r="X558" s="327"/>
      <c r="Z558" s="327"/>
      <c r="AB558" s="327"/>
      <c r="AD558" s="327"/>
      <c r="AF558" s="327"/>
    </row>
    <row r="559" spans="2:32" s="326" customFormat="1" ht="9.9499999999999993" customHeight="1" x14ac:dyDescent="0.2">
      <c r="B559" s="327"/>
      <c r="F559" s="327"/>
      <c r="H559" s="327"/>
      <c r="J559" s="327"/>
      <c r="L559" s="327"/>
      <c r="N559" s="327"/>
      <c r="P559" s="327"/>
      <c r="R559" s="327"/>
      <c r="T559" s="327"/>
      <c r="V559" s="327"/>
      <c r="X559" s="327"/>
      <c r="Z559" s="327"/>
      <c r="AB559" s="327"/>
      <c r="AD559" s="327"/>
      <c r="AF559" s="327"/>
    </row>
    <row r="560" spans="2:32" s="326" customFormat="1" ht="9.9499999999999993" customHeight="1" x14ac:dyDescent="0.2">
      <c r="B560" s="327"/>
      <c r="F560" s="327"/>
      <c r="H560" s="327"/>
      <c r="J560" s="327"/>
      <c r="L560" s="327"/>
      <c r="N560" s="327"/>
      <c r="P560" s="327"/>
      <c r="R560" s="327"/>
      <c r="T560" s="327"/>
      <c r="V560" s="327"/>
      <c r="X560" s="327"/>
      <c r="Z560" s="327"/>
      <c r="AB560" s="327"/>
      <c r="AD560" s="327"/>
      <c r="AF560" s="327"/>
    </row>
    <row r="561" spans="2:32" s="326" customFormat="1" ht="9.9499999999999993" customHeight="1" x14ac:dyDescent="0.2">
      <c r="B561" s="327"/>
      <c r="F561" s="327"/>
      <c r="H561" s="327"/>
      <c r="J561" s="327"/>
      <c r="L561" s="327"/>
      <c r="N561" s="327"/>
      <c r="P561" s="327"/>
      <c r="R561" s="327"/>
      <c r="T561" s="327"/>
      <c r="V561" s="327"/>
      <c r="X561" s="327"/>
      <c r="Z561" s="327"/>
      <c r="AB561" s="327"/>
      <c r="AD561" s="327"/>
      <c r="AF561" s="327"/>
    </row>
    <row r="562" spans="2:32" s="326" customFormat="1" ht="9.9499999999999993" customHeight="1" x14ac:dyDescent="0.2">
      <c r="B562" s="327"/>
      <c r="F562" s="327"/>
      <c r="H562" s="327"/>
      <c r="J562" s="327"/>
      <c r="L562" s="327"/>
      <c r="N562" s="327"/>
      <c r="P562" s="327"/>
      <c r="R562" s="327"/>
      <c r="T562" s="327"/>
      <c r="V562" s="327"/>
      <c r="X562" s="327"/>
      <c r="Z562" s="327"/>
      <c r="AB562" s="327"/>
      <c r="AD562" s="327"/>
      <c r="AF562" s="327"/>
    </row>
    <row r="563" spans="2:32" s="326" customFormat="1" ht="9.9499999999999993" customHeight="1" x14ac:dyDescent="0.2">
      <c r="B563" s="327"/>
      <c r="F563" s="327"/>
      <c r="H563" s="327"/>
      <c r="J563" s="327"/>
      <c r="L563" s="327"/>
      <c r="N563" s="327"/>
      <c r="P563" s="327"/>
      <c r="R563" s="327"/>
      <c r="T563" s="327"/>
      <c r="V563" s="327"/>
      <c r="X563" s="327"/>
      <c r="Z563" s="327"/>
      <c r="AB563" s="327"/>
      <c r="AD563" s="327"/>
      <c r="AF563" s="327"/>
    </row>
    <row r="564" spans="2:32" s="326" customFormat="1" ht="9.9499999999999993" customHeight="1" x14ac:dyDescent="0.2">
      <c r="B564" s="327"/>
      <c r="F564" s="327"/>
      <c r="H564" s="327"/>
      <c r="J564" s="327"/>
      <c r="L564" s="327"/>
      <c r="N564" s="327"/>
      <c r="P564" s="327"/>
      <c r="R564" s="327"/>
      <c r="T564" s="327"/>
      <c r="V564" s="327"/>
      <c r="X564" s="327"/>
      <c r="Z564" s="327"/>
      <c r="AB564" s="327"/>
      <c r="AD564" s="327"/>
      <c r="AF564" s="327"/>
    </row>
    <row r="565" spans="2:32" s="326" customFormat="1" ht="9.9499999999999993" customHeight="1" x14ac:dyDescent="0.2">
      <c r="B565" s="327"/>
      <c r="F565" s="327"/>
      <c r="H565" s="327"/>
      <c r="J565" s="327"/>
      <c r="L565" s="327"/>
      <c r="N565" s="327"/>
      <c r="P565" s="327"/>
      <c r="R565" s="327"/>
      <c r="T565" s="327"/>
      <c r="V565" s="327"/>
      <c r="X565" s="327"/>
      <c r="Z565" s="327"/>
      <c r="AB565" s="327"/>
      <c r="AD565" s="327"/>
      <c r="AF565" s="327"/>
    </row>
    <row r="566" spans="2:32" s="326" customFormat="1" ht="9.9499999999999993" customHeight="1" x14ac:dyDescent="0.2">
      <c r="B566" s="327"/>
      <c r="F566" s="327"/>
      <c r="H566" s="327"/>
      <c r="J566" s="327"/>
      <c r="L566" s="327"/>
      <c r="N566" s="327"/>
      <c r="P566" s="327"/>
      <c r="R566" s="327"/>
      <c r="T566" s="327"/>
      <c r="V566" s="327"/>
      <c r="X566" s="327"/>
      <c r="Z566" s="327"/>
      <c r="AB566" s="327"/>
      <c r="AD566" s="327"/>
      <c r="AF566" s="327"/>
    </row>
    <row r="567" spans="2:32" s="326" customFormat="1" ht="9.9499999999999993" customHeight="1" x14ac:dyDescent="0.2">
      <c r="B567" s="327"/>
      <c r="F567" s="327"/>
      <c r="H567" s="327"/>
      <c r="J567" s="327"/>
      <c r="L567" s="327"/>
      <c r="N567" s="327"/>
      <c r="P567" s="327"/>
      <c r="R567" s="327"/>
      <c r="T567" s="327"/>
      <c r="V567" s="327"/>
      <c r="X567" s="327"/>
      <c r="Z567" s="327"/>
      <c r="AB567" s="327"/>
      <c r="AD567" s="327"/>
      <c r="AF567" s="327"/>
    </row>
    <row r="568" spans="2:32" s="326" customFormat="1" ht="9.9499999999999993" customHeight="1" x14ac:dyDescent="0.2">
      <c r="B568" s="327"/>
      <c r="F568" s="327"/>
      <c r="H568" s="327"/>
      <c r="J568" s="327"/>
      <c r="L568" s="327"/>
      <c r="N568" s="327"/>
      <c r="P568" s="327"/>
      <c r="R568" s="327"/>
      <c r="T568" s="327"/>
      <c r="V568" s="327"/>
      <c r="X568" s="327"/>
      <c r="Z568" s="327"/>
      <c r="AB568" s="327"/>
      <c r="AD568" s="327"/>
      <c r="AF568" s="327"/>
    </row>
    <row r="569" spans="2:32" s="326" customFormat="1" ht="9.9499999999999993" customHeight="1" x14ac:dyDescent="0.2">
      <c r="B569" s="327"/>
      <c r="F569" s="327"/>
      <c r="H569" s="327"/>
      <c r="J569" s="327"/>
      <c r="L569" s="327"/>
      <c r="N569" s="327"/>
      <c r="P569" s="327"/>
      <c r="R569" s="327"/>
      <c r="T569" s="327"/>
      <c r="V569" s="327"/>
      <c r="X569" s="327"/>
      <c r="Z569" s="327"/>
      <c r="AB569" s="327"/>
      <c r="AD569" s="327"/>
      <c r="AF569" s="327"/>
    </row>
    <row r="570" spans="2:32" s="326" customFormat="1" ht="9.9499999999999993" customHeight="1" x14ac:dyDescent="0.2">
      <c r="B570" s="327"/>
      <c r="F570" s="327"/>
      <c r="H570" s="327"/>
      <c r="J570" s="327"/>
      <c r="L570" s="327"/>
      <c r="N570" s="327"/>
      <c r="P570" s="327"/>
      <c r="R570" s="327"/>
      <c r="T570" s="327"/>
      <c r="V570" s="327"/>
      <c r="X570" s="327"/>
      <c r="Z570" s="327"/>
      <c r="AB570" s="327"/>
      <c r="AD570" s="327"/>
      <c r="AF570" s="327"/>
    </row>
    <row r="571" spans="2:32" s="326" customFormat="1" ht="9.9499999999999993" customHeight="1" x14ac:dyDescent="0.2">
      <c r="B571" s="327"/>
      <c r="F571" s="327"/>
      <c r="H571" s="327"/>
      <c r="J571" s="327"/>
      <c r="L571" s="327"/>
      <c r="N571" s="327"/>
      <c r="P571" s="327"/>
      <c r="R571" s="327"/>
      <c r="T571" s="327"/>
      <c r="V571" s="327"/>
      <c r="X571" s="327"/>
      <c r="Z571" s="327"/>
      <c r="AB571" s="327"/>
      <c r="AD571" s="327"/>
      <c r="AF571" s="327"/>
    </row>
    <row r="572" spans="2:32" s="326" customFormat="1" ht="9.9499999999999993" customHeight="1" x14ac:dyDescent="0.2">
      <c r="B572" s="327"/>
      <c r="F572" s="327"/>
      <c r="H572" s="327"/>
      <c r="J572" s="327"/>
      <c r="L572" s="327"/>
      <c r="N572" s="327"/>
      <c r="P572" s="327"/>
      <c r="R572" s="327"/>
      <c r="T572" s="327"/>
      <c r="V572" s="327"/>
      <c r="X572" s="327"/>
      <c r="Z572" s="327"/>
      <c r="AB572" s="327"/>
      <c r="AD572" s="327"/>
      <c r="AF572" s="327"/>
    </row>
    <row r="573" spans="2:32" s="326" customFormat="1" ht="9.9499999999999993" customHeight="1" x14ac:dyDescent="0.2">
      <c r="B573" s="327"/>
      <c r="F573" s="327"/>
      <c r="H573" s="327"/>
      <c r="J573" s="327"/>
      <c r="L573" s="327"/>
      <c r="N573" s="327"/>
      <c r="P573" s="327"/>
      <c r="R573" s="327"/>
      <c r="T573" s="327"/>
      <c r="V573" s="327"/>
      <c r="X573" s="327"/>
      <c r="Z573" s="327"/>
      <c r="AB573" s="327"/>
      <c r="AD573" s="327"/>
      <c r="AF573" s="327"/>
    </row>
    <row r="574" spans="2:32" s="326" customFormat="1" ht="9.9499999999999993" customHeight="1" x14ac:dyDescent="0.2">
      <c r="B574" s="327"/>
      <c r="F574" s="327"/>
      <c r="H574" s="327"/>
      <c r="J574" s="327"/>
      <c r="L574" s="327"/>
      <c r="N574" s="327"/>
      <c r="P574" s="327"/>
      <c r="R574" s="327"/>
      <c r="T574" s="327"/>
      <c r="V574" s="327"/>
      <c r="X574" s="327"/>
      <c r="Z574" s="327"/>
      <c r="AB574" s="327"/>
      <c r="AD574" s="327"/>
      <c r="AF574" s="327"/>
    </row>
    <row r="575" spans="2:32" s="326" customFormat="1" ht="9.9499999999999993" customHeight="1" x14ac:dyDescent="0.2">
      <c r="B575" s="327"/>
      <c r="F575" s="327"/>
      <c r="H575" s="327"/>
      <c r="J575" s="327"/>
      <c r="L575" s="327"/>
      <c r="N575" s="327"/>
      <c r="P575" s="327"/>
      <c r="R575" s="327"/>
      <c r="T575" s="327"/>
      <c r="V575" s="327"/>
      <c r="X575" s="327"/>
      <c r="Z575" s="327"/>
      <c r="AB575" s="327"/>
      <c r="AD575" s="327"/>
      <c r="AF575" s="327"/>
    </row>
    <row r="576" spans="2:32" s="326" customFormat="1" ht="9.9499999999999993" customHeight="1" x14ac:dyDescent="0.2">
      <c r="B576" s="327"/>
      <c r="F576" s="327"/>
      <c r="H576" s="327"/>
      <c r="J576" s="327"/>
      <c r="L576" s="327"/>
      <c r="N576" s="327"/>
      <c r="P576" s="327"/>
      <c r="R576" s="327"/>
      <c r="T576" s="327"/>
      <c r="V576" s="327"/>
      <c r="X576" s="327"/>
      <c r="Z576" s="327"/>
      <c r="AB576" s="327"/>
      <c r="AD576" s="327"/>
      <c r="AF576" s="327"/>
    </row>
    <row r="577" spans="2:32" s="326" customFormat="1" ht="9.9499999999999993" customHeight="1" x14ac:dyDescent="0.2">
      <c r="B577" s="327"/>
      <c r="F577" s="327"/>
      <c r="H577" s="327"/>
      <c r="J577" s="327"/>
      <c r="L577" s="327"/>
      <c r="N577" s="327"/>
      <c r="P577" s="327"/>
      <c r="R577" s="327"/>
      <c r="T577" s="327"/>
      <c r="V577" s="327"/>
      <c r="X577" s="327"/>
      <c r="Z577" s="327"/>
      <c r="AB577" s="327"/>
      <c r="AD577" s="327"/>
      <c r="AF577" s="327"/>
    </row>
    <row r="578" spans="2:32" s="326" customFormat="1" ht="9.9499999999999993" customHeight="1" x14ac:dyDescent="0.2">
      <c r="B578" s="327"/>
      <c r="F578" s="327"/>
      <c r="H578" s="327"/>
      <c r="J578" s="327"/>
      <c r="L578" s="327"/>
      <c r="N578" s="327"/>
      <c r="P578" s="327"/>
      <c r="R578" s="327"/>
      <c r="T578" s="327"/>
      <c r="V578" s="327"/>
      <c r="X578" s="327"/>
      <c r="Z578" s="327"/>
      <c r="AB578" s="327"/>
      <c r="AD578" s="327"/>
      <c r="AF578" s="327"/>
    </row>
    <row r="579" spans="2:32" s="326" customFormat="1" ht="9.9499999999999993" customHeight="1" x14ac:dyDescent="0.2">
      <c r="B579" s="327"/>
      <c r="F579" s="327"/>
      <c r="H579" s="327"/>
      <c r="J579" s="327"/>
      <c r="L579" s="327"/>
      <c r="N579" s="327"/>
      <c r="P579" s="327"/>
      <c r="R579" s="327"/>
      <c r="T579" s="327"/>
      <c r="V579" s="327"/>
      <c r="X579" s="327"/>
      <c r="Z579" s="327"/>
      <c r="AB579" s="327"/>
      <c r="AD579" s="327"/>
      <c r="AF579" s="327"/>
    </row>
    <row r="580" spans="2:32" s="326" customFormat="1" ht="9.9499999999999993" customHeight="1" x14ac:dyDescent="0.2">
      <c r="B580" s="327"/>
      <c r="F580" s="327"/>
      <c r="H580" s="327"/>
      <c r="J580" s="327"/>
      <c r="L580" s="327"/>
      <c r="N580" s="327"/>
      <c r="P580" s="327"/>
      <c r="R580" s="327"/>
      <c r="T580" s="327"/>
      <c r="V580" s="327"/>
      <c r="X580" s="327"/>
      <c r="Z580" s="327"/>
      <c r="AB580" s="327"/>
      <c r="AD580" s="327"/>
      <c r="AF580" s="327"/>
    </row>
    <row r="581" spans="2:32" s="326" customFormat="1" ht="9.9499999999999993" customHeight="1" x14ac:dyDescent="0.2">
      <c r="B581" s="327"/>
      <c r="F581" s="327"/>
      <c r="H581" s="327"/>
      <c r="J581" s="327"/>
      <c r="L581" s="327"/>
      <c r="N581" s="327"/>
      <c r="P581" s="327"/>
      <c r="R581" s="327"/>
      <c r="T581" s="327"/>
      <c r="V581" s="327"/>
      <c r="X581" s="327"/>
      <c r="Z581" s="327"/>
      <c r="AB581" s="327"/>
      <c r="AD581" s="327"/>
      <c r="AF581" s="327"/>
    </row>
    <row r="582" spans="2:32" s="326" customFormat="1" ht="9.9499999999999993" customHeight="1" x14ac:dyDescent="0.2">
      <c r="B582" s="327"/>
      <c r="F582" s="327"/>
      <c r="H582" s="327"/>
      <c r="J582" s="327"/>
      <c r="L582" s="327"/>
      <c r="N582" s="327"/>
      <c r="P582" s="327"/>
      <c r="R582" s="327"/>
      <c r="T582" s="327"/>
      <c r="V582" s="327"/>
      <c r="X582" s="327"/>
      <c r="Z582" s="327"/>
      <c r="AB582" s="327"/>
      <c r="AD582" s="327"/>
      <c r="AF582" s="327"/>
    </row>
    <row r="583" spans="2:32" s="326" customFormat="1" ht="9.9499999999999993" customHeight="1" x14ac:dyDescent="0.2">
      <c r="B583" s="327"/>
      <c r="F583" s="327"/>
      <c r="H583" s="327"/>
      <c r="J583" s="327"/>
      <c r="L583" s="327"/>
      <c r="N583" s="327"/>
      <c r="P583" s="327"/>
      <c r="R583" s="327"/>
      <c r="T583" s="327"/>
      <c r="V583" s="327"/>
      <c r="X583" s="327"/>
      <c r="Z583" s="327"/>
      <c r="AB583" s="327"/>
      <c r="AD583" s="327"/>
      <c r="AF583" s="327"/>
    </row>
    <row r="584" spans="2:32" s="326" customFormat="1" ht="9.9499999999999993" customHeight="1" x14ac:dyDescent="0.2">
      <c r="B584" s="327"/>
      <c r="F584" s="327"/>
      <c r="H584" s="327"/>
      <c r="J584" s="327"/>
      <c r="L584" s="327"/>
      <c r="N584" s="327"/>
      <c r="P584" s="327"/>
      <c r="R584" s="327"/>
      <c r="T584" s="327"/>
      <c r="V584" s="327"/>
      <c r="X584" s="327"/>
      <c r="Z584" s="327"/>
      <c r="AB584" s="327"/>
      <c r="AD584" s="327"/>
      <c r="AF584" s="327"/>
    </row>
    <row r="585" spans="2:32" s="326" customFormat="1" ht="9.9499999999999993" customHeight="1" x14ac:dyDescent="0.2">
      <c r="B585" s="327"/>
      <c r="F585" s="327"/>
      <c r="H585" s="327"/>
      <c r="J585" s="327"/>
      <c r="L585" s="327"/>
      <c r="N585" s="327"/>
      <c r="P585" s="327"/>
      <c r="R585" s="327"/>
      <c r="T585" s="327"/>
      <c r="V585" s="327"/>
      <c r="X585" s="327"/>
      <c r="Z585" s="327"/>
      <c r="AB585" s="327"/>
      <c r="AD585" s="327"/>
      <c r="AF585" s="327"/>
    </row>
    <row r="586" spans="2:32" s="326" customFormat="1" ht="9.9499999999999993" customHeight="1" x14ac:dyDescent="0.2">
      <c r="B586" s="327"/>
      <c r="F586" s="327"/>
      <c r="H586" s="327"/>
      <c r="J586" s="327"/>
      <c r="L586" s="327"/>
      <c r="N586" s="327"/>
      <c r="P586" s="327"/>
      <c r="R586" s="327"/>
      <c r="T586" s="327"/>
      <c r="V586" s="327"/>
      <c r="X586" s="327"/>
      <c r="Z586" s="327"/>
      <c r="AB586" s="327"/>
      <c r="AD586" s="327"/>
      <c r="AF586" s="327"/>
    </row>
    <row r="587" spans="2:32" s="326" customFormat="1" ht="9.9499999999999993" customHeight="1" x14ac:dyDescent="0.2">
      <c r="B587" s="327"/>
      <c r="F587" s="327"/>
      <c r="H587" s="327"/>
      <c r="J587" s="327"/>
      <c r="L587" s="327"/>
      <c r="N587" s="327"/>
      <c r="P587" s="327"/>
      <c r="R587" s="327"/>
      <c r="T587" s="327"/>
      <c r="V587" s="327"/>
      <c r="X587" s="327"/>
      <c r="Z587" s="327"/>
      <c r="AB587" s="327"/>
      <c r="AD587" s="327"/>
      <c r="AF587" s="327"/>
    </row>
    <row r="588" spans="2:32" s="326" customFormat="1" ht="9.9499999999999993" customHeight="1" x14ac:dyDescent="0.2">
      <c r="B588" s="327"/>
      <c r="F588" s="327"/>
      <c r="H588" s="327"/>
      <c r="J588" s="327"/>
      <c r="L588" s="327"/>
      <c r="N588" s="327"/>
      <c r="P588" s="327"/>
      <c r="R588" s="327"/>
      <c r="T588" s="327"/>
      <c r="V588" s="327"/>
      <c r="X588" s="327"/>
      <c r="Z588" s="327"/>
      <c r="AB588" s="327"/>
      <c r="AD588" s="327"/>
      <c r="AF588" s="327"/>
    </row>
    <row r="589" spans="2:32" s="326" customFormat="1" ht="9.9499999999999993" customHeight="1" x14ac:dyDescent="0.2">
      <c r="B589" s="327"/>
      <c r="F589" s="327"/>
      <c r="H589" s="327"/>
      <c r="J589" s="327"/>
      <c r="L589" s="327"/>
      <c r="N589" s="327"/>
      <c r="P589" s="327"/>
      <c r="R589" s="327"/>
      <c r="T589" s="327"/>
      <c r="V589" s="327"/>
      <c r="X589" s="327"/>
      <c r="Z589" s="327"/>
      <c r="AB589" s="327"/>
      <c r="AD589" s="327"/>
      <c r="AF589" s="327"/>
    </row>
    <row r="590" spans="2:32" s="326" customFormat="1" ht="9.9499999999999993" customHeight="1" x14ac:dyDescent="0.2">
      <c r="B590" s="327"/>
      <c r="F590" s="327"/>
      <c r="H590" s="327"/>
      <c r="J590" s="327"/>
      <c r="L590" s="327"/>
      <c r="N590" s="327"/>
      <c r="P590" s="327"/>
      <c r="R590" s="327"/>
      <c r="T590" s="327"/>
      <c r="V590" s="327"/>
      <c r="X590" s="327"/>
      <c r="Z590" s="327"/>
      <c r="AB590" s="327"/>
      <c r="AD590" s="327"/>
      <c r="AF590" s="327"/>
    </row>
    <row r="591" spans="2:32" s="326" customFormat="1" ht="9.9499999999999993" customHeight="1" x14ac:dyDescent="0.2">
      <c r="B591" s="327"/>
      <c r="F591" s="327"/>
      <c r="H591" s="327"/>
      <c r="J591" s="327"/>
      <c r="L591" s="327"/>
      <c r="N591" s="327"/>
      <c r="P591" s="327"/>
      <c r="R591" s="327"/>
      <c r="T591" s="327"/>
      <c r="V591" s="327"/>
      <c r="X591" s="327"/>
      <c r="Z591" s="327"/>
      <c r="AB591" s="327"/>
      <c r="AD591" s="327"/>
      <c r="AF591" s="327"/>
    </row>
    <row r="592" spans="2:32" s="326" customFormat="1" ht="9.9499999999999993" customHeight="1" x14ac:dyDescent="0.2">
      <c r="B592" s="327"/>
      <c r="F592" s="327"/>
      <c r="H592" s="327"/>
      <c r="J592" s="327"/>
      <c r="L592" s="327"/>
      <c r="N592" s="327"/>
      <c r="P592" s="327"/>
      <c r="R592" s="327"/>
      <c r="T592" s="327"/>
      <c r="V592" s="327"/>
      <c r="X592" s="327"/>
      <c r="Z592" s="327"/>
      <c r="AB592" s="327"/>
      <c r="AD592" s="327"/>
      <c r="AF592" s="327"/>
    </row>
    <row r="593" spans="2:32" s="326" customFormat="1" ht="9.9499999999999993" customHeight="1" x14ac:dyDescent="0.2">
      <c r="B593" s="327"/>
      <c r="F593" s="327"/>
      <c r="H593" s="327"/>
      <c r="J593" s="327"/>
      <c r="L593" s="327"/>
      <c r="N593" s="327"/>
      <c r="P593" s="327"/>
      <c r="R593" s="327"/>
      <c r="T593" s="327"/>
      <c r="V593" s="327"/>
      <c r="X593" s="327"/>
      <c r="Z593" s="327"/>
      <c r="AB593" s="327"/>
      <c r="AD593" s="327"/>
      <c r="AF593" s="327"/>
    </row>
    <row r="594" spans="2:32" s="326" customFormat="1" ht="9.9499999999999993" customHeight="1" x14ac:dyDescent="0.2">
      <c r="B594" s="327"/>
      <c r="F594" s="327"/>
      <c r="H594" s="327"/>
      <c r="J594" s="327"/>
      <c r="L594" s="327"/>
      <c r="N594" s="327"/>
      <c r="P594" s="327"/>
      <c r="R594" s="327"/>
      <c r="T594" s="327"/>
      <c r="V594" s="327"/>
      <c r="X594" s="327"/>
      <c r="Z594" s="327"/>
      <c r="AB594" s="327"/>
      <c r="AD594" s="327"/>
      <c r="AF594" s="327"/>
    </row>
    <row r="595" spans="2:32" s="326" customFormat="1" ht="9.9499999999999993" customHeight="1" x14ac:dyDescent="0.2">
      <c r="B595" s="327"/>
      <c r="F595" s="327"/>
      <c r="H595" s="327"/>
      <c r="J595" s="327"/>
      <c r="L595" s="327"/>
      <c r="N595" s="327"/>
      <c r="P595" s="327"/>
      <c r="R595" s="327"/>
      <c r="T595" s="327"/>
      <c r="V595" s="327"/>
      <c r="X595" s="327"/>
      <c r="Z595" s="327"/>
      <c r="AB595" s="327"/>
      <c r="AD595" s="327"/>
      <c r="AF595" s="327"/>
    </row>
    <row r="596" spans="2:32" s="326" customFormat="1" ht="9.9499999999999993" customHeight="1" x14ac:dyDescent="0.2">
      <c r="B596" s="327"/>
      <c r="F596" s="327"/>
      <c r="H596" s="327"/>
      <c r="J596" s="327"/>
      <c r="L596" s="327"/>
      <c r="N596" s="327"/>
      <c r="P596" s="327"/>
      <c r="R596" s="327"/>
      <c r="T596" s="327"/>
      <c r="V596" s="327"/>
      <c r="X596" s="327"/>
      <c r="Z596" s="327"/>
      <c r="AB596" s="327"/>
      <c r="AD596" s="327"/>
      <c r="AF596" s="327"/>
    </row>
    <row r="597" spans="2:32" s="326" customFormat="1" ht="9.9499999999999993" customHeight="1" x14ac:dyDescent="0.2">
      <c r="B597" s="327"/>
      <c r="F597" s="327"/>
      <c r="H597" s="327"/>
      <c r="J597" s="327"/>
      <c r="L597" s="327"/>
      <c r="N597" s="327"/>
      <c r="P597" s="327"/>
      <c r="R597" s="327"/>
      <c r="T597" s="327"/>
      <c r="V597" s="327"/>
      <c r="X597" s="327"/>
      <c r="Z597" s="327"/>
      <c r="AB597" s="327"/>
      <c r="AD597" s="327"/>
      <c r="AF597" s="327"/>
    </row>
    <row r="598" spans="2:32" s="326" customFormat="1" ht="9.9499999999999993" customHeight="1" x14ac:dyDescent="0.2">
      <c r="B598" s="327"/>
      <c r="F598" s="327"/>
      <c r="H598" s="327"/>
      <c r="J598" s="327"/>
      <c r="L598" s="327"/>
      <c r="N598" s="327"/>
      <c r="P598" s="327"/>
      <c r="R598" s="327"/>
      <c r="T598" s="327"/>
      <c r="V598" s="327"/>
      <c r="X598" s="327"/>
      <c r="Z598" s="327"/>
      <c r="AB598" s="327"/>
      <c r="AD598" s="327"/>
      <c r="AF598" s="327"/>
    </row>
    <row r="599" spans="2:32" s="326" customFormat="1" ht="9.9499999999999993" customHeight="1" x14ac:dyDescent="0.2">
      <c r="B599" s="327"/>
      <c r="F599" s="327"/>
      <c r="H599" s="327"/>
      <c r="J599" s="327"/>
      <c r="L599" s="327"/>
      <c r="N599" s="327"/>
      <c r="P599" s="327"/>
      <c r="R599" s="327"/>
      <c r="T599" s="327"/>
      <c r="V599" s="327"/>
      <c r="X599" s="327"/>
      <c r="Z599" s="327"/>
      <c r="AB599" s="327"/>
      <c r="AD599" s="327"/>
      <c r="AF599" s="327"/>
    </row>
    <row r="600" spans="2:32" s="326" customFormat="1" ht="9.9499999999999993" customHeight="1" x14ac:dyDescent="0.2">
      <c r="B600" s="327"/>
      <c r="F600" s="327"/>
      <c r="H600" s="327"/>
      <c r="J600" s="327"/>
      <c r="L600" s="327"/>
      <c r="N600" s="327"/>
      <c r="P600" s="327"/>
      <c r="R600" s="327"/>
      <c r="T600" s="327"/>
      <c r="V600" s="327"/>
      <c r="X600" s="327"/>
      <c r="Z600" s="327"/>
      <c r="AB600" s="327"/>
      <c r="AD600" s="327"/>
      <c r="AF600" s="327"/>
    </row>
    <row r="601" spans="2:32" s="326" customFormat="1" ht="9.9499999999999993" customHeight="1" x14ac:dyDescent="0.2">
      <c r="B601" s="327"/>
      <c r="F601" s="327"/>
      <c r="H601" s="327"/>
      <c r="J601" s="327"/>
      <c r="L601" s="327"/>
      <c r="N601" s="327"/>
      <c r="P601" s="327"/>
      <c r="R601" s="327"/>
      <c r="T601" s="327"/>
      <c r="V601" s="327"/>
      <c r="X601" s="327"/>
      <c r="Z601" s="327"/>
      <c r="AB601" s="327"/>
      <c r="AD601" s="327"/>
      <c r="AF601" s="327"/>
    </row>
    <row r="602" spans="2:32" s="326" customFormat="1" ht="9.9499999999999993" customHeight="1" x14ac:dyDescent="0.2">
      <c r="B602" s="327"/>
      <c r="F602" s="327"/>
      <c r="H602" s="327"/>
      <c r="J602" s="327"/>
      <c r="L602" s="327"/>
      <c r="N602" s="327"/>
      <c r="P602" s="327"/>
      <c r="R602" s="327"/>
      <c r="T602" s="327"/>
      <c r="V602" s="327"/>
      <c r="X602" s="327"/>
      <c r="Z602" s="327"/>
      <c r="AB602" s="327"/>
      <c r="AD602" s="327"/>
      <c r="AF602" s="327"/>
    </row>
    <row r="603" spans="2:32" s="326" customFormat="1" ht="9.9499999999999993" customHeight="1" x14ac:dyDescent="0.2">
      <c r="B603" s="327"/>
      <c r="F603" s="327"/>
      <c r="H603" s="327"/>
      <c r="J603" s="327"/>
      <c r="L603" s="327"/>
      <c r="N603" s="327"/>
      <c r="P603" s="327"/>
      <c r="R603" s="327"/>
      <c r="T603" s="327"/>
      <c r="V603" s="327"/>
      <c r="X603" s="327"/>
      <c r="Z603" s="327"/>
      <c r="AB603" s="327"/>
      <c r="AD603" s="327"/>
      <c r="AF603" s="327"/>
    </row>
    <row r="604" spans="2:32" s="326" customFormat="1" ht="9.9499999999999993" customHeight="1" x14ac:dyDescent="0.2">
      <c r="B604" s="327"/>
      <c r="F604" s="327"/>
      <c r="H604" s="327"/>
      <c r="J604" s="327"/>
      <c r="L604" s="327"/>
      <c r="N604" s="327"/>
      <c r="P604" s="327"/>
      <c r="R604" s="327"/>
      <c r="T604" s="327"/>
      <c r="V604" s="327"/>
      <c r="X604" s="327"/>
      <c r="Z604" s="327"/>
      <c r="AB604" s="327"/>
      <c r="AD604" s="327"/>
      <c r="AF604" s="327"/>
    </row>
    <row r="605" spans="2:32" s="326" customFormat="1" ht="9.9499999999999993" customHeight="1" x14ac:dyDescent="0.2">
      <c r="B605" s="327"/>
      <c r="F605" s="327"/>
      <c r="H605" s="327"/>
      <c r="J605" s="327"/>
      <c r="L605" s="327"/>
      <c r="N605" s="327"/>
      <c r="P605" s="327"/>
      <c r="R605" s="327"/>
      <c r="T605" s="327"/>
      <c r="V605" s="327"/>
      <c r="X605" s="327"/>
      <c r="Z605" s="327"/>
      <c r="AB605" s="327"/>
      <c r="AD605" s="327"/>
      <c r="AF605" s="327"/>
    </row>
    <row r="606" spans="2:32" s="326" customFormat="1" ht="9.9499999999999993" customHeight="1" x14ac:dyDescent="0.2">
      <c r="B606" s="327"/>
      <c r="F606" s="327"/>
      <c r="H606" s="327"/>
      <c r="J606" s="327"/>
      <c r="L606" s="327"/>
      <c r="N606" s="327"/>
      <c r="P606" s="327"/>
      <c r="R606" s="327"/>
      <c r="T606" s="327"/>
      <c r="V606" s="327"/>
      <c r="X606" s="327"/>
      <c r="Z606" s="327"/>
      <c r="AB606" s="327"/>
      <c r="AD606" s="327"/>
      <c r="AF606" s="327"/>
    </row>
    <row r="607" spans="2:32" s="326" customFormat="1" ht="9.9499999999999993" customHeight="1" x14ac:dyDescent="0.2">
      <c r="B607" s="327"/>
      <c r="F607" s="327"/>
      <c r="H607" s="327"/>
      <c r="J607" s="327"/>
      <c r="L607" s="327"/>
      <c r="N607" s="327"/>
      <c r="P607" s="327"/>
      <c r="R607" s="327"/>
      <c r="T607" s="327"/>
      <c r="V607" s="327"/>
      <c r="X607" s="327"/>
      <c r="Z607" s="327"/>
      <c r="AB607" s="327"/>
      <c r="AD607" s="327"/>
      <c r="AF607" s="327"/>
    </row>
    <row r="608" spans="2:32" s="326" customFormat="1" ht="9.9499999999999993" customHeight="1" x14ac:dyDescent="0.2">
      <c r="B608" s="327"/>
      <c r="F608" s="327"/>
      <c r="H608" s="327"/>
      <c r="J608" s="327"/>
      <c r="L608" s="327"/>
      <c r="N608" s="327"/>
      <c r="P608" s="327"/>
      <c r="R608" s="327"/>
      <c r="T608" s="327"/>
      <c r="V608" s="327"/>
      <c r="X608" s="327"/>
      <c r="Z608" s="327"/>
      <c r="AB608" s="327"/>
      <c r="AD608" s="327"/>
      <c r="AF608" s="327"/>
    </row>
    <row r="609" spans="2:32" s="326" customFormat="1" ht="9.9499999999999993" customHeight="1" x14ac:dyDescent="0.2">
      <c r="B609" s="327"/>
      <c r="F609" s="327"/>
      <c r="H609" s="327"/>
      <c r="J609" s="327"/>
      <c r="L609" s="327"/>
      <c r="N609" s="327"/>
      <c r="P609" s="327"/>
      <c r="R609" s="327"/>
      <c r="T609" s="327"/>
      <c r="V609" s="327"/>
      <c r="X609" s="327"/>
      <c r="Z609" s="327"/>
      <c r="AB609" s="327"/>
      <c r="AD609" s="327"/>
      <c r="AF609" s="327"/>
    </row>
    <row r="610" spans="2:32" s="326" customFormat="1" ht="9.9499999999999993" customHeight="1" x14ac:dyDescent="0.2">
      <c r="B610" s="327"/>
      <c r="F610" s="327"/>
      <c r="H610" s="327"/>
      <c r="J610" s="327"/>
      <c r="L610" s="327"/>
      <c r="N610" s="327"/>
      <c r="P610" s="327"/>
      <c r="R610" s="327"/>
      <c r="T610" s="327"/>
      <c r="V610" s="327"/>
      <c r="X610" s="327"/>
      <c r="Z610" s="327"/>
      <c r="AB610" s="327"/>
      <c r="AD610" s="327"/>
      <c r="AF610" s="327"/>
    </row>
    <row r="611" spans="2:32" s="326" customFormat="1" ht="9.9499999999999993" customHeight="1" x14ac:dyDescent="0.2">
      <c r="B611" s="327"/>
      <c r="F611" s="327"/>
      <c r="H611" s="327"/>
      <c r="J611" s="327"/>
      <c r="L611" s="327"/>
      <c r="N611" s="327"/>
      <c r="P611" s="327"/>
      <c r="R611" s="327"/>
      <c r="T611" s="327"/>
      <c r="V611" s="327"/>
      <c r="X611" s="327"/>
      <c r="Z611" s="327"/>
      <c r="AB611" s="327"/>
      <c r="AD611" s="327"/>
      <c r="AF611" s="327"/>
    </row>
    <row r="612" spans="2:32" s="326" customFormat="1" ht="9.9499999999999993" customHeight="1" x14ac:dyDescent="0.2">
      <c r="B612" s="327"/>
      <c r="F612" s="327"/>
      <c r="H612" s="327"/>
      <c r="J612" s="327"/>
      <c r="L612" s="327"/>
      <c r="N612" s="327"/>
      <c r="P612" s="327"/>
      <c r="R612" s="327"/>
      <c r="T612" s="327"/>
      <c r="V612" s="327"/>
      <c r="X612" s="327"/>
      <c r="Z612" s="327"/>
      <c r="AB612" s="327"/>
      <c r="AD612" s="327"/>
      <c r="AF612" s="327"/>
    </row>
    <row r="613" spans="2:32" s="326" customFormat="1" ht="9.9499999999999993" customHeight="1" x14ac:dyDescent="0.2">
      <c r="B613" s="327"/>
      <c r="F613" s="327"/>
      <c r="H613" s="327"/>
      <c r="J613" s="327"/>
      <c r="L613" s="327"/>
      <c r="N613" s="327"/>
      <c r="P613" s="327"/>
      <c r="R613" s="327"/>
      <c r="T613" s="327"/>
      <c r="V613" s="327"/>
      <c r="X613" s="327"/>
      <c r="Z613" s="327"/>
      <c r="AB613" s="327"/>
      <c r="AD613" s="327"/>
      <c r="AF613" s="327"/>
    </row>
    <row r="614" spans="2:32" s="326" customFormat="1" ht="9.9499999999999993" customHeight="1" x14ac:dyDescent="0.2">
      <c r="B614" s="327"/>
      <c r="F614" s="327"/>
      <c r="H614" s="327"/>
      <c r="J614" s="327"/>
      <c r="L614" s="327"/>
      <c r="N614" s="327"/>
      <c r="P614" s="327"/>
      <c r="R614" s="327"/>
      <c r="T614" s="327"/>
      <c r="V614" s="327"/>
      <c r="X614" s="327"/>
      <c r="Z614" s="327"/>
      <c r="AB614" s="327"/>
      <c r="AD614" s="327"/>
      <c r="AF614" s="327"/>
    </row>
    <row r="615" spans="2:32" s="326" customFormat="1" ht="9.9499999999999993" customHeight="1" x14ac:dyDescent="0.2">
      <c r="B615" s="327"/>
      <c r="F615" s="327"/>
      <c r="H615" s="327"/>
      <c r="J615" s="327"/>
      <c r="L615" s="327"/>
      <c r="N615" s="327"/>
      <c r="P615" s="327"/>
      <c r="R615" s="327"/>
      <c r="T615" s="327"/>
      <c r="V615" s="327"/>
      <c r="X615" s="327"/>
      <c r="Z615" s="327"/>
      <c r="AB615" s="327"/>
      <c r="AD615" s="327"/>
      <c r="AF615" s="327"/>
    </row>
    <row r="616" spans="2:32" s="326" customFormat="1" ht="9.9499999999999993" customHeight="1" x14ac:dyDescent="0.2">
      <c r="B616" s="327"/>
      <c r="F616" s="327"/>
      <c r="H616" s="327"/>
      <c r="J616" s="327"/>
      <c r="L616" s="327"/>
      <c r="N616" s="327"/>
      <c r="P616" s="327"/>
      <c r="R616" s="327"/>
      <c r="T616" s="327"/>
      <c r="V616" s="327"/>
      <c r="X616" s="327"/>
      <c r="Z616" s="327"/>
      <c r="AB616" s="327"/>
      <c r="AD616" s="327"/>
      <c r="AF616" s="327"/>
    </row>
    <row r="617" spans="2:32" s="326" customFormat="1" ht="9.9499999999999993" customHeight="1" x14ac:dyDescent="0.2">
      <c r="B617" s="327"/>
      <c r="F617" s="327"/>
      <c r="H617" s="327"/>
      <c r="J617" s="327"/>
      <c r="L617" s="327"/>
      <c r="N617" s="327"/>
      <c r="P617" s="327"/>
      <c r="R617" s="327"/>
      <c r="T617" s="327"/>
      <c r="V617" s="327"/>
      <c r="X617" s="327"/>
      <c r="Z617" s="327"/>
      <c r="AB617" s="327"/>
      <c r="AD617" s="327"/>
      <c r="AF617" s="327"/>
    </row>
    <row r="618" spans="2:32" s="326" customFormat="1" ht="9.9499999999999993" customHeight="1" x14ac:dyDescent="0.2">
      <c r="B618" s="327"/>
      <c r="F618" s="327"/>
      <c r="H618" s="327"/>
      <c r="J618" s="327"/>
      <c r="L618" s="327"/>
      <c r="N618" s="327"/>
      <c r="P618" s="327"/>
      <c r="R618" s="327"/>
      <c r="T618" s="327"/>
      <c r="V618" s="327"/>
      <c r="X618" s="327"/>
      <c r="Z618" s="327"/>
      <c r="AB618" s="327"/>
      <c r="AD618" s="327"/>
      <c r="AF618" s="327"/>
    </row>
    <row r="619" spans="2:32" s="326" customFormat="1" ht="9.9499999999999993" customHeight="1" x14ac:dyDescent="0.2">
      <c r="B619" s="327"/>
      <c r="F619" s="327"/>
      <c r="H619" s="327"/>
      <c r="J619" s="327"/>
      <c r="L619" s="327"/>
      <c r="N619" s="327"/>
      <c r="P619" s="327"/>
      <c r="R619" s="327"/>
      <c r="T619" s="327"/>
      <c r="V619" s="327"/>
      <c r="X619" s="327"/>
      <c r="Z619" s="327"/>
      <c r="AB619" s="327"/>
      <c r="AD619" s="327"/>
      <c r="AF619" s="327"/>
    </row>
    <row r="620" spans="2:32" s="326" customFormat="1" ht="9.9499999999999993" customHeight="1" x14ac:dyDescent="0.2">
      <c r="B620" s="327"/>
      <c r="F620" s="327"/>
      <c r="H620" s="327"/>
      <c r="J620" s="327"/>
      <c r="L620" s="327"/>
      <c r="N620" s="327"/>
      <c r="P620" s="327"/>
      <c r="R620" s="327"/>
      <c r="T620" s="327"/>
      <c r="V620" s="327"/>
      <c r="X620" s="327"/>
      <c r="Z620" s="327"/>
      <c r="AB620" s="327"/>
      <c r="AD620" s="327"/>
      <c r="AF620" s="327"/>
    </row>
    <row r="621" spans="2:32" s="326" customFormat="1" ht="9.9499999999999993" customHeight="1" x14ac:dyDescent="0.2">
      <c r="B621" s="327"/>
      <c r="F621" s="327"/>
      <c r="H621" s="327"/>
      <c r="J621" s="327"/>
      <c r="L621" s="327"/>
      <c r="N621" s="327"/>
      <c r="P621" s="327"/>
      <c r="R621" s="327"/>
      <c r="T621" s="327"/>
      <c r="V621" s="327"/>
      <c r="X621" s="327"/>
      <c r="Z621" s="327"/>
      <c r="AB621" s="327"/>
      <c r="AD621" s="327"/>
      <c r="AF621" s="327"/>
    </row>
    <row r="622" spans="2:32" s="326" customFormat="1" ht="9.9499999999999993" customHeight="1" x14ac:dyDescent="0.2">
      <c r="B622" s="327"/>
      <c r="F622" s="327"/>
      <c r="H622" s="327"/>
      <c r="J622" s="327"/>
      <c r="L622" s="327"/>
      <c r="N622" s="327"/>
      <c r="P622" s="327"/>
      <c r="R622" s="327"/>
      <c r="T622" s="327"/>
      <c r="V622" s="327"/>
      <c r="X622" s="327"/>
      <c r="Z622" s="327"/>
      <c r="AB622" s="327"/>
      <c r="AD622" s="327"/>
      <c r="AF622" s="327"/>
    </row>
    <row r="623" spans="2:32" s="326" customFormat="1" ht="9.9499999999999993" customHeight="1" x14ac:dyDescent="0.2">
      <c r="B623" s="327"/>
      <c r="F623" s="327"/>
      <c r="H623" s="327"/>
      <c r="J623" s="327"/>
      <c r="L623" s="327"/>
      <c r="N623" s="327"/>
      <c r="P623" s="327"/>
      <c r="R623" s="327"/>
      <c r="T623" s="327"/>
      <c r="V623" s="327"/>
      <c r="X623" s="327"/>
      <c r="Z623" s="327"/>
      <c r="AB623" s="327"/>
      <c r="AD623" s="327"/>
      <c r="AF623" s="327"/>
    </row>
    <row r="624" spans="2:32" s="326" customFormat="1" ht="9.9499999999999993" customHeight="1" x14ac:dyDescent="0.2">
      <c r="B624" s="327"/>
      <c r="F624" s="327"/>
      <c r="H624" s="327"/>
      <c r="J624" s="327"/>
      <c r="L624" s="327"/>
      <c r="N624" s="327"/>
      <c r="P624" s="327"/>
      <c r="R624" s="327"/>
      <c r="T624" s="327"/>
      <c r="V624" s="327"/>
      <c r="X624" s="327"/>
      <c r="Z624" s="327"/>
      <c r="AB624" s="327"/>
      <c r="AD624" s="327"/>
      <c r="AF624" s="327"/>
    </row>
    <row r="625" spans="2:32" s="326" customFormat="1" ht="9.9499999999999993" customHeight="1" x14ac:dyDescent="0.2">
      <c r="B625" s="327"/>
      <c r="F625" s="327"/>
      <c r="H625" s="327"/>
      <c r="J625" s="327"/>
      <c r="L625" s="327"/>
      <c r="N625" s="327"/>
      <c r="P625" s="327"/>
      <c r="R625" s="327"/>
      <c r="T625" s="327"/>
      <c r="V625" s="327"/>
      <c r="X625" s="327"/>
      <c r="Z625" s="327"/>
      <c r="AB625" s="327"/>
      <c r="AD625" s="327"/>
      <c r="AF625" s="327"/>
    </row>
    <row r="626" spans="2:32" s="326" customFormat="1" ht="9.9499999999999993" customHeight="1" x14ac:dyDescent="0.2">
      <c r="B626" s="327"/>
      <c r="F626" s="327"/>
      <c r="H626" s="327"/>
      <c r="J626" s="327"/>
      <c r="L626" s="327"/>
      <c r="N626" s="327"/>
      <c r="P626" s="327"/>
      <c r="R626" s="327"/>
      <c r="T626" s="327"/>
      <c r="V626" s="327"/>
      <c r="X626" s="327"/>
      <c r="Z626" s="327"/>
      <c r="AB626" s="327"/>
      <c r="AD626" s="327"/>
      <c r="AF626" s="327"/>
    </row>
    <row r="627" spans="2:32" s="326" customFormat="1" ht="9.9499999999999993" customHeight="1" x14ac:dyDescent="0.2">
      <c r="B627" s="327"/>
      <c r="F627" s="327"/>
      <c r="H627" s="327"/>
      <c r="J627" s="327"/>
      <c r="L627" s="327"/>
      <c r="N627" s="327"/>
      <c r="P627" s="327"/>
      <c r="R627" s="327"/>
      <c r="T627" s="327"/>
      <c r="V627" s="327"/>
      <c r="X627" s="327"/>
      <c r="Z627" s="327"/>
      <c r="AB627" s="327"/>
      <c r="AD627" s="327"/>
      <c r="AF627" s="327"/>
    </row>
    <row r="628" spans="2:32" s="326" customFormat="1" ht="9.9499999999999993" customHeight="1" x14ac:dyDescent="0.2">
      <c r="B628" s="327"/>
      <c r="F628" s="327"/>
      <c r="H628" s="327"/>
      <c r="J628" s="327"/>
      <c r="L628" s="327"/>
      <c r="N628" s="327"/>
      <c r="P628" s="327"/>
      <c r="R628" s="327"/>
      <c r="T628" s="327"/>
      <c r="V628" s="327"/>
      <c r="X628" s="327"/>
      <c r="Z628" s="327"/>
      <c r="AB628" s="327"/>
      <c r="AD628" s="327"/>
      <c r="AF628" s="327"/>
    </row>
    <row r="629" spans="2:32" s="326" customFormat="1" ht="9.9499999999999993" customHeight="1" x14ac:dyDescent="0.2">
      <c r="B629" s="327"/>
      <c r="F629" s="327"/>
      <c r="H629" s="327"/>
      <c r="J629" s="327"/>
      <c r="L629" s="327"/>
      <c r="N629" s="327"/>
      <c r="P629" s="327"/>
      <c r="R629" s="327"/>
      <c r="T629" s="327"/>
      <c r="V629" s="327"/>
      <c r="X629" s="327"/>
      <c r="Z629" s="327"/>
      <c r="AB629" s="327"/>
      <c r="AD629" s="327"/>
      <c r="AF629" s="327"/>
    </row>
    <row r="630" spans="2:32" s="326" customFormat="1" ht="9.9499999999999993" customHeight="1" x14ac:dyDescent="0.2">
      <c r="B630" s="327"/>
      <c r="F630" s="327"/>
      <c r="H630" s="327"/>
      <c r="J630" s="327"/>
      <c r="L630" s="327"/>
      <c r="N630" s="327"/>
      <c r="P630" s="327"/>
      <c r="R630" s="327"/>
      <c r="T630" s="327"/>
      <c r="V630" s="327"/>
      <c r="X630" s="327"/>
      <c r="Z630" s="327"/>
      <c r="AB630" s="327"/>
      <c r="AD630" s="327"/>
      <c r="AF630" s="327"/>
    </row>
    <row r="631" spans="2:32" s="326" customFormat="1" ht="9.9499999999999993" customHeight="1" x14ac:dyDescent="0.2">
      <c r="B631" s="327"/>
      <c r="F631" s="327"/>
      <c r="H631" s="327"/>
      <c r="J631" s="327"/>
      <c r="L631" s="327"/>
      <c r="N631" s="327"/>
      <c r="P631" s="327"/>
      <c r="R631" s="327"/>
      <c r="T631" s="327"/>
      <c r="V631" s="327"/>
      <c r="X631" s="327"/>
      <c r="Z631" s="327"/>
      <c r="AB631" s="327"/>
      <c r="AD631" s="327"/>
      <c r="AF631" s="327"/>
    </row>
    <row r="632" spans="2:32" s="326" customFormat="1" ht="9.9499999999999993" customHeight="1" x14ac:dyDescent="0.2">
      <c r="B632" s="327"/>
      <c r="F632" s="327"/>
      <c r="H632" s="327"/>
      <c r="J632" s="327"/>
      <c r="L632" s="327"/>
      <c r="N632" s="327"/>
      <c r="P632" s="327"/>
      <c r="R632" s="327"/>
      <c r="T632" s="327"/>
      <c r="V632" s="327"/>
      <c r="X632" s="327"/>
      <c r="Z632" s="327"/>
      <c r="AB632" s="327"/>
      <c r="AD632" s="327"/>
      <c r="AF632" s="327"/>
    </row>
    <row r="633" spans="2:32" s="326" customFormat="1" ht="9.9499999999999993" customHeight="1" x14ac:dyDescent="0.2">
      <c r="B633" s="327"/>
      <c r="F633" s="327"/>
      <c r="H633" s="327"/>
      <c r="J633" s="327"/>
      <c r="L633" s="327"/>
      <c r="N633" s="327"/>
      <c r="P633" s="327"/>
      <c r="R633" s="327"/>
      <c r="T633" s="327"/>
      <c r="V633" s="327"/>
      <c r="X633" s="327"/>
      <c r="Z633" s="327"/>
      <c r="AB633" s="327"/>
      <c r="AD633" s="327"/>
      <c r="AF633" s="327"/>
    </row>
    <row r="634" spans="2:32" s="326" customFormat="1" ht="9.9499999999999993" customHeight="1" x14ac:dyDescent="0.2">
      <c r="B634" s="327"/>
      <c r="F634" s="327"/>
      <c r="H634" s="327"/>
      <c r="J634" s="327"/>
      <c r="L634" s="327"/>
      <c r="N634" s="327"/>
      <c r="P634" s="327"/>
      <c r="R634" s="327"/>
      <c r="T634" s="327"/>
      <c r="V634" s="327"/>
      <c r="X634" s="327"/>
      <c r="Z634" s="327"/>
      <c r="AB634" s="327"/>
      <c r="AD634" s="327"/>
      <c r="AF634" s="327"/>
    </row>
    <row r="635" spans="2:32" s="326" customFormat="1" ht="9.9499999999999993" customHeight="1" x14ac:dyDescent="0.2">
      <c r="B635" s="327"/>
      <c r="F635" s="327"/>
      <c r="H635" s="327"/>
      <c r="J635" s="327"/>
      <c r="L635" s="327"/>
      <c r="N635" s="327"/>
      <c r="P635" s="327"/>
      <c r="R635" s="327"/>
      <c r="T635" s="327"/>
      <c r="V635" s="327"/>
      <c r="X635" s="327"/>
      <c r="Z635" s="327"/>
      <c r="AB635" s="327"/>
      <c r="AD635" s="327"/>
      <c r="AF635" s="327"/>
    </row>
    <row r="636" spans="2:32" s="326" customFormat="1" ht="9.9499999999999993" customHeight="1" x14ac:dyDescent="0.2">
      <c r="B636" s="327"/>
      <c r="F636" s="327"/>
      <c r="H636" s="327"/>
      <c r="J636" s="327"/>
      <c r="L636" s="327"/>
      <c r="N636" s="327"/>
      <c r="P636" s="327"/>
      <c r="R636" s="327"/>
      <c r="T636" s="327"/>
      <c r="V636" s="327"/>
      <c r="X636" s="327"/>
      <c r="Z636" s="327"/>
      <c r="AB636" s="327"/>
      <c r="AD636" s="327"/>
      <c r="AF636" s="327"/>
    </row>
    <row r="637" spans="2:32" s="326" customFormat="1" ht="9.9499999999999993" customHeight="1" x14ac:dyDescent="0.2">
      <c r="B637" s="327"/>
      <c r="F637" s="327"/>
      <c r="H637" s="327"/>
      <c r="J637" s="327"/>
      <c r="L637" s="327"/>
      <c r="N637" s="327"/>
      <c r="P637" s="327"/>
      <c r="R637" s="327"/>
      <c r="T637" s="327"/>
      <c r="V637" s="327"/>
      <c r="X637" s="327"/>
      <c r="Z637" s="327"/>
      <c r="AB637" s="327"/>
      <c r="AD637" s="327"/>
      <c r="AF637" s="327"/>
    </row>
    <row r="638" spans="2:32" s="326" customFormat="1" ht="9.9499999999999993" customHeight="1" x14ac:dyDescent="0.2">
      <c r="B638" s="327"/>
      <c r="F638" s="327"/>
      <c r="H638" s="327"/>
      <c r="J638" s="327"/>
      <c r="L638" s="327"/>
      <c r="N638" s="327"/>
      <c r="P638" s="327"/>
      <c r="R638" s="327"/>
      <c r="T638" s="327"/>
      <c r="V638" s="327"/>
      <c r="X638" s="327"/>
      <c r="Z638" s="327"/>
      <c r="AB638" s="327"/>
      <c r="AD638" s="327"/>
      <c r="AF638" s="327"/>
    </row>
    <row r="639" spans="2:32" s="326" customFormat="1" ht="9.9499999999999993" customHeight="1" x14ac:dyDescent="0.2">
      <c r="B639" s="327"/>
      <c r="F639" s="327"/>
      <c r="H639" s="327"/>
      <c r="J639" s="327"/>
      <c r="L639" s="327"/>
      <c r="N639" s="327"/>
      <c r="P639" s="327"/>
      <c r="R639" s="327"/>
      <c r="T639" s="327"/>
      <c r="V639" s="327"/>
      <c r="X639" s="327"/>
      <c r="Z639" s="327"/>
      <c r="AB639" s="327"/>
      <c r="AD639" s="327"/>
      <c r="AF639" s="327"/>
    </row>
    <row r="640" spans="2:32" s="326" customFormat="1" ht="9.9499999999999993" customHeight="1" x14ac:dyDescent="0.2">
      <c r="B640" s="327"/>
      <c r="F640" s="327"/>
      <c r="H640" s="327"/>
      <c r="J640" s="327"/>
      <c r="L640" s="327"/>
      <c r="N640" s="327"/>
      <c r="P640" s="327"/>
      <c r="R640" s="327"/>
      <c r="T640" s="327"/>
      <c r="V640" s="327"/>
      <c r="X640" s="327"/>
      <c r="Z640" s="327"/>
      <c r="AB640" s="327"/>
      <c r="AD640" s="327"/>
      <c r="AF640" s="327"/>
    </row>
    <row r="641" spans="2:32" s="326" customFormat="1" ht="9.9499999999999993" customHeight="1" x14ac:dyDescent="0.2">
      <c r="B641" s="327"/>
      <c r="F641" s="327"/>
      <c r="H641" s="327"/>
      <c r="J641" s="327"/>
      <c r="L641" s="327"/>
      <c r="N641" s="327"/>
      <c r="P641" s="327"/>
      <c r="R641" s="327"/>
      <c r="T641" s="327"/>
      <c r="V641" s="327"/>
      <c r="X641" s="327"/>
      <c r="Z641" s="327"/>
      <c r="AB641" s="327"/>
      <c r="AD641" s="327"/>
      <c r="AF641" s="327"/>
    </row>
    <row r="642" spans="2:32" s="326" customFormat="1" ht="9.9499999999999993" customHeight="1" x14ac:dyDescent="0.2">
      <c r="B642" s="327"/>
      <c r="F642" s="327"/>
      <c r="H642" s="327"/>
      <c r="J642" s="327"/>
      <c r="L642" s="327"/>
      <c r="N642" s="327"/>
      <c r="P642" s="327"/>
      <c r="R642" s="327"/>
      <c r="T642" s="327"/>
      <c r="V642" s="327"/>
      <c r="X642" s="327"/>
      <c r="Z642" s="327"/>
      <c r="AB642" s="327"/>
      <c r="AD642" s="327"/>
      <c r="AF642" s="327"/>
    </row>
    <row r="643" spans="2:32" s="326" customFormat="1" ht="9.9499999999999993" customHeight="1" x14ac:dyDescent="0.2">
      <c r="B643" s="327"/>
      <c r="F643" s="327"/>
      <c r="H643" s="327"/>
      <c r="J643" s="327"/>
      <c r="L643" s="327"/>
      <c r="N643" s="327"/>
      <c r="P643" s="327"/>
      <c r="R643" s="327"/>
      <c r="T643" s="327"/>
      <c r="V643" s="327"/>
      <c r="X643" s="327"/>
      <c r="Z643" s="327"/>
      <c r="AB643" s="327"/>
      <c r="AD643" s="327"/>
      <c r="AF643" s="327"/>
    </row>
    <row r="644" spans="2:32" s="326" customFormat="1" ht="9.9499999999999993" customHeight="1" x14ac:dyDescent="0.2">
      <c r="B644" s="327"/>
      <c r="F644" s="327"/>
      <c r="H644" s="327"/>
      <c r="J644" s="327"/>
      <c r="L644" s="327"/>
      <c r="N644" s="327"/>
      <c r="P644" s="327"/>
      <c r="R644" s="327"/>
      <c r="T644" s="327"/>
      <c r="V644" s="327"/>
      <c r="X644" s="327"/>
      <c r="Z644" s="327"/>
      <c r="AB644" s="327"/>
      <c r="AD644" s="327"/>
      <c r="AF644" s="327"/>
    </row>
    <row r="645" spans="2:32" s="326" customFormat="1" ht="9.9499999999999993" customHeight="1" x14ac:dyDescent="0.2">
      <c r="B645" s="327"/>
      <c r="F645" s="327"/>
      <c r="H645" s="327"/>
      <c r="J645" s="327"/>
      <c r="L645" s="327"/>
      <c r="N645" s="327"/>
      <c r="P645" s="327"/>
      <c r="R645" s="327"/>
      <c r="T645" s="327"/>
      <c r="V645" s="327"/>
      <c r="X645" s="327"/>
      <c r="Z645" s="327"/>
      <c r="AB645" s="327"/>
      <c r="AD645" s="327"/>
      <c r="AF645" s="327"/>
    </row>
    <row r="646" spans="2:32" s="326" customFormat="1" ht="9.9499999999999993" customHeight="1" x14ac:dyDescent="0.2">
      <c r="B646" s="327"/>
      <c r="F646" s="327"/>
      <c r="H646" s="327"/>
      <c r="J646" s="327"/>
      <c r="L646" s="327"/>
      <c r="N646" s="327"/>
      <c r="P646" s="327"/>
      <c r="R646" s="327"/>
      <c r="T646" s="327"/>
      <c r="V646" s="327"/>
      <c r="X646" s="327"/>
      <c r="Z646" s="327"/>
      <c r="AB646" s="327"/>
      <c r="AD646" s="327"/>
      <c r="AF646" s="327"/>
    </row>
    <row r="647" spans="2:32" s="326" customFormat="1" ht="9.9499999999999993" customHeight="1" x14ac:dyDescent="0.2">
      <c r="B647" s="327"/>
      <c r="F647" s="327"/>
      <c r="H647" s="327"/>
      <c r="J647" s="327"/>
      <c r="L647" s="327"/>
      <c r="N647" s="327"/>
      <c r="P647" s="327"/>
      <c r="R647" s="327"/>
      <c r="T647" s="327"/>
      <c r="V647" s="327"/>
      <c r="X647" s="327"/>
      <c r="Z647" s="327"/>
      <c r="AB647" s="327"/>
      <c r="AD647" s="327"/>
      <c r="AF647" s="327"/>
    </row>
    <row r="648" spans="2:32" s="326" customFormat="1" ht="9.9499999999999993" customHeight="1" x14ac:dyDescent="0.2">
      <c r="B648" s="327"/>
      <c r="F648" s="327"/>
      <c r="H648" s="327"/>
      <c r="J648" s="327"/>
      <c r="L648" s="327"/>
      <c r="N648" s="327"/>
      <c r="P648" s="327"/>
      <c r="R648" s="327"/>
      <c r="T648" s="327"/>
      <c r="V648" s="327"/>
      <c r="X648" s="327"/>
      <c r="Z648" s="327"/>
      <c r="AB648" s="327"/>
      <c r="AD648" s="327"/>
      <c r="AF648" s="327"/>
    </row>
    <row r="649" spans="2:32" s="326" customFormat="1" ht="9.9499999999999993" customHeight="1" x14ac:dyDescent="0.2">
      <c r="B649" s="327"/>
      <c r="F649" s="327"/>
      <c r="H649" s="327"/>
      <c r="J649" s="327"/>
      <c r="L649" s="327"/>
      <c r="N649" s="327"/>
      <c r="P649" s="327"/>
      <c r="R649" s="327"/>
      <c r="T649" s="327"/>
      <c r="V649" s="327"/>
      <c r="X649" s="327"/>
      <c r="Z649" s="327"/>
      <c r="AB649" s="327"/>
      <c r="AD649" s="327"/>
      <c r="AF649" s="327"/>
    </row>
    <row r="650" spans="2:32" s="326" customFormat="1" ht="9.9499999999999993" customHeight="1" x14ac:dyDescent="0.2">
      <c r="B650" s="327"/>
      <c r="F650" s="327"/>
      <c r="H650" s="327"/>
      <c r="J650" s="327"/>
      <c r="L650" s="327"/>
      <c r="N650" s="327"/>
      <c r="P650" s="327"/>
      <c r="R650" s="327"/>
      <c r="T650" s="327"/>
      <c r="V650" s="327"/>
      <c r="X650" s="327"/>
      <c r="Z650" s="327"/>
      <c r="AB650" s="327"/>
      <c r="AD650" s="327"/>
      <c r="AF650" s="327"/>
    </row>
    <row r="651" spans="2:32" s="326" customFormat="1" ht="9.9499999999999993" customHeight="1" x14ac:dyDescent="0.2">
      <c r="B651" s="327"/>
      <c r="F651" s="327"/>
      <c r="H651" s="327"/>
      <c r="J651" s="327"/>
      <c r="L651" s="327"/>
      <c r="N651" s="327"/>
      <c r="P651" s="327"/>
      <c r="R651" s="327"/>
      <c r="T651" s="327"/>
      <c r="V651" s="327"/>
      <c r="X651" s="327"/>
      <c r="Z651" s="327"/>
      <c r="AB651" s="327"/>
      <c r="AD651" s="327"/>
      <c r="AF651" s="327"/>
    </row>
    <row r="652" spans="2:32" s="326" customFormat="1" ht="9.9499999999999993" customHeight="1" x14ac:dyDescent="0.2">
      <c r="B652" s="327"/>
      <c r="F652" s="327"/>
      <c r="H652" s="327"/>
      <c r="J652" s="327"/>
      <c r="L652" s="327"/>
      <c r="N652" s="327"/>
      <c r="P652" s="327"/>
      <c r="R652" s="327"/>
      <c r="T652" s="327"/>
      <c r="V652" s="327"/>
      <c r="X652" s="327"/>
      <c r="Z652" s="327"/>
      <c r="AB652" s="327"/>
      <c r="AD652" s="327"/>
      <c r="AF652" s="327"/>
    </row>
    <row r="653" spans="2:32" s="326" customFormat="1" ht="9.9499999999999993" customHeight="1" x14ac:dyDescent="0.2">
      <c r="B653" s="327"/>
      <c r="F653" s="327"/>
      <c r="H653" s="327"/>
      <c r="J653" s="327"/>
      <c r="L653" s="327"/>
      <c r="N653" s="327"/>
      <c r="P653" s="327"/>
      <c r="R653" s="327"/>
      <c r="T653" s="327"/>
      <c r="V653" s="327"/>
      <c r="X653" s="327"/>
      <c r="Z653" s="327"/>
      <c r="AB653" s="327"/>
      <c r="AD653" s="327"/>
      <c r="AF653" s="327"/>
    </row>
    <row r="654" spans="2:32" s="326" customFormat="1" ht="9.9499999999999993" customHeight="1" x14ac:dyDescent="0.2">
      <c r="B654" s="327"/>
      <c r="F654" s="327"/>
      <c r="H654" s="327"/>
      <c r="J654" s="327"/>
      <c r="L654" s="327"/>
      <c r="N654" s="327"/>
      <c r="P654" s="327"/>
      <c r="R654" s="327"/>
      <c r="T654" s="327"/>
      <c r="V654" s="327"/>
      <c r="X654" s="327"/>
      <c r="Z654" s="327"/>
      <c r="AB654" s="327"/>
      <c r="AD654" s="327"/>
      <c r="AF654" s="327"/>
    </row>
    <row r="655" spans="2:32" s="326" customFormat="1" ht="9.9499999999999993" customHeight="1" x14ac:dyDescent="0.2">
      <c r="B655" s="327"/>
      <c r="F655" s="327"/>
      <c r="H655" s="327"/>
      <c r="J655" s="327"/>
      <c r="L655" s="327"/>
      <c r="N655" s="327"/>
      <c r="P655" s="327"/>
      <c r="R655" s="327"/>
      <c r="T655" s="327"/>
      <c r="V655" s="327"/>
      <c r="X655" s="327"/>
      <c r="Z655" s="327"/>
      <c r="AB655" s="327"/>
      <c r="AD655" s="327"/>
      <c r="AF655" s="327"/>
    </row>
    <row r="656" spans="2:32" s="326" customFormat="1" ht="9.9499999999999993" customHeight="1" x14ac:dyDescent="0.2">
      <c r="B656" s="327"/>
      <c r="F656" s="327"/>
      <c r="H656" s="327"/>
      <c r="J656" s="327"/>
      <c r="L656" s="327"/>
      <c r="N656" s="327"/>
      <c r="P656" s="327"/>
      <c r="R656" s="327"/>
      <c r="T656" s="327"/>
      <c r="V656" s="327"/>
      <c r="X656" s="327"/>
      <c r="Z656" s="327"/>
      <c r="AB656" s="327"/>
      <c r="AD656" s="327"/>
      <c r="AF656" s="327"/>
    </row>
    <row r="657" spans="2:32" s="326" customFormat="1" ht="9.9499999999999993" customHeight="1" x14ac:dyDescent="0.2">
      <c r="B657" s="327"/>
      <c r="F657" s="327"/>
      <c r="H657" s="327"/>
      <c r="J657" s="327"/>
      <c r="L657" s="327"/>
      <c r="N657" s="327"/>
      <c r="P657" s="327"/>
      <c r="R657" s="327"/>
      <c r="T657" s="327"/>
      <c r="V657" s="327"/>
      <c r="X657" s="327"/>
      <c r="Z657" s="327"/>
      <c r="AB657" s="327"/>
      <c r="AD657" s="327"/>
      <c r="AF657" s="327"/>
    </row>
    <row r="658" spans="2:32" s="326" customFormat="1" ht="9.9499999999999993" customHeight="1" x14ac:dyDescent="0.2">
      <c r="B658" s="327"/>
      <c r="F658" s="327"/>
      <c r="H658" s="327"/>
      <c r="J658" s="327"/>
      <c r="L658" s="327"/>
      <c r="N658" s="327"/>
      <c r="P658" s="327"/>
      <c r="R658" s="327"/>
      <c r="T658" s="327"/>
      <c r="V658" s="327"/>
      <c r="X658" s="327"/>
      <c r="Z658" s="327"/>
      <c r="AB658" s="327"/>
      <c r="AD658" s="327"/>
      <c r="AF658" s="327"/>
    </row>
    <row r="659" spans="2:32" s="326" customFormat="1" ht="9.9499999999999993" customHeight="1" x14ac:dyDescent="0.2">
      <c r="B659" s="327"/>
      <c r="F659" s="327"/>
      <c r="H659" s="327"/>
      <c r="J659" s="327"/>
      <c r="L659" s="327"/>
      <c r="N659" s="327"/>
      <c r="P659" s="327"/>
      <c r="R659" s="327"/>
      <c r="T659" s="327"/>
      <c r="V659" s="327"/>
      <c r="X659" s="327"/>
      <c r="Z659" s="327"/>
      <c r="AB659" s="327"/>
      <c r="AD659" s="327"/>
      <c r="AF659" s="327"/>
    </row>
    <row r="660" spans="2:32" s="326" customFormat="1" ht="9.9499999999999993" customHeight="1" x14ac:dyDescent="0.2">
      <c r="B660" s="327"/>
      <c r="F660" s="327"/>
      <c r="H660" s="327"/>
      <c r="J660" s="327"/>
      <c r="L660" s="327"/>
      <c r="N660" s="327"/>
      <c r="P660" s="327"/>
      <c r="R660" s="327"/>
      <c r="T660" s="327"/>
      <c r="V660" s="327"/>
      <c r="X660" s="327"/>
      <c r="Z660" s="327"/>
      <c r="AB660" s="327"/>
      <c r="AD660" s="327"/>
      <c r="AF660" s="327"/>
    </row>
    <row r="661" spans="2:32" s="326" customFormat="1" ht="9.9499999999999993" customHeight="1" x14ac:dyDescent="0.2">
      <c r="B661" s="327"/>
      <c r="F661" s="327"/>
      <c r="H661" s="327"/>
      <c r="J661" s="327"/>
      <c r="L661" s="327"/>
      <c r="N661" s="327"/>
      <c r="P661" s="327"/>
      <c r="R661" s="327"/>
      <c r="T661" s="327"/>
      <c r="V661" s="327"/>
      <c r="X661" s="327"/>
      <c r="Z661" s="327"/>
      <c r="AB661" s="327"/>
      <c r="AD661" s="327"/>
      <c r="AF661" s="327"/>
    </row>
    <row r="662" spans="2:32" s="326" customFormat="1" ht="9.9499999999999993" customHeight="1" x14ac:dyDescent="0.2">
      <c r="B662" s="327"/>
      <c r="F662" s="327"/>
      <c r="H662" s="327"/>
      <c r="J662" s="327"/>
      <c r="L662" s="327"/>
      <c r="N662" s="327"/>
      <c r="P662" s="327"/>
      <c r="R662" s="327"/>
      <c r="T662" s="327"/>
      <c r="V662" s="327"/>
      <c r="X662" s="327"/>
      <c r="Z662" s="327"/>
      <c r="AB662" s="327"/>
      <c r="AD662" s="327"/>
      <c r="AF662" s="327"/>
    </row>
    <row r="663" spans="2:32" s="326" customFormat="1" ht="9.9499999999999993" customHeight="1" x14ac:dyDescent="0.2">
      <c r="B663" s="327"/>
      <c r="F663" s="327"/>
      <c r="H663" s="327"/>
      <c r="J663" s="327"/>
      <c r="L663" s="327"/>
      <c r="N663" s="327"/>
      <c r="P663" s="327"/>
      <c r="R663" s="327"/>
      <c r="T663" s="327"/>
      <c r="V663" s="327"/>
      <c r="X663" s="327"/>
      <c r="Z663" s="327"/>
      <c r="AB663" s="327"/>
      <c r="AD663" s="327"/>
      <c r="AF663" s="327"/>
    </row>
    <row r="664" spans="2:32" s="326" customFormat="1" ht="9.9499999999999993" customHeight="1" x14ac:dyDescent="0.2">
      <c r="B664" s="327"/>
      <c r="F664" s="327"/>
      <c r="H664" s="327"/>
      <c r="J664" s="327"/>
      <c r="L664" s="327"/>
      <c r="N664" s="327"/>
      <c r="P664" s="327"/>
      <c r="R664" s="327"/>
      <c r="T664" s="327"/>
      <c r="V664" s="327"/>
      <c r="X664" s="327"/>
      <c r="Z664" s="327"/>
      <c r="AB664" s="327"/>
      <c r="AD664" s="327"/>
      <c r="AF664" s="327"/>
    </row>
    <row r="665" spans="2:32" s="326" customFormat="1" ht="9.9499999999999993" customHeight="1" x14ac:dyDescent="0.2">
      <c r="B665" s="327"/>
      <c r="F665" s="327"/>
      <c r="H665" s="327"/>
      <c r="J665" s="327"/>
      <c r="L665" s="327"/>
      <c r="N665" s="327"/>
      <c r="P665" s="327"/>
      <c r="R665" s="327"/>
      <c r="T665" s="327"/>
      <c r="V665" s="327"/>
      <c r="X665" s="327"/>
      <c r="Z665" s="327"/>
      <c r="AB665" s="327"/>
      <c r="AD665" s="327"/>
      <c r="AF665" s="327"/>
    </row>
    <row r="666" spans="2:32" s="326" customFormat="1" ht="9.9499999999999993" customHeight="1" x14ac:dyDescent="0.2">
      <c r="B666" s="327"/>
      <c r="F666" s="327"/>
      <c r="H666" s="327"/>
      <c r="J666" s="327"/>
      <c r="L666" s="327"/>
      <c r="N666" s="327"/>
      <c r="P666" s="327"/>
      <c r="R666" s="327"/>
      <c r="T666" s="327"/>
      <c r="V666" s="327"/>
      <c r="X666" s="327"/>
      <c r="Z666" s="327"/>
      <c r="AB666" s="327"/>
      <c r="AD666" s="327"/>
      <c r="AF666" s="327"/>
    </row>
    <row r="667" spans="2:32" s="326" customFormat="1" ht="9.9499999999999993" customHeight="1" x14ac:dyDescent="0.2">
      <c r="B667" s="327"/>
      <c r="F667" s="327"/>
      <c r="H667" s="327"/>
      <c r="J667" s="327"/>
      <c r="L667" s="327"/>
      <c r="N667" s="327"/>
      <c r="P667" s="327"/>
      <c r="R667" s="327"/>
      <c r="T667" s="327"/>
      <c r="V667" s="327"/>
      <c r="X667" s="327"/>
      <c r="Z667" s="327"/>
      <c r="AB667" s="327"/>
      <c r="AD667" s="327"/>
      <c r="AF667" s="327"/>
    </row>
    <row r="668" spans="2:32" s="326" customFormat="1" ht="9.9499999999999993" customHeight="1" x14ac:dyDescent="0.2">
      <c r="B668" s="327"/>
      <c r="F668" s="327"/>
      <c r="H668" s="327"/>
      <c r="J668" s="327"/>
      <c r="L668" s="327"/>
      <c r="N668" s="327"/>
      <c r="P668" s="327"/>
      <c r="R668" s="327"/>
      <c r="T668" s="327"/>
      <c r="V668" s="327"/>
      <c r="X668" s="327"/>
      <c r="Z668" s="327"/>
      <c r="AB668" s="327"/>
      <c r="AD668" s="327"/>
      <c r="AF668" s="327"/>
    </row>
    <row r="669" spans="2:32" s="326" customFormat="1" ht="9.9499999999999993" customHeight="1" x14ac:dyDescent="0.2">
      <c r="B669" s="327"/>
      <c r="F669" s="327"/>
      <c r="H669" s="327"/>
      <c r="J669" s="327"/>
      <c r="L669" s="327"/>
      <c r="N669" s="327"/>
      <c r="P669" s="327"/>
      <c r="R669" s="327"/>
      <c r="T669" s="327"/>
      <c r="V669" s="327"/>
      <c r="X669" s="327"/>
      <c r="Z669" s="327"/>
      <c r="AB669" s="327"/>
      <c r="AD669" s="327"/>
      <c r="AF669" s="327"/>
    </row>
    <row r="670" spans="2:32" s="326" customFormat="1" ht="9.9499999999999993" customHeight="1" x14ac:dyDescent="0.2">
      <c r="B670" s="327"/>
      <c r="F670" s="327"/>
      <c r="H670" s="327"/>
      <c r="J670" s="327"/>
      <c r="L670" s="327"/>
      <c r="N670" s="327"/>
      <c r="P670" s="327"/>
      <c r="R670" s="327"/>
      <c r="T670" s="327"/>
      <c r="V670" s="327"/>
      <c r="X670" s="327"/>
      <c r="Z670" s="327"/>
      <c r="AB670" s="327"/>
      <c r="AD670" s="327"/>
      <c r="AF670" s="327"/>
    </row>
    <row r="671" spans="2:32" s="326" customFormat="1" ht="9.9499999999999993" customHeight="1" x14ac:dyDescent="0.2">
      <c r="B671" s="327"/>
      <c r="F671" s="327"/>
      <c r="H671" s="327"/>
      <c r="J671" s="327"/>
      <c r="L671" s="327"/>
      <c r="N671" s="327"/>
      <c r="P671" s="327"/>
      <c r="R671" s="327"/>
      <c r="T671" s="327"/>
      <c r="V671" s="327"/>
      <c r="X671" s="327"/>
      <c r="Z671" s="327"/>
      <c r="AB671" s="327"/>
      <c r="AD671" s="327"/>
      <c r="AF671" s="327"/>
    </row>
    <row r="672" spans="2:32" s="326" customFormat="1" ht="9.9499999999999993" customHeight="1" x14ac:dyDescent="0.2">
      <c r="B672" s="327"/>
      <c r="F672" s="327"/>
      <c r="H672" s="327"/>
      <c r="J672" s="327"/>
      <c r="L672" s="327"/>
      <c r="N672" s="327"/>
      <c r="P672" s="327"/>
      <c r="R672" s="327"/>
      <c r="T672" s="327"/>
      <c r="V672" s="327"/>
      <c r="X672" s="327"/>
      <c r="Z672" s="327"/>
      <c r="AB672" s="327"/>
      <c r="AD672" s="327"/>
      <c r="AF672" s="327"/>
    </row>
    <row r="673" spans="2:32" s="326" customFormat="1" ht="9.9499999999999993" customHeight="1" x14ac:dyDescent="0.2">
      <c r="B673" s="327"/>
      <c r="F673" s="327"/>
      <c r="H673" s="327"/>
      <c r="J673" s="327"/>
      <c r="L673" s="327"/>
      <c r="N673" s="327"/>
      <c r="P673" s="327"/>
      <c r="R673" s="327"/>
      <c r="T673" s="327"/>
      <c r="V673" s="327"/>
      <c r="X673" s="327"/>
      <c r="Z673" s="327"/>
      <c r="AB673" s="327"/>
      <c r="AD673" s="327"/>
      <c r="AF673" s="327"/>
    </row>
    <row r="674" spans="2:32" s="326" customFormat="1" ht="9.9499999999999993" customHeight="1" x14ac:dyDescent="0.2">
      <c r="B674" s="327"/>
      <c r="F674" s="327"/>
      <c r="H674" s="327"/>
      <c r="J674" s="327"/>
      <c r="L674" s="327"/>
      <c r="N674" s="327"/>
      <c r="P674" s="327"/>
      <c r="R674" s="327"/>
      <c r="T674" s="327"/>
      <c r="V674" s="327"/>
      <c r="X674" s="327"/>
      <c r="Z674" s="327"/>
      <c r="AB674" s="327"/>
      <c r="AD674" s="327"/>
      <c r="AF674" s="327"/>
    </row>
    <row r="675" spans="2:32" s="326" customFormat="1" ht="9.9499999999999993" customHeight="1" x14ac:dyDescent="0.2">
      <c r="B675" s="327"/>
      <c r="F675" s="327"/>
      <c r="H675" s="327"/>
      <c r="J675" s="327"/>
      <c r="L675" s="327"/>
      <c r="N675" s="327"/>
      <c r="P675" s="327"/>
      <c r="R675" s="327"/>
      <c r="T675" s="327"/>
      <c r="V675" s="327"/>
      <c r="X675" s="327"/>
      <c r="Z675" s="327"/>
      <c r="AB675" s="327"/>
      <c r="AD675" s="327"/>
      <c r="AF675" s="327"/>
    </row>
    <row r="676" spans="2:32" s="326" customFormat="1" ht="9.9499999999999993" customHeight="1" x14ac:dyDescent="0.2">
      <c r="B676" s="327"/>
      <c r="F676" s="327"/>
      <c r="H676" s="327"/>
      <c r="J676" s="327"/>
      <c r="L676" s="327"/>
      <c r="N676" s="327"/>
      <c r="P676" s="327"/>
      <c r="R676" s="327"/>
      <c r="T676" s="327"/>
      <c r="V676" s="327"/>
      <c r="X676" s="327"/>
      <c r="Z676" s="327"/>
      <c r="AB676" s="327"/>
      <c r="AD676" s="327"/>
      <c r="AF676" s="327"/>
    </row>
    <row r="677" spans="2:32" s="326" customFormat="1" ht="9.9499999999999993" customHeight="1" x14ac:dyDescent="0.2">
      <c r="B677" s="327"/>
      <c r="F677" s="327"/>
      <c r="H677" s="327"/>
      <c r="J677" s="327"/>
      <c r="L677" s="327"/>
      <c r="N677" s="327"/>
      <c r="P677" s="327"/>
      <c r="R677" s="327"/>
      <c r="T677" s="327"/>
      <c r="V677" s="327"/>
      <c r="X677" s="327"/>
      <c r="Z677" s="327"/>
      <c r="AB677" s="327"/>
      <c r="AD677" s="327"/>
      <c r="AF677" s="327"/>
    </row>
    <row r="678" spans="2:32" s="326" customFormat="1" ht="9.9499999999999993" customHeight="1" x14ac:dyDescent="0.2">
      <c r="B678" s="327"/>
      <c r="F678" s="327"/>
      <c r="H678" s="327"/>
      <c r="J678" s="327"/>
      <c r="L678" s="327"/>
      <c r="N678" s="327"/>
      <c r="P678" s="327"/>
      <c r="R678" s="327"/>
      <c r="T678" s="327"/>
      <c r="V678" s="327"/>
      <c r="X678" s="327"/>
      <c r="Z678" s="327"/>
      <c r="AB678" s="327"/>
      <c r="AD678" s="327"/>
      <c r="AF678" s="327"/>
    </row>
    <row r="679" spans="2:32" s="326" customFormat="1" ht="9.9499999999999993" customHeight="1" x14ac:dyDescent="0.2">
      <c r="B679" s="327"/>
      <c r="F679" s="327"/>
      <c r="H679" s="327"/>
      <c r="J679" s="327"/>
      <c r="L679" s="327"/>
      <c r="N679" s="327"/>
      <c r="P679" s="327"/>
      <c r="R679" s="327"/>
      <c r="T679" s="327"/>
      <c r="V679" s="327"/>
      <c r="X679" s="327"/>
      <c r="Z679" s="327"/>
      <c r="AB679" s="327"/>
      <c r="AD679" s="327"/>
      <c r="AF679" s="327"/>
    </row>
    <row r="680" spans="2:32" s="326" customFormat="1" ht="9.9499999999999993" customHeight="1" x14ac:dyDescent="0.2">
      <c r="B680" s="327"/>
      <c r="F680" s="327"/>
      <c r="H680" s="327"/>
      <c r="J680" s="327"/>
      <c r="L680" s="327"/>
      <c r="N680" s="327"/>
      <c r="P680" s="327"/>
      <c r="R680" s="327"/>
      <c r="T680" s="327"/>
      <c r="V680" s="327"/>
      <c r="X680" s="327"/>
      <c r="Z680" s="327"/>
      <c r="AB680" s="327"/>
      <c r="AD680" s="327"/>
      <c r="AF680" s="327"/>
    </row>
    <row r="681" spans="2:32" s="326" customFormat="1" ht="9.9499999999999993" customHeight="1" x14ac:dyDescent="0.2">
      <c r="B681" s="327"/>
      <c r="F681" s="327"/>
      <c r="H681" s="327"/>
      <c r="J681" s="327"/>
      <c r="L681" s="327"/>
      <c r="N681" s="327"/>
      <c r="P681" s="327"/>
      <c r="R681" s="327"/>
      <c r="T681" s="327"/>
      <c r="V681" s="327"/>
      <c r="X681" s="327"/>
      <c r="Z681" s="327"/>
      <c r="AB681" s="327"/>
      <c r="AD681" s="327"/>
      <c r="AF681" s="327"/>
    </row>
    <row r="682" spans="2:32" s="326" customFormat="1" ht="9.9499999999999993" customHeight="1" x14ac:dyDescent="0.2">
      <c r="B682" s="327"/>
      <c r="F682" s="327"/>
      <c r="H682" s="327"/>
      <c r="J682" s="327"/>
      <c r="L682" s="327"/>
      <c r="N682" s="327"/>
      <c r="P682" s="327"/>
      <c r="R682" s="327"/>
      <c r="T682" s="327"/>
      <c r="V682" s="327"/>
      <c r="X682" s="327"/>
      <c r="Z682" s="327"/>
      <c r="AB682" s="327"/>
      <c r="AD682" s="327"/>
      <c r="AF682" s="327"/>
    </row>
    <row r="683" spans="2:32" s="326" customFormat="1" ht="9.9499999999999993" customHeight="1" x14ac:dyDescent="0.2">
      <c r="B683" s="327"/>
      <c r="F683" s="327"/>
      <c r="H683" s="327"/>
      <c r="J683" s="327"/>
      <c r="L683" s="327"/>
      <c r="N683" s="327"/>
      <c r="P683" s="327"/>
      <c r="R683" s="327"/>
      <c r="T683" s="327"/>
      <c r="V683" s="327"/>
      <c r="X683" s="327"/>
      <c r="Z683" s="327"/>
      <c r="AB683" s="327"/>
      <c r="AD683" s="327"/>
      <c r="AF683" s="327"/>
    </row>
    <row r="684" spans="2:32" s="326" customFormat="1" ht="9.9499999999999993" customHeight="1" x14ac:dyDescent="0.2">
      <c r="B684" s="327"/>
      <c r="F684" s="327"/>
      <c r="H684" s="327"/>
      <c r="J684" s="327"/>
      <c r="L684" s="327"/>
      <c r="N684" s="327"/>
      <c r="P684" s="327"/>
      <c r="R684" s="327"/>
      <c r="T684" s="327"/>
      <c r="V684" s="327"/>
      <c r="X684" s="327"/>
      <c r="Z684" s="327"/>
      <c r="AB684" s="327"/>
      <c r="AD684" s="327"/>
      <c r="AF684" s="327"/>
    </row>
    <row r="685" spans="2:32" s="326" customFormat="1" ht="9.9499999999999993" customHeight="1" x14ac:dyDescent="0.2">
      <c r="B685" s="327"/>
      <c r="F685" s="327"/>
      <c r="H685" s="327"/>
      <c r="J685" s="327"/>
      <c r="L685" s="327"/>
      <c r="N685" s="327"/>
      <c r="P685" s="327"/>
      <c r="R685" s="327"/>
      <c r="T685" s="327"/>
      <c r="V685" s="327"/>
      <c r="X685" s="327"/>
      <c r="Z685" s="327"/>
      <c r="AB685" s="327"/>
      <c r="AD685" s="327"/>
      <c r="AF685" s="327"/>
    </row>
    <row r="686" spans="2:32" s="326" customFormat="1" ht="9.9499999999999993" customHeight="1" x14ac:dyDescent="0.2">
      <c r="B686" s="327"/>
      <c r="F686" s="327"/>
      <c r="H686" s="327"/>
      <c r="J686" s="327"/>
      <c r="L686" s="327"/>
      <c r="N686" s="327"/>
      <c r="P686" s="327"/>
      <c r="R686" s="327"/>
      <c r="T686" s="327"/>
      <c r="V686" s="327"/>
      <c r="X686" s="327"/>
      <c r="Z686" s="327"/>
      <c r="AB686" s="327"/>
      <c r="AD686" s="327"/>
      <c r="AF686" s="327"/>
    </row>
    <row r="687" spans="2:32" s="326" customFormat="1" ht="9.9499999999999993" customHeight="1" x14ac:dyDescent="0.2">
      <c r="B687" s="327"/>
      <c r="F687" s="327"/>
      <c r="H687" s="327"/>
      <c r="J687" s="327"/>
      <c r="L687" s="327"/>
      <c r="N687" s="327"/>
      <c r="P687" s="327"/>
      <c r="R687" s="327"/>
      <c r="T687" s="327"/>
      <c r="V687" s="327"/>
      <c r="X687" s="327"/>
      <c r="Z687" s="327"/>
      <c r="AB687" s="327"/>
      <c r="AD687" s="327"/>
      <c r="AF687" s="327"/>
    </row>
    <row r="688" spans="2:32" s="326" customFormat="1" ht="9.9499999999999993" customHeight="1" x14ac:dyDescent="0.2">
      <c r="B688" s="327"/>
      <c r="F688" s="327"/>
      <c r="H688" s="327"/>
      <c r="J688" s="327"/>
      <c r="L688" s="327"/>
      <c r="N688" s="327"/>
      <c r="P688" s="327"/>
      <c r="R688" s="327"/>
      <c r="T688" s="327"/>
      <c r="V688" s="327"/>
      <c r="X688" s="327"/>
      <c r="Z688" s="327"/>
      <c r="AB688" s="327"/>
      <c r="AD688" s="327"/>
      <c r="AF688" s="327"/>
    </row>
    <row r="689" spans="2:32" s="326" customFormat="1" ht="9.9499999999999993" customHeight="1" x14ac:dyDescent="0.2">
      <c r="B689" s="327"/>
      <c r="F689" s="327"/>
      <c r="H689" s="327"/>
      <c r="J689" s="327"/>
      <c r="L689" s="327"/>
      <c r="N689" s="327"/>
      <c r="P689" s="327"/>
      <c r="R689" s="327"/>
      <c r="T689" s="327"/>
      <c r="V689" s="327"/>
      <c r="X689" s="327"/>
      <c r="Z689" s="327"/>
      <c r="AB689" s="327"/>
      <c r="AD689" s="327"/>
      <c r="AF689" s="327"/>
    </row>
    <row r="690" spans="2:32" s="326" customFormat="1" ht="9.9499999999999993" customHeight="1" x14ac:dyDescent="0.2">
      <c r="B690" s="327"/>
      <c r="F690" s="327"/>
      <c r="H690" s="327"/>
      <c r="J690" s="327"/>
      <c r="L690" s="327"/>
      <c r="N690" s="327"/>
      <c r="P690" s="327"/>
      <c r="R690" s="327"/>
      <c r="T690" s="327"/>
      <c r="V690" s="327"/>
      <c r="X690" s="327"/>
      <c r="Z690" s="327"/>
      <c r="AB690" s="327"/>
      <c r="AD690" s="327"/>
      <c r="AF690" s="327"/>
    </row>
    <row r="691" spans="2:32" s="326" customFormat="1" ht="9.9499999999999993" customHeight="1" x14ac:dyDescent="0.2">
      <c r="B691" s="327"/>
      <c r="F691" s="327"/>
      <c r="H691" s="327"/>
      <c r="J691" s="327"/>
      <c r="L691" s="327"/>
      <c r="N691" s="327"/>
      <c r="P691" s="327"/>
      <c r="R691" s="327"/>
      <c r="T691" s="327"/>
      <c r="V691" s="327"/>
      <c r="X691" s="327"/>
      <c r="Z691" s="327"/>
      <c r="AB691" s="327"/>
      <c r="AD691" s="327"/>
      <c r="AF691" s="327"/>
    </row>
    <row r="692" spans="2:32" s="326" customFormat="1" ht="9.9499999999999993" customHeight="1" x14ac:dyDescent="0.2">
      <c r="B692" s="327"/>
      <c r="F692" s="327"/>
      <c r="H692" s="327"/>
      <c r="J692" s="327"/>
      <c r="L692" s="327"/>
      <c r="N692" s="327"/>
      <c r="P692" s="327"/>
      <c r="R692" s="327"/>
      <c r="T692" s="327"/>
      <c r="V692" s="327"/>
      <c r="X692" s="327"/>
      <c r="Z692" s="327"/>
      <c r="AB692" s="327"/>
      <c r="AD692" s="327"/>
      <c r="AF692" s="327"/>
    </row>
    <row r="693" spans="2:32" s="326" customFormat="1" ht="9.9499999999999993" customHeight="1" x14ac:dyDescent="0.2">
      <c r="B693" s="327"/>
      <c r="F693" s="327"/>
      <c r="H693" s="327"/>
      <c r="J693" s="327"/>
      <c r="L693" s="327"/>
      <c r="N693" s="327"/>
      <c r="P693" s="327"/>
      <c r="R693" s="327"/>
      <c r="T693" s="327"/>
      <c r="V693" s="327"/>
      <c r="X693" s="327"/>
      <c r="Z693" s="327"/>
      <c r="AB693" s="327"/>
      <c r="AD693" s="327"/>
      <c r="AF693" s="327"/>
    </row>
    <row r="694" spans="2:32" s="326" customFormat="1" ht="9.9499999999999993" customHeight="1" x14ac:dyDescent="0.2">
      <c r="B694" s="327"/>
      <c r="F694" s="327"/>
      <c r="H694" s="327"/>
      <c r="J694" s="327"/>
      <c r="L694" s="327"/>
      <c r="N694" s="327"/>
      <c r="P694" s="327"/>
      <c r="R694" s="327"/>
      <c r="T694" s="327"/>
      <c r="V694" s="327"/>
      <c r="X694" s="327"/>
      <c r="Z694" s="327"/>
      <c r="AB694" s="327"/>
      <c r="AD694" s="327"/>
      <c r="AF694" s="327"/>
    </row>
    <row r="695" spans="2:32" s="326" customFormat="1" ht="9.9499999999999993" customHeight="1" x14ac:dyDescent="0.2">
      <c r="B695" s="327"/>
      <c r="F695" s="327"/>
      <c r="H695" s="327"/>
      <c r="J695" s="327"/>
      <c r="L695" s="327"/>
      <c r="N695" s="327"/>
      <c r="P695" s="327"/>
      <c r="R695" s="327"/>
      <c r="T695" s="327"/>
      <c r="V695" s="327"/>
      <c r="X695" s="327"/>
      <c r="Z695" s="327"/>
      <c r="AB695" s="327"/>
      <c r="AD695" s="327"/>
      <c r="AF695" s="327"/>
    </row>
    <row r="696" spans="2:32" s="326" customFormat="1" ht="9.9499999999999993" customHeight="1" x14ac:dyDescent="0.2">
      <c r="B696" s="327"/>
      <c r="F696" s="327"/>
      <c r="H696" s="327"/>
      <c r="J696" s="327"/>
      <c r="L696" s="327"/>
      <c r="N696" s="327"/>
      <c r="P696" s="327"/>
      <c r="R696" s="327"/>
      <c r="T696" s="327"/>
      <c r="V696" s="327"/>
      <c r="X696" s="327"/>
      <c r="Z696" s="327"/>
      <c r="AB696" s="327"/>
      <c r="AD696" s="327"/>
      <c r="AF696" s="327"/>
    </row>
    <row r="697" spans="2:32" s="326" customFormat="1" ht="9.9499999999999993" customHeight="1" x14ac:dyDescent="0.2">
      <c r="B697" s="327"/>
      <c r="F697" s="327"/>
      <c r="H697" s="327"/>
      <c r="J697" s="327"/>
      <c r="L697" s="327"/>
      <c r="N697" s="327"/>
      <c r="P697" s="327"/>
      <c r="R697" s="327"/>
      <c r="T697" s="327"/>
      <c r="V697" s="327"/>
      <c r="X697" s="327"/>
      <c r="Z697" s="327"/>
      <c r="AB697" s="327"/>
      <c r="AD697" s="327"/>
      <c r="AF697" s="327"/>
    </row>
    <row r="698" spans="2:32" s="326" customFormat="1" ht="9.9499999999999993" customHeight="1" x14ac:dyDescent="0.2">
      <c r="B698" s="327"/>
      <c r="F698" s="327"/>
      <c r="H698" s="327"/>
      <c r="J698" s="327"/>
      <c r="L698" s="327"/>
      <c r="N698" s="327"/>
      <c r="P698" s="327"/>
      <c r="R698" s="327"/>
      <c r="T698" s="327"/>
      <c r="V698" s="327"/>
      <c r="X698" s="327"/>
      <c r="Z698" s="327"/>
      <c r="AB698" s="327"/>
      <c r="AD698" s="327"/>
      <c r="AF698" s="327"/>
    </row>
    <row r="699" spans="2:32" s="326" customFormat="1" ht="9.9499999999999993" customHeight="1" x14ac:dyDescent="0.2">
      <c r="B699" s="327"/>
      <c r="F699" s="327"/>
      <c r="H699" s="327"/>
      <c r="J699" s="327"/>
      <c r="L699" s="327"/>
      <c r="N699" s="327"/>
      <c r="P699" s="327"/>
      <c r="R699" s="327"/>
      <c r="T699" s="327"/>
      <c r="V699" s="327"/>
      <c r="X699" s="327"/>
      <c r="Z699" s="327"/>
      <c r="AB699" s="327"/>
      <c r="AD699" s="327"/>
      <c r="AF699" s="327"/>
    </row>
    <row r="700" spans="2:32" s="326" customFormat="1" ht="9.9499999999999993" customHeight="1" x14ac:dyDescent="0.2">
      <c r="B700" s="327"/>
      <c r="F700" s="327"/>
      <c r="H700" s="327"/>
      <c r="J700" s="327"/>
      <c r="L700" s="327"/>
      <c r="N700" s="327"/>
      <c r="P700" s="327"/>
      <c r="R700" s="327"/>
      <c r="T700" s="327"/>
      <c r="V700" s="327"/>
      <c r="X700" s="327"/>
      <c r="Z700" s="327"/>
      <c r="AB700" s="327"/>
      <c r="AD700" s="327"/>
      <c r="AF700" s="327"/>
    </row>
    <row r="701" spans="2:32" s="326" customFormat="1" ht="9.9499999999999993" customHeight="1" x14ac:dyDescent="0.2">
      <c r="B701" s="327"/>
      <c r="F701" s="327"/>
      <c r="H701" s="327"/>
      <c r="J701" s="327"/>
      <c r="L701" s="327"/>
      <c r="N701" s="327"/>
      <c r="P701" s="327"/>
      <c r="R701" s="327"/>
      <c r="T701" s="327"/>
      <c r="V701" s="327"/>
      <c r="X701" s="327"/>
      <c r="Z701" s="327"/>
      <c r="AB701" s="327"/>
      <c r="AD701" s="327"/>
      <c r="AF701" s="327"/>
    </row>
    <row r="702" spans="2:32" s="326" customFormat="1" ht="9.9499999999999993" customHeight="1" x14ac:dyDescent="0.2">
      <c r="B702" s="327"/>
      <c r="F702" s="327"/>
      <c r="H702" s="327"/>
      <c r="J702" s="327"/>
      <c r="L702" s="327"/>
      <c r="N702" s="327"/>
      <c r="P702" s="327"/>
      <c r="R702" s="327"/>
      <c r="T702" s="327"/>
      <c r="V702" s="327"/>
      <c r="X702" s="327"/>
      <c r="Z702" s="327"/>
      <c r="AB702" s="327"/>
      <c r="AD702" s="327"/>
      <c r="AF702" s="327"/>
    </row>
    <row r="703" spans="2:32" s="326" customFormat="1" ht="9.9499999999999993" customHeight="1" x14ac:dyDescent="0.2">
      <c r="B703" s="327"/>
      <c r="F703" s="327"/>
      <c r="H703" s="327"/>
      <c r="J703" s="327"/>
      <c r="L703" s="327"/>
      <c r="N703" s="327"/>
      <c r="P703" s="327"/>
      <c r="R703" s="327"/>
      <c r="T703" s="327"/>
      <c r="V703" s="327"/>
      <c r="X703" s="327"/>
      <c r="Z703" s="327"/>
      <c r="AB703" s="327"/>
      <c r="AD703" s="327"/>
      <c r="AF703" s="327"/>
    </row>
    <row r="704" spans="2:32" s="326" customFormat="1" ht="9.9499999999999993" customHeight="1" x14ac:dyDescent="0.2">
      <c r="B704" s="327"/>
      <c r="F704" s="327"/>
      <c r="H704" s="327"/>
      <c r="J704" s="327"/>
      <c r="L704" s="327"/>
      <c r="N704" s="327"/>
      <c r="P704" s="327"/>
      <c r="R704" s="327"/>
      <c r="T704" s="327"/>
      <c r="V704" s="327"/>
      <c r="X704" s="327"/>
      <c r="Z704" s="327"/>
      <c r="AB704" s="327"/>
      <c r="AD704" s="327"/>
      <c r="AF704" s="327"/>
    </row>
    <row r="705" spans="2:32" s="326" customFormat="1" ht="9.9499999999999993" customHeight="1" x14ac:dyDescent="0.2">
      <c r="B705" s="327"/>
      <c r="F705" s="327"/>
      <c r="H705" s="327"/>
      <c r="J705" s="327"/>
      <c r="L705" s="327"/>
      <c r="N705" s="327"/>
      <c r="P705" s="327"/>
      <c r="R705" s="327"/>
      <c r="T705" s="327"/>
      <c r="V705" s="327"/>
      <c r="X705" s="327"/>
      <c r="Z705" s="327"/>
      <c r="AB705" s="327"/>
      <c r="AD705" s="327"/>
      <c r="AF705" s="327"/>
    </row>
    <row r="706" spans="2:32" s="326" customFormat="1" ht="9.9499999999999993" customHeight="1" x14ac:dyDescent="0.2">
      <c r="B706" s="327"/>
      <c r="F706" s="327"/>
      <c r="H706" s="327"/>
      <c r="J706" s="327"/>
      <c r="L706" s="327"/>
      <c r="N706" s="327"/>
      <c r="P706" s="327"/>
      <c r="R706" s="327"/>
      <c r="T706" s="327"/>
      <c r="V706" s="327"/>
      <c r="X706" s="327"/>
      <c r="Z706" s="327"/>
      <c r="AB706" s="327"/>
      <c r="AD706" s="327"/>
      <c r="AF706" s="327"/>
    </row>
    <row r="707" spans="2:32" s="326" customFormat="1" ht="9.9499999999999993" customHeight="1" x14ac:dyDescent="0.2">
      <c r="B707" s="327"/>
      <c r="F707" s="327"/>
      <c r="H707" s="327"/>
      <c r="J707" s="327"/>
      <c r="L707" s="327"/>
      <c r="N707" s="327"/>
      <c r="P707" s="327"/>
      <c r="R707" s="327"/>
      <c r="T707" s="327"/>
      <c r="V707" s="327"/>
      <c r="X707" s="327"/>
      <c r="Z707" s="327"/>
      <c r="AB707" s="327"/>
      <c r="AD707" s="327"/>
      <c r="AF707" s="327"/>
    </row>
    <row r="708" spans="2:32" s="326" customFormat="1" ht="9.9499999999999993" customHeight="1" x14ac:dyDescent="0.2">
      <c r="B708" s="327"/>
      <c r="F708" s="327"/>
      <c r="H708" s="327"/>
      <c r="J708" s="327"/>
      <c r="L708" s="327"/>
      <c r="N708" s="327"/>
      <c r="P708" s="327"/>
      <c r="R708" s="327"/>
      <c r="T708" s="327"/>
      <c r="V708" s="327"/>
      <c r="X708" s="327"/>
      <c r="Z708" s="327"/>
      <c r="AB708" s="327"/>
      <c r="AD708" s="327"/>
      <c r="AF708" s="327"/>
    </row>
    <row r="709" spans="2:32" s="326" customFormat="1" ht="9.9499999999999993" customHeight="1" x14ac:dyDescent="0.2">
      <c r="B709" s="327"/>
      <c r="F709" s="327"/>
      <c r="H709" s="327"/>
      <c r="J709" s="327"/>
      <c r="L709" s="327"/>
      <c r="N709" s="327"/>
      <c r="P709" s="327"/>
      <c r="R709" s="327"/>
      <c r="T709" s="327"/>
      <c r="V709" s="327"/>
      <c r="X709" s="327"/>
      <c r="Z709" s="327"/>
      <c r="AB709" s="327"/>
      <c r="AD709" s="327"/>
      <c r="AF709" s="327"/>
    </row>
    <row r="710" spans="2:32" s="326" customFormat="1" ht="9.9499999999999993" customHeight="1" x14ac:dyDescent="0.2">
      <c r="B710" s="327"/>
      <c r="F710" s="327"/>
      <c r="H710" s="327"/>
      <c r="J710" s="327"/>
      <c r="L710" s="327"/>
      <c r="N710" s="327"/>
      <c r="P710" s="327"/>
      <c r="R710" s="327"/>
      <c r="T710" s="327"/>
      <c r="V710" s="327"/>
      <c r="X710" s="327"/>
      <c r="Z710" s="327"/>
      <c r="AB710" s="327"/>
      <c r="AD710" s="327"/>
      <c r="AF710" s="327"/>
    </row>
    <row r="711" spans="2:32" s="326" customFormat="1" ht="9.9499999999999993" customHeight="1" x14ac:dyDescent="0.2">
      <c r="B711" s="327"/>
      <c r="F711" s="327"/>
      <c r="H711" s="327"/>
      <c r="J711" s="327"/>
      <c r="L711" s="327"/>
      <c r="N711" s="327"/>
      <c r="P711" s="327"/>
      <c r="R711" s="327"/>
      <c r="T711" s="327"/>
      <c r="V711" s="327"/>
      <c r="X711" s="327"/>
      <c r="Z711" s="327"/>
      <c r="AB711" s="327"/>
      <c r="AD711" s="327"/>
      <c r="AF711" s="327"/>
    </row>
    <row r="712" spans="2:32" s="326" customFormat="1" ht="9.9499999999999993" customHeight="1" x14ac:dyDescent="0.2">
      <c r="B712" s="327"/>
      <c r="F712" s="327"/>
      <c r="H712" s="327"/>
      <c r="J712" s="327"/>
      <c r="L712" s="327"/>
      <c r="N712" s="327"/>
      <c r="P712" s="327"/>
      <c r="R712" s="327"/>
      <c r="T712" s="327"/>
      <c r="V712" s="327"/>
      <c r="X712" s="327"/>
      <c r="Z712" s="327"/>
      <c r="AB712" s="327"/>
      <c r="AD712" s="327"/>
      <c r="AF712" s="327"/>
    </row>
    <row r="713" spans="2:32" s="326" customFormat="1" ht="9.9499999999999993" customHeight="1" x14ac:dyDescent="0.2">
      <c r="B713" s="327"/>
      <c r="F713" s="327"/>
      <c r="H713" s="327"/>
      <c r="J713" s="327"/>
      <c r="L713" s="327"/>
      <c r="N713" s="327"/>
      <c r="P713" s="327"/>
      <c r="R713" s="327"/>
      <c r="T713" s="327"/>
      <c r="V713" s="327"/>
      <c r="X713" s="327"/>
      <c r="Z713" s="327"/>
      <c r="AB713" s="327"/>
      <c r="AD713" s="327"/>
      <c r="AF713" s="327"/>
    </row>
    <row r="714" spans="2:32" s="326" customFormat="1" ht="9.9499999999999993" customHeight="1" x14ac:dyDescent="0.2">
      <c r="B714" s="327"/>
      <c r="F714" s="327"/>
      <c r="H714" s="327"/>
      <c r="J714" s="327"/>
      <c r="L714" s="327"/>
      <c r="N714" s="327"/>
      <c r="P714" s="327"/>
      <c r="R714" s="327"/>
      <c r="T714" s="327"/>
      <c r="V714" s="327"/>
      <c r="X714" s="327"/>
      <c r="Z714" s="327"/>
      <c r="AB714" s="327"/>
      <c r="AD714" s="327"/>
      <c r="AF714" s="327"/>
    </row>
    <row r="715" spans="2:32" s="326" customFormat="1" ht="9.9499999999999993" customHeight="1" x14ac:dyDescent="0.2">
      <c r="B715" s="327"/>
      <c r="F715" s="327"/>
      <c r="H715" s="327"/>
      <c r="J715" s="327"/>
      <c r="L715" s="327"/>
      <c r="N715" s="327"/>
      <c r="P715" s="327"/>
      <c r="R715" s="327"/>
      <c r="T715" s="327"/>
      <c r="V715" s="327"/>
      <c r="X715" s="327"/>
      <c r="Z715" s="327"/>
      <c r="AB715" s="327"/>
      <c r="AD715" s="327"/>
      <c r="AF715" s="327"/>
    </row>
    <row r="716" spans="2:32" s="326" customFormat="1" ht="9.9499999999999993" customHeight="1" x14ac:dyDescent="0.2">
      <c r="B716" s="327"/>
      <c r="F716" s="327"/>
      <c r="H716" s="327"/>
      <c r="J716" s="327"/>
      <c r="L716" s="327"/>
      <c r="N716" s="327"/>
      <c r="P716" s="327"/>
      <c r="R716" s="327"/>
      <c r="T716" s="327"/>
      <c r="V716" s="327"/>
      <c r="X716" s="327"/>
      <c r="Z716" s="327"/>
      <c r="AB716" s="327"/>
      <c r="AD716" s="327"/>
      <c r="AF716" s="327"/>
    </row>
    <row r="717" spans="2:32" s="326" customFormat="1" ht="9.9499999999999993" customHeight="1" x14ac:dyDescent="0.2">
      <c r="B717" s="327"/>
      <c r="F717" s="327"/>
      <c r="H717" s="327"/>
      <c r="J717" s="327"/>
      <c r="L717" s="327"/>
      <c r="N717" s="327"/>
      <c r="P717" s="327"/>
      <c r="R717" s="327"/>
      <c r="T717" s="327"/>
      <c r="V717" s="327"/>
      <c r="X717" s="327"/>
      <c r="Z717" s="327"/>
      <c r="AB717" s="327"/>
      <c r="AD717" s="327"/>
      <c r="AF717" s="327"/>
    </row>
    <row r="718" spans="2:32" s="326" customFormat="1" ht="9.9499999999999993" customHeight="1" x14ac:dyDescent="0.2">
      <c r="B718" s="327"/>
      <c r="F718" s="327"/>
      <c r="H718" s="327"/>
      <c r="J718" s="327"/>
      <c r="L718" s="327"/>
      <c r="N718" s="327"/>
      <c r="P718" s="327"/>
      <c r="R718" s="327"/>
      <c r="T718" s="327"/>
      <c r="V718" s="327"/>
      <c r="X718" s="327"/>
      <c r="Z718" s="327"/>
      <c r="AB718" s="327"/>
      <c r="AD718" s="327"/>
      <c r="AF718" s="327"/>
    </row>
    <row r="719" spans="2:32" s="326" customFormat="1" ht="9.9499999999999993" customHeight="1" x14ac:dyDescent="0.2">
      <c r="B719" s="327"/>
      <c r="F719" s="327"/>
      <c r="H719" s="327"/>
      <c r="J719" s="327"/>
      <c r="L719" s="327"/>
      <c r="N719" s="327"/>
      <c r="P719" s="327"/>
      <c r="R719" s="327"/>
      <c r="T719" s="327"/>
      <c r="V719" s="327"/>
      <c r="X719" s="327"/>
      <c r="Z719" s="327"/>
      <c r="AB719" s="327"/>
      <c r="AD719" s="327"/>
      <c r="AF719" s="327"/>
    </row>
    <row r="720" spans="2:32" s="326" customFormat="1" ht="9.9499999999999993" customHeight="1" x14ac:dyDescent="0.2">
      <c r="B720" s="327"/>
      <c r="F720" s="327"/>
      <c r="H720" s="327"/>
      <c r="J720" s="327"/>
      <c r="L720" s="327"/>
      <c r="N720" s="327"/>
      <c r="P720" s="327"/>
      <c r="R720" s="327"/>
      <c r="T720" s="327"/>
      <c r="V720" s="327"/>
      <c r="X720" s="327"/>
      <c r="Z720" s="327"/>
      <c r="AB720" s="327"/>
      <c r="AD720" s="327"/>
      <c r="AF720" s="327"/>
    </row>
    <row r="721" spans="2:32" s="326" customFormat="1" ht="9.9499999999999993" customHeight="1" x14ac:dyDescent="0.2">
      <c r="B721" s="327"/>
      <c r="F721" s="327"/>
      <c r="H721" s="327"/>
      <c r="J721" s="327"/>
      <c r="L721" s="327"/>
      <c r="N721" s="327"/>
      <c r="P721" s="327"/>
      <c r="R721" s="327"/>
      <c r="T721" s="327"/>
      <c r="V721" s="327"/>
      <c r="X721" s="327"/>
      <c r="Z721" s="327"/>
      <c r="AB721" s="327"/>
      <c r="AD721" s="327"/>
      <c r="AF721" s="327"/>
    </row>
    <row r="722" spans="2:32" s="326" customFormat="1" ht="9.9499999999999993" customHeight="1" x14ac:dyDescent="0.2">
      <c r="B722" s="327"/>
      <c r="F722" s="327"/>
      <c r="H722" s="327"/>
      <c r="J722" s="327"/>
      <c r="L722" s="327"/>
      <c r="N722" s="327"/>
      <c r="P722" s="327"/>
      <c r="R722" s="327"/>
      <c r="T722" s="327"/>
      <c r="V722" s="327"/>
      <c r="X722" s="327"/>
      <c r="Z722" s="327"/>
      <c r="AB722" s="327"/>
      <c r="AD722" s="327"/>
      <c r="AF722" s="327"/>
    </row>
    <row r="723" spans="2:32" s="326" customFormat="1" ht="9.9499999999999993" customHeight="1" x14ac:dyDescent="0.2">
      <c r="B723" s="327"/>
      <c r="F723" s="327"/>
      <c r="H723" s="327"/>
      <c r="J723" s="327"/>
      <c r="L723" s="327"/>
      <c r="N723" s="327"/>
      <c r="P723" s="327"/>
      <c r="R723" s="327"/>
      <c r="T723" s="327"/>
      <c r="V723" s="327"/>
      <c r="X723" s="327"/>
      <c r="Z723" s="327"/>
      <c r="AB723" s="327"/>
      <c r="AD723" s="327"/>
      <c r="AF723" s="327"/>
    </row>
    <row r="724" spans="2:32" s="326" customFormat="1" ht="9.9499999999999993" customHeight="1" x14ac:dyDescent="0.2">
      <c r="B724" s="327"/>
      <c r="F724" s="327"/>
      <c r="H724" s="327"/>
      <c r="J724" s="327"/>
      <c r="L724" s="327"/>
      <c r="N724" s="327"/>
      <c r="P724" s="327"/>
      <c r="R724" s="327"/>
      <c r="T724" s="327"/>
      <c r="V724" s="327"/>
      <c r="X724" s="327"/>
      <c r="Z724" s="327"/>
      <c r="AB724" s="327"/>
      <c r="AD724" s="327"/>
      <c r="AF724" s="327"/>
    </row>
    <row r="725" spans="2:32" s="326" customFormat="1" ht="9.9499999999999993" customHeight="1" x14ac:dyDescent="0.2">
      <c r="B725" s="327"/>
      <c r="F725" s="327"/>
      <c r="H725" s="327"/>
      <c r="J725" s="327"/>
      <c r="L725" s="327"/>
      <c r="N725" s="327"/>
      <c r="P725" s="327"/>
      <c r="R725" s="327"/>
      <c r="T725" s="327"/>
      <c r="V725" s="327"/>
      <c r="X725" s="327"/>
      <c r="Z725" s="327"/>
      <c r="AB725" s="327"/>
      <c r="AD725" s="327"/>
      <c r="AF725" s="327"/>
    </row>
    <row r="726" spans="2:32" s="326" customFormat="1" ht="9.9499999999999993" customHeight="1" x14ac:dyDescent="0.2">
      <c r="B726" s="327"/>
      <c r="F726" s="327"/>
      <c r="H726" s="327"/>
      <c r="J726" s="327"/>
      <c r="L726" s="327"/>
      <c r="N726" s="327"/>
      <c r="P726" s="327"/>
      <c r="R726" s="327"/>
      <c r="T726" s="327"/>
      <c r="V726" s="327"/>
      <c r="X726" s="327"/>
      <c r="Z726" s="327"/>
      <c r="AB726" s="327"/>
      <c r="AD726" s="327"/>
      <c r="AF726" s="327"/>
    </row>
    <row r="727" spans="2:32" s="326" customFormat="1" ht="9.9499999999999993" customHeight="1" x14ac:dyDescent="0.2">
      <c r="B727" s="327"/>
      <c r="F727" s="327"/>
      <c r="H727" s="327"/>
      <c r="J727" s="327"/>
      <c r="L727" s="327"/>
      <c r="N727" s="327"/>
      <c r="P727" s="327"/>
      <c r="R727" s="327"/>
      <c r="T727" s="327"/>
      <c r="V727" s="327"/>
      <c r="X727" s="327"/>
      <c r="Z727" s="327"/>
      <c r="AB727" s="327"/>
      <c r="AD727" s="327"/>
      <c r="AF727" s="327"/>
    </row>
    <row r="728" spans="2:32" s="326" customFormat="1" ht="9.9499999999999993" customHeight="1" x14ac:dyDescent="0.2">
      <c r="B728" s="327"/>
      <c r="F728" s="327"/>
      <c r="H728" s="327"/>
      <c r="J728" s="327"/>
      <c r="L728" s="327"/>
      <c r="N728" s="327"/>
      <c r="P728" s="327"/>
      <c r="R728" s="327"/>
      <c r="T728" s="327"/>
      <c r="V728" s="327"/>
      <c r="X728" s="327"/>
      <c r="Z728" s="327"/>
      <c r="AB728" s="327"/>
      <c r="AD728" s="327"/>
      <c r="AF728" s="327"/>
    </row>
    <row r="729" spans="2:32" s="326" customFormat="1" ht="9.9499999999999993" customHeight="1" x14ac:dyDescent="0.2">
      <c r="B729" s="327"/>
      <c r="F729" s="327"/>
      <c r="H729" s="327"/>
      <c r="J729" s="327"/>
      <c r="L729" s="327"/>
      <c r="N729" s="327"/>
      <c r="P729" s="327"/>
      <c r="R729" s="327"/>
      <c r="T729" s="327"/>
      <c r="V729" s="327"/>
      <c r="X729" s="327"/>
      <c r="Z729" s="327"/>
      <c r="AB729" s="327"/>
      <c r="AD729" s="327"/>
      <c r="AF729" s="327"/>
    </row>
    <row r="730" spans="2:32" s="326" customFormat="1" ht="9.9499999999999993" customHeight="1" x14ac:dyDescent="0.2">
      <c r="B730" s="327"/>
      <c r="F730" s="327"/>
      <c r="H730" s="327"/>
      <c r="J730" s="327"/>
      <c r="L730" s="327"/>
      <c r="N730" s="327"/>
      <c r="P730" s="327"/>
      <c r="R730" s="327"/>
      <c r="T730" s="327"/>
      <c r="V730" s="327"/>
      <c r="X730" s="327"/>
      <c r="Z730" s="327"/>
      <c r="AB730" s="327"/>
      <c r="AD730" s="327"/>
      <c r="AF730" s="327"/>
    </row>
    <row r="731" spans="2:32" s="326" customFormat="1" ht="9.9499999999999993" customHeight="1" x14ac:dyDescent="0.2">
      <c r="B731" s="327"/>
      <c r="F731" s="327"/>
      <c r="H731" s="327"/>
      <c r="J731" s="327"/>
      <c r="L731" s="327"/>
      <c r="N731" s="327"/>
      <c r="P731" s="327"/>
      <c r="R731" s="327"/>
      <c r="T731" s="327"/>
      <c r="V731" s="327"/>
      <c r="X731" s="327"/>
      <c r="Z731" s="327"/>
      <c r="AB731" s="327"/>
      <c r="AD731" s="327"/>
      <c r="AF731" s="327"/>
    </row>
    <row r="732" spans="2:32" s="326" customFormat="1" ht="9.9499999999999993" customHeight="1" x14ac:dyDescent="0.2">
      <c r="B732" s="327"/>
      <c r="F732" s="327"/>
      <c r="H732" s="327"/>
      <c r="J732" s="327"/>
      <c r="L732" s="327"/>
      <c r="N732" s="327"/>
      <c r="P732" s="327"/>
      <c r="R732" s="327"/>
      <c r="T732" s="327"/>
      <c r="V732" s="327"/>
      <c r="X732" s="327"/>
      <c r="Z732" s="327"/>
      <c r="AB732" s="327"/>
      <c r="AD732" s="327"/>
      <c r="AF732" s="327"/>
    </row>
    <row r="733" spans="2:32" s="326" customFormat="1" ht="9.9499999999999993" customHeight="1" x14ac:dyDescent="0.2">
      <c r="B733" s="327"/>
      <c r="F733" s="327"/>
      <c r="H733" s="327"/>
      <c r="J733" s="327"/>
      <c r="L733" s="327"/>
      <c r="N733" s="327"/>
      <c r="P733" s="327"/>
      <c r="R733" s="327"/>
      <c r="T733" s="327"/>
      <c r="V733" s="327"/>
      <c r="X733" s="327"/>
      <c r="Z733" s="327"/>
      <c r="AB733" s="327"/>
      <c r="AD733" s="327"/>
      <c r="AF733" s="327"/>
    </row>
    <row r="734" spans="2:32" s="326" customFormat="1" ht="9.9499999999999993" customHeight="1" x14ac:dyDescent="0.2">
      <c r="B734" s="327"/>
      <c r="F734" s="327"/>
      <c r="H734" s="327"/>
      <c r="J734" s="327"/>
      <c r="L734" s="327"/>
      <c r="N734" s="327"/>
      <c r="P734" s="327"/>
      <c r="R734" s="327"/>
      <c r="T734" s="327"/>
      <c r="V734" s="327"/>
      <c r="X734" s="327"/>
      <c r="Z734" s="327"/>
      <c r="AB734" s="327"/>
      <c r="AD734" s="327"/>
      <c r="AF734" s="327"/>
    </row>
    <row r="735" spans="2:32" s="326" customFormat="1" ht="9.9499999999999993" customHeight="1" x14ac:dyDescent="0.2">
      <c r="B735" s="327"/>
      <c r="F735" s="327"/>
      <c r="H735" s="327"/>
      <c r="J735" s="327"/>
      <c r="L735" s="327"/>
      <c r="N735" s="327"/>
      <c r="P735" s="327"/>
      <c r="R735" s="327"/>
      <c r="T735" s="327"/>
      <c r="V735" s="327"/>
      <c r="X735" s="327"/>
      <c r="Z735" s="327"/>
      <c r="AB735" s="327"/>
      <c r="AD735" s="327"/>
      <c r="AF735" s="327"/>
    </row>
    <row r="736" spans="2:32" s="326" customFormat="1" ht="9.9499999999999993" customHeight="1" x14ac:dyDescent="0.2">
      <c r="B736" s="327"/>
      <c r="F736" s="327"/>
      <c r="H736" s="327"/>
      <c r="J736" s="327"/>
      <c r="L736" s="327"/>
      <c r="N736" s="327"/>
      <c r="P736" s="327"/>
      <c r="R736" s="327"/>
      <c r="T736" s="327"/>
      <c r="V736" s="327"/>
      <c r="X736" s="327"/>
      <c r="Z736" s="327"/>
      <c r="AB736" s="327"/>
      <c r="AD736" s="327"/>
      <c r="AF736" s="327"/>
    </row>
    <row r="737" spans="2:32" s="326" customFormat="1" ht="9.9499999999999993" customHeight="1" x14ac:dyDescent="0.2">
      <c r="B737" s="327"/>
      <c r="F737" s="327"/>
      <c r="H737" s="327"/>
      <c r="J737" s="327"/>
      <c r="L737" s="327"/>
      <c r="N737" s="327"/>
      <c r="P737" s="327"/>
      <c r="R737" s="327"/>
      <c r="T737" s="327"/>
      <c r="V737" s="327"/>
      <c r="X737" s="327"/>
      <c r="Z737" s="327"/>
      <c r="AB737" s="327"/>
      <c r="AD737" s="327"/>
      <c r="AF737" s="327"/>
    </row>
    <row r="738" spans="2:32" s="326" customFormat="1" ht="9.9499999999999993" customHeight="1" x14ac:dyDescent="0.2">
      <c r="B738" s="327"/>
      <c r="F738" s="327"/>
      <c r="H738" s="327"/>
      <c r="J738" s="327"/>
      <c r="L738" s="327"/>
      <c r="N738" s="327"/>
      <c r="P738" s="327"/>
      <c r="R738" s="327"/>
      <c r="T738" s="327"/>
      <c r="V738" s="327"/>
      <c r="X738" s="327"/>
      <c r="Z738" s="327"/>
      <c r="AB738" s="327"/>
      <c r="AD738" s="327"/>
      <c r="AF738" s="327"/>
    </row>
    <row r="739" spans="2:32" s="326" customFormat="1" ht="9.9499999999999993" customHeight="1" x14ac:dyDescent="0.2">
      <c r="B739" s="327"/>
      <c r="F739" s="327"/>
      <c r="H739" s="327"/>
      <c r="J739" s="327"/>
      <c r="L739" s="327"/>
      <c r="N739" s="327"/>
      <c r="P739" s="327"/>
      <c r="R739" s="327"/>
      <c r="T739" s="327"/>
      <c r="V739" s="327"/>
      <c r="X739" s="327"/>
      <c r="Z739" s="327"/>
      <c r="AB739" s="327"/>
      <c r="AD739" s="327"/>
      <c r="AF739" s="327"/>
    </row>
    <row r="740" spans="2:32" s="326" customFormat="1" ht="9.9499999999999993" customHeight="1" x14ac:dyDescent="0.2">
      <c r="B740" s="327"/>
      <c r="F740" s="327"/>
      <c r="H740" s="327"/>
      <c r="J740" s="327"/>
      <c r="L740" s="327"/>
      <c r="N740" s="327"/>
      <c r="P740" s="327"/>
      <c r="R740" s="327"/>
      <c r="T740" s="327"/>
      <c r="V740" s="327"/>
      <c r="X740" s="327"/>
      <c r="Z740" s="327"/>
      <c r="AB740" s="327"/>
      <c r="AD740" s="327"/>
      <c r="AF740" s="327"/>
    </row>
    <row r="741" spans="2:32" s="326" customFormat="1" ht="9.9499999999999993" customHeight="1" x14ac:dyDescent="0.2">
      <c r="B741" s="327"/>
      <c r="F741" s="327"/>
      <c r="H741" s="327"/>
      <c r="J741" s="327"/>
      <c r="L741" s="327"/>
      <c r="N741" s="327"/>
      <c r="P741" s="327"/>
      <c r="R741" s="327"/>
      <c r="T741" s="327"/>
      <c r="V741" s="327"/>
      <c r="X741" s="327"/>
      <c r="Z741" s="327"/>
      <c r="AB741" s="327"/>
      <c r="AD741" s="327"/>
      <c r="AF741" s="327"/>
    </row>
    <row r="742" spans="2:32" s="326" customFormat="1" ht="9.9499999999999993" customHeight="1" x14ac:dyDescent="0.2">
      <c r="B742" s="327"/>
      <c r="F742" s="327"/>
      <c r="H742" s="327"/>
      <c r="J742" s="327"/>
      <c r="L742" s="327"/>
      <c r="N742" s="327"/>
      <c r="P742" s="327"/>
      <c r="R742" s="327"/>
      <c r="T742" s="327"/>
      <c r="V742" s="327"/>
      <c r="X742" s="327"/>
      <c r="Z742" s="327"/>
      <c r="AB742" s="327"/>
      <c r="AD742" s="327"/>
      <c r="AF742" s="327"/>
    </row>
    <row r="743" spans="2:32" s="326" customFormat="1" ht="9.9499999999999993" customHeight="1" x14ac:dyDescent="0.2">
      <c r="B743" s="327"/>
      <c r="F743" s="327"/>
      <c r="H743" s="327"/>
      <c r="J743" s="327"/>
      <c r="L743" s="327"/>
      <c r="N743" s="327"/>
      <c r="P743" s="327"/>
      <c r="R743" s="327"/>
      <c r="T743" s="327"/>
      <c r="V743" s="327"/>
      <c r="X743" s="327"/>
      <c r="Z743" s="327"/>
      <c r="AB743" s="327"/>
      <c r="AD743" s="327"/>
      <c r="AF743" s="327"/>
    </row>
    <row r="744" spans="2:32" s="326" customFormat="1" ht="9.9499999999999993" customHeight="1" x14ac:dyDescent="0.2">
      <c r="B744" s="327"/>
      <c r="F744" s="327"/>
      <c r="H744" s="327"/>
      <c r="J744" s="327"/>
      <c r="L744" s="327"/>
      <c r="N744" s="327"/>
      <c r="P744" s="327"/>
      <c r="R744" s="327"/>
      <c r="T744" s="327"/>
      <c r="V744" s="327"/>
      <c r="X744" s="327"/>
      <c r="Z744" s="327"/>
      <c r="AB744" s="327"/>
      <c r="AD744" s="327"/>
      <c r="AF744" s="327"/>
    </row>
    <row r="745" spans="2:32" s="326" customFormat="1" ht="9.9499999999999993" customHeight="1" x14ac:dyDescent="0.2">
      <c r="B745" s="327"/>
      <c r="F745" s="327"/>
      <c r="H745" s="327"/>
      <c r="J745" s="327"/>
      <c r="L745" s="327"/>
      <c r="N745" s="327"/>
      <c r="P745" s="327"/>
      <c r="R745" s="327"/>
      <c r="T745" s="327"/>
      <c r="V745" s="327"/>
      <c r="X745" s="327"/>
      <c r="Z745" s="327"/>
      <c r="AB745" s="327"/>
      <c r="AD745" s="327"/>
      <c r="AF745" s="327"/>
    </row>
    <row r="746" spans="2:32" s="326" customFormat="1" ht="9.9499999999999993" customHeight="1" x14ac:dyDescent="0.2">
      <c r="B746" s="327"/>
      <c r="F746" s="327"/>
      <c r="H746" s="327"/>
      <c r="J746" s="327"/>
      <c r="L746" s="327"/>
      <c r="N746" s="327"/>
      <c r="P746" s="327"/>
      <c r="R746" s="327"/>
      <c r="T746" s="327"/>
      <c r="V746" s="327"/>
      <c r="X746" s="327"/>
      <c r="Z746" s="327"/>
      <c r="AB746" s="327"/>
      <c r="AD746" s="327"/>
      <c r="AF746" s="327"/>
    </row>
    <row r="747" spans="2:32" s="326" customFormat="1" ht="9.9499999999999993" customHeight="1" x14ac:dyDescent="0.2">
      <c r="B747" s="327"/>
      <c r="F747" s="327"/>
      <c r="H747" s="327"/>
      <c r="J747" s="327"/>
      <c r="L747" s="327"/>
      <c r="N747" s="327"/>
      <c r="P747" s="327"/>
      <c r="R747" s="327"/>
      <c r="T747" s="327"/>
      <c r="V747" s="327"/>
      <c r="X747" s="327"/>
      <c r="Z747" s="327"/>
      <c r="AB747" s="327"/>
      <c r="AD747" s="327"/>
      <c r="AF747" s="327"/>
    </row>
    <row r="748" spans="2:32" s="326" customFormat="1" ht="9.9499999999999993" customHeight="1" x14ac:dyDescent="0.2">
      <c r="B748" s="327"/>
      <c r="F748" s="327"/>
      <c r="H748" s="327"/>
      <c r="J748" s="327"/>
      <c r="L748" s="327"/>
      <c r="N748" s="327"/>
      <c r="P748" s="327"/>
      <c r="R748" s="327"/>
      <c r="T748" s="327"/>
      <c r="V748" s="327"/>
      <c r="X748" s="327"/>
      <c r="Z748" s="327"/>
      <c r="AB748" s="327"/>
      <c r="AD748" s="327"/>
      <c r="AF748" s="327"/>
    </row>
    <row r="749" spans="2:32" s="326" customFormat="1" ht="9.9499999999999993" customHeight="1" x14ac:dyDescent="0.2">
      <c r="B749" s="327"/>
      <c r="F749" s="327"/>
      <c r="H749" s="327"/>
      <c r="J749" s="327"/>
      <c r="L749" s="327"/>
      <c r="N749" s="327"/>
      <c r="P749" s="327"/>
      <c r="R749" s="327"/>
      <c r="T749" s="327"/>
      <c r="V749" s="327"/>
      <c r="X749" s="327"/>
      <c r="Z749" s="327"/>
      <c r="AB749" s="327"/>
      <c r="AD749" s="327"/>
      <c r="AF749" s="327"/>
    </row>
    <row r="750" spans="2:32" s="326" customFormat="1" ht="9.9499999999999993" customHeight="1" x14ac:dyDescent="0.2">
      <c r="B750" s="327"/>
      <c r="F750" s="327"/>
      <c r="H750" s="327"/>
      <c r="J750" s="327"/>
      <c r="L750" s="327"/>
      <c r="N750" s="327"/>
      <c r="P750" s="327"/>
      <c r="R750" s="327"/>
      <c r="T750" s="327"/>
      <c r="V750" s="327"/>
      <c r="X750" s="327"/>
      <c r="Z750" s="327"/>
      <c r="AB750" s="327"/>
      <c r="AD750" s="327"/>
      <c r="AF750" s="327"/>
    </row>
    <row r="751" spans="2:32" s="326" customFormat="1" ht="9.9499999999999993" customHeight="1" x14ac:dyDescent="0.2">
      <c r="B751" s="327"/>
      <c r="F751" s="327"/>
      <c r="H751" s="327"/>
      <c r="J751" s="327"/>
      <c r="L751" s="327"/>
      <c r="N751" s="327"/>
      <c r="P751" s="327"/>
      <c r="R751" s="327"/>
      <c r="T751" s="327"/>
      <c r="V751" s="327"/>
      <c r="X751" s="327"/>
      <c r="Z751" s="327"/>
      <c r="AB751" s="327"/>
      <c r="AD751" s="327"/>
      <c r="AF751" s="327"/>
    </row>
    <row r="752" spans="2:32" s="326" customFormat="1" ht="9.9499999999999993" customHeight="1" x14ac:dyDescent="0.2">
      <c r="B752" s="327"/>
      <c r="F752" s="327"/>
      <c r="H752" s="327"/>
      <c r="J752" s="327"/>
      <c r="L752" s="327"/>
      <c r="N752" s="327"/>
      <c r="P752" s="327"/>
      <c r="R752" s="327"/>
      <c r="T752" s="327"/>
      <c r="V752" s="327"/>
      <c r="X752" s="327"/>
      <c r="Z752" s="327"/>
      <c r="AB752" s="327"/>
      <c r="AD752" s="327"/>
      <c r="AF752" s="327"/>
    </row>
    <row r="753" spans="2:32" s="326" customFormat="1" ht="9.9499999999999993" customHeight="1" x14ac:dyDescent="0.2">
      <c r="B753" s="327"/>
      <c r="F753" s="327"/>
      <c r="H753" s="327"/>
      <c r="J753" s="327"/>
      <c r="L753" s="327"/>
      <c r="N753" s="327"/>
      <c r="P753" s="327"/>
      <c r="R753" s="327"/>
      <c r="T753" s="327"/>
      <c r="V753" s="327"/>
      <c r="X753" s="327"/>
      <c r="Z753" s="327"/>
      <c r="AB753" s="327"/>
      <c r="AD753" s="327"/>
      <c r="AF753" s="327"/>
    </row>
    <row r="754" spans="2:32" s="326" customFormat="1" ht="9.9499999999999993" customHeight="1" x14ac:dyDescent="0.2">
      <c r="B754" s="327"/>
      <c r="F754" s="327"/>
      <c r="H754" s="327"/>
      <c r="J754" s="327"/>
      <c r="L754" s="327"/>
      <c r="N754" s="327"/>
      <c r="P754" s="327"/>
      <c r="R754" s="327"/>
      <c r="T754" s="327"/>
      <c r="V754" s="327"/>
      <c r="X754" s="327"/>
      <c r="Z754" s="327"/>
      <c r="AB754" s="327"/>
      <c r="AD754" s="327"/>
      <c r="AF754" s="327"/>
    </row>
    <row r="755" spans="2:32" s="326" customFormat="1" ht="9.9499999999999993" customHeight="1" x14ac:dyDescent="0.2">
      <c r="B755" s="327"/>
      <c r="F755" s="327"/>
      <c r="H755" s="327"/>
      <c r="J755" s="327"/>
      <c r="L755" s="327"/>
      <c r="N755" s="327"/>
      <c r="P755" s="327"/>
      <c r="R755" s="327"/>
      <c r="T755" s="327"/>
      <c r="V755" s="327"/>
      <c r="X755" s="327"/>
      <c r="Z755" s="327"/>
      <c r="AB755" s="327"/>
      <c r="AD755" s="327"/>
      <c r="AF755" s="327"/>
    </row>
    <row r="756" spans="2:32" s="326" customFormat="1" ht="9.9499999999999993" customHeight="1" x14ac:dyDescent="0.2">
      <c r="B756" s="327"/>
      <c r="F756" s="327"/>
      <c r="H756" s="327"/>
      <c r="J756" s="327"/>
      <c r="L756" s="327"/>
      <c r="N756" s="327"/>
      <c r="P756" s="327"/>
      <c r="R756" s="327"/>
      <c r="T756" s="327"/>
      <c r="V756" s="327"/>
      <c r="X756" s="327"/>
      <c r="Z756" s="327"/>
      <c r="AB756" s="327"/>
      <c r="AD756" s="327"/>
      <c r="AF756" s="327"/>
    </row>
    <row r="757" spans="2:32" s="326" customFormat="1" ht="9.9499999999999993" customHeight="1" x14ac:dyDescent="0.2">
      <c r="B757" s="327"/>
      <c r="F757" s="327"/>
      <c r="H757" s="327"/>
      <c r="J757" s="327"/>
      <c r="L757" s="327"/>
      <c r="N757" s="327"/>
      <c r="P757" s="327"/>
      <c r="R757" s="327"/>
      <c r="T757" s="327"/>
      <c r="V757" s="327"/>
      <c r="X757" s="327"/>
      <c r="Z757" s="327"/>
      <c r="AB757" s="327"/>
      <c r="AD757" s="327"/>
      <c r="AF757" s="327"/>
    </row>
    <row r="758" spans="2:32" s="326" customFormat="1" ht="9.9499999999999993" customHeight="1" x14ac:dyDescent="0.2">
      <c r="B758" s="327"/>
      <c r="F758" s="327"/>
      <c r="H758" s="327"/>
      <c r="J758" s="327"/>
      <c r="L758" s="327"/>
      <c r="N758" s="327"/>
      <c r="P758" s="327"/>
      <c r="R758" s="327"/>
      <c r="T758" s="327"/>
      <c r="V758" s="327"/>
      <c r="X758" s="327"/>
      <c r="Z758" s="327"/>
      <c r="AB758" s="327"/>
      <c r="AD758" s="327"/>
      <c r="AF758" s="327"/>
    </row>
    <row r="759" spans="2:32" s="326" customFormat="1" ht="9.9499999999999993" customHeight="1" x14ac:dyDescent="0.2">
      <c r="B759" s="327"/>
      <c r="F759" s="327"/>
      <c r="H759" s="327"/>
      <c r="J759" s="327"/>
      <c r="L759" s="327"/>
      <c r="N759" s="327"/>
      <c r="P759" s="327"/>
      <c r="R759" s="327"/>
      <c r="T759" s="327"/>
      <c r="V759" s="327"/>
      <c r="X759" s="327"/>
      <c r="Z759" s="327"/>
      <c r="AB759" s="327"/>
      <c r="AD759" s="327"/>
      <c r="AF759" s="327"/>
    </row>
    <row r="760" spans="2:32" s="326" customFormat="1" ht="9.9499999999999993" customHeight="1" x14ac:dyDescent="0.2">
      <c r="B760" s="327"/>
      <c r="F760" s="327"/>
      <c r="H760" s="327"/>
      <c r="J760" s="327"/>
      <c r="L760" s="327"/>
      <c r="N760" s="327"/>
      <c r="P760" s="327"/>
      <c r="R760" s="327"/>
      <c r="T760" s="327"/>
      <c r="V760" s="327"/>
      <c r="X760" s="327"/>
      <c r="Z760" s="327"/>
      <c r="AB760" s="327"/>
      <c r="AD760" s="327"/>
      <c r="AF760" s="327"/>
    </row>
    <row r="761" spans="2:32" s="326" customFormat="1" ht="9.9499999999999993" customHeight="1" x14ac:dyDescent="0.2">
      <c r="B761" s="327"/>
      <c r="F761" s="327"/>
      <c r="H761" s="327"/>
      <c r="J761" s="327"/>
      <c r="L761" s="327"/>
      <c r="N761" s="327"/>
      <c r="P761" s="327"/>
      <c r="R761" s="327"/>
      <c r="T761" s="327"/>
      <c r="V761" s="327"/>
      <c r="X761" s="327"/>
      <c r="Z761" s="327"/>
      <c r="AB761" s="327"/>
      <c r="AD761" s="327"/>
      <c r="AF761" s="327"/>
    </row>
    <row r="762" spans="2:32" s="326" customFormat="1" ht="9.9499999999999993" customHeight="1" x14ac:dyDescent="0.2">
      <c r="B762" s="327"/>
      <c r="F762" s="327"/>
      <c r="H762" s="327"/>
      <c r="J762" s="327"/>
      <c r="L762" s="327"/>
      <c r="N762" s="327"/>
      <c r="P762" s="327"/>
      <c r="R762" s="327"/>
      <c r="T762" s="327"/>
      <c r="V762" s="327"/>
      <c r="X762" s="327"/>
      <c r="Z762" s="327"/>
      <c r="AB762" s="327"/>
      <c r="AD762" s="327"/>
      <c r="AF762" s="327"/>
    </row>
    <row r="763" spans="2:32" s="326" customFormat="1" ht="9.9499999999999993" customHeight="1" x14ac:dyDescent="0.2">
      <c r="B763" s="327"/>
      <c r="F763" s="327"/>
      <c r="H763" s="327"/>
      <c r="J763" s="327"/>
      <c r="L763" s="327"/>
      <c r="N763" s="327"/>
      <c r="P763" s="327"/>
      <c r="R763" s="327"/>
      <c r="T763" s="327"/>
      <c r="V763" s="327"/>
      <c r="X763" s="327"/>
      <c r="Z763" s="327"/>
      <c r="AB763" s="327"/>
      <c r="AD763" s="327"/>
      <c r="AF763" s="327"/>
    </row>
    <row r="764" spans="2:32" s="326" customFormat="1" ht="9.9499999999999993" customHeight="1" x14ac:dyDescent="0.2">
      <c r="B764" s="327"/>
      <c r="F764" s="327"/>
      <c r="H764" s="327"/>
      <c r="J764" s="327"/>
      <c r="L764" s="327"/>
      <c r="N764" s="327"/>
      <c r="P764" s="327"/>
      <c r="R764" s="327"/>
      <c r="T764" s="327"/>
      <c r="V764" s="327"/>
      <c r="X764" s="327"/>
      <c r="Z764" s="327"/>
      <c r="AB764" s="327"/>
      <c r="AD764" s="327"/>
      <c r="AF764" s="327"/>
    </row>
    <row r="765" spans="2:32" s="326" customFormat="1" ht="9.9499999999999993" customHeight="1" x14ac:dyDescent="0.2">
      <c r="B765" s="327"/>
      <c r="F765" s="327"/>
      <c r="H765" s="327"/>
      <c r="J765" s="327"/>
      <c r="L765" s="327"/>
      <c r="N765" s="327"/>
      <c r="P765" s="327"/>
      <c r="R765" s="327"/>
      <c r="T765" s="327"/>
      <c r="V765" s="327"/>
      <c r="X765" s="327"/>
      <c r="Z765" s="327"/>
      <c r="AB765" s="327"/>
      <c r="AD765" s="327"/>
      <c r="AF765" s="327"/>
    </row>
    <row r="766" spans="2:32" s="326" customFormat="1" ht="9.9499999999999993" customHeight="1" x14ac:dyDescent="0.2">
      <c r="B766" s="327"/>
      <c r="F766" s="327"/>
      <c r="H766" s="327"/>
      <c r="J766" s="327"/>
      <c r="L766" s="327"/>
      <c r="N766" s="327"/>
      <c r="P766" s="327"/>
      <c r="R766" s="327"/>
      <c r="T766" s="327"/>
      <c r="V766" s="327"/>
      <c r="X766" s="327"/>
      <c r="Z766" s="327"/>
      <c r="AB766" s="327"/>
      <c r="AD766" s="327"/>
      <c r="AF766" s="327"/>
    </row>
    <row r="767" spans="2:32" s="326" customFormat="1" ht="9.9499999999999993" customHeight="1" x14ac:dyDescent="0.2">
      <c r="B767" s="327"/>
      <c r="F767" s="327"/>
      <c r="H767" s="327"/>
      <c r="J767" s="327"/>
      <c r="L767" s="327"/>
      <c r="N767" s="327"/>
      <c r="P767" s="327"/>
      <c r="R767" s="327"/>
      <c r="T767" s="327"/>
      <c r="V767" s="327"/>
      <c r="X767" s="327"/>
      <c r="Z767" s="327"/>
      <c r="AB767" s="327"/>
      <c r="AD767" s="327"/>
      <c r="AF767" s="327"/>
    </row>
    <row r="768" spans="2:32" s="326" customFormat="1" ht="9.9499999999999993" customHeight="1" x14ac:dyDescent="0.2">
      <c r="B768" s="327"/>
      <c r="F768" s="327"/>
      <c r="H768" s="327"/>
      <c r="J768" s="327"/>
      <c r="L768" s="327"/>
      <c r="N768" s="327"/>
      <c r="P768" s="327"/>
      <c r="R768" s="327"/>
      <c r="T768" s="327"/>
      <c r="V768" s="327"/>
      <c r="X768" s="327"/>
      <c r="Z768" s="327"/>
      <c r="AB768" s="327"/>
      <c r="AD768" s="327"/>
      <c r="AF768" s="327"/>
    </row>
    <row r="769" spans="2:32" s="326" customFormat="1" ht="9.9499999999999993" customHeight="1" x14ac:dyDescent="0.2">
      <c r="B769" s="327"/>
      <c r="F769" s="327"/>
      <c r="H769" s="327"/>
      <c r="J769" s="327"/>
      <c r="L769" s="327"/>
      <c r="N769" s="327"/>
      <c r="P769" s="327"/>
      <c r="R769" s="327"/>
      <c r="T769" s="327"/>
      <c r="V769" s="327"/>
      <c r="X769" s="327"/>
      <c r="Z769" s="327"/>
      <c r="AB769" s="327"/>
      <c r="AD769" s="327"/>
      <c r="AF769" s="327"/>
    </row>
    <row r="770" spans="2:32" s="326" customFormat="1" ht="9.9499999999999993" customHeight="1" x14ac:dyDescent="0.2">
      <c r="B770" s="327"/>
      <c r="F770" s="327"/>
      <c r="H770" s="327"/>
      <c r="J770" s="327"/>
      <c r="L770" s="327"/>
      <c r="N770" s="327"/>
      <c r="P770" s="327"/>
      <c r="R770" s="327"/>
      <c r="T770" s="327"/>
      <c r="V770" s="327"/>
      <c r="X770" s="327"/>
      <c r="Z770" s="327"/>
      <c r="AB770" s="327"/>
      <c r="AD770" s="327"/>
      <c r="AF770" s="327"/>
    </row>
    <row r="771" spans="2:32" s="326" customFormat="1" ht="9.9499999999999993" customHeight="1" x14ac:dyDescent="0.2">
      <c r="B771" s="327"/>
      <c r="F771" s="327"/>
      <c r="H771" s="327"/>
      <c r="J771" s="327"/>
      <c r="L771" s="327"/>
      <c r="N771" s="327"/>
      <c r="P771" s="327"/>
      <c r="R771" s="327"/>
      <c r="T771" s="327"/>
      <c r="V771" s="327"/>
      <c r="X771" s="327"/>
      <c r="Z771" s="327"/>
      <c r="AB771" s="327"/>
      <c r="AD771" s="327"/>
      <c r="AF771" s="327"/>
    </row>
    <row r="772" spans="2:32" s="326" customFormat="1" ht="9.9499999999999993" customHeight="1" x14ac:dyDescent="0.2">
      <c r="B772" s="327"/>
      <c r="F772" s="327"/>
      <c r="H772" s="327"/>
      <c r="J772" s="327"/>
      <c r="L772" s="327"/>
      <c r="N772" s="327"/>
      <c r="P772" s="327"/>
      <c r="R772" s="327"/>
      <c r="T772" s="327"/>
      <c r="V772" s="327"/>
      <c r="X772" s="327"/>
      <c r="Z772" s="327"/>
      <c r="AB772" s="327"/>
      <c r="AD772" s="327"/>
      <c r="AF772" s="327"/>
    </row>
    <row r="773" spans="2:32" s="326" customFormat="1" ht="9.9499999999999993" customHeight="1" x14ac:dyDescent="0.2">
      <c r="B773" s="327"/>
      <c r="F773" s="327"/>
      <c r="H773" s="327"/>
      <c r="J773" s="327"/>
      <c r="L773" s="327"/>
      <c r="N773" s="327"/>
      <c r="P773" s="327"/>
      <c r="R773" s="327"/>
      <c r="T773" s="327"/>
      <c r="V773" s="327"/>
      <c r="X773" s="327"/>
      <c r="Z773" s="327"/>
      <c r="AB773" s="327"/>
      <c r="AD773" s="327"/>
      <c r="AF773" s="327"/>
    </row>
    <row r="774" spans="2:32" s="326" customFormat="1" ht="9.9499999999999993" customHeight="1" x14ac:dyDescent="0.2">
      <c r="B774" s="327"/>
      <c r="F774" s="327"/>
      <c r="H774" s="327"/>
      <c r="J774" s="327"/>
      <c r="L774" s="327"/>
      <c r="N774" s="327"/>
      <c r="P774" s="327"/>
      <c r="R774" s="327"/>
      <c r="T774" s="327"/>
      <c r="V774" s="327"/>
      <c r="X774" s="327"/>
      <c r="Z774" s="327"/>
      <c r="AB774" s="327"/>
      <c r="AD774" s="327"/>
      <c r="AF774" s="327"/>
    </row>
    <row r="775" spans="2:32" s="326" customFormat="1" ht="9.9499999999999993" customHeight="1" x14ac:dyDescent="0.2">
      <c r="B775" s="327"/>
      <c r="F775" s="327"/>
      <c r="H775" s="327"/>
      <c r="J775" s="327"/>
      <c r="L775" s="327"/>
      <c r="N775" s="327"/>
      <c r="P775" s="327"/>
      <c r="R775" s="327"/>
      <c r="T775" s="327"/>
      <c r="V775" s="327"/>
      <c r="X775" s="327"/>
      <c r="Z775" s="327"/>
      <c r="AB775" s="327"/>
      <c r="AD775" s="327"/>
      <c r="AF775" s="327"/>
    </row>
    <row r="776" spans="2:32" s="326" customFormat="1" ht="9.9499999999999993" customHeight="1" x14ac:dyDescent="0.2">
      <c r="B776" s="327"/>
      <c r="F776" s="327"/>
      <c r="H776" s="327"/>
      <c r="J776" s="327"/>
      <c r="L776" s="327"/>
      <c r="N776" s="327"/>
      <c r="P776" s="327"/>
      <c r="R776" s="327"/>
      <c r="T776" s="327"/>
      <c r="V776" s="327"/>
      <c r="X776" s="327"/>
      <c r="Z776" s="327"/>
      <c r="AB776" s="327"/>
      <c r="AD776" s="327"/>
      <c r="AF776" s="327"/>
    </row>
    <row r="777" spans="2:32" s="326" customFormat="1" ht="9.9499999999999993" customHeight="1" x14ac:dyDescent="0.2">
      <c r="B777" s="327"/>
      <c r="F777" s="327"/>
      <c r="H777" s="327"/>
      <c r="J777" s="327"/>
      <c r="L777" s="327"/>
      <c r="N777" s="327"/>
      <c r="P777" s="327"/>
      <c r="R777" s="327"/>
      <c r="T777" s="327"/>
      <c r="V777" s="327"/>
      <c r="X777" s="327"/>
      <c r="Z777" s="327"/>
      <c r="AB777" s="327"/>
      <c r="AD777" s="327"/>
      <c r="AF777" s="327"/>
    </row>
    <row r="778" spans="2:32" s="326" customFormat="1" ht="9.9499999999999993" customHeight="1" x14ac:dyDescent="0.2">
      <c r="B778" s="327"/>
      <c r="F778" s="327"/>
      <c r="H778" s="327"/>
      <c r="J778" s="327"/>
      <c r="L778" s="327"/>
      <c r="N778" s="327"/>
      <c r="P778" s="327"/>
      <c r="R778" s="327"/>
      <c r="T778" s="327"/>
      <c r="V778" s="327"/>
      <c r="X778" s="327"/>
      <c r="Z778" s="327"/>
      <c r="AB778" s="327"/>
      <c r="AD778" s="327"/>
      <c r="AF778" s="327"/>
    </row>
    <row r="779" spans="2:32" s="326" customFormat="1" ht="9.9499999999999993" customHeight="1" x14ac:dyDescent="0.2">
      <c r="B779" s="327"/>
      <c r="F779" s="327"/>
      <c r="H779" s="327"/>
      <c r="J779" s="327"/>
      <c r="L779" s="327"/>
      <c r="N779" s="327"/>
      <c r="P779" s="327"/>
      <c r="R779" s="327"/>
      <c r="T779" s="327"/>
      <c r="V779" s="327"/>
      <c r="X779" s="327"/>
      <c r="Z779" s="327"/>
      <c r="AB779" s="327"/>
      <c r="AD779" s="327"/>
      <c r="AF779" s="327"/>
    </row>
    <row r="780" spans="2:32" s="326" customFormat="1" ht="9.9499999999999993" customHeight="1" x14ac:dyDescent="0.2">
      <c r="B780" s="327"/>
      <c r="F780" s="327"/>
      <c r="H780" s="327"/>
      <c r="J780" s="327"/>
      <c r="L780" s="327"/>
      <c r="N780" s="327"/>
      <c r="P780" s="327"/>
      <c r="R780" s="327"/>
      <c r="T780" s="327"/>
      <c r="V780" s="327"/>
      <c r="X780" s="327"/>
      <c r="Z780" s="327"/>
      <c r="AB780" s="327"/>
      <c r="AD780" s="327"/>
      <c r="AF780" s="327"/>
    </row>
    <row r="781" spans="2:32" s="326" customFormat="1" ht="9.9499999999999993" customHeight="1" x14ac:dyDescent="0.2">
      <c r="B781" s="327"/>
      <c r="F781" s="327"/>
      <c r="H781" s="327"/>
      <c r="J781" s="327"/>
      <c r="L781" s="327"/>
      <c r="N781" s="327"/>
      <c r="P781" s="327"/>
      <c r="R781" s="327"/>
      <c r="T781" s="327"/>
      <c r="V781" s="327"/>
      <c r="X781" s="327"/>
      <c r="Z781" s="327"/>
      <c r="AB781" s="327"/>
      <c r="AD781" s="327"/>
      <c r="AF781" s="327"/>
    </row>
    <row r="782" spans="2:32" s="326" customFormat="1" ht="9.9499999999999993" customHeight="1" x14ac:dyDescent="0.2">
      <c r="B782" s="327"/>
      <c r="F782" s="327"/>
      <c r="H782" s="327"/>
      <c r="J782" s="327"/>
      <c r="L782" s="327"/>
      <c r="N782" s="327"/>
      <c r="P782" s="327"/>
      <c r="R782" s="327"/>
      <c r="T782" s="327"/>
      <c r="V782" s="327"/>
      <c r="X782" s="327"/>
      <c r="Z782" s="327"/>
      <c r="AB782" s="327"/>
      <c r="AD782" s="327"/>
      <c r="AF782" s="327"/>
    </row>
    <row r="783" spans="2:32" s="326" customFormat="1" ht="9.9499999999999993" customHeight="1" x14ac:dyDescent="0.2">
      <c r="B783" s="327"/>
      <c r="F783" s="327"/>
      <c r="H783" s="327"/>
      <c r="J783" s="327"/>
      <c r="L783" s="327"/>
      <c r="N783" s="327"/>
      <c r="P783" s="327"/>
      <c r="R783" s="327"/>
      <c r="T783" s="327"/>
      <c r="V783" s="327"/>
      <c r="X783" s="327"/>
      <c r="Z783" s="327"/>
      <c r="AB783" s="327"/>
      <c r="AD783" s="327"/>
      <c r="AF783" s="327"/>
    </row>
    <row r="784" spans="2:32" s="326" customFormat="1" ht="9.9499999999999993" customHeight="1" x14ac:dyDescent="0.2">
      <c r="B784" s="327"/>
      <c r="F784" s="327"/>
      <c r="H784" s="327"/>
      <c r="J784" s="327"/>
      <c r="L784" s="327"/>
      <c r="N784" s="327"/>
      <c r="P784" s="327"/>
      <c r="R784" s="327"/>
      <c r="T784" s="327"/>
      <c r="V784" s="327"/>
      <c r="X784" s="327"/>
      <c r="Z784" s="327"/>
      <c r="AB784" s="327"/>
      <c r="AD784" s="327"/>
      <c r="AF784" s="327"/>
    </row>
    <row r="785" spans="2:32" s="326" customFormat="1" ht="9.9499999999999993" customHeight="1" x14ac:dyDescent="0.2">
      <c r="B785" s="327"/>
      <c r="F785" s="327"/>
      <c r="H785" s="327"/>
      <c r="J785" s="327"/>
      <c r="L785" s="327"/>
      <c r="N785" s="327"/>
      <c r="P785" s="327"/>
      <c r="R785" s="327"/>
      <c r="T785" s="327"/>
      <c r="V785" s="327"/>
      <c r="X785" s="327"/>
      <c r="Z785" s="327"/>
      <c r="AB785" s="327"/>
      <c r="AD785" s="327"/>
      <c r="AF785" s="327"/>
    </row>
    <row r="786" spans="2:32" s="326" customFormat="1" ht="9.9499999999999993" customHeight="1" x14ac:dyDescent="0.2">
      <c r="B786" s="327"/>
      <c r="F786" s="327"/>
      <c r="H786" s="327"/>
      <c r="J786" s="327"/>
      <c r="L786" s="327"/>
      <c r="N786" s="327"/>
      <c r="P786" s="327"/>
      <c r="R786" s="327"/>
      <c r="T786" s="327"/>
      <c r="V786" s="327"/>
      <c r="X786" s="327"/>
      <c r="Z786" s="327"/>
      <c r="AB786" s="327"/>
      <c r="AD786" s="327"/>
      <c r="AF786" s="327"/>
    </row>
    <row r="787" spans="2:32" s="326" customFormat="1" ht="9.9499999999999993" customHeight="1" x14ac:dyDescent="0.2">
      <c r="B787" s="327"/>
      <c r="F787" s="327"/>
      <c r="H787" s="327"/>
      <c r="J787" s="327"/>
      <c r="L787" s="327"/>
      <c r="N787" s="327"/>
      <c r="P787" s="327"/>
      <c r="R787" s="327"/>
      <c r="T787" s="327"/>
      <c r="V787" s="327"/>
      <c r="X787" s="327"/>
      <c r="Z787" s="327"/>
      <c r="AB787" s="327"/>
      <c r="AD787" s="327"/>
      <c r="AF787" s="327"/>
    </row>
    <row r="788" spans="2:32" s="326" customFormat="1" ht="9.9499999999999993" customHeight="1" x14ac:dyDescent="0.2">
      <c r="B788" s="327"/>
      <c r="F788" s="327"/>
      <c r="H788" s="327"/>
      <c r="J788" s="327"/>
      <c r="L788" s="327"/>
      <c r="N788" s="327"/>
      <c r="P788" s="327"/>
      <c r="R788" s="327"/>
      <c r="T788" s="327"/>
      <c r="V788" s="327"/>
      <c r="X788" s="327"/>
      <c r="Z788" s="327"/>
      <c r="AB788" s="327"/>
      <c r="AD788" s="327"/>
      <c r="AF788" s="327"/>
    </row>
    <row r="789" spans="2:32" s="326" customFormat="1" ht="9.9499999999999993" customHeight="1" x14ac:dyDescent="0.2">
      <c r="B789" s="327"/>
      <c r="F789" s="327"/>
      <c r="H789" s="327"/>
      <c r="J789" s="327"/>
      <c r="L789" s="327"/>
      <c r="N789" s="327"/>
      <c r="P789" s="327"/>
      <c r="R789" s="327"/>
      <c r="T789" s="327"/>
      <c r="V789" s="327"/>
      <c r="X789" s="327"/>
      <c r="Z789" s="327"/>
      <c r="AB789" s="327"/>
      <c r="AD789" s="327"/>
      <c r="AF789" s="327"/>
    </row>
    <row r="790" spans="2:32" s="326" customFormat="1" ht="9.9499999999999993" customHeight="1" x14ac:dyDescent="0.2">
      <c r="B790" s="327"/>
      <c r="F790" s="327"/>
      <c r="H790" s="327"/>
      <c r="J790" s="327"/>
      <c r="L790" s="327"/>
      <c r="N790" s="327"/>
      <c r="P790" s="327"/>
      <c r="R790" s="327"/>
      <c r="T790" s="327"/>
      <c r="V790" s="327"/>
      <c r="X790" s="327"/>
      <c r="Z790" s="327"/>
      <c r="AB790" s="327"/>
      <c r="AD790" s="327"/>
      <c r="AF790" s="327"/>
    </row>
    <row r="791" spans="2:32" s="326" customFormat="1" ht="9.9499999999999993" customHeight="1" x14ac:dyDescent="0.2">
      <c r="B791" s="327"/>
      <c r="F791" s="327"/>
      <c r="H791" s="327"/>
      <c r="J791" s="327"/>
      <c r="L791" s="327"/>
      <c r="N791" s="327"/>
      <c r="P791" s="327"/>
      <c r="R791" s="327"/>
      <c r="T791" s="327"/>
      <c r="V791" s="327"/>
      <c r="X791" s="327"/>
      <c r="Z791" s="327"/>
      <c r="AB791" s="327"/>
      <c r="AD791" s="327"/>
      <c r="AF791" s="327"/>
    </row>
    <row r="792" spans="2:32" s="326" customFormat="1" ht="9.9499999999999993" customHeight="1" x14ac:dyDescent="0.2">
      <c r="B792" s="327"/>
      <c r="F792" s="327"/>
      <c r="H792" s="327"/>
      <c r="J792" s="327"/>
      <c r="L792" s="327"/>
      <c r="N792" s="327"/>
      <c r="P792" s="327"/>
      <c r="R792" s="327"/>
      <c r="T792" s="327"/>
      <c r="V792" s="327"/>
      <c r="X792" s="327"/>
      <c r="Z792" s="327"/>
      <c r="AB792" s="327"/>
      <c r="AD792" s="327"/>
      <c r="AF792" s="327"/>
    </row>
    <row r="793" spans="2:32" s="326" customFormat="1" ht="9.9499999999999993" customHeight="1" x14ac:dyDescent="0.2">
      <c r="B793" s="327"/>
      <c r="F793" s="327"/>
      <c r="H793" s="327"/>
      <c r="J793" s="327"/>
      <c r="L793" s="327"/>
      <c r="N793" s="327"/>
      <c r="P793" s="327"/>
      <c r="R793" s="327"/>
      <c r="T793" s="327"/>
      <c r="V793" s="327"/>
      <c r="X793" s="327"/>
      <c r="Z793" s="327"/>
      <c r="AB793" s="327"/>
      <c r="AD793" s="327"/>
      <c r="AF793" s="327"/>
    </row>
    <row r="794" spans="2:32" s="326" customFormat="1" ht="9.9499999999999993" customHeight="1" x14ac:dyDescent="0.2">
      <c r="B794" s="327"/>
      <c r="F794" s="327"/>
      <c r="H794" s="327"/>
      <c r="J794" s="327"/>
      <c r="L794" s="327"/>
      <c r="N794" s="327"/>
      <c r="P794" s="327"/>
      <c r="R794" s="327"/>
      <c r="T794" s="327"/>
      <c r="V794" s="327"/>
      <c r="X794" s="327"/>
      <c r="Z794" s="327"/>
      <c r="AB794" s="327"/>
      <c r="AD794" s="327"/>
      <c r="AF794" s="327"/>
    </row>
    <row r="795" spans="2:32" s="326" customFormat="1" ht="9.9499999999999993" customHeight="1" x14ac:dyDescent="0.2">
      <c r="B795" s="327"/>
      <c r="F795" s="327"/>
      <c r="H795" s="327"/>
      <c r="J795" s="327"/>
      <c r="L795" s="327"/>
      <c r="N795" s="327"/>
      <c r="P795" s="327"/>
      <c r="R795" s="327"/>
      <c r="T795" s="327"/>
      <c r="V795" s="327"/>
      <c r="X795" s="327"/>
      <c r="Z795" s="327"/>
      <c r="AB795" s="327"/>
      <c r="AD795" s="327"/>
      <c r="AF795" s="327"/>
    </row>
    <row r="796" spans="2:32" s="326" customFormat="1" ht="9.9499999999999993" customHeight="1" x14ac:dyDescent="0.2">
      <c r="B796" s="327"/>
      <c r="F796" s="327"/>
      <c r="H796" s="327"/>
      <c r="J796" s="327"/>
      <c r="L796" s="327"/>
      <c r="N796" s="327"/>
      <c r="P796" s="327"/>
      <c r="R796" s="327"/>
      <c r="T796" s="327"/>
      <c r="V796" s="327"/>
      <c r="X796" s="327"/>
      <c r="Z796" s="327"/>
      <c r="AB796" s="327"/>
      <c r="AD796" s="327"/>
      <c r="AF796" s="327"/>
    </row>
    <row r="797" spans="2:32" s="326" customFormat="1" ht="9.9499999999999993" customHeight="1" x14ac:dyDescent="0.2">
      <c r="B797" s="327"/>
      <c r="F797" s="327"/>
      <c r="H797" s="327"/>
      <c r="J797" s="327"/>
      <c r="L797" s="327"/>
      <c r="N797" s="327"/>
      <c r="P797" s="327"/>
      <c r="R797" s="327"/>
      <c r="T797" s="327"/>
      <c r="V797" s="327"/>
      <c r="X797" s="327"/>
      <c r="Z797" s="327"/>
      <c r="AB797" s="327"/>
      <c r="AD797" s="327"/>
      <c r="AF797" s="327"/>
    </row>
    <row r="798" spans="2:32" s="326" customFormat="1" ht="9.9499999999999993" customHeight="1" x14ac:dyDescent="0.2">
      <c r="B798" s="327"/>
      <c r="F798" s="327"/>
      <c r="H798" s="327"/>
      <c r="J798" s="327"/>
      <c r="L798" s="327"/>
      <c r="N798" s="327"/>
      <c r="P798" s="327"/>
      <c r="R798" s="327"/>
      <c r="T798" s="327"/>
      <c r="V798" s="327"/>
      <c r="X798" s="327"/>
      <c r="Z798" s="327"/>
      <c r="AB798" s="327"/>
      <c r="AD798" s="327"/>
      <c r="AF798" s="327"/>
    </row>
    <row r="799" spans="2:32" s="326" customFormat="1" ht="9.9499999999999993" customHeight="1" x14ac:dyDescent="0.2">
      <c r="B799" s="327"/>
      <c r="F799" s="327"/>
      <c r="H799" s="327"/>
      <c r="J799" s="327"/>
      <c r="L799" s="327"/>
      <c r="N799" s="327"/>
      <c r="P799" s="327"/>
      <c r="R799" s="327"/>
      <c r="T799" s="327"/>
      <c r="V799" s="327"/>
      <c r="X799" s="327"/>
      <c r="Z799" s="327"/>
      <c r="AB799" s="327"/>
      <c r="AD799" s="327"/>
      <c r="AF799" s="327"/>
    </row>
    <row r="800" spans="2:32" s="326" customFormat="1" ht="9.9499999999999993" customHeight="1" x14ac:dyDescent="0.2">
      <c r="B800" s="327"/>
      <c r="F800" s="327"/>
      <c r="H800" s="327"/>
      <c r="J800" s="327"/>
      <c r="L800" s="327"/>
      <c r="N800" s="327"/>
      <c r="P800" s="327"/>
      <c r="R800" s="327"/>
      <c r="T800" s="327"/>
      <c r="V800" s="327"/>
      <c r="X800" s="327"/>
      <c r="Z800" s="327"/>
      <c r="AB800" s="327"/>
      <c r="AD800" s="327"/>
      <c r="AF800" s="327"/>
    </row>
    <row r="801" spans="2:32" s="326" customFormat="1" ht="9.9499999999999993" customHeight="1" x14ac:dyDescent="0.2">
      <c r="B801" s="327"/>
      <c r="F801" s="327"/>
      <c r="H801" s="327"/>
      <c r="J801" s="327"/>
      <c r="L801" s="327"/>
      <c r="N801" s="327"/>
      <c r="P801" s="327"/>
      <c r="R801" s="327"/>
      <c r="T801" s="327"/>
      <c r="V801" s="327"/>
      <c r="X801" s="327"/>
      <c r="Z801" s="327"/>
      <c r="AB801" s="327"/>
      <c r="AD801" s="327"/>
      <c r="AF801" s="327"/>
    </row>
    <row r="802" spans="2:32" s="326" customFormat="1" ht="9.9499999999999993" customHeight="1" x14ac:dyDescent="0.2">
      <c r="B802" s="327"/>
      <c r="F802" s="327"/>
      <c r="H802" s="327"/>
      <c r="J802" s="327"/>
      <c r="L802" s="327"/>
      <c r="N802" s="327"/>
      <c r="P802" s="327"/>
      <c r="R802" s="327"/>
      <c r="T802" s="327"/>
      <c r="V802" s="327"/>
      <c r="X802" s="327"/>
      <c r="Z802" s="327"/>
      <c r="AB802" s="327"/>
      <c r="AD802" s="327"/>
      <c r="AF802" s="327"/>
    </row>
    <row r="803" spans="2:32" s="326" customFormat="1" ht="9.9499999999999993" customHeight="1" x14ac:dyDescent="0.2">
      <c r="B803" s="327"/>
      <c r="F803" s="327"/>
      <c r="H803" s="327"/>
      <c r="J803" s="327"/>
      <c r="L803" s="327"/>
      <c r="N803" s="327"/>
      <c r="P803" s="327"/>
      <c r="R803" s="327"/>
      <c r="T803" s="327"/>
      <c r="V803" s="327"/>
      <c r="X803" s="327"/>
      <c r="Z803" s="327"/>
      <c r="AB803" s="327"/>
      <c r="AD803" s="327"/>
      <c r="AF803" s="327"/>
    </row>
    <row r="804" spans="2:32" s="326" customFormat="1" ht="9.9499999999999993" customHeight="1" x14ac:dyDescent="0.2">
      <c r="B804" s="327"/>
      <c r="F804" s="327"/>
      <c r="H804" s="327"/>
      <c r="J804" s="327"/>
      <c r="L804" s="327"/>
      <c r="N804" s="327"/>
      <c r="P804" s="327"/>
      <c r="R804" s="327"/>
      <c r="T804" s="327"/>
      <c r="V804" s="327"/>
      <c r="X804" s="327"/>
      <c r="Z804" s="327"/>
      <c r="AB804" s="327"/>
      <c r="AD804" s="327"/>
      <c r="AF804" s="327"/>
    </row>
    <row r="805" spans="2:32" s="326" customFormat="1" ht="9.9499999999999993" customHeight="1" x14ac:dyDescent="0.2">
      <c r="B805" s="327"/>
      <c r="F805" s="327"/>
      <c r="H805" s="327"/>
      <c r="J805" s="327"/>
      <c r="L805" s="327"/>
      <c r="N805" s="327"/>
      <c r="P805" s="327"/>
      <c r="R805" s="327"/>
      <c r="T805" s="327"/>
      <c r="V805" s="327"/>
      <c r="X805" s="327"/>
      <c r="Z805" s="327"/>
      <c r="AB805" s="327"/>
      <c r="AD805" s="327"/>
      <c r="AF805" s="327"/>
    </row>
    <row r="806" spans="2:32" s="326" customFormat="1" ht="9.9499999999999993" customHeight="1" x14ac:dyDescent="0.2">
      <c r="B806" s="327"/>
      <c r="F806" s="327"/>
      <c r="H806" s="327"/>
      <c r="J806" s="327"/>
      <c r="L806" s="327"/>
      <c r="N806" s="327"/>
      <c r="P806" s="327"/>
      <c r="R806" s="327"/>
      <c r="T806" s="327"/>
      <c r="V806" s="327"/>
      <c r="X806" s="327"/>
      <c r="Z806" s="327"/>
      <c r="AB806" s="327"/>
      <c r="AD806" s="327"/>
      <c r="AF806" s="327"/>
    </row>
    <row r="807" spans="2:32" s="326" customFormat="1" ht="9.9499999999999993" customHeight="1" x14ac:dyDescent="0.2">
      <c r="B807" s="327"/>
      <c r="F807" s="327"/>
      <c r="H807" s="327"/>
      <c r="J807" s="327"/>
      <c r="L807" s="327"/>
      <c r="N807" s="327"/>
      <c r="P807" s="327"/>
      <c r="R807" s="327"/>
      <c r="T807" s="327"/>
      <c r="V807" s="327"/>
      <c r="X807" s="327"/>
      <c r="Z807" s="327"/>
      <c r="AB807" s="327"/>
      <c r="AD807" s="327"/>
      <c r="AF807" s="327"/>
    </row>
    <row r="808" spans="2:32" s="326" customFormat="1" ht="9.9499999999999993" customHeight="1" x14ac:dyDescent="0.2">
      <c r="B808" s="327"/>
      <c r="F808" s="327"/>
      <c r="H808" s="327"/>
      <c r="J808" s="327"/>
      <c r="L808" s="327"/>
      <c r="N808" s="327"/>
      <c r="P808" s="327"/>
      <c r="R808" s="327"/>
      <c r="T808" s="327"/>
      <c r="V808" s="327"/>
      <c r="X808" s="327"/>
      <c r="Z808" s="327"/>
      <c r="AB808" s="327"/>
      <c r="AD808" s="327"/>
      <c r="AF808" s="327"/>
    </row>
    <row r="809" spans="2:32" s="326" customFormat="1" ht="9.9499999999999993" customHeight="1" x14ac:dyDescent="0.2">
      <c r="B809" s="327"/>
      <c r="F809" s="327"/>
      <c r="H809" s="327"/>
      <c r="J809" s="327"/>
      <c r="L809" s="327"/>
      <c r="N809" s="327"/>
      <c r="P809" s="327"/>
      <c r="R809" s="327"/>
      <c r="T809" s="327"/>
      <c r="V809" s="327"/>
      <c r="X809" s="327"/>
      <c r="Z809" s="327"/>
      <c r="AB809" s="327"/>
      <c r="AD809" s="327"/>
      <c r="AF809" s="327"/>
    </row>
    <row r="810" spans="2:32" s="326" customFormat="1" ht="9.9499999999999993" customHeight="1" x14ac:dyDescent="0.2">
      <c r="B810" s="327"/>
      <c r="F810" s="327"/>
      <c r="H810" s="327"/>
      <c r="J810" s="327"/>
      <c r="L810" s="327"/>
      <c r="N810" s="327"/>
      <c r="P810" s="327"/>
      <c r="R810" s="327"/>
      <c r="T810" s="327"/>
      <c r="V810" s="327"/>
      <c r="X810" s="327"/>
      <c r="Z810" s="327"/>
      <c r="AB810" s="327"/>
      <c r="AD810" s="327"/>
      <c r="AF810" s="327"/>
    </row>
    <row r="811" spans="2:32" s="326" customFormat="1" ht="9.9499999999999993" customHeight="1" x14ac:dyDescent="0.2">
      <c r="B811" s="327"/>
      <c r="F811" s="327"/>
      <c r="H811" s="327"/>
      <c r="J811" s="327"/>
      <c r="L811" s="327"/>
      <c r="N811" s="327"/>
      <c r="P811" s="327"/>
      <c r="R811" s="327"/>
      <c r="T811" s="327"/>
      <c r="V811" s="327"/>
      <c r="X811" s="327"/>
      <c r="Z811" s="327"/>
      <c r="AB811" s="327"/>
      <c r="AD811" s="327"/>
      <c r="AF811" s="327"/>
    </row>
    <row r="812" spans="2:32" s="326" customFormat="1" ht="9.9499999999999993" customHeight="1" x14ac:dyDescent="0.2">
      <c r="B812" s="327"/>
      <c r="F812" s="327"/>
      <c r="H812" s="327"/>
      <c r="J812" s="327"/>
      <c r="L812" s="327"/>
      <c r="N812" s="327"/>
      <c r="P812" s="327"/>
      <c r="R812" s="327"/>
      <c r="T812" s="327"/>
      <c r="V812" s="327"/>
      <c r="X812" s="327"/>
      <c r="Z812" s="327"/>
      <c r="AB812" s="327"/>
      <c r="AD812" s="327"/>
      <c r="AF812" s="327"/>
    </row>
    <row r="813" spans="2:32" s="326" customFormat="1" ht="9.9499999999999993" customHeight="1" x14ac:dyDescent="0.2">
      <c r="B813" s="327"/>
      <c r="F813" s="327"/>
      <c r="H813" s="327"/>
      <c r="J813" s="327"/>
      <c r="L813" s="327"/>
      <c r="N813" s="327"/>
      <c r="P813" s="327"/>
      <c r="R813" s="327"/>
      <c r="T813" s="327"/>
      <c r="V813" s="327"/>
      <c r="X813" s="327"/>
      <c r="Z813" s="327"/>
      <c r="AB813" s="327"/>
      <c r="AD813" s="327"/>
      <c r="AF813" s="327"/>
    </row>
    <row r="814" spans="2:32" s="326" customFormat="1" ht="9.9499999999999993" customHeight="1" x14ac:dyDescent="0.2">
      <c r="B814" s="327"/>
      <c r="F814" s="327"/>
      <c r="H814" s="327"/>
      <c r="J814" s="327"/>
      <c r="L814" s="327"/>
      <c r="N814" s="327"/>
      <c r="P814" s="327"/>
      <c r="R814" s="327"/>
      <c r="T814" s="327"/>
      <c r="V814" s="327"/>
      <c r="X814" s="327"/>
      <c r="Z814" s="327"/>
      <c r="AB814" s="327"/>
      <c r="AD814" s="327"/>
      <c r="AF814" s="327"/>
    </row>
    <row r="815" spans="2:32" s="326" customFormat="1" ht="9.9499999999999993" customHeight="1" x14ac:dyDescent="0.2">
      <c r="B815" s="327"/>
      <c r="F815" s="327"/>
      <c r="H815" s="327"/>
      <c r="J815" s="327"/>
      <c r="L815" s="327"/>
      <c r="N815" s="327"/>
      <c r="P815" s="327"/>
      <c r="R815" s="327"/>
      <c r="T815" s="327"/>
      <c r="V815" s="327"/>
      <c r="X815" s="327"/>
      <c r="Z815" s="327"/>
      <c r="AB815" s="327"/>
      <c r="AD815" s="327"/>
      <c r="AF815" s="327"/>
    </row>
    <row r="816" spans="2:32" s="326" customFormat="1" ht="9.9499999999999993" customHeight="1" x14ac:dyDescent="0.2">
      <c r="B816" s="327"/>
      <c r="F816" s="327"/>
      <c r="H816" s="327"/>
      <c r="J816" s="327"/>
      <c r="L816" s="327"/>
      <c r="N816" s="327"/>
      <c r="P816" s="327"/>
      <c r="R816" s="327"/>
      <c r="T816" s="327"/>
      <c r="V816" s="327"/>
      <c r="X816" s="327"/>
      <c r="Z816" s="327"/>
      <c r="AB816" s="327"/>
      <c r="AD816" s="327"/>
      <c r="AF816" s="327"/>
    </row>
    <row r="817" spans="2:32" s="326" customFormat="1" ht="9.9499999999999993" customHeight="1" x14ac:dyDescent="0.2">
      <c r="B817" s="327"/>
      <c r="F817" s="327"/>
      <c r="H817" s="327"/>
      <c r="J817" s="327"/>
      <c r="L817" s="327"/>
      <c r="N817" s="327"/>
      <c r="P817" s="327"/>
      <c r="R817" s="327"/>
      <c r="T817" s="327"/>
      <c r="V817" s="327"/>
      <c r="X817" s="327"/>
      <c r="Z817" s="327"/>
      <c r="AB817" s="327"/>
      <c r="AD817" s="327"/>
      <c r="AF817" s="327"/>
    </row>
    <row r="818" spans="2:32" s="326" customFormat="1" ht="9.9499999999999993" customHeight="1" x14ac:dyDescent="0.2">
      <c r="B818" s="327"/>
      <c r="F818" s="327"/>
      <c r="H818" s="327"/>
      <c r="J818" s="327"/>
      <c r="L818" s="327"/>
      <c r="N818" s="327"/>
      <c r="P818" s="327"/>
      <c r="R818" s="327"/>
      <c r="T818" s="327"/>
      <c r="V818" s="327"/>
      <c r="X818" s="327"/>
      <c r="Z818" s="327"/>
      <c r="AB818" s="327"/>
      <c r="AD818" s="327"/>
      <c r="AF818" s="327"/>
    </row>
    <row r="819" spans="2:32" s="326" customFormat="1" ht="9.9499999999999993" customHeight="1" x14ac:dyDescent="0.2">
      <c r="B819" s="327"/>
      <c r="F819" s="327"/>
      <c r="H819" s="327"/>
      <c r="J819" s="327"/>
      <c r="L819" s="327"/>
      <c r="N819" s="327"/>
      <c r="P819" s="327"/>
      <c r="R819" s="327"/>
      <c r="T819" s="327"/>
      <c r="V819" s="327"/>
      <c r="X819" s="327"/>
      <c r="Z819" s="327"/>
      <c r="AB819" s="327"/>
      <c r="AD819" s="327"/>
      <c r="AF819" s="327"/>
    </row>
    <row r="820" spans="2:32" s="326" customFormat="1" ht="9.9499999999999993" customHeight="1" x14ac:dyDescent="0.2">
      <c r="B820" s="327"/>
      <c r="F820" s="327"/>
      <c r="H820" s="327"/>
      <c r="J820" s="327"/>
      <c r="L820" s="327"/>
      <c r="N820" s="327"/>
      <c r="P820" s="327"/>
      <c r="R820" s="327"/>
      <c r="T820" s="327"/>
      <c r="V820" s="327"/>
      <c r="X820" s="327"/>
      <c r="Z820" s="327"/>
      <c r="AB820" s="327"/>
      <c r="AD820" s="327"/>
      <c r="AF820" s="327"/>
    </row>
    <row r="821" spans="2:32" s="326" customFormat="1" ht="9.9499999999999993" customHeight="1" x14ac:dyDescent="0.2">
      <c r="B821" s="327"/>
      <c r="F821" s="327"/>
      <c r="H821" s="327"/>
      <c r="J821" s="327"/>
      <c r="L821" s="327"/>
      <c r="N821" s="327"/>
      <c r="P821" s="327"/>
      <c r="R821" s="327"/>
      <c r="T821" s="327"/>
      <c r="V821" s="327"/>
      <c r="X821" s="327"/>
      <c r="Z821" s="327"/>
      <c r="AB821" s="327"/>
      <c r="AD821" s="327"/>
      <c r="AF821" s="327"/>
    </row>
    <row r="822" spans="2:32" s="326" customFormat="1" ht="9.9499999999999993" customHeight="1" x14ac:dyDescent="0.2">
      <c r="B822" s="327"/>
      <c r="F822" s="327"/>
      <c r="H822" s="327"/>
      <c r="J822" s="327"/>
      <c r="L822" s="327"/>
      <c r="N822" s="327"/>
      <c r="P822" s="327"/>
      <c r="R822" s="327"/>
      <c r="T822" s="327"/>
      <c r="V822" s="327"/>
      <c r="X822" s="327"/>
      <c r="Z822" s="327"/>
      <c r="AB822" s="327"/>
      <c r="AD822" s="327"/>
      <c r="AF822" s="327"/>
    </row>
    <row r="823" spans="2:32" s="326" customFormat="1" ht="9.9499999999999993" customHeight="1" x14ac:dyDescent="0.2">
      <c r="B823" s="327"/>
      <c r="F823" s="327"/>
      <c r="H823" s="327"/>
      <c r="J823" s="327"/>
      <c r="L823" s="327"/>
      <c r="N823" s="327"/>
      <c r="P823" s="327"/>
      <c r="R823" s="327"/>
      <c r="T823" s="327"/>
      <c r="V823" s="327"/>
      <c r="X823" s="327"/>
      <c r="Z823" s="327"/>
      <c r="AB823" s="327"/>
      <c r="AD823" s="327"/>
      <c r="AF823" s="327"/>
    </row>
  </sheetData>
  <mergeCells count="2">
    <mergeCell ref="O1:AG1"/>
    <mergeCell ref="A4:I4"/>
  </mergeCells>
  <phoneticPr fontId="9" type="noConversion"/>
  <printOptions horizontalCentered="1"/>
  <pageMargins left="0.5" right="0.5" top="0.5" bottom="0.625" header="0.5" footer="0.5"/>
  <pageSetup scale="5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theme="6" tint="0.39997558519241921"/>
    <pageSetUpPr fitToPage="1"/>
  </sheetPr>
  <dimension ref="A1:P812"/>
  <sheetViews>
    <sheetView view="pageBreakPreview" zoomScaleNormal="100" workbookViewId="0">
      <selection activeCell="Z13" activeCellId="3" sqref="Z18 Z17 Z15 Z13"/>
    </sheetView>
  </sheetViews>
  <sheetFormatPr defaultColWidth="9.140625" defaultRowHeight="9.9499999999999993" customHeight="1" x14ac:dyDescent="0.2"/>
  <cols>
    <col min="1" max="1" width="38.42578125" style="314" customWidth="1"/>
    <col min="2" max="2" width="1.5703125" style="329" customWidth="1"/>
    <col min="3" max="3" width="13.42578125" style="314" customWidth="1"/>
    <col min="4" max="4" width="1.5703125" style="314" customWidth="1"/>
    <col min="5" max="5" width="13.42578125" style="314" customWidth="1"/>
    <col min="6" max="6" width="1.5703125" style="329" customWidth="1"/>
    <col min="7" max="7" width="13.42578125" style="314" customWidth="1"/>
    <col min="8" max="8" width="1.5703125" style="329" customWidth="1"/>
    <col min="9" max="9" width="13.42578125" style="314" customWidth="1"/>
    <col min="10" max="10" width="7.5703125" style="314" customWidth="1"/>
    <col min="11" max="16384" width="9.140625" style="314"/>
  </cols>
  <sheetData>
    <row r="1" spans="1:16" s="247" customFormat="1" ht="16.5" customHeight="1" thickBot="1" x14ac:dyDescent="0.25">
      <c r="A1" s="1582" t="s">
        <v>1033</v>
      </c>
      <c r="B1" s="1582"/>
      <c r="C1" s="1582"/>
      <c r="D1" s="1582"/>
      <c r="E1" s="1582"/>
      <c r="F1" s="1582"/>
      <c r="G1" s="1582"/>
      <c r="H1" s="1582"/>
      <c r="I1" s="1582"/>
      <c r="J1" s="456"/>
    </row>
    <row r="2" spans="1:16" s="247" customFormat="1" ht="15" customHeight="1" x14ac:dyDescent="0.2">
      <c r="A2" s="700" t="s">
        <v>461</v>
      </c>
      <c r="B2" s="310"/>
      <c r="C2" s="310"/>
      <c r="D2" s="310"/>
      <c r="E2" s="310"/>
      <c r="F2" s="310"/>
      <c r="G2" s="310"/>
      <c r="H2" s="302"/>
      <c r="I2" s="302"/>
    </row>
    <row r="3" spans="1:16" s="247" customFormat="1" ht="15" customHeight="1" x14ac:dyDescent="0.2">
      <c r="A3" s="700" t="s">
        <v>229</v>
      </c>
      <c r="B3" s="310"/>
      <c r="C3" s="310"/>
      <c r="D3" s="310"/>
      <c r="E3" s="310"/>
      <c r="F3" s="310"/>
      <c r="G3" s="310"/>
      <c r="H3" s="302"/>
      <c r="I3" s="302"/>
    </row>
    <row r="4" spans="1:16" s="247" customFormat="1" ht="12.95" customHeight="1" x14ac:dyDescent="0.2">
      <c r="A4" s="506" t="s">
        <v>1724</v>
      </c>
      <c r="B4" s="432"/>
      <c r="C4" s="432"/>
      <c r="D4" s="432"/>
      <c r="E4" s="432"/>
      <c r="F4" s="432"/>
      <c r="G4" s="432"/>
      <c r="H4" s="311"/>
      <c r="I4" s="311"/>
    </row>
    <row r="5" spans="1:16" s="247" customFormat="1" ht="12" customHeight="1" x14ac:dyDescent="0.2">
      <c r="A5" s="253" t="s">
        <v>972</v>
      </c>
      <c r="B5" s="433"/>
      <c r="C5" s="433"/>
      <c r="D5" s="433"/>
      <c r="E5" s="433"/>
      <c r="F5" s="433"/>
      <c r="G5" s="433"/>
      <c r="H5" s="311"/>
    </row>
    <row r="6" spans="1:16" s="212" customFormat="1" ht="12.6" customHeight="1" x14ac:dyDescent="0.2">
      <c r="B6" s="433"/>
      <c r="C6" s="433"/>
      <c r="D6" s="433"/>
      <c r="E6" s="433"/>
      <c r="F6" s="433"/>
      <c r="G6" s="433"/>
      <c r="H6" s="457"/>
    </row>
    <row r="7" spans="1:16" s="212" customFormat="1" ht="12.6" customHeight="1" x14ac:dyDescent="0.2">
      <c r="A7" s="458"/>
      <c r="C7" s="310" t="s">
        <v>108</v>
      </c>
      <c r="D7" s="310"/>
      <c r="E7" s="310" t="s">
        <v>551</v>
      </c>
      <c r="F7" s="458"/>
      <c r="G7" s="310" t="s">
        <v>256</v>
      </c>
      <c r="I7" s="310" t="s">
        <v>671</v>
      </c>
    </row>
    <row r="8" spans="1:16" s="336" customFormat="1" ht="12.6" customHeight="1" x14ac:dyDescent="0.2">
      <c r="C8" s="310" t="s">
        <v>243</v>
      </c>
      <c r="D8" s="310"/>
      <c r="E8" s="310" t="s">
        <v>245</v>
      </c>
      <c r="F8" s="310"/>
      <c r="G8" s="310" t="s">
        <v>861</v>
      </c>
      <c r="H8" s="310"/>
      <c r="I8" s="310" t="s">
        <v>861</v>
      </c>
    </row>
    <row r="9" spans="1:16" s="336" customFormat="1" ht="12.6" customHeight="1" x14ac:dyDescent="0.2">
      <c r="C9" s="574" t="s">
        <v>244</v>
      </c>
      <c r="D9" s="310"/>
      <c r="E9" s="574" t="s">
        <v>243</v>
      </c>
      <c r="F9" s="360"/>
      <c r="G9" s="574" t="s">
        <v>862</v>
      </c>
      <c r="H9" s="360"/>
      <c r="I9" s="574" t="s">
        <v>862</v>
      </c>
    </row>
    <row r="10" spans="1:16" s="253" customFormat="1" ht="9.9499999999999993" customHeight="1" x14ac:dyDescent="0.2">
      <c r="A10" s="417" t="s">
        <v>672</v>
      </c>
      <c r="B10" s="418"/>
      <c r="F10" s="361"/>
      <c r="J10" s="361"/>
    </row>
    <row r="11" spans="1:16" s="253" customFormat="1" ht="9.9499999999999993" customHeight="1" x14ac:dyDescent="0.2">
      <c r="A11" s="425" t="s">
        <v>673</v>
      </c>
      <c r="B11" s="362"/>
      <c r="C11" s="339">
        <f>+'GO BS'!Q13</f>
        <v>0</v>
      </c>
      <c r="D11" s="339"/>
      <c r="E11" s="339">
        <f>+'CO BS'!W13</f>
        <v>0</v>
      </c>
      <c r="F11" s="339"/>
      <c r="G11" s="339">
        <f>+'Capital BS'!O13</f>
        <v>74</v>
      </c>
      <c r="H11" s="339"/>
      <c r="I11" s="339">
        <f>SUM(C11:G11)</f>
        <v>74</v>
      </c>
      <c r="J11" s="301"/>
    </row>
    <row r="12" spans="1:16" s="253" customFormat="1" ht="9.9499999999999993" customHeight="1" x14ac:dyDescent="0.2">
      <c r="A12" s="425" t="s">
        <v>674</v>
      </c>
      <c r="B12" s="418"/>
      <c r="C12" s="273">
        <f>+'GO BS'!Q14</f>
        <v>0</v>
      </c>
      <c r="D12" s="273"/>
      <c r="E12" s="273">
        <f>+'CO BS'!W14</f>
        <v>0</v>
      </c>
      <c r="F12" s="342"/>
      <c r="G12" s="273">
        <f>+'Capital BS'!O14</f>
        <v>251</v>
      </c>
      <c r="H12" s="273"/>
      <c r="I12" s="273">
        <f t="shared" ref="I12:I29" si="0">SUM(C12:G12)</f>
        <v>251</v>
      </c>
      <c r="J12" s="342"/>
      <c r="P12" s="253">
        <v>0</v>
      </c>
    </row>
    <row r="13" spans="1:16" s="253" customFormat="1" ht="9.9499999999999993" customHeight="1" x14ac:dyDescent="0.2">
      <c r="A13" s="425" t="s">
        <v>252</v>
      </c>
      <c r="B13" s="418"/>
      <c r="C13" s="273">
        <f>+'GO BS'!Q15</f>
        <v>0</v>
      </c>
      <c r="D13" s="273"/>
      <c r="E13" s="273">
        <f>+'CO BS'!W15</f>
        <v>0</v>
      </c>
      <c r="F13" s="342"/>
      <c r="G13" s="273">
        <f>+'Capital BS'!O15</f>
        <v>2</v>
      </c>
      <c r="H13" s="273"/>
      <c r="I13" s="273">
        <f t="shared" si="0"/>
        <v>2</v>
      </c>
      <c r="J13" s="342"/>
    </row>
    <row r="14" spans="1:16" s="253" customFormat="1" ht="9.9499999999999993" hidden="1" customHeight="1" x14ac:dyDescent="0.2">
      <c r="A14" s="425" t="s">
        <v>763</v>
      </c>
      <c r="B14" s="418"/>
      <c r="C14" s="273">
        <f>+'GO BS'!Q16</f>
        <v>0</v>
      </c>
      <c r="D14" s="273"/>
      <c r="E14" s="273">
        <f>+'CO BS'!W16</f>
        <v>0</v>
      </c>
      <c r="F14" s="342"/>
      <c r="G14" s="273">
        <f>+'Capital BS'!O16</f>
        <v>0</v>
      </c>
      <c r="H14" s="273"/>
      <c r="I14" s="273">
        <f t="shared" si="0"/>
        <v>0</v>
      </c>
      <c r="J14" s="342"/>
    </row>
    <row r="15" spans="1:16" s="253" customFormat="1" ht="9.9499999999999993" hidden="1" customHeight="1" x14ac:dyDescent="0.2">
      <c r="A15" s="425" t="s">
        <v>683</v>
      </c>
      <c r="B15" s="418"/>
      <c r="C15" s="273">
        <f>+'GO BS'!Q17</f>
        <v>0</v>
      </c>
      <c r="D15" s="273"/>
      <c r="E15" s="273">
        <f>+'CO BS'!W17</f>
        <v>0</v>
      </c>
      <c r="F15" s="342"/>
      <c r="G15" s="273">
        <f>+'Capital BS'!O17</f>
        <v>0</v>
      </c>
      <c r="H15" s="273"/>
      <c r="I15" s="273">
        <f t="shared" si="0"/>
        <v>0</v>
      </c>
      <c r="J15" s="342"/>
    </row>
    <row r="16" spans="1:16" s="253" customFormat="1" ht="9.9499999999999993" hidden="1" customHeight="1" x14ac:dyDescent="0.2">
      <c r="A16" s="425" t="s">
        <v>840</v>
      </c>
      <c r="B16" s="418"/>
      <c r="C16" s="273">
        <f>+'GO BS'!Q18</f>
        <v>0</v>
      </c>
      <c r="D16" s="273"/>
      <c r="E16" s="273">
        <f>+'CO BS'!W18</f>
        <v>0</v>
      </c>
      <c r="F16" s="342"/>
      <c r="G16" s="273">
        <f>+'Capital BS'!O18</f>
        <v>0</v>
      </c>
      <c r="H16" s="273"/>
      <c r="I16" s="273">
        <f t="shared" si="0"/>
        <v>0</v>
      </c>
      <c r="J16" s="342"/>
    </row>
    <row r="17" spans="1:10" s="253" customFormat="1" ht="9.9499999999999993" hidden="1" customHeight="1" x14ac:dyDescent="0.2">
      <c r="A17" s="425" t="s">
        <v>1575</v>
      </c>
      <c r="B17" s="418"/>
      <c r="C17" s="273">
        <f>+'GO BS'!Q19</f>
        <v>0</v>
      </c>
      <c r="D17" s="273"/>
      <c r="E17" s="273">
        <f>+'CO BS'!W19</f>
        <v>0</v>
      </c>
      <c r="F17" s="342"/>
      <c r="G17" s="273">
        <f>+'Capital BS'!O19</f>
        <v>0</v>
      </c>
      <c r="H17" s="273"/>
      <c r="I17" s="273">
        <f t="shared" si="0"/>
        <v>0</v>
      </c>
      <c r="J17" s="342"/>
    </row>
    <row r="18" spans="1:10" s="253" customFormat="1" ht="9.9499999999999993" hidden="1" customHeight="1" x14ac:dyDescent="0.2">
      <c r="A18" s="425" t="s">
        <v>63</v>
      </c>
      <c r="B18" s="418"/>
      <c r="C18" s="273">
        <f>+'GO BS'!Q20</f>
        <v>0</v>
      </c>
      <c r="D18" s="273"/>
      <c r="E18" s="273">
        <f>+'CO BS'!W20</f>
        <v>0</v>
      </c>
      <c r="F18" s="342"/>
      <c r="G18" s="273">
        <f>+'Capital BS'!O20</f>
        <v>0</v>
      </c>
      <c r="H18" s="273"/>
      <c r="I18" s="273">
        <f t="shared" si="0"/>
        <v>0</v>
      </c>
      <c r="J18" s="342"/>
    </row>
    <row r="19" spans="1:10" s="253" customFormat="1" ht="9.9499999999999993" hidden="1" customHeight="1" x14ac:dyDescent="0.2">
      <c r="A19" s="425" t="s">
        <v>592</v>
      </c>
      <c r="B19" s="418"/>
      <c r="C19" s="273">
        <f>+'GO BS'!Q21</f>
        <v>0</v>
      </c>
      <c r="D19" s="273"/>
      <c r="E19" s="273">
        <f>+'CO BS'!W21</f>
        <v>0</v>
      </c>
      <c r="F19" s="342"/>
      <c r="G19" s="273">
        <f>+'Capital BS'!O21</f>
        <v>0</v>
      </c>
      <c r="H19" s="273"/>
      <c r="I19" s="273">
        <f t="shared" si="0"/>
        <v>0</v>
      </c>
      <c r="J19" s="342"/>
    </row>
    <row r="20" spans="1:10" s="253" customFormat="1" ht="9.9499999999999993" customHeight="1" x14ac:dyDescent="0.2">
      <c r="A20" s="425" t="s">
        <v>685</v>
      </c>
      <c r="B20" s="418"/>
      <c r="C20" s="273">
        <f>+'GO BS'!Q22</f>
        <v>0</v>
      </c>
      <c r="D20" s="273"/>
      <c r="E20" s="273">
        <f>+'CO BS'!W22</f>
        <v>0</v>
      </c>
      <c r="F20" s="342"/>
      <c r="G20" s="273">
        <f>+'Capital BS'!O22</f>
        <v>0</v>
      </c>
      <c r="H20" s="273"/>
      <c r="I20" s="273"/>
      <c r="J20" s="342"/>
    </row>
    <row r="21" spans="1:10" s="253" customFormat="1" ht="11.1" customHeight="1" x14ac:dyDescent="0.2">
      <c r="A21" s="426" t="s">
        <v>673</v>
      </c>
      <c r="B21" s="418"/>
      <c r="C21" s="538">
        <f>+'GO BS'!Q23</f>
        <v>67829</v>
      </c>
      <c r="D21" s="538"/>
      <c r="E21" s="538">
        <f>+'CO BS'!W23</f>
        <v>41576</v>
      </c>
      <c r="F21" s="645"/>
      <c r="G21" s="538">
        <f>+'Capital BS'!O23</f>
        <v>32983</v>
      </c>
      <c r="H21" s="538"/>
      <c r="I21" s="273">
        <f t="shared" si="0"/>
        <v>142388</v>
      </c>
      <c r="J21" s="342"/>
    </row>
    <row r="22" spans="1:10" s="253" customFormat="1" ht="9.9499999999999993" customHeight="1" x14ac:dyDescent="0.2">
      <c r="A22" s="426" t="s">
        <v>674</v>
      </c>
      <c r="B22" s="362"/>
      <c r="C22" s="273">
        <f>+'GO BS'!Q24</f>
        <v>137339</v>
      </c>
      <c r="D22" s="339"/>
      <c r="E22" s="273">
        <f>+'CO BS'!W24</f>
        <v>122078</v>
      </c>
      <c r="F22" s="342"/>
      <c r="G22" s="273">
        <f>+'Capital BS'!O24</f>
        <v>45684</v>
      </c>
      <c r="H22" s="273"/>
      <c r="I22" s="273">
        <f t="shared" si="0"/>
        <v>305101</v>
      </c>
      <c r="J22" s="342"/>
    </row>
    <row r="23" spans="1:10" s="253" customFormat="1" ht="9.9499999999999993" customHeight="1" x14ac:dyDescent="0.2">
      <c r="A23" s="426" t="s">
        <v>252</v>
      </c>
      <c r="B23" s="362"/>
      <c r="C23" s="273">
        <f>+'GO BS'!Q25</f>
        <v>5179</v>
      </c>
      <c r="D23" s="273"/>
      <c r="E23" s="273">
        <f>+'CO BS'!W25</f>
        <v>756</v>
      </c>
      <c r="F23" s="342"/>
      <c r="G23" s="273">
        <f>+'Capital BS'!O25</f>
        <v>712</v>
      </c>
      <c r="H23" s="273"/>
      <c r="I23" s="273">
        <f t="shared" si="0"/>
        <v>6647</v>
      </c>
      <c r="J23" s="342"/>
    </row>
    <row r="24" spans="1:10" s="253" customFormat="1" ht="9.9499999999999993" hidden="1" customHeight="1" x14ac:dyDescent="0.2">
      <c r="A24" s="426" t="s">
        <v>763</v>
      </c>
      <c r="B24" s="418"/>
      <c r="C24" s="273">
        <f>+'GO BS'!Q26</f>
        <v>0</v>
      </c>
      <c r="D24" s="273"/>
      <c r="E24" s="273">
        <f>+'CO BS'!W26</f>
        <v>0</v>
      </c>
      <c r="F24" s="342"/>
      <c r="G24" s="273">
        <f>+'Capital BS'!O26</f>
        <v>0</v>
      </c>
      <c r="H24" s="273"/>
      <c r="I24" s="273">
        <f t="shared" si="0"/>
        <v>0</v>
      </c>
      <c r="J24" s="342"/>
    </row>
    <row r="25" spans="1:10" s="253" customFormat="1" ht="9.9499999999999993" hidden="1" customHeight="1" x14ac:dyDescent="0.2">
      <c r="A25" s="426" t="s">
        <v>683</v>
      </c>
      <c r="B25" s="418"/>
      <c r="C25" s="273">
        <f>+'GO BS'!Q27</f>
        <v>0</v>
      </c>
      <c r="D25" s="273"/>
      <c r="E25" s="273">
        <f>+'CO BS'!W27</f>
        <v>0</v>
      </c>
      <c r="F25" s="342"/>
      <c r="G25" s="273">
        <f>+'Capital BS'!O27</f>
        <v>0</v>
      </c>
      <c r="H25" s="273"/>
      <c r="I25" s="273">
        <f t="shared" si="0"/>
        <v>0</v>
      </c>
      <c r="J25" s="342"/>
    </row>
    <row r="26" spans="1:10" s="253" customFormat="1" ht="9.9499999999999993" hidden="1" customHeight="1" x14ac:dyDescent="0.2">
      <c r="A26" s="426" t="s">
        <v>840</v>
      </c>
      <c r="B26" s="418"/>
      <c r="C26" s="273">
        <f>+'GO BS'!Q28</f>
        <v>0</v>
      </c>
      <c r="D26" s="273"/>
      <c r="E26" s="273">
        <f>+'CO BS'!W28</f>
        <v>0</v>
      </c>
      <c r="F26" s="342"/>
      <c r="G26" s="273">
        <f>+'Capital BS'!O28</f>
        <v>0</v>
      </c>
      <c r="H26" s="273"/>
      <c r="I26" s="273">
        <f t="shared" si="0"/>
        <v>0</v>
      </c>
      <c r="J26" s="342"/>
    </row>
    <row r="27" spans="1:10" s="253" customFormat="1" ht="9.9499999999999993" hidden="1" customHeight="1" x14ac:dyDescent="0.2">
      <c r="A27" s="426" t="s">
        <v>1575</v>
      </c>
      <c r="B27" s="418"/>
      <c r="C27" s="273">
        <f>+'GO BS'!Q29</f>
        <v>0</v>
      </c>
      <c r="D27" s="273"/>
      <c r="E27" s="273">
        <f>+'CO BS'!W29</f>
        <v>0</v>
      </c>
      <c r="F27" s="342"/>
      <c r="G27" s="273">
        <f>+'Capital BS'!O29</f>
        <v>0</v>
      </c>
      <c r="H27" s="273"/>
      <c r="I27" s="273">
        <f t="shared" si="0"/>
        <v>0</v>
      </c>
      <c r="J27" s="342"/>
    </row>
    <row r="28" spans="1:10" s="253" customFormat="1" ht="9.9499999999999993" hidden="1" customHeight="1" x14ac:dyDescent="0.2">
      <c r="A28" s="426" t="s">
        <v>63</v>
      </c>
      <c r="B28" s="418"/>
      <c r="C28" s="273">
        <f>+'GO BS'!Q30</f>
        <v>0</v>
      </c>
      <c r="D28" s="273"/>
      <c r="E28" s="273">
        <f>+'CO BS'!W30</f>
        <v>0</v>
      </c>
      <c r="F28" s="342"/>
      <c r="G28" s="273">
        <f>+'Capital BS'!O30</f>
        <v>0</v>
      </c>
      <c r="H28" s="273"/>
      <c r="I28" s="273">
        <f t="shared" si="0"/>
        <v>0</v>
      </c>
      <c r="J28" s="342"/>
    </row>
    <row r="29" spans="1:10" s="253" customFormat="1" ht="9.9499999999999993" customHeight="1" x14ac:dyDescent="0.2">
      <c r="A29" s="426" t="s">
        <v>1216</v>
      </c>
      <c r="B29" s="418"/>
      <c r="C29" s="273">
        <f>+'GO BS'!Q31</f>
        <v>5476</v>
      </c>
      <c r="D29" s="273"/>
      <c r="E29" s="273">
        <f>+'CO BS'!W31</f>
        <v>0</v>
      </c>
      <c r="F29" s="342"/>
      <c r="G29" s="273">
        <f>+'Capital BS'!O31</f>
        <v>75</v>
      </c>
      <c r="H29" s="273"/>
      <c r="I29" s="273">
        <f t="shared" si="0"/>
        <v>5551</v>
      </c>
      <c r="J29" s="342"/>
    </row>
    <row r="30" spans="1:10" s="253" customFormat="1" ht="5.0999999999999996" customHeight="1" x14ac:dyDescent="0.2">
      <c r="A30" s="418"/>
      <c r="B30" s="418"/>
      <c r="C30" s="340"/>
      <c r="D30" s="273"/>
      <c r="E30" s="340"/>
      <c r="F30" s="342"/>
      <c r="G30" s="340"/>
      <c r="H30" s="273"/>
      <c r="I30" s="340"/>
      <c r="J30" s="342"/>
    </row>
    <row r="31" spans="1:10" s="253" customFormat="1" ht="9.9499999999999993" customHeight="1" thickBot="1" x14ac:dyDescent="0.25">
      <c r="A31" s="417" t="s">
        <v>687</v>
      </c>
      <c r="B31" s="418"/>
      <c r="C31" s="460">
        <f>SUM(C11:C29)</f>
        <v>215823</v>
      </c>
      <c r="D31" s="273"/>
      <c r="E31" s="460">
        <f>SUM(E11:E29)</f>
        <v>164410</v>
      </c>
      <c r="F31" s="273"/>
      <c r="G31" s="460">
        <f>SUM(G11:G29)</f>
        <v>79781</v>
      </c>
      <c r="H31" s="273"/>
      <c r="I31" s="460">
        <f>SUM(I11:I29)</f>
        <v>460014</v>
      </c>
      <c r="J31" s="342"/>
    </row>
    <row r="32" spans="1:10" s="253" customFormat="1" ht="5.0999999999999996" customHeight="1" thickTop="1" x14ac:dyDescent="0.2">
      <c r="A32" s="418"/>
      <c r="B32" s="418"/>
      <c r="C32" s="273"/>
      <c r="D32" s="273"/>
      <c r="E32" s="273"/>
      <c r="F32" s="342"/>
      <c r="G32" s="273"/>
      <c r="H32" s="273"/>
      <c r="I32" s="273"/>
      <c r="J32" s="342"/>
    </row>
    <row r="33" spans="1:10" s="253" customFormat="1" ht="24" x14ac:dyDescent="0.2">
      <c r="A33" s="1241" t="s">
        <v>1698</v>
      </c>
      <c r="B33" s="418"/>
      <c r="C33" s="273"/>
      <c r="D33" s="273"/>
      <c r="E33" s="273"/>
      <c r="F33" s="342"/>
      <c r="G33" s="273"/>
      <c r="H33" s="273"/>
      <c r="I33" s="273"/>
      <c r="J33" s="342"/>
    </row>
    <row r="34" spans="1:10" s="253" customFormat="1" ht="9.9499999999999993" customHeight="1" x14ac:dyDescent="0.2">
      <c r="A34" s="428" t="s">
        <v>751</v>
      </c>
      <c r="B34" s="418"/>
      <c r="C34" s="273"/>
      <c r="D34" s="273"/>
      <c r="E34" s="202"/>
      <c r="F34" s="202"/>
      <c r="G34" s="202"/>
      <c r="H34" s="273"/>
      <c r="I34" s="202"/>
      <c r="J34" s="342"/>
    </row>
    <row r="35" spans="1:10" s="253" customFormat="1" ht="9.9499999999999993" hidden="1" customHeight="1" x14ac:dyDescent="0.2">
      <c r="A35" s="426" t="s">
        <v>688</v>
      </c>
      <c r="B35" s="418"/>
      <c r="C35" s="273">
        <f>+'GO BS'!Q37</f>
        <v>0</v>
      </c>
      <c r="D35" s="273"/>
      <c r="E35" s="273">
        <f>+'CO BS'!W37</f>
        <v>0</v>
      </c>
      <c r="F35" s="202"/>
      <c r="G35" s="273">
        <f>+'Capital BS'!O37</f>
        <v>0</v>
      </c>
      <c r="H35" s="273"/>
      <c r="I35" s="273">
        <f t="shared" ref="I35:I51" si="1">SUM(C35:G35)</f>
        <v>0</v>
      </c>
      <c r="J35" s="342"/>
    </row>
    <row r="36" spans="1:10" s="253" customFormat="1" ht="9.9499999999999993" hidden="1" customHeight="1" x14ac:dyDescent="0.2">
      <c r="A36" s="426" t="s">
        <v>847</v>
      </c>
      <c r="B36" s="418"/>
      <c r="C36" s="273">
        <f>+'GO BS'!Q38</f>
        <v>0</v>
      </c>
      <c r="D36" s="273"/>
      <c r="E36" s="273">
        <f>+'CO BS'!W38</f>
        <v>0</v>
      </c>
      <c r="F36" s="202"/>
      <c r="G36" s="273">
        <f>+'Capital BS'!O38</f>
        <v>0</v>
      </c>
      <c r="H36" s="273"/>
      <c r="I36" s="273">
        <f t="shared" si="1"/>
        <v>0</v>
      </c>
      <c r="J36" s="342"/>
    </row>
    <row r="37" spans="1:10" s="253" customFormat="1" ht="9.9499999999999993" hidden="1" customHeight="1" x14ac:dyDescent="0.2">
      <c r="A37" s="426" t="s">
        <v>690</v>
      </c>
      <c r="B37" s="418"/>
      <c r="C37" s="273">
        <f>+'GO BS'!Q39</f>
        <v>0</v>
      </c>
      <c r="D37" s="273"/>
      <c r="E37" s="273">
        <f>+'CO BS'!W39</f>
        <v>0</v>
      </c>
      <c r="F37" s="202"/>
      <c r="G37" s="273">
        <f>+'Capital BS'!O39</f>
        <v>0</v>
      </c>
      <c r="H37" s="273"/>
      <c r="I37" s="273">
        <f t="shared" si="1"/>
        <v>0</v>
      </c>
      <c r="J37" s="342"/>
    </row>
    <row r="38" spans="1:10" s="253" customFormat="1" ht="9.9499999999999993" hidden="1" customHeight="1" x14ac:dyDescent="0.2">
      <c r="A38" s="426" t="s">
        <v>691</v>
      </c>
      <c r="B38" s="418"/>
      <c r="C38" s="273">
        <f>+'GO BS'!Q40</f>
        <v>0</v>
      </c>
      <c r="D38" s="273"/>
      <c r="E38" s="273">
        <f>+'CO BS'!W40</f>
        <v>0</v>
      </c>
      <c r="F38" s="202"/>
      <c r="G38" s="273">
        <f>+'Capital BS'!O40</f>
        <v>0</v>
      </c>
      <c r="H38" s="273"/>
      <c r="I38" s="273">
        <f t="shared" si="1"/>
        <v>0</v>
      </c>
      <c r="J38" s="342"/>
    </row>
    <row r="39" spans="1:10" s="253" customFormat="1" ht="9.9499999999999993" hidden="1" customHeight="1" x14ac:dyDescent="0.2">
      <c r="A39" s="426" t="s">
        <v>203</v>
      </c>
      <c r="B39" s="418"/>
      <c r="C39" s="273">
        <f>+'GO BS'!Q41</f>
        <v>0</v>
      </c>
      <c r="D39" s="273"/>
      <c r="E39" s="273">
        <f>+'CO BS'!W41</f>
        <v>0</v>
      </c>
      <c r="F39" s="202"/>
      <c r="G39" s="273">
        <f>+'Capital BS'!O41</f>
        <v>0</v>
      </c>
      <c r="H39" s="273"/>
      <c r="I39" s="273">
        <f t="shared" si="1"/>
        <v>0</v>
      </c>
      <c r="J39" s="342"/>
    </row>
    <row r="40" spans="1:10" s="253" customFormat="1" ht="9.9499999999999993" hidden="1" customHeight="1" x14ac:dyDescent="0.2">
      <c r="A40" s="426" t="s">
        <v>848</v>
      </c>
      <c r="B40" s="418"/>
      <c r="C40" s="273">
        <f>+'GO BS'!Q42</f>
        <v>0</v>
      </c>
      <c r="E40" s="273">
        <f>+'CO BS'!W42</f>
        <v>0</v>
      </c>
      <c r="F40" s="202"/>
      <c r="G40" s="273">
        <f>+'Capital BS'!O42</f>
        <v>0</v>
      </c>
      <c r="H40" s="273"/>
      <c r="I40" s="273">
        <f t="shared" si="1"/>
        <v>0</v>
      </c>
      <c r="J40" s="342"/>
    </row>
    <row r="41" spans="1:10" s="253" customFormat="1" ht="9.9499999999999993" hidden="1" customHeight="1" x14ac:dyDescent="0.2">
      <c r="A41" s="426" t="s">
        <v>604</v>
      </c>
      <c r="B41" s="418"/>
      <c r="C41" s="273">
        <f>+'GO BS'!Q43</f>
        <v>0</v>
      </c>
      <c r="D41" s="273"/>
      <c r="E41" s="273">
        <f>+'CO BS'!W44</f>
        <v>0</v>
      </c>
      <c r="F41" s="202"/>
      <c r="G41" s="273">
        <f>+'Capital BS'!O43</f>
        <v>0</v>
      </c>
      <c r="H41" s="273"/>
      <c r="I41" s="273">
        <f t="shared" si="1"/>
        <v>0</v>
      </c>
      <c r="J41" s="342"/>
    </row>
    <row r="42" spans="1:10" s="253" customFormat="1" ht="9.9499999999999993" hidden="1" customHeight="1" x14ac:dyDescent="0.2">
      <c r="A42" s="426" t="s">
        <v>593</v>
      </c>
      <c r="B42" s="418"/>
      <c r="C42" s="273">
        <f>+'GO BS'!Q44</f>
        <v>0</v>
      </c>
      <c r="D42" s="254"/>
      <c r="E42" s="273">
        <f>+'CO BS'!W45</f>
        <v>0</v>
      </c>
      <c r="F42" s="202"/>
      <c r="G42" s="273">
        <f>+'Capital BS'!O44</f>
        <v>0</v>
      </c>
      <c r="H42" s="254"/>
      <c r="I42" s="273">
        <f t="shared" si="1"/>
        <v>0</v>
      </c>
      <c r="J42" s="301"/>
    </row>
    <row r="43" spans="1:10" s="253" customFormat="1" ht="9.9499999999999993" customHeight="1" x14ac:dyDescent="0.2">
      <c r="A43" s="426" t="s">
        <v>1304</v>
      </c>
      <c r="B43" s="362"/>
      <c r="C43" s="273">
        <f>+'GO BS'!Q45</f>
        <v>0</v>
      </c>
      <c r="D43" s="339"/>
      <c r="E43" s="273">
        <f>+'CO BS'!W46</f>
        <v>0</v>
      </c>
      <c r="F43" s="202"/>
      <c r="G43" s="273">
        <f>+'Capital BS'!O45</f>
        <v>0</v>
      </c>
      <c r="H43" s="254"/>
      <c r="I43" s="273">
        <f t="shared" si="1"/>
        <v>0</v>
      </c>
      <c r="J43" s="301"/>
    </row>
    <row r="44" spans="1:10" s="253" customFormat="1" ht="9.9499999999999993" customHeight="1" x14ac:dyDescent="0.2">
      <c r="A44" s="427" t="s">
        <v>688</v>
      </c>
      <c r="B44" s="1045"/>
      <c r="C44" s="339">
        <f>+'GO BS'!Q46</f>
        <v>30289</v>
      </c>
      <c r="D44" s="339"/>
      <c r="E44" s="339">
        <f>+'CO BS'!W47</f>
        <v>3074</v>
      </c>
      <c r="F44" s="339"/>
      <c r="G44" s="339">
        <f>+'Capital BS'!O46</f>
        <v>17544</v>
      </c>
      <c r="H44" s="339"/>
      <c r="I44" s="339">
        <f t="shared" si="1"/>
        <v>50907</v>
      </c>
      <c r="J44" s="301"/>
    </row>
    <row r="45" spans="1:10" s="253" customFormat="1" ht="9.9499999999999993" customHeight="1" x14ac:dyDescent="0.2">
      <c r="A45" s="427" t="s">
        <v>847</v>
      </c>
      <c r="B45" s="418"/>
      <c r="C45" s="273">
        <f>+'GO BS'!Q47</f>
        <v>11251</v>
      </c>
      <c r="D45" s="273"/>
      <c r="E45" s="273">
        <f>+'CO BS'!W48</f>
        <v>784</v>
      </c>
      <c r="F45" s="202"/>
      <c r="G45" s="273">
        <f>+'Capital BS'!O47</f>
        <v>10725</v>
      </c>
      <c r="H45" s="347"/>
      <c r="I45" s="273">
        <f t="shared" si="1"/>
        <v>22760</v>
      </c>
      <c r="J45" s="364"/>
    </row>
    <row r="46" spans="1:10" s="253" customFormat="1" ht="9.9499999999999993" customHeight="1" x14ac:dyDescent="0.2">
      <c r="A46" s="427" t="s">
        <v>690</v>
      </c>
      <c r="B46" s="418"/>
      <c r="C46" s="273">
        <f>+'GO BS'!Q48</f>
        <v>2</v>
      </c>
      <c r="D46" s="273"/>
      <c r="E46" s="273">
        <f>+'CO BS'!W49</f>
        <v>6</v>
      </c>
      <c r="F46" s="202"/>
      <c r="G46" s="273">
        <f>+'Capital BS'!O48</f>
        <v>2</v>
      </c>
      <c r="H46" s="273"/>
      <c r="I46" s="273">
        <f t="shared" si="1"/>
        <v>10</v>
      </c>
      <c r="J46" s="342"/>
    </row>
    <row r="47" spans="1:10" s="253" customFormat="1" ht="9.9499999999999993" hidden="1" customHeight="1" x14ac:dyDescent="0.2">
      <c r="A47" s="427" t="s">
        <v>691</v>
      </c>
      <c r="B47" s="362"/>
      <c r="C47" s="273">
        <f>+'GO BS'!Q49</f>
        <v>0</v>
      </c>
      <c r="D47" s="254"/>
      <c r="E47" s="273">
        <f>+'CO BS'!W50</f>
        <v>0</v>
      </c>
      <c r="F47" s="202"/>
      <c r="G47" s="273">
        <f>+'Capital BS'!O49</f>
        <v>0</v>
      </c>
      <c r="H47" s="273"/>
      <c r="I47" s="273">
        <f t="shared" si="1"/>
        <v>0</v>
      </c>
      <c r="J47" s="342"/>
    </row>
    <row r="48" spans="1:10" s="253" customFormat="1" ht="9.9499999999999993" customHeight="1" x14ac:dyDescent="0.2">
      <c r="A48" s="427" t="s">
        <v>692</v>
      </c>
      <c r="B48" s="418"/>
      <c r="C48" s="273">
        <f>+'GO BS'!Q50</f>
        <v>2613</v>
      </c>
      <c r="D48" s="273"/>
      <c r="E48" s="273">
        <f>+'CO BS'!W51</f>
        <v>52</v>
      </c>
      <c r="F48" s="202"/>
      <c r="G48" s="273">
        <f>+'Capital BS'!O50</f>
        <v>4209</v>
      </c>
      <c r="H48" s="273"/>
      <c r="I48" s="273">
        <f t="shared" si="1"/>
        <v>6874</v>
      </c>
      <c r="J48" s="342"/>
    </row>
    <row r="49" spans="1:10" s="253" customFormat="1" ht="9.9499999999999993" hidden="1" customHeight="1" x14ac:dyDescent="0.2">
      <c r="A49" s="427" t="s">
        <v>848</v>
      </c>
      <c r="B49" s="418"/>
      <c r="C49" s="273">
        <f>+'GO BS'!Q51</f>
        <v>0</v>
      </c>
      <c r="D49" s="273"/>
      <c r="E49" s="273">
        <f>+'CO BS'!W52</f>
        <v>0</v>
      </c>
      <c r="F49" s="202"/>
      <c r="G49" s="273">
        <f>+'Capital BS'!O51</f>
        <v>0</v>
      </c>
      <c r="H49" s="273"/>
      <c r="I49" s="273">
        <f t="shared" si="1"/>
        <v>0</v>
      </c>
      <c r="J49" s="342"/>
    </row>
    <row r="50" spans="1:10" s="253" customFormat="1" ht="9.9499999999999993" customHeight="1" x14ac:dyDescent="0.2">
      <c r="A50" s="427" t="s">
        <v>604</v>
      </c>
      <c r="B50" s="418"/>
      <c r="C50" s="273">
        <f>+'GO BS'!Q52</f>
        <v>0</v>
      </c>
      <c r="D50" s="273"/>
      <c r="E50" s="273">
        <f>+'CO BS'!W53</f>
        <v>0</v>
      </c>
      <c r="F50" s="202"/>
      <c r="G50" s="273">
        <f>+'Capital BS'!O52</f>
        <v>41</v>
      </c>
      <c r="H50" s="273"/>
      <c r="I50" s="273">
        <f t="shared" si="1"/>
        <v>41</v>
      </c>
      <c r="J50" s="342"/>
    </row>
    <row r="51" spans="1:10" s="253" customFormat="1" ht="9.9499999999999993" hidden="1" customHeight="1" x14ac:dyDescent="0.2">
      <c r="A51" s="427" t="s">
        <v>593</v>
      </c>
      <c r="B51" s="418"/>
      <c r="C51" s="273">
        <f>+'GO BS'!Q53</f>
        <v>0</v>
      </c>
      <c r="D51" s="273"/>
      <c r="E51" s="273">
        <f>+'CO BS'!W54</f>
        <v>0</v>
      </c>
      <c r="F51" s="202"/>
      <c r="G51" s="273">
        <f>+'Capital BS'!O53</f>
        <v>0</v>
      </c>
      <c r="H51" s="273"/>
      <c r="I51" s="273">
        <f t="shared" si="1"/>
        <v>0</v>
      </c>
      <c r="J51" s="342"/>
    </row>
    <row r="52" spans="1:10" s="253" customFormat="1" ht="5.0999999999999996" customHeight="1" x14ac:dyDescent="0.2">
      <c r="A52" s="418"/>
      <c r="B52" s="418"/>
      <c r="C52" s="340"/>
      <c r="D52" s="273"/>
      <c r="E52" s="340"/>
      <c r="F52" s="342"/>
      <c r="G52" s="340"/>
      <c r="H52" s="273"/>
      <c r="I52" s="340"/>
      <c r="J52" s="342"/>
    </row>
    <row r="53" spans="1:10" s="253" customFormat="1" ht="9.9499999999999993" customHeight="1" x14ac:dyDescent="0.2">
      <c r="A53" s="428" t="s">
        <v>702</v>
      </c>
      <c r="B53" s="418"/>
      <c r="C53" s="341">
        <f>SUM(C35:C52)</f>
        <v>44155</v>
      </c>
      <c r="D53" s="273"/>
      <c r="E53" s="341">
        <f>SUM(E35:E52)</f>
        <v>3916</v>
      </c>
      <c r="F53" s="273"/>
      <c r="G53" s="341">
        <f>SUM(G35:G52)</f>
        <v>32521</v>
      </c>
      <c r="H53" s="273"/>
      <c r="I53" s="341">
        <f>SUM(I35:I52)</f>
        <v>80592</v>
      </c>
      <c r="J53" s="342"/>
    </row>
    <row r="54" spans="1:10" s="253" customFormat="1" ht="5.0999999999999996" customHeight="1" x14ac:dyDescent="0.2">
      <c r="A54" s="417"/>
      <c r="B54" s="362"/>
      <c r="C54" s="339"/>
      <c r="D54" s="339"/>
      <c r="E54" s="202"/>
      <c r="F54" s="202"/>
      <c r="G54" s="202"/>
      <c r="H54" s="273"/>
      <c r="I54" s="339"/>
      <c r="J54" s="342"/>
    </row>
    <row r="55" spans="1:10" s="253" customFormat="1" ht="9.9499999999999993" hidden="1" customHeight="1" x14ac:dyDescent="0.2">
      <c r="A55" s="417"/>
      <c r="B55" s="362"/>
      <c r="C55" s="339"/>
      <c r="D55" s="339"/>
      <c r="E55" s="202"/>
      <c r="F55" s="202"/>
      <c r="G55" s="202"/>
      <c r="H55" s="273"/>
      <c r="I55" s="339"/>
      <c r="J55" s="342"/>
    </row>
    <row r="56" spans="1:10" s="253" customFormat="1" ht="9.9499999999999993" customHeight="1" x14ac:dyDescent="0.2">
      <c r="A56" s="428" t="s">
        <v>1206</v>
      </c>
      <c r="B56" s="362"/>
      <c r="C56" s="450">
        <f>'GO BS'!Q58</f>
        <v>5338</v>
      </c>
      <c r="D56" s="450"/>
      <c r="E56" s="450">
        <f>'CO BS'!W59</f>
        <v>0</v>
      </c>
      <c r="F56" s="450"/>
      <c r="G56" s="450">
        <f>'Capital BS'!O58</f>
        <v>278</v>
      </c>
      <c r="H56" s="450"/>
      <c r="I56" s="450">
        <f>SUM(C56:G56)</f>
        <v>5616</v>
      </c>
      <c r="J56" s="342"/>
    </row>
    <row r="57" spans="1:10" s="253" customFormat="1" ht="5.0999999999999996" customHeight="1" x14ac:dyDescent="0.2">
      <c r="A57" s="417"/>
      <c r="B57" s="362"/>
      <c r="C57" s="661"/>
      <c r="D57" s="339"/>
      <c r="E57" s="661"/>
      <c r="F57" s="339"/>
      <c r="G57" s="661"/>
      <c r="H57" s="339"/>
      <c r="I57" s="661"/>
      <c r="J57" s="342"/>
    </row>
    <row r="58" spans="1:10" s="253" customFormat="1" ht="9.9499999999999993" hidden="1" customHeight="1" x14ac:dyDescent="0.2">
      <c r="A58" s="417"/>
      <c r="B58" s="362"/>
      <c r="C58" s="339"/>
      <c r="D58" s="339"/>
      <c r="E58" s="202"/>
      <c r="F58" s="202"/>
      <c r="G58" s="202"/>
      <c r="H58" s="273"/>
      <c r="I58" s="339"/>
      <c r="J58" s="342"/>
    </row>
    <row r="59" spans="1:10" s="253" customFormat="1" ht="9.9499999999999993" customHeight="1" x14ac:dyDescent="0.2">
      <c r="A59" s="428" t="s">
        <v>849</v>
      </c>
      <c r="B59" s="362"/>
      <c r="C59" s="339"/>
      <c r="D59" s="339"/>
      <c r="E59" s="439"/>
      <c r="F59" s="439"/>
      <c r="G59" s="439"/>
      <c r="H59" s="273"/>
      <c r="I59" s="339"/>
      <c r="J59" s="342"/>
    </row>
    <row r="60" spans="1:10" s="253" customFormat="1" ht="9.9499999999999993" hidden="1" customHeight="1" x14ac:dyDescent="0.2">
      <c r="A60" s="776" t="s">
        <v>392</v>
      </c>
      <c r="B60" s="362"/>
      <c r="C60" s="273">
        <f>'GO BS'!Q62</f>
        <v>0</v>
      </c>
      <c r="D60" s="339"/>
      <c r="E60" s="273">
        <f>+'CO BS'!W63</f>
        <v>0</v>
      </c>
      <c r="F60" s="342"/>
      <c r="G60" s="273">
        <f>+'Capital BS'!O62</f>
        <v>0</v>
      </c>
      <c r="H60" s="273"/>
      <c r="I60" s="273">
        <f>SUM(C60:G60)</f>
        <v>0</v>
      </c>
      <c r="J60" s="342"/>
    </row>
    <row r="61" spans="1:10" s="253" customFormat="1" ht="9.9499999999999993" customHeight="1" x14ac:dyDescent="0.2">
      <c r="A61" s="776" t="s">
        <v>789</v>
      </c>
      <c r="B61" s="362"/>
      <c r="C61" s="273">
        <f>'GO BS'!Q63</f>
        <v>175464</v>
      </c>
      <c r="D61" s="339"/>
      <c r="E61" s="273">
        <f>+'CO BS'!W64</f>
        <v>161001</v>
      </c>
      <c r="F61" s="342"/>
      <c r="G61" s="273">
        <f>+'Capital BS'!O63</f>
        <v>56910</v>
      </c>
      <c r="H61" s="273"/>
      <c r="I61" s="273">
        <f>SUM(C61:G61)</f>
        <v>393375</v>
      </c>
      <c r="J61" s="342"/>
    </row>
    <row r="62" spans="1:10" s="253" customFormat="1" ht="9.9499999999999993" customHeight="1" x14ac:dyDescent="0.2">
      <c r="A62" s="776" t="s">
        <v>393</v>
      </c>
      <c r="B62" s="362"/>
      <c r="C62" s="273">
        <f>'GO BS'!Q64</f>
        <v>0</v>
      </c>
      <c r="D62" s="339"/>
      <c r="E62" s="273">
        <f>+'CO BS'!W65</f>
        <v>0</v>
      </c>
      <c r="F62" s="342"/>
      <c r="G62" s="273">
        <f>+'Capital BS'!O64</f>
        <v>327</v>
      </c>
      <c r="H62" s="273"/>
      <c r="I62" s="273">
        <f>SUM(C62:G62)</f>
        <v>327</v>
      </c>
      <c r="J62" s="342"/>
    </row>
    <row r="63" spans="1:10" s="253" customFormat="1" ht="9.9499999999999993" hidden="1" customHeight="1" x14ac:dyDescent="0.2">
      <c r="A63" s="776" t="s">
        <v>394</v>
      </c>
      <c r="B63" s="362"/>
      <c r="C63" s="273">
        <f>'GO BS'!Q65</f>
        <v>0</v>
      </c>
      <c r="D63" s="339"/>
      <c r="E63" s="273">
        <f>+'CO BS'!W66</f>
        <v>0</v>
      </c>
      <c r="F63" s="342"/>
      <c r="G63" s="273">
        <f>+'Capital BS'!O65</f>
        <v>0</v>
      </c>
      <c r="H63" s="273"/>
      <c r="I63" s="273">
        <f>SUM(C63:G63)</f>
        <v>0</v>
      </c>
      <c r="J63" s="342"/>
    </row>
    <row r="64" spans="1:10" s="253" customFormat="1" ht="9.9499999999999993" customHeight="1" x14ac:dyDescent="0.2">
      <c r="A64" s="776" t="s">
        <v>395</v>
      </c>
      <c r="B64" s="362"/>
      <c r="C64" s="273">
        <f>'GO BS'!Q66</f>
        <v>-9134</v>
      </c>
      <c r="D64" s="339"/>
      <c r="E64" s="273">
        <f>+'CO BS'!W67</f>
        <v>-507</v>
      </c>
      <c r="F64" s="342"/>
      <c r="G64" s="273">
        <f>+'Capital BS'!O66</f>
        <v>-10255</v>
      </c>
      <c r="H64" s="273"/>
      <c r="I64" s="273">
        <f>SUM(C64:G64)</f>
        <v>-19896</v>
      </c>
      <c r="J64" s="342"/>
    </row>
    <row r="65" spans="1:10" s="253" customFormat="1" ht="5.0999999999999996" customHeight="1" x14ac:dyDescent="0.2">
      <c r="A65" s="418"/>
      <c r="B65" s="418"/>
      <c r="C65" s="340"/>
      <c r="D65" s="273"/>
      <c r="E65" s="340"/>
      <c r="F65" s="342"/>
      <c r="G65" s="340"/>
      <c r="H65" s="273"/>
      <c r="I65" s="340"/>
      <c r="J65" s="342"/>
    </row>
    <row r="66" spans="1:10" s="253" customFormat="1" ht="9.9499999999999993" customHeight="1" x14ac:dyDescent="0.2">
      <c r="A66" s="428" t="s">
        <v>855</v>
      </c>
      <c r="B66" s="418"/>
      <c r="C66" s="273">
        <f>SUM(C60:C64)</f>
        <v>166330</v>
      </c>
      <c r="D66" s="273"/>
      <c r="E66" s="273">
        <f>SUM(E60:E64)</f>
        <v>160494</v>
      </c>
      <c r="F66" s="273"/>
      <c r="G66" s="273">
        <f>SUM(G60:G64)</f>
        <v>46982</v>
      </c>
      <c r="H66" s="273"/>
      <c r="I66" s="273">
        <f>SUM(I60:I64)</f>
        <v>373806</v>
      </c>
      <c r="J66" s="342"/>
    </row>
    <row r="67" spans="1:10" s="253" customFormat="1" ht="5.0999999999999996" customHeight="1" x14ac:dyDescent="0.2">
      <c r="A67" s="418"/>
      <c r="B67" s="418"/>
      <c r="C67" s="340"/>
      <c r="D67" s="273"/>
      <c r="E67" s="340"/>
      <c r="F67" s="342"/>
      <c r="G67" s="340"/>
      <c r="H67" s="273"/>
      <c r="I67" s="340"/>
      <c r="J67" s="342"/>
    </row>
    <row r="68" spans="1:10" s="492" customFormat="1" ht="24.75" thickBot="1" x14ac:dyDescent="0.25">
      <c r="A68" s="1241" t="s">
        <v>1330</v>
      </c>
      <c r="B68" s="439"/>
      <c r="C68" s="1367">
        <f>+C53+C66+C56</f>
        <v>215823</v>
      </c>
      <c r="D68" s="1068"/>
      <c r="E68" s="1367">
        <f>+E53+E66+E56</f>
        <v>164410</v>
      </c>
      <c r="F68" s="1068"/>
      <c r="G68" s="1367">
        <f>+G53+G66+G56</f>
        <v>79781</v>
      </c>
      <c r="H68" s="1068"/>
      <c r="I68" s="1367">
        <f>+I53+I66+I56</f>
        <v>460014</v>
      </c>
      <c r="J68" s="1243"/>
    </row>
    <row r="69" spans="1:10" s="253" customFormat="1" ht="9.9499999999999993" customHeight="1" thickTop="1" x14ac:dyDescent="0.2">
      <c r="A69" s="418"/>
      <c r="B69" s="418"/>
      <c r="C69" s="273"/>
      <c r="D69" s="273"/>
      <c r="E69" s="273"/>
      <c r="F69" s="342"/>
      <c r="G69" s="273"/>
      <c r="H69" s="273"/>
      <c r="I69" s="273">
        <f>SUM(C69+G69+E69)</f>
        <v>0</v>
      </c>
      <c r="J69" s="342"/>
    </row>
    <row r="70" spans="1:10" s="253" customFormat="1" ht="5.0999999999999996" customHeight="1" x14ac:dyDescent="0.2">
      <c r="F70" s="362"/>
      <c r="J70" s="362"/>
    </row>
    <row r="71" spans="1:10" s="253" customFormat="1" ht="9.9499999999999993" customHeight="1" x14ac:dyDescent="0.2">
      <c r="F71" s="362"/>
      <c r="J71" s="362"/>
    </row>
    <row r="72" spans="1:10" s="381" customFormat="1" ht="9.9499999999999993" customHeight="1" x14ac:dyDescent="0.2">
      <c r="B72" s="382"/>
      <c r="C72" s="420">
        <f>+C31-C68</f>
        <v>0</v>
      </c>
      <c r="D72" s="420"/>
      <c r="E72" s="420">
        <f>+E31-E68</f>
        <v>0</v>
      </c>
      <c r="F72" s="420"/>
      <c r="G72" s="420">
        <f>+G31-G68</f>
        <v>0</v>
      </c>
      <c r="H72" s="420"/>
      <c r="I72" s="420">
        <f>+I31-I68</f>
        <v>0</v>
      </c>
      <c r="J72" s="421"/>
    </row>
    <row r="73" spans="1:10" s="253" customFormat="1" ht="9.9499999999999993" customHeight="1" x14ac:dyDescent="0.2">
      <c r="B73" s="362"/>
      <c r="F73" s="362"/>
      <c r="H73" s="362"/>
    </row>
    <row r="74" spans="1:10" s="253" customFormat="1" ht="9.9499999999999993" customHeight="1" x14ac:dyDescent="0.2">
      <c r="B74" s="362"/>
      <c r="F74" s="362"/>
      <c r="H74" s="362"/>
    </row>
    <row r="75" spans="1:10" s="253" customFormat="1" ht="9.9499999999999993" customHeight="1" x14ac:dyDescent="0.2">
      <c r="B75" s="362"/>
      <c r="F75" s="362"/>
      <c r="H75" s="362"/>
    </row>
    <row r="76" spans="1:10" s="422" customFormat="1" ht="9.9499999999999993" customHeight="1" x14ac:dyDescent="0.2">
      <c r="B76" s="423"/>
      <c r="F76" s="423"/>
      <c r="H76" s="423"/>
    </row>
    <row r="77" spans="1:10" s="422" customFormat="1" ht="9.9499999999999993" customHeight="1" x14ac:dyDescent="0.2">
      <c r="B77" s="423"/>
      <c r="F77" s="423"/>
      <c r="H77" s="423"/>
    </row>
    <row r="78" spans="1:10" s="422" customFormat="1" ht="9.9499999999999993" customHeight="1" x14ac:dyDescent="0.2">
      <c r="B78" s="423"/>
      <c r="F78" s="423"/>
      <c r="H78" s="423"/>
    </row>
    <row r="79" spans="1:10" s="422" customFormat="1" ht="9.9499999999999993" customHeight="1" x14ac:dyDescent="0.2">
      <c r="B79" s="423"/>
      <c r="F79" s="423"/>
      <c r="H79" s="423"/>
    </row>
    <row r="80" spans="1:10" s="422" customFormat="1" ht="9.9499999999999993" customHeight="1" x14ac:dyDescent="0.2">
      <c r="B80" s="423"/>
      <c r="F80" s="423"/>
      <c r="H80" s="423"/>
    </row>
    <row r="81" spans="2:8" s="422" customFormat="1" ht="9.9499999999999993" customHeight="1" x14ac:dyDescent="0.2">
      <c r="B81" s="423"/>
      <c r="F81" s="423"/>
      <c r="H81" s="423"/>
    </row>
    <row r="82" spans="2:8" s="422" customFormat="1" ht="9.9499999999999993" customHeight="1" x14ac:dyDescent="0.2">
      <c r="B82" s="423"/>
      <c r="F82" s="423"/>
      <c r="H82" s="423"/>
    </row>
    <row r="83" spans="2:8" s="422" customFormat="1" ht="9.9499999999999993" customHeight="1" x14ac:dyDescent="0.2">
      <c r="B83" s="423"/>
      <c r="F83" s="423"/>
      <c r="H83" s="423"/>
    </row>
    <row r="84" spans="2:8" s="422" customFormat="1" ht="9.9499999999999993" customHeight="1" x14ac:dyDescent="0.2">
      <c r="B84" s="423"/>
      <c r="F84" s="423"/>
      <c r="H84" s="423"/>
    </row>
    <row r="85" spans="2:8" s="422" customFormat="1" ht="9.9499999999999993" customHeight="1" x14ac:dyDescent="0.2">
      <c r="B85" s="423"/>
      <c r="F85" s="423"/>
      <c r="H85" s="423"/>
    </row>
    <row r="86" spans="2:8" s="422" customFormat="1" ht="9.9499999999999993" customHeight="1" x14ac:dyDescent="0.2">
      <c r="B86" s="423"/>
      <c r="F86" s="423"/>
      <c r="H86" s="423"/>
    </row>
    <row r="87" spans="2:8" s="422" customFormat="1" ht="9.9499999999999993" customHeight="1" x14ac:dyDescent="0.2">
      <c r="B87" s="423"/>
      <c r="F87" s="423"/>
      <c r="H87" s="423"/>
    </row>
    <row r="88" spans="2:8" s="422" customFormat="1" ht="9.9499999999999993" customHeight="1" x14ac:dyDescent="0.2">
      <c r="B88" s="423"/>
      <c r="F88" s="423"/>
      <c r="H88" s="423"/>
    </row>
    <row r="89" spans="2:8" s="422" customFormat="1" ht="9.9499999999999993" customHeight="1" x14ac:dyDescent="0.2">
      <c r="B89" s="423"/>
      <c r="F89" s="423"/>
      <c r="H89" s="423"/>
    </row>
    <row r="90" spans="2:8" s="422" customFormat="1" ht="9.9499999999999993" customHeight="1" x14ac:dyDescent="0.2">
      <c r="B90" s="423"/>
      <c r="F90" s="423"/>
      <c r="H90" s="423"/>
    </row>
    <row r="91" spans="2:8" s="422" customFormat="1" ht="9.9499999999999993" customHeight="1" x14ac:dyDescent="0.2">
      <c r="B91" s="423"/>
      <c r="F91" s="423"/>
      <c r="H91" s="423"/>
    </row>
    <row r="92" spans="2:8" s="422" customFormat="1" ht="9.9499999999999993" customHeight="1" x14ac:dyDescent="0.2">
      <c r="B92" s="423"/>
      <c r="F92" s="423"/>
      <c r="H92" s="423"/>
    </row>
    <row r="93" spans="2:8" s="422" customFormat="1" ht="9.9499999999999993" customHeight="1" x14ac:dyDescent="0.2">
      <c r="B93" s="423"/>
      <c r="F93" s="423"/>
      <c r="H93" s="423"/>
    </row>
    <row r="94" spans="2:8" s="422" customFormat="1" ht="9.9499999999999993" customHeight="1" x14ac:dyDescent="0.2">
      <c r="B94" s="423"/>
      <c r="F94" s="423"/>
      <c r="H94" s="423"/>
    </row>
    <row r="95" spans="2:8" s="422" customFormat="1" ht="9.9499999999999993" customHeight="1" x14ac:dyDescent="0.2">
      <c r="B95" s="423"/>
      <c r="F95" s="423"/>
      <c r="H95" s="423"/>
    </row>
    <row r="96" spans="2:8" s="422" customFormat="1" ht="9.9499999999999993" customHeight="1" x14ac:dyDescent="0.2">
      <c r="B96" s="423"/>
      <c r="F96" s="423"/>
      <c r="H96" s="423"/>
    </row>
    <row r="97" spans="2:8" s="422" customFormat="1" ht="9.9499999999999993" customHeight="1" x14ac:dyDescent="0.2">
      <c r="B97" s="423"/>
      <c r="F97" s="423"/>
      <c r="H97" s="423"/>
    </row>
    <row r="98" spans="2:8" s="422" customFormat="1" ht="9.9499999999999993" customHeight="1" x14ac:dyDescent="0.2">
      <c r="B98" s="423"/>
      <c r="F98" s="423"/>
      <c r="H98" s="423"/>
    </row>
    <row r="99" spans="2:8" s="422" customFormat="1" ht="9.9499999999999993" customHeight="1" x14ac:dyDescent="0.2">
      <c r="B99" s="423"/>
      <c r="F99" s="423"/>
      <c r="H99" s="423"/>
    </row>
    <row r="100" spans="2:8" s="422" customFormat="1" ht="9.9499999999999993" customHeight="1" x14ac:dyDescent="0.2">
      <c r="B100" s="423"/>
      <c r="F100" s="423"/>
      <c r="H100" s="423"/>
    </row>
    <row r="101" spans="2:8" s="422" customFormat="1" ht="9.9499999999999993" customHeight="1" x14ac:dyDescent="0.2">
      <c r="B101" s="423"/>
      <c r="F101" s="423"/>
      <c r="H101" s="423"/>
    </row>
    <row r="102" spans="2:8" s="422" customFormat="1" ht="9.9499999999999993" customHeight="1" x14ac:dyDescent="0.2">
      <c r="B102" s="423"/>
      <c r="F102" s="423"/>
      <c r="H102" s="423"/>
    </row>
    <row r="103" spans="2:8" s="422" customFormat="1" ht="9.9499999999999993" customHeight="1" x14ac:dyDescent="0.2">
      <c r="B103" s="423"/>
      <c r="F103" s="423"/>
      <c r="H103" s="423"/>
    </row>
    <row r="104" spans="2:8" s="422" customFormat="1" ht="9.9499999999999993" customHeight="1" x14ac:dyDescent="0.2">
      <c r="B104" s="423"/>
      <c r="F104" s="423"/>
      <c r="H104" s="423"/>
    </row>
    <row r="105" spans="2:8" s="422" customFormat="1" ht="9.9499999999999993" customHeight="1" x14ac:dyDescent="0.2">
      <c r="B105" s="423"/>
      <c r="F105" s="423"/>
      <c r="H105" s="423"/>
    </row>
    <row r="106" spans="2:8" s="422" customFormat="1" ht="9.9499999999999993" customHeight="1" x14ac:dyDescent="0.2">
      <c r="B106" s="423"/>
      <c r="F106" s="423"/>
      <c r="H106" s="423"/>
    </row>
    <row r="107" spans="2:8" s="422" customFormat="1" ht="9.9499999999999993" customHeight="1" x14ac:dyDescent="0.2">
      <c r="B107" s="423"/>
      <c r="F107" s="423"/>
      <c r="H107" s="423"/>
    </row>
    <row r="108" spans="2:8" s="422" customFormat="1" ht="9.9499999999999993" customHeight="1" x14ac:dyDescent="0.2">
      <c r="B108" s="423"/>
      <c r="F108" s="423"/>
      <c r="H108" s="423"/>
    </row>
    <row r="109" spans="2:8" s="422" customFormat="1" ht="9.9499999999999993" customHeight="1" x14ac:dyDescent="0.2">
      <c r="B109" s="423"/>
      <c r="F109" s="423"/>
      <c r="H109" s="423"/>
    </row>
    <row r="110" spans="2:8" s="422" customFormat="1" ht="9.9499999999999993" customHeight="1" x14ac:dyDescent="0.2">
      <c r="B110" s="423"/>
      <c r="F110" s="423"/>
      <c r="H110" s="423"/>
    </row>
    <row r="111" spans="2:8" s="422" customFormat="1" ht="9.9499999999999993" customHeight="1" x14ac:dyDescent="0.2">
      <c r="B111" s="423"/>
      <c r="F111" s="423"/>
      <c r="H111" s="423"/>
    </row>
    <row r="112" spans="2:8" s="422" customFormat="1" ht="9.9499999999999993" customHeight="1" x14ac:dyDescent="0.2">
      <c r="B112" s="423"/>
      <c r="F112" s="423"/>
      <c r="H112" s="423"/>
    </row>
    <row r="113" spans="2:8" s="422" customFormat="1" ht="9.9499999999999993" customHeight="1" x14ac:dyDescent="0.2">
      <c r="B113" s="423"/>
      <c r="F113" s="423"/>
      <c r="H113" s="423"/>
    </row>
    <row r="114" spans="2:8" s="422" customFormat="1" ht="9.9499999999999993" customHeight="1" x14ac:dyDescent="0.2">
      <c r="B114" s="423"/>
      <c r="F114" s="423"/>
      <c r="H114" s="423"/>
    </row>
    <row r="115" spans="2:8" s="422" customFormat="1" ht="9.9499999999999993" customHeight="1" x14ac:dyDescent="0.2">
      <c r="B115" s="423"/>
      <c r="F115" s="423"/>
      <c r="H115" s="423"/>
    </row>
    <row r="116" spans="2:8" s="422" customFormat="1" ht="9.9499999999999993" customHeight="1" x14ac:dyDescent="0.2">
      <c r="B116" s="423"/>
      <c r="F116" s="423"/>
      <c r="H116" s="423"/>
    </row>
    <row r="117" spans="2:8" s="422" customFormat="1" ht="9.9499999999999993" customHeight="1" x14ac:dyDescent="0.2">
      <c r="B117" s="423"/>
      <c r="F117" s="423"/>
      <c r="H117" s="423"/>
    </row>
    <row r="118" spans="2:8" s="422" customFormat="1" ht="9.9499999999999993" customHeight="1" x14ac:dyDescent="0.2">
      <c r="B118" s="423"/>
      <c r="F118" s="423"/>
      <c r="H118" s="423"/>
    </row>
    <row r="119" spans="2:8" s="422" customFormat="1" ht="9.9499999999999993" customHeight="1" x14ac:dyDescent="0.2">
      <c r="B119" s="423"/>
      <c r="F119" s="423"/>
      <c r="H119" s="423"/>
    </row>
    <row r="120" spans="2:8" s="422" customFormat="1" ht="9.9499999999999993" customHeight="1" x14ac:dyDescent="0.2">
      <c r="B120" s="423"/>
      <c r="F120" s="423"/>
      <c r="H120" s="423"/>
    </row>
    <row r="121" spans="2:8" s="422" customFormat="1" ht="9.9499999999999993" customHeight="1" x14ac:dyDescent="0.2">
      <c r="B121" s="423"/>
      <c r="F121" s="423"/>
      <c r="H121" s="423"/>
    </row>
    <row r="122" spans="2:8" s="422" customFormat="1" ht="9.9499999999999993" customHeight="1" x14ac:dyDescent="0.2">
      <c r="B122" s="423"/>
      <c r="F122" s="423"/>
      <c r="G122" s="422">
        <v>21</v>
      </c>
      <c r="H122" s="423"/>
    </row>
    <row r="123" spans="2:8" s="422" customFormat="1" ht="9.9499999999999993" customHeight="1" x14ac:dyDescent="0.2">
      <c r="B123" s="423"/>
      <c r="F123" s="423"/>
      <c r="H123" s="423"/>
    </row>
    <row r="124" spans="2:8" s="422" customFormat="1" ht="9.9499999999999993" customHeight="1" x14ac:dyDescent="0.2">
      <c r="B124" s="423"/>
      <c r="F124" s="423"/>
      <c r="H124" s="423"/>
    </row>
    <row r="125" spans="2:8" s="422" customFormat="1" ht="9.9499999999999993" customHeight="1" x14ac:dyDescent="0.2">
      <c r="B125" s="423"/>
      <c r="F125" s="423"/>
      <c r="H125" s="423"/>
    </row>
    <row r="126" spans="2:8" s="422" customFormat="1" ht="9.9499999999999993" customHeight="1" x14ac:dyDescent="0.2">
      <c r="B126" s="423"/>
      <c r="F126" s="423"/>
      <c r="H126" s="423"/>
    </row>
    <row r="127" spans="2:8" s="422" customFormat="1" ht="9.9499999999999993" customHeight="1" x14ac:dyDescent="0.2">
      <c r="B127" s="423"/>
      <c r="F127" s="423"/>
      <c r="H127" s="423"/>
    </row>
    <row r="128" spans="2:8" s="422" customFormat="1" ht="9.9499999999999993" customHeight="1" x14ac:dyDescent="0.2">
      <c r="B128" s="423"/>
      <c r="F128" s="423"/>
      <c r="H128" s="423"/>
    </row>
    <row r="129" spans="2:8" s="422" customFormat="1" ht="9.9499999999999993" customHeight="1" x14ac:dyDescent="0.2">
      <c r="B129" s="423"/>
      <c r="F129" s="423"/>
      <c r="H129" s="423"/>
    </row>
    <row r="130" spans="2:8" s="422" customFormat="1" ht="9.9499999999999993" customHeight="1" x14ac:dyDescent="0.2">
      <c r="B130" s="423"/>
      <c r="F130" s="423"/>
      <c r="H130" s="423"/>
    </row>
    <row r="131" spans="2:8" s="422" customFormat="1" ht="9.9499999999999993" customHeight="1" x14ac:dyDescent="0.2">
      <c r="B131" s="423"/>
      <c r="F131" s="423"/>
      <c r="H131" s="423"/>
    </row>
    <row r="132" spans="2:8" s="422" customFormat="1" ht="9.9499999999999993" customHeight="1" x14ac:dyDescent="0.2">
      <c r="B132" s="423"/>
      <c r="F132" s="423"/>
      <c r="H132" s="423"/>
    </row>
    <row r="133" spans="2:8" s="422" customFormat="1" ht="9.9499999999999993" customHeight="1" x14ac:dyDescent="0.2">
      <c r="B133" s="423"/>
      <c r="F133" s="423"/>
      <c r="H133" s="423"/>
    </row>
    <row r="134" spans="2:8" s="422" customFormat="1" ht="9.9499999999999993" customHeight="1" x14ac:dyDescent="0.2">
      <c r="B134" s="423"/>
      <c r="F134" s="423"/>
      <c r="H134" s="423"/>
    </row>
    <row r="135" spans="2:8" s="422" customFormat="1" ht="9.9499999999999993" customHeight="1" x14ac:dyDescent="0.2">
      <c r="B135" s="423"/>
      <c r="F135" s="423"/>
      <c r="H135" s="423"/>
    </row>
    <row r="136" spans="2:8" s="422" customFormat="1" ht="9.9499999999999993" customHeight="1" x14ac:dyDescent="0.2">
      <c r="B136" s="423"/>
      <c r="F136" s="423"/>
      <c r="H136" s="423"/>
    </row>
    <row r="137" spans="2:8" s="422" customFormat="1" ht="9.9499999999999993" customHeight="1" x14ac:dyDescent="0.2">
      <c r="B137" s="423"/>
      <c r="F137" s="423"/>
      <c r="H137" s="423"/>
    </row>
    <row r="138" spans="2:8" s="422" customFormat="1" ht="9.9499999999999993" customHeight="1" x14ac:dyDescent="0.2">
      <c r="B138" s="423"/>
      <c r="F138" s="423"/>
      <c r="H138" s="423"/>
    </row>
    <row r="139" spans="2:8" s="422" customFormat="1" ht="9.9499999999999993" customHeight="1" x14ac:dyDescent="0.2">
      <c r="B139" s="423"/>
      <c r="F139" s="423"/>
      <c r="H139" s="423"/>
    </row>
    <row r="140" spans="2:8" s="422" customFormat="1" ht="9.9499999999999993" customHeight="1" x14ac:dyDescent="0.2">
      <c r="B140" s="423"/>
      <c r="F140" s="423"/>
      <c r="H140" s="423"/>
    </row>
    <row r="141" spans="2:8" s="422" customFormat="1" ht="9.9499999999999993" customHeight="1" x14ac:dyDescent="0.2">
      <c r="B141" s="423"/>
      <c r="F141" s="423"/>
      <c r="H141" s="423"/>
    </row>
    <row r="142" spans="2:8" s="422" customFormat="1" ht="9.9499999999999993" customHeight="1" x14ac:dyDescent="0.2">
      <c r="B142" s="423"/>
      <c r="F142" s="423"/>
      <c r="H142" s="423"/>
    </row>
    <row r="143" spans="2:8" s="422" customFormat="1" ht="9.9499999999999993" customHeight="1" x14ac:dyDescent="0.2">
      <c r="B143" s="423"/>
      <c r="F143" s="423"/>
      <c r="H143" s="423"/>
    </row>
    <row r="144" spans="2:8" s="422" customFormat="1" ht="9.9499999999999993" customHeight="1" x14ac:dyDescent="0.2">
      <c r="B144" s="423"/>
      <c r="F144" s="423"/>
      <c r="H144" s="423"/>
    </row>
    <row r="145" spans="2:8" s="422" customFormat="1" ht="9.9499999999999993" customHeight="1" x14ac:dyDescent="0.2">
      <c r="B145" s="423"/>
      <c r="F145" s="423"/>
      <c r="H145" s="423"/>
    </row>
    <row r="146" spans="2:8" s="422" customFormat="1" ht="9.9499999999999993" customHeight="1" x14ac:dyDescent="0.2">
      <c r="B146" s="423"/>
      <c r="F146" s="423"/>
      <c r="H146" s="423"/>
    </row>
    <row r="147" spans="2:8" s="422" customFormat="1" ht="9.9499999999999993" customHeight="1" x14ac:dyDescent="0.2">
      <c r="B147" s="423"/>
      <c r="F147" s="423"/>
      <c r="H147" s="423"/>
    </row>
    <row r="148" spans="2:8" s="422" customFormat="1" ht="9.9499999999999993" customHeight="1" x14ac:dyDescent="0.2">
      <c r="B148" s="423"/>
      <c r="F148" s="423"/>
      <c r="H148" s="423"/>
    </row>
    <row r="149" spans="2:8" s="422" customFormat="1" ht="9.9499999999999993" customHeight="1" x14ac:dyDescent="0.2">
      <c r="B149" s="423"/>
      <c r="F149" s="423"/>
      <c r="H149" s="423"/>
    </row>
    <row r="150" spans="2:8" s="422" customFormat="1" ht="9.9499999999999993" customHeight="1" x14ac:dyDescent="0.2">
      <c r="B150" s="423"/>
      <c r="F150" s="423"/>
      <c r="H150" s="423"/>
    </row>
    <row r="151" spans="2:8" s="422" customFormat="1" ht="9.9499999999999993" customHeight="1" x14ac:dyDescent="0.2">
      <c r="B151" s="423"/>
      <c r="F151" s="423"/>
      <c r="H151" s="423"/>
    </row>
    <row r="152" spans="2:8" s="422" customFormat="1" ht="9.9499999999999993" customHeight="1" x14ac:dyDescent="0.2">
      <c r="B152" s="423"/>
      <c r="F152" s="423"/>
      <c r="H152" s="423"/>
    </row>
    <row r="153" spans="2:8" s="422" customFormat="1" ht="9.9499999999999993" customHeight="1" x14ac:dyDescent="0.2">
      <c r="B153" s="423"/>
      <c r="F153" s="423"/>
      <c r="H153" s="423"/>
    </row>
    <row r="154" spans="2:8" s="422" customFormat="1" ht="9.9499999999999993" customHeight="1" x14ac:dyDescent="0.2">
      <c r="B154" s="423"/>
      <c r="F154" s="423"/>
      <c r="H154" s="423"/>
    </row>
    <row r="155" spans="2:8" s="422" customFormat="1" ht="9.9499999999999993" customHeight="1" x14ac:dyDescent="0.2">
      <c r="B155" s="423"/>
      <c r="F155" s="423"/>
      <c r="H155" s="423"/>
    </row>
    <row r="156" spans="2:8" s="422" customFormat="1" ht="9.9499999999999993" customHeight="1" x14ac:dyDescent="0.2">
      <c r="B156" s="423"/>
      <c r="F156" s="423"/>
      <c r="H156" s="423"/>
    </row>
    <row r="157" spans="2:8" s="422" customFormat="1" ht="9.9499999999999993" customHeight="1" x14ac:dyDescent="0.2">
      <c r="B157" s="423"/>
      <c r="F157" s="423"/>
      <c r="H157" s="423"/>
    </row>
    <row r="158" spans="2:8" s="422" customFormat="1" ht="9.9499999999999993" customHeight="1" x14ac:dyDescent="0.2">
      <c r="B158" s="423"/>
      <c r="F158" s="423"/>
      <c r="H158" s="423"/>
    </row>
    <row r="159" spans="2:8" s="422" customFormat="1" ht="9.9499999999999993" customHeight="1" x14ac:dyDescent="0.2">
      <c r="B159" s="423"/>
      <c r="F159" s="423"/>
      <c r="H159" s="423"/>
    </row>
    <row r="160" spans="2:8" s="422" customFormat="1" ht="9.9499999999999993" customHeight="1" x14ac:dyDescent="0.2">
      <c r="B160" s="423"/>
      <c r="F160" s="423"/>
      <c r="H160" s="423"/>
    </row>
    <row r="161" spans="2:8" s="422" customFormat="1" ht="9.9499999999999993" customHeight="1" x14ac:dyDescent="0.2">
      <c r="B161" s="423"/>
      <c r="F161" s="423"/>
      <c r="H161" s="423"/>
    </row>
    <row r="162" spans="2:8" s="422" customFormat="1" ht="9.9499999999999993" customHeight="1" x14ac:dyDescent="0.2">
      <c r="B162" s="423"/>
      <c r="F162" s="423"/>
      <c r="H162" s="423"/>
    </row>
    <row r="163" spans="2:8" s="422" customFormat="1" ht="9.9499999999999993" customHeight="1" x14ac:dyDescent="0.2">
      <c r="B163" s="423"/>
      <c r="F163" s="423"/>
      <c r="H163" s="423"/>
    </row>
    <row r="164" spans="2:8" s="422" customFormat="1" ht="9.9499999999999993" customHeight="1" x14ac:dyDescent="0.2">
      <c r="B164" s="423"/>
      <c r="F164" s="423"/>
      <c r="H164" s="423"/>
    </row>
    <row r="165" spans="2:8" s="422" customFormat="1" ht="9.9499999999999993" customHeight="1" x14ac:dyDescent="0.2">
      <c r="B165" s="423"/>
      <c r="F165" s="423"/>
      <c r="H165" s="423"/>
    </row>
    <row r="166" spans="2:8" s="422" customFormat="1" ht="9.9499999999999993" customHeight="1" x14ac:dyDescent="0.2">
      <c r="B166" s="423"/>
      <c r="F166" s="423"/>
      <c r="H166" s="423"/>
    </row>
    <row r="167" spans="2:8" s="422" customFormat="1" ht="9.9499999999999993" customHeight="1" x14ac:dyDescent="0.2">
      <c r="B167" s="423"/>
      <c r="F167" s="423"/>
      <c r="H167" s="423"/>
    </row>
    <row r="168" spans="2:8" s="422" customFormat="1" ht="9.9499999999999993" customHeight="1" x14ac:dyDescent="0.2">
      <c r="B168" s="423"/>
      <c r="F168" s="423"/>
      <c r="H168" s="423"/>
    </row>
    <row r="169" spans="2:8" s="422" customFormat="1" ht="9.9499999999999993" customHeight="1" x14ac:dyDescent="0.2">
      <c r="B169" s="423"/>
      <c r="F169" s="423"/>
      <c r="H169" s="423"/>
    </row>
    <row r="170" spans="2:8" s="422" customFormat="1" ht="9.9499999999999993" customHeight="1" x14ac:dyDescent="0.2">
      <c r="B170" s="423"/>
      <c r="F170" s="423"/>
      <c r="H170" s="423"/>
    </row>
    <row r="171" spans="2:8" s="422" customFormat="1" ht="9.9499999999999993" customHeight="1" x14ac:dyDescent="0.2">
      <c r="B171" s="423"/>
      <c r="F171" s="423"/>
      <c r="H171" s="423"/>
    </row>
    <row r="172" spans="2:8" s="422" customFormat="1" ht="9.9499999999999993" customHeight="1" x14ac:dyDescent="0.2">
      <c r="B172" s="423"/>
      <c r="F172" s="423"/>
      <c r="H172" s="423"/>
    </row>
    <row r="173" spans="2:8" s="422" customFormat="1" ht="9.9499999999999993" customHeight="1" x14ac:dyDescent="0.2">
      <c r="B173" s="423"/>
      <c r="F173" s="423"/>
      <c r="H173" s="423"/>
    </row>
    <row r="174" spans="2:8" s="422" customFormat="1" ht="9.9499999999999993" customHeight="1" x14ac:dyDescent="0.2">
      <c r="B174" s="423"/>
      <c r="F174" s="423"/>
      <c r="H174" s="423"/>
    </row>
    <row r="175" spans="2:8" s="422" customFormat="1" ht="9.9499999999999993" customHeight="1" x14ac:dyDescent="0.2">
      <c r="B175" s="423"/>
      <c r="F175" s="423"/>
      <c r="H175" s="423"/>
    </row>
    <row r="176" spans="2:8" s="422" customFormat="1" ht="9.9499999999999993" customHeight="1" x14ac:dyDescent="0.2">
      <c r="B176" s="423"/>
      <c r="F176" s="423"/>
      <c r="H176" s="423"/>
    </row>
    <row r="177" spans="2:8" s="422" customFormat="1" ht="9.9499999999999993" customHeight="1" x14ac:dyDescent="0.2">
      <c r="B177" s="423"/>
      <c r="F177" s="423"/>
      <c r="H177" s="423"/>
    </row>
    <row r="178" spans="2:8" s="422" customFormat="1" ht="9.9499999999999993" customHeight="1" x14ac:dyDescent="0.2">
      <c r="B178" s="423"/>
      <c r="F178" s="423"/>
      <c r="H178" s="423"/>
    </row>
    <row r="179" spans="2:8" s="422" customFormat="1" ht="9.9499999999999993" customHeight="1" x14ac:dyDescent="0.2">
      <c r="B179" s="423"/>
      <c r="F179" s="423"/>
      <c r="H179" s="423"/>
    </row>
    <row r="180" spans="2:8" s="422" customFormat="1" ht="9.9499999999999993" customHeight="1" x14ac:dyDescent="0.2">
      <c r="B180" s="423"/>
      <c r="F180" s="423"/>
      <c r="H180" s="423"/>
    </row>
    <row r="181" spans="2:8" s="422" customFormat="1" ht="9.9499999999999993" customHeight="1" x14ac:dyDescent="0.2">
      <c r="B181" s="423"/>
      <c r="F181" s="423"/>
      <c r="H181" s="423"/>
    </row>
    <row r="182" spans="2:8" s="422" customFormat="1" ht="9.9499999999999993" customHeight="1" x14ac:dyDescent="0.2">
      <c r="B182" s="423"/>
      <c r="F182" s="423"/>
      <c r="H182" s="423"/>
    </row>
    <row r="183" spans="2:8" s="422" customFormat="1" ht="9.9499999999999993" customHeight="1" x14ac:dyDescent="0.2">
      <c r="B183" s="423"/>
      <c r="F183" s="423"/>
      <c r="H183" s="423"/>
    </row>
    <row r="184" spans="2:8" s="422" customFormat="1" ht="9.9499999999999993" customHeight="1" x14ac:dyDescent="0.2">
      <c r="B184" s="423"/>
      <c r="F184" s="423"/>
      <c r="H184" s="423"/>
    </row>
    <row r="185" spans="2:8" s="422" customFormat="1" ht="9.9499999999999993" customHeight="1" x14ac:dyDescent="0.2">
      <c r="B185" s="423"/>
      <c r="F185" s="423"/>
      <c r="H185" s="423"/>
    </row>
    <row r="186" spans="2:8" s="422" customFormat="1" ht="9.9499999999999993" customHeight="1" x14ac:dyDescent="0.2">
      <c r="B186" s="423"/>
      <c r="F186" s="423"/>
      <c r="H186" s="423"/>
    </row>
    <row r="187" spans="2:8" s="422" customFormat="1" ht="9.9499999999999993" customHeight="1" x14ac:dyDescent="0.2">
      <c r="B187" s="423"/>
      <c r="F187" s="423"/>
      <c r="H187" s="423"/>
    </row>
    <row r="188" spans="2:8" s="422" customFormat="1" ht="9.9499999999999993" customHeight="1" x14ac:dyDescent="0.2">
      <c r="B188" s="423"/>
      <c r="F188" s="423"/>
      <c r="H188" s="423"/>
    </row>
    <row r="189" spans="2:8" s="422" customFormat="1" ht="9.9499999999999993" customHeight="1" x14ac:dyDescent="0.2">
      <c r="B189" s="423"/>
      <c r="F189" s="423"/>
      <c r="H189" s="423"/>
    </row>
    <row r="190" spans="2:8" s="422" customFormat="1" ht="9.9499999999999993" customHeight="1" x14ac:dyDescent="0.2">
      <c r="B190" s="423"/>
      <c r="F190" s="423"/>
      <c r="H190" s="423"/>
    </row>
    <row r="191" spans="2:8" s="422" customFormat="1" ht="9.9499999999999993" customHeight="1" x14ac:dyDescent="0.2">
      <c r="B191" s="423"/>
      <c r="F191" s="423"/>
      <c r="H191" s="423"/>
    </row>
    <row r="192" spans="2:8" s="422" customFormat="1" ht="9.9499999999999993" customHeight="1" x14ac:dyDescent="0.2">
      <c r="B192" s="423"/>
      <c r="F192" s="423"/>
      <c r="H192" s="423"/>
    </row>
    <row r="193" spans="2:8" s="422" customFormat="1" ht="9.9499999999999993" customHeight="1" x14ac:dyDescent="0.2">
      <c r="B193" s="423"/>
      <c r="F193" s="423"/>
      <c r="H193" s="423"/>
    </row>
    <row r="194" spans="2:8" s="422" customFormat="1" ht="9.9499999999999993" customHeight="1" x14ac:dyDescent="0.2">
      <c r="B194" s="423"/>
      <c r="F194" s="423"/>
      <c r="H194" s="423"/>
    </row>
    <row r="195" spans="2:8" s="422" customFormat="1" ht="9.9499999999999993" customHeight="1" x14ac:dyDescent="0.2">
      <c r="B195" s="423"/>
      <c r="F195" s="423"/>
      <c r="H195" s="423"/>
    </row>
    <row r="196" spans="2:8" s="422" customFormat="1" ht="9.9499999999999993" customHeight="1" x14ac:dyDescent="0.2">
      <c r="B196" s="423"/>
      <c r="F196" s="423"/>
      <c r="H196" s="423"/>
    </row>
    <row r="197" spans="2:8" s="422" customFormat="1" ht="9.9499999999999993" customHeight="1" x14ac:dyDescent="0.2">
      <c r="B197" s="423"/>
      <c r="F197" s="423"/>
      <c r="H197" s="423"/>
    </row>
    <row r="198" spans="2:8" s="422" customFormat="1" ht="9.9499999999999993" customHeight="1" x14ac:dyDescent="0.2">
      <c r="B198" s="423"/>
      <c r="F198" s="423"/>
      <c r="H198" s="423"/>
    </row>
    <row r="199" spans="2:8" s="422" customFormat="1" ht="9.9499999999999993" customHeight="1" x14ac:dyDescent="0.2">
      <c r="B199" s="423"/>
      <c r="F199" s="423"/>
      <c r="H199" s="423"/>
    </row>
    <row r="200" spans="2:8" s="422" customFormat="1" ht="9.9499999999999993" customHeight="1" x14ac:dyDescent="0.2">
      <c r="B200" s="423"/>
      <c r="F200" s="423"/>
      <c r="H200" s="423"/>
    </row>
    <row r="201" spans="2:8" s="422" customFormat="1" ht="9.9499999999999993" customHeight="1" x14ac:dyDescent="0.2">
      <c r="B201" s="423"/>
      <c r="F201" s="423"/>
      <c r="H201" s="423"/>
    </row>
    <row r="202" spans="2:8" s="422" customFormat="1" ht="9.9499999999999993" customHeight="1" x14ac:dyDescent="0.2">
      <c r="B202" s="423"/>
      <c r="F202" s="423"/>
      <c r="H202" s="423"/>
    </row>
    <row r="203" spans="2:8" s="422" customFormat="1" ht="9.9499999999999993" customHeight="1" x14ac:dyDescent="0.2">
      <c r="B203" s="423"/>
      <c r="F203" s="423"/>
      <c r="H203" s="423"/>
    </row>
    <row r="204" spans="2:8" s="422" customFormat="1" ht="9.9499999999999993" customHeight="1" x14ac:dyDescent="0.2">
      <c r="B204" s="423"/>
      <c r="F204" s="423"/>
      <c r="H204" s="423"/>
    </row>
    <row r="205" spans="2:8" s="422" customFormat="1" ht="9.9499999999999993" customHeight="1" x14ac:dyDescent="0.2">
      <c r="B205" s="423"/>
      <c r="F205" s="423"/>
      <c r="H205" s="423"/>
    </row>
    <row r="206" spans="2:8" s="422" customFormat="1" ht="9.9499999999999993" customHeight="1" x14ac:dyDescent="0.2">
      <c r="B206" s="423"/>
      <c r="F206" s="423"/>
      <c r="H206" s="423"/>
    </row>
    <row r="207" spans="2:8" s="422" customFormat="1" ht="9.9499999999999993" customHeight="1" x14ac:dyDescent="0.2">
      <c r="B207" s="423"/>
      <c r="F207" s="423"/>
      <c r="H207" s="423"/>
    </row>
    <row r="208" spans="2:8" s="422" customFormat="1" ht="9.9499999999999993" customHeight="1" x14ac:dyDescent="0.2">
      <c r="B208" s="423"/>
      <c r="F208" s="423"/>
      <c r="H208" s="423"/>
    </row>
    <row r="209" spans="2:8" s="422" customFormat="1" ht="9.9499999999999993" customHeight="1" x14ac:dyDescent="0.2">
      <c r="B209" s="423"/>
      <c r="F209" s="423"/>
      <c r="H209" s="423"/>
    </row>
    <row r="210" spans="2:8" s="422" customFormat="1" ht="9.9499999999999993" customHeight="1" x14ac:dyDescent="0.2">
      <c r="B210" s="423"/>
      <c r="F210" s="423"/>
      <c r="H210" s="423"/>
    </row>
    <row r="211" spans="2:8" s="422" customFormat="1" ht="9.9499999999999993" customHeight="1" x14ac:dyDescent="0.2">
      <c r="B211" s="423"/>
      <c r="F211" s="423"/>
      <c r="H211" s="423"/>
    </row>
    <row r="212" spans="2:8" s="422" customFormat="1" ht="9.9499999999999993" customHeight="1" x14ac:dyDescent="0.2">
      <c r="B212" s="423"/>
      <c r="F212" s="423"/>
      <c r="H212" s="423"/>
    </row>
    <row r="213" spans="2:8" s="422" customFormat="1" ht="9.9499999999999993" customHeight="1" x14ac:dyDescent="0.2">
      <c r="B213" s="423"/>
      <c r="F213" s="423"/>
      <c r="H213" s="423"/>
    </row>
    <row r="214" spans="2:8" s="422" customFormat="1" ht="9.9499999999999993" customHeight="1" x14ac:dyDescent="0.2">
      <c r="B214" s="423"/>
      <c r="F214" s="423"/>
      <c r="H214" s="423"/>
    </row>
    <row r="215" spans="2:8" s="422" customFormat="1" ht="9.9499999999999993" customHeight="1" x14ac:dyDescent="0.2">
      <c r="B215" s="423"/>
      <c r="F215" s="423"/>
      <c r="H215" s="423"/>
    </row>
    <row r="216" spans="2:8" s="422" customFormat="1" ht="9.9499999999999993" customHeight="1" x14ac:dyDescent="0.2">
      <c r="B216" s="423"/>
      <c r="F216" s="423"/>
      <c r="H216" s="423"/>
    </row>
    <row r="217" spans="2:8" s="422" customFormat="1" ht="9.9499999999999993" customHeight="1" x14ac:dyDescent="0.2">
      <c r="B217" s="423"/>
      <c r="F217" s="423"/>
      <c r="H217" s="423"/>
    </row>
    <row r="218" spans="2:8" s="422" customFormat="1" ht="9.9499999999999993" customHeight="1" x14ac:dyDescent="0.2">
      <c r="B218" s="423"/>
      <c r="F218" s="423"/>
      <c r="H218" s="423"/>
    </row>
    <row r="219" spans="2:8" s="422" customFormat="1" ht="9.9499999999999993" customHeight="1" x14ac:dyDescent="0.2">
      <c r="B219" s="423"/>
      <c r="F219" s="423"/>
      <c r="H219" s="423"/>
    </row>
    <row r="220" spans="2:8" s="422" customFormat="1" ht="9.9499999999999993" customHeight="1" x14ac:dyDescent="0.2">
      <c r="B220" s="423"/>
      <c r="F220" s="423"/>
      <c r="H220" s="423"/>
    </row>
    <row r="221" spans="2:8" s="422" customFormat="1" ht="9.9499999999999993" customHeight="1" x14ac:dyDescent="0.2">
      <c r="B221" s="423"/>
      <c r="F221" s="423"/>
      <c r="H221" s="423"/>
    </row>
    <row r="222" spans="2:8" s="422" customFormat="1" ht="9.9499999999999993" customHeight="1" x14ac:dyDescent="0.2">
      <c r="B222" s="423"/>
      <c r="F222" s="423"/>
      <c r="H222" s="423"/>
    </row>
    <row r="223" spans="2:8" s="422" customFormat="1" ht="9.9499999999999993" customHeight="1" x14ac:dyDescent="0.2">
      <c r="B223" s="423"/>
      <c r="F223" s="423"/>
      <c r="H223" s="423"/>
    </row>
    <row r="224" spans="2:8" s="422" customFormat="1" ht="9.9499999999999993" customHeight="1" x14ac:dyDescent="0.2">
      <c r="B224" s="423"/>
      <c r="F224" s="423"/>
      <c r="H224" s="423"/>
    </row>
    <row r="225" spans="2:8" s="422" customFormat="1" ht="9.9499999999999993" customHeight="1" x14ac:dyDescent="0.2">
      <c r="B225" s="423"/>
      <c r="F225" s="423"/>
      <c r="H225" s="423"/>
    </row>
    <row r="226" spans="2:8" s="422" customFormat="1" ht="9.9499999999999993" customHeight="1" x14ac:dyDescent="0.2">
      <c r="B226" s="423"/>
      <c r="F226" s="423"/>
      <c r="H226" s="423"/>
    </row>
    <row r="227" spans="2:8" s="422" customFormat="1" ht="9.9499999999999993" customHeight="1" x14ac:dyDescent="0.2">
      <c r="B227" s="423"/>
      <c r="F227" s="423"/>
      <c r="H227" s="423"/>
    </row>
    <row r="228" spans="2:8" s="422" customFormat="1" ht="9.9499999999999993" customHeight="1" x14ac:dyDescent="0.2">
      <c r="B228" s="423"/>
      <c r="F228" s="423"/>
      <c r="H228" s="423"/>
    </row>
    <row r="229" spans="2:8" s="422" customFormat="1" ht="9.9499999999999993" customHeight="1" x14ac:dyDescent="0.2">
      <c r="B229" s="423"/>
      <c r="F229" s="423"/>
      <c r="H229" s="423"/>
    </row>
    <row r="230" spans="2:8" s="422" customFormat="1" ht="9.9499999999999993" customHeight="1" x14ac:dyDescent="0.2">
      <c r="B230" s="423"/>
      <c r="F230" s="423"/>
      <c r="H230" s="423"/>
    </row>
    <row r="231" spans="2:8" s="422" customFormat="1" ht="9.9499999999999993" customHeight="1" x14ac:dyDescent="0.2">
      <c r="B231" s="423"/>
      <c r="F231" s="423"/>
      <c r="H231" s="423"/>
    </row>
    <row r="232" spans="2:8" s="422" customFormat="1" ht="9.9499999999999993" customHeight="1" x14ac:dyDescent="0.2">
      <c r="B232" s="423"/>
      <c r="F232" s="423"/>
      <c r="H232" s="423"/>
    </row>
    <row r="233" spans="2:8" s="422" customFormat="1" ht="9.9499999999999993" customHeight="1" x14ac:dyDescent="0.2">
      <c r="B233" s="423"/>
      <c r="F233" s="423"/>
      <c r="H233" s="423"/>
    </row>
    <row r="234" spans="2:8" s="422" customFormat="1" ht="9.9499999999999993" customHeight="1" x14ac:dyDescent="0.2">
      <c r="B234" s="423"/>
      <c r="F234" s="423"/>
      <c r="H234" s="423"/>
    </row>
    <row r="235" spans="2:8" s="422" customFormat="1" ht="9.9499999999999993" customHeight="1" x14ac:dyDescent="0.2">
      <c r="B235" s="423"/>
      <c r="F235" s="423"/>
      <c r="H235" s="423"/>
    </row>
    <row r="236" spans="2:8" s="422" customFormat="1" ht="9.9499999999999993" customHeight="1" x14ac:dyDescent="0.2">
      <c r="B236" s="423"/>
      <c r="F236" s="423"/>
      <c r="H236" s="423"/>
    </row>
    <row r="237" spans="2:8" s="422" customFormat="1" ht="9.9499999999999993" customHeight="1" x14ac:dyDescent="0.2">
      <c r="B237" s="423"/>
      <c r="F237" s="423"/>
      <c r="H237" s="423"/>
    </row>
    <row r="238" spans="2:8" s="422" customFormat="1" ht="9.9499999999999993" customHeight="1" x14ac:dyDescent="0.2">
      <c r="B238" s="423"/>
      <c r="F238" s="423"/>
      <c r="H238" s="423"/>
    </row>
    <row r="239" spans="2:8" s="422" customFormat="1" ht="9.9499999999999993" customHeight="1" x14ac:dyDescent="0.2">
      <c r="B239" s="423"/>
      <c r="F239" s="423"/>
      <c r="H239" s="423"/>
    </row>
    <row r="240" spans="2:8" s="422" customFormat="1" ht="9.9499999999999993" customHeight="1" x14ac:dyDescent="0.2">
      <c r="B240" s="423"/>
      <c r="F240" s="423"/>
      <c r="H240" s="423"/>
    </row>
    <row r="241" spans="2:8" s="422" customFormat="1" ht="9.9499999999999993" customHeight="1" x14ac:dyDescent="0.2">
      <c r="B241" s="423"/>
      <c r="F241" s="423"/>
      <c r="H241" s="423"/>
    </row>
    <row r="242" spans="2:8" s="422" customFormat="1" ht="9.9499999999999993" customHeight="1" x14ac:dyDescent="0.2">
      <c r="B242" s="423"/>
      <c r="F242" s="423"/>
      <c r="H242" s="423"/>
    </row>
    <row r="243" spans="2:8" s="422" customFormat="1" ht="9.9499999999999993" customHeight="1" x14ac:dyDescent="0.2">
      <c r="B243" s="423"/>
      <c r="F243" s="423"/>
      <c r="H243" s="423"/>
    </row>
    <row r="244" spans="2:8" s="422" customFormat="1" ht="9.9499999999999993" customHeight="1" x14ac:dyDescent="0.2">
      <c r="B244" s="423"/>
      <c r="F244" s="423"/>
      <c r="H244" s="423"/>
    </row>
    <row r="245" spans="2:8" s="422" customFormat="1" ht="9.9499999999999993" customHeight="1" x14ac:dyDescent="0.2">
      <c r="B245" s="423"/>
      <c r="F245" s="423"/>
      <c r="H245" s="423"/>
    </row>
    <row r="246" spans="2:8" s="422" customFormat="1" ht="9.9499999999999993" customHeight="1" x14ac:dyDescent="0.2">
      <c r="B246" s="423"/>
      <c r="F246" s="423"/>
      <c r="H246" s="423"/>
    </row>
    <row r="247" spans="2:8" s="422" customFormat="1" ht="9.9499999999999993" customHeight="1" x14ac:dyDescent="0.2">
      <c r="B247" s="423"/>
      <c r="F247" s="423"/>
      <c r="H247" s="423"/>
    </row>
    <row r="248" spans="2:8" s="422" customFormat="1" ht="9.9499999999999993" customHeight="1" x14ac:dyDescent="0.2">
      <c r="B248" s="423"/>
      <c r="F248" s="423"/>
      <c r="H248" s="423"/>
    </row>
    <row r="249" spans="2:8" s="422" customFormat="1" ht="9.9499999999999993" customHeight="1" x14ac:dyDescent="0.2">
      <c r="B249" s="423"/>
      <c r="F249" s="423"/>
      <c r="H249" s="423"/>
    </row>
    <row r="250" spans="2:8" s="422" customFormat="1" ht="9.9499999999999993" customHeight="1" x14ac:dyDescent="0.2">
      <c r="B250" s="423"/>
      <c r="F250" s="423"/>
      <c r="H250" s="423"/>
    </row>
    <row r="251" spans="2:8" s="422" customFormat="1" ht="9.9499999999999993" customHeight="1" x14ac:dyDescent="0.2">
      <c r="B251" s="423"/>
      <c r="F251" s="423"/>
      <c r="H251" s="423"/>
    </row>
    <row r="252" spans="2:8" s="422" customFormat="1" ht="9.9499999999999993" customHeight="1" x14ac:dyDescent="0.2">
      <c r="B252" s="423"/>
      <c r="F252" s="423"/>
      <c r="H252" s="423"/>
    </row>
    <row r="253" spans="2:8" s="422" customFormat="1" ht="9.9499999999999993" customHeight="1" x14ac:dyDescent="0.2">
      <c r="B253" s="423"/>
      <c r="F253" s="423"/>
      <c r="H253" s="423"/>
    </row>
    <row r="254" spans="2:8" s="422" customFormat="1" ht="9.9499999999999993" customHeight="1" x14ac:dyDescent="0.2">
      <c r="B254" s="423"/>
      <c r="F254" s="423"/>
      <c r="H254" s="423"/>
    </row>
    <row r="255" spans="2:8" s="422" customFormat="1" ht="9.9499999999999993" customHeight="1" x14ac:dyDescent="0.2">
      <c r="B255" s="423"/>
      <c r="F255" s="423"/>
      <c r="H255" s="423"/>
    </row>
    <row r="256" spans="2:8" s="422" customFormat="1" ht="9.9499999999999993" customHeight="1" x14ac:dyDescent="0.2">
      <c r="B256" s="423"/>
      <c r="F256" s="423"/>
      <c r="H256" s="423"/>
    </row>
    <row r="257" spans="2:8" s="422" customFormat="1" ht="9.9499999999999993" customHeight="1" x14ac:dyDescent="0.2">
      <c r="B257" s="423"/>
      <c r="F257" s="423"/>
      <c r="H257" s="423"/>
    </row>
    <row r="258" spans="2:8" s="326" customFormat="1" ht="9.9499999999999993" customHeight="1" x14ac:dyDescent="0.2">
      <c r="B258" s="327"/>
      <c r="F258" s="327"/>
      <c r="H258" s="327"/>
    </row>
    <row r="259" spans="2:8" s="326" customFormat="1" ht="9.9499999999999993" customHeight="1" x14ac:dyDescent="0.2">
      <c r="B259" s="327"/>
      <c r="F259" s="327"/>
      <c r="H259" s="327"/>
    </row>
    <row r="260" spans="2:8" s="326" customFormat="1" ht="9.9499999999999993" customHeight="1" x14ac:dyDescent="0.2">
      <c r="B260" s="327"/>
      <c r="F260" s="327"/>
      <c r="H260" s="327"/>
    </row>
    <row r="261" spans="2:8" s="326" customFormat="1" ht="9.9499999999999993" customHeight="1" x14ac:dyDescent="0.2">
      <c r="B261" s="327"/>
      <c r="F261" s="327"/>
      <c r="H261" s="327"/>
    </row>
    <row r="262" spans="2:8" s="326" customFormat="1" ht="9.9499999999999993" customHeight="1" x14ac:dyDescent="0.2">
      <c r="B262" s="327"/>
      <c r="F262" s="327"/>
      <c r="H262" s="327"/>
    </row>
    <row r="263" spans="2:8" s="326" customFormat="1" ht="9.9499999999999993" customHeight="1" x14ac:dyDescent="0.2">
      <c r="B263" s="327"/>
      <c r="F263" s="327"/>
      <c r="H263" s="327"/>
    </row>
    <row r="264" spans="2:8" s="326" customFormat="1" ht="9.9499999999999993" customHeight="1" x14ac:dyDescent="0.2">
      <c r="B264" s="327"/>
      <c r="F264" s="327"/>
      <c r="H264" s="327"/>
    </row>
    <row r="265" spans="2:8" s="326" customFormat="1" ht="9.9499999999999993" customHeight="1" x14ac:dyDescent="0.2">
      <c r="B265" s="327"/>
      <c r="F265" s="327"/>
      <c r="H265" s="327"/>
    </row>
    <row r="266" spans="2:8" s="326" customFormat="1" ht="9.9499999999999993" customHeight="1" x14ac:dyDescent="0.2">
      <c r="B266" s="327"/>
      <c r="F266" s="327"/>
      <c r="H266" s="327"/>
    </row>
    <row r="267" spans="2:8" s="326" customFormat="1" ht="9.9499999999999993" customHeight="1" x14ac:dyDescent="0.2">
      <c r="B267" s="327"/>
      <c r="F267" s="327"/>
      <c r="H267" s="327"/>
    </row>
    <row r="268" spans="2:8" s="326" customFormat="1" ht="9.9499999999999993" customHeight="1" x14ac:dyDescent="0.2">
      <c r="B268" s="327"/>
      <c r="F268" s="327"/>
      <c r="H268" s="327"/>
    </row>
    <row r="269" spans="2:8" s="326" customFormat="1" ht="9.9499999999999993" customHeight="1" x14ac:dyDescent="0.2">
      <c r="B269" s="327"/>
      <c r="F269" s="327"/>
      <c r="H269" s="327"/>
    </row>
    <row r="270" spans="2:8" s="326" customFormat="1" ht="9.9499999999999993" customHeight="1" x14ac:dyDescent="0.2">
      <c r="B270" s="327"/>
      <c r="F270" s="327"/>
      <c r="H270" s="327"/>
    </row>
    <row r="271" spans="2:8" s="326" customFormat="1" ht="9.9499999999999993" customHeight="1" x14ac:dyDescent="0.2">
      <c r="B271" s="327"/>
      <c r="F271" s="327"/>
      <c r="H271" s="327"/>
    </row>
    <row r="272" spans="2:8" s="326" customFormat="1" ht="9.9499999999999993" customHeight="1" x14ac:dyDescent="0.2">
      <c r="B272" s="327"/>
      <c r="F272" s="327"/>
      <c r="H272" s="327"/>
    </row>
    <row r="273" spans="2:8" s="326" customFormat="1" ht="9.9499999999999993" customHeight="1" x14ac:dyDescent="0.2">
      <c r="B273" s="327"/>
      <c r="F273" s="327"/>
      <c r="H273" s="327"/>
    </row>
    <row r="274" spans="2:8" s="326" customFormat="1" ht="9.9499999999999993" customHeight="1" x14ac:dyDescent="0.2">
      <c r="B274" s="327"/>
      <c r="F274" s="327"/>
      <c r="H274" s="327"/>
    </row>
    <row r="275" spans="2:8" s="326" customFormat="1" ht="9.9499999999999993" customHeight="1" x14ac:dyDescent="0.2">
      <c r="B275" s="327"/>
      <c r="F275" s="327"/>
      <c r="H275" s="327"/>
    </row>
    <row r="276" spans="2:8" s="326" customFormat="1" ht="9.9499999999999993" customHeight="1" x14ac:dyDescent="0.2">
      <c r="B276" s="327"/>
      <c r="F276" s="327"/>
      <c r="H276" s="327"/>
    </row>
    <row r="277" spans="2:8" s="326" customFormat="1" ht="9.9499999999999993" customHeight="1" x14ac:dyDescent="0.2">
      <c r="B277" s="327"/>
      <c r="F277" s="327"/>
      <c r="H277" s="327"/>
    </row>
    <row r="278" spans="2:8" s="326" customFormat="1" ht="9.9499999999999993" customHeight="1" x14ac:dyDescent="0.2">
      <c r="B278" s="327"/>
      <c r="F278" s="327"/>
      <c r="H278" s="327"/>
    </row>
    <row r="279" spans="2:8" s="326" customFormat="1" ht="9.9499999999999993" customHeight="1" x14ac:dyDescent="0.2">
      <c r="B279" s="327"/>
      <c r="F279" s="327"/>
      <c r="H279" s="327"/>
    </row>
    <row r="280" spans="2:8" s="326" customFormat="1" ht="9.9499999999999993" customHeight="1" x14ac:dyDescent="0.2">
      <c r="B280" s="327"/>
      <c r="F280" s="327"/>
      <c r="H280" s="327"/>
    </row>
    <row r="281" spans="2:8" s="326" customFormat="1" ht="9.9499999999999993" customHeight="1" x14ac:dyDescent="0.2">
      <c r="B281" s="327"/>
      <c r="F281" s="327"/>
      <c r="H281" s="327"/>
    </row>
    <row r="282" spans="2:8" s="326" customFormat="1" ht="9.9499999999999993" customHeight="1" x14ac:dyDescent="0.2">
      <c r="B282" s="327"/>
      <c r="F282" s="327"/>
      <c r="H282" s="327"/>
    </row>
    <row r="283" spans="2:8" s="326" customFormat="1" ht="9.9499999999999993" customHeight="1" x14ac:dyDescent="0.2">
      <c r="B283" s="327"/>
      <c r="F283" s="327"/>
      <c r="H283" s="327"/>
    </row>
    <row r="284" spans="2:8" s="326" customFormat="1" ht="9.9499999999999993" customHeight="1" x14ac:dyDescent="0.2">
      <c r="B284" s="327"/>
      <c r="F284" s="327"/>
      <c r="H284" s="327"/>
    </row>
    <row r="285" spans="2:8" s="326" customFormat="1" ht="9.9499999999999993" customHeight="1" x14ac:dyDescent="0.2">
      <c r="B285" s="327"/>
      <c r="F285" s="327"/>
      <c r="H285" s="327"/>
    </row>
    <row r="286" spans="2:8" s="326" customFormat="1" ht="9.9499999999999993" customHeight="1" x14ac:dyDescent="0.2">
      <c r="B286" s="327"/>
      <c r="F286" s="327"/>
      <c r="H286" s="327"/>
    </row>
    <row r="287" spans="2:8" s="326" customFormat="1" ht="9.9499999999999993" customHeight="1" x14ac:dyDescent="0.2">
      <c r="B287" s="327"/>
      <c r="F287" s="327"/>
      <c r="H287" s="327"/>
    </row>
    <row r="288" spans="2:8" s="326" customFormat="1" ht="9.9499999999999993" customHeight="1" x14ac:dyDescent="0.2">
      <c r="B288" s="327"/>
      <c r="F288" s="327"/>
      <c r="H288" s="327"/>
    </row>
    <row r="289" spans="2:8" s="326" customFormat="1" ht="9.9499999999999993" customHeight="1" x14ac:dyDescent="0.2">
      <c r="B289" s="327"/>
      <c r="F289" s="327"/>
      <c r="H289" s="327"/>
    </row>
    <row r="290" spans="2:8" s="326" customFormat="1" ht="9.9499999999999993" customHeight="1" x14ac:dyDescent="0.2">
      <c r="B290" s="327"/>
      <c r="F290" s="327"/>
      <c r="H290" s="327"/>
    </row>
    <row r="291" spans="2:8" s="326" customFormat="1" ht="9.9499999999999993" customHeight="1" x14ac:dyDescent="0.2">
      <c r="B291" s="327"/>
      <c r="F291" s="327"/>
      <c r="H291" s="327"/>
    </row>
    <row r="292" spans="2:8" s="326" customFormat="1" ht="9.9499999999999993" customHeight="1" x14ac:dyDescent="0.2">
      <c r="B292" s="327"/>
      <c r="F292" s="327"/>
      <c r="H292" s="327"/>
    </row>
    <row r="293" spans="2:8" s="326" customFormat="1" ht="9.9499999999999993" customHeight="1" x14ac:dyDescent="0.2">
      <c r="B293" s="327"/>
      <c r="F293" s="327"/>
      <c r="H293" s="327"/>
    </row>
    <row r="294" spans="2:8" s="326" customFormat="1" ht="9.9499999999999993" customHeight="1" x14ac:dyDescent="0.2">
      <c r="B294" s="327"/>
      <c r="F294" s="327"/>
      <c r="H294" s="327"/>
    </row>
    <row r="295" spans="2:8" s="326" customFormat="1" ht="9.9499999999999993" customHeight="1" x14ac:dyDescent="0.2">
      <c r="B295" s="327"/>
      <c r="F295" s="327"/>
      <c r="H295" s="327"/>
    </row>
    <row r="296" spans="2:8" s="326" customFormat="1" ht="9.9499999999999993" customHeight="1" x14ac:dyDescent="0.2">
      <c r="B296" s="327"/>
      <c r="F296" s="327"/>
      <c r="H296" s="327"/>
    </row>
    <row r="297" spans="2:8" s="326" customFormat="1" ht="9.9499999999999993" customHeight="1" x14ac:dyDescent="0.2">
      <c r="B297" s="327"/>
      <c r="F297" s="327"/>
      <c r="H297" s="327"/>
    </row>
    <row r="298" spans="2:8" s="326" customFormat="1" ht="9.9499999999999993" customHeight="1" x14ac:dyDescent="0.2">
      <c r="B298" s="327"/>
      <c r="F298" s="327"/>
      <c r="H298" s="327"/>
    </row>
    <row r="299" spans="2:8" s="326" customFormat="1" ht="9.9499999999999993" customHeight="1" x14ac:dyDescent="0.2">
      <c r="B299" s="327"/>
      <c r="F299" s="327"/>
      <c r="H299" s="327"/>
    </row>
    <row r="300" spans="2:8" s="326" customFormat="1" ht="9.9499999999999993" customHeight="1" x14ac:dyDescent="0.2">
      <c r="B300" s="327"/>
      <c r="F300" s="327"/>
      <c r="H300" s="327"/>
    </row>
    <row r="301" spans="2:8" s="326" customFormat="1" ht="9.9499999999999993" customHeight="1" x14ac:dyDescent="0.2">
      <c r="B301" s="327"/>
      <c r="F301" s="327"/>
      <c r="H301" s="327"/>
    </row>
    <row r="302" spans="2:8" s="326" customFormat="1" ht="9.9499999999999993" customHeight="1" x14ac:dyDescent="0.2">
      <c r="B302" s="327"/>
      <c r="F302" s="327"/>
      <c r="H302" s="327"/>
    </row>
    <row r="303" spans="2:8" s="326" customFormat="1" ht="9.9499999999999993" customHeight="1" x14ac:dyDescent="0.2">
      <c r="B303" s="327"/>
      <c r="F303" s="327"/>
      <c r="H303" s="327"/>
    </row>
    <row r="304" spans="2:8" s="326" customFormat="1" ht="9.9499999999999993" customHeight="1" x14ac:dyDescent="0.2">
      <c r="B304" s="327"/>
      <c r="F304" s="327"/>
      <c r="H304" s="327"/>
    </row>
    <row r="305" spans="2:8" s="326" customFormat="1" ht="9.9499999999999993" customHeight="1" x14ac:dyDescent="0.2">
      <c r="B305" s="327"/>
      <c r="F305" s="327"/>
      <c r="H305" s="327"/>
    </row>
    <row r="306" spans="2:8" s="326" customFormat="1" ht="9.9499999999999993" customHeight="1" x14ac:dyDescent="0.2">
      <c r="B306" s="327"/>
      <c r="F306" s="327"/>
      <c r="H306" s="327"/>
    </row>
    <row r="307" spans="2:8" s="326" customFormat="1" ht="9.9499999999999993" customHeight="1" x14ac:dyDescent="0.2">
      <c r="B307" s="327"/>
      <c r="F307" s="327"/>
      <c r="H307" s="327"/>
    </row>
    <row r="308" spans="2:8" s="326" customFormat="1" ht="9.9499999999999993" customHeight="1" x14ac:dyDescent="0.2">
      <c r="B308" s="327"/>
      <c r="F308" s="327"/>
      <c r="H308" s="327"/>
    </row>
    <row r="309" spans="2:8" s="326" customFormat="1" ht="9.9499999999999993" customHeight="1" x14ac:dyDescent="0.2">
      <c r="B309" s="327"/>
      <c r="F309" s="327"/>
      <c r="H309" s="327"/>
    </row>
    <row r="310" spans="2:8" s="326" customFormat="1" ht="9.9499999999999993" customHeight="1" x14ac:dyDescent="0.2">
      <c r="B310" s="327"/>
      <c r="F310" s="327"/>
      <c r="H310" s="327"/>
    </row>
    <row r="311" spans="2:8" s="326" customFormat="1" ht="9.9499999999999993" customHeight="1" x14ac:dyDescent="0.2">
      <c r="B311" s="327"/>
      <c r="F311" s="327"/>
      <c r="H311" s="327"/>
    </row>
    <row r="312" spans="2:8" s="326" customFormat="1" ht="9.9499999999999993" customHeight="1" x14ac:dyDescent="0.2">
      <c r="B312" s="327"/>
      <c r="F312" s="327"/>
      <c r="H312" s="327"/>
    </row>
    <row r="313" spans="2:8" s="326" customFormat="1" ht="9.9499999999999993" customHeight="1" x14ac:dyDescent="0.2">
      <c r="B313" s="327"/>
      <c r="F313" s="327"/>
      <c r="H313" s="327"/>
    </row>
    <row r="314" spans="2:8" s="326" customFormat="1" ht="9.9499999999999993" customHeight="1" x14ac:dyDescent="0.2">
      <c r="B314" s="327"/>
      <c r="F314" s="327"/>
      <c r="H314" s="327"/>
    </row>
    <row r="315" spans="2:8" s="326" customFormat="1" ht="9.9499999999999993" customHeight="1" x14ac:dyDescent="0.2">
      <c r="B315" s="327"/>
      <c r="F315" s="327"/>
      <c r="H315" s="327"/>
    </row>
    <row r="316" spans="2:8" s="326" customFormat="1" ht="9.9499999999999993" customHeight="1" x14ac:dyDescent="0.2">
      <c r="B316" s="327"/>
      <c r="F316" s="327"/>
      <c r="H316" s="327"/>
    </row>
    <row r="317" spans="2:8" s="326" customFormat="1" ht="9.9499999999999993" customHeight="1" x14ac:dyDescent="0.2">
      <c r="B317" s="327"/>
      <c r="F317" s="327"/>
      <c r="H317" s="327"/>
    </row>
    <row r="318" spans="2:8" s="326" customFormat="1" ht="9.9499999999999993" customHeight="1" x14ac:dyDescent="0.2">
      <c r="B318" s="327"/>
      <c r="F318" s="327"/>
      <c r="H318" s="327"/>
    </row>
    <row r="319" spans="2:8" s="326" customFormat="1" ht="9.9499999999999993" customHeight="1" x14ac:dyDescent="0.2">
      <c r="B319" s="327"/>
      <c r="F319" s="327"/>
      <c r="H319" s="327"/>
    </row>
    <row r="320" spans="2:8" s="326" customFormat="1" ht="9.9499999999999993" customHeight="1" x14ac:dyDescent="0.2">
      <c r="B320" s="327"/>
      <c r="F320" s="327"/>
      <c r="H320" s="327"/>
    </row>
    <row r="321" spans="2:8" s="326" customFormat="1" ht="9.9499999999999993" customHeight="1" x14ac:dyDescent="0.2">
      <c r="B321" s="327"/>
      <c r="F321" s="327"/>
      <c r="H321" s="327"/>
    </row>
    <row r="322" spans="2:8" s="326" customFormat="1" ht="9.9499999999999993" customHeight="1" x14ac:dyDescent="0.2">
      <c r="B322" s="327"/>
      <c r="F322" s="327"/>
      <c r="H322" s="327"/>
    </row>
    <row r="323" spans="2:8" s="326" customFormat="1" ht="9.9499999999999993" customHeight="1" x14ac:dyDescent="0.2">
      <c r="B323" s="327"/>
      <c r="F323" s="327"/>
      <c r="H323" s="327"/>
    </row>
    <row r="324" spans="2:8" s="326" customFormat="1" ht="9.9499999999999993" customHeight="1" x14ac:dyDescent="0.2">
      <c r="B324" s="327"/>
      <c r="F324" s="327"/>
      <c r="H324" s="327"/>
    </row>
    <row r="325" spans="2:8" s="326" customFormat="1" ht="9.9499999999999993" customHeight="1" x14ac:dyDescent="0.2">
      <c r="B325" s="327"/>
      <c r="F325" s="327"/>
      <c r="H325" s="327"/>
    </row>
    <row r="326" spans="2:8" s="326" customFormat="1" ht="9.9499999999999993" customHeight="1" x14ac:dyDescent="0.2">
      <c r="B326" s="327"/>
      <c r="F326" s="327"/>
      <c r="H326" s="327"/>
    </row>
    <row r="327" spans="2:8" s="326" customFormat="1" ht="9.9499999999999993" customHeight="1" x14ac:dyDescent="0.2">
      <c r="B327" s="327"/>
      <c r="F327" s="327"/>
      <c r="H327" s="327"/>
    </row>
    <row r="328" spans="2:8" s="326" customFormat="1" ht="9.9499999999999993" customHeight="1" x14ac:dyDescent="0.2">
      <c r="B328" s="327"/>
      <c r="F328" s="327"/>
      <c r="H328" s="327"/>
    </row>
    <row r="329" spans="2:8" s="326" customFormat="1" ht="9.9499999999999993" customHeight="1" x14ac:dyDescent="0.2">
      <c r="B329" s="327"/>
      <c r="F329" s="327"/>
      <c r="H329" s="327"/>
    </row>
    <row r="330" spans="2:8" s="326" customFormat="1" ht="9.9499999999999993" customHeight="1" x14ac:dyDescent="0.2">
      <c r="B330" s="327"/>
      <c r="F330" s="327"/>
      <c r="H330" s="327"/>
    </row>
    <row r="331" spans="2:8" s="326" customFormat="1" ht="9.9499999999999993" customHeight="1" x14ac:dyDescent="0.2">
      <c r="B331" s="327"/>
      <c r="F331" s="327"/>
      <c r="H331" s="327"/>
    </row>
    <row r="332" spans="2:8" s="326" customFormat="1" ht="9.9499999999999993" customHeight="1" x14ac:dyDescent="0.2">
      <c r="B332" s="327"/>
      <c r="F332" s="327"/>
      <c r="H332" s="327"/>
    </row>
    <row r="333" spans="2:8" s="326" customFormat="1" ht="9.9499999999999993" customHeight="1" x14ac:dyDescent="0.2">
      <c r="B333" s="327"/>
      <c r="F333" s="327"/>
      <c r="H333" s="327"/>
    </row>
    <row r="334" spans="2:8" s="326" customFormat="1" ht="9.9499999999999993" customHeight="1" x14ac:dyDescent="0.2">
      <c r="B334" s="327"/>
      <c r="F334" s="327"/>
      <c r="H334" s="327"/>
    </row>
    <row r="335" spans="2:8" s="326" customFormat="1" ht="9.9499999999999993" customHeight="1" x14ac:dyDescent="0.2">
      <c r="B335" s="327"/>
      <c r="F335" s="327"/>
      <c r="H335" s="327"/>
    </row>
    <row r="336" spans="2:8" s="326" customFormat="1" ht="9.9499999999999993" customHeight="1" x14ac:dyDescent="0.2">
      <c r="B336" s="327"/>
      <c r="F336" s="327"/>
      <c r="H336" s="327"/>
    </row>
    <row r="337" spans="2:8" s="326" customFormat="1" ht="9.9499999999999993" customHeight="1" x14ac:dyDescent="0.2">
      <c r="B337" s="327"/>
      <c r="F337" s="327"/>
      <c r="H337" s="327"/>
    </row>
    <row r="338" spans="2:8" s="326" customFormat="1" ht="9.9499999999999993" customHeight="1" x14ac:dyDescent="0.2">
      <c r="B338" s="327"/>
      <c r="F338" s="327"/>
      <c r="H338" s="327"/>
    </row>
    <row r="339" spans="2:8" s="326" customFormat="1" ht="9.9499999999999993" customHeight="1" x14ac:dyDescent="0.2">
      <c r="B339" s="327"/>
      <c r="F339" s="327"/>
      <c r="H339" s="327"/>
    </row>
    <row r="340" spans="2:8" s="326" customFormat="1" ht="9.9499999999999993" customHeight="1" x14ac:dyDescent="0.2">
      <c r="B340" s="327"/>
      <c r="F340" s="327"/>
      <c r="H340" s="327"/>
    </row>
    <row r="341" spans="2:8" s="326" customFormat="1" ht="9.9499999999999993" customHeight="1" x14ac:dyDescent="0.2">
      <c r="B341" s="327"/>
      <c r="F341" s="327"/>
      <c r="H341" s="327"/>
    </row>
    <row r="342" spans="2:8" s="326" customFormat="1" ht="9.9499999999999993" customHeight="1" x14ac:dyDescent="0.2">
      <c r="B342" s="327"/>
      <c r="F342" s="327"/>
      <c r="H342" s="327"/>
    </row>
    <row r="343" spans="2:8" s="326" customFormat="1" ht="9.9499999999999993" customHeight="1" x14ac:dyDescent="0.2">
      <c r="B343" s="327"/>
      <c r="F343" s="327"/>
      <c r="H343" s="327"/>
    </row>
    <row r="344" spans="2:8" s="326" customFormat="1" ht="9.9499999999999993" customHeight="1" x14ac:dyDescent="0.2">
      <c r="B344" s="327"/>
      <c r="F344" s="327"/>
      <c r="H344" s="327"/>
    </row>
    <row r="345" spans="2:8" s="326" customFormat="1" ht="9.9499999999999993" customHeight="1" x14ac:dyDescent="0.2">
      <c r="B345" s="327"/>
      <c r="F345" s="327"/>
      <c r="H345" s="327"/>
    </row>
    <row r="346" spans="2:8" s="326" customFormat="1" ht="9.9499999999999993" customHeight="1" x14ac:dyDescent="0.2">
      <c r="B346" s="327"/>
      <c r="F346" s="327"/>
      <c r="H346" s="327"/>
    </row>
    <row r="347" spans="2:8" s="326" customFormat="1" ht="9.9499999999999993" customHeight="1" x14ac:dyDescent="0.2">
      <c r="B347" s="327"/>
      <c r="F347" s="327"/>
      <c r="H347" s="327"/>
    </row>
    <row r="348" spans="2:8" s="326" customFormat="1" ht="9.9499999999999993" customHeight="1" x14ac:dyDescent="0.2">
      <c r="B348" s="327"/>
      <c r="F348" s="327"/>
      <c r="H348" s="327"/>
    </row>
    <row r="349" spans="2:8" s="326" customFormat="1" ht="9.9499999999999993" customHeight="1" x14ac:dyDescent="0.2">
      <c r="B349" s="327"/>
      <c r="F349" s="327"/>
      <c r="H349" s="327"/>
    </row>
    <row r="350" spans="2:8" s="326" customFormat="1" ht="9.9499999999999993" customHeight="1" x14ac:dyDescent="0.2">
      <c r="B350" s="327"/>
      <c r="F350" s="327"/>
      <c r="H350" s="327"/>
    </row>
    <row r="351" spans="2:8" s="326" customFormat="1" ht="9.9499999999999993" customHeight="1" x14ac:dyDescent="0.2">
      <c r="B351" s="327"/>
      <c r="F351" s="327"/>
      <c r="H351" s="327"/>
    </row>
    <row r="352" spans="2:8" s="326" customFormat="1" ht="9.9499999999999993" customHeight="1" x14ac:dyDescent="0.2">
      <c r="B352" s="327"/>
      <c r="F352" s="327"/>
      <c r="H352" s="327"/>
    </row>
    <row r="353" spans="2:8" s="326" customFormat="1" ht="9.9499999999999993" customHeight="1" x14ac:dyDescent="0.2">
      <c r="B353" s="327"/>
      <c r="F353" s="327"/>
      <c r="H353" s="327"/>
    </row>
    <row r="354" spans="2:8" s="326" customFormat="1" ht="9.9499999999999993" customHeight="1" x14ac:dyDescent="0.2">
      <c r="B354" s="327"/>
      <c r="F354" s="327"/>
      <c r="H354" s="327"/>
    </row>
    <row r="355" spans="2:8" s="326" customFormat="1" ht="9.9499999999999993" customHeight="1" x14ac:dyDescent="0.2">
      <c r="B355" s="327"/>
      <c r="F355" s="327"/>
      <c r="H355" s="327"/>
    </row>
    <row r="356" spans="2:8" s="326" customFormat="1" ht="9.9499999999999993" customHeight="1" x14ac:dyDescent="0.2">
      <c r="B356" s="327"/>
      <c r="F356" s="327"/>
      <c r="H356" s="327"/>
    </row>
    <row r="357" spans="2:8" s="326" customFormat="1" ht="9.9499999999999993" customHeight="1" x14ac:dyDescent="0.2">
      <c r="B357" s="327"/>
      <c r="F357" s="327"/>
      <c r="H357" s="327"/>
    </row>
    <row r="358" spans="2:8" s="326" customFormat="1" ht="9.9499999999999993" customHeight="1" x14ac:dyDescent="0.2">
      <c r="B358" s="327"/>
      <c r="F358" s="327"/>
      <c r="H358" s="327"/>
    </row>
    <row r="359" spans="2:8" s="326" customFormat="1" ht="9.9499999999999993" customHeight="1" x14ac:dyDescent="0.2">
      <c r="B359" s="327"/>
      <c r="F359" s="327"/>
      <c r="H359" s="327"/>
    </row>
    <row r="360" spans="2:8" s="326" customFormat="1" ht="9.9499999999999993" customHeight="1" x14ac:dyDescent="0.2">
      <c r="B360" s="327"/>
      <c r="F360" s="327"/>
      <c r="H360" s="327"/>
    </row>
    <row r="361" spans="2:8" s="326" customFormat="1" ht="9.9499999999999993" customHeight="1" x14ac:dyDescent="0.2">
      <c r="B361" s="327"/>
      <c r="F361" s="327"/>
      <c r="H361" s="327"/>
    </row>
    <row r="362" spans="2:8" s="326" customFormat="1" ht="9.9499999999999993" customHeight="1" x14ac:dyDescent="0.2">
      <c r="B362" s="327"/>
      <c r="F362" s="327"/>
      <c r="H362" s="327"/>
    </row>
    <row r="363" spans="2:8" s="326" customFormat="1" ht="9.9499999999999993" customHeight="1" x14ac:dyDescent="0.2">
      <c r="B363" s="327"/>
      <c r="F363" s="327"/>
      <c r="H363" s="327"/>
    </row>
    <row r="364" spans="2:8" s="326" customFormat="1" ht="9.9499999999999993" customHeight="1" x14ac:dyDescent="0.2">
      <c r="B364" s="327"/>
      <c r="F364" s="327"/>
      <c r="H364" s="327"/>
    </row>
    <row r="365" spans="2:8" s="326" customFormat="1" ht="9.9499999999999993" customHeight="1" x14ac:dyDescent="0.2">
      <c r="B365" s="327"/>
      <c r="F365" s="327"/>
      <c r="H365" s="327"/>
    </row>
    <row r="366" spans="2:8" s="326" customFormat="1" ht="9.9499999999999993" customHeight="1" x14ac:dyDescent="0.2">
      <c r="B366" s="327"/>
      <c r="F366" s="327"/>
      <c r="H366" s="327"/>
    </row>
    <row r="367" spans="2:8" s="326" customFormat="1" ht="9.9499999999999993" customHeight="1" x14ac:dyDescent="0.2">
      <c r="B367" s="327"/>
      <c r="F367" s="327"/>
      <c r="H367" s="327"/>
    </row>
    <row r="368" spans="2:8" s="326" customFormat="1" ht="9.9499999999999993" customHeight="1" x14ac:dyDescent="0.2">
      <c r="B368" s="327"/>
      <c r="F368" s="327"/>
      <c r="H368" s="327"/>
    </row>
    <row r="369" spans="2:8" s="326" customFormat="1" ht="9.9499999999999993" customHeight="1" x14ac:dyDescent="0.2">
      <c r="B369" s="327"/>
      <c r="F369" s="327"/>
      <c r="H369" s="327"/>
    </row>
    <row r="370" spans="2:8" s="326" customFormat="1" ht="9.9499999999999993" customHeight="1" x14ac:dyDescent="0.2">
      <c r="B370" s="327"/>
      <c r="F370" s="327"/>
      <c r="H370" s="327"/>
    </row>
    <row r="371" spans="2:8" s="326" customFormat="1" ht="9.9499999999999993" customHeight="1" x14ac:dyDescent="0.2">
      <c r="B371" s="327"/>
      <c r="F371" s="327"/>
      <c r="H371" s="327"/>
    </row>
    <row r="372" spans="2:8" s="326" customFormat="1" ht="9.9499999999999993" customHeight="1" x14ac:dyDescent="0.2">
      <c r="B372" s="327"/>
      <c r="F372" s="327"/>
      <c r="H372" s="327"/>
    </row>
    <row r="373" spans="2:8" s="326" customFormat="1" ht="9.9499999999999993" customHeight="1" x14ac:dyDescent="0.2">
      <c r="B373" s="327"/>
      <c r="F373" s="327"/>
      <c r="H373" s="327"/>
    </row>
    <row r="374" spans="2:8" s="326" customFormat="1" ht="9.9499999999999993" customHeight="1" x14ac:dyDescent="0.2">
      <c r="B374" s="327"/>
      <c r="F374" s="327"/>
      <c r="H374" s="327"/>
    </row>
    <row r="375" spans="2:8" s="326" customFormat="1" ht="9.9499999999999993" customHeight="1" x14ac:dyDescent="0.2">
      <c r="B375" s="327"/>
      <c r="F375" s="327"/>
      <c r="H375" s="327"/>
    </row>
    <row r="376" spans="2:8" s="326" customFormat="1" ht="9.9499999999999993" customHeight="1" x14ac:dyDescent="0.2">
      <c r="B376" s="327"/>
      <c r="F376" s="327"/>
      <c r="H376" s="327"/>
    </row>
    <row r="377" spans="2:8" s="326" customFormat="1" ht="9.9499999999999993" customHeight="1" x14ac:dyDescent="0.2">
      <c r="B377" s="327"/>
      <c r="F377" s="327"/>
      <c r="H377" s="327"/>
    </row>
    <row r="378" spans="2:8" s="326" customFormat="1" ht="9.9499999999999993" customHeight="1" x14ac:dyDescent="0.2">
      <c r="B378" s="327"/>
      <c r="F378" s="327"/>
      <c r="H378" s="327"/>
    </row>
    <row r="379" spans="2:8" s="326" customFormat="1" ht="9.9499999999999993" customHeight="1" x14ac:dyDescent="0.2">
      <c r="B379" s="327"/>
      <c r="F379" s="327"/>
      <c r="H379" s="327"/>
    </row>
    <row r="380" spans="2:8" s="326" customFormat="1" ht="9.9499999999999993" customHeight="1" x14ac:dyDescent="0.2">
      <c r="B380" s="327"/>
      <c r="F380" s="327"/>
      <c r="H380" s="327"/>
    </row>
    <row r="381" spans="2:8" s="326" customFormat="1" ht="9.9499999999999993" customHeight="1" x14ac:dyDescent="0.2">
      <c r="B381" s="327"/>
      <c r="F381" s="327"/>
      <c r="H381" s="327"/>
    </row>
    <row r="382" spans="2:8" s="326" customFormat="1" ht="9.9499999999999993" customHeight="1" x14ac:dyDescent="0.2">
      <c r="B382" s="327"/>
      <c r="F382" s="327"/>
      <c r="H382" s="327"/>
    </row>
    <row r="383" spans="2:8" s="326" customFormat="1" ht="9.9499999999999993" customHeight="1" x14ac:dyDescent="0.2">
      <c r="B383" s="327"/>
      <c r="F383" s="327"/>
      <c r="H383" s="327"/>
    </row>
    <row r="384" spans="2:8" s="326" customFormat="1" ht="9.9499999999999993" customHeight="1" x14ac:dyDescent="0.2">
      <c r="B384" s="327"/>
      <c r="F384" s="327"/>
      <c r="H384" s="327"/>
    </row>
    <row r="385" spans="2:8" s="326" customFormat="1" ht="9.9499999999999993" customHeight="1" x14ac:dyDescent="0.2">
      <c r="B385" s="327"/>
      <c r="F385" s="327"/>
      <c r="H385" s="327"/>
    </row>
    <row r="386" spans="2:8" s="326" customFormat="1" ht="9.9499999999999993" customHeight="1" x14ac:dyDescent="0.2">
      <c r="B386" s="327"/>
      <c r="F386" s="327"/>
      <c r="H386" s="327"/>
    </row>
    <row r="387" spans="2:8" s="326" customFormat="1" ht="9.9499999999999993" customHeight="1" x14ac:dyDescent="0.2">
      <c r="B387" s="327"/>
      <c r="F387" s="327"/>
      <c r="H387" s="327"/>
    </row>
    <row r="388" spans="2:8" s="326" customFormat="1" ht="9.9499999999999993" customHeight="1" x14ac:dyDescent="0.2">
      <c r="B388" s="327"/>
      <c r="F388" s="327"/>
      <c r="H388" s="327"/>
    </row>
    <row r="389" spans="2:8" s="326" customFormat="1" ht="9.9499999999999993" customHeight="1" x14ac:dyDescent="0.2">
      <c r="B389" s="327"/>
      <c r="F389" s="327"/>
      <c r="H389" s="327"/>
    </row>
    <row r="390" spans="2:8" s="326" customFormat="1" ht="9.9499999999999993" customHeight="1" x14ac:dyDescent="0.2">
      <c r="B390" s="327"/>
      <c r="F390" s="327"/>
      <c r="H390" s="327"/>
    </row>
    <row r="391" spans="2:8" s="326" customFormat="1" ht="9.9499999999999993" customHeight="1" x14ac:dyDescent="0.2">
      <c r="B391" s="327"/>
      <c r="F391" s="327"/>
      <c r="H391" s="327"/>
    </row>
    <row r="392" spans="2:8" s="326" customFormat="1" ht="9.9499999999999993" customHeight="1" x14ac:dyDescent="0.2">
      <c r="B392" s="327"/>
      <c r="F392" s="327"/>
      <c r="H392" s="327"/>
    </row>
    <row r="393" spans="2:8" s="326" customFormat="1" ht="9.9499999999999993" customHeight="1" x14ac:dyDescent="0.2">
      <c r="B393" s="327"/>
      <c r="F393" s="327"/>
      <c r="H393" s="327"/>
    </row>
    <row r="394" spans="2:8" s="326" customFormat="1" ht="9.9499999999999993" customHeight="1" x14ac:dyDescent="0.2">
      <c r="B394" s="327"/>
      <c r="F394" s="327"/>
      <c r="H394" s="327"/>
    </row>
    <row r="395" spans="2:8" s="326" customFormat="1" ht="9.9499999999999993" customHeight="1" x14ac:dyDescent="0.2">
      <c r="B395" s="327"/>
      <c r="F395" s="327"/>
      <c r="H395" s="327"/>
    </row>
    <row r="396" spans="2:8" s="326" customFormat="1" ht="9.9499999999999993" customHeight="1" x14ac:dyDescent="0.2">
      <c r="B396" s="327"/>
      <c r="F396" s="327"/>
      <c r="H396" s="327"/>
    </row>
    <row r="397" spans="2:8" s="326" customFormat="1" ht="9.9499999999999993" customHeight="1" x14ac:dyDescent="0.2">
      <c r="B397" s="327"/>
      <c r="F397" s="327"/>
      <c r="H397" s="327"/>
    </row>
    <row r="398" spans="2:8" s="326" customFormat="1" ht="9.9499999999999993" customHeight="1" x14ac:dyDescent="0.2">
      <c r="B398" s="327"/>
      <c r="F398" s="327"/>
      <c r="H398" s="327"/>
    </row>
    <row r="399" spans="2:8" s="326" customFormat="1" ht="9.9499999999999993" customHeight="1" x14ac:dyDescent="0.2">
      <c r="B399" s="327"/>
      <c r="F399" s="327"/>
      <c r="H399" s="327"/>
    </row>
    <row r="400" spans="2:8" s="326" customFormat="1" ht="9.9499999999999993" customHeight="1" x14ac:dyDescent="0.2">
      <c r="B400" s="327"/>
      <c r="F400" s="327"/>
      <c r="H400" s="327"/>
    </row>
    <row r="401" spans="2:8" s="326" customFormat="1" ht="9.9499999999999993" customHeight="1" x14ac:dyDescent="0.2">
      <c r="B401" s="327"/>
      <c r="F401" s="327"/>
      <c r="H401" s="327"/>
    </row>
    <row r="402" spans="2:8" s="326" customFormat="1" ht="9.9499999999999993" customHeight="1" x14ac:dyDescent="0.2">
      <c r="B402" s="327"/>
      <c r="F402" s="327"/>
      <c r="H402" s="327"/>
    </row>
    <row r="403" spans="2:8" s="326" customFormat="1" ht="9.9499999999999993" customHeight="1" x14ac:dyDescent="0.2">
      <c r="B403" s="327"/>
      <c r="F403" s="327"/>
      <c r="H403" s="327"/>
    </row>
    <row r="404" spans="2:8" s="326" customFormat="1" ht="9.9499999999999993" customHeight="1" x14ac:dyDescent="0.2">
      <c r="B404" s="327"/>
      <c r="F404" s="327"/>
      <c r="H404" s="327"/>
    </row>
    <row r="405" spans="2:8" s="326" customFormat="1" ht="9.9499999999999993" customHeight="1" x14ac:dyDescent="0.2">
      <c r="B405" s="327"/>
      <c r="F405" s="327"/>
      <c r="H405" s="327"/>
    </row>
    <row r="406" spans="2:8" s="326" customFormat="1" ht="9.9499999999999993" customHeight="1" x14ac:dyDescent="0.2">
      <c r="B406" s="327"/>
      <c r="F406" s="327"/>
      <c r="H406" s="327"/>
    </row>
    <row r="407" spans="2:8" s="326" customFormat="1" ht="9.9499999999999993" customHeight="1" x14ac:dyDescent="0.2">
      <c r="B407" s="327"/>
      <c r="F407" s="327"/>
      <c r="H407" s="327"/>
    </row>
    <row r="408" spans="2:8" s="326" customFormat="1" ht="9.9499999999999993" customHeight="1" x14ac:dyDescent="0.2">
      <c r="B408" s="327"/>
      <c r="F408" s="327"/>
      <c r="H408" s="327"/>
    </row>
    <row r="409" spans="2:8" s="326" customFormat="1" ht="9.9499999999999993" customHeight="1" x14ac:dyDescent="0.2">
      <c r="B409" s="327"/>
      <c r="F409" s="327"/>
      <c r="H409" s="327"/>
    </row>
    <row r="410" spans="2:8" s="326" customFormat="1" ht="9.9499999999999993" customHeight="1" x14ac:dyDescent="0.2">
      <c r="B410" s="327"/>
      <c r="F410" s="327"/>
      <c r="H410" s="327"/>
    </row>
    <row r="411" spans="2:8" s="326" customFormat="1" ht="9.9499999999999993" customHeight="1" x14ac:dyDescent="0.2">
      <c r="B411" s="327"/>
      <c r="F411" s="327"/>
      <c r="H411" s="327"/>
    </row>
    <row r="412" spans="2:8" s="326" customFormat="1" ht="9.9499999999999993" customHeight="1" x14ac:dyDescent="0.2">
      <c r="B412" s="327"/>
      <c r="F412" s="327"/>
      <c r="H412" s="327"/>
    </row>
    <row r="413" spans="2:8" s="326" customFormat="1" ht="9.9499999999999993" customHeight="1" x14ac:dyDescent="0.2">
      <c r="B413" s="327"/>
      <c r="F413" s="327"/>
      <c r="H413" s="327"/>
    </row>
    <row r="414" spans="2:8" s="326" customFormat="1" ht="9.9499999999999993" customHeight="1" x14ac:dyDescent="0.2">
      <c r="B414" s="327"/>
      <c r="F414" s="327"/>
      <c r="H414" s="327"/>
    </row>
    <row r="415" spans="2:8" s="326" customFormat="1" ht="9.9499999999999993" customHeight="1" x14ac:dyDescent="0.2">
      <c r="B415" s="327"/>
      <c r="F415" s="327"/>
      <c r="H415" s="327"/>
    </row>
    <row r="416" spans="2:8" s="326" customFormat="1" ht="9.9499999999999993" customHeight="1" x14ac:dyDescent="0.2">
      <c r="B416" s="327"/>
      <c r="F416" s="327"/>
      <c r="H416" s="327"/>
    </row>
    <row r="417" spans="2:8" s="326" customFormat="1" ht="9.9499999999999993" customHeight="1" x14ac:dyDescent="0.2">
      <c r="B417" s="327"/>
      <c r="F417" s="327"/>
      <c r="H417" s="327"/>
    </row>
    <row r="418" spans="2:8" s="326" customFormat="1" ht="9.9499999999999993" customHeight="1" x14ac:dyDescent="0.2">
      <c r="B418" s="327"/>
      <c r="F418" s="327"/>
      <c r="H418" s="327"/>
    </row>
    <row r="419" spans="2:8" s="326" customFormat="1" ht="9.9499999999999993" customHeight="1" x14ac:dyDescent="0.2">
      <c r="B419" s="327"/>
      <c r="F419" s="327"/>
      <c r="H419" s="327"/>
    </row>
    <row r="420" spans="2:8" s="326" customFormat="1" ht="9.9499999999999993" customHeight="1" x14ac:dyDescent="0.2">
      <c r="B420" s="327"/>
      <c r="F420" s="327"/>
      <c r="H420" s="327"/>
    </row>
    <row r="421" spans="2:8" s="326" customFormat="1" ht="9.9499999999999993" customHeight="1" x14ac:dyDescent="0.2">
      <c r="B421" s="327"/>
      <c r="F421" s="327"/>
      <c r="H421" s="327"/>
    </row>
    <row r="422" spans="2:8" s="326" customFormat="1" ht="9.9499999999999993" customHeight="1" x14ac:dyDescent="0.2">
      <c r="B422" s="327"/>
      <c r="F422" s="327"/>
      <c r="H422" s="327"/>
    </row>
    <row r="423" spans="2:8" s="326" customFormat="1" ht="9.9499999999999993" customHeight="1" x14ac:dyDescent="0.2">
      <c r="B423" s="327"/>
      <c r="F423" s="327"/>
      <c r="H423" s="327"/>
    </row>
    <row r="424" spans="2:8" s="326" customFormat="1" ht="9.9499999999999993" customHeight="1" x14ac:dyDescent="0.2">
      <c r="B424" s="327"/>
      <c r="F424" s="327"/>
      <c r="H424" s="327"/>
    </row>
    <row r="425" spans="2:8" s="326" customFormat="1" ht="9.9499999999999993" customHeight="1" x14ac:dyDescent="0.2">
      <c r="B425" s="327"/>
      <c r="F425" s="327"/>
      <c r="H425" s="327"/>
    </row>
    <row r="426" spans="2:8" s="326" customFormat="1" ht="9.9499999999999993" customHeight="1" x14ac:dyDescent="0.2">
      <c r="B426" s="327"/>
      <c r="F426" s="327"/>
      <c r="H426" s="327"/>
    </row>
    <row r="427" spans="2:8" s="326" customFormat="1" ht="9.9499999999999993" customHeight="1" x14ac:dyDescent="0.2">
      <c r="B427" s="327"/>
      <c r="F427" s="327"/>
      <c r="H427" s="327"/>
    </row>
    <row r="428" spans="2:8" s="326" customFormat="1" ht="9.9499999999999993" customHeight="1" x14ac:dyDescent="0.2">
      <c r="B428" s="327"/>
      <c r="F428" s="327"/>
      <c r="H428" s="327"/>
    </row>
    <row r="429" spans="2:8" s="326" customFormat="1" ht="9.9499999999999993" customHeight="1" x14ac:dyDescent="0.2">
      <c r="B429" s="327"/>
      <c r="F429" s="327"/>
      <c r="H429" s="327"/>
    </row>
    <row r="430" spans="2:8" s="326" customFormat="1" ht="9.9499999999999993" customHeight="1" x14ac:dyDescent="0.2">
      <c r="B430" s="327"/>
      <c r="F430" s="327"/>
      <c r="H430" s="327"/>
    </row>
    <row r="431" spans="2:8" s="326" customFormat="1" ht="9.9499999999999993" customHeight="1" x14ac:dyDescent="0.2">
      <c r="B431" s="327"/>
      <c r="F431" s="327"/>
      <c r="H431" s="327"/>
    </row>
    <row r="432" spans="2:8" s="326" customFormat="1" ht="9.9499999999999993" customHeight="1" x14ac:dyDescent="0.2">
      <c r="B432" s="327"/>
      <c r="F432" s="327"/>
      <c r="H432" s="327"/>
    </row>
    <row r="433" spans="2:8" s="326" customFormat="1" ht="9.9499999999999993" customHeight="1" x14ac:dyDescent="0.2">
      <c r="B433" s="327"/>
      <c r="F433" s="327"/>
      <c r="H433" s="327"/>
    </row>
    <row r="434" spans="2:8" s="326" customFormat="1" ht="9.9499999999999993" customHeight="1" x14ac:dyDescent="0.2">
      <c r="B434" s="327"/>
      <c r="F434" s="327"/>
      <c r="H434" s="327"/>
    </row>
    <row r="435" spans="2:8" s="326" customFormat="1" ht="9.9499999999999993" customHeight="1" x14ac:dyDescent="0.2">
      <c r="B435" s="327"/>
      <c r="F435" s="327"/>
      <c r="H435" s="327"/>
    </row>
    <row r="436" spans="2:8" s="326" customFormat="1" ht="9.9499999999999993" customHeight="1" x14ac:dyDescent="0.2">
      <c r="B436" s="327"/>
      <c r="F436" s="327"/>
      <c r="H436" s="327"/>
    </row>
    <row r="437" spans="2:8" s="326" customFormat="1" ht="9.9499999999999993" customHeight="1" x14ac:dyDescent="0.2">
      <c r="B437" s="327"/>
      <c r="F437" s="327"/>
      <c r="H437" s="327"/>
    </row>
    <row r="438" spans="2:8" s="326" customFormat="1" ht="9.9499999999999993" customHeight="1" x14ac:dyDescent="0.2">
      <c r="B438" s="327"/>
      <c r="F438" s="327"/>
      <c r="H438" s="327"/>
    </row>
    <row r="439" spans="2:8" s="326" customFormat="1" ht="9.9499999999999993" customHeight="1" x14ac:dyDescent="0.2">
      <c r="B439" s="327"/>
      <c r="F439" s="327"/>
      <c r="H439" s="327"/>
    </row>
    <row r="440" spans="2:8" s="326" customFormat="1" ht="9.9499999999999993" customHeight="1" x14ac:dyDescent="0.2">
      <c r="B440" s="327"/>
      <c r="F440" s="327"/>
      <c r="H440" s="327"/>
    </row>
    <row r="441" spans="2:8" s="326" customFormat="1" ht="9.9499999999999993" customHeight="1" x14ac:dyDescent="0.2">
      <c r="B441" s="327"/>
      <c r="F441" s="327"/>
      <c r="H441" s="327"/>
    </row>
    <row r="442" spans="2:8" s="326" customFormat="1" ht="9.9499999999999993" customHeight="1" x14ac:dyDescent="0.2">
      <c r="B442" s="327"/>
      <c r="F442" s="327"/>
      <c r="H442" s="327"/>
    </row>
    <row r="443" spans="2:8" s="326" customFormat="1" ht="9.9499999999999993" customHeight="1" x14ac:dyDescent="0.2">
      <c r="B443" s="327"/>
      <c r="F443" s="327"/>
      <c r="H443" s="327"/>
    </row>
    <row r="444" spans="2:8" s="326" customFormat="1" ht="9.9499999999999993" customHeight="1" x14ac:dyDescent="0.2">
      <c r="B444" s="327"/>
      <c r="F444" s="327"/>
      <c r="H444" s="327"/>
    </row>
    <row r="445" spans="2:8" s="326" customFormat="1" ht="9.9499999999999993" customHeight="1" x14ac:dyDescent="0.2">
      <c r="B445" s="327"/>
      <c r="F445" s="327"/>
      <c r="H445" s="327"/>
    </row>
    <row r="446" spans="2:8" s="326" customFormat="1" ht="9.9499999999999993" customHeight="1" x14ac:dyDescent="0.2">
      <c r="B446" s="327"/>
      <c r="F446" s="327"/>
      <c r="H446" s="327"/>
    </row>
    <row r="447" spans="2:8" s="326" customFormat="1" ht="9.9499999999999993" customHeight="1" x14ac:dyDescent="0.2">
      <c r="B447" s="327"/>
      <c r="F447" s="327"/>
      <c r="H447" s="327"/>
    </row>
    <row r="448" spans="2:8" s="326" customFormat="1" ht="9.9499999999999993" customHeight="1" x14ac:dyDescent="0.2">
      <c r="B448" s="327"/>
      <c r="F448" s="327"/>
      <c r="H448" s="327"/>
    </row>
    <row r="449" spans="2:8" s="326" customFormat="1" ht="9.9499999999999993" customHeight="1" x14ac:dyDescent="0.2">
      <c r="B449" s="327"/>
      <c r="F449" s="327"/>
      <c r="H449" s="327"/>
    </row>
    <row r="450" spans="2:8" s="326" customFormat="1" ht="9.9499999999999993" customHeight="1" x14ac:dyDescent="0.2">
      <c r="B450" s="327"/>
      <c r="F450" s="327"/>
      <c r="H450" s="327"/>
    </row>
    <row r="451" spans="2:8" s="326" customFormat="1" ht="9.9499999999999993" customHeight="1" x14ac:dyDescent="0.2">
      <c r="B451" s="327"/>
      <c r="F451" s="327"/>
      <c r="H451" s="327"/>
    </row>
    <row r="452" spans="2:8" s="326" customFormat="1" ht="9.9499999999999993" customHeight="1" x14ac:dyDescent="0.2">
      <c r="B452" s="327"/>
      <c r="F452" s="327"/>
      <c r="H452" s="327"/>
    </row>
    <row r="453" spans="2:8" s="326" customFormat="1" ht="9.9499999999999993" customHeight="1" x14ac:dyDescent="0.2">
      <c r="B453" s="327"/>
      <c r="F453" s="327"/>
      <c r="H453" s="327"/>
    </row>
    <row r="454" spans="2:8" s="326" customFormat="1" ht="9.9499999999999993" customHeight="1" x14ac:dyDescent="0.2">
      <c r="B454" s="327"/>
      <c r="F454" s="327"/>
      <c r="H454" s="327"/>
    </row>
    <row r="455" spans="2:8" s="326" customFormat="1" ht="9.9499999999999993" customHeight="1" x14ac:dyDescent="0.2">
      <c r="B455" s="327"/>
      <c r="F455" s="327"/>
      <c r="H455" s="327"/>
    </row>
    <row r="456" spans="2:8" s="326" customFormat="1" ht="9.9499999999999993" customHeight="1" x14ac:dyDescent="0.2">
      <c r="B456" s="327"/>
      <c r="F456" s="327"/>
      <c r="H456" s="327"/>
    </row>
    <row r="457" spans="2:8" s="326" customFormat="1" ht="9.9499999999999993" customHeight="1" x14ac:dyDescent="0.2">
      <c r="B457" s="327"/>
      <c r="F457" s="327"/>
      <c r="H457" s="327"/>
    </row>
    <row r="458" spans="2:8" s="326" customFormat="1" ht="9.9499999999999993" customHeight="1" x14ac:dyDescent="0.2">
      <c r="B458" s="327"/>
      <c r="F458" s="327"/>
      <c r="H458" s="327"/>
    </row>
    <row r="459" spans="2:8" s="326" customFormat="1" ht="9.9499999999999993" customHeight="1" x14ac:dyDescent="0.2">
      <c r="B459" s="327"/>
      <c r="F459" s="327"/>
      <c r="H459" s="327"/>
    </row>
    <row r="460" spans="2:8" s="326" customFormat="1" ht="9.9499999999999993" customHeight="1" x14ac:dyDescent="0.2">
      <c r="B460" s="327"/>
      <c r="F460" s="327"/>
      <c r="H460" s="327"/>
    </row>
    <row r="461" spans="2:8" s="326" customFormat="1" ht="9.9499999999999993" customHeight="1" x14ac:dyDescent="0.2">
      <c r="B461" s="327"/>
      <c r="F461" s="327"/>
      <c r="H461" s="327"/>
    </row>
    <row r="462" spans="2:8" s="326" customFormat="1" ht="9.9499999999999993" customHeight="1" x14ac:dyDescent="0.2">
      <c r="B462" s="327"/>
      <c r="F462" s="327"/>
      <c r="H462" s="327"/>
    </row>
    <row r="463" spans="2:8" s="326" customFormat="1" ht="9.9499999999999993" customHeight="1" x14ac:dyDescent="0.2">
      <c r="B463" s="327"/>
      <c r="F463" s="327"/>
      <c r="H463" s="327"/>
    </row>
    <row r="464" spans="2:8" s="326" customFormat="1" ht="9.9499999999999993" customHeight="1" x14ac:dyDescent="0.2">
      <c r="B464" s="327"/>
      <c r="F464" s="327"/>
      <c r="H464" s="327"/>
    </row>
    <row r="465" spans="2:8" s="326" customFormat="1" ht="9.9499999999999993" customHeight="1" x14ac:dyDescent="0.2">
      <c r="B465" s="327"/>
      <c r="F465" s="327"/>
      <c r="H465" s="327"/>
    </row>
    <row r="466" spans="2:8" s="326" customFormat="1" ht="9.9499999999999993" customHeight="1" x14ac:dyDescent="0.2">
      <c r="B466" s="327"/>
      <c r="F466" s="327"/>
      <c r="H466" s="327"/>
    </row>
    <row r="467" spans="2:8" s="326" customFormat="1" ht="9.9499999999999993" customHeight="1" x14ac:dyDescent="0.2">
      <c r="B467" s="327"/>
      <c r="F467" s="327"/>
      <c r="H467" s="327"/>
    </row>
    <row r="468" spans="2:8" s="326" customFormat="1" ht="9.9499999999999993" customHeight="1" x14ac:dyDescent="0.2">
      <c r="B468" s="327"/>
      <c r="F468" s="327"/>
      <c r="H468" s="327"/>
    </row>
    <row r="469" spans="2:8" s="326" customFormat="1" ht="9.9499999999999993" customHeight="1" x14ac:dyDescent="0.2">
      <c r="B469" s="327"/>
      <c r="F469" s="327"/>
      <c r="H469" s="327"/>
    </row>
    <row r="470" spans="2:8" s="326" customFormat="1" ht="9.9499999999999993" customHeight="1" x14ac:dyDescent="0.2">
      <c r="B470" s="327"/>
      <c r="F470" s="327"/>
      <c r="H470" s="327"/>
    </row>
    <row r="471" spans="2:8" s="326" customFormat="1" ht="9.9499999999999993" customHeight="1" x14ac:dyDescent="0.2">
      <c r="B471" s="327"/>
      <c r="F471" s="327"/>
      <c r="H471" s="327"/>
    </row>
    <row r="472" spans="2:8" s="326" customFormat="1" ht="9.9499999999999993" customHeight="1" x14ac:dyDescent="0.2">
      <c r="B472" s="327"/>
      <c r="F472" s="327"/>
      <c r="H472" s="327"/>
    </row>
    <row r="473" spans="2:8" s="326" customFormat="1" ht="9.9499999999999993" customHeight="1" x14ac:dyDescent="0.2">
      <c r="B473" s="327"/>
      <c r="F473" s="327"/>
      <c r="H473" s="327"/>
    </row>
    <row r="474" spans="2:8" s="326" customFormat="1" ht="9.9499999999999993" customHeight="1" x14ac:dyDescent="0.2">
      <c r="B474" s="327"/>
      <c r="F474" s="327"/>
      <c r="H474" s="327"/>
    </row>
    <row r="475" spans="2:8" s="326" customFormat="1" ht="9.9499999999999993" customHeight="1" x14ac:dyDescent="0.2">
      <c r="B475" s="327"/>
      <c r="F475" s="327"/>
      <c r="H475" s="327"/>
    </row>
    <row r="476" spans="2:8" s="326" customFormat="1" ht="9.9499999999999993" customHeight="1" x14ac:dyDescent="0.2">
      <c r="B476" s="327"/>
      <c r="F476" s="327"/>
      <c r="H476" s="327"/>
    </row>
    <row r="477" spans="2:8" s="326" customFormat="1" ht="9.9499999999999993" customHeight="1" x14ac:dyDescent="0.2">
      <c r="B477" s="327"/>
      <c r="F477" s="327"/>
      <c r="H477" s="327"/>
    </row>
    <row r="478" spans="2:8" s="326" customFormat="1" ht="9.9499999999999993" customHeight="1" x14ac:dyDescent="0.2">
      <c r="B478" s="327"/>
      <c r="F478" s="327"/>
      <c r="H478" s="327"/>
    </row>
    <row r="479" spans="2:8" s="326" customFormat="1" ht="9.9499999999999993" customHeight="1" x14ac:dyDescent="0.2">
      <c r="B479" s="327"/>
      <c r="F479" s="327"/>
      <c r="H479" s="327"/>
    </row>
    <row r="480" spans="2:8" s="326" customFormat="1" ht="9.9499999999999993" customHeight="1" x14ac:dyDescent="0.2">
      <c r="B480" s="327"/>
      <c r="F480" s="327"/>
      <c r="H480" s="327"/>
    </row>
    <row r="481" spans="2:8" s="326" customFormat="1" ht="9.9499999999999993" customHeight="1" x14ac:dyDescent="0.2">
      <c r="B481" s="327"/>
      <c r="F481" s="327"/>
      <c r="H481" s="327"/>
    </row>
    <row r="482" spans="2:8" s="326" customFormat="1" ht="9.9499999999999993" customHeight="1" x14ac:dyDescent="0.2">
      <c r="B482" s="327"/>
      <c r="F482" s="327"/>
      <c r="H482" s="327"/>
    </row>
    <row r="483" spans="2:8" s="326" customFormat="1" ht="9.9499999999999993" customHeight="1" x14ac:dyDescent="0.2">
      <c r="B483" s="327"/>
      <c r="F483" s="327"/>
      <c r="H483" s="327"/>
    </row>
    <row r="484" spans="2:8" s="326" customFormat="1" ht="9.9499999999999993" customHeight="1" x14ac:dyDescent="0.2">
      <c r="B484" s="327"/>
      <c r="F484" s="327"/>
      <c r="H484" s="327"/>
    </row>
    <row r="485" spans="2:8" s="326" customFormat="1" ht="9.9499999999999993" customHeight="1" x14ac:dyDescent="0.2">
      <c r="B485" s="327"/>
      <c r="F485" s="327"/>
      <c r="H485" s="327"/>
    </row>
    <row r="486" spans="2:8" s="326" customFormat="1" ht="9.9499999999999993" customHeight="1" x14ac:dyDescent="0.2">
      <c r="B486" s="327"/>
      <c r="F486" s="327"/>
      <c r="H486" s="327"/>
    </row>
    <row r="487" spans="2:8" s="326" customFormat="1" ht="9.9499999999999993" customHeight="1" x14ac:dyDescent="0.2">
      <c r="B487" s="327"/>
      <c r="F487" s="327"/>
      <c r="H487" s="327"/>
    </row>
    <row r="488" spans="2:8" s="326" customFormat="1" ht="9.9499999999999993" customHeight="1" x14ac:dyDescent="0.2">
      <c r="B488" s="327"/>
      <c r="F488" s="327"/>
      <c r="H488" s="327"/>
    </row>
    <row r="489" spans="2:8" s="326" customFormat="1" ht="9.9499999999999993" customHeight="1" x14ac:dyDescent="0.2">
      <c r="B489" s="327"/>
      <c r="F489" s="327"/>
      <c r="H489" s="327"/>
    </row>
    <row r="490" spans="2:8" s="326" customFormat="1" ht="9.9499999999999993" customHeight="1" x14ac:dyDescent="0.2">
      <c r="B490" s="327"/>
      <c r="F490" s="327"/>
      <c r="H490" s="327"/>
    </row>
    <row r="491" spans="2:8" s="326" customFormat="1" ht="9.9499999999999993" customHeight="1" x14ac:dyDescent="0.2">
      <c r="B491" s="327"/>
      <c r="F491" s="327"/>
      <c r="H491" s="327"/>
    </row>
    <row r="492" spans="2:8" s="326" customFormat="1" ht="9.9499999999999993" customHeight="1" x14ac:dyDescent="0.2">
      <c r="B492" s="327"/>
      <c r="F492" s="327"/>
      <c r="H492" s="327"/>
    </row>
    <row r="493" spans="2:8" s="326" customFormat="1" ht="9.9499999999999993" customHeight="1" x14ac:dyDescent="0.2">
      <c r="B493" s="327"/>
      <c r="F493" s="327"/>
      <c r="H493" s="327"/>
    </row>
    <row r="494" spans="2:8" s="326" customFormat="1" ht="9.9499999999999993" customHeight="1" x14ac:dyDescent="0.2">
      <c r="B494" s="327"/>
      <c r="F494" s="327"/>
      <c r="H494" s="327"/>
    </row>
    <row r="495" spans="2:8" s="326" customFormat="1" ht="9.9499999999999993" customHeight="1" x14ac:dyDescent="0.2">
      <c r="B495" s="327"/>
      <c r="F495" s="327"/>
      <c r="H495" s="327"/>
    </row>
    <row r="496" spans="2:8" s="326" customFormat="1" ht="9.9499999999999993" customHeight="1" x14ac:dyDescent="0.2">
      <c r="B496" s="327"/>
      <c r="F496" s="327"/>
      <c r="H496" s="327"/>
    </row>
    <row r="497" spans="2:8" s="326" customFormat="1" ht="9.9499999999999993" customHeight="1" x14ac:dyDescent="0.2">
      <c r="B497" s="327"/>
      <c r="F497" s="327"/>
      <c r="H497" s="327"/>
    </row>
    <row r="498" spans="2:8" s="326" customFormat="1" ht="9.9499999999999993" customHeight="1" x14ac:dyDescent="0.2">
      <c r="B498" s="327"/>
      <c r="F498" s="327"/>
      <c r="H498" s="327"/>
    </row>
    <row r="499" spans="2:8" s="326" customFormat="1" ht="9.9499999999999993" customHeight="1" x14ac:dyDescent="0.2">
      <c r="B499" s="327"/>
      <c r="F499" s="327"/>
      <c r="H499" s="327"/>
    </row>
    <row r="500" spans="2:8" s="326" customFormat="1" ht="9.9499999999999993" customHeight="1" x14ac:dyDescent="0.2">
      <c r="B500" s="327"/>
      <c r="F500" s="327"/>
      <c r="H500" s="327"/>
    </row>
    <row r="501" spans="2:8" s="326" customFormat="1" ht="9.9499999999999993" customHeight="1" x14ac:dyDescent="0.2">
      <c r="B501" s="327"/>
      <c r="F501" s="327"/>
      <c r="H501" s="327"/>
    </row>
    <row r="502" spans="2:8" s="326" customFormat="1" ht="9.9499999999999993" customHeight="1" x14ac:dyDescent="0.2">
      <c r="B502" s="327"/>
      <c r="F502" s="327"/>
      <c r="H502" s="327"/>
    </row>
    <row r="503" spans="2:8" s="326" customFormat="1" ht="9.9499999999999993" customHeight="1" x14ac:dyDescent="0.2">
      <c r="B503" s="327"/>
      <c r="F503" s="327"/>
      <c r="H503" s="327"/>
    </row>
    <row r="504" spans="2:8" s="326" customFormat="1" ht="9.9499999999999993" customHeight="1" x14ac:dyDescent="0.2">
      <c r="B504" s="327"/>
      <c r="F504" s="327"/>
      <c r="H504" s="327"/>
    </row>
    <row r="505" spans="2:8" s="326" customFormat="1" ht="9.9499999999999993" customHeight="1" x14ac:dyDescent="0.2">
      <c r="B505" s="327"/>
      <c r="F505" s="327"/>
      <c r="H505" s="327"/>
    </row>
    <row r="506" spans="2:8" s="326" customFormat="1" ht="9.9499999999999993" customHeight="1" x14ac:dyDescent="0.2">
      <c r="B506" s="327"/>
      <c r="F506" s="327"/>
      <c r="H506" s="327"/>
    </row>
    <row r="507" spans="2:8" s="326" customFormat="1" ht="9.9499999999999993" customHeight="1" x14ac:dyDescent="0.2">
      <c r="B507" s="327"/>
      <c r="F507" s="327"/>
      <c r="H507" s="327"/>
    </row>
    <row r="508" spans="2:8" s="326" customFormat="1" ht="9.9499999999999993" customHeight="1" x14ac:dyDescent="0.2">
      <c r="B508" s="327"/>
      <c r="F508" s="327"/>
      <c r="H508" s="327"/>
    </row>
    <row r="509" spans="2:8" s="326" customFormat="1" ht="9.9499999999999993" customHeight="1" x14ac:dyDescent="0.2">
      <c r="B509" s="327"/>
      <c r="F509" s="327"/>
      <c r="H509" s="327"/>
    </row>
    <row r="510" spans="2:8" s="326" customFormat="1" ht="9.9499999999999993" customHeight="1" x14ac:dyDescent="0.2">
      <c r="B510" s="327"/>
      <c r="F510" s="327"/>
      <c r="H510" s="327"/>
    </row>
    <row r="511" spans="2:8" s="326" customFormat="1" ht="9.9499999999999993" customHeight="1" x14ac:dyDescent="0.2">
      <c r="B511" s="327"/>
      <c r="F511" s="327"/>
      <c r="H511" s="327"/>
    </row>
    <row r="512" spans="2:8" s="326" customFormat="1" ht="9.9499999999999993" customHeight="1" x14ac:dyDescent="0.2">
      <c r="B512" s="327"/>
      <c r="F512" s="327"/>
      <c r="H512" s="327"/>
    </row>
    <row r="513" spans="2:8" s="326" customFormat="1" ht="9.9499999999999993" customHeight="1" x14ac:dyDescent="0.2">
      <c r="B513" s="327"/>
      <c r="F513" s="327"/>
      <c r="H513" s="327"/>
    </row>
    <row r="514" spans="2:8" s="326" customFormat="1" ht="9.9499999999999993" customHeight="1" x14ac:dyDescent="0.2">
      <c r="B514" s="327"/>
      <c r="F514" s="327"/>
      <c r="H514" s="327"/>
    </row>
    <row r="515" spans="2:8" s="326" customFormat="1" ht="9.9499999999999993" customHeight="1" x14ac:dyDescent="0.2">
      <c r="B515" s="327"/>
      <c r="F515" s="327"/>
      <c r="H515" s="327"/>
    </row>
    <row r="516" spans="2:8" s="326" customFormat="1" ht="9.9499999999999993" customHeight="1" x14ac:dyDescent="0.2">
      <c r="B516" s="327"/>
      <c r="F516" s="327"/>
      <c r="H516" s="327"/>
    </row>
    <row r="517" spans="2:8" s="326" customFormat="1" ht="9.9499999999999993" customHeight="1" x14ac:dyDescent="0.2">
      <c r="B517" s="327"/>
      <c r="F517" s="327"/>
      <c r="H517" s="327"/>
    </row>
    <row r="518" spans="2:8" s="326" customFormat="1" ht="9.9499999999999993" customHeight="1" x14ac:dyDescent="0.2">
      <c r="B518" s="327"/>
      <c r="F518" s="327"/>
      <c r="H518" s="327"/>
    </row>
    <row r="519" spans="2:8" s="326" customFormat="1" ht="9.9499999999999993" customHeight="1" x14ac:dyDescent="0.2">
      <c r="B519" s="327"/>
      <c r="F519" s="327"/>
      <c r="H519" s="327"/>
    </row>
    <row r="520" spans="2:8" s="326" customFormat="1" ht="9.9499999999999993" customHeight="1" x14ac:dyDescent="0.2">
      <c r="B520" s="327"/>
      <c r="F520" s="327"/>
      <c r="H520" s="327"/>
    </row>
    <row r="521" spans="2:8" s="326" customFormat="1" ht="9.9499999999999993" customHeight="1" x14ac:dyDescent="0.2">
      <c r="B521" s="327"/>
      <c r="F521" s="327"/>
      <c r="H521" s="327"/>
    </row>
    <row r="522" spans="2:8" s="326" customFormat="1" ht="9.9499999999999993" customHeight="1" x14ac:dyDescent="0.2">
      <c r="B522" s="327"/>
      <c r="F522" s="327"/>
      <c r="H522" s="327"/>
    </row>
    <row r="523" spans="2:8" s="326" customFormat="1" ht="9.9499999999999993" customHeight="1" x14ac:dyDescent="0.2">
      <c r="B523" s="327"/>
      <c r="F523" s="327"/>
      <c r="H523" s="327"/>
    </row>
    <row r="524" spans="2:8" s="326" customFormat="1" ht="9.9499999999999993" customHeight="1" x14ac:dyDescent="0.2">
      <c r="B524" s="327"/>
      <c r="F524" s="327"/>
      <c r="H524" s="327"/>
    </row>
    <row r="525" spans="2:8" s="326" customFormat="1" ht="9.9499999999999993" customHeight="1" x14ac:dyDescent="0.2">
      <c r="B525" s="327"/>
      <c r="F525" s="327"/>
      <c r="H525" s="327"/>
    </row>
    <row r="526" spans="2:8" s="326" customFormat="1" ht="9.9499999999999993" customHeight="1" x14ac:dyDescent="0.2">
      <c r="B526" s="327"/>
      <c r="F526" s="327"/>
      <c r="H526" s="327"/>
    </row>
    <row r="527" spans="2:8" s="326" customFormat="1" ht="9.9499999999999993" customHeight="1" x14ac:dyDescent="0.2">
      <c r="B527" s="327"/>
      <c r="F527" s="327"/>
      <c r="H527" s="327"/>
    </row>
    <row r="528" spans="2:8" s="326" customFormat="1" ht="9.9499999999999993" customHeight="1" x14ac:dyDescent="0.2">
      <c r="B528" s="327"/>
      <c r="F528" s="327"/>
      <c r="H528" s="327"/>
    </row>
    <row r="529" spans="2:8" s="326" customFormat="1" ht="9.9499999999999993" customHeight="1" x14ac:dyDescent="0.2">
      <c r="B529" s="327"/>
      <c r="F529" s="327"/>
      <c r="H529" s="327"/>
    </row>
    <row r="530" spans="2:8" s="326" customFormat="1" ht="9.9499999999999993" customHeight="1" x14ac:dyDescent="0.2">
      <c r="B530" s="327"/>
      <c r="F530" s="327"/>
      <c r="H530" s="327"/>
    </row>
    <row r="531" spans="2:8" s="326" customFormat="1" ht="9.9499999999999993" customHeight="1" x14ac:dyDescent="0.2">
      <c r="B531" s="327"/>
      <c r="F531" s="327"/>
      <c r="H531" s="327"/>
    </row>
    <row r="532" spans="2:8" s="326" customFormat="1" ht="9.9499999999999993" customHeight="1" x14ac:dyDescent="0.2">
      <c r="B532" s="327"/>
      <c r="F532" s="327"/>
      <c r="H532" s="327"/>
    </row>
    <row r="533" spans="2:8" s="326" customFormat="1" ht="9.9499999999999993" customHeight="1" x14ac:dyDescent="0.2">
      <c r="B533" s="327"/>
      <c r="F533" s="327"/>
      <c r="H533" s="327"/>
    </row>
    <row r="534" spans="2:8" s="326" customFormat="1" ht="9.9499999999999993" customHeight="1" x14ac:dyDescent="0.2">
      <c r="B534" s="327"/>
      <c r="F534" s="327"/>
      <c r="H534" s="327"/>
    </row>
    <row r="535" spans="2:8" s="326" customFormat="1" ht="9.9499999999999993" customHeight="1" x14ac:dyDescent="0.2">
      <c r="B535" s="327"/>
      <c r="F535" s="327"/>
      <c r="H535" s="327"/>
    </row>
    <row r="536" spans="2:8" s="326" customFormat="1" ht="9.9499999999999993" customHeight="1" x14ac:dyDescent="0.2">
      <c r="B536" s="327"/>
      <c r="F536" s="327"/>
      <c r="H536" s="327"/>
    </row>
    <row r="537" spans="2:8" s="326" customFormat="1" ht="9.9499999999999993" customHeight="1" x14ac:dyDescent="0.2">
      <c r="B537" s="327"/>
      <c r="F537" s="327"/>
      <c r="H537" s="327"/>
    </row>
    <row r="538" spans="2:8" s="326" customFormat="1" ht="9.9499999999999993" customHeight="1" x14ac:dyDescent="0.2">
      <c r="B538" s="327"/>
      <c r="F538" s="327"/>
      <c r="H538" s="327"/>
    </row>
    <row r="539" spans="2:8" s="326" customFormat="1" ht="9.9499999999999993" customHeight="1" x14ac:dyDescent="0.2">
      <c r="B539" s="327"/>
      <c r="F539" s="327"/>
      <c r="H539" s="327"/>
    </row>
    <row r="540" spans="2:8" s="326" customFormat="1" ht="9.9499999999999993" customHeight="1" x14ac:dyDescent="0.2">
      <c r="B540" s="327"/>
      <c r="F540" s="327"/>
      <c r="H540" s="327"/>
    </row>
    <row r="541" spans="2:8" s="326" customFormat="1" ht="9.9499999999999993" customHeight="1" x14ac:dyDescent="0.2">
      <c r="B541" s="327"/>
      <c r="F541" s="327"/>
      <c r="H541" s="327"/>
    </row>
    <row r="542" spans="2:8" s="326" customFormat="1" ht="9.9499999999999993" customHeight="1" x14ac:dyDescent="0.2">
      <c r="B542" s="327"/>
      <c r="F542" s="327"/>
      <c r="H542" s="327"/>
    </row>
    <row r="543" spans="2:8" s="326" customFormat="1" ht="9.9499999999999993" customHeight="1" x14ac:dyDescent="0.2">
      <c r="B543" s="327"/>
      <c r="F543" s="327"/>
      <c r="H543" s="327"/>
    </row>
    <row r="544" spans="2:8" s="326" customFormat="1" ht="9.9499999999999993" customHeight="1" x14ac:dyDescent="0.2">
      <c r="B544" s="327"/>
      <c r="F544" s="327"/>
      <c r="H544" s="327"/>
    </row>
    <row r="545" spans="2:8" s="326" customFormat="1" ht="9.9499999999999993" customHeight="1" x14ac:dyDescent="0.2">
      <c r="B545" s="327"/>
      <c r="F545" s="327"/>
      <c r="H545" s="327"/>
    </row>
    <row r="546" spans="2:8" s="326" customFormat="1" ht="9.9499999999999993" customHeight="1" x14ac:dyDescent="0.2">
      <c r="B546" s="327"/>
      <c r="F546" s="327"/>
      <c r="H546" s="327"/>
    </row>
    <row r="547" spans="2:8" s="326" customFormat="1" ht="9.9499999999999993" customHeight="1" x14ac:dyDescent="0.2">
      <c r="B547" s="327"/>
      <c r="F547" s="327"/>
      <c r="H547" s="327"/>
    </row>
    <row r="548" spans="2:8" s="326" customFormat="1" ht="9.9499999999999993" customHeight="1" x14ac:dyDescent="0.2">
      <c r="B548" s="327"/>
      <c r="F548" s="327"/>
      <c r="H548" s="327"/>
    </row>
    <row r="549" spans="2:8" s="326" customFormat="1" ht="9.9499999999999993" customHeight="1" x14ac:dyDescent="0.2">
      <c r="B549" s="327"/>
      <c r="F549" s="327"/>
      <c r="H549" s="327"/>
    </row>
    <row r="550" spans="2:8" s="326" customFormat="1" ht="9.9499999999999993" customHeight="1" x14ac:dyDescent="0.2">
      <c r="B550" s="327"/>
      <c r="F550" s="327"/>
      <c r="H550" s="327"/>
    </row>
    <row r="551" spans="2:8" s="326" customFormat="1" ht="9.9499999999999993" customHeight="1" x14ac:dyDescent="0.2">
      <c r="B551" s="327"/>
      <c r="F551" s="327"/>
      <c r="H551" s="327"/>
    </row>
    <row r="552" spans="2:8" s="326" customFormat="1" ht="9.9499999999999993" customHeight="1" x14ac:dyDescent="0.2">
      <c r="B552" s="327"/>
      <c r="F552" s="327"/>
      <c r="H552" s="327"/>
    </row>
    <row r="553" spans="2:8" s="326" customFormat="1" ht="9.9499999999999993" customHeight="1" x14ac:dyDescent="0.2">
      <c r="B553" s="327"/>
      <c r="F553" s="327"/>
      <c r="H553" s="327"/>
    </row>
    <row r="554" spans="2:8" s="326" customFormat="1" ht="9.9499999999999993" customHeight="1" x14ac:dyDescent="0.2">
      <c r="B554" s="327"/>
      <c r="F554" s="327"/>
      <c r="H554" s="327"/>
    </row>
    <row r="555" spans="2:8" s="326" customFormat="1" ht="9.9499999999999993" customHeight="1" x14ac:dyDescent="0.2">
      <c r="B555" s="327"/>
      <c r="F555" s="327"/>
      <c r="H555" s="327"/>
    </row>
    <row r="556" spans="2:8" s="326" customFormat="1" ht="9.9499999999999993" customHeight="1" x14ac:dyDescent="0.2">
      <c r="B556" s="327"/>
      <c r="F556" s="327"/>
      <c r="H556" s="327"/>
    </row>
    <row r="557" spans="2:8" s="326" customFormat="1" ht="9.9499999999999993" customHeight="1" x14ac:dyDescent="0.2">
      <c r="B557" s="327"/>
      <c r="F557" s="327"/>
      <c r="H557" s="327"/>
    </row>
    <row r="558" spans="2:8" s="326" customFormat="1" ht="9.9499999999999993" customHeight="1" x14ac:dyDescent="0.2">
      <c r="B558" s="327"/>
      <c r="F558" s="327"/>
      <c r="H558" s="327"/>
    </row>
    <row r="559" spans="2:8" s="326" customFormat="1" ht="9.9499999999999993" customHeight="1" x14ac:dyDescent="0.2">
      <c r="B559" s="327"/>
      <c r="F559" s="327"/>
      <c r="H559" s="327"/>
    </row>
    <row r="560" spans="2:8" s="326" customFormat="1" ht="9.9499999999999993" customHeight="1" x14ac:dyDescent="0.2">
      <c r="B560" s="327"/>
      <c r="F560" s="327"/>
      <c r="H560" s="327"/>
    </row>
    <row r="561" spans="2:8" s="326" customFormat="1" ht="9.9499999999999993" customHeight="1" x14ac:dyDescent="0.2">
      <c r="B561" s="327"/>
      <c r="F561" s="327"/>
      <c r="H561" s="327"/>
    </row>
    <row r="562" spans="2:8" s="326" customFormat="1" ht="9.9499999999999993" customHeight="1" x14ac:dyDescent="0.2">
      <c r="B562" s="327"/>
      <c r="F562" s="327"/>
      <c r="H562" s="327"/>
    </row>
    <row r="563" spans="2:8" s="326" customFormat="1" ht="9.9499999999999993" customHeight="1" x14ac:dyDescent="0.2">
      <c r="B563" s="327"/>
      <c r="F563" s="327"/>
      <c r="H563" s="327"/>
    </row>
    <row r="564" spans="2:8" s="326" customFormat="1" ht="9.9499999999999993" customHeight="1" x14ac:dyDescent="0.2">
      <c r="B564" s="327"/>
      <c r="F564" s="327"/>
      <c r="H564" s="327"/>
    </row>
    <row r="565" spans="2:8" s="326" customFormat="1" ht="9.9499999999999993" customHeight="1" x14ac:dyDescent="0.2">
      <c r="B565" s="327"/>
      <c r="F565" s="327"/>
      <c r="H565" s="327"/>
    </row>
    <row r="566" spans="2:8" s="326" customFormat="1" ht="9.9499999999999993" customHeight="1" x14ac:dyDescent="0.2">
      <c r="B566" s="327"/>
      <c r="F566" s="327"/>
      <c r="H566" s="327"/>
    </row>
    <row r="567" spans="2:8" s="326" customFormat="1" ht="9.9499999999999993" customHeight="1" x14ac:dyDescent="0.2">
      <c r="B567" s="327"/>
      <c r="F567" s="327"/>
      <c r="H567" s="327"/>
    </row>
    <row r="568" spans="2:8" s="326" customFormat="1" ht="9.9499999999999993" customHeight="1" x14ac:dyDescent="0.2">
      <c r="B568" s="327"/>
      <c r="F568" s="327"/>
      <c r="H568" s="327"/>
    </row>
    <row r="569" spans="2:8" s="326" customFormat="1" ht="9.9499999999999993" customHeight="1" x14ac:dyDescent="0.2">
      <c r="B569" s="327"/>
      <c r="F569" s="327"/>
      <c r="H569" s="327"/>
    </row>
    <row r="570" spans="2:8" s="326" customFormat="1" ht="9.9499999999999993" customHeight="1" x14ac:dyDescent="0.2">
      <c r="B570" s="327"/>
      <c r="F570" s="327"/>
      <c r="H570" s="327"/>
    </row>
    <row r="571" spans="2:8" s="326" customFormat="1" ht="9.9499999999999993" customHeight="1" x14ac:dyDescent="0.2">
      <c r="B571" s="327"/>
      <c r="F571" s="327"/>
      <c r="H571" s="327"/>
    </row>
    <row r="572" spans="2:8" s="326" customFormat="1" ht="9.9499999999999993" customHeight="1" x14ac:dyDescent="0.2">
      <c r="B572" s="327"/>
      <c r="F572" s="327"/>
      <c r="H572" s="327"/>
    </row>
    <row r="573" spans="2:8" s="326" customFormat="1" ht="9.9499999999999993" customHeight="1" x14ac:dyDescent="0.2">
      <c r="B573" s="327"/>
      <c r="F573" s="327"/>
      <c r="H573" s="327"/>
    </row>
    <row r="574" spans="2:8" s="326" customFormat="1" ht="9.9499999999999993" customHeight="1" x14ac:dyDescent="0.2">
      <c r="B574" s="327"/>
      <c r="F574" s="327"/>
      <c r="H574" s="327"/>
    </row>
    <row r="575" spans="2:8" s="326" customFormat="1" ht="9.9499999999999993" customHeight="1" x14ac:dyDescent="0.2">
      <c r="B575" s="327"/>
      <c r="F575" s="327"/>
      <c r="H575" s="327"/>
    </row>
    <row r="576" spans="2:8" s="326" customFormat="1" ht="9.9499999999999993" customHeight="1" x14ac:dyDescent="0.2">
      <c r="B576" s="327"/>
      <c r="F576" s="327"/>
      <c r="H576" s="327"/>
    </row>
    <row r="577" spans="2:8" s="326" customFormat="1" ht="9.9499999999999993" customHeight="1" x14ac:dyDescent="0.2">
      <c r="B577" s="327"/>
      <c r="F577" s="327"/>
      <c r="H577" s="327"/>
    </row>
    <row r="578" spans="2:8" s="326" customFormat="1" ht="9.9499999999999993" customHeight="1" x14ac:dyDescent="0.2">
      <c r="B578" s="327"/>
      <c r="F578" s="327"/>
      <c r="H578" s="327"/>
    </row>
    <row r="579" spans="2:8" s="326" customFormat="1" ht="9.9499999999999993" customHeight="1" x14ac:dyDescent="0.2">
      <c r="B579" s="327"/>
      <c r="F579" s="327"/>
      <c r="H579" s="327"/>
    </row>
    <row r="580" spans="2:8" s="326" customFormat="1" ht="9.9499999999999993" customHeight="1" x14ac:dyDescent="0.2">
      <c r="B580" s="327"/>
      <c r="F580" s="327"/>
      <c r="H580" s="327"/>
    </row>
    <row r="581" spans="2:8" s="326" customFormat="1" ht="9.9499999999999993" customHeight="1" x14ac:dyDescent="0.2">
      <c r="B581" s="327"/>
      <c r="F581" s="327"/>
      <c r="H581" s="327"/>
    </row>
    <row r="582" spans="2:8" s="326" customFormat="1" ht="9.9499999999999993" customHeight="1" x14ac:dyDescent="0.2">
      <c r="B582" s="327"/>
      <c r="F582" s="327"/>
      <c r="H582" s="327"/>
    </row>
    <row r="583" spans="2:8" s="326" customFormat="1" ht="9.9499999999999993" customHeight="1" x14ac:dyDescent="0.2">
      <c r="B583" s="327"/>
      <c r="F583" s="327"/>
      <c r="H583" s="327"/>
    </row>
    <row r="584" spans="2:8" s="326" customFormat="1" ht="9.9499999999999993" customHeight="1" x14ac:dyDescent="0.2">
      <c r="B584" s="327"/>
      <c r="F584" s="327"/>
      <c r="H584" s="327"/>
    </row>
    <row r="585" spans="2:8" s="326" customFormat="1" ht="9.9499999999999993" customHeight="1" x14ac:dyDescent="0.2">
      <c r="B585" s="327"/>
      <c r="F585" s="327"/>
      <c r="H585" s="327"/>
    </row>
    <row r="586" spans="2:8" s="326" customFormat="1" ht="9.9499999999999993" customHeight="1" x14ac:dyDescent="0.2">
      <c r="B586" s="327"/>
      <c r="F586" s="327"/>
      <c r="H586" s="327"/>
    </row>
    <row r="587" spans="2:8" s="326" customFormat="1" ht="9.9499999999999993" customHeight="1" x14ac:dyDescent="0.2">
      <c r="B587" s="327"/>
      <c r="F587" s="327"/>
      <c r="H587" s="327"/>
    </row>
    <row r="588" spans="2:8" s="326" customFormat="1" ht="9.9499999999999993" customHeight="1" x14ac:dyDescent="0.2">
      <c r="B588" s="327"/>
      <c r="F588" s="327"/>
      <c r="H588" s="327"/>
    </row>
    <row r="589" spans="2:8" s="326" customFormat="1" ht="9.9499999999999993" customHeight="1" x14ac:dyDescent="0.2">
      <c r="B589" s="327"/>
      <c r="F589" s="327"/>
      <c r="H589" s="327"/>
    </row>
    <row r="590" spans="2:8" s="326" customFormat="1" ht="9.9499999999999993" customHeight="1" x14ac:dyDescent="0.2">
      <c r="B590" s="327"/>
      <c r="F590" s="327"/>
      <c r="H590" s="327"/>
    </row>
    <row r="591" spans="2:8" s="326" customFormat="1" ht="9.9499999999999993" customHeight="1" x14ac:dyDescent="0.2">
      <c r="B591" s="327"/>
      <c r="F591" s="327"/>
      <c r="H591" s="327"/>
    </row>
    <row r="592" spans="2:8" s="326" customFormat="1" ht="9.9499999999999993" customHeight="1" x14ac:dyDescent="0.2">
      <c r="B592" s="327"/>
      <c r="F592" s="327"/>
      <c r="H592" s="327"/>
    </row>
    <row r="593" spans="2:8" s="326" customFormat="1" ht="9.9499999999999993" customHeight="1" x14ac:dyDescent="0.2">
      <c r="B593" s="327"/>
      <c r="F593" s="327"/>
      <c r="H593" s="327"/>
    </row>
    <row r="594" spans="2:8" s="326" customFormat="1" ht="9.9499999999999993" customHeight="1" x14ac:dyDescent="0.2">
      <c r="B594" s="327"/>
      <c r="F594" s="327"/>
      <c r="H594" s="327"/>
    </row>
    <row r="595" spans="2:8" s="326" customFormat="1" ht="9.9499999999999993" customHeight="1" x14ac:dyDescent="0.2">
      <c r="B595" s="327"/>
      <c r="F595" s="327"/>
      <c r="H595" s="327"/>
    </row>
    <row r="596" spans="2:8" s="326" customFormat="1" ht="9.9499999999999993" customHeight="1" x14ac:dyDescent="0.2">
      <c r="B596" s="327"/>
      <c r="F596" s="327"/>
      <c r="H596" s="327"/>
    </row>
    <row r="597" spans="2:8" s="326" customFormat="1" ht="9.9499999999999993" customHeight="1" x14ac:dyDescent="0.2">
      <c r="B597" s="327"/>
      <c r="F597" s="327"/>
      <c r="H597" s="327"/>
    </row>
    <row r="598" spans="2:8" s="326" customFormat="1" ht="9.9499999999999993" customHeight="1" x14ac:dyDescent="0.2">
      <c r="B598" s="327"/>
      <c r="F598" s="327"/>
      <c r="H598" s="327"/>
    </row>
    <row r="599" spans="2:8" s="326" customFormat="1" ht="9.9499999999999993" customHeight="1" x14ac:dyDescent="0.2">
      <c r="B599" s="327"/>
      <c r="F599" s="327"/>
      <c r="H599" s="327"/>
    </row>
    <row r="600" spans="2:8" s="326" customFormat="1" ht="9.9499999999999993" customHeight="1" x14ac:dyDescent="0.2">
      <c r="B600" s="327"/>
      <c r="F600" s="327"/>
      <c r="H600" s="327"/>
    </row>
    <row r="601" spans="2:8" s="326" customFormat="1" ht="9.9499999999999993" customHeight="1" x14ac:dyDescent="0.2">
      <c r="B601" s="327"/>
      <c r="F601" s="327"/>
      <c r="H601" s="327"/>
    </row>
    <row r="602" spans="2:8" s="326" customFormat="1" ht="9.9499999999999993" customHeight="1" x14ac:dyDescent="0.2">
      <c r="B602" s="327"/>
      <c r="F602" s="327"/>
      <c r="H602" s="327"/>
    </row>
    <row r="603" spans="2:8" s="326" customFormat="1" ht="9.9499999999999993" customHeight="1" x14ac:dyDescent="0.2">
      <c r="B603" s="327"/>
      <c r="F603" s="327"/>
      <c r="H603" s="327"/>
    </row>
    <row r="604" spans="2:8" s="326" customFormat="1" ht="9.9499999999999993" customHeight="1" x14ac:dyDescent="0.2">
      <c r="B604" s="327"/>
      <c r="F604" s="327"/>
      <c r="H604" s="327"/>
    </row>
    <row r="605" spans="2:8" s="326" customFormat="1" ht="9.9499999999999993" customHeight="1" x14ac:dyDescent="0.2">
      <c r="B605" s="327"/>
      <c r="F605" s="327"/>
      <c r="H605" s="327"/>
    </row>
    <row r="606" spans="2:8" s="326" customFormat="1" ht="9.9499999999999993" customHeight="1" x14ac:dyDescent="0.2">
      <c r="B606" s="327"/>
      <c r="F606" s="327"/>
      <c r="H606" s="327"/>
    </row>
    <row r="607" spans="2:8" s="326" customFormat="1" ht="9.9499999999999993" customHeight="1" x14ac:dyDescent="0.2">
      <c r="B607" s="327"/>
      <c r="F607" s="327"/>
      <c r="H607" s="327"/>
    </row>
    <row r="608" spans="2:8" s="326" customFormat="1" ht="9.9499999999999993" customHeight="1" x14ac:dyDescent="0.2">
      <c r="B608" s="327"/>
      <c r="F608" s="327"/>
      <c r="H608" s="327"/>
    </row>
    <row r="609" spans="2:8" s="326" customFormat="1" ht="9.9499999999999993" customHeight="1" x14ac:dyDescent="0.2">
      <c r="B609" s="327"/>
      <c r="F609" s="327"/>
      <c r="H609" s="327"/>
    </row>
    <row r="610" spans="2:8" s="326" customFormat="1" ht="9.9499999999999993" customHeight="1" x14ac:dyDescent="0.2">
      <c r="B610" s="327"/>
      <c r="F610" s="327"/>
      <c r="H610" s="327"/>
    </row>
    <row r="611" spans="2:8" s="326" customFormat="1" ht="9.9499999999999993" customHeight="1" x14ac:dyDescent="0.2">
      <c r="B611" s="327"/>
      <c r="F611" s="327"/>
      <c r="H611" s="327"/>
    </row>
    <row r="612" spans="2:8" s="326" customFormat="1" ht="9.9499999999999993" customHeight="1" x14ac:dyDescent="0.2">
      <c r="B612" s="327"/>
      <c r="F612" s="327"/>
      <c r="H612" s="327"/>
    </row>
    <row r="613" spans="2:8" s="326" customFormat="1" ht="9.9499999999999993" customHeight="1" x14ac:dyDescent="0.2">
      <c r="B613" s="327"/>
      <c r="F613" s="327"/>
      <c r="H613" s="327"/>
    </row>
    <row r="614" spans="2:8" s="326" customFormat="1" ht="9.9499999999999993" customHeight="1" x14ac:dyDescent="0.2">
      <c r="B614" s="327"/>
      <c r="F614" s="327"/>
      <c r="H614" s="327"/>
    </row>
    <row r="615" spans="2:8" s="326" customFormat="1" ht="9.9499999999999993" customHeight="1" x14ac:dyDescent="0.2">
      <c r="B615" s="327"/>
      <c r="F615" s="327"/>
      <c r="H615" s="327"/>
    </row>
    <row r="616" spans="2:8" s="326" customFormat="1" ht="9.9499999999999993" customHeight="1" x14ac:dyDescent="0.2">
      <c r="B616" s="327"/>
      <c r="F616" s="327"/>
      <c r="H616" s="327"/>
    </row>
    <row r="617" spans="2:8" s="326" customFormat="1" ht="9.9499999999999993" customHeight="1" x14ac:dyDescent="0.2">
      <c r="B617" s="327"/>
      <c r="F617" s="327"/>
      <c r="H617" s="327"/>
    </row>
    <row r="618" spans="2:8" s="326" customFormat="1" ht="9.9499999999999993" customHeight="1" x14ac:dyDescent="0.2">
      <c r="B618" s="327"/>
      <c r="F618" s="327"/>
      <c r="H618" s="327"/>
    </row>
    <row r="619" spans="2:8" s="326" customFormat="1" ht="9.9499999999999993" customHeight="1" x14ac:dyDescent="0.2">
      <c r="B619" s="327"/>
      <c r="F619" s="327"/>
      <c r="H619" s="327"/>
    </row>
    <row r="620" spans="2:8" s="326" customFormat="1" ht="9.9499999999999993" customHeight="1" x14ac:dyDescent="0.2">
      <c r="B620" s="327"/>
      <c r="F620" s="327"/>
      <c r="H620" s="327"/>
    </row>
    <row r="621" spans="2:8" s="326" customFormat="1" ht="9.9499999999999993" customHeight="1" x14ac:dyDescent="0.2">
      <c r="B621" s="327"/>
      <c r="F621" s="327"/>
      <c r="H621" s="327"/>
    </row>
    <row r="622" spans="2:8" s="326" customFormat="1" ht="9.9499999999999993" customHeight="1" x14ac:dyDescent="0.2">
      <c r="B622" s="327"/>
      <c r="F622" s="327"/>
      <c r="H622" s="327"/>
    </row>
    <row r="623" spans="2:8" s="326" customFormat="1" ht="9.9499999999999993" customHeight="1" x14ac:dyDescent="0.2">
      <c r="B623" s="327"/>
      <c r="F623" s="327"/>
      <c r="H623" s="327"/>
    </row>
    <row r="624" spans="2:8" s="326" customFormat="1" ht="9.9499999999999993" customHeight="1" x14ac:dyDescent="0.2">
      <c r="B624" s="327"/>
      <c r="F624" s="327"/>
      <c r="H624" s="327"/>
    </row>
    <row r="625" spans="2:8" s="326" customFormat="1" ht="9.9499999999999993" customHeight="1" x14ac:dyDescent="0.2">
      <c r="B625" s="327"/>
      <c r="F625" s="327"/>
      <c r="H625" s="327"/>
    </row>
    <row r="626" spans="2:8" s="326" customFormat="1" ht="9.9499999999999993" customHeight="1" x14ac:dyDescent="0.2">
      <c r="B626" s="327"/>
      <c r="F626" s="327"/>
      <c r="H626" s="327"/>
    </row>
    <row r="627" spans="2:8" s="326" customFormat="1" ht="9.9499999999999993" customHeight="1" x14ac:dyDescent="0.2">
      <c r="B627" s="327"/>
      <c r="F627" s="327"/>
      <c r="H627" s="327"/>
    </row>
    <row r="628" spans="2:8" s="326" customFormat="1" ht="9.9499999999999993" customHeight="1" x14ac:dyDescent="0.2">
      <c r="B628" s="327"/>
      <c r="F628" s="327"/>
      <c r="H628" s="327"/>
    </row>
    <row r="629" spans="2:8" s="326" customFormat="1" ht="9.9499999999999993" customHeight="1" x14ac:dyDescent="0.2">
      <c r="B629" s="327"/>
      <c r="F629" s="327"/>
      <c r="H629" s="327"/>
    </row>
    <row r="630" spans="2:8" s="326" customFormat="1" ht="9.9499999999999993" customHeight="1" x14ac:dyDescent="0.2">
      <c r="B630" s="327"/>
      <c r="F630" s="327"/>
      <c r="H630" s="327"/>
    </row>
    <row r="631" spans="2:8" s="326" customFormat="1" ht="9.9499999999999993" customHeight="1" x14ac:dyDescent="0.2">
      <c r="B631" s="327"/>
      <c r="F631" s="327"/>
      <c r="H631" s="327"/>
    </row>
    <row r="632" spans="2:8" s="326" customFormat="1" ht="9.9499999999999993" customHeight="1" x14ac:dyDescent="0.2">
      <c r="B632" s="327"/>
      <c r="F632" s="327"/>
      <c r="H632" s="327"/>
    </row>
    <row r="633" spans="2:8" s="326" customFormat="1" ht="9.9499999999999993" customHeight="1" x14ac:dyDescent="0.2">
      <c r="B633" s="327"/>
      <c r="F633" s="327"/>
      <c r="H633" s="327"/>
    </row>
    <row r="634" spans="2:8" s="326" customFormat="1" ht="9.9499999999999993" customHeight="1" x14ac:dyDescent="0.2">
      <c r="B634" s="327"/>
      <c r="F634" s="327"/>
      <c r="H634" s="327"/>
    </row>
    <row r="635" spans="2:8" s="326" customFormat="1" ht="9.9499999999999993" customHeight="1" x14ac:dyDescent="0.2">
      <c r="B635" s="327"/>
      <c r="F635" s="327"/>
      <c r="H635" s="327"/>
    </row>
    <row r="636" spans="2:8" s="326" customFormat="1" ht="9.9499999999999993" customHeight="1" x14ac:dyDescent="0.2">
      <c r="B636" s="327"/>
      <c r="F636" s="327"/>
      <c r="H636" s="327"/>
    </row>
    <row r="637" spans="2:8" s="326" customFormat="1" ht="9.9499999999999993" customHeight="1" x14ac:dyDescent="0.2">
      <c r="B637" s="327"/>
      <c r="F637" s="327"/>
      <c r="H637" s="327"/>
    </row>
    <row r="638" spans="2:8" s="326" customFormat="1" ht="9.9499999999999993" customHeight="1" x14ac:dyDescent="0.2">
      <c r="B638" s="327"/>
      <c r="F638" s="327"/>
      <c r="H638" s="327"/>
    </row>
    <row r="639" spans="2:8" s="326" customFormat="1" ht="9.9499999999999993" customHeight="1" x14ac:dyDescent="0.2">
      <c r="B639" s="327"/>
      <c r="F639" s="327"/>
      <c r="H639" s="327"/>
    </row>
    <row r="640" spans="2:8" s="326" customFormat="1" ht="9.9499999999999993" customHeight="1" x14ac:dyDescent="0.2">
      <c r="B640" s="327"/>
      <c r="F640" s="327"/>
      <c r="H640" s="327"/>
    </row>
    <row r="641" spans="2:8" s="326" customFormat="1" ht="9.9499999999999993" customHeight="1" x14ac:dyDescent="0.2">
      <c r="B641" s="327"/>
      <c r="F641" s="327"/>
      <c r="H641" s="327"/>
    </row>
    <row r="642" spans="2:8" s="326" customFormat="1" ht="9.9499999999999993" customHeight="1" x14ac:dyDescent="0.2">
      <c r="B642" s="327"/>
      <c r="F642" s="327"/>
      <c r="H642" s="327"/>
    </row>
    <row r="643" spans="2:8" s="326" customFormat="1" ht="9.9499999999999993" customHeight="1" x14ac:dyDescent="0.2">
      <c r="B643" s="327"/>
      <c r="F643" s="327"/>
      <c r="H643" s="327"/>
    </row>
    <row r="644" spans="2:8" s="326" customFormat="1" ht="9.9499999999999993" customHeight="1" x14ac:dyDescent="0.2">
      <c r="B644" s="327"/>
      <c r="F644" s="327"/>
      <c r="H644" s="327"/>
    </row>
    <row r="645" spans="2:8" s="326" customFormat="1" ht="9.9499999999999993" customHeight="1" x14ac:dyDescent="0.2">
      <c r="B645" s="327"/>
      <c r="F645" s="327"/>
      <c r="H645" s="327"/>
    </row>
    <row r="646" spans="2:8" s="326" customFormat="1" ht="9.9499999999999993" customHeight="1" x14ac:dyDescent="0.2">
      <c r="B646" s="327"/>
      <c r="F646" s="327"/>
      <c r="H646" s="327"/>
    </row>
    <row r="647" spans="2:8" s="326" customFormat="1" ht="9.9499999999999993" customHeight="1" x14ac:dyDescent="0.2">
      <c r="B647" s="327"/>
      <c r="F647" s="327"/>
      <c r="H647" s="327"/>
    </row>
    <row r="648" spans="2:8" s="326" customFormat="1" ht="9.9499999999999993" customHeight="1" x14ac:dyDescent="0.2">
      <c r="B648" s="327"/>
      <c r="F648" s="327"/>
      <c r="H648" s="327"/>
    </row>
    <row r="649" spans="2:8" s="326" customFormat="1" ht="9.9499999999999993" customHeight="1" x14ac:dyDescent="0.2">
      <c r="B649" s="327"/>
      <c r="F649" s="327"/>
      <c r="H649" s="327"/>
    </row>
    <row r="650" spans="2:8" s="326" customFormat="1" ht="9.9499999999999993" customHeight="1" x14ac:dyDescent="0.2">
      <c r="B650" s="327"/>
      <c r="F650" s="327"/>
      <c r="H650" s="327"/>
    </row>
    <row r="651" spans="2:8" s="326" customFormat="1" ht="9.9499999999999993" customHeight="1" x14ac:dyDescent="0.2">
      <c r="B651" s="327"/>
      <c r="F651" s="327"/>
      <c r="H651" s="327"/>
    </row>
    <row r="652" spans="2:8" s="326" customFormat="1" ht="9.9499999999999993" customHeight="1" x14ac:dyDescent="0.2">
      <c r="B652" s="327"/>
      <c r="F652" s="327"/>
      <c r="H652" s="327"/>
    </row>
    <row r="653" spans="2:8" s="326" customFormat="1" ht="9.9499999999999993" customHeight="1" x14ac:dyDescent="0.2">
      <c r="B653" s="327"/>
      <c r="F653" s="327"/>
      <c r="H653" s="327"/>
    </row>
    <row r="654" spans="2:8" s="326" customFormat="1" ht="9.9499999999999993" customHeight="1" x14ac:dyDescent="0.2">
      <c r="B654" s="327"/>
      <c r="F654" s="327"/>
      <c r="H654" s="327"/>
    </row>
    <row r="655" spans="2:8" s="326" customFormat="1" ht="9.9499999999999993" customHeight="1" x14ac:dyDescent="0.2">
      <c r="B655" s="327"/>
      <c r="F655" s="327"/>
      <c r="H655" s="327"/>
    </row>
    <row r="656" spans="2:8" s="326" customFormat="1" ht="9.9499999999999993" customHeight="1" x14ac:dyDescent="0.2">
      <c r="B656" s="327"/>
      <c r="F656" s="327"/>
      <c r="H656" s="327"/>
    </row>
    <row r="657" spans="2:8" s="326" customFormat="1" ht="9.9499999999999993" customHeight="1" x14ac:dyDescent="0.2">
      <c r="B657" s="327"/>
      <c r="F657" s="327"/>
      <c r="H657" s="327"/>
    </row>
    <row r="658" spans="2:8" s="326" customFormat="1" ht="9.9499999999999993" customHeight="1" x14ac:dyDescent="0.2">
      <c r="B658" s="327"/>
      <c r="F658" s="327"/>
      <c r="H658" s="327"/>
    </row>
    <row r="659" spans="2:8" s="326" customFormat="1" ht="9.9499999999999993" customHeight="1" x14ac:dyDescent="0.2">
      <c r="B659" s="327"/>
      <c r="F659" s="327"/>
      <c r="H659" s="327"/>
    </row>
    <row r="660" spans="2:8" s="326" customFormat="1" ht="9.9499999999999993" customHeight="1" x14ac:dyDescent="0.2">
      <c r="B660" s="327"/>
      <c r="F660" s="327"/>
      <c r="H660" s="327"/>
    </row>
    <row r="661" spans="2:8" s="326" customFormat="1" ht="9.9499999999999993" customHeight="1" x14ac:dyDescent="0.2">
      <c r="B661" s="327"/>
      <c r="F661" s="327"/>
      <c r="H661" s="327"/>
    </row>
    <row r="662" spans="2:8" s="326" customFormat="1" ht="9.9499999999999993" customHeight="1" x14ac:dyDescent="0.2">
      <c r="B662" s="327"/>
      <c r="F662" s="327"/>
      <c r="H662" s="327"/>
    </row>
    <row r="663" spans="2:8" s="326" customFormat="1" ht="9.9499999999999993" customHeight="1" x14ac:dyDescent="0.2">
      <c r="B663" s="327"/>
      <c r="F663" s="327"/>
      <c r="H663" s="327"/>
    </row>
    <row r="664" spans="2:8" s="326" customFormat="1" ht="9.9499999999999993" customHeight="1" x14ac:dyDescent="0.2">
      <c r="B664" s="327"/>
      <c r="F664" s="327"/>
      <c r="H664" s="327"/>
    </row>
    <row r="665" spans="2:8" s="326" customFormat="1" ht="9.9499999999999993" customHeight="1" x14ac:dyDescent="0.2">
      <c r="B665" s="327"/>
      <c r="F665" s="327"/>
      <c r="H665" s="327"/>
    </row>
    <row r="666" spans="2:8" s="326" customFormat="1" ht="9.9499999999999993" customHeight="1" x14ac:dyDescent="0.2">
      <c r="B666" s="327"/>
      <c r="F666" s="327"/>
      <c r="H666" s="327"/>
    </row>
    <row r="667" spans="2:8" s="326" customFormat="1" ht="9.9499999999999993" customHeight="1" x14ac:dyDescent="0.2">
      <c r="B667" s="327"/>
      <c r="F667" s="327"/>
      <c r="H667" s="327"/>
    </row>
    <row r="668" spans="2:8" s="326" customFormat="1" ht="9.9499999999999993" customHeight="1" x14ac:dyDescent="0.2">
      <c r="B668" s="327"/>
      <c r="F668" s="327"/>
      <c r="H668" s="327"/>
    </row>
    <row r="669" spans="2:8" s="326" customFormat="1" ht="9.9499999999999993" customHeight="1" x14ac:dyDescent="0.2">
      <c r="B669" s="327"/>
      <c r="F669" s="327"/>
      <c r="H669" s="327"/>
    </row>
    <row r="670" spans="2:8" s="326" customFormat="1" ht="9.9499999999999993" customHeight="1" x14ac:dyDescent="0.2">
      <c r="B670" s="327"/>
      <c r="F670" s="327"/>
      <c r="H670" s="327"/>
    </row>
    <row r="671" spans="2:8" s="326" customFormat="1" ht="9.9499999999999993" customHeight="1" x14ac:dyDescent="0.2">
      <c r="B671" s="327"/>
      <c r="F671" s="327"/>
      <c r="H671" s="327"/>
    </row>
    <row r="672" spans="2:8" s="326" customFormat="1" ht="9.9499999999999993" customHeight="1" x14ac:dyDescent="0.2">
      <c r="B672" s="327"/>
      <c r="F672" s="327"/>
      <c r="H672" s="327"/>
    </row>
    <row r="673" spans="2:8" s="326" customFormat="1" ht="9.9499999999999993" customHeight="1" x14ac:dyDescent="0.2">
      <c r="B673" s="327"/>
      <c r="F673" s="327"/>
      <c r="H673" s="327"/>
    </row>
    <row r="674" spans="2:8" s="326" customFormat="1" ht="9.9499999999999993" customHeight="1" x14ac:dyDescent="0.2">
      <c r="B674" s="327"/>
      <c r="F674" s="327"/>
      <c r="H674" s="327"/>
    </row>
    <row r="675" spans="2:8" s="326" customFormat="1" ht="9.9499999999999993" customHeight="1" x14ac:dyDescent="0.2">
      <c r="B675" s="327"/>
      <c r="F675" s="327"/>
      <c r="H675" s="327"/>
    </row>
    <row r="676" spans="2:8" s="326" customFormat="1" ht="9.9499999999999993" customHeight="1" x14ac:dyDescent="0.2">
      <c r="B676" s="327"/>
      <c r="F676" s="327"/>
      <c r="H676" s="327"/>
    </row>
    <row r="677" spans="2:8" s="326" customFormat="1" ht="9.9499999999999993" customHeight="1" x14ac:dyDescent="0.2">
      <c r="B677" s="327"/>
      <c r="F677" s="327"/>
      <c r="H677" s="327"/>
    </row>
    <row r="678" spans="2:8" s="326" customFormat="1" ht="9.9499999999999993" customHeight="1" x14ac:dyDescent="0.2">
      <c r="B678" s="327"/>
      <c r="F678" s="327"/>
      <c r="H678" s="327"/>
    </row>
    <row r="679" spans="2:8" s="326" customFormat="1" ht="9.9499999999999993" customHeight="1" x14ac:dyDescent="0.2">
      <c r="B679" s="327"/>
      <c r="F679" s="327"/>
      <c r="H679" s="327"/>
    </row>
    <row r="680" spans="2:8" s="326" customFormat="1" ht="9.9499999999999993" customHeight="1" x14ac:dyDescent="0.2">
      <c r="B680" s="327"/>
      <c r="F680" s="327"/>
      <c r="H680" s="327"/>
    </row>
    <row r="681" spans="2:8" s="326" customFormat="1" ht="9.9499999999999993" customHeight="1" x14ac:dyDescent="0.2">
      <c r="B681" s="327"/>
      <c r="F681" s="327"/>
      <c r="H681" s="327"/>
    </row>
    <row r="682" spans="2:8" s="326" customFormat="1" ht="9.9499999999999993" customHeight="1" x14ac:dyDescent="0.2">
      <c r="B682" s="327"/>
      <c r="F682" s="327"/>
      <c r="H682" s="327"/>
    </row>
    <row r="683" spans="2:8" s="326" customFormat="1" ht="9.9499999999999993" customHeight="1" x14ac:dyDescent="0.2">
      <c r="B683" s="327"/>
      <c r="F683" s="327"/>
      <c r="H683" s="327"/>
    </row>
    <row r="684" spans="2:8" s="326" customFormat="1" ht="9.9499999999999993" customHeight="1" x14ac:dyDescent="0.2">
      <c r="B684" s="327"/>
      <c r="F684" s="327"/>
      <c r="H684" s="327"/>
    </row>
    <row r="685" spans="2:8" s="326" customFormat="1" ht="9.9499999999999993" customHeight="1" x14ac:dyDescent="0.2">
      <c r="B685" s="327"/>
      <c r="F685" s="327"/>
      <c r="H685" s="327"/>
    </row>
    <row r="686" spans="2:8" s="326" customFormat="1" ht="9.9499999999999993" customHeight="1" x14ac:dyDescent="0.2">
      <c r="B686" s="327"/>
      <c r="F686" s="327"/>
      <c r="H686" s="327"/>
    </row>
    <row r="687" spans="2:8" s="326" customFormat="1" ht="9.9499999999999993" customHeight="1" x14ac:dyDescent="0.2">
      <c r="B687" s="327"/>
      <c r="F687" s="327"/>
      <c r="H687" s="327"/>
    </row>
    <row r="688" spans="2:8" s="326" customFormat="1" ht="9.9499999999999993" customHeight="1" x14ac:dyDescent="0.2">
      <c r="B688" s="327"/>
      <c r="F688" s="327"/>
      <c r="H688" s="327"/>
    </row>
    <row r="689" spans="2:8" s="326" customFormat="1" ht="9.9499999999999993" customHeight="1" x14ac:dyDescent="0.2">
      <c r="B689" s="327"/>
      <c r="F689" s="327"/>
      <c r="H689" s="327"/>
    </row>
    <row r="690" spans="2:8" s="326" customFormat="1" ht="9.9499999999999993" customHeight="1" x14ac:dyDescent="0.2">
      <c r="B690" s="327"/>
      <c r="F690" s="327"/>
      <c r="H690" s="327"/>
    </row>
    <row r="691" spans="2:8" s="326" customFormat="1" ht="9.9499999999999993" customHeight="1" x14ac:dyDescent="0.2">
      <c r="B691" s="327"/>
      <c r="F691" s="327"/>
      <c r="H691" s="327"/>
    </row>
    <row r="692" spans="2:8" s="326" customFormat="1" ht="9.9499999999999993" customHeight="1" x14ac:dyDescent="0.2">
      <c r="B692" s="327"/>
      <c r="F692" s="327"/>
      <c r="H692" s="327"/>
    </row>
    <row r="693" spans="2:8" s="326" customFormat="1" ht="9.9499999999999993" customHeight="1" x14ac:dyDescent="0.2">
      <c r="B693" s="327"/>
      <c r="F693" s="327"/>
      <c r="H693" s="327"/>
    </row>
    <row r="694" spans="2:8" s="326" customFormat="1" ht="9.9499999999999993" customHeight="1" x14ac:dyDescent="0.2">
      <c r="B694" s="327"/>
      <c r="F694" s="327"/>
      <c r="H694" s="327"/>
    </row>
    <row r="695" spans="2:8" s="326" customFormat="1" ht="9.9499999999999993" customHeight="1" x14ac:dyDescent="0.2">
      <c r="B695" s="327"/>
      <c r="F695" s="327"/>
      <c r="H695" s="327"/>
    </row>
    <row r="696" spans="2:8" s="326" customFormat="1" ht="9.9499999999999993" customHeight="1" x14ac:dyDescent="0.2">
      <c r="B696" s="327"/>
      <c r="F696" s="327"/>
      <c r="H696" s="327"/>
    </row>
    <row r="697" spans="2:8" s="326" customFormat="1" ht="9.9499999999999993" customHeight="1" x14ac:dyDescent="0.2">
      <c r="B697" s="327"/>
      <c r="F697" s="327"/>
      <c r="H697" s="327"/>
    </row>
    <row r="698" spans="2:8" s="326" customFormat="1" ht="9.9499999999999993" customHeight="1" x14ac:dyDescent="0.2">
      <c r="B698" s="327"/>
      <c r="F698" s="327"/>
      <c r="H698" s="327"/>
    </row>
    <row r="699" spans="2:8" s="326" customFormat="1" ht="9.9499999999999993" customHeight="1" x14ac:dyDescent="0.2">
      <c r="B699" s="327"/>
      <c r="F699" s="327"/>
      <c r="H699" s="327"/>
    </row>
    <row r="700" spans="2:8" s="326" customFormat="1" ht="9.9499999999999993" customHeight="1" x14ac:dyDescent="0.2">
      <c r="B700" s="327"/>
      <c r="F700" s="327"/>
      <c r="H700" s="327"/>
    </row>
    <row r="701" spans="2:8" s="326" customFormat="1" ht="9.9499999999999993" customHeight="1" x14ac:dyDescent="0.2">
      <c r="B701" s="327"/>
      <c r="F701" s="327"/>
      <c r="H701" s="327"/>
    </row>
    <row r="702" spans="2:8" s="326" customFormat="1" ht="9.9499999999999993" customHeight="1" x14ac:dyDescent="0.2">
      <c r="B702" s="327"/>
      <c r="F702" s="327"/>
      <c r="H702" s="327"/>
    </row>
    <row r="703" spans="2:8" s="326" customFormat="1" ht="9.9499999999999993" customHeight="1" x14ac:dyDescent="0.2">
      <c r="B703" s="327"/>
      <c r="F703" s="327"/>
      <c r="H703" s="327"/>
    </row>
    <row r="704" spans="2:8" s="326" customFormat="1" ht="9.9499999999999993" customHeight="1" x14ac:dyDescent="0.2">
      <c r="B704" s="327"/>
      <c r="F704" s="327"/>
      <c r="H704" s="327"/>
    </row>
    <row r="705" spans="2:8" s="326" customFormat="1" ht="9.9499999999999993" customHeight="1" x14ac:dyDescent="0.2">
      <c r="B705" s="327"/>
      <c r="F705" s="327"/>
      <c r="H705" s="327"/>
    </row>
    <row r="706" spans="2:8" s="326" customFormat="1" ht="9.9499999999999993" customHeight="1" x14ac:dyDescent="0.2">
      <c r="B706" s="327"/>
      <c r="F706" s="327"/>
      <c r="H706" s="327"/>
    </row>
    <row r="707" spans="2:8" s="326" customFormat="1" ht="9.9499999999999993" customHeight="1" x14ac:dyDescent="0.2">
      <c r="B707" s="327"/>
      <c r="F707" s="327"/>
      <c r="H707" s="327"/>
    </row>
    <row r="708" spans="2:8" s="326" customFormat="1" ht="9.9499999999999993" customHeight="1" x14ac:dyDescent="0.2">
      <c r="B708" s="327"/>
      <c r="F708" s="327"/>
      <c r="H708" s="327"/>
    </row>
    <row r="709" spans="2:8" s="326" customFormat="1" ht="9.9499999999999993" customHeight="1" x14ac:dyDescent="0.2">
      <c r="B709" s="327"/>
      <c r="F709" s="327"/>
      <c r="H709" s="327"/>
    </row>
    <row r="710" spans="2:8" s="326" customFormat="1" ht="9.9499999999999993" customHeight="1" x14ac:dyDescent="0.2">
      <c r="B710" s="327"/>
      <c r="F710" s="327"/>
      <c r="H710" s="327"/>
    </row>
    <row r="711" spans="2:8" s="326" customFormat="1" ht="9.9499999999999993" customHeight="1" x14ac:dyDescent="0.2">
      <c r="B711" s="327"/>
      <c r="F711" s="327"/>
      <c r="H711" s="327"/>
    </row>
    <row r="712" spans="2:8" s="326" customFormat="1" ht="9.9499999999999993" customHeight="1" x14ac:dyDescent="0.2">
      <c r="B712" s="327"/>
      <c r="F712" s="327"/>
      <c r="H712" s="327"/>
    </row>
    <row r="713" spans="2:8" s="326" customFormat="1" ht="9.9499999999999993" customHeight="1" x14ac:dyDescent="0.2">
      <c r="B713" s="327"/>
      <c r="F713" s="327"/>
      <c r="H713" s="327"/>
    </row>
    <row r="714" spans="2:8" s="326" customFormat="1" ht="9.9499999999999993" customHeight="1" x14ac:dyDescent="0.2">
      <c r="B714" s="327"/>
      <c r="F714" s="327"/>
      <c r="H714" s="327"/>
    </row>
    <row r="715" spans="2:8" s="326" customFormat="1" ht="9.9499999999999993" customHeight="1" x14ac:dyDescent="0.2">
      <c r="B715" s="327"/>
      <c r="F715" s="327"/>
      <c r="H715" s="327"/>
    </row>
    <row r="716" spans="2:8" s="326" customFormat="1" ht="9.9499999999999993" customHeight="1" x14ac:dyDescent="0.2">
      <c r="B716" s="327"/>
      <c r="F716" s="327"/>
      <c r="H716" s="327"/>
    </row>
    <row r="717" spans="2:8" s="326" customFormat="1" ht="9.9499999999999993" customHeight="1" x14ac:dyDescent="0.2">
      <c r="B717" s="327"/>
      <c r="F717" s="327"/>
      <c r="H717" s="327"/>
    </row>
    <row r="718" spans="2:8" s="326" customFormat="1" ht="9.9499999999999993" customHeight="1" x14ac:dyDescent="0.2">
      <c r="B718" s="327"/>
      <c r="F718" s="327"/>
      <c r="H718" s="327"/>
    </row>
    <row r="719" spans="2:8" s="326" customFormat="1" ht="9.9499999999999993" customHeight="1" x14ac:dyDescent="0.2">
      <c r="B719" s="327"/>
      <c r="F719" s="327"/>
      <c r="H719" s="327"/>
    </row>
    <row r="720" spans="2:8" s="326" customFormat="1" ht="9.9499999999999993" customHeight="1" x14ac:dyDescent="0.2">
      <c r="B720" s="327"/>
      <c r="F720" s="327"/>
      <c r="H720" s="327"/>
    </row>
    <row r="721" spans="2:8" s="326" customFormat="1" ht="9.9499999999999993" customHeight="1" x14ac:dyDescent="0.2">
      <c r="B721" s="327"/>
      <c r="F721" s="327"/>
      <c r="H721" s="327"/>
    </row>
    <row r="722" spans="2:8" s="326" customFormat="1" ht="9.9499999999999993" customHeight="1" x14ac:dyDescent="0.2">
      <c r="B722" s="327"/>
      <c r="F722" s="327"/>
      <c r="H722" s="327"/>
    </row>
    <row r="723" spans="2:8" s="326" customFormat="1" ht="9.9499999999999993" customHeight="1" x14ac:dyDescent="0.2">
      <c r="B723" s="327"/>
      <c r="F723" s="327"/>
      <c r="H723" s="327"/>
    </row>
    <row r="724" spans="2:8" s="326" customFormat="1" ht="9.9499999999999993" customHeight="1" x14ac:dyDescent="0.2">
      <c r="B724" s="327"/>
      <c r="F724" s="327"/>
      <c r="H724" s="327"/>
    </row>
    <row r="725" spans="2:8" s="326" customFormat="1" ht="9.9499999999999993" customHeight="1" x14ac:dyDescent="0.2">
      <c r="B725" s="327"/>
      <c r="F725" s="327"/>
      <c r="H725" s="327"/>
    </row>
    <row r="726" spans="2:8" s="326" customFormat="1" ht="9.9499999999999993" customHeight="1" x14ac:dyDescent="0.2">
      <c r="B726" s="327"/>
      <c r="F726" s="327"/>
      <c r="H726" s="327"/>
    </row>
    <row r="727" spans="2:8" s="326" customFormat="1" ht="9.9499999999999993" customHeight="1" x14ac:dyDescent="0.2">
      <c r="B727" s="327"/>
      <c r="F727" s="327"/>
      <c r="H727" s="327"/>
    </row>
    <row r="728" spans="2:8" s="326" customFormat="1" ht="9.9499999999999993" customHeight="1" x14ac:dyDescent="0.2">
      <c r="B728" s="327"/>
      <c r="F728" s="327"/>
      <c r="H728" s="327"/>
    </row>
    <row r="729" spans="2:8" s="326" customFormat="1" ht="9.9499999999999993" customHeight="1" x14ac:dyDescent="0.2">
      <c r="B729" s="327"/>
      <c r="F729" s="327"/>
      <c r="H729" s="327"/>
    </row>
    <row r="730" spans="2:8" s="326" customFormat="1" ht="9.9499999999999993" customHeight="1" x14ac:dyDescent="0.2">
      <c r="B730" s="327"/>
      <c r="F730" s="327"/>
      <c r="H730" s="327"/>
    </row>
    <row r="731" spans="2:8" s="326" customFormat="1" ht="9.9499999999999993" customHeight="1" x14ac:dyDescent="0.2">
      <c r="B731" s="327"/>
      <c r="F731" s="327"/>
      <c r="H731" s="327"/>
    </row>
    <row r="732" spans="2:8" s="326" customFormat="1" ht="9.9499999999999993" customHeight="1" x14ac:dyDescent="0.2">
      <c r="B732" s="327"/>
      <c r="F732" s="327"/>
      <c r="H732" s="327"/>
    </row>
    <row r="733" spans="2:8" s="326" customFormat="1" ht="9.9499999999999993" customHeight="1" x14ac:dyDescent="0.2">
      <c r="B733" s="327"/>
      <c r="F733" s="327"/>
      <c r="H733" s="327"/>
    </row>
    <row r="734" spans="2:8" s="326" customFormat="1" ht="9.9499999999999993" customHeight="1" x14ac:dyDescent="0.2">
      <c r="B734" s="327"/>
      <c r="F734" s="327"/>
      <c r="H734" s="327"/>
    </row>
    <row r="735" spans="2:8" s="326" customFormat="1" ht="9.9499999999999993" customHeight="1" x14ac:dyDescent="0.2">
      <c r="B735" s="327"/>
      <c r="F735" s="327"/>
      <c r="H735" s="327"/>
    </row>
    <row r="736" spans="2:8" s="326" customFormat="1" ht="9.9499999999999993" customHeight="1" x14ac:dyDescent="0.2">
      <c r="B736" s="327"/>
      <c r="F736" s="327"/>
      <c r="H736" s="327"/>
    </row>
    <row r="737" spans="2:8" s="326" customFormat="1" ht="9.9499999999999993" customHeight="1" x14ac:dyDescent="0.2">
      <c r="B737" s="327"/>
      <c r="F737" s="327"/>
      <c r="H737" s="327"/>
    </row>
    <row r="738" spans="2:8" s="326" customFormat="1" ht="9.9499999999999993" customHeight="1" x14ac:dyDescent="0.2">
      <c r="B738" s="327"/>
      <c r="F738" s="327"/>
      <c r="H738" s="327"/>
    </row>
    <row r="739" spans="2:8" s="326" customFormat="1" ht="9.9499999999999993" customHeight="1" x14ac:dyDescent="0.2">
      <c r="B739" s="327"/>
      <c r="F739" s="327"/>
      <c r="H739" s="327"/>
    </row>
    <row r="740" spans="2:8" s="326" customFormat="1" ht="9.9499999999999993" customHeight="1" x14ac:dyDescent="0.2">
      <c r="B740" s="327"/>
      <c r="F740" s="327"/>
      <c r="H740" s="327"/>
    </row>
    <row r="741" spans="2:8" s="326" customFormat="1" ht="9.9499999999999993" customHeight="1" x14ac:dyDescent="0.2">
      <c r="B741" s="327"/>
      <c r="F741" s="327"/>
      <c r="H741" s="327"/>
    </row>
    <row r="742" spans="2:8" s="326" customFormat="1" ht="9.9499999999999993" customHeight="1" x14ac:dyDescent="0.2">
      <c r="B742" s="327"/>
      <c r="F742" s="327"/>
      <c r="H742" s="327"/>
    </row>
    <row r="743" spans="2:8" s="326" customFormat="1" ht="9.9499999999999993" customHeight="1" x14ac:dyDescent="0.2">
      <c r="B743" s="327"/>
      <c r="F743" s="327"/>
      <c r="H743" s="327"/>
    </row>
    <row r="744" spans="2:8" s="326" customFormat="1" ht="9.9499999999999993" customHeight="1" x14ac:dyDescent="0.2">
      <c r="B744" s="327"/>
      <c r="F744" s="327"/>
      <c r="H744" s="327"/>
    </row>
    <row r="745" spans="2:8" s="326" customFormat="1" ht="9.9499999999999993" customHeight="1" x14ac:dyDescent="0.2">
      <c r="B745" s="327"/>
      <c r="F745" s="327"/>
      <c r="H745" s="327"/>
    </row>
    <row r="746" spans="2:8" s="326" customFormat="1" ht="9.9499999999999993" customHeight="1" x14ac:dyDescent="0.2">
      <c r="B746" s="327"/>
      <c r="F746" s="327"/>
      <c r="H746" s="327"/>
    </row>
    <row r="747" spans="2:8" s="326" customFormat="1" ht="9.9499999999999993" customHeight="1" x14ac:dyDescent="0.2">
      <c r="B747" s="327"/>
      <c r="F747" s="327"/>
      <c r="H747" s="327"/>
    </row>
    <row r="748" spans="2:8" s="326" customFormat="1" ht="9.9499999999999993" customHeight="1" x14ac:dyDescent="0.2">
      <c r="B748" s="327"/>
      <c r="F748" s="327"/>
      <c r="H748" s="327"/>
    </row>
    <row r="749" spans="2:8" s="326" customFormat="1" ht="9.9499999999999993" customHeight="1" x14ac:dyDescent="0.2">
      <c r="B749" s="327"/>
      <c r="F749" s="327"/>
      <c r="H749" s="327"/>
    </row>
    <row r="750" spans="2:8" s="326" customFormat="1" ht="9.9499999999999993" customHeight="1" x14ac:dyDescent="0.2">
      <c r="B750" s="327"/>
      <c r="F750" s="327"/>
      <c r="H750" s="327"/>
    </row>
    <row r="751" spans="2:8" s="326" customFormat="1" ht="9.9499999999999993" customHeight="1" x14ac:dyDescent="0.2">
      <c r="B751" s="327"/>
      <c r="F751" s="327"/>
      <c r="H751" s="327"/>
    </row>
    <row r="752" spans="2:8" s="326" customFormat="1" ht="9.9499999999999993" customHeight="1" x14ac:dyDescent="0.2">
      <c r="B752" s="327"/>
      <c r="F752" s="327"/>
      <c r="H752" s="327"/>
    </row>
    <row r="753" spans="2:8" s="326" customFormat="1" ht="9.9499999999999993" customHeight="1" x14ac:dyDescent="0.2">
      <c r="B753" s="327"/>
      <c r="F753" s="327"/>
      <c r="H753" s="327"/>
    </row>
    <row r="754" spans="2:8" s="326" customFormat="1" ht="9.9499999999999993" customHeight="1" x14ac:dyDescent="0.2">
      <c r="B754" s="327"/>
      <c r="F754" s="327"/>
      <c r="H754" s="327"/>
    </row>
    <row r="755" spans="2:8" s="326" customFormat="1" ht="9.9499999999999993" customHeight="1" x14ac:dyDescent="0.2">
      <c r="B755" s="327"/>
      <c r="F755" s="327"/>
      <c r="H755" s="327"/>
    </row>
    <row r="756" spans="2:8" s="326" customFormat="1" ht="9.9499999999999993" customHeight="1" x14ac:dyDescent="0.2">
      <c r="B756" s="327"/>
      <c r="F756" s="327"/>
      <c r="H756" s="327"/>
    </row>
    <row r="757" spans="2:8" s="326" customFormat="1" ht="9.9499999999999993" customHeight="1" x14ac:dyDescent="0.2">
      <c r="B757" s="327"/>
      <c r="F757" s="327"/>
      <c r="H757" s="327"/>
    </row>
    <row r="758" spans="2:8" s="326" customFormat="1" ht="9.9499999999999993" customHeight="1" x14ac:dyDescent="0.2">
      <c r="B758" s="327"/>
      <c r="F758" s="327"/>
      <c r="H758" s="327"/>
    </row>
    <row r="759" spans="2:8" s="326" customFormat="1" ht="9.9499999999999993" customHeight="1" x14ac:dyDescent="0.2">
      <c r="B759" s="327"/>
      <c r="F759" s="327"/>
      <c r="H759" s="327"/>
    </row>
    <row r="760" spans="2:8" s="326" customFormat="1" ht="9.9499999999999993" customHeight="1" x14ac:dyDescent="0.2">
      <c r="B760" s="327"/>
      <c r="F760" s="327"/>
      <c r="H760" s="327"/>
    </row>
    <row r="761" spans="2:8" s="326" customFormat="1" ht="9.9499999999999993" customHeight="1" x14ac:dyDescent="0.2">
      <c r="B761" s="327"/>
      <c r="F761" s="327"/>
      <c r="H761" s="327"/>
    </row>
    <row r="762" spans="2:8" s="326" customFormat="1" ht="9.9499999999999993" customHeight="1" x14ac:dyDescent="0.2">
      <c r="B762" s="327"/>
      <c r="F762" s="327"/>
      <c r="H762" s="327"/>
    </row>
    <row r="763" spans="2:8" s="326" customFormat="1" ht="9.9499999999999993" customHeight="1" x14ac:dyDescent="0.2">
      <c r="B763" s="327"/>
      <c r="F763" s="327"/>
      <c r="H763" s="327"/>
    </row>
    <row r="764" spans="2:8" s="326" customFormat="1" ht="9.9499999999999993" customHeight="1" x14ac:dyDescent="0.2">
      <c r="B764" s="327"/>
      <c r="F764" s="327"/>
      <c r="H764" s="327"/>
    </row>
    <row r="765" spans="2:8" s="326" customFormat="1" ht="9.9499999999999993" customHeight="1" x14ac:dyDescent="0.2">
      <c r="B765" s="327"/>
      <c r="F765" s="327"/>
      <c r="H765" s="327"/>
    </row>
    <row r="766" spans="2:8" s="326" customFormat="1" ht="9.9499999999999993" customHeight="1" x14ac:dyDescent="0.2">
      <c r="B766" s="327"/>
      <c r="F766" s="327"/>
      <c r="H766" s="327"/>
    </row>
    <row r="767" spans="2:8" s="326" customFormat="1" ht="9.9499999999999993" customHeight="1" x14ac:dyDescent="0.2">
      <c r="B767" s="327"/>
      <c r="F767" s="327"/>
      <c r="H767" s="327"/>
    </row>
    <row r="768" spans="2:8" s="326" customFormat="1" ht="9.9499999999999993" customHeight="1" x14ac:dyDescent="0.2">
      <c r="B768" s="327"/>
      <c r="F768" s="327"/>
      <c r="H768" s="327"/>
    </row>
    <row r="769" spans="2:8" s="326" customFormat="1" ht="9.9499999999999993" customHeight="1" x14ac:dyDescent="0.2">
      <c r="B769" s="327"/>
      <c r="F769" s="327"/>
      <c r="H769" s="327"/>
    </row>
    <row r="770" spans="2:8" s="326" customFormat="1" ht="9.9499999999999993" customHeight="1" x14ac:dyDescent="0.2">
      <c r="B770" s="327"/>
      <c r="F770" s="327"/>
      <c r="H770" s="327"/>
    </row>
    <row r="771" spans="2:8" s="326" customFormat="1" ht="9.9499999999999993" customHeight="1" x14ac:dyDescent="0.2">
      <c r="B771" s="327"/>
      <c r="F771" s="327"/>
      <c r="H771" s="327"/>
    </row>
    <row r="772" spans="2:8" s="326" customFormat="1" ht="9.9499999999999993" customHeight="1" x14ac:dyDescent="0.2">
      <c r="B772" s="327"/>
      <c r="F772" s="327"/>
      <c r="H772" s="327"/>
    </row>
    <row r="773" spans="2:8" s="326" customFormat="1" ht="9.9499999999999993" customHeight="1" x14ac:dyDescent="0.2">
      <c r="B773" s="327"/>
      <c r="F773" s="327"/>
      <c r="H773" s="327"/>
    </row>
    <row r="774" spans="2:8" s="326" customFormat="1" ht="9.9499999999999993" customHeight="1" x14ac:dyDescent="0.2">
      <c r="B774" s="327"/>
      <c r="F774" s="327"/>
      <c r="H774" s="327"/>
    </row>
    <row r="775" spans="2:8" s="326" customFormat="1" ht="9.9499999999999993" customHeight="1" x14ac:dyDescent="0.2">
      <c r="B775" s="327"/>
      <c r="F775" s="327"/>
      <c r="H775" s="327"/>
    </row>
    <row r="776" spans="2:8" s="326" customFormat="1" ht="9.9499999999999993" customHeight="1" x14ac:dyDescent="0.2">
      <c r="B776" s="327"/>
      <c r="F776" s="327"/>
      <c r="H776" s="327"/>
    </row>
    <row r="777" spans="2:8" s="326" customFormat="1" ht="9.9499999999999993" customHeight="1" x14ac:dyDescent="0.2">
      <c r="B777" s="327"/>
      <c r="F777" s="327"/>
      <c r="H777" s="327"/>
    </row>
    <row r="778" spans="2:8" s="326" customFormat="1" ht="9.9499999999999993" customHeight="1" x14ac:dyDescent="0.2">
      <c r="B778" s="327"/>
      <c r="F778" s="327"/>
      <c r="H778" s="327"/>
    </row>
    <row r="779" spans="2:8" s="326" customFormat="1" ht="9.9499999999999993" customHeight="1" x14ac:dyDescent="0.2">
      <c r="B779" s="327"/>
      <c r="F779" s="327"/>
      <c r="H779" s="327"/>
    </row>
    <row r="780" spans="2:8" s="326" customFormat="1" ht="9.9499999999999993" customHeight="1" x14ac:dyDescent="0.2">
      <c r="B780" s="327"/>
      <c r="F780" s="327"/>
      <c r="H780" s="327"/>
    </row>
    <row r="781" spans="2:8" s="326" customFormat="1" ht="9.9499999999999993" customHeight="1" x14ac:dyDescent="0.2">
      <c r="B781" s="327"/>
      <c r="F781" s="327"/>
      <c r="H781" s="327"/>
    </row>
    <row r="782" spans="2:8" s="326" customFormat="1" ht="9.9499999999999993" customHeight="1" x14ac:dyDescent="0.2">
      <c r="B782" s="327"/>
      <c r="F782" s="327"/>
      <c r="H782" s="327"/>
    </row>
    <row r="783" spans="2:8" s="326" customFormat="1" ht="9.9499999999999993" customHeight="1" x14ac:dyDescent="0.2">
      <c r="B783" s="327"/>
      <c r="F783" s="327"/>
      <c r="H783" s="327"/>
    </row>
    <row r="784" spans="2:8" s="326" customFormat="1" ht="9.9499999999999993" customHeight="1" x14ac:dyDescent="0.2">
      <c r="B784" s="327"/>
      <c r="F784" s="327"/>
      <c r="H784" s="327"/>
    </row>
    <row r="785" spans="2:8" s="326" customFormat="1" ht="9.9499999999999993" customHeight="1" x14ac:dyDescent="0.2">
      <c r="B785" s="327"/>
      <c r="F785" s="327"/>
      <c r="H785" s="327"/>
    </row>
    <row r="786" spans="2:8" s="326" customFormat="1" ht="9.9499999999999993" customHeight="1" x14ac:dyDescent="0.2">
      <c r="B786" s="327"/>
      <c r="F786" s="327"/>
      <c r="H786" s="327"/>
    </row>
    <row r="787" spans="2:8" s="326" customFormat="1" ht="9.9499999999999993" customHeight="1" x14ac:dyDescent="0.2">
      <c r="B787" s="327"/>
      <c r="F787" s="327"/>
      <c r="H787" s="327"/>
    </row>
    <row r="788" spans="2:8" s="326" customFormat="1" ht="9.9499999999999993" customHeight="1" x14ac:dyDescent="0.2">
      <c r="B788" s="327"/>
      <c r="F788" s="327"/>
      <c r="H788" s="327"/>
    </row>
    <row r="789" spans="2:8" s="326" customFormat="1" ht="9.9499999999999993" customHeight="1" x14ac:dyDescent="0.2">
      <c r="B789" s="327"/>
      <c r="F789" s="327"/>
      <c r="H789" s="327"/>
    </row>
    <row r="790" spans="2:8" s="326" customFormat="1" ht="9.9499999999999993" customHeight="1" x14ac:dyDescent="0.2">
      <c r="B790" s="327"/>
      <c r="F790" s="327"/>
      <c r="H790" s="327"/>
    </row>
    <row r="791" spans="2:8" s="326" customFormat="1" ht="9.9499999999999993" customHeight="1" x14ac:dyDescent="0.2">
      <c r="B791" s="327"/>
      <c r="F791" s="327"/>
      <c r="H791" s="327"/>
    </row>
    <row r="792" spans="2:8" s="326" customFormat="1" ht="9.9499999999999993" customHeight="1" x14ac:dyDescent="0.2">
      <c r="B792" s="327"/>
      <c r="F792" s="327"/>
      <c r="H792" s="327"/>
    </row>
    <row r="793" spans="2:8" s="326" customFormat="1" ht="9.9499999999999993" customHeight="1" x14ac:dyDescent="0.2">
      <c r="B793" s="327"/>
      <c r="F793" s="327"/>
      <c r="H793" s="327"/>
    </row>
    <row r="794" spans="2:8" s="326" customFormat="1" ht="9.9499999999999993" customHeight="1" x14ac:dyDescent="0.2">
      <c r="B794" s="327"/>
      <c r="F794" s="327"/>
      <c r="H794" s="327"/>
    </row>
    <row r="795" spans="2:8" s="326" customFormat="1" ht="9.9499999999999993" customHeight="1" x14ac:dyDescent="0.2">
      <c r="B795" s="327"/>
      <c r="F795" s="327"/>
      <c r="H795" s="327"/>
    </row>
    <row r="796" spans="2:8" s="326" customFormat="1" ht="9.9499999999999993" customHeight="1" x14ac:dyDescent="0.2">
      <c r="B796" s="327"/>
      <c r="F796" s="327"/>
      <c r="H796" s="327"/>
    </row>
    <row r="797" spans="2:8" s="326" customFormat="1" ht="9.9499999999999993" customHeight="1" x14ac:dyDescent="0.2">
      <c r="B797" s="327"/>
      <c r="F797" s="327"/>
      <c r="H797" s="327"/>
    </row>
    <row r="798" spans="2:8" s="326" customFormat="1" ht="9.9499999999999993" customHeight="1" x14ac:dyDescent="0.2">
      <c r="B798" s="327"/>
      <c r="F798" s="327"/>
      <c r="H798" s="327"/>
    </row>
    <row r="799" spans="2:8" s="326" customFormat="1" ht="9.9499999999999993" customHeight="1" x14ac:dyDescent="0.2">
      <c r="B799" s="327"/>
      <c r="F799" s="327"/>
      <c r="H799" s="327"/>
    </row>
    <row r="800" spans="2:8" s="326" customFormat="1" ht="9.9499999999999993" customHeight="1" x14ac:dyDescent="0.2">
      <c r="B800" s="327"/>
      <c r="F800" s="327"/>
      <c r="H800" s="327"/>
    </row>
    <row r="801" spans="2:8" s="326" customFormat="1" ht="9.9499999999999993" customHeight="1" x14ac:dyDescent="0.2">
      <c r="B801" s="327"/>
      <c r="F801" s="327"/>
      <c r="H801" s="327"/>
    </row>
    <row r="802" spans="2:8" s="326" customFormat="1" ht="9.9499999999999993" customHeight="1" x14ac:dyDescent="0.2">
      <c r="B802" s="327"/>
      <c r="F802" s="327"/>
      <c r="H802" s="327"/>
    </row>
    <row r="803" spans="2:8" s="326" customFormat="1" ht="9.9499999999999993" customHeight="1" x14ac:dyDescent="0.2">
      <c r="B803" s="327"/>
      <c r="F803" s="327"/>
      <c r="H803" s="327"/>
    </row>
    <row r="804" spans="2:8" s="326" customFormat="1" ht="9.9499999999999993" customHeight="1" x14ac:dyDescent="0.2">
      <c r="B804" s="327"/>
      <c r="F804" s="327"/>
      <c r="H804" s="327"/>
    </row>
    <row r="805" spans="2:8" s="326" customFormat="1" ht="9.9499999999999993" customHeight="1" x14ac:dyDescent="0.2">
      <c r="B805" s="327"/>
      <c r="F805" s="327"/>
      <c r="H805" s="327"/>
    </row>
    <row r="806" spans="2:8" s="326" customFormat="1" ht="9.9499999999999993" customHeight="1" x14ac:dyDescent="0.2">
      <c r="B806" s="327"/>
      <c r="F806" s="327"/>
      <c r="H806" s="327"/>
    </row>
    <row r="807" spans="2:8" s="326" customFormat="1" ht="9.9499999999999993" customHeight="1" x14ac:dyDescent="0.2">
      <c r="B807" s="327"/>
      <c r="F807" s="327"/>
      <c r="H807" s="327"/>
    </row>
    <row r="808" spans="2:8" s="326" customFormat="1" ht="9.9499999999999993" customHeight="1" x14ac:dyDescent="0.2">
      <c r="B808" s="327"/>
      <c r="F808" s="327"/>
      <c r="H808" s="327"/>
    </row>
    <row r="809" spans="2:8" s="326" customFormat="1" ht="9.9499999999999993" customHeight="1" x14ac:dyDescent="0.2">
      <c r="B809" s="327"/>
      <c r="F809" s="327"/>
      <c r="H809" s="327"/>
    </row>
    <row r="810" spans="2:8" s="326" customFormat="1" ht="9.9499999999999993" customHeight="1" x14ac:dyDescent="0.2">
      <c r="B810" s="327"/>
      <c r="F810" s="327"/>
      <c r="H810" s="327"/>
    </row>
    <row r="811" spans="2:8" s="326" customFormat="1" ht="9.9499999999999993" customHeight="1" x14ac:dyDescent="0.2">
      <c r="B811" s="327"/>
      <c r="F811" s="327"/>
      <c r="H811" s="327"/>
    </row>
    <row r="812" spans="2:8" s="326" customFormat="1" ht="9.9499999999999993" customHeight="1" x14ac:dyDescent="0.2">
      <c r="B812" s="327"/>
      <c r="F812" s="327"/>
      <c r="H812" s="327"/>
    </row>
  </sheetData>
  <mergeCells count="1">
    <mergeCell ref="A1:I1"/>
  </mergeCells>
  <phoneticPr fontId="9" type="noConversion"/>
  <printOptions horizontalCentered="1"/>
  <pageMargins left="0.5" right="0.5" top="0.5" bottom="0.625" header="0.5" footer="0.5"/>
  <pageSetup scale="97"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theme="6" tint="0.39997558519241921"/>
    <pageSetUpPr fitToPage="1"/>
  </sheetPr>
  <dimension ref="A1:AT799"/>
  <sheetViews>
    <sheetView view="pageBreakPreview" zoomScaleNormal="100" workbookViewId="0">
      <selection activeCell="Z13" activeCellId="3" sqref="Z18 Z17 Z15 Z13"/>
    </sheetView>
  </sheetViews>
  <sheetFormatPr defaultColWidth="9.140625" defaultRowHeight="9.9499999999999993" customHeight="1" x14ac:dyDescent="0.2"/>
  <cols>
    <col min="1" max="1" width="32.5703125" style="314" customWidth="1"/>
    <col min="2" max="2" width="1.5703125" style="329" customWidth="1"/>
    <col min="3" max="3" width="13.42578125" style="314" customWidth="1"/>
    <col min="4" max="4" width="1.5703125" style="314" customWidth="1"/>
    <col min="5" max="5" width="13.42578125" style="314" customWidth="1"/>
    <col min="6" max="6" width="1.5703125" style="329" customWidth="1"/>
    <col min="7" max="7" width="13.42578125" style="314" customWidth="1"/>
    <col min="8" max="8" width="1.5703125" style="329" customWidth="1"/>
    <col min="9" max="9" width="13.42578125" style="314" customWidth="1"/>
    <col min="10" max="16384" width="9.140625" style="314"/>
  </cols>
  <sheetData>
    <row r="1" spans="1:16" s="247" customFormat="1" ht="16.5" customHeight="1" thickBot="1" x14ac:dyDescent="0.25">
      <c r="A1" s="1582" t="s">
        <v>1033</v>
      </c>
      <c r="B1" s="1582"/>
      <c r="C1" s="1582"/>
      <c r="D1" s="1582"/>
      <c r="E1" s="1582"/>
      <c r="F1" s="1582"/>
      <c r="G1" s="1582"/>
      <c r="H1" s="1582"/>
      <c r="I1" s="1582"/>
    </row>
    <row r="2" spans="1:16" s="247" customFormat="1" ht="15" customHeight="1" x14ac:dyDescent="0.2">
      <c r="A2" s="700" t="s">
        <v>32</v>
      </c>
      <c r="B2" s="310"/>
      <c r="C2" s="310"/>
      <c r="D2" s="310"/>
      <c r="E2" s="310"/>
      <c r="F2" s="310"/>
      <c r="G2" s="310"/>
      <c r="H2" s="302"/>
      <c r="I2" s="302"/>
    </row>
    <row r="3" spans="1:16" s="247" customFormat="1" ht="15" customHeight="1" x14ac:dyDescent="0.2">
      <c r="A3" s="700" t="s">
        <v>229</v>
      </c>
      <c r="B3" s="310"/>
      <c r="C3" s="310"/>
      <c r="D3" s="310"/>
      <c r="E3" s="310"/>
      <c r="F3" s="310"/>
      <c r="G3" s="310"/>
      <c r="H3" s="302"/>
      <c r="I3" s="302"/>
    </row>
    <row r="4" spans="1:16" s="247" customFormat="1" ht="12.95" customHeight="1" x14ac:dyDescent="0.2">
      <c r="A4" s="1579" t="s">
        <v>1725</v>
      </c>
      <c r="B4" s="1579"/>
      <c r="C4" s="1579"/>
      <c r="D4" s="1579"/>
      <c r="E4" s="1579"/>
      <c r="F4" s="1579"/>
      <c r="G4" s="1579"/>
      <c r="H4" s="311"/>
      <c r="I4" s="311"/>
    </row>
    <row r="5" spans="1:16" s="247" customFormat="1" ht="12" customHeight="1" x14ac:dyDescent="0.2">
      <c r="A5" s="253" t="s">
        <v>972</v>
      </c>
      <c r="B5" s="433"/>
      <c r="C5" s="433"/>
      <c r="D5" s="433"/>
      <c r="E5" s="433"/>
      <c r="F5" s="433"/>
      <c r="G5" s="311"/>
    </row>
    <row r="6" spans="1:16" s="508" customFormat="1" ht="12.6" customHeight="1" x14ac:dyDescent="0.2">
      <c r="A6" s="1598"/>
      <c r="B6" s="1598"/>
      <c r="C6" s="1598"/>
      <c r="D6" s="1598"/>
      <c r="E6" s="1598"/>
      <c r="F6" s="1598"/>
      <c r="G6" s="1598"/>
    </row>
    <row r="7" spans="1:16" s="212" customFormat="1" ht="12.6" customHeight="1" x14ac:dyDescent="0.2">
      <c r="A7" s="458"/>
      <c r="C7" s="310" t="s">
        <v>108</v>
      </c>
      <c r="D7" s="310"/>
      <c r="E7" s="310" t="s">
        <v>551</v>
      </c>
      <c r="F7" s="458"/>
      <c r="G7" s="310" t="s">
        <v>256</v>
      </c>
      <c r="I7" s="310" t="s">
        <v>671</v>
      </c>
    </row>
    <row r="8" spans="1:16" s="336" customFormat="1" ht="12.6" customHeight="1" x14ac:dyDescent="0.2">
      <c r="C8" s="310" t="s">
        <v>243</v>
      </c>
      <c r="D8" s="310"/>
      <c r="E8" s="310" t="s">
        <v>245</v>
      </c>
      <c r="F8" s="310"/>
      <c r="G8" s="310" t="s">
        <v>861</v>
      </c>
      <c r="H8" s="310"/>
      <c r="I8" s="310" t="s">
        <v>861</v>
      </c>
    </row>
    <row r="9" spans="1:16" s="336" customFormat="1" ht="12.6" customHeight="1" x14ac:dyDescent="0.2">
      <c r="C9" s="574" t="s">
        <v>244</v>
      </c>
      <c r="D9" s="310"/>
      <c r="E9" s="574" t="s">
        <v>243</v>
      </c>
      <c r="F9" s="360"/>
      <c r="G9" s="574" t="s">
        <v>862</v>
      </c>
      <c r="H9" s="360"/>
      <c r="I9" s="574" t="s">
        <v>862</v>
      </c>
    </row>
    <row r="10" spans="1:16" s="253" customFormat="1" ht="9.9499999999999993" customHeight="1" x14ac:dyDescent="0.2">
      <c r="A10" s="417" t="s">
        <v>868</v>
      </c>
      <c r="B10" s="362"/>
      <c r="F10" s="361"/>
      <c r="H10" s="361"/>
    </row>
    <row r="11" spans="1:16" s="253" customFormat="1" ht="9.9499999999999993" hidden="1" customHeight="1" x14ac:dyDescent="0.2">
      <c r="A11" s="428" t="s">
        <v>869</v>
      </c>
    </row>
    <row r="12" spans="1:16" s="253" customFormat="1" ht="9.9499999999999993" hidden="1" customHeight="1" x14ac:dyDescent="0.2">
      <c r="A12" s="426" t="s">
        <v>829</v>
      </c>
      <c r="B12" s="362"/>
      <c r="C12" s="346">
        <f>+'GO SOREC'!Q14</f>
        <v>0</v>
      </c>
      <c r="D12" s="346"/>
      <c r="E12" s="454">
        <f>+'CO SOREC'!W14</f>
        <v>0</v>
      </c>
      <c r="F12" s="513"/>
      <c r="G12" s="454">
        <f>+'Capital SOREC'!O14</f>
        <v>0</v>
      </c>
      <c r="H12" s="513"/>
      <c r="I12" s="454">
        <f>SUM(C12:G12)</f>
        <v>0</v>
      </c>
    </row>
    <row r="13" spans="1:16" s="253" customFormat="1" ht="9.9499999999999993" hidden="1" customHeight="1" x14ac:dyDescent="0.2">
      <c r="A13" s="426" t="s">
        <v>830</v>
      </c>
      <c r="B13" s="342"/>
      <c r="C13" s="273">
        <f>+'GO SOREC'!Q15</f>
        <v>0</v>
      </c>
      <c r="D13" s="273"/>
      <c r="E13" s="273">
        <f>+'CO SOREC'!W15</f>
        <v>0</v>
      </c>
      <c r="F13" s="342"/>
      <c r="G13" s="273">
        <f>+'Capital SOREC'!O15</f>
        <v>0</v>
      </c>
      <c r="H13" s="342"/>
      <c r="I13" s="273">
        <f t="shared" ref="I13:I25" si="0">SUM(C13:G13)</f>
        <v>0</v>
      </c>
      <c r="P13" s="253">
        <v>0</v>
      </c>
    </row>
    <row r="14" spans="1:16" s="253" customFormat="1" ht="9.9499999999999993" hidden="1" customHeight="1" x14ac:dyDescent="0.2">
      <c r="A14" s="426" t="s">
        <v>831</v>
      </c>
      <c r="B14" s="342"/>
      <c r="C14" s="273">
        <f>+'GO SOREC'!Q16</f>
        <v>0</v>
      </c>
      <c r="D14" s="273"/>
      <c r="E14" s="273">
        <f>+'CO SOREC'!W16</f>
        <v>0</v>
      </c>
      <c r="F14" s="273"/>
      <c r="G14" s="273">
        <f>+'Capital SOREC'!O16</f>
        <v>0</v>
      </c>
      <c r="H14" s="273"/>
      <c r="I14" s="273">
        <f t="shared" si="0"/>
        <v>0</v>
      </c>
    </row>
    <row r="15" spans="1:16" s="253" customFormat="1" ht="9.9499999999999993" hidden="1" customHeight="1" x14ac:dyDescent="0.2">
      <c r="A15" s="426" t="s">
        <v>827</v>
      </c>
      <c r="B15" s="342"/>
      <c r="C15" s="273">
        <f>+'GO SOREC'!Q17</f>
        <v>0</v>
      </c>
      <c r="D15" s="273"/>
      <c r="E15" s="273">
        <f>+'CO SOREC'!W17</f>
        <v>0</v>
      </c>
      <c r="F15" s="273"/>
      <c r="G15" s="273">
        <f>+'Capital SOREC'!O17</f>
        <v>0</v>
      </c>
      <c r="H15" s="273"/>
      <c r="I15" s="273">
        <f t="shared" si="0"/>
        <v>0</v>
      </c>
    </row>
    <row r="16" spans="1:16" s="253" customFormat="1" ht="9.9499999999999993" hidden="1" customHeight="1" x14ac:dyDescent="0.2">
      <c r="A16" s="426" t="s">
        <v>832</v>
      </c>
      <c r="B16" s="362"/>
      <c r="C16" s="273">
        <f>+'GO SOREC'!Q18</f>
        <v>0</v>
      </c>
      <c r="D16" s="273"/>
      <c r="E16" s="273">
        <f>+'CO SOREC'!W18</f>
        <v>0</v>
      </c>
      <c r="F16" s="273"/>
      <c r="G16" s="273">
        <f>+'Capital SOREC'!O18</f>
        <v>0</v>
      </c>
      <c r="H16" s="273"/>
      <c r="I16" s="273">
        <f t="shared" si="0"/>
        <v>0</v>
      </c>
    </row>
    <row r="17" spans="1:9" s="253" customFormat="1" ht="9.9499999999999993" hidden="1" customHeight="1" x14ac:dyDescent="0.2">
      <c r="A17" s="426" t="s">
        <v>944</v>
      </c>
      <c r="B17" s="362"/>
      <c r="C17" s="273">
        <f>+'GO SOREC'!Q19</f>
        <v>0</v>
      </c>
      <c r="D17" s="273"/>
      <c r="E17" s="273">
        <f>+'CO SOREC'!W19</f>
        <v>0</v>
      </c>
      <c r="F17" s="273"/>
      <c r="G17" s="273">
        <f>+'Capital SOREC'!O19</f>
        <v>0</v>
      </c>
      <c r="H17" s="273"/>
      <c r="I17" s="273">
        <f t="shared" si="0"/>
        <v>0</v>
      </c>
    </row>
    <row r="18" spans="1:9" s="253" customFormat="1" ht="9.9499999999999993" hidden="1" customHeight="1" x14ac:dyDescent="0.2">
      <c r="A18" s="425" t="s">
        <v>945</v>
      </c>
      <c r="B18" s="362"/>
      <c r="C18" s="273">
        <f>+'GO SOREC'!Q20</f>
        <v>0</v>
      </c>
      <c r="D18" s="273"/>
      <c r="E18" s="273">
        <f>+'CO SOREC'!W20</f>
        <v>0</v>
      </c>
      <c r="F18" s="273"/>
      <c r="G18" s="273">
        <f>+'Capital SOREC'!O20</f>
        <v>0</v>
      </c>
      <c r="H18" s="273"/>
      <c r="I18" s="273">
        <f t="shared" si="0"/>
        <v>0</v>
      </c>
    </row>
    <row r="19" spans="1:9" s="253" customFormat="1" ht="9.9499999999999993" customHeight="1" x14ac:dyDescent="0.2">
      <c r="A19" s="425" t="s">
        <v>946</v>
      </c>
      <c r="B19" s="362"/>
      <c r="C19" s="346">
        <f>+'GO SOREC'!Q21</f>
        <v>19790</v>
      </c>
      <c r="D19" s="346"/>
      <c r="E19" s="346">
        <f>+'CO SOREC'!W21</f>
        <v>163</v>
      </c>
      <c r="F19" s="346"/>
      <c r="G19" s="346">
        <f>+'Capital SOREC'!O21</f>
        <v>7940</v>
      </c>
      <c r="H19" s="346"/>
      <c r="I19" s="346">
        <f t="shared" si="0"/>
        <v>27893</v>
      </c>
    </row>
    <row r="20" spans="1:9" s="253" customFormat="1" ht="9.9499999999999993" hidden="1" customHeight="1" x14ac:dyDescent="0.2">
      <c r="A20" s="425" t="s">
        <v>947</v>
      </c>
      <c r="B20" s="362"/>
      <c r="C20" s="273">
        <f>+'GO SOREC'!Q22</f>
        <v>0</v>
      </c>
      <c r="D20" s="273"/>
      <c r="E20" s="273">
        <f>+'CO SOREC'!W22</f>
        <v>0</v>
      </c>
      <c r="F20" s="273"/>
      <c r="G20" s="273">
        <f>+'Capital SOREC'!O22</f>
        <v>0</v>
      </c>
      <c r="H20" s="273"/>
      <c r="I20" s="273">
        <f t="shared" si="0"/>
        <v>0</v>
      </c>
    </row>
    <row r="21" spans="1:9" s="253" customFormat="1" ht="9.9499999999999993" hidden="1" customHeight="1" x14ac:dyDescent="0.2">
      <c r="A21" s="425" t="s">
        <v>948</v>
      </c>
      <c r="B21" s="362"/>
      <c r="C21" s="273">
        <f>+'GO SOREC'!Q23</f>
        <v>0</v>
      </c>
      <c r="D21" s="273"/>
      <c r="E21" s="273">
        <f>+'CO SOREC'!W23</f>
        <v>0</v>
      </c>
      <c r="F21" s="273"/>
      <c r="G21" s="273">
        <f>+'Capital SOREC'!O23</f>
        <v>0</v>
      </c>
      <c r="H21" s="273"/>
      <c r="I21" s="273">
        <f t="shared" si="0"/>
        <v>0</v>
      </c>
    </row>
    <row r="22" spans="1:9" s="253" customFormat="1" ht="9.9499999999999993" hidden="1" customHeight="1" x14ac:dyDescent="0.2">
      <c r="A22" s="425" t="s">
        <v>16</v>
      </c>
      <c r="B22" s="362"/>
      <c r="C22" s="273">
        <f>+'GO SOREC'!Q24</f>
        <v>0</v>
      </c>
      <c r="D22" s="273"/>
      <c r="E22" s="273">
        <f>+'CO SOREC'!W24</f>
        <v>0</v>
      </c>
      <c r="F22" s="273"/>
      <c r="G22" s="273">
        <f>+'Capital SOREC'!O24</f>
        <v>0</v>
      </c>
      <c r="H22" s="273"/>
      <c r="I22" s="273">
        <f t="shared" si="0"/>
        <v>0</v>
      </c>
    </row>
    <row r="23" spans="1:9" s="253" customFormat="1" ht="9.9499999999999993" customHeight="1" x14ac:dyDescent="0.2">
      <c r="A23" s="425" t="s">
        <v>775</v>
      </c>
      <c r="B23" s="362"/>
      <c r="C23" s="273">
        <f>+'GO SOREC'!Q25</f>
        <v>42</v>
      </c>
      <c r="D23" s="273"/>
      <c r="E23" s="273">
        <f>+'CO SOREC'!W25</f>
        <v>0</v>
      </c>
      <c r="F23" s="273"/>
      <c r="G23" s="273">
        <f>+'Capital SOREC'!O25</f>
        <v>0</v>
      </c>
      <c r="H23" s="273"/>
      <c r="I23" s="273">
        <f t="shared" si="0"/>
        <v>42</v>
      </c>
    </row>
    <row r="24" spans="1:9" s="253" customFormat="1" ht="9.9499999999999993" customHeight="1" x14ac:dyDescent="0.2">
      <c r="A24" s="349" t="s">
        <v>774</v>
      </c>
      <c r="B24" s="362"/>
      <c r="C24" s="273">
        <f>+'GO SOREC'!Q26</f>
        <v>13940</v>
      </c>
      <c r="D24" s="273"/>
      <c r="E24" s="273">
        <f>+'CO SOREC'!W26</f>
        <v>6874</v>
      </c>
      <c r="F24" s="273"/>
      <c r="G24" s="273">
        <f>+'Capital SOREC'!O26</f>
        <v>2393</v>
      </c>
      <c r="H24" s="273"/>
      <c r="I24" s="273">
        <f t="shared" si="0"/>
        <v>23207</v>
      </c>
    </row>
    <row r="25" spans="1:9" s="253" customFormat="1" ht="9.9499999999999993" hidden="1" customHeight="1" x14ac:dyDescent="0.2">
      <c r="A25" s="425" t="s">
        <v>766</v>
      </c>
      <c r="B25" s="362"/>
      <c r="C25" s="273">
        <f>+'GO SOREC'!Q27</f>
        <v>0</v>
      </c>
      <c r="D25" s="273"/>
      <c r="E25" s="273">
        <f>+'CO SOREC'!W27</f>
        <v>0</v>
      </c>
      <c r="F25" s="273"/>
      <c r="G25" s="273">
        <f>+'Capital SOREC'!O27</f>
        <v>0</v>
      </c>
      <c r="H25" s="273"/>
      <c r="I25" s="273">
        <f t="shared" si="0"/>
        <v>0</v>
      </c>
    </row>
    <row r="26" spans="1:9" s="253" customFormat="1" ht="5.0999999999999996" customHeight="1" x14ac:dyDescent="0.2">
      <c r="C26" s="340"/>
      <c r="D26" s="273"/>
      <c r="E26" s="340"/>
      <c r="F26" s="301"/>
      <c r="G26" s="340"/>
      <c r="H26" s="301"/>
      <c r="I26" s="340"/>
    </row>
    <row r="27" spans="1:9" s="253" customFormat="1" ht="11.1" customHeight="1" x14ac:dyDescent="0.2">
      <c r="A27" s="417" t="s">
        <v>950</v>
      </c>
      <c r="B27" s="255"/>
      <c r="C27" s="345">
        <f>SUM(C12:C25)</f>
        <v>33772</v>
      </c>
      <c r="D27" s="254"/>
      <c r="E27" s="345">
        <f>SUM(E12:E25)</f>
        <v>7037</v>
      </c>
      <c r="F27" s="254"/>
      <c r="G27" s="345">
        <f>SUM(G12:G25)</f>
        <v>10333</v>
      </c>
      <c r="H27" s="254"/>
      <c r="I27" s="345">
        <f>SUM(I12:I25)</f>
        <v>51142</v>
      </c>
    </row>
    <row r="28" spans="1:9" s="253" customFormat="1" ht="5.0999999999999996" customHeight="1" x14ac:dyDescent="0.2">
      <c r="A28" s="450"/>
      <c r="B28" s="362"/>
      <c r="C28" s="254"/>
      <c r="D28" s="254"/>
      <c r="E28" s="254"/>
      <c r="F28" s="301"/>
      <c r="G28" s="254"/>
      <c r="H28" s="301"/>
      <c r="I28" s="254"/>
    </row>
    <row r="29" spans="1:9" s="253" customFormat="1" ht="9.9499999999999993" customHeight="1" x14ac:dyDescent="0.2">
      <c r="A29" s="417" t="s">
        <v>590</v>
      </c>
      <c r="B29" s="362"/>
      <c r="C29" s="254"/>
      <c r="D29" s="254"/>
      <c r="E29" s="254"/>
      <c r="F29" s="301"/>
      <c r="G29" s="254"/>
      <c r="H29" s="301"/>
      <c r="I29" s="254"/>
    </row>
    <row r="30" spans="1:9" s="253" customFormat="1" ht="9.9499999999999993" hidden="1" customHeight="1" x14ac:dyDescent="0.2">
      <c r="A30" s="425" t="s">
        <v>952</v>
      </c>
      <c r="B30" s="362"/>
      <c r="C30" s="273"/>
      <c r="D30" s="273"/>
      <c r="E30" s="254"/>
      <c r="F30" s="342"/>
      <c r="G30" s="254"/>
      <c r="H30" s="364"/>
      <c r="I30" s="254"/>
    </row>
    <row r="31" spans="1:9" s="253" customFormat="1" ht="9.9499999999999993" hidden="1" customHeight="1" x14ac:dyDescent="0.2">
      <c r="A31" s="426" t="s">
        <v>953</v>
      </c>
      <c r="B31" s="362"/>
      <c r="C31" s="273">
        <f>+'GO SOREC'!Q33</f>
        <v>0</v>
      </c>
      <c r="D31" s="273"/>
      <c r="E31" s="273">
        <f>+'CO SOREC'!W33</f>
        <v>0</v>
      </c>
      <c r="F31" s="342"/>
      <c r="G31" s="273">
        <f>+'Capital SOREC'!O33</f>
        <v>0</v>
      </c>
      <c r="H31" s="342"/>
      <c r="I31" s="273">
        <f>SUM(C31:G31)</f>
        <v>0</v>
      </c>
    </row>
    <row r="32" spans="1:9" s="253" customFormat="1" ht="9.9499999999999993" hidden="1" customHeight="1" x14ac:dyDescent="0.2">
      <c r="A32" s="426" t="s">
        <v>954</v>
      </c>
      <c r="B32" s="362"/>
      <c r="C32" s="273">
        <f>+'GO SOREC'!Q34</f>
        <v>0</v>
      </c>
      <c r="D32" s="273"/>
      <c r="E32" s="273">
        <f>+'CO SOREC'!W34</f>
        <v>0</v>
      </c>
      <c r="F32" s="342"/>
      <c r="G32" s="273">
        <f>+'Capital SOREC'!O34</f>
        <v>0</v>
      </c>
      <c r="H32" s="342"/>
      <c r="I32" s="273">
        <f t="shared" ref="I32:I42" si="1">SUM(C32:G32)</f>
        <v>0</v>
      </c>
    </row>
    <row r="33" spans="1:9" s="253" customFormat="1" ht="9.9499999999999993" hidden="1" customHeight="1" x14ac:dyDescent="0.2">
      <c r="A33" s="426" t="s">
        <v>955</v>
      </c>
      <c r="B33" s="362"/>
      <c r="C33" s="273">
        <f>+'GO SOREC'!Q35</f>
        <v>0</v>
      </c>
      <c r="D33" s="273"/>
      <c r="E33" s="273">
        <f>+'CO SOREC'!W35</f>
        <v>0</v>
      </c>
      <c r="F33" s="342"/>
      <c r="G33" s="273">
        <f>+'Capital SOREC'!O35</f>
        <v>0</v>
      </c>
      <c r="H33" s="342"/>
      <c r="I33" s="273">
        <f t="shared" si="1"/>
        <v>0</v>
      </c>
    </row>
    <row r="34" spans="1:9" s="253" customFormat="1" ht="9.9499999999999993" hidden="1" customHeight="1" x14ac:dyDescent="0.2">
      <c r="A34" s="426" t="s">
        <v>956</v>
      </c>
      <c r="B34" s="362"/>
      <c r="C34" s="273">
        <f>+'GO SOREC'!Q36</f>
        <v>0</v>
      </c>
      <c r="D34" s="273"/>
      <c r="E34" s="273">
        <f>+'CO SOREC'!W36</f>
        <v>0</v>
      </c>
      <c r="F34" s="342"/>
      <c r="G34" s="273">
        <f>+'Capital SOREC'!O36</f>
        <v>0</v>
      </c>
      <c r="H34" s="342"/>
      <c r="I34" s="273">
        <f t="shared" si="1"/>
        <v>0</v>
      </c>
    </row>
    <row r="35" spans="1:9" s="253" customFormat="1" ht="9.9499999999999993" hidden="1" customHeight="1" x14ac:dyDescent="0.2">
      <c r="A35" s="426" t="s">
        <v>958</v>
      </c>
      <c r="B35" s="362"/>
      <c r="C35" s="273">
        <f>+'GO SOREC'!Q37</f>
        <v>0</v>
      </c>
      <c r="D35" s="273"/>
      <c r="E35" s="273">
        <f>+'CO SOREC'!W37</f>
        <v>0</v>
      </c>
      <c r="F35" s="342"/>
      <c r="G35" s="273">
        <f>+'Capital SOREC'!O37</f>
        <v>0</v>
      </c>
      <c r="H35" s="342"/>
      <c r="I35" s="273">
        <f t="shared" si="1"/>
        <v>0</v>
      </c>
    </row>
    <row r="36" spans="1:9" s="253" customFormat="1" ht="9.9499999999999993" hidden="1" customHeight="1" x14ac:dyDescent="0.2">
      <c r="A36" s="426" t="s">
        <v>959</v>
      </c>
      <c r="B36" s="362"/>
      <c r="C36" s="273">
        <f>+'GO SOREC'!Q38</f>
        <v>0</v>
      </c>
      <c r="D36" s="273"/>
      <c r="E36" s="273">
        <f>+'CO SOREC'!W38</f>
        <v>0</v>
      </c>
      <c r="F36" s="342"/>
      <c r="G36" s="273">
        <f>+'Capital SOREC'!O38</f>
        <v>0</v>
      </c>
      <c r="H36" s="342"/>
      <c r="I36" s="273">
        <f t="shared" si="1"/>
        <v>0</v>
      </c>
    </row>
    <row r="37" spans="1:9" s="253" customFormat="1" ht="9.9499999999999993" hidden="1" customHeight="1" x14ac:dyDescent="0.2">
      <c r="A37" s="426" t="s">
        <v>961</v>
      </c>
      <c r="B37" s="362"/>
      <c r="C37" s="273">
        <f>+'GO SOREC'!Q39</f>
        <v>0</v>
      </c>
      <c r="D37" s="273"/>
      <c r="E37" s="273">
        <f>+'CO SOREC'!W39</f>
        <v>0</v>
      </c>
      <c r="F37" s="342"/>
      <c r="G37" s="273">
        <f>+'Capital SOREC'!O39</f>
        <v>0</v>
      </c>
      <c r="H37" s="342"/>
      <c r="I37" s="273">
        <f t="shared" si="1"/>
        <v>0</v>
      </c>
    </row>
    <row r="38" spans="1:9" s="253" customFormat="1" ht="9.9499999999999993" hidden="1" customHeight="1" x14ac:dyDescent="0.2">
      <c r="A38" s="426" t="s">
        <v>960</v>
      </c>
      <c r="B38" s="362"/>
      <c r="C38" s="273">
        <f>+'GO SOREC'!Q40</f>
        <v>0</v>
      </c>
      <c r="D38" s="273"/>
      <c r="E38" s="273">
        <f>+'CO SOREC'!W40</f>
        <v>0</v>
      </c>
      <c r="F38" s="342"/>
      <c r="G38" s="273">
        <f>+'Capital SOREC'!O40</f>
        <v>0</v>
      </c>
      <c r="H38" s="342"/>
      <c r="I38" s="273">
        <f t="shared" si="1"/>
        <v>0</v>
      </c>
    </row>
    <row r="39" spans="1:9" s="253" customFormat="1" ht="9.9499999999999993" hidden="1" customHeight="1" x14ac:dyDescent="0.2">
      <c r="A39" s="426" t="s">
        <v>963</v>
      </c>
      <c r="B39" s="362"/>
      <c r="C39" s="273">
        <f>+'GO SOREC'!Q41</f>
        <v>0</v>
      </c>
      <c r="D39" s="273"/>
      <c r="E39" s="273">
        <f>+'CO SOREC'!W41</f>
        <v>0</v>
      </c>
      <c r="F39" s="342"/>
      <c r="G39" s="273">
        <f>+'Capital SOREC'!O41</f>
        <v>0</v>
      </c>
      <c r="H39" s="342"/>
      <c r="I39" s="273">
        <f t="shared" si="1"/>
        <v>0</v>
      </c>
    </row>
    <row r="40" spans="1:9" s="253" customFormat="1" ht="9.9499999999999993" hidden="1" customHeight="1" x14ac:dyDescent="0.2">
      <c r="A40" s="426" t="s">
        <v>1191</v>
      </c>
      <c r="B40" s="362"/>
      <c r="C40" s="273">
        <f>+'GO SOREC'!Q42</f>
        <v>0</v>
      </c>
      <c r="D40" s="273"/>
      <c r="E40" s="273">
        <f>+'CO SOREC'!W42</f>
        <v>0</v>
      </c>
      <c r="F40" s="342"/>
      <c r="G40" s="273">
        <f>+'Capital SOREC'!O42</f>
        <v>0</v>
      </c>
      <c r="H40" s="342"/>
      <c r="I40" s="273">
        <f t="shared" si="1"/>
        <v>0</v>
      </c>
    </row>
    <row r="41" spans="1:9" s="253" customFormat="1" ht="9.9499999999999993" hidden="1" customHeight="1" x14ac:dyDescent="0.2">
      <c r="A41" s="426" t="s">
        <v>964</v>
      </c>
      <c r="B41" s="362"/>
      <c r="C41" s="273">
        <f>+'GO SOREC'!Q43</f>
        <v>0</v>
      </c>
      <c r="D41" s="273"/>
      <c r="E41" s="273">
        <f>+'CO SOREC'!W43</f>
        <v>0</v>
      </c>
      <c r="F41" s="342"/>
      <c r="G41" s="273">
        <f>+'Capital SOREC'!O43</f>
        <v>0</v>
      </c>
      <c r="H41" s="342"/>
      <c r="I41" s="273">
        <f t="shared" si="1"/>
        <v>0</v>
      </c>
    </row>
    <row r="42" spans="1:9" s="253" customFormat="1" ht="9.9499999999999993" hidden="1" customHeight="1" x14ac:dyDescent="0.2">
      <c r="A42" s="426" t="s">
        <v>1414</v>
      </c>
      <c r="B42" s="362"/>
      <c r="C42" s="273">
        <f>+'GO SOREC'!Q44</f>
        <v>0</v>
      </c>
      <c r="D42" s="273"/>
      <c r="E42" s="273">
        <f>+'CO SOREC'!W44</f>
        <v>0</v>
      </c>
      <c r="F42" s="342"/>
      <c r="G42" s="273">
        <f>+'Capital SOREC'!O44</f>
        <v>0</v>
      </c>
      <c r="H42" s="342"/>
      <c r="I42" s="273">
        <f t="shared" si="1"/>
        <v>0</v>
      </c>
    </row>
    <row r="43" spans="1:9" s="253" customFormat="1" ht="9.9499999999999993" customHeight="1" x14ac:dyDescent="0.2">
      <c r="A43" s="425" t="s">
        <v>888</v>
      </c>
      <c r="B43" s="362"/>
      <c r="C43" s="273">
        <f>+'GO SOREC'!Q45</f>
        <v>262327</v>
      </c>
      <c r="D43" s="273"/>
      <c r="E43" s="273">
        <f>+'CO SOREC'!W45</f>
        <v>49618</v>
      </c>
      <c r="F43" s="342"/>
      <c r="G43" s="273">
        <f>+'Capital SOREC'!O45</f>
        <v>240432</v>
      </c>
      <c r="H43" s="342"/>
      <c r="I43" s="273">
        <f t="shared" ref="I43:I51" si="2">SUM(C43:G43)</f>
        <v>552377</v>
      </c>
    </row>
    <row r="44" spans="1:9" s="253" customFormat="1" ht="9.9499999999999993" customHeight="1" x14ac:dyDescent="0.2">
      <c r="A44" s="425" t="s">
        <v>965</v>
      </c>
      <c r="B44" s="362"/>
      <c r="C44" s="273"/>
      <c r="D44" s="273"/>
      <c r="E44" s="273"/>
      <c r="F44" s="342"/>
      <c r="G44" s="273"/>
      <c r="H44" s="342"/>
      <c r="I44" s="273">
        <f t="shared" si="2"/>
        <v>0</v>
      </c>
    </row>
    <row r="45" spans="1:9" s="253" customFormat="1" ht="9.9499999999999993" hidden="1" customHeight="1" x14ac:dyDescent="0.2">
      <c r="A45" s="426" t="s">
        <v>966</v>
      </c>
      <c r="B45" s="362"/>
      <c r="C45" s="273">
        <f>+'GO SOREC'!Q47</f>
        <v>0</v>
      </c>
      <c r="D45" s="273"/>
      <c r="E45" s="273">
        <f>+'CO SOREC'!W47</f>
        <v>0</v>
      </c>
      <c r="F45" s="342"/>
      <c r="G45" s="273">
        <f>+'Capital SOREC'!O47</f>
        <v>0</v>
      </c>
      <c r="H45" s="342"/>
      <c r="I45" s="273">
        <f t="shared" si="2"/>
        <v>0</v>
      </c>
    </row>
    <row r="46" spans="1:9" s="253" customFormat="1" ht="9.9499999999999993" hidden="1" customHeight="1" x14ac:dyDescent="0.2">
      <c r="A46" s="426" t="s">
        <v>949</v>
      </c>
      <c r="B46" s="362"/>
      <c r="C46" s="273"/>
      <c r="D46" s="273"/>
      <c r="E46" s="273"/>
      <c r="F46" s="342"/>
      <c r="G46" s="273">
        <f>+'Capital SOREC'!O48</f>
        <v>0</v>
      </c>
      <c r="H46" s="342"/>
      <c r="I46" s="273">
        <f t="shared" si="2"/>
        <v>0</v>
      </c>
    </row>
    <row r="47" spans="1:9" s="253" customFormat="1" ht="9.9499999999999993" customHeight="1" x14ac:dyDescent="0.2">
      <c r="A47" s="426" t="s">
        <v>92</v>
      </c>
      <c r="B47" s="362"/>
      <c r="C47" s="273">
        <f>'GO SOREC'!Q49</f>
        <v>2429</v>
      </c>
      <c r="D47" s="273"/>
      <c r="E47" s="273">
        <f>+'CO SOREC'!W49</f>
        <v>258</v>
      </c>
      <c r="F47" s="342"/>
      <c r="G47" s="273">
        <f>+'Capital SOREC'!O49</f>
        <v>44</v>
      </c>
      <c r="H47" s="342"/>
      <c r="I47" s="273">
        <f t="shared" si="2"/>
        <v>2731</v>
      </c>
    </row>
    <row r="48" spans="1:9" s="253" customFormat="1" ht="9.9499999999999993" customHeight="1" x14ac:dyDescent="0.2">
      <c r="A48" s="426" t="s">
        <v>968</v>
      </c>
      <c r="B48" s="362"/>
      <c r="C48" s="273">
        <f>+'GO SOREC'!Q50</f>
        <v>0</v>
      </c>
      <c r="D48" s="273"/>
      <c r="E48" s="273">
        <f>+'CO SOREC'!W50</f>
        <v>1014</v>
      </c>
      <c r="F48" s="342"/>
      <c r="G48" s="273">
        <f>+'Capital SOREC'!O50</f>
        <v>312</v>
      </c>
      <c r="H48" s="342"/>
      <c r="I48" s="273">
        <f t="shared" si="2"/>
        <v>1326</v>
      </c>
    </row>
    <row r="49" spans="1:9" s="253" customFormat="1" ht="9.9499999999999993" hidden="1" customHeight="1" x14ac:dyDescent="0.2">
      <c r="A49" s="425" t="s">
        <v>1595</v>
      </c>
      <c r="B49" s="362"/>
      <c r="C49" s="273"/>
      <c r="D49" s="273"/>
      <c r="E49" s="273"/>
      <c r="F49" s="342"/>
      <c r="G49" s="273"/>
      <c r="H49" s="342"/>
      <c r="I49" s="273">
        <f t="shared" si="2"/>
        <v>0</v>
      </c>
    </row>
    <row r="50" spans="1:9" s="253" customFormat="1" ht="9.9499999999999993" hidden="1" customHeight="1" x14ac:dyDescent="0.2">
      <c r="A50" s="426" t="s">
        <v>966</v>
      </c>
      <c r="B50" s="362"/>
      <c r="C50" s="273">
        <f>+'GO SOREC'!Q52</f>
        <v>0</v>
      </c>
      <c r="D50" s="273"/>
      <c r="E50" s="273">
        <f>+'CO SOREC'!W52</f>
        <v>0</v>
      </c>
      <c r="F50" s="342"/>
      <c r="G50" s="273">
        <f>+'Capital SOREC'!O52</f>
        <v>0</v>
      </c>
      <c r="H50" s="342"/>
      <c r="I50" s="273">
        <f t="shared" si="2"/>
        <v>0</v>
      </c>
    </row>
    <row r="51" spans="1:9" s="253" customFormat="1" ht="9.9499999999999993" hidden="1" customHeight="1" x14ac:dyDescent="0.2">
      <c r="A51" s="426" t="s">
        <v>949</v>
      </c>
      <c r="B51" s="362"/>
      <c r="C51" s="273">
        <f>+'GO SOREC'!Q53</f>
        <v>0</v>
      </c>
      <c r="D51" s="273"/>
      <c r="E51" s="273">
        <f>+'CO SOREC'!W53</f>
        <v>0</v>
      </c>
      <c r="F51" s="342"/>
      <c r="G51" s="273">
        <f>+'Capital SOREC'!O53</f>
        <v>0</v>
      </c>
      <c r="H51" s="342"/>
      <c r="I51" s="273">
        <f t="shared" si="2"/>
        <v>0</v>
      </c>
    </row>
    <row r="52" spans="1:9" s="253" customFormat="1" ht="9.9499999999999993" hidden="1" customHeight="1" x14ac:dyDescent="0.2">
      <c r="A52" s="425" t="s">
        <v>1641</v>
      </c>
      <c r="B52" s="362"/>
      <c r="C52" s="273"/>
      <c r="D52" s="273"/>
      <c r="E52" s="273"/>
      <c r="F52" s="342"/>
      <c r="G52" s="273"/>
      <c r="H52" s="342"/>
      <c r="I52" s="273"/>
    </row>
    <row r="53" spans="1:9" s="253" customFormat="1" ht="9.9499999999999993" hidden="1" customHeight="1" x14ac:dyDescent="0.2">
      <c r="A53" s="426" t="s">
        <v>966</v>
      </c>
      <c r="B53" s="362"/>
      <c r="C53" s="273">
        <f>'GO SOREC'!Q55</f>
        <v>0</v>
      </c>
      <c r="D53" s="273"/>
      <c r="E53" s="273">
        <f>'CO SOREC'!W55</f>
        <v>0</v>
      </c>
      <c r="F53" s="342"/>
      <c r="G53" s="273">
        <f>'Capital SOREC'!O55</f>
        <v>0</v>
      </c>
      <c r="H53" s="342"/>
      <c r="I53" s="273"/>
    </row>
    <row r="54" spans="1:9" s="253" customFormat="1" ht="9.9499999999999993" hidden="1" customHeight="1" x14ac:dyDescent="0.2">
      <c r="A54" s="426" t="s">
        <v>949</v>
      </c>
      <c r="B54" s="362"/>
      <c r="C54" s="273">
        <f>'GO SOREC'!Q56</f>
        <v>0</v>
      </c>
      <c r="D54" s="273"/>
      <c r="E54" s="273">
        <f>'CO SOREC'!W56</f>
        <v>0</v>
      </c>
      <c r="F54" s="342"/>
      <c r="G54" s="273">
        <f>'Capital SOREC'!O56</f>
        <v>0</v>
      </c>
      <c r="H54" s="342"/>
      <c r="I54" s="273"/>
    </row>
    <row r="55" spans="1:9" s="253" customFormat="1" ht="5.0999999999999996" customHeight="1" x14ac:dyDescent="0.2">
      <c r="C55" s="340"/>
      <c r="D55" s="273"/>
      <c r="E55" s="340"/>
      <c r="F55" s="301"/>
      <c r="G55" s="340"/>
      <c r="H55" s="301"/>
      <c r="I55" s="340"/>
    </row>
    <row r="56" spans="1:9" s="253" customFormat="1" ht="11.1" customHeight="1" x14ac:dyDescent="0.2">
      <c r="A56" s="417" t="s">
        <v>970</v>
      </c>
      <c r="B56" s="362"/>
      <c r="C56" s="345">
        <f>SUM(C31:C54)</f>
        <v>264756</v>
      </c>
      <c r="D56" s="254"/>
      <c r="E56" s="345">
        <f t="shared" ref="E56" si="3">SUM(E31:E54)</f>
        <v>50890</v>
      </c>
      <c r="F56" s="254"/>
      <c r="G56" s="345">
        <f t="shared" ref="G56" si="4">SUM(G31:G54)</f>
        <v>240788</v>
      </c>
      <c r="H56" s="254"/>
      <c r="I56" s="345">
        <f t="shared" ref="I56" si="5">SUM(I31:I54)</f>
        <v>556434</v>
      </c>
    </row>
    <row r="57" spans="1:9" s="253" customFormat="1" ht="5.0999999999999996" customHeight="1" x14ac:dyDescent="0.2">
      <c r="C57" s="340"/>
      <c r="D57" s="273"/>
      <c r="E57" s="340"/>
      <c r="F57" s="301"/>
      <c r="G57" s="340"/>
      <c r="H57" s="301"/>
      <c r="I57" s="340"/>
    </row>
    <row r="58" spans="1:9" s="253" customFormat="1" ht="9.9499999999999993" customHeight="1" x14ac:dyDescent="0.2">
      <c r="A58" s="417" t="s">
        <v>1333</v>
      </c>
      <c r="B58" s="362"/>
      <c r="C58" s="273"/>
      <c r="D58" s="273"/>
      <c r="E58" s="273"/>
      <c r="F58" s="342"/>
      <c r="G58" s="273"/>
      <c r="H58" s="342"/>
      <c r="I58" s="273"/>
    </row>
    <row r="59" spans="1:9" s="253" customFormat="1" ht="9.9499999999999993" customHeight="1" x14ac:dyDescent="0.2">
      <c r="A59" s="428" t="s">
        <v>1276</v>
      </c>
      <c r="B59" s="362"/>
      <c r="C59" s="341">
        <f>+C27-C56</f>
        <v>-230984</v>
      </c>
      <c r="D59" s="273"/>
      <c r="E59" s="341">
        <f>SUM(E27-E56)</f>
        <v>-43853</v>
      </c>
      <c r="F59" s="342"/>
      <c r="G59" s="341">
        <f>SUM(G27-G56)</f>
        <v>-230455</v>
      </c>
      <c r="H59" s="342"/>
      <c r="I59" s="341">
        <f>SUM(I27-I56)</f>
        <v>-505292</v>
      </c>
    </row>
    <row r="60" spans="1:9" s="253" customFormat="1" ht="5.0999999999999996" customHeight="1" x14ac:dyDescent="0.2">
      <c r="C60" s="340"/>
      <c r="D60" s="273"/>
      <c r="E60" s="340"/>
      <c r="F60" s="301"/>
      <c r="G60" s="340"/>
      <c r="H60" s="301"/>
      <c r="I60" s="340"/>
    </row>
    <row r="61" spans="1:9" s="253" customFormat="1" ht="9.9499999999999993" customHeight="1" x14ac:dyDescent="0.2">
      <c r="A61" s="417" t="s">
        <v>34</v>
      </c>
      <c r="B61" s="362"/>
      <c r="C61" s="273"/>
      <c r="D61" s="273"/>
      <c r="E61" s="273"/>
      <c r="F61" s="342"/>
      <c r="G61" s="273"/>
      <c r="H61" s="342"/>
      <c r="I61" s="273"/>
    </row>
    <row r="62" spans="1:9" s="253" customFormat="1" ht="9.9499999999999993" customHeight="1" x14ac:dyDescent="0.2">
      <c r="A62" s="425" t="s">
        <v>667</v>
      </c>
      <c r="B62" s="362"/>
      <c r="C62" s="273">
        <f>+'GO SOREC'!Q64</f>
        <v>0</v>
      </c>
      <c r="D62" s="273"/>
      <c r="E62" s="273">
        <f>+'CO SOREC'!W64</f>
        <v>156205</v>
      </c>
      <c r="F62" s="342"/>
      <c r="G62" s="273">
        <f>+'Capital SOREC'!O64</f>
        <v>55100</v>
      </c>
      <c r="H62" s="342"/>
      <c r="I62" s="273">
        <f t="shared" ref="I62:I71" si="6">SUM(C62:G62)</f>
        <v>211305</v>
      </c>
    </row>
    <row r="63" spans="1:9" s="253" customFormat="1" ht="9.9499999999999993" hidden="1" customHeight="1" x14ac:dyDescent="0.2">
      <c r="A63" s="425" t="s">
        <v>1235</v>
      </c>
      <c r="B63" s="362"/>
      <c r="C63" s="273">
        <f>+'GO SOREC'!Q65</f>
        <v>0</v>
      </c>
      <c r="D63" s="273"/>
      <c r="E63" s="273">
        <f>+'CO SOREC'!W70</f>
        <v>0</v>
      </c>
      <c r="F63" s="342"/>
      <c r="G63" s="273">
        <f>+'Capital SOREC'!O65</f>
        <v>0</v>
      </c>
      <c r="H63" s="342"/>
      <c r="I63" s="273">
        <f t="shared" si="6"/>
        <v>0</v>
      </c>
    </row>
    <row r="64" spans="1:9" s="253" customFormat="1" ht="9.9499999999999993" hidden="1" customHeight="1" x14ac:dyDescent="0.2">
      <c r="A64" s="425" t="s">
        <v>973</v>
      </c>
      <c r="B64" s="362"/>
      <c r="C64" s="273">
        <f>+'GO SOREC'!Q66</f>
        <v>0</v>
      </c>
      <c r="D64" s="273"/>
      <c r="E64" s="273">
        <f>+'CO SOREC'!W66</f>
        <v>0</v>
      </c>
      <c r="F64" s="342"/>
      <c r="G64" s="273">
        <f>+'Capital SOREC'!O66</f>
        <v>0</v>
      </c>
      <c r="H64" s="342"/>
      <c r="I64" s="273">
        <f t="shared" si="6"/>
        <v>0</v>
      </c>
    </row>
    <row r="65" spans="1:46" s="253" customFormat="1" ht="9.9499999999999993" hidden="1" customHeight="1" x14ac:dyDescent="0.2">
      <c r="A65" s="425" t="s">
        <v>666</v>
      </c>
      <c r="B65" s="362"/>
      <c r="C65" s="273">
        <f>+'GO SOREC'!Q67</f>
        <v>0</v>
      </c>
      <c r="D65" s="273"/>
      <c r="E65" s="273">
        <f>+'CO SOREC'!W67</f>
        <v>0</v>
      </c>
      <c r="F65" s="342"/>
      <c r="G65" s="273">
        <f>+'Capital SOREC'!O67</f>
        <v>0</v>
      </c>
      <c r="H65" s="342"/>
      <c r="I65" s="273">
        <f t="shared" si="6"/>
        <v>0</v>
      </c>
    </row>
    <row r="66" spans="1:46" s="253" customFormat="1" ht="9.9499999999999993" hidden="1" customHeight="1" x14ac:dyDescent="0.2">
      <c r="A66" s="425" t="s">
        <v>1581</v>
      </c>
      <c r="B66" s="362"/>
      <c r="C66" s="273">
        <f>+'GO SOREC'!Q68</f>
        <v>0</v>
      </c>
      <c r="D66" s="273"/>
      <c r="E66" s="273">
        <f>+'CO SOREC'!W68</f>
        <v>0</v>
      </c>
      <c r="F66" s="342"/>
      <c r="G66" s="273">
        <f>+'Capital SOREC'!O68</f>
        <v>0</v>
      </c>
      <c r="H66" s="342"/>
      <c r="I66" s="273">
        <f t="shared" ref="I66:I68" si="7">SUM(C66:G66)</f>
        <v>0</v>
      </c>
    </row>
    <row r="67" spans="1:46" s="253" customFormat="1" ht="9.9499999999999993" hidden="1" customHeight="1" x14ac:dyDescent="0.2">
      <c r="A67" s="425" t="s">
        <v>1642</v>
      </c>
      <c r="B67" s="362"/>
      <c r="C67" s="273">
        <f>+'GO SOREC'!Q69</f>
        <v>0</v>
      </c>
      <c r="D67" s="273"/>
      <c r="E67" s="273">
        <f>+'CO SOREC'!W69</f>
        <v>0</v>
      </c>
      <c r="F67" s="342"/>
      <c r="G67" s="273">
        <f>+'Capital SOREC'!O69</f>
        <v>0</v>
      </c>
      <c r="H67" s="342"/>
      <c r="I67" s="273">
        <f t="shared" ref="I67" si="8">SUM(C67:G67)</f>
        <v>0</v>
      </c>
    </row>
    <row r="68" spans="1:46" s="253" customFormat="1" ht="9.9499999999999993" hidden="1" customHeight="1" x14ac:dyDescent="0.2">
      <c r="A68" s="425" t="s">
        <v>668</v>
      </c>
      <c r="B68" s="362"/>
      <c r="C68" s="273">
        <f>+'GO SOREC'!Q70</f>
        <v>0</v>
      </c>
      <c r="D68" s="273"/>
      <c r="E68" s="273">
        <f>+'CO SOREC'!W70</f>
        <v>0</v>
      </c>
      <c r="F68" s="342"/>
      <c r="G68" s="273">
        <f>+'Capital SOREC'!O70</f>
        <v>0</v>
      </c>
      <c r="H68" s="342"/>
      <c r="I68" s="273">
        <f t="shared" si="7"/>
        <v>0</v>
      </c>
    </row>
    <row r="69" spans="1:46" s="253" customFormat="1" ht="9.9499999999999993" customHeight="1" x14ac:dyDescent="0.2">
      <c r="A69" s="425" t="s">
        <v>1134</v>
      </c>
      <c r="B69" s="362"/>
      <c r="C69" s="273">
        <f>+'GO SOREC'!Q71</f>
        <v>0</v>
      </c>
      <c r="D69" s="273"/>
      <c r="E69" s="273">
        <f>+'CO SOREC'!W71</f>
        <v>12069</v>
      </c>
      <c r="F69" s="342"/>
      <c r="G69" s="273">
        <f>+'Capital SOREC'!O71</f>
        <v>1672</v>
      </c>
      <c r="H69" s="342"/>
      <c r="I69" s="273">
        <f t="shared" si="6"/>
        <v>13741</v>
      </c>
    </row>
    <row r="70" spans="1:46" s="253" customFormat="1" ht="9.9499999999999993" customHeight="1" x14ac:dyDescent="0.2">
      <c r="A70" s="425" t="s">
        <v>21</v>
      </c>
      <c r="B70" s="362"/>
      <c r="C70" s="273">
        <f>+'GO SOREC'!Q72</f>
        <v>239948</v>
      </c>
      <c r="D70" s="273"/>
      <c r="E70" s="273">
        <f>+'CO SOREC'!W72</f>
        <v>50920</v>
      </c>
      <c r="F70" s="342"/>
      <c r="G70" s="273">
        <f>+'Capital SOREC'!O72</f>
        <v>222305</v>
      </c>
      <c r="H70" s="342"/>
      <c r="I70" s="273">
        <f t="shared" si="6"/>
        <v>513173</v>
      </c>
    </row>
    <row r="71" spans="1:46" s="253" customFormat="1" ht="9.9499999999999993" customHeight="1" x14ac:dyDescent="0.2">
      <c r="A71" s="425" t="s">
        <v>22</v>
      </c>
      <c r="B71" s="362"/>
      <c r="C71" s="273">
        <f>+'GO SOREC'!Q73</f>
        <v>-63059</v>
      </c>
      <c r="D71" s="273"/>
      <c r="E71" s="273">
        <f>+'CO SOREC'!W73</f>
        <v>-136123</v>
      </c>
      <c r="F71" s="342"/>
      <c r="G71" s="273">
        <f>+'Capital SOREC'!O73</f>
        <v>-49187</v>
      </c>
      <c r="H71" s="342"/>
      <c r="I71" s="273">
        <f t="shared" si="6"/>
        <v>-248369</v>
      </c>
    </row>
    <row r="72" spans="1:46" s="253" customFormat="1" ht="5.0999999999999996" customHeight="1" x14ac:dyDescent="0.2">
      <c r="C72" s="340"/>
      <c r="D72" s="273"/>
      <c r="E72" s="340"/>
      <c r="F72" s="301"/>
      <c r="G72" s="340"/>
      <c r="H72" s="301"/>
      <c r="I72" s="340"/>
    </row>
    <row r="73" spans="1:46" s="253" customFormat="1" ht="11.1" customHeight="1" x14ac:dyDescent="0.2">
      <c r="A73" s="417" t="s">
        <v>1334</v>
      </c>
      <c r="B73" s="362"/>
      <c r="C73" s="341">
        <f>SUM(C62:C72)</f>
        <v>176889</v>
      </c>
      <c r="D73" s="273"/>
      <c r="E73" s="341">
        <f>SUM(E62:E72)</f>
        <v>83071</v>
      </c>
      <c r="F73" s="273"/>
      <c r="G73" s="341">
        <f>SUM(G62:G72)</f>
        <v>229890</v>
      </c>
      <c r="H73" s="273"/>
      <c r="I73" s="341">
        <f>SUM(I62:I72)</f>
        <v>489850</v>
      </c>
    </row>
    <row r="74" spans="1:46" s="253" customFormat="1" ht="5.0999999999999996" customHeight="1" x14ac:dyDescent="0.2">
      <c r="A74" s="450"/>
      <c r="B74" s="362"/>
      <c r="F74" s="362"/>
      <c r="H74" s="362"/>
    </row>
    <row r="75" spans="1:46" s="381" customFormat="1" ht="9.9499999999999993" customHeight="1" x14ac:dyDescent="0.2">
      <c r="A75" s="417" t="s">
        <v>989</v>
      </c>
      <c r="B75" s="517"/>
      <c r="C75" s="273">
        <f>+C59+C73</f>
        <v>-54095</v>
      </c>
      <c r="D75" s="254"/>
      <c r="E75" s="273">
        <f>+E59+E73</f>
        <v>39218</v>
      </c>
      <c r="F75" s="254"/>
      <c r="G75" s="273">
        <f>+G59+G73</f>
        <v>-565</v>
      </c>
      <c r="H75" s="254"/>
      <c r="I75" s="273">
        <f>+I59+I73</f>
        <v>-15442</v>
      </c>
    </row>
    <row r="76" spans="1:46" s="253" customFormat="1" ht="5.0999999999999996" customHeight="1" x14ac:dyDescent="0.2">
      <c r="A76" s="418"/>
      <c r="B76" s="362"/>
      <c r="C76" s="273"/>
      <c r="D76" s="273"/>
      <c r="E76" s="273"/>
      <c r="F76" s="362"/>
      <c r="G76" s="273"/>
      <c r="H76" s="362"/>
      <c r="I76" s="273"/>
    </row>
    <row r="77" spans="1:46" s="253" customFormat="1" ht="9.9499999999999993" customHeight="1" x14ac:dyDescent="0.2">
      <c r="A77" s="418" t="s">
        <v>990</v>
      </c>
      <c r="B77" s="362"/>
      <c r="C77" s="273">
        <v>220425</v>
      </c>
      <c r="D77" s="273"/>
      <c r="E77" s="273">
        <v>121276</v>
      </c>
      <c r="F77" s="362"/>
      <c r="G77" s="273">
        <v>47547</v>
      </c>
      <c r="H77" s="362"/>
      <c r="I77" s="273">
        <f>SUM(C77:G77)</f>
        <v>389248</v>
      </c>
    </row>
    <row r="78" spans="1:46" s="439" customFormat="1" ht="5.0999999999999996" hidden="1" customHeight="1" x14ac:dyDescent="0.2">
      <c r="A78" s="418"/>
      <c r="B78" s="450"/>
      <c r="C78" s="452"/>
      <c r="D78" s="450"/>
      <c r="E78" s="452"/>
      <c r="F78" s="450"/>
      <c r="G78" s="452"/>
      <c r="H78" s="450"/>
      <c r="I78" s="452"/>
      <c r="J78" s="450"/>
      <c r="K78" s="452"/>
      <c r="L78" s="450"/>
      <c r="M78" s="452"/>
      <c r="N78" s="450"/>
      <c r="O78" s="452"/>
      <c r="P78" s="450"/>
      <c r="Q78" s="452"/>
      <c r="R78" s="450"/>
      <c r="S78" s="452"/>
      <c r="T78" s="450"/>
      <c r="U78" s="452"/>
      <c r="V78" s="450"/>
      <c r="W78" s="452"/>
      <c r="X78" s="450"/>
      <c r="Y78" s="452"/>
      <c r="Z78" s="450"/>
      <c r="AA78" s="452"/>
      <c r="AB78" s="450"/>
      <c r="AC78" s="452"/>
      <c r="AD78" s="450"/>
      <c r="AE78" s="452"/>
      <c r="AF78" s="450"/>
      <c r="AG78" s="452"/>
      <c r="AH78" s="450"/>
      <c r="AI78" s="450"/>
      <c r="AJ78" s="418"/>
      <c r="AK78" s="418"/>
      <c r="AL78" s="418"/>
      <c r="AM78" s="418"/>
      <c r="AN78" s="418"/>
      <c r="AO78" s="418"/>
      <c r="AP78" s="418"/>
      <c r="AQ78" s="418"/>
      <c r="AR78" s="418"/>
      <c r="AS78" s="418"/>
      <c r="AT78" s="418"/>
    </row>
    <row r="79" spans="1:46" s="439" customFormat="1" ht="11.1" hidden="1" customHeight="1" x14ac:dyDescent="0.2">
      <c r="A79" s="418" t="s">
        <v>1715</v>
      </c>
      <c r="B79" s="450"/>
      <c r="C79" s="450"/>
      <c r="D79" s="450"/>
      <c r="E79" s="450"/>
      <c r="F79" s="450"/>
      <c r="G79" s="450"/>
      <c r="H79" s="450"/>
      <c r="I79" s="450"/>
      <c r="J79" s="450"/>
      <c r="K79" s="450"/>
      <c r="L79" s="450"/>
      <c r="M79" s="450"/>
      <c r="N79" s="450"/>
      <c r="O79" s="450"/>
      <c r="P79" s="450"/>
      <c r="Q79" s="450"/>
      <c r="R79" s="450"/>
      <c r="S79" s="450"/>
      <c r="T79" s="450"/>
      <c r="U79" s="450"/>
      <c r="V79" s="450"/>
      <c r="W79" s="450"/>
      <c r="X79" s="450"/>
      <c r="Y79" s="450"/>
      <c r="Z79" s="450"/>
      <c r="AA79" s="450"/>
      <c r="AB79" s="450"/>
      <c r="AC79" s="450"/>
      <c r="AD79" s="450"/>
      <c r="AE79" s="450"/>
      <c r="AF79" s="450"/>
      <c r="AG79" s="450"/>
      <c r="AH79" s="450"/>
      <c r="AI79" s="450"/>
      <c r="AJ79" s="418"/>
      <c r="AK79" s="418"/>
      <c r="AL79" s="418"/>
      <c r="AM79" s="418"/>
      <c r="AN79" s="418"/>
      <c r="AO79" s="418"/>
      <c r="AP79" s="418"/>
      <c r="AQ79" s="418"/>
      <c r="AR79" s="418"/>
      <c r="AS79" s="418"/>
      <c r="AT79" s="418"/>
    </row>
    <row r="80" spans="1:46" s="439" customFormat="1" ht="5.0999999999999996" hidden="1" customHeight="1" x14ac:dyDescent="0.2">
      <c r="A80" s="418"/>
      <c r="B80" s="450"/>
      <c r="C80" s="450"/>
      <c r="D80" s="450"/>
      <c r="E80" s="450"/>
      <c r="F80" s="450"/>
      <c r="G80" s="450"/>
      <c r="H80" s="450"/>
      <c r="I80" s="450"/>
      <c r="J80" s="450"/>
      <c r="K80" s="450"/>
      <c r="L80" s="450"/>
      <c r="M80" s="450"/>
      <c r="N80" s="450"/>
      <c r="O80" s="450"/>
      <c r="P80" s="450"/>
      <c r="Q80" s="450"/>
      <c r="R80" s="450"/>
      <c r="S80" s="450"/>
      <c r="T80" s="450"/>
      <c r="U80" s="450"/>
      <c r="V80" s="450"/>
      <c r="W80" s="450"/>
      <c r="X80" s="450"/>
      <c r="Y80" s="450"/>
      <c r="Z80" s="450"/>
      <c r="AA80" s="450"/>
      <c r="AB80" s="450"/>
      <c r="AC80" s="450"/>
      <c r="AD80" s="450"/>
      <c r="AE80" s="450"/>
      <c r="AF80" s="450"/>
      <c r="AG80" s="450"/>
      <c r="AH80" s="450"/>
      <c r="AI80" s="450"/>
      <c r="AJ80" s="418"/>
      <c r="AK80" s="418"/>
      <c r="AL80" s="418"/>
      <c r="AM80" s="418"/>
      <c r="AN80" s="418"/>
      <c r="AO80" s="418"/>
      <c r="AP80" s="418"/>
      <c r="AQ80" s="418"/>
      <c r="AR80" s="418"/>
      <c r="AS80" s="418"/>
      <c r="AT80" s="418"/>
    </row>
    <row r="81" spans="1:46" s="439" customFormat="1" ht="11.1" hidden="1" customHeight="1" x14ac:dyDescent="0.2">
      <c r="A81" s="418" t="s">
        <v>1716</v>
      </c>
      <c r="B81" s="450"/>
      <c r="C81" s="450"/>
      <c r="D81" s="450"/>
      <c r="E81" s="450"/>
      <c r="F81" s="450"/>
      <c r="G81" s="450"/>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0"/>
      <c r="AF81" s="450"/>
      <c r="AG81" s="450"/>
      <c r="AH81" s="450"/>
      <c r="AI81" s="450"/>
      <c r="AJ81" s="418"/>
      <c r="AK81" s="418"/>
      <c r="AL81" s="418"/>
      <c r="AM81" s="418"/>
      <c r="AN81" s="418"/>
      <c r="AO81" s="418"/>
      <c r="AP81" s="418"/>
      <c r="AQ81" s="418"/>
      <c r="AR81" s="418"/>
      <c r="AS81" s="418"/>
      <c r="AT81" s="418"/>
    </row>
    <row r="82" spans="1:46" s="439" customFormat="1" ht="5.0999999999999996" hidden="1" customHeight="1" x14ac:dyDescent="0.2">
      <c r="A82" s="418"/>
      <c r="B82" s="450"/>
      <c r="C82" s="450"/>
      <c r="D82" s="450"/>
      <c r="E82" s="45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0"/>
      <c r="AF82" s="450"/>
      <c r="AG82" s="450"/>
      <c r="AH82" s="450"/>
      <c r="AI82" s="450"/>
      <c r="AJ82" s="418"/>
      <c r="AK82" s="418"/>
      <c r="AL82" s="418"/>
      <c r="AM82" s="418"/>
      <c r="AN82" s="418"/>
      <c r="AO82" s="418"/>
      <c r="AP82" s="418"/>
      <c r="AQ82" s="418"/>
      <c r="AR82" s="418"/>
      <c r="AS82" s="418"/>
      <c r="AT82" s="418"/>
    </row>
    <row r="83" spans="1:46" s="439" customFormat="1" ht="11.1" hidden="1" customHeight="1" x14ac:dyDescent="0.2">
      <c r="A83" s="418" t="s">
        <v>1717</v>
      </c>
      <c r="B83" s="450"/>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450"/>
      <c r="AD83" s="450"/>
      <c r="AE83" s="450"/>
      <c r="AF83" s="450"/>
      <c r="AG83" s="450"/>
      <c r="AH83" s="450"/>
      <c r="AI83" s="450"/>
      <c r="AJ83" s="418"/>
      <c r="AK83" s="418"/>
      <c r="AL83" s="418"/>
      <c r="AM83" s="418"/>
      <c r="AN83" s="418"/>
      <c r="AO83" s="418"/>
      <c r="AP83" s="418"/>
      <c r="AQ83" s="418"/>
      <c r="AR83" s="418"/>
      <c r="AS83" s="418"/>
      <c r="AT83" s="418"/>
    </row>
    <row r="84" spans="1:46" s="439" customFormat="1" ht="5.0999999999999996" hidden="1" customHeight="1" x14ac:dyDescent="0.2">
      <c r="A84" s="418"/>
      <c r="B84" s="450"/>
      <c r="C84" s="450"/>
      <c r="D84" s="450"/>
      <c r="E84" s="450"/>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450"/>
      <c r="AD84" s="450"/>
      <c r="AE84" s="450"/>
      <c r="AF84" s="450"/>
      <c r="AG84" s="450"/>
      <c r="AH84" s="450"/>
      <c r="AI84" s="450"/>
      <c r="AJ84" s="418"/>
      <c r="AK84" s="418"/>
      <c r="AL84" s="418"/>
      <c r="AM84" s="418"/>
      <c r="AN84" s="418"/>
      <c r="AO84" s="418"/>
      <c r="AP84" s="418"/>
      <c r="AQ84" s="418"/>
      <c r="AR84" s="418"/>
      <c r="AS84" s="418"/>
      <c r="AT84" s="418"/>
    </row>
    <row r="85" spans="1:46" s="439" customFormat="1" ht="11.1" hidden="1" customHeight="1" x14ac:dyDescent="0.2">
      <c r="A85" s="425" t="s">
        <v>1720</v>
      </c>
      <c r="B85" s="450"/>
      <c r="C85" s="273">
        <f>SUM(C77:C84)</f>
        <v>220425</v>
      </c>
      <c r="D85" s="450"/>
      <c r="E85" s="273">
        <f>SUM(E77:E84)</f>
        <v>121276</v>
      </c>
      <c r="F85" s="450"/>
      <c r="G85" s="273">
        <f>SUM(G77:G84)</f>
        <v>47547</v>
      </c>
      <c r="H85" s="450"/>
      <c r="I85" s="273">
        <f>SUM(I77:I84)</f>
        <v>389248</v>
      </c>
      <c r="J85" s="450"/>
      <c r="K85" s="273">
        <v>29</v>
      </c>
      <c r="L85" s="450"/>
      <c r="M85" s="273">
        <v>6561</v>
      </c>
      <c r="N85" s="450"/>
      <c r="O85" s="273">
        <v>14227</v>
      </c>
      <c r="P85" s="450"/>
      <c r="Q85" s="273">
        <v>288</v>
      </c>
      <c r="R85" s="450"/>
      <c r="S85" s="273">
        <v>1650</v>
      </c>
      <c r="T85" s="450"/>
      <c r="U85" s="450"/>
      <c r="V85" s="450"/>
      <c r="W85" s="273">
        <v>30024</v>
      </c>
      <c r="X85" s="450"/>
      <c r="Y85" s="273">
        <v>3433</v>
      </c>
      <c r="Z85" s="450"/>
      <c r="AA85" s="273">
        <v>5122</v>
      </c>
      <c r="AB85" s="450"/>
      <c r="AC85" s="273">
        <v>8948</v>
      </c>
      <c r="AD85" s="450"/>
      <c r="AE85" s="273">
        <v>0</v>
      </c>
      <c r="AF85" s="450"/>
      <c r="AG85" s="273">
        <v>149786</v>
      </c>
      <c r="AH85" s="450"/>
      <c r="AI85" s="273">
        <v>0</v>
      </c>
      <c r="AJ85" s="418"/>
      <c r="AK85" s="418"/>
      <c r="AL85" s="418"/>
      <c r="AM85" s="418"/>
      <c r="AN85" s="418"/>
      <c r="AO85" s="418"/>
      <c r="AP85" s="418"/>
      <c r="AQ85" s="418"/>
      <c r="AR85" s="418"/>
      <c r="AS85" s="418"/>
      <c r="AT85" s="418"/>
    </row>
    <row r="86" spans="1:46" s="253" customFormat="1" ht="5.0999999999999996" customHeight="1" x14ac:dyDescent="0.2">
      <c r="C86" s="366"/>
      <c r="D86" s="273"/>
      <c r="E86" s="366"/>
      <c r="F86" s="301"/>
      <c r="G86" s="366"/>
      <c r="H86" s="301"/>
      <c r="I86" s="366"/>
    </row>
    <row r="87" spans="1:46" s="422" customFormat="1" ht="9.9499999999999993" customHeight="1" thickBot="1" x14ac:dyDescent="0.25">
      <c r="A87" s="417" t="s">
        <v>991</v>
      </c>
      <c r="B87" s="423"/>
      <c r="C87" s="344">
        <f>+C85+C75</f>
        <v>166330</v>
      </c>
      <c r="E87" s="344">
        <f>+E85+E75</f>
        <v>160494</v>
      </c>
      <c r="G87" s="344">
        <f>+G85+G75</f>
        <v>46982</v>
      </c>
      <c r="I87" s="344">
        <f>+I85+I75</f>
        <v>373806</v>
      </c>
    </row>
    <row r="88" spans="1:46" s="422" customFormat="1" ht="9.9499999999999993" customHeight="1" thickTop="1" x14ac:dyDescent="0.2">
      <c r="A88" s="418"/>
      <c r="B88" s="423"/>
      <c r="F88" s="423"/>
      <c r="H88" s="423"/>
    </row>
    <row r="89" spans="1:46" s="422" customFormat="1" ht="9.9499999999999993" customHeight="1" x14ac:dyDescent="0.2">
      <c r="A89" s="418"/>
      <c r="B89" s="423"/>
      <c r="F89" s="423"/>
      <c r="H89" s="423"/>
    </row>
    <row r="90" spans="1:46" s="422" customFormat="1" ht="9.9499999999999993" customHeight="1" x14ac:dyDescent="0.2">
      <c r="A90" s="1014" t="s">
        <v>992</v>
      </c>
      <c r="B90" s="423"/>
      <c r="C90" s="420">
        <f>+C87-'Cap Tie BS'!C66</f>
        <v>0</v>
      </c>
      <c r="E90" s="420">
        <f>+E87-'Cap Tie BS'!E66</f>
        <v>0</v>
      </c>
      <c r="F90" s="423"/>
      <c r="G90" s="420">
        <f>+G87-'Cap Tie BS'!G66</f>
        <v>0</v>
      </c>
      <c r="H90" s="423"/>
      <c r="I90" s="420">
        <f>+I87-'Cap Tie BS'!I66</f>
        <v>0</v>
      </c>
    </row>
    <row r="91" spans="1:46" s="422" customFormat="1" ht="9.9499999999999993" customHeight="1" x14ac:dyDescent="0.2">
      <c r="B91" s="423"/>
      <c r="F91" s="423"/>
      <c r="H91" s="423"/>
    </row>
    <row r="92" spans="1:46" s="422" customFormat="1" ht="9.9499999999999993" customHeight="1" x14ac:dyDescent="0.2">
      <c r="B92" s="423"/>
      <c r="F92" s="423"/>
      <c r="H92" s="423"/>
    </row>
    <row r="93" spans="1:46" s="422" customFormat="1" ht="9.9499999999999993" customHeight="1" x14ac:dyDescent="0.2">
      <c r="B93" s="423"/>
      <c r="F93" s="423"/>
      <c r="H93" s="423"/>
    </row>
    <row r="94" spans="1:46" s="422" customFormat="1" ht="9.9499999999999993" customHeight="1" x14ac:dyDescent="0.2">
      <c r="B94" s="423"/>
      <c r="F94" s="423"/>
      <c r="H94" s="423"/>
    </row>
    <row r="95" spans="1:46" s="422" customFormat="1" ht="9.9499999999999993" customHeight="1" x14ac:dyDescent="0.2">
      <c r="B95" s="423"/>
      <c r="F95" s="423"/>
      <c r="H95" s="423"/>
    </row>
    <row r="96" spans="1:46" s="422" customFormat="1" ht="9.9499999999999993" customHeight="1" x14ac:dyDescent="0.2">
      <c r="B96" s="423"/>
      <c r="F96" s="423"/>
      <c r="H96" s="423"/>
    </row>
    <row r="97" spans="2:8" s="422" customFormat="1" ht="9.9499999999999993" customHeight="1" x14ac:dyDescent="0.2">
      <c r="B97" s="423"/>
      <c r="F97" s="423"/>
      <c r="H97" s="423"/>
    </row>
    <row r="98" spans="2:8" s="422" customFormat="1" ht="9.9499999999999993" customHeight="1" x14ac:dyDescent="0.2">
      <c r="B98" s="423"/>
      <c r="F98" s="423"/>
      <c r="H98" s="423"/>
    </row>
    <row r="99" spans="2:8" s="422" customFormat="1" ht="9.9499999999999993" customHeight="1" x14ac:dyDescent="0.2">
      <c r="B99" s="423"/>
      <c r="F99" s="423"/>
      <c r="H99" s="423"/>
    </row>
    <row r="100" spans="2:8" s="422" customFormat="1" ht="9.9499999999999993" customHeight="1" x14ac:dyDescent="0.2">
      <c r="B100" s="423"/>
      <c r="F100" s="423"/>
      <c r="H100" s="423"/>
    </row>
    <row r="101" spans="2:8" s="422" customFormat="1" ht="9.9499999999999993" customHeight="1" x14ac:dyDescent="0.2">
      <c r="B101" s="423"/>
      <c r="F101" s="423"/>
      <c r="H101" s="423"/>
    </row>
    <row r="102" spans="2:8" s="422" customFormat="1" ht="9.9499999999999993" customHeight="1" x14ac:dyDescent="0.2">
      <c r="B102" s="423"/>
      <c r="F102" s="423"/>
      <c r="H102" s="423"/>
    </row>
    <row r="103" spans="2:8" s="422" customFormat="1" ht="9.9499999999999993" customHeight="1" x14ac:dyDescent="0.2">
      <c r="B103" s="423"/>
      <c r="F103" s="423"/>
      <c r="H103" s="423"/>
    </row>
    <row r="104" spans="2:8" s="422" customFormat="1" ht="9.9499999999999993" customHeight="1" x14ac:dyDescent="0.2">
      <c r="B104" s="423"/>
      <c r="F104" s="423"/>
      <c r="H104" s="423"/>
    </row>
    <row r="105" spans="2:8" s="422" customFormat="1" ht="9.9499999999999993" customHeight="1" x14ac:dyDescent="0.2">
      <c r="B105" s="423"/>
      <c r="F105" s="423"/>
      <c r="H105" s="423"/>
    </row>
    <row r="106" spans="2:8" s="422" customFormat="1" ht="9.9499999999999993" customHeight="1" x14ac:dyDescent="0.2">
      <c r="B106" s="423"/>
      <c r="F106" s="423"/>
      <c r="H106" s="423"/>
    </row>
    <row r="107" spans="2:8" s="422" customFormat="1" ht="9.9499999999999993" customHeight="1" x14ac:dyDescent="0.2">
      <c r="B107" s="423"/>
      <c r="F107" s="423"/>
      <c r="H107" s="423"/>
    </row>
    <row r="108" spans="2:8" s="422" customFormat="1" ht="9.9499999999999993" customHeight="1" x14ac:dyDescent="0.2">
      <c r="B108" s="423"/>
      <c r="F108" s="423"/>
      <c r="H108" s="423"/>
    </row>
    <row r="109" spans="2:8" s="422" customFormat="1" ht="9.9499999999999993" customHeight="1" x14ac:dyDescent="0.2">
      <c r="B109" s="423"/>
      <c r="F109" s="423"/>
      <c r="H109" s="423"/>
    </row>
    <row r="110" spans="2:8" s="422" customFormat="1" ht="9.9499999999999993" customHeight="1" x14ac:dyDescent="0.2">
      <c r="B110" s="423"/>
      <c r="F110" s="423"/>
      <c r="H110" s="423"/>
    </row>
    <row r="111" spans="2:8" s="422" customFormat="1" ht="9.9499999999999993" customHeight="1" x14ac:dyDescent="0.2">
      <c r="B111" s="423"/>
      <c r="F111" s="423"/>
      <c r="H111" s="423"/>
    </row>
    <row r="112" spans="2:8" s="422" customFormat="1" ht="9.9499999999999993" customHeight="1" x14ac:dyDescent="0.2">
      <c r="B112" s="423"/>
      <c r="F112" s="423"/>
      <c r="H112" s="423"/>
    </row>
    <row r="113" spans="2:8" s="422" customFormat="1" ht="9.9499999999999993" customHeight="1" x14ac:dyDescent="0.2">
      <c r="B113" s="423"/>
      <c r="F113" s="423"/>
      <c r="H113" s="423"/>
    </row>
    <row r="114" spans="2:8" s="422" customFormat="1" ht="9.9499999999999993" customHeight="1" x14ac:dyDescent="0.2">
      <c r="B114" s="423"/>
      <c r="F114" s="423"/>
      <c r="H114" s="423"/>
    </row>
    <row r="115" spans="2:8" s="422" customFormat="1" ht="9.9499999999999993" customHeight="1" x14ac:dyDescent="0.2">
      <c r="B115" s="423"/>
      <c r="F115" s="423"/>
      <c r="H115" s="423"/>
    </row>
    <row r="116" spans="2:8" s="422" customFormat="1" ht="9.9499999999999993" customHeight="1" x14ac:dyDescent="0.2">
      <c r="B116" s="423"/>
      <c r="F116" s="423"/>
      <c r="H116" s="423"/>
    </row>
    <row r="117" spans="2:8" s="422" customFormat="1" ht="9.9499999999999993" customHeight="1" x14ac:dyDescent="0.2">
      <c r="B117" s="423"/>
      <c r="F117" s="423"/>
      <c r="H117" s="423"/>
    </row>
    <row r="118" spans="2:8" s="422" customFormat="1" ht="9.9499999999999993" customHeight="1" x14ac:dyDescent="0.2">
      <c r="B118" s="423"/>
      <c r="F118" s="423"/>
      <c r="H118" s="423"/>
    </row>
    <row r="119" spans="2:8" s="422" customFormat="1" ht="9.9499999999999993" customHeight="1" x14ac:dyDescent="0.2">
      <c r="B119" s="423"/>
      <c r="F119" s="423"/>
      <c r="H119" s="423"/>
    </row>
    <row r="120" spans="2:8" s="422" customFormat="1" ht="9.9499999999999993" customHeight="1" x14ac:dyDescent="0.2">
      <c r="B120" s="423"/>
      <c r="F120" s="423"/>
      <c r="H120" s="423"/>
    </row>
    <row r="121" spans="2:8" s="422" customFormat="1" ht="9.9499999999999993" customHeight="1" x14ac:dyDescent="0.2">
      <c r="B121" s="423"/>
      <c r="F121" s="423"/>
      <c r="H121" s="423"/>
    </row>
    <row r="122" spans="2:8" s="422" customFormat="1" ht="9.9499999999999993" customHeight="1" x14ac:dyDescent="0.2">
      <c r="B122" s="423"/>
      <c r="F122" s="423"/>
      <c r="H122" s="423"/>
    </row>
    <row r="123" spans="2:8" s="422" customFormat="1" ht="9.9499999999999993" customHeight="1" x14ac:dyDescent="0.2">
      <c r="B123" s="423"/>
      <c r="F123" s="423"/>
      <c r="H123" s="423"/>
    </row>
    <row r="124" spans="2:8" s="422" customFormat="1" ht="9.9499999999999993" customHeight="1" x14ac:dyDescent="0.2">
      <c r="B124" s="423"/>
      <c r="F124" s="423"/>
      <c r="H124" s="423"/>
    </row>
    <row r="125" spans="2:8" s="422" customFormat="1" ht="9.9499999999999993" customHeight="1" x14ac:dyDescent="0.2">
      <c r="B125" s="423"/>
      <c r="F125" s="423"/>
      <c r="H125" s="423"/>
    </row>
    <row r="126" spans="2:8" s="422" customFormat="1" ht="9.9499999999999993" customHeight="1" x14ac:dyDescent="0.2">
      <c r="B126" s="423"/>
      <c r="F126" s="423"/>
      <c r="H126" s="423"/>
    </row>
    <row r="127" spans="2:8" s="422" customFormat="1" ht="9.9499999999999993" customHeight="1" x14ac:dyDescent="0.2">
      <c r="B127" s="423"/>
      <c r="F127" s="423"/>
      <c r="H127" s="423"/>
    </row>
    <row r="128" spans="2:8" s="422" customFormat="1" ht="9.9499999999999993" customHeight="1" x14ac:dyDescent="0.2">
      <c r="B128" s="423"/>
      <c r="F128" s="423"/>
      <c r="H128" s="423"/>
    </row>
    <row r="129" spans="2:8" s="422" customFormat="1" ht="9.9499999999999993" customHeight="1" x14ac:dyDescent="0.2">
      <c r="B129" s="423"/>
      <c r="F129" s="423"/>
      <c r="H129" s="423"/>
    </row>
    <row r="130" spans="2:8" s="422" customFormat="1" ht="9.9499999999999993" customHeight="1" x14ac:dyDescent="0.2">
      <c r="B130" s="423"/>
      <c r="F130" s="423"/>
      <c r="H130" s="423"/>
    </row>
    <row r="131" spans="2:8" s="422" customFormat="1" ht="9.9499999999999993" customHeight="1" x14ac:dyDescent="0.2">
      <c r="B131" s="423"/>
      <c r="F131" s="423"/>
      <c r="H131" s="423"/>
    </row>
    <row r="132" spans="2:8" s="422" customFormat="1" ht="9.9499999999999993" customHeight="1" x14ac:dyDescent="0.2">
      <c r="B132" s="423"/>
      <c r="F132" s="423"/>
      <c r="H132" s="423"/>
    </row>
    <row r="133" spans="2:8" s="422" customFormat="1" ht="9.9499999999999993" customHeight="1" x14ac:dyDescent="0.2">
      <c r="B133" s="423"/>
      <c r="F133" s="423"/>
      <c r="H133" s="423"/>
    </row>
    <row r="134" spans="2:8" s="422" customFormat="1" ht="9.9499999999999993" customHeight="1" x14ac:dyDescent="0.2">
      <c r="B134" s="423"/>
      <c r="F134" s="423"/>
      <c r="H134" s="423"/>
    </row>
    <row r="135" spans="2:8" s="422" customFormat="1" ht="9.9499999999999993" customHeight="1" x14ac:dyDescent="0.2">
      <c r="B135" s="423"/>
      <c r="F135" s="423"/>
      <c r="H135" s="423"/>
    </row>
    <row r="136" spans="2:8" s="422" customFormat="1" ht="9.9499999999999993" customHeight="1" x14ac:dyDescent="0.2">
      <c r="B136" s="423"/>
      <c r="F136" s="423"/>
      <c r="H136" s="423"/>
    </row>
    <row r="137" spans="2:8" s="422" customFormat="1" ht="9.9499999999999993" customHeight="1" x14ac:dyDescent="0.2">
      <c r="B137" s="423"/>
      <c r="F137" s="423"/>
      <c r="H137" s="423"/>
    </row>
    <row r="138" spans="2:8" s="422" customFormat="1" ht="9.9499999999999993" customHeight="1" x14ac:dyDescent="0.2">
      <c r="B138" s="423"/>
      <c r="F138" s="423"/>
      <c r="H138" s="423"/>
    </row>
    <row r="139" spans="2:8" s="422" customFormat="1" ht="9.9499999999999993" customHeight="1" x14ac:dyDescent="0.2">
      <c r="B139" s="423"/>
      <c r="F139" s="423"/>
      <c r="H139" s="423"/>
    </row>
    <row r="140" spans="2:8" s="422" customFormat="1" ht="9.9499999999999993" customHeight="1" x14ac:dyDescent="0.2">
      <c r="B140" s="423"/>
      <c r="F140" s="423"/>
      <c r="H140" s="423"/>
    </row>
    <row r="141" spans="2:8" s="422" customFormat="1" ht="9.9499999999999993" customHeight="1" x14ac:dyDescent="0.2">
      <c r="B141" s="423"/>
      <c r="F141" s="423"/>
      <c r="H141" s="423"/>
    </row>
    <row r="142" spans="2:8" s="422" customFormat="1" ht="9.9499999999999993" customHeight="1" x14ac:dyDescent="0.2">
      <c r="B142" s="423"/>
      <c r="F142" s="423"/>
      <c r="H142" s="423"/>
    </row>
    <row r="143" spans="2:8" s="422" customFormat="1" ht="9.9499999999999993" customHeight="1" x14ac:dyDescent="0.2">
      <c r="B143" s="423"/>
      <c r="F143" s="423"/>
      <c r="G143" s="422">
        <v>21</v>
      </c>
      <c r="H143" s="423"/>
    </row>
    <row r="144" spans="2:8" s="422" customFormat="1" ht="9.9499999999999993" customHeight="1" x14ac:dyDescent="0.2">
      <c r="B144" s="423"/>
      <c r="F144" s="423"/>
      <c r="H144" s="423"/>
    </row>
    <row r="145" spans="2:8" s="422" customFormat="1" ht="9.9499999999999993" customHeight="1" x14ac:dyDescent="0.2">
      <c r="B145" s="423"/>
      <c r="F145" s="423"/>
      <c r="H145" s="423"/>
    </row>
    <row r="146" spans="2:8" s="422" customFormat="1" ht="9.9499999999999993" customHeight="1" x14ac:dyDescent="0.2">
      <c r="B146" s="423"/>
      <c r="F146" s="423"/>
      <c r="H146" s="423"/>
    </row>
    <row r="147" spans="2:8" s="422" customFormat="1" ht="9.9499999999999993" customHeight="1" x14ac:dyDescent="0.2">
      <c r="B147" s="423"/>
      <c r="F147" s="423"/>
      <c r="H147" s="423"/>
    </row>
    <row r="148" spans="2:8" s="422" customFormat="1" ht="9.9499999999999993" customHeight="1" x14ac:dyDescent="0.2">
      <c r="B148" s="423"/>
      <c r="F148" s="423"/>
      <c r="H148" s="423"/>
    </row>
    <row r="149" spans="2:8" s="422" customFormat="1" ht="9.9499999999999993" customHeight="1" x14ac:dyDescent="0.2">
      <c r="B149" s="423"/>
      <c r="F149" s="423"/>
      <c r="H149" s="423"/>
    </row>
    <row r="150" spans="2:8" s="422" customFormat="1" ht="9.9499999999999993" customHeight="1" x14ac:dyDescent="0.2">
      <c r="B150" s="423"/>
      <c r="F150" s="423"/>
      <c r="H150" s="423"/>
    </row>
    <row r="151" spans="2:8" s="422" customFormat="1" ht="9.9499999999999993" customHeight="1" x14ac:dyDescent="0.2">
      <c r="B151" s="423"/>
      <c r="F151" s="423"/>
      <c r="H151" s="423"/>
    </row>
    <row r="152" spans="2:8" s="422" customFormat="1" ht="9.9499999999999993" customHeight="1" x14ac:dyDescent="0.2">
      <c r="B152" s="423"/>
      <c r="F152" s="423"/>
      <c r="H152" s="423"/>
    </row>
    <row r="153" spans="2:8" s="422" customFormat="1" ht="9.9499999999999993" customHeight="1" x14ac:dyDescent="0.2">
      <c r="B153" s="423"/>
      <c r="F153" s="423"/>
      <c r="H153" s="423"/>
    </row>
    <row r="154" spans="2:8" s="422" customFormat="1" ht="9.9499999999999993" customHeight="1" x14ac:dyDescent="0.2">
      <c r="B154" s="423"/>
      <c r="F154" s="423"/>
      <c r="H154" s="423"/>
    </row>
    <row r="155" spans="2:8" s="422" customFormat="1" ht="9.9499999999999993" customHeight="1" x14ac:dyDescent="0.2">
      <c r="B155" s="423"/>
      <c r="F155" s="423"/>
      <c r="H155" s="423"/>
    </row>
    <row r="156" spans="2:8" s="422" customFormat="1" ht="9.9499999999999993" customHeight="1" x14ac:dyDescent="0.2">
      <c r="B156" s="423"/>
      <c r="F156" s="423"/>
      <c r="H156" s="423"/>
    </row>
    <row r="157" spans="2:8" s="422" customFormat="1" ht="9.9499999999999993" customHeight="1" x14ac:dyDescent="0.2">
      <c r="B157" s="423"/>
      <c r="F157" s="423"/>
      <c r="H157" s="423"/>
    </row>
    <row r="158" spans="2:8" s="422" customFormat="1" ht="9.9499999999999993" customHeight="1" x14ac:dyDescent="0.2">
      <c r="B158" s="423"/>
      <c r="F158" s="423"/>
      <c r="H158" s="423"/>
    </row>
    <row r="159" spans="2:8" s="422" customFormat="1" ht="9.9499999999999993" customHeight="1" x14ac:dyDescent="0.2">
      <c r="B159" s="423"/>
      <c r="F159" s="423"/>
      <c r="H159" s="423"/>
    </row>
    <row r="160" spans="2:8" s="422" customFormat="1" ht="9.9499999999999993" customHeight="1" x14ac:dyDescent="0.2">
      <c r="B160" s="423"/>
      <c r="F160" s="423"/>
      <c r="H160" s="423"/>
    </row>
    <row r="161" spans="2:8" s="422" customFormat="1" ht="9.9499999999999993" customHeight="1" x14ac:dyDescent="0.2">
      <c r="B161" s="423"/>
      <c r="F161" s="423"/>
      <c r="H161" s="423"/>
    </row>
    <row r="162" spans="2:8" s="422" customFormat="1" ht="9.9499999999999993" customHeight="1" x14ac:dyDescent="0.2">
      <c r="B162" s="423"/>
      <c r="F162" s="423"/>
      <c r="H162" s="423"/>
    </row>
    <row r="163" spans="2:8" s="422" customFormat="1" ht="9.9499999999999993" customHeight="1" x14ac:dyDescent="0.2">
      <c r="B163" s="423"/>
      <c r="F163" s="423"/>
      <c r="H163" s="423"/>
    </row>
    <row r="164" spans="2:8" s="422" customFormat="1" ht="9.9499999999999993" customHeight="1" x14ac:dyDescent="0.2">
      <c r="B164" s="423"/>
      <c r="F164" s="423"/>
      <c r="H164" s="423"/>
    </row>
    <row r="165" spans="2:8" s="422" customFormat="1" ht="9.9499999999999993" customHeight="1" x14ac:dyDescent="0.2">
      <c r="B165" s="423"/>
      <c r="F165" s="423"/>
      <c r="H165" s="423"/>
    </row>
    <row r="166" spans="2:8" s="422" customFormat="1" ht="9.9499999999999993" customHeight="1" x14ac:dyDescent="0.2">
      <c r="B166" s="423"/>
      <c r="F166" s="423"/>
      <c r="H166" s="423"/>
    </row>
    <row r="167" spans="2:8" s="422" customFormat="1" ht="9.9499999999999993" customHeight="1" x14ac:dyDescent="0.2">
      <c r="B167" s="423"/>
      <c r="F167" s="423"/>
      <c r="H167" s="423"/>
    </row>
    <row r="168" spans="2:8" s="422" customFormat="1" ht="9.9499999999999993" customHeight="1" x14ac:dyDescent="0.2">
      <c r="B168" s="423"/>
      <c r="F168" s="423"/>
      <c r="H168" s="423"/>
    </row>
    <row r="169" spans="2:8" s="422" customFormat="1" ht="9.9499999999999993" customHeight="1" x14ac:dyDescent="0.2">
      <c r="B169" s="423"/>
      <c r="F169" s="423"/>
      <c r="H169" s="423"/>
    </row>
    <row r="170" spans="2:8" s="422" customFormat="1" ht="9.9499999999999993" customHeight="1" x14ac:dyDescent="0.2">
      <c r="B170" s="423"/>
      <c r="F170" s="423"/>
      <c r="H170" s="423"/>
    </row>
    <row r="171" spans="2:8" s="422" customFormat="1" ht="9.9499999999999993" customHeight="1" x14ac:dyDescent="0.2">
      <c r="B171" s="423"/>
      <c r="F171" s="423"/>
      <c r="H171" s="423"/>
    </row>
    <row r="172" spans="2:8" s="422" customFormat="1" ht="9.9499999999999993" customHeight="1" x14ac:dyDescent="0.2">
      <c r="B172" s="423"/>
      <c r="F172" s="423"/>
      <c r="H172" s="423"/>
    </row>
    <row r="173" spans="2:8" s="422" customFormat="1" ht="9.9499999999999993" customHeight="1" x14ac:dyDescent="0.2">
      <c r="B173" s="423"/>
      <c r="F173" s="423"/>
      <c r="H173" s="423"/>
    </row>
    <row r="174" spans="2:8" s="422" customFormat="1" ht="9.9499999999999993" customHeight="1" x14ac:dyDescent="0.2">
      <c r="B174" s="423"/>
      <c r="F174" s="423"/>
      <c r="H174" s="423"/>
    </row>
    <row r="175" spans="2:8" s="326" customFormat="1" ht="9.9499999999999993" customHeight="1" x14ac:dyDescent="0.2">
      <c r="B175" s="327"/>
      <c r="F175" s="327"/>
      <c r="H175" s="327"/>
    </row>
    <row r="176" spans="2:8" s="326" customFormat="1" ht="9.9499999999999993" customHeight="1" x14ac:dyDescent="0.2">
      <c r="B176" s="327"/>
      <c r="F176" s="327"/>
      <c r="H176" s="327"/>
    </row>
    <row r="177" spans="2:8" s="326" customFormat="1" ht="9.9499999999999993" customHeight="1" x14ac:dyDescent="0.2">
      <c r="B177" s="327"/>
      <c r="F177" s="327"/>
      <c r="H177" s="327"/>
    </row>
    <row r="178" spans="2:8" s="326" customFormat="1" ht="9.9499999999999993" customHeight="1" x14ac:dyDescent="0.2">
      <c r="B178" s="327"/>
      <c r="F178" s="327"/>
      <c r="H178" s="327"/>
    </row>
    <row r="179" spans="2:8" s="326" customFormat="1" ht="9.9499999999999993" customHeight="1" x14ac:dyDescent="0.2">
      <c r="B179" s="327"/>
      <c r="F179" s="327"/>
      <c r="H179" s="327"/>
    </row>
    <row r="180" spans="2:8" s="326" customFormat="1" ht="9.9499999999999993" customHeight="1" x14ac:dyDescent="0.2">
      <c r="B180" s="327"/>
      <c r="F180" s="327"/>
      <c r="H180" s="327"/>
    </row>
    <row r="181" spans="2:8" s="326" customFormat="1" ht="9.9499999999999993" customHeight="1" x14ac:dyDescent="0.2">
      <c r="B181" s="327"/>
      <c r="F181" s="327"/>
      <c r="H181" s="327"/>
    </row>
    <row r="182" spans="2:8" s="326" customFormat="1" ht="9.9499999999999993" customHeight="1" x14ac:dyDescent="0.2">
      <c r="B182" s="327"/>
      <c r="F182" s="327"/>
      <c r="H182" s="327"/>
    </row>
    <row r="183" spans="2:8" s="326" customFormat="1" ht="9.9499999999999993" customHeight="1" x14ac:dyDescent="0.2">
      <c r="B183" s="327"/>
      <c r="F183" s="327"/>
      <c r="H183" s="327"/>
    </row>
    <row r="184" spans="2:8" s="326" customFormat="1" ht="9.9499999999999993" customHeight="1" x14ac:dyDescent="0.2">
      <c r="B184" s="327"/>
      <c r="F184" s="327"/>
      <c r="H184" s="327"/>
    </row>
    <row r="185" spans="2:8" s="326" customFormat="1" ht="9.9499999999999993" customHeight="1" x14ac:dyDescent="0.2">
      <c r="B185" s="327"/>
      <c r="F185" s="327"/>
      <c r="H185" s="327"/>
    </row>
    <row r="186" spans="2:8" s="326" customFormat="1" ht="9.9499999999999993" customHeight="1" x14ac:dyDescent="0.2">
      <c r="B186" s="327"/>
      <c r="F186" s="327"/>
      <c r="H186" s="327"/>
    </row>
    <row r="187" spans="2:8" s="326" customFormat="1" ht="9.9499999999999993" customHeight="1" x14ac:dyDescent="0.2">
      <c r="B187" s="327"/>
      <c r="F187" s="327"/>
      <c r="H187" s="327"/>
    </row>
    <row r="188" spans="2:8" s="326" customFormat="1" ht="9.9499999999999993" customHeight="1" x14ac:dyDescent="0.2">
      <c r="B188" s="327"/>
      <c r="F188" s="327"/>
      <c r="H188" s="327"/>
    </row>
    <row r="189" spans="2:8" s="326" customFormat="1" ht="9.9499999999999993" customHeight="1" x14ac:dyDescent="0.2">
      <c r="B189" s="327"/>
      <c r="F189" s="327"/>
      <c r="H189" s="327"/>
    </row>
    <row r="190" spans="2:8" s="326" customFormat="1" ht="9.9499999999999993" customHeight="1" x14ac:dyDescent="0.2">
      <c r="B190" s="327"/>
      <c r="F190" s="327"/>
      <c r="H190" s="327"/>
    </row>
    <row r="191" spans="2:8" s="326" customFormat="1" ht="9.9499999999999993" customHeight="1" x14ac:dyDescent="0.2">
      <c r="B191" s="327"/>
      <c r="F191" s="327"/>
      <c r="H191" s="327"/>
    </row>
    <row r="192" spans="2:8" s="326" customFormat="1" ht="9.9499999999999993" customHeight="1" x14ac:dyDescent="0.2">
      <c r="B192" s="327"/>
      <c r="F192" s="327"/>
      <c r="H192" s="327"/>
    </row>
    <row r="193" spans="2:8" s="326" customFormat="1" ht="9.9499999999999993" customHeight="1" x14ac:dyDescent="0.2">
      <c r="B193" s="327"/>
      <c r="F193" s="327"/>
      <c r="H193" s="327"/>
    </row>
    <row r="194" spans="2:8" s="326" customFormat="1" ht="9.9499999999999993" customHeight="1" x14ac:dyDescent="0.2">
      <c r="B194" s="327"/>
      <c r="F194" s="327"/>
      <c r="H194" s="327"/>
    </row>
    <row r="195" spans="2:8" s="326" customFormat="1" ht="9.9499999999999993" customHeight="1" x14ac:dyDescent="0.2">
      <c r="B195" s="327"/>
      <c r="F195" s="327"/>
      <c r="H195" s="327"/>
    </row>
    <row r="196" spans="2:8" s="326" customFormat="1" ht="9.9499999999999993" customHeight="1" x14ac:dyDescent="0.2">
      <c r="B196" s="327"/>
      <c r="F196" s="327"/>
      <c r="H196" s="327"/>
    </row>
    <row r="197" spans="2:8" s="326" customFormat="1" ht="9.9499999999999993" customHeight="1" x14ac:dyDescent="0.2">
      <c r="B197" s="327"/>
      <c r="F197" s="327"/>
      <c r="H197" s="327"/>
    </row>
    <row r="198" spans="2:8" s="326" customFormat="1" ht="9.9499999999999993" customHeight="1" x14ac:dyDescent="0.2">
      <c r="B198" s="327"/>
      <c r="F198" s="327"/>
      <c r="H198" s="327"/>
    </row>
    <row r="199" spans="2:8" s="326" customFormat="1" ht="9.9499999999999993" customHeight="1" x14ac:dyDescent="0.2">
      <c r="B199" s="327"/>
      <c r="F199" s="327"/>
      <c r="H199" s="327"/>
    </row>
    <row r="200" spans="2:8" s="326" customFormat="1" ht="9.9499999999999993" customHeight="1" x14ac:dyDescent="0.2">
      <c r="B200" s="327"/>
      <c r="F200" s="327"/>
      <c r="H200" s="327"/>
    </row>
    <row r="201" spans="2:8" s="326" customFormat="1" ht="9.9499999999999993" customHeight="1" x14ac:dyDescent="0.2">
      <c r="B201" s="327"/>
      <c r="F201" s="327"/>
      <c r="H201" s="327"/>
    </row>
    <row r="202" spans="2:8" s="326" customFormat="1" ht="9.9499999999999993" customHeight="1" x14ac:dyDescent="0.2">
      <c r="B202" s="327"/>
      <c r="F202" s="327"/>
      <c r="H202" s="327"/>
    </row>
    <row r="203" spans="2:8" s="326" customFormat="1" ht="9.9499999999999993" customHeight="1" x14ac:dyDescent="0.2">
      <c r="B203" s="327"/>
      <c r="F203" s="327"/>
      <c r="H203" s="327"/>
    </row>
    <row r="204" spans="2:8" s="326" customFormat="1" ht="9.9499999999999993" customHeight="1" x14ac:dyDescent="0.2">
      <c r="B204" s="327"/>
      <c r="F204" s="327"/>
      <c r="H204" s="327"/>
    </row>
    <row r="205" spans="2:8" s="326" customFormat="1" ht="9.9499999999999993" customHeight="1" x14ac:dyDescent="0.2">
      <c r="B205" s="327"/>
      <c r="F205" s="327"/>
      <c r="H205" s="327"/>
    </row>
    <row r="206" spans="2:8" s="326" customFormat="1" ht="9.9499999999999993" customHeight="1" x14ac:dyDescent="0.2">
      <c r="B206" s="327"/>
      <c r="F206" s="327"/>
      <c r="H206" s="327"/>
    </row>
    <row r="207" spans="2:8" s="326" customFormat="1" ht="9.9499999999999993" customHeight="1" x14ac:dyDescent="0.2">
      <c r="B207" s="327"/>
      <c r="F207" s="327"/>
      <c r="H207" s="327"/>
    </row>
    <row r="208" spans="2:8" s="326" customFormat="1" ht="9.9499999999999993" customHeight="1" x14ac:dyDescent="0.2">
      <c r="B208" s="327"/>
      <c r="F208" s="327"/>
      <c r="H208" s="327"/>
    </row>
    <row r="209" spans="2:8" s="326" customFormat="1" ht="9.9499999999999993" customHeight="1" x14ac:dyDescent="0.2">
      <c r="B209" s="327"/>
      <c r="F209" s="327"/>
      <c r="H209" s="327"/>
    </row>
    <row r="210" spans="2:8" s="326" customFormat="1" ht="9.9499999999999993" customHeight="1" x14ac:dyDescent="0.2">
      <c r="B210" s="327"/>
      <c r="F210" s="327"/>
      <c r="H210" s="327"/>
    </row>
    <row r="211" spans="2:8" s="326" customFormat="1" ht="9.9499999999999993" customHeight="1" x14ac:dyDescent="0.2">
      <c r="B211" s="327"/>
      <c r="F211" s="327"/>
      <c r="H211" s="327"/>
    </row>
    <row r="212" spans="2:8" s="326" customFormat="1" ht="9.9499999999999993" customHeight="1" x14ac:dyDescent="0.2">
      <c r="B212" s="327"/>
      <c r="F212" s="327"/>
      <c r="H212" s="327"/>
    </row>
    <row r="213" spans="2:8" s="326" customFormat="1" ht="9.9499999999999993" customHeight="1" x14ac:dyDescent="0.2">
      <c r="B213" s="327"/>
      <c r="F213" s="327"/>
      <c r="H213" s="327"/>
    </row>
    <row r="214" spans="2:8" s="326" customFormat="1" ht="9.9499999999999993" customHeight="1" x14ac:dyDescent="0.2">
      <c r="B214" s="327"/>
      <c r="F214" s="327"/>
      <c r="H214" s="327"/>
    </row>
    <row r="215" spans="2:8" s="326" customFormat="1" ht="9.9499999999999993" customHeight="1" x14ac:dyDescent="0.2">
      <c r="B215" s="327"/>
      <c r="F215" s="327"/>
      <c r="H215" s="327"/>
    </row>
    <row r="216" spans="2:8" s="326" customFormat="1" ht="9.9499999999999993" customHeight="1" x14ac:dyDescent="0.2">
      <c r="B216" s="327"/>
      <c r="F216" s="327"/>
      <c r="H216" s="327"/>
    </row>
    <row r="217" spans="2:8" s="326" customFormat="1" ht="9.9499999999999993" customHeight="1" x14ac:dyDescent="0.2">
      <c r="B217" s="327"/>
      <c r="F217" s="327"/>
      <c r="H217" s="327"/>
    </row>
    <row r="218" spans="2:8" s="326" customFormat="1" ht="9.9499999999999993" customHeight="1" x14ac:dyDescent="0.2">
      <c r="B218" s="327"/>
      <c r="F218" s="327"/>
      <c r="H218" s="327"/>
    </row>
    <row r="219" spans="2:8" s="326" customFormat="1" ht="9.9499999999999993" customHeight="1" x14ac:dyDescent="0.2">
      <c r="B219" s="327"/>
      <c r="F219" s="327"/>
      <c r="H219" s="327"/>
    </row>
    <row r="220" spans="2:8" s="326" customFormat="1" ht="9.9499999999999993" customHeight="1" x14ac:dyDescent="0.2">
      <c r="B220" s="327"/>
      <c r="F220" s="327"/>
      <c r="H220" s="327"/>
    </row>
    <row r="221" spans="2:8" s="326" customFormat="1" ht="9.9499999999999993" customHeight="1" x14ac:dyDescent="0.2">
      <c r="B221" s="327"/>
      <c r="F221" s="327"/>
      <c r="H221" s="327"/>
    </row>
    <row r="222" spans="2:8" s="326" customFormat="1" ht="9.9499999999999993" customHeight="1" x14ac:dyDescent="0.2">
      <c r="B222" s="327"/>
      <c r="F222" s="327"/>
      <c r="H222" s="327"/>
    </row>
    <row r="223" spans="2:8" s="326" customFormat="1" ht="9.9499999999999993" customHeight="1" x14ac:dyDescent="0.2">
      <c r="B223" s="327"/>
      <c r="F223" s="327"/>
      <c r="H223" s="327"/>
    </row>
    <row r="224" spans="2:8" s="326" customFormat="1" ht="9.9499999999999993" customHeight="1" x14ac:dyDescent="0.2">
      <c r="B224" s="327"/>
      <c r="F224" s="327"/>
      <c r="H224" s="327"/>
    </row>
    <row r="225" spans="2:8" s="326" customFormat="1" ht="9.9499999999999993" customHeight="1" x14ac:dyDescent="0.2">
      <c r="B225" s="327"/>
      <c r="F225" s="327"/>
      <c r="H225" s="327"/>
    </row>
    <row r="226" spans="2:8" s="326" customFormat="1" ht="9.9499999999999993" customHeight="1" x14ac:dyDescent="0.2">
      <c r="B226" s="327"/>
      <c r="F226" s="327"/>
      <c r="H226" s="327"/>
    </row>
    <row r="227" spans="2:8" s="326" customFormat="1" ht="9.9499999999999993" customHeight="1" x14ac:dyDescent="0.2">
      <c r="B227" s="327"/>
      <c r="F227" s="327"/>
      <c r="H227" s="327"/>
    </row>
    <row r="228" spans="2:8" s="326" customFormat="1" ht="9.9499999999999993" customHeight="1" x14ac:dyDescent="0.2">
      <c r="B228" s="327"/>
      <c r="F228" s="327"/>
      <c r="H228" s="327"/>
    </row>
    <row r="229" spans="2:8" s="326" customFormat="1" ht="9.9499999999999993" customHeight="1" x14ac:dyDescent="0.2">
      <c r="B229" s="327"/>
      <c r="F229" s="327"/>
      <c r="H229" s="327"/>
    </row>
    <row r="230" spans="2:8" s="326" customFormat="1" ht="9.9499999999999993" customHeight="1" x14ac:dyDescent="0.2">
      <c r="B230" s="327"/>
      <c r="F230" s="327"/>
      <c r="H230" s="327"/>
    </row>
    <row r="231" spans="2:8" s="326" customFormat="1" ht="9.9499999999999993" customHeight="1" x14ac:dyDescent="0.2">
      <c r="B231" s="327"/>
      <c r="F231" s="327"/>
      <c r="H231" s="327"/>
    </row>
    <row r="232" spans="2:8" s="326" customFormat="1" ht="9.9499999999999993" customHeight="1" x14ac:dyDescent="0.2">
      <c r="B232" s="327"/>
      <c r="F232" s="327"/>
      <c r="H232" s="327"/>
    </row>
    <row r="233" spans="2:8" s="326" customFormat="1" ht="9.9499999999999993" customHeight="1" x14ac:dyDescent="0.2">
      <c r="B233" s="327"/>
      <c r="F233" s="327"/>
      <c r="H233" s="327"/>
    </row>
    <row r="234" spans="2:8" s="326" customFormat="1" ht="9.9499999999999993" customHeight="1" x14ac:dyDescent="0.2">
      <c r="B234" s="327"/>
      <c r="F234" s="327"/>
      <c r="H234" s="327"/>
    </row>
    <row r="235" spans="2:8" s="326" customFormat="1" ht="9.9499999999999993" customHeight="1" x14ac:dyDescent="0.2">
      <c r="B235" s="327"/>
      <c r="F235" s="327"/>
      <c r="H235" s="327"/>
    </row>
    <row r="236" spans="2:8" s="326" customFormat="1" ht="9.9499999999999993" customHeight="1" x14ac:dyDescent="0.2">
      <c r="B236" s="327"/>
      <c r="F236" s="327"/>
      <c r="H236" s="327"/>
    </row>
    <row r="237" spans="2:8" s="326" customFormat="1" ht="9.9499999999999993" customHeight="1" x14ac:dyDescent="0.2">
      <c r="B237" s="327"/>
      <c r="F237" s="327"/>
      <c r="H237" s="327"/>
    </row>
    <row r="238" spans="2:8" s="326" customFormat="1" ht="9.9499999999999993" customHeight="1" x14ac:dyDescent="0.2">
      <c r="B238" s="327"/>
      <c r="F238" s="327"/>
      <c r="H238" s="327"/>
    </row>
    <row r="239" spans="2:8" s="326" customFormat="1" ht="9.9499999999999993" customHeight="1" x14ac:dyDescent="0.2">
      <c r="B239" s="327"/>
      <c r="F239" s="327"/>
      <c r="H239" s="327"/>
    </row>
    <row r="240" spans="2:8" s="326" customFormat="1" ht="9.9499999999999993" customHeight="1" x14ac:dyDescent="0.2">
      <c r="B240" s="327"/>
      <c r="F240" s="327"/>
      <c r="H240" s="327"/>
    </row>
    <row r="241" spans="2:8" s="326" customFormat="1" ht="9.9499999999999993" customHeight="1" x14ac:dyDescent="0.2">
      <c r="B241" s="327"/>
      <c r="F241" s="327"/>
      <c r="H241" s="327"/>
    </row>
    <row r="242" spans="2:8" s="326" customFormat="1" ht="9.9499999999999993" customHeight="1" x14ac:dyDescent="0.2">
      <c r="B242" s="327"/>
      <c r="F242" s="327"/>
      <c r="H242" s="327"/>
    </row>
    <row r="243" spans="2:8" s="326" customFormat="1" ht="9.9499999999999993" customHeight="1" x14ac:dyDescent="0.2">
      <c r="B243" s="327"/>
      <c r="F243" s="327"/>
      <c r="H243" s="327"/>
    </row>
    <row r="244" spans="2:8" s="326" customFormat="1" ht="9.9499999999999993" customHeight="1" x14ac:dyDescent="0.2">
      <c r="B244" s="327"/>
      <c r="F244" s="327"/>
      <c r="H244" s="327"/>
    </row>
    <row r="245" spans="2:8" s="326" customFormat="1" ht="9.9499999999999993" customHeight="1" x14ac:dyDescent="0.2">
      <c r="B245" s="327"/>
      <c r="F245" s="327"/>
      <c r="H245" s="327"/>
    </row>
    <row r="246" spans="2:8" s="326" customFormat="1" ht="9.9499999999999993" customHeight="1" x14ac:dyDescent="0.2">
      <c r="B246" s="327"/>
      <c r="F246" s="327"/>
      <c r="H246" s="327"/>
    </row>
    <row r="247" spans="2:8" s="326" customFormat="1" ht="9.9499999999999993" customHeight="1" x14ac:dyDescent="0.2">
      <c r="B247" s="327"/>
      <c r="F247" s="327"/>
      <c r="H247" s="327"/>
    </row>
    <row r="248" spans="2:8" s="326" customFormat="1" ht="9.9499999999999993" customHeight="1" x14ac:dyDescent="0.2">
      <c r="B248" s="327"/>
      <c r="F248" s="327"/>
      <c r="H248" s="327"/>
    </row>
    <row r="249" spans="2:8" s="326" customFormat="1" ht="9.9499999999999993" customHeight="1" x14ac:dyDescent="0.2">
      <c r="B249" s="327"/>
      <c r="F249" s="327"/>
      <c r="H249" s="327"/>
    </row>
    <row r="250" spans="2:8" s="326" customFormat="1" ht="9.9499999999999993" customHeight="1" x14ac:dyDescent="0.2">
      <c r="B250" s="327"/>
      <c r="F250" s="327"/>
      <c r="H250" s="327"/>
    </row>
    <row r="251" spans="2:8" s="326" customFormat="1" ht="9.9499999999999993" customHeight="1" x14ac:dyDescent="0.2">
      <c r="B251" s="327"/>
      <c r="F251" s="327"/>
      <c r="H251" s="327"/>
    </row>
    <row r="252" spans="2:8" s="326" customFormat="1" ht="9.9499999999999993" customHeight="1" x14ac:dyDescent="0.2">
      <c r="B252" s="327"/>
      <c r="F252" s="327"/>
      <c r="H252" s="327"/>
    </row>
    <row r="253" spans="2:8" s="326" customFormat="1" ht="9.9499999999999993" customHeight="1" x14ac:dyDescent="0.2">
      <c r="B253" s="327"/>
      <c r="F253" s="327"/>
      <c r="H253" s="327"/>
    </row>
    <row r="254" spans="2:8" s="326" customFormat="1" ht="9.9499999999999993" customHeight="1" x14ac:dyDescent="0.2">
      <c r="B254" s="327"/>
      <c r="F254" s="327"/>
      <c r="H254" s="327"/>
    </row>
    <row r="255" spans="2:8" s="326" customFormat="1" ht="9.9499999999999993" customHeight="1" x14ac:dyDescent="0.2">
      <c r="B255" s="327"/>
      <c r="F255" s="327"/>
      <c r="H255" s="327"/>
    </row>
    <row r="256" spans="2:8" s="326" customFormat="1" ht="9.9499999999999993" customHeight="1" x14ac:dyDescent="0.2">
      <c r="B256" s="327"/>
      <c r="F256" s="327"/>
      <c r="H256" s="327"/>
    </row>
    <row r="257" spans="2:8" s="326" customFormat="1" ht="9.9499999999999993" customHeight="1" x14ac:dyDescent="0.2">
      <c r="B257" s="327"/>
      <c r="F257" s="327"/>
      <c r="H257" s="327"/>
    </row>
    <row r="258" spans="2:8" s="326" customFormat="1" ht="9.9499999999999993" customHeight="1" x14ac:dyDescent="0.2">
      <c r="B258" s="327"/>
      <c r="F258" s="327"/>
      <c r="H258" s="327"/>
    </row>
    <row r="259" spans="2:8" s="326" customFormat="1" ht="9.9499999999999993" customHeight="1" x14ac:dyDescent="0.2">
      <c r="B259" s="327"/>
      <c r="F259" s="327"/>
      <c r="H259" s="327"/>
    </row>
    <row r="260" spans="2:8" s="326" customFormat="1" ht="9.9499999999999993" customHeight="1" x14ac:dyDescent="0.2">
      <c r="B260" s="327"/>
      <c r="F260" s="327"/>
      <c r="H260" s="327"/>
    </row>
    <row r="261" spans="2:8" s="326" customFormat="1" ht="9.9499999999999993" customHeight="1" x14ac:dyDescent="0.2">
      <c r="B261" s="327"/>
      <c r="F261" s="327"/>
      <c r="H261" s="327"/>
    </row>
    <row r="262" spans="2:8" s="326" customFormat="1" ht="9.9499999999999993" customHeight="1" x14ac:dyDescent="0.2">
      <c r="B262" s="327"/>
      <c r="F262" s="327"/>
      <c r="H262" s="327"/>
    </row>
    <row r="263" spans="2:8" s="326" customFormat="1" ht="9.9499999999999993" customHeight="1" x14ac:dyDescent="0.2">
      <c r="B263" s="327"/>
      <c r="F263" s="327"/>
      <c r="H263" s="327"/>
    </row>
    <row r="264" spans="2:8" s="326" customFormat="1" ht="9.9499999999999993" customHeight="1" x14ac:dyDescent="0.2">
      <c r="B264" s="327"/>
      <c r="F264" s="327"/>
      <c r="H264" s="327"/>
    </row>
    <row r="265" spans="2:8" s="326" customFormat="1" ht="9.9499999999999993" customHeight="1" x14ac:dyDescent="0.2">
      <c r="B265" s="327"/>
      <c r="F265" s="327"/>
      <c r="H265" s="327"/>
    </row>
    <row r="266" spans="2:8" s="326" customFormat="1" ht="9.9499999999999993" customHeight="1" x14ac:dyDescent="0.2">
      <c r="B266" s="327"/>
      <c r="F266" s="327"/>
      <c r="H266" s="327"/>
    </row>
    <row r="267" spans="2:8" s="326" customFormat="1" ht="9.9499999999999993" customHeight="1" x14ac:dyDescent="0.2">
      <c r="B267" s="327"/>
      <c r="F267" s="327"/>
      <c r="H267" s="327"/>
    </row>
    <row r="268" spans="2:8" s="326" customFormat="1" ht="9.9499999999999993" customHeight="1" x14ac:dyDescent="0.2">
      <c r="B268" s="327"/>
      <c r="F268" s="327"/>
      <c r="H268" s="327"/>
    </row>
    <row r="269" spans="2:8" s="326" customFormat="1" ht="9.9499999999999993" customHeight="1" x14ac:dyDescent="0.2">
      <c r="B269" s="327"/>
      <c r="F269" s="327"/>
      <c r="H269" s="327"/>
    </row>
    <row r="270" spans="2:8" s="326" customFormat="1" ht="9.9499999999999993" customHeight="1" x14ac:dyDescent="0.2">
      <c r="B270" s="327"/>
      <c r="F270" s="327"/>
      <c r="H270" s="327"/>
    </row>
    <row r="271" spans="2:8" s="326" customFormat="1" ht="9.9499999999999993" customHeight="1" x14ac:dyDescent="0.2">
      <c r="B271" s="327"/>
      <c r="F271" s="327"/>
      <c r="H271" s="327"/>
    </row>
    <row r="272" spans="2:8" s="326" customFormat="1" ht="9.9499999999999993" customHeight="1" x14ac:dyDescent="0.2">
      <c r="B272" s="327"/>
      <c r="F272" s="327"/>
      <c r="H272" s="327"/>
    </row>
    <row r="273" spans="2:8" s="326" customFormat="1" ht="9.9499999999999993" customHeight="1" x14ac:dyDescent="0.2">
      <c r="B273" s="327"/>
      <c r="F273" s="327"/>
      <c r="H273" s="327"/>
    </row>
    <row r="274" spans="2:8" s="326" customFormat="1" ht="9.9499999999999993" customHeight="1" x14ac:dyDescent="0.2">
      <c r="B274" s="327"/>
      <c r="F274" s="327"/>
      <c r="H274" s="327"/>
    </row>
    <row r="275" spans="2:8" s="326" customFormat="1" ht="9.9499999999999993" customHeight="1" x14ac:dyDescent="0.2">
      <c r="B275" s="327"/>
      <c r="F275" s="327"/>
      <c r="H275" s="327"/>
    </row>
    <row r="276" spans="2:8" s="326" customFormat="1" ht="9.9499999999999993" customHeight="1" x14ac:dyDescent="0.2">
      <c r="B276" s="327"/>
      <c r="F276" s="327"/>
      <c r="H276" s="327"/>
    </row>
    <row r="277" spans="2:8" s="326" customFormat="1" ht="9.9499999999999993" customHeight="1" x14ac:dyDescent="0.2">
      <c r="B277" s="327"/>
      <c r="F277" s="327"/>
      <c r="H277" s="327"/>
    </row>
    <row r="278" spans="2:8" s="326" customFormat="1" ht="9.9499999999999993" customHeight="1" x14ac:dyDescent="0.2">
      <c r="B278" s="327"/>
      <c r="F278" s="327"/>
      <c r="H278" s="327"/>
    </row>
    <row r="279" spans="2:8" s="326" customFormat="1" ht="9.9499999999999993" customHeight="1" x14ac:dyDescent="0.2">
      <c r="B279" s="327"/>
      <c r="F279" s="327"/>
      <c r="H279" s="327"/>
    </row>
    <row r="280" spans="2:8" s="326" customFormat="1" ht="9.9499999999999993" customHeight="1" x14ac:dyDescent="0.2">
      <c r="B280" s="327"/>
      <c r="F280" s="327"/>
      <c r="H280" s="327"/>
    </row>
    <row r="281" spans="2:8" s="326" customFormat="1" ht="9.9499999999999993" customHeight="1" x14ac:dyDescent="0.2">
      <c r="B281" s="327"/>
      <c r="F281" s="327"/>
      <c r="H281" s="327"/>
    </row>
    <row r="282" spans="2:8" s="326" customFormat="1" ht="9.9499999999999993" customHeight="1" x14ac:dyDescent="0.2">
      <c r="B282" s="327"/>
      <c r="F282" s="327"/>
      <c r="H282" s="327"/>
    </row>
    <row r="283" spans="2:8" s="326" customFormat="1" ht="9.9499999999999993" customHeight="1" x14ac:dyDescent="0.2">
      <c r="B283" s="327"/>
      <c r="F283" s="327"/>
      <c r="H283" s="327"/>
    </row>
    <row r="284" spans="2:8" s="326" customFormat="1" ht="9.9499999999999993" customHeight="1" x14ac:dyDescent="0.2">
      <c r="B284" s="327"/>
      <c r="F284" s="327"/>
      <c r="H284" s="327"/>
    </row>
    <row r="285" spans="2:8" s="326" customFormat="1" ht="9.9499999999999993" customHeight="1" x14ac:dyDescent="0.2">
      <c r="B285" s="327"/>
      <c r="F285" s="327"/>
      <c r="H285" s="327"/>
    </row>
    <row r="286" spans="2:8" s="326" customFormat="1" ht="9.9499999999999993" customHeight="1" x14ac:dyDescent="0.2">
      <c r="B286" s="327"/>
      <c r="F286" s="327"/>
      <c r="H286" s="327"/>
    </row>
    <row r="287" spans="2:8" s="326" customFormat="1" ht="9.9499999999999993" customHeight="1" x14ac:dyDescent="0.2">
      <c r="B287" s="327"/>
      <c r="F287" s="327"/>
      <c r="H287" s="327"/>
    </row>
    <row r="288" spans="2:8" s="326" customFormat="1" ht="9.9499999999999993" customHeight="1" x14ac:dyDescent="0.2">
      <c r="B288" s="327"/>
      <c r="F288" s="327"/>
      <c r="H288" s="327"/>
    </row>
    <row r="289" spans="2:8" s="326" customFormat="1" ht="9.9499999999999993" customHeight="1" x14ac:dyDescent="0.2">
      <c r="B289" s="327"/>
      <c r="F289" s="327"/>
      <c r="H289" s="327"/>
    </row>
    <row r="290" spans="2:8" s="326" customFormat="1" ht="9.9499999999999993" customHeight="1" x14ac:dyDescent="0.2">
      <c r="B290" s="327"/>
      <c r="F290" s="327"/>
      <c r="H290" s="327"/>
    </row>
    <row r="291" spans="2:8" s="326" customFormat="1" ht="9.9499999999999993" customHeight="1" x14ac:dyDescent="0.2">
      <c r="B291" s="327"/>
      <c r="F291" s="327"/>
      <c r="H291" s="327"/>
    </row>
    <row r="292" spans="2:8" s="326" customFormat="1" ht="9.9499999999999993" customHeight="1" x14ac:dyDescent="0.2">
      <c r="B292" s="327"/>
      <c r="F292" s="327"/>
      <c r="H292" s="327"/>
    </row>
    <row r="293" spans="2:8" s="326" customFormat="1" ht="9.9499999999999993" customHeight="1" x14ac:dyDescent="0.2">
      <c r="B293" s="327"/>
      <c r="F293" s="327"/>
      <c r="H293" s="327"/>
    </row>
    <row r="294" spans="2:8" s="326" customFormat="1" ht="9.9499999999999993" customHeight="1" x14ac:dyDescent="0.2">
      <c r="B294" s="327"/>
      <c r="F294" s="327"/>
      <c r="H294" s="327"/>
    </row>
    <row r="295" spans="2:8" s="326" customFormat="1" ht="9.9499999999999993" customHeight="1" x14ac:dyDescent="0.2">
      <c r="B295" s="327"/>
      <c r="F295" s="327"/>
      <c r="H295" s="327"/>
    </row>
    <row r="296" spans="2:8" s="326" customFormat="1" ht="9.9499999999999993" customHeight="1" x14ac:dyDescent="0.2">
      <c r="B296" s="327"/>
      <c r="F296" s="327"/>
      <c r="H296" s="327"/>
    </row>
    <row r="297" spans="2:8" s="326" customFormat="1" ht="9.9499999999999993" customHeight="1" x14ac:dyDescent="0.2">
      <c r="B297" s="327"/>
      <c r="F297" s="327"/>
      <c r="H297" s="327"/>
    </row>
    <row r="298" spans="2:8" s="326" customFormat="1" ht="9.9499999999999993" customHeight="1" x14ac:dyDescent="0.2">
      <c r="B298" s="327"/>
      <c r="F298" s="327"/>
      <c r="H298" s="327"/>
    </row>
    <row r="299" spans="2:8" s="326" customFormat="1" ht="9.9499999999999993" customHeight="1" x14ac:dyDescent="0.2">
      <c r="B299" s="327"/>
      <c r="F299" s="327"/>
      <c r="H299" s="327"/>
    </row>
    <row r="300" spans="2:8" s="326" customFormat="1" ht="9.9499999999999993" customHeight="1" x14ac:dyDescent="0.2">
      <c r="B300" s="327"/>
      <c r="F300" s="327"/>
      <c r="H300" s="327"/>
    </row>
    <row r="301" spans="2:8" s="326" customFormat="1" ht="9.9499999999999993" customHeight="1" x14ac:dyDescent="0.2">
      <c r="B301" s="327"/>
      <c r="F301" s="327"/>
      <c r="H301" s="327"/>
    </row>
    <row r="302" spans="2:8" s="326" customFormat="1" ht="9.9499999999999993" customHeight="1" x14ac:dyDescent="0.2">
      <c r="B302" s="327"/>
      <c r="F302" s="327"/>
      <c r="H302" s="327"/>
    </row>
    <row r="303" spans="2:8" s="326" customFormat="1" ht="9.9499999999999993" customHeight="1" x14ac:dyDescent="0.2">
      <c r="B303" s="327"/>
      <c r="F303" s="327"/>
      <c r="H303" s="327"/>
    </row>
    <row r="304" spans="2:8" s="326" customFormat="1" ht="9.9499999999999993" customHeight="1" x14ac:dyDescent="0.2">
      <c r="B304" s="327"/>
      <c r="F304" s="327"/>
      <c r="H304" s="327"/>
    </row>
    <row r="305" spans="2:8" s="326" customFormat="1" ht="9.9499999999999993" customHeight="1" x14ac:dyDescent="0.2">
      <c r="B305" s="327"/>
      <c r="F305" s="327"/>
      <c r="H305" s="327"/>
    </row>
    <row r="306" spans="2:8" s="326" customFormat="1" ht="9.9499999999999993" customHeight="1" x14ac:dyDescent="0.2">
      <c r="B306" s="327"/>
      <c r="F306" s="327"/>
      <c r="H306" s="327"/>
    </row>
    <row r="307" spans="2:8" s="326" customFormat="1" ht="9.9499999999999993" customHeight="1" x14ac:dyDescent="0.2">
      <c r="B307" s="327"/>
      <c r="F307" s="327"/>
      <c r="H307" s="327"/>
    </row>
    <row r="308" spans="2:8" s="326" customFormat="1" ht="9.9499999999999993" customHeight="1" x14ac:dyDescent="0.2">
      <c r="B308" s="327"/>
      <c r="F308" s="327"/>
      <c r="H308" s="327"/>
    </row>
    <row r="309" spans="2:8" s="326" customFormat="1" ht="9.9499999999999993" customHeight="1" x14ac:dyDescent="0.2">
      <c r="B309" s="327"/>
      <c r="F309" s="327"/>
      <c r="H309" s="327"/>
    </row>
    <row r="310" spans="2:8" s="326" customFormat="1" ht="9.9499999999999993" customHeight="1" x14ac:dyDescent="0.2">
      <c r="B310" s="327"/>
      <c r="F310" s="327"/>
      <c r="H310" s="327"/>
    </row>
    <row r="311" spans="2:8" s="326" customFormat="1" ht="9.9499999999999993" customHeight="1" x14ac:dyDescent="0.2">
      <c r="B311" s="327"/>
      <c r="F311" s="327"/>
      <c r="H311" s="327"/>
    </row>
    <row r="312" spans="2:8" s="326" customFormat="1" ht="9.9499999999999993" customHeight="1" x14ac:dyDescent="0.2">
      <c r="B312" s="327"/>
      <c r="F312" s="327"/>
      <c r="H312" s="327"/>
    </row>
    <row r="313" spans="2:8" s="326" customFormat="1" ht="9.9499999999999993" customHeight="1" x14ac:dyDescent="0.2">
      <c r="B313" s="327"/>
      <c r="F313" s="327"/>
      <c r="H313" s="327"/>
    </row>
    <row r="314" spans="2:8" s="326" customFormat="1" ht="9.9499999999999993" customHeight="1" x14ac:dyDescent="0.2">
      <c r="B314" s="327"/>
      <c r="F314" s="327"/>
      <c r="H314" s="327"/>
    </row>
    <row r="315" spans="2:8" s="326" customFormat="1" ht="9.9499999999999993" customHeight="1" x14ac:dyDescent="0.2">
      <c r="B315" s="327"/>
      <c r="F315" s="327"/>
      <c r="H315" s="327"/>
    </row>
    <row r="316" spans="2:8" s="326" customFormat="1" ht="9.9499999999999993" customHeight="1" x14ac:dyDescent="0.2">
      <c r="B316" s="327"/>
      <c r="F316" s="327"/>
      <c r="H316" s="327"/>
    </row>
    <row r="317" spans="2:8" s="326" customFormat="1" ht="9.9499999999999993" customHeight="1" x14ac:dyDescent="0.2">
      <c r="B317" s="327"/>
      <c r="F317" s="327"/>
      <c r="H317" s="327"/>
    </row>
    <row r="318" spans="2:8" s="326" customFormat="1" ht="9.9499999999999993" customHeight="1" x14ac:dyDescent="0.2">
      <c r="B318" s="327"/>
      <c r="F318" s="327"/>
      <c r="H318" s="327"/>
    </row>
    <row r="319" spans="2:8" s="326" customFormat="1" ht="9.9499999999999993" customHeight="1" x14ac:dyDescent="0.2">
      <c r="B319" s="327"/>
      <c r="F319" s="327"/>
      <c r="H319" s="327"/>
    </row>
    <row r="320" spans="2:8" s="326" customFormat="1" ht="9.9499999999999993" customHeight="1" x14ac:dyDescent="0.2">
      <c r="B320" s="327"/>
      <c r="F320" s="327"/>
      <c r="H320" s="327"/>
    </row>
    <row r="321" spans="2:8" s="326" customFormat="1" ht="9.9499999999999993" customHeight="1" x14ac:dyDescent="0.2">
      <c r="B321" s="327"/>
      <c r="F321" s="327"/>
      <c r="H321" s="327"/>
    </row>
    <row r="322" spans="2:8" s="326" customFormat="1" ht="9.9499999999999993" customHeight="1" x14ac:dyDescent="0.2">
      <c r="B322" s="327"/>
      <c r="F322" s="327"/>
      <c r="H322" s="327"/>
    </row>
    <row r="323" spans="2:8" s="326" customFormat="1" ht="9.9499999999999993" customHeight="1" x14ac:dyDescent="0.2">
      <c r="B323" s="327"/>
      <c r="F323" s="327"/>
      <c r="H323" s="327"/>
    </row>
    <row r="324" spans="2:8" s="326" customFormat="1" ht="9.9499999999999993" customHeight="1" x14ac:dyDescent="0.2">
      <c r="B324" s="327"/>
      <c r="F324" s="327"/>
      <c r="H324" s="327"/>
    </row>
    <row r="325" spans="2:8" s="326" customFormat="1" ht="9.9499999999999993" customHeight="1" x14ac:dyDescent="0.2">
      <c r="B325" s="327"/>
      <c r="F325" s="327"/>
      <c r="H325" s="327"/>
    </row>
    <row r="326" spans="2:8" s="326" customFormat="1" ht="9.9499999999999993" customHeight="1" x14ac:dyDescent="0.2">
      <c r="B326" s="327"/>
      <c r="F326" s="327"/>
      <c r="H326" s="327"/>
    </row>
    <row r="327" spans="2:8" s="326" customFormat="1" ht="9.9499999999999993" customHeight="1" x14ac:dyDescent="0.2">
      <c r="B327" s="327"/>
      <c r="F327" s="327"/>
      <c r="H327" s="327"/>
    </row>
    <row r="328" spans="2:8" s="326" customFormat="1" ht="9.9499999999999993" customHeight="1" x14ac:dyDescent="0.2">
      <c r="B328" s="327"/>
      <c r="F328" s="327"/>
      <c r="H328" s="327"/>
    </row>
    <row r="329" spans="2:8" s="326" customFormat="1" ht="9.9499999999999993" customHeight="1" x14ac:dyDescent="0.2">
      <c r="B329" s="327"/>
      <c r="F329" s="327"/>
      <c r="H329" s="327"/>
    </row>
    <row r="330" spans="2:8" s="326" customFormat="1" ht="9.9499999999999993" customHeight="1" x14ac:dyDescent="0.2">
      <c r="B330" s="327"/>
      <c r="F330" s="327"/>
      <c r="H330" s="327"/>
    </row>
    <row r="331" spans="2:8" s="326" customFormat="1" ht="9.9499999999999993" customHeight="1" x14ac:dyDescent="0.2">
      <c r="B331" s="327"/>
      <c r="F331" s="327"/>
      <c r="H331" s="327"/>
    </row>
    <row r="332" spans="2:8" s="326" customFormat="1" ht="9.9499999999999993" customHeight="1" x14ac:dyDescent="0.2">
      <c r="B332" s="327"/>
      <c r="F332" s="327"/>
      <c r="H332" s="327"/>
    </row>
    <row r="333" spans="2:8" s="326" customFormat="1" ht="9.9499999999999993" customHeight="1" x14ac:dyDescent="0.2">
      <c r="B333" s="327"/>
      <c r="F333" s="327"/>
      <c r="H333" s="327"/>
    </row>
    <row r="334" spans="2:8" s="326" customFormat="1" ht="9.9499999999999993" customHeight="1" x14ac:dyDescent="0.2">
      <c r="B334" s="327"/>
      <c r="F334" s="327"/>
      <c r="H334" s="327"/>
    </row>
    <row r="335" spans="2:8" s="326" customFormat="1" ht="9.9499999999999993" customHeight="1" x14ac:dyDescent="0.2">
      <c r="B335" s="327"/>
      <c r="F335" s="327"/>
      <c r="H335" s="327"/>
    </row>
    <row r="336" spans="2:8" s="326" customFormat="1" ht="9.9499999999999993" customHeight="1" x14ac:dyDescent="0.2">
      <c r="B336" s="327"/>
      <c r="F336" s="327"/>
      <c r="H336" s="327"/>
    </row>
    <row r="337" spans="2:8" s="326" customFormat="1" ht="9.9499999999999993" customHeight="1" x14ac:dyDescent="0.2">
      <c r="B337" s="327"/>
      <c r="F337" s="327"/>
      <c r="H337" s="327"/>
    </row>
    <row r="338" spans="2:8" s="326" customFormat="1" ht="9.9499999999999993" customHeight="1" x14ac:dyDescent="0.2">
      <c r="B338" s="327"/>
      <c r="F338" s="327"/>
      <c r="H338" s="327"/>
    </row>
    <row r="339" spans="2:8" s="326" customFormat="1" ht="9.9499999999999993" customHeight="1" x14ac:dyDescent="0.2">
      <c r="B339" s="327"/>
      <c r="F339" s="327"/>
      <c r="H339" s="327"/>
    </row>
    <row r="340" spans="2:8" s="326" customFormat="1" ht="9.9499999999999993" customHeight="1" x14ac:dyDescent="0.2">
      <c r="B340" s="327"/>
      <c r="F340" s="327"/>
      <c r="H340" s="327"/>
    </row>
    <row r="341" spans="2:8" s="326" customFormat="1" ht="9.9499999999999993" customHeight="1" x14ac:dyDescent="0.2">
      <c r="B341" s="327"/>
      <c r="F341" s="327"/>
      <c r="H341" s="327"/>
    </row>
    <row r="342" spans="2:8" s="326" customFormat="1" ht="9.9499999999999993" customHeight="1" x14ac:dyDescent="0.2">
      <c r="B342" s="327"/>
      <c r="F342" s="327"/>
      <c r="H342" s="327"/>
    </row>
    <row r="343" spans="2:8" s="326" customFormat="1" ht="9.9499999999999993" customHeight="1" x14ac:dyDescent="0.2">
      <c r="B343" s="327"/>
      <c r="F343" s="327"/>
      <c r="H343" s="327"/>
    </row>
    <row r="344" spans="2:8" s="326" customFormat="1" ht="9.9499999999999993" customHeight="1" x14ac:dyDescent="0.2">
      <c r="B344" s="327"/>
      <c r="F344" s="327"/>
      <c r="H344" s="327"/>
    </row>
    <row r="345" spans="2:8" s="326" customFormat="1" ht="9.9499999999999993" customHeight="1" x14ac:dyDescent="0.2">
      <c r="B345" s="327"/>
      <c r="F345" s="327"/>
      <c r="H345" s="327"/>
    </row>
    <row r="346" spans="2:8" s="326" customFormat="1" ht="9.9499999999999993" customHeight="1" x14ac:dyDescent="0.2">
      <c r="B346" s="327"/>
      <c r="F346" s="327"/>
      <c r="H346" s="327"/>
    </row>
    <row r="347" spans="2:8" s="326" customFormat="1" ht="9.9499999999999993" customHeight="1" x14ac:dyDescent="0.2">
      <c r="B347" s="327"/>
      <c r="F347" s="327"/>
      <c r="H347" s="327"/>
    </row>
    <row r="348" spans="2:8" s="326" customFormat="1" ht="9.9499999999999993" customHeight="1" x14ac:dyDescent="0.2">
      <c r="B348" s="327"/>
      <c r="F348" s="327"/>
      <c r="H348" s="327"/>
    </row>
    <row r="349" spans="2:8" s="326" customFormat="1" ht="9.9499999999999993" customHeight="1" x14ac:dyDescent="0.2">
      <c r="B349" s="327"/>
      <c r="F349" s="327"/>
      <c r="H349" s="327"/>
    </row>
    <row r="350" spans="2:8" s="326" customFormat="1" ht="9.9499999999999993" customHeight="1" x14ac:dyDescent="0.2">
      <c r="B350" s="327"/>
      <c r="F350" s="327"/>
      <c r="H350" s="327"/>
    </row>
    <row r="351" spans="2:8" s="326" customFormat="1" ht="9.9499999999999993" customHeight="1" x14ac:dyDescent="0.2">
      <c r="B351" s="327"/>
      <c r="F351" s="327"/>
      <c r="H351" s="327"/>
    </row>
    <row r="352" spans="2:8" s="326" customFormat="1" ht="9.9499999999999993" customHeight="1" x14ac:dyDescent="0.2">
      <c r="B352" s="327"/>
      <c r="F352" s="327"/>
      <c r="H352" s="327"/>
    </row>
    <row r="353" spans="2:8" s="326" customFormat="1" ht="9.9499999999999993" customHeight="1" x14ac:dyDescent="0.2">
      <c r="B353" s="327"/>
      <c r="F353" s="327"/>
      <c r="H353" s="327"/>
    </row>
    <row r="354" spans="2:8" s="326" customFormat="1" ht="9.9499999999999993" customHeight="1" x14ac:dyDescent="0.2">
      <c r="B354" s="327"/>
      <c r="F354" s="327"/>
      <c r="H354" s="327"/>
    </row>
    <row r="355" spans="2:8" s="326" customFormat="1" ht="9.9499999999999993" customHeight="1" x14ac:dyDescent="0.2">
      <c r="B355" s="327"/>
      <c r="F355" s="327"/>
      <c r="H355" s="327"/>
    </row>
    <row r="356" spans="2:8" s="326" customFormat="1" ht="9.9499999999999993" customHeight="1" x14ac:dyDescent="0.2">
      <c r="B356" s="327"/>
      <c r="F356" s="327"/>
      <c r="H356" s="327"/>
    </row>
    <row r="357" spans="2:8" s="326" customFormat="1" ht="9.9499999999999993" customHeight="1" x14ac:dyDescent="0.2">
      <c r="B357" s="327"/>
      <c r="F357" s="327"/>
      <c r="H357" s="327"/>
    </row>
    <row r="358" spans="2:8" s="326" customFormat="1" ht="9.9499999999999993" customHeight="1" x14ac:dyDescent="0.2">
      <c r="B358" s="327"/>
      <c r="F358" s="327"/>
      <c r="H358" s="327"/>
    </row>
    <row r="359" spans="2:8" s="326" customFormat="1" ht="9.9499999999999993" customHeight="1" x14ac:dyDescent="0.2">
      <c r="B359" s="327"/>
      <c r="F359" s="327"/>
      <c r="H359" s="327"/>
    </row>
    <row r="360" spans="2:8" s="326" customFormat="1" ht="9.9499999999999993" customHeight="1" x14ac:dyDescent="0.2">
      <c r="B360" s="327"/>
      <c r="F360" s="327"/>
      <c r="H360" s="327"/>
    </row>
    <row r="361" spans="2:8" s="326" customFormat="1" ht="9.9499999999999993" customHeight="1" x14ac:dyDescent="0.2">
      <c r="B361" s="327"/>
      <c r="F361" s="327"/>
      <c r="H361" s="327"/>
    </row>
    <row r="362" spans="2:8" s="326" customFormat="1" ht="9.9499999999999993" customHeight="1" x14ac:dyDescent="0.2">
      <c r="B362" s="327"/>
      <c r="F362" s="327"/>
      <c r="H362" s="327"/>
    </row>
    <row r="363" spans="2:8" s="326" customFormat="1" ht="9.9499999999999993" customHeight="1" x14ac:dyDescent="0.2">
      <c r="B363" s="327"/>
      <c r="F363" s="327"/>
      <c r="H363" s="327"/>
    </row>
    <row r="364" spans="2:8" s="326" customFormat="1" ht="9.9499999999999993" customHeight="1" x14ac:dyDescent="0.2">
      <c r="B364" s="327"/>
      <c r="F364" s="327"/>
      <c r="H364" s="327"/>
    </row>
    <row r="365" spans="2:8" s="326" customFormat="1" ht="9.9499999999999993" customHeight="1" x14ac:dyDescent="0.2">
      <c r="B365" s="327"/>
      <c r="F365" s="327"/>
      <c r="H365" s="327"/>
    </row>
    <row r="366" spans="2:8" s="326" customFormat="1" ht="9.9499999999999993" customHeight="1" x14ac:dyDescent="0.2">
      <c r="B366" s="327"/>
      <c r="F366" s="327"/>
      <c r="H366" s="327"/>
    </row>
    <row r="367" spans="2:8" s="326" customFormat="1" ht="9.9499999999999993" customHeight="1" x14ac:dyDescent="0.2">
      <c r="B367" s="327"/>
      <c r="F367" s="327"/>
      <c r="H367" s="327"/>
    </row>
    <row r="368" spans="2:8" s="326" customFormat="1" ht="9.9499999999999993" customHeight="1" x14ac:dyDescent="0.2">
      <c r="B368" s="327"/>
      <c r="F368" s="327"/>
      <c r="H368" s="327"/>
    </row>
    <row r="369" spans="2:8" s="326" customFormat="1" ht="9.9499999999999993" customHeight="1" x14ac:dyDescent="0.2">
      <c r="B369" s="327"/>
      <c r="F369" s="327"/>
      <c r="H369" s="327"/>
    </row>
    <row r="370" spans="2:8" s="326" customFormat="1" ht="9.9499999999999993" customHeight="1" x14ac:dyDescent="0.2">
      <c r="B370" s="327"/>
      <c r="F370" s="327"/>
      <c r="H370" s="327"/>
    </row>
    <row r="371" spans="2:8" s="326" customFormat="1" ht="9.9499999999999993" customHeight="1" x14ac:dyDescent="0.2">
      <c r="B371" s="327"/>
      <c r="F371" s="327"/>
      <c r="H371" s="327"/>
    </row>
    <row r="372" spans="2:8" s="326" customFormat="1" ht="9.9499999999999993" customHeight="1" x14ac:dyDescent="0.2">
      <c r="B372" s="327"/>
      <c r="F372" s="327"/>
      <c r="H372" s="327"/>
    </row>
    <row r="373" spans="2:8" s="326" customFormat="1" ht="9.9499999999999993" customHeight="1" x14ac:dyDescent="0.2">
      <c r="B373" s="327"/>
      <c r="F373" s="327"/>
      <c r="H373" s="327"/>
    </row>
    <row r="374" spans="2:8" s="326" customFormat="1" ht="9.9499999999999993" customHeight="1" x14ac:dyDescent="0.2">
      <c r="B374" s="327"/>
      <c r="F374" s="327"/>
      <c r="H374" s="327"/>
    </row>
    <row r="375" spans="2:8" s="326" customFormat="1" ht="9.9499999999999993" customHeight="1" x14ac:dyDescent="0.2">
      <c r="B375" s="327"/>
      <c r="F375" s="327"/>
      <c r="H375" s="327"/>
    </row>
    <row r="376" spans="2:8" s="326" customFormat="1" ht="9.9499999999999993" customHeight="1" x14ac:dyDescent="0.2">
      <c r="B376" s="327"/>
      <c r="F376" s="327"/>
      <c r="H376" s="327"/>
    </row>
    <row r="377" spans="2:8" s="326" customFormat="1" ht="9.9499999999999993" customHeight="1" x14ac:dyDescent="0.2">
      <c r="B377" s="327"/>
      <c r="F377" s="327"/>
      <c r="H377" s="327"/>
    </row>
    <row r="378" spans="2:8" s="326" customFormat="1" ht="9.9499999999999993" customHeight="1" x14ac:dyDescent="0.2">
      <c r="B378" s="327"/>
      <c r="F378" s="327"/>
      <c r="H378" s="327"/>
    </row>
    <row r="379" spans="2:8" s="326" customFormat="1" ht="9.9499999999999993" customHeight="1" x14ac:dyDescent="0.2">
      <c r="B379" s="327"/>
      <c r="F379" s="327"/>
      <c r="H379" s="327"/>
    </row>
    <row r="380" spans="2:8" s="326" customFormat="1" ht="9.9499999999999993" customHeight="1" x14ac:dyDescent="0.2">
      <c r="B380" s="327"/>
      <c r="F380" s="327"/>
      <c r="H380" s="327"/>
    </row>
    <row r="381" spans="2:8" s="326" customFormat="1" ht="9.9499999999999993" customHeight="1" x14ac:dyDescent="0.2">
      <c r="B381" s="327"/>
      <c r="F381" s="327"/>
      <c r="H381" s="327"/>
    </row>
    <row r="382" spans="2:8" s="326" customFormat="1" ht="9.9499999999999993" customHeight="1" x14ac:dyDescent="0.2">
      <c r="B382" s="327"/>
      <c r="F382" s="327"/>
      <c r="H382" s="327"/>
    </row>
    <row r="383" spans="2:8" s="326" customFormat="1" ht="9.9499999999999993" customHeight="1" x14ac:dyDescent="0.2">
      <c r="B383" s="327"/>
      <c r="F383" s="327"/>
      <c r="H383" s="327"/>
    </row>
    <row r="384" spans="2:8" s="326" customFormat="1" ht="9.9499999999999993" customHeight="1" x14ac:dyDescent="0.2">
      <c r="B384" s="327"/>
      <c r="F384" s="327"/>
      <c r="H384" s="327"/>
    </row>
    <row r="385" spans="2:8" s="326" customFormat="1" ht="9.9499999999999993" customHeight="1" x14ac:dyDescent="0.2">
      <c r="B385" s="327"/>
      <c r="F385" s="327"/>
      <c r="H385" s="327"/>
    </row>
    <row r="386" spans="2:8" s="326" customFormat="1" ht="9.9499999999999993" customHeight="1" x14ac:dyDescent="0.2">
      <c r="B386" s="327"/>
      <c r="F386" s="327"/>
      <c r="H386" s="327"/>
    </row>
    <row r="387" spans="2:8" s="326" customFormat="1" ht="9.9499999999999993" customHeight="1" x14ac:dyDescent="0.2">
      <c r="B387" s="327"/>
      <c r="F387" s="327"/>
      <c r="H387" s="327"/>
    </row>
    <row r="388" spans="2:8" s="326" customFormat="1" ht="9.9499999999999993" customHeight="1" x14ac:dyDescent="0.2">
      <c r="B388" s="327"/>
      <c r="F388" s="327"/>
      <c r="H388" s="327"/>
    </row>
    <row r="389" spans="2:8" s="326" customFormat="1" ht="9.9499999999999993" customHeight="1" x14ac:dyDescent="0.2">
      <c r="B389" s="327"/>
      <c r="F389" s="327"/>
      <c r="H389" s="327"/>
    </row>
    <row r="390" spans="2:8" s="326" customFormat="1" ht="9.9499999999999993" customHeight="1" x14ac:dyDescent="0.2">
      <c r="B390" s="327"/>
      <c r="F390" s="327"/>
      <c r="H390" s="327"/>
    </row>
    <row r="391" spans="2:8" s="326" customFormat="1" ht="9.9499999999999993" customHeight="1" x14ac:dyDescent="0.2">
      <c r="B391" s="327"/>
      <c r="F391" s="327"/>
      <c r="H391" s="327"/>
    </row>
    <row r="392" spans="2:8" s="326" customFormat="1" ht="9.9499999999999993" customHeight="1" x14ac:dyDescent="0.2">
      <c r="B392" s="327"/>
      <c r="F392" s="327"/>
      <c r="H392" s="327"/>
    </row>
    <row r="393" spans="2:8" s="326" customFormat="1" ht="9.9499999999999993" customHeight="1" x14ac:dyDescent="0.2">
      <c r="B393" s="327"/>
      <c r="F393" s="327"/>
      <c r="H393" s="327"/>
    </row>
    <row r="394" spans="2:8" s="326" customFormat="1" ht="9.9499999999999993" customHeight="1" x14ac:dyDescent="0.2">
      <c r="B394" s="327"/>
      <c r="F394" s="327"/>
      <c r="H394" s="327"/>
    </row>
    <row r="395" spans="2:8" s="326" customFormat="1" ht="9.9499999999999993" customHeight="1" x14ac:dyDescent="0.2">
      <c r="B395" s="327"/>
      <c r="F395" s="327"/>
      <c r="H395" s="327"/>
    </row>
    <row r="396" spans="2:8" s="326" customFormat="1" ht="9.9499999999999993" customHeight="1" x14ac:dyDescent="0.2">
      <c r="B396" s="327"/>
      <c r="F396" s="327"/>
      <c r="H396" s="327"/>
    </row>
    <row r="397" spans="2:8" s="326" customFormat="1" ht="9.9499999999999993" customHeight="1" x14ac:dyDescent="0.2">
      <c r="B397" s="327"/>
      <c r="F397" s="327"/>
      <c r="H397" s="327"/>
    </row>
    <row r="398" spans="2:8" s="326" customFormat="1" ht="9.9499999999999993" customHeight="1" x14ac:dyDescent="0.2">
      <c r="B398" s="327"/>
      <c r="F398" s="327"/>
      <c r="H398" s="327"/>
    </row>
    <row r="399" spans="2:8" s="326" customFormat="1" ht="9.9499999999999993" customHeight="1" x14ac:dyDescent="0.2">
      <c r="B399" s="327"/>
      <c r="F399" s="327"/>
      <c r="H399" s="327"/>
    </row>
    <row r="400" spans="2:8" s="326" customFormat="1" ht="9.9499999999999993" customHeight="1" x14ac:dyDescent="0.2">
      <c r="B400" s="327"/>
      <c r="F400" s="327"/>
      <c r="H400" s="327"/>
    </row>
    <row r="401" spans="2:8" s="326" customFormat="1" ht="9.9499999999999993" customHeight="1" x14ac:dyDescent="0.2">
      <c r="B401" s="327"/>
      <c r="F401" s="327"/>
      <c r="H401" s="327"/>
    </row>
    <row r="402" spans="2:8" s="326" customFormat="1" ht="9.9499999999999993" customHeight="1" x14ac:dyDescent="0.2">
      <c r="B402" s="327"/>
      <c r="F402" s="327"/>
      <c r="H402" s="327"/>
    </row>
    <row r="403" spans="2:8" s="326" customFormat="1" ht="9.9499999999999993" customHeight="1" x14ac:dyDescent="0.2">
      <c r="B403" s="327"/>
      <c r="F403" s="327"/>
      <c r="H403" s="327"/>
    </row>
    <row r="404" spans="2:8" s="326" customFormat="1" ht="9.9499999999999993" customHeight="1" x14ac:dyDescent="0.2">
      <c r="B404" s="327"/>
      <c r="F404" s="327"/>
      <c r="H404" s="327"/>
    </row>
    <row r="405" spans="2:8" s="326" customFormat="1" ht="9.9499999999999993" customHeight="1" x14ac:dyDescent="0.2">
      <c r="B405" s="327"/>
      <c r="F405" s="327"/>
      <c r="H405" s="327"/>
    </row>
    <row r="406" spans="2:8" s="326" customFormat="1" ht="9.9499999999999993" customHeight="1" x14ac:dyDescent="0.2">
      <c r="B406" s="327"/>
      <c r="F406" s="327"/>
      <c r="H406" s="327"/>
    </row>
    <row r="407" spans="2:8" s="326" customFormat="1" ht="9.9499999999999993" customHeight="1" x14ac:dyDescent="0.2">
      <c r="B407" s="327"/>
      <c r="F407" s="327"/>
      <c r="H407" s="327"/>
    </row>
    <row r="408" spans="2:8" s="326" customFormat="1" ht="9.9499999999999993" customHeight="1" x14ac:dyDescent="0.2">
      <c r="B408" s="327"/>
      <c r="F408" s="327"/>
      <c r="H408" s="327"/>
    </row>
    <row r="409" spans="2:8" s="326" customFormat="1" ht="9.9499999999999993" customHeight="1" x14ac:dyDescent="0.2">
      <c r="B409" s="327"/>
      <c r="F409" s="327"/>
      <c r="H409" s="327"/>
    </row>
    <row r="410" spans="2:8" s="326" customFormat="1" ht="9.9499999999999993" customHeight="1" x14ac:dyDescent="0.2">
      <c r="B410" s="327"/>
      <c r="F410" s="327"/>
      <c r="H410" s="327"/>
    </row>
    <row r="411" spans="2:8" s="326" customFormat="1" ht="9.9499999999999993" customHeight="1" x14ac:dyDescent="0.2">
      <c r="B411" s="327"/>
      <c r="F411" s="327"/>
      <c r="H411" s="327"/>
    </row>
    <row r="412" spans="2:8" s="326" customFormat="1" ht="9.9499999999999993" customHeight="1" x14ac:dyDescent="0.2">
      <c r="B412" s="327"/>
      <c r="F412" s="327"/>
      <c r="H412" s="327"/>
    </row>
    <row r="413" spans="2:8" s="326" customFormat="1" ht="9.9499999999999993" customHeight="1" x14ac:dyDescent="0.2">
      <c r="B413" s="327"/>
      <c r="F413" s="327"/>
      <c r="H413" s="327"/>
    </row>
    <row r="414" spans="2:8" s="326" customFormat="1" ht="9.9499999999999993" customHeight="1" x14ac:dyDescent="0.2">
      <c r="B414" s="327"/>
      <c r="F414" s="327"/>
      <c r="H414" s="327"/>
    </row>
    <row r="415" spans="2:8" s="326" customFormat="1" ht="9.9499999999999993" customHeight="1" x14ac:dyDescent="0.2">
      <c r="B415" s="327"/>
      <c r="F415" s="327"/>
      <c r="H415" s="327"/>
    </row>
    <row r="416" spans="2:8" s="326" customFormat="1" ht="9.9499999999999993" customHeight="1" x14ac:dyDescent="0.2">
      <c r="B416" s="327"/>
      <c r="F416" s="327"/>
      <c r="H416" s="327"/>
    </row>
    <row r="417" spans="2:8" s="326" customFormat="1" ht="9.9499999999999993" customHeight="1" x14ac:dyDescent="0.2">
      <c r="B417" s="327"/>
      <c r="F417" s="327"/>
      <c r="H417" s="327"/>
    </row>
    <row r="418" spans="2:8" s="326" customFormat="1" ht="9.9499999999999993" customHeight="1" x14ac:dyDescent="0.2">
      <c r="B418" s="327"/>
      <c r="F418" s="327"/>
      <c r="H418" s="327"/>
    </row>
    <row r="419" spans="2:8" s="326" customFormat="1" ht="9.9499999999999993" customHeight="1" x14ac:dyDescent="0.2">
      <c r="B419" s="327"/>
      <c r="F419" s="327"/>
      <c r="H419" s="327"/>
    </row>
    <row r="420" spans="2:8" s="326" customFormat="1" ht="9.9499999999999993" customHeight="1" x14ac:dyDescent="0.2">
      <c r="B420" s="327"/>
      <c r="F420" s="327"/>
      <c r="H420" s="327"/>
    </row>
    <row r="421" spans="2:8" s="326" customFormat="1" ht="9.9499999999999993" customHeight="1" x14ac:dyDescent="0.2">
      <c r="B421" s="327"/>
      <c r="F421" s="327"/>
      <c r="H421" s="327"/>
    </row>
    <row r="422" spans="2:8" s="326" customFormat="1" ht="9.9499999999999993" customHeight="1" x14ac:dyDescent="0.2">
      <c r="B422" s="327"/>
      <c r="F422" s="327"/>
      <c r="H422" s="327"/>
    </row>
    <row r="423" spans="2:8" s="326" customFormat="1" ht="9.9499999999999993" customHeight="1" x14ac:dyDescent="0.2">
      <c r="B423" s="327"/>
      <c r="F423" s="327"/>
      <c r="H423" s="327"/>
    </row>
    <row r="424" spans="2:8" s="326" customFormat="1" ht="9.9499999999999993" customHeight="1" x14ac:dyDescent="0.2">
      <c r="B424" s="327"/>
      <c r="F424" s="327"/>
      <c r="H424" s="327"/>
    </row>
    <row r="425" spans="2:8" s="326" customFormat="1" ht="9.9499999999999993" customHeight="1" x14ac:dyDescent="0.2">
      <c r="B425" s="327"/>
      <c r="F425" s="327"/>
      <c r="H425" s="327"/>
    </row>
    <row r="426" spans="2:8" s="326" customFormat="1" ht="9.9499999999999993" customHeight="1" x14ac:dyDescent="0.2">
      <c r="B426" s="327"/>
      <c r="F426" s="327"/>
      <c r="H426" s="327"/>
    </row>
    <row r="427" spans="2:8" s="326" customFormat="1" ht="9.9499999999999993" customHeight="1" x14ac:dyDescent="0.2">
      <c r="B427" s="327"/>
      <c r="F427" s="327"/>
      <c r="H427" s="327"/>
    </row>
    <row r="428" spans="2:8" s="326" customFormat="1" ht="9.9499999999999993" customHeight="1" x14ac:dyDescent="0.2">
      <c r="B428" s="327"/>
      <c r="F428" s="327"/>
      <c r="H428" s="327"/>
    </row>
    <row r="429" spans="2:8" s="326" customFormat="1" ht="9.9499999999999993" customHeight="1" x14ac:dyDescent="0.2">
      <c r="B429" s="327"/>
      <c r="F429" s="327"/>
      <c r="H429" s="327"/>
    </row>
    <row r="430" spans="2:8" s="326" customFormat="1" ht="9.9499999999999993" customHeight="1" x14ac:dyDescent="0.2">
      <c r="B430" s="327"/>
      <c r="F430" s="327"/>
      <c r="H430" s="327"/>
    </row>
    <row r="431" spans="2:8" s="326" customFormat="1" ht="9.9499999999999993" customHeight="1" x14ac:dyDescent="0.2">
      <c r="B431" s="327"/>
      <c r="F431" s="327"/>
      <c r="H431" s="327"/>
    </row>
    <row r="432" spans="2:8" s="326" customFormat="1" ht="9.9499999999999993" customHeight="1" x14ac:dyDescent="0.2">
      <c r="B432" s="327"/>
      <c r="F432" s="327"/>
      <c r="H432" s="327"/>
    </row>
    <row r="433" spans="2:8" s="326" customFormat="1" ht="9.9499999999999993" customHeight="1" x14ac:dyDescent="0.2">
      <c r="B433" s="327"/>
      <c r="F433" s="327"/>
      <c r="H433" s="327"/>
    </row>
    <row r="434" spans="2:8" s="326" customFormat="1" ht="9.9499999999999993" customHeight="1" x14ac:dyDescent="0.2">
      <c r="B434" s="327"/>
      <c r="F434" s="327"/>
      <c r="H434" s="327"/>
    </row>
    <row r="435" spans="2:8" s="326" customFormat="1" ht="9.9499999999999993" customHeight="1" x14ac:dyDescent="0.2">
      <c r="B435" s="327"/>
      <c r="F435" s="327"/>
      <c r="H435" s="327"/>
    </row>
    <row r="436" spans="2:8" s="326" customFormat="1" ht="9.9499999999999993" customHeight="1" x14ac:dyDescent="0.2">
      <c r="B436" s="327"/>
      <c r="F436" s="327"/>
      <c r="H436" s="327"/>
    </row>
    <row r="437" spans="2:8" s="326" customFormat="1" ht="9.9499999999999993" customHeight="1" x14ac:dyDescent="0.2">
      <c r="B437" s="327"/>
      <c r="F437" s="327"/>
      <c r="H437" s="327"/>
    </row>
    <row r="438" spans="2:8" s="326" customFormat="1" ht="9.9499999999999993" customHeight="1" x14ac:dyDescent="0.2">
      <c r="B438" s="327"/>
      <c r="F438" s="327"/>
      <c r="H438" s="327"/>
    </row>
    <row r="439" spans="2:8" s="326" customFormat="1" ht="9.9499999999999993" customHeight="1" x14ac:dyDescent="0.2">
      <c r="B439" s="327"/>
      <c r="F439" s="327"/>
      <c r="H439" s="327"/>
    </row>
    <row r="440" spans="2:8" s="326" customFormat="1" ht="9.9499999999999993" customHeight="1" x14ac:dyDescent="0.2">
      <c r="B440" s="327"/>
      <c r="F440" s="327"/>
      <c r="H440" s="327"/>
    </row>
    <row r="441" spans="2:8" s="326" customFormat="1" ht="9.9499999999999993" customHeight="1" x14ac:dyDescent="0.2">
      <c r="B441" s="327"/>
      <c r="F441" s="327"/>
      <c r="H441" s="327"/>
    </row>
    <row r="442" spans="2:8" s="326" customFormat="1" ht="9.9499999999999993" customHeight="1" x14ac:dyDescent="0.2">
      <c r="B442" s="327"/>
      <c r="F442" s="327"/>
      <c r="H442" s="327"/>
    </row>
    <row r="443" spans="2:8" s="326" customFormat="1" ht="9.9499999999999993" customHeight="1" x14ac:dyDescent="0.2">
      <c r="B443" s="327"/>
      <c r="F443" s="327"/>
      <c r="H443" s="327"/>
    </row>
    <row r="444" spans="2:8" s="326" customFormat="1" ht="9.9499999999999993" customHeight="1" x14ac:dyDescent="0.2">
      <c r="B444" s="327"/>
      <c r="F444" s="327"/>
      <c r="H444" s="327"/>
    </row>
    <row r="445" spans="2:8" s="326" customFormat="1" ht="9.9499999999999993" customHeight="1" x14ac:dyDescent="0.2">
      <c r="B445" s="327"/>
      <c r="F445" s="327"/>
      <c r="H445" s="327"/>
    </row>
    <row r="446" spans="2:8" s="326" customFormat="1" ht="9.9499999999999993" customHeight="1" x14ac:dyDescent="0.2">
      <c r="B446" s="327"/>
      <c r="F446" s="327"/>
      <c r="H446" s="327"/>
    </row>
    <row r="447" spans="2:8" s="326" customFormat="1" ht="9.9499999999999993" customHeight="1" x14ac:dyDescent="0.2">
      <c r="B447" s="327"/>
      <c r="F447" s="327"/>
      <c r="H447" s="327"/>
    </row>
    <row r="448" spans="2:8" s="326" customFormat="1" ht="9.9499999999999993" customHeight="1" x14ac:dyDescent="0.2">
      <c r="B448" s="327"/>
      <c r="F448" s="327"/>
      <c r="H448" s="327"/>
    </row>
    <row r="449" spans="2:8" s="326" customFormat="1" ht="9.9499999999999993" customHeight="1" x14ac:dyDescent="0.2">
      <c r="B449" s="327"/>
      <c r="F449" s="327"/>
      <c r="H449" s="327"/>
    </row>
    <row r="450" spans="2:8" s="326" customFormat="1" ht="9.9499999999999993" customHeight="1" x14ac:dyDescent="0.2">
      <c r="B450" s="327"/>
      <c r="F450" s="327"/>
      <c r="H450" s="327"/>
    </row>
    <row r="451" spans="2:8" s="326" customFormat="1" ht="9.9499999999999993" customHeight="1" x14ac:dyDescent="0.2">
      <c r="B451" s="327"/>
      <c r="F451" s="327"/>
      <c r="H451" s="327"/>
    </row>
    <row r="452" spans="2:8" s="326" customFormat="1" ht="9.9499999999999993" customHeight="1" x14ac:dyDescent="0.2">
      <c r="B452" s="327"/>
      <c r="F452" s="327"/>
      <c r="H452" s="327"/>
    </row>
    <row r="453" spans="2:8" s="326" customFormat="1" ht="9.9499999999999993" customHeight="1" x14ac:dyDescent="0.2">
      <c r="B453" s="327"/>
      <c r="F453" s="327"/>
      <c r="H453" s="327"/>
    </row>
    <row r="454" spans="2:8" s="326" customFormat="1" ht="9.9499999999999993" customHeight="1" x14ac:dyDescent="0.2">
      <c r="B454" s="327"/>
      <c r="F454" s="327"/>
      <c r="H454" s="327"/>
    </row>
    <row r="455" spans="2:8" s="326" customFormat="1" ht="9.9499999999999993" customHeight="1" x14ac:dyDescent="0.2">
      <c r="B455" s="327"/>
      <c r="F455" s="327"/>
      <c r="H455" s="327"/>
    </row>
    <row r="456" spans="2:8" s="326" customFormat="1" ht="9.9499999999999993" customHeight="1" x14ac:dyDescent="0.2">
      <c r="B456" s="327"/>
      <c r="F456" s="327"/>
      <c r="H456" s="327"/>
    </row>
    <row r="457" spans="2:8" s="326" customFormat="1" ht="9.9499999999999993" customHeight="1" x14ac:dyDescent="0.2">
      <c r="B457" s="327"/>
      <c r="F457" s="327"/>
      <c r="H457" s="327"/>
    </row>
    <row r="458" spans="2:8" s="326" customFormat="1" ht="9.9499999999999993" customHeight="1" x14ac:dyDescent="0.2">
      <c r="B458" s="327"/>
      <c r="F458" s="327"/>
      <c r="H458" s="327"/>
    </row>
    <row r="459" spans="2:8" s="326" customFormat="1" ht="9.9499999999999993" customHeight="1" x14ac:dyDescent="0.2">
      <c r="B459" s="327"/>
      <c r="F459" s="327"/>
      <c r="H459" s="327"/>
    </row>
    <row r="460" spans="2:8" s="326" customFormat="1" ht="9.9499999999999993" customHeight="1" x14ac:dyDescent="0.2">
      <c r="B460" s="327"/>
      <c r="F460" s="327"/>
      <c r="H460" s="327"/>
    </row>
    <row r="461" spans="2:8" s="326" customFormat="1" ht="9.9499999999999993" customHeight="1" x14ac:dyDescent="0.2">
      <c r="B461" s="327"/>
      <c r="F461" s="327"/>
      <c r="H461" s="327"/>
    </row>
    <row r="462" spans="2:8" s="326" customFormat="1" ht="9.9499999999999993" customHeight="1" x14ac:dyDescent="0.2">
      <c r="B462" s="327"/>
      <c r="F462" s="327"/>
      <c r="H462" s="327"/>
    </row>
    <row r="463" spans="2:8" s="326" customFormat="1" ht="9.9499999999999993" customHeight="1" x14ac:dyDescent="0.2">
      <c r="B463" s="327"/>
      <c r="F463" s="327"/>
      <c r="H463" s="327"/>
    </row>
    <row r="464" spans="2:8" s="326" customFormat="1" ht="9.9499999999999993" customHeight="1" x14ac:dyDescent="0.2">
      <c r="B464" s="327"/>
      <c r="F464" s="327"/>
      <c r="H464" s="327"/>
    </row>
    <row r="465" spans="2:8" s="326" customFormat="1" ht="9.9499999999999993" customHeight="1" x14ac:dyDescent="0.2">
      <c r="B465" s="327"/>
      <c r="F465" s="327"/>
      <c r="H465" s="327"/>
    </row>
    <row r="466" spans="2:8" s="326" customFormat="1" ht="9.9499999999999993" customHeight="1" x14ac:dyDescent="0.2">
      <c r="B466" s="327"/>
      <c r="F466" s="327"/>
      <c r="H466" s="327"/>
    </row>
    <row r="467" spans="2:8" s="326" customFormat="1" ht="9.9499999999999993" customHeight="1" x14ac:dyDescent="0.2">
      <c r="B467" s="327"/>
      <c r="F467" s="327"/>
      <c r="H467" s="327"/>
    </row>
    <row r="468" spans="2:8" s="326" customFormat="1" ht="9.9499999999999993" customHeight="1" x14ac:dyDescent="0.2">
      <c r="B468" s="327"/>
      <c r="F468" s="327"/>
      <c r="H468" s="327"/>
    </row>
    <row r="469" spans="2:8" s="326" customFormat="1" ht="9.9499999999999993" customHeight="1" x14ac:dyDescent="0.2">
      <c r="B469" s="327"/>
      <c r="F469" s="327"/>
      <c r="H469" s="327"/>
    </row>
    <row r="470" spans="2:8" s="326" customFormat="1" ht="9.9499999999999993" customHeight="1" x14ac:dyDescent="0.2">
      <c r="B470" s="327"/>
      <c r="F470" s="327"/>
      <c r="H470" s="327"/>
    </row>
    <row r="471" spans="2:8" s="326" customFormat="1" ht="9.9499999999999993" customHeight="1" x14ac:dyDescent="0.2">
      <c r="B471" s="327"/>
      <c r="F471" s="327"/>
      <c r="H471" s="327"/>
    </row>
    <row r="472" spans="2:8" s="326" customFormat="1" ht="9.9499999999999993" customHeight="1" x14ac:dyDescent="0.2">
      <c r="B472" s="327"/>
      <c r="F472" s="327"/>
      <c r="H472" s="327"/>
    </row>
    <row r="473" spans="2:8" s="326" customFormat="1" ht="9.9499999999999993" customHeight="1" x14ac:dyDescent="0.2">
      <c r="B473" s="327"/>
      <c r="F473" s="327"/>
      <c r="H473" s="327"/>
    </row>
    <row r="474" spans="2:8" s="326" customFormat="1" ht="9.9499999999999993" customHeight="1" x14ac:dyDescent="0.2">
      <c r="B474" s="327"/>
      <c r="F474" s="327"/>
      <c r="H474" s="327"/>
    </row>
    <row r="475" spans="2:8" s="326" customFormat="1" ht="9.9499999999999993" customHeight="1" x14ac:dyDescent="0.2">
      <c r="B475" s="327"/>
      <c r="F475" s="327"/>
      <c r="H475" s="327"/>
    </row>
    <row r="476" spans="2:8" s="326" customFormat="1" ht="9.9499999999999993" customHeight="1" x14ac:dyDescent="0.2">
      <c r="B476" s="327"/>
      <c r="F476" s="327"/>
      <c r="H476" s="327"/>
    </row>
    <row r="477" spans="2:8" s="326" customFormat="1" ht="9.9499999999999993" customHeight="1" x14ac:dyDescent="0.2">
      <c r="B477" s="327"/>
      <c r="F477" s="327"/>
      <c r="H477" s="327"/>
    </row>
    <row r="478" spans="2:8" s="326" customFormat="1" ht="9.9499999999999993" customHeight="1" x14ac:dyDescent="0.2">
      <c r="B478" s="327"/>
      <c r="F478" s="327"/>
      <c r="H478" s="327"/>
    </row>
    <row r="479" spans="2:8" s="326" customFormat="1" ht="9.9499999999999993" customHeight="1" x14ac:dyDescent="0.2">
      <c r="B479" s="327"/>
      <c r="F479" s="327"/>
      <c r="H479" s="327"/>
    </row>
    <row r="480" spans="2:8" s="326" customFormat="1" ht="9.9499999999999993" customHeight="1" x14ac:dyDescent="0.2">
      <c r="B480" s="327"/>
      <c r="F480" s="327"/>
      <c r="H480" s="327"/>
    </row>
    <row r="481" spans="2:8" s="326" customFormat="1" ht="9.9499999999999993" customHeight="1" x14ac:dyDescent="0.2">
      <c r="B481" s="327"/>
      <c r="F481" s="327"/>
      <c r="H481" s="327"/>
    </row>
    <row r="482" spans="2:8" s="326" customFormat="1" ht="9.9499999999999993" customHeight="1" x14ac:dyDescent="0.2">
      <c r="B482" s="327"/>
      <c r="F482" s="327"/>
      <c r="H482" s="327"/>
    </row>
    <row r="483" spans="2:8" s="326" customFormat="1" ht="9.9499999999999993" customHeight="1" x14ac:dyDescent="0.2">
      <c r="B483" s="327"/>
      <c r="F483" s="327"/>
      <c r="H483" s="327"/>
    </row>
    <row r="484" spans="2:8" s="326" customFormat="1" ht="9.9499999999999993" customHeight="1" x14ac:dyDescent="0.2">
      <c r="B484" s="327"/>
      <c r="F484" s="327"/>
      <c r="H484" s="327"/>
    </row>
    <row r="485" spans="2:8" s="326" customFormat="1" ht="9.9499999999999993" customHeight="1" x14ac:dyDescent="0.2">
      <c r="B485" s="327"/>
      <c r="F485" s="327"/>
      <c r="H485" s="327"/>
    </row>
    <row r="486" spans="2:8" s="326" customFormat="1" ht="9.9499999999999993" customHeight="1" x14ac:dyDescent="0.2">
      <c r="B486" s="327"/>
      <c r="F486" s="327"/>
      <c r="H486" s="327"/>
    </row>
    <row r="487" spans="2:8" s="326" customFormat="1" ht="9.9499999999999993" customHeight="1" x14ac:dyDescent="0.2">
      <c r="B487" s="327"/>
      <c r="F487" s="327"/>
      <c r="H487" s="327"/>
    </row>
    <row r="488" spans="2:8" s="326" customFormat="1" ht="9.9499999999999993" customHeight="1" x14ac:dyDescent="0.2">
      <c r="B488" s="327"/>
      <c r="F488" s="327"/>
      <c r="H488" s="327"/>
    </row>
    <row r="489" spans="2:8" s="326" customFormat="1" ht="9.9499999999999993" customHeight="1" x14ac:dyDescent="0.2">
      <c r="B489" s="327"/>
      <c r="F489" s="327"/>
      <c r="H489" s="327"/>
    </row>
    <row r="490" spans="2:8" s="326" customFormat="1" ht="9.9499999999999993" customHeight="1" x14ac:dyDescent="0.2">
      <c r="B490" s="327"/>
      <c r="F490" s="327"/>
      <c r="H490" s="327"/>
    </row>
    <row r="491" spans="2:8" s="326" customFormat="1" ht="9.9499999999999993" customHeight="1" x14ac:dyDescent="0.2">
      <c r="B491" s="327"/>
      <c r="F491" s="327"/>
      <c r="H491" s="327"/>
    </row>
    <row r="492" spans="2:8" s="326" customFormat="1" ht="9.9499999999999993" customHeight="1" x14ac:dyDescent="0.2">
      <c r="B492" s="327"/>
      <c r="F492" s="327"/>
      <c r="H492" s="327"/>
    </row>
    <row r="493" spans="2:8" s="326" customFormat="1" ht="9.9499999999999993" customHeight="1" x14ac:dyDescent="0.2">
      <c r="B493" s="327"/>
      <c r="F493" s="327"/>
      <c r="H493" s="327"/>
    </row>
    <row r="494" spans="2:8" s="326" customFormat="1" ht="9.9499999999999993" customHeight="1" x14ac:dyDescent="0.2">
      <c r="B494" s="327"/>
      <c r="F494" s="327"/>
      <c r="H494" s="327"/>
    </row>
    <row r="495" spans="2:8" s="326" customFormat="1" ht="9.9499999999999993" customHeight="1" x14ac:dyDescent="0.2">
      <c r="B495" s="327"/>
      <c r="F495" s="327"/>
      <c r="H495" s="327"/>
    </row>
    <row r="496" spans="2:8" s="326" customFormat="1" ht="9.9499999999999993" customHeight="1" x14ac:dyDescent="0.2">
      <c r="B496" s="327"/>
      <c r="F496" s="327"/>
      <c r="H496" s="327"/>
    </row>
    <row r="497" spans="2:8" s="326" customFormat="1" ht="9.9499999999999993" customHeight="1" x14ac:dyDescent="0.2">
      <c r="B497" s="327"/>
      <c r="F497" s="327"/>
      <c r="H497" s="327"/>
    </row>
    <row r="498" spans="2:8" s="326" customFormat="1" ht="9.9499999999999993" customHeight="1" x14ac:dyDescent="0.2">
      <c r="B498" s="327"/>
      <c r="F498" s="327"/>
      <c r="H498" s="327"/>
    </row>
    <row r="499" spans="2:8" s="326" customFormat="1" ht="9.9499999999999993" customHeight="1" x14ac:dyDescent="0.2">
      <c r="B499" s="327"/>
      <c r="F499" s="327"/>
      <c r="H499" s="327"/>
    </row>
    <row r="500" spans="2:8" s="326" customFormat="1" ht="9.9499999999999993" customHeight="1" x14ac:dyDescent="0.2">
      <c r="B500" s="327"/>
      <c r="F500" s="327"/>
      <c r="H500" s="327"/>
    </row>
    <row r="501" spans="2:8" s="326" customFormat="1" ht="9.9499999999999993" customHeight="1" x14ac:dyDescent="0.2">
      <c r="B501" s="327"/>
      <c r="F501" s="327"/>
      <c r="H501" s="327"/>
    </row>
    <row r="502" spans="2:8" s="326" customFormat="1" ht="9.9499999999999993" customHeight="1" x14ac:dyDescent="0.2">
      <c r="B502" s="327"/>
      <c r="F502" s="327"/>
      <c r="H502" s="327"/>
    </row>
    <row r="503" spans="2:8" s="326" customFormat="1" ht="9.9499999999999993" customHeight="1" x14ac:dyDescent="0.2">
      <c r="B503" s="327"/>
      <c r="F503" s="327"/>
      <c r="H503" s="327"/>
    </row>
    <row r="504" spans="2:8" s="326" customFormat="1" ht="9.9499999999999993" customHeight="1" x14ac:dyDescent="0.2">
      <c r="B504" s="327"/>
      <c r="F504" s="327"/>
      <c r="H504" s="327"/>
    </row>
    <row r="505" spans="2:8" s="326" customFormat="1" ht="9.9499999999999993" customHeight="1" x14ac:dyDescent="0.2">
      <c r="B505" s="327"/>
      <c r="F505" s="327"/>
      <c r="H505" s="327"/>
    </row>
    <row r="506" spans="2:8" s="326" customFormat="1" ht="9.9499999999999993" customHeight="1" x14ac:dyDescent="0.2">
      <c r="B506" s="327"/>
      <c r="F506" s="327"/>
      <c r="H506" s="327"/>
    </row>
    <row r="507" spans="2:8" s="326" customFormat="1" ht="9.9499999999999993" customHeight="1" x14ac:dyDescent="0.2">
      <c r="B507" s="327"/>
      <c r="F507" s="327"/>
      <c r="H507" s="327"/>
    </row>
    <row r="508" spans="2:8" s="326" customFormat="1" ht="9.9499999999999993" customHeight="1" x14ac:dyDescent="0.2">
      <c r="B508" s="327"/>
      <c r="F508" s="327"/>
      <c r="H508" s="327"/>
    </row>
    <row r="509" spans="2:8" s="326" customFormat="1" ht="9.9499999999999993" customHeight="1" x14ac:dyDescent="0.2">
      <c r="B509" s="327"/>
      <c r="F509" s="327"/>
      <c r="H509" s="327"/>
    </row>
    <row r="510" spans="2:8" s="326" customFormat="1" ht="9.9499999999999993" customHeight="1" x14ac:dyDescent="0.2">
      <c r="B510" s="327"/>
      <c r="F510" s="327"/>
      <c r="H510" s="327"/>
    </row>
    <row r="511" spans="2:8" s="326" customFormat="1" ht="9.9499999999999993" customHeight="1" x14ac:dyDescent="0.2">
      <c r="B511" s="327"/>
      <c r="F511" s="327"/>
      <c r="H511" s="327"/>
    </row>
    <row r="512" spans="2:8" s="326" customFormat="1" ht="9.9499999999999993" customHeight="1" x14ac:dyDescent="0.2">
      <c r="B512" s="327"/>
      <c r="F512" s="327"/>
      <c r="H512" s="327"/>
    </row>
    <row r="513" spans="2:8" s="326" customFormat="1" ht="9.9499999999999993" customHeight="1" x14ac:dyDescent="0.2">
      <c r="B513" s="327"/>
      <c r="F513" s="327"/>
      <c r="H513" s="327"/>
    </row>
    <row r="514" spans="2:8" s="326" customFormat="1" ht="9.9499999999999993" customHeight="1" x14ac:dyDescent="0.2">
      <c r="B514" s="327"/>
      <c r="F514" s="327"/>
      <c r="H514" s="327"/>
    </row>
    <row r="515" spans="2:8" s="326" customFormat="1" ht="9.9499999999999993" customHeight="1" x14ac:dyDescent="0.2">
      <c r="B515" s="327"/>
      <c r="F515" s="327"/>
      <c r="H515" s="327"/>
    </row>
    <row r="516" spans="2:8" s="326" customFormat="1" ht="9.9499999999999993" customHeight="1" x14ac:dyDescent="0.2">
      <c r="B516" s="327"/>
      <c r="F516" s="327"/>
      <c r="H516" s="327"/>
    </row>
    <row r="517" spans="2:8" s="326" customFormat="1" ht="9.9499999999999993" customHeight="1" x14ac:dyDescent="0.2">
      <c r="B517" s="327"/>
      <c r="F517" s="327"/>
      <c r="H517" s="327"/>
    </row>
    <row r="518" spans="2:8" s="326" customFormat="1" ht="9.9499999999999993" customHeight="1" x14ac:dyDescent="0.2">
      <c r="B518" s="327"/>
      <c r="F518" s="327"/>
      <c r="H518" s="327"/>
    </row>
    <row r="519" spans="2:8" s="326" customFormat="1" ht="9.9499999999999993" customHeight="1" x14ac:dyDescent="0.2">
      <c r="B519" s="327"/>
      <c r="F519" s="327"/>
      <c r="H519" s="327"/>
    </row>
    <row r="520" spans="2:8" s="326" customFormat="1" ht="9.9499999999999993" customHeight="1" x14ac:dyDescent="0.2">
      <c r="B520" s="327"/>
      <c r="F520" s="327"/>
      <c r="H520" s="327"/>
    </row>
    <row r="521" spans="2:8" s="326" customFormat="1" ht="9.9499999999999993" customHeight="1" x14ac:dyDescent="0.2">
      <c r="B521" s="327"/>
      <c r="F521" s="327"/>
      <c r="H521" s="327"/>
    </row>
    <row r="522" spans="2:8" s="326" customFormat="1" ht="9.9499999999999993" customHeight="1" x14ac:dyDescent="0.2">
      <c r="B522" s="327"/>
      <c r="F522" s="327"/>
      <c r="H522" s="327"/>
    </row>
    <row r="523" spans="2:8" s="326" customFormat="1" ht="9.9499999999999993" customHeight="1" x14ac:dyDescent="0.2">
      <c r="B523" s="327"/>
      <c r="F523" s="327"/>
      <c r="H523" s="327"/>
    </row>
    <row r="524" spans="2:8" s="326" customFormat="1" ht="9.9499999999999993" customHeight="1" x14ac:dyDescent="0.2">
      <c r="B524" s="327"/>
      <c r="F524" s="327"/>
      <c r="H524" s="327"/>
    </row>
    <row r="525" spans="2:8" s="326" customFormat="1" ht="9.9499999999999993" customHeight="1" x14ac:dyDescent="0.2">
      <c r="B525" s="327"/>
      <c r="F525" s="327"/>
      <c r="H525" s="327"/>
    </row>
    <row r="526" spans="2:8" s="326" customFormat="1" ht="9.9499999999999993" customHeight="1" x14ac:dyDescent="0.2">
      <c r="B526" s="327"/>
      <c r="F526" s="327"/>
      <c r="H526" s="327"/>
    </row>
    <row r="527" spans="2:8" s="326" customFormat="1" ht="9.9499999999999993" customHeight="1" x14ac:dyDescent="0.2">
      <c r="B527" s="327"/>
      <c r="F527" s="327"/>
      <c r="H527" s="327"/>
    </row>
    <row r="528" spans="2:8" s="326" customFormat="1" ht="9.9499999999999993" customHeight="1" x14ac:dyDescent="0.2">
      <c r="B528" s="327"/>
      <c r="F528" s="327"/>
      <c r="H528" s="327"/>
    </row>
    <row r="529" spans="2:8" s="326" customFormat="1" ht="9.9499999999999993" customHeight="1" x14ac:dyDescent="0.2">
      <c r="B529" s="327"/>
      <c r="F529" s="327"/>
      <c r="H529" s="327"/>
    </row>
    <row r="530" spans="2:8" s="326" customFormat="1" ht="9.9499999999999993" customHeight="1" x14ac:dyDescent="0.2">
      <c r="B530" s="327"/>
      <c r="F530" s="327"/>
      <c r="H530" s="327"/>
    </row>
    <row r="531" spans="2:8" s="326" customFormat="1" ht="9.9499999999999993" customHeight="1" x14ac:dyDescent="0.2">
      <c r="B531" s="327"/>
      <c r="F531" s="327"/>
      <c r="H531" s="327"/>
    </row>
    <row r="532" spans="2:8" s="326" customFormat="1" ht="9.9499999999999993" customHeight="1" x14ac:dyDescent="0.2">
      <c r="B532" s="327"/>
      <c r="F532" s="327"/>
      <c r="H532" s="327"/>
    </row>
    <row r="533" spans="2:8" s="326" customFormat="1" ht="9.9499999999999993" customHeight="1" x14ac:dyDescent="0.2">
      <c r="B533" s="327"/>
      <c r="F533" s="327"/>
      <c r="H533" s="327"/>
    </row>
    <row r="534" spans="2:8" s="326" customFormat="1" ht="9.9499999999999993" customHeight="1" x14ac:dyDescent="0.2">
      <c r="B534" s="327"/>
      <c r="F534" s="327"/>
      <c r="H534" s="327"/>
    </row>
    <row r="535" spans="2:8" s="326" customFormat="1" ht="9.9499999999999993" customHeight="1" x14ac:dyDescent="0.2">
      <c r="B535" s="327"/>
      <c r="F535" s="327"/>
      <c r="H535" s="327"/>
    </row>
    <row r="536" spans="2:8" s="326" customFormat="1" ht="9.9499999999999993" customHeight="1" x14ac:dyDescent="0.2">
      <c r="B536" s="327"/>
      <c r="F536" s="327"/>
      <c r="H536" s="327"/>
    </row>
    <row r="537" spans="2:8" s="326" customFormat="1" ht="9.9499999999999993" customHeight="1" x14ac:dyDescent="0.2">
      <c r="B537" s="327"/>
      <c r="F537" s="327"/>
      <c r="H537" s="327"/>
    </row>
    <row r="538" spans="2:8" s="326" customFormat="1" ht="9.9499999999999993" customHeight="1" x14ac:dyDescent="0.2">
      <c r="B538" s="327"/>
      <c r="F538" s="327"/>
      <c r="H538" s="327"/>
    </row>
    <row r="539" spans="2:8" s="326" customFormat="1" ht="9.9499999999999993" customHeight="1" x14ac:dyDescent="0.2">
      <c r="B539" s="327"/>
      <c r="F539" s="327"/>
      <c r="H539" s="327"/>
    </row>
    <row r="540" spans="2:8" s="326" customFormat="1" ht="9.9499999999999993" customHeight="1" x14ac:dyDescent="0.2">
      <c r="B540" s="327"/>
      <c r="F540" s="327"/>
      <c r="H540" s="327"/>
    </row>
    <row r="541" spans="2:8" s="326" customFormat="1" ht="9.9499999999999993" customHeight="1" x14ac:dyDescent="0.2">
      <c r="B541" s="327"/>
      <c r="F541" s="327"/>
      <c r="H541" s="327"/>
    </row>
    <row r="542" spans="2:8" s="326" customFormat="1" ht="9.9499999999999993" customHeight="1" x14ac:dyDescent="0.2">
      <c r="B542" s="327"/>
      <c r="F542" s="327"/>
      <c r="H542" s="327"/>
    </row>
    <row r="543" spans="2:8" s="326" customFormat="1" ht="9.9499999999999993" customHeight="1" x14ac:dyDescent="0.2">
      <c r="B543" s="327"/>
      <c r="F543" s="327"/>
      <c r="H543" s="327"/>
    </row>
    <row r="544" spans="2:8" s="326" customFormat="1" ht="9.9499999999999993" customHeight="1" x14ac:dyDescent="0.2">
      <c r="B544" s="327"/>
      <c r="F544" s="327"/>
      <c r="H544" s="327"/>
    </row>
    <row r="545" spans="2:8" s="326" customFormat="1" ht="9.9499999999999993" customHeight="1" x14ac:dyDescent="0.2">
      <c r="B545" s="327"/>
      <c r="F545" s="327"/>
      <c r="H545" s="327"/>
    </row>
    <row r="546" spans="2:8" s="326" customFormat="1" ht="9.9499999999999993" customHeight="1" x14ac:dyDescent="0.2">
      <c r="B546" s="327"/>
      <c r="F546" s="327"/>
      <c r="H546" s="327"/>
    </row>
    <row r="547" spans="2:8" s="326" customFormat="1" ht="9.9499999999999993" customHeight="1" x14ac:dyDescent="0.2">
      <c r="B547" s="327"/>
      <c r="F547" s="327"/>
      <c r="H547" s="327"/>
    </row>
    <row r="548" spans="2:8" s="326" customFormat="1" ht="9.9499999999999993" customHeight="1" x14ac:dyDescent="0.2">
      <c r="B548" s="327"/>
      <c r="F548" s="327"/>
      <c r="H548" s="327"/>
    </row>
    <row r="549" spans="2:8" s="326" customFormat="1" ht="9.9499999999999993" customHeight="1" x14ac:dyDescent="0.2">
      <c r="B549" s="327"/>
      <c r="F549" s="327"/>
      <c r="H549" s="327"/>
    </row>
    <row r="550" spans="2:8" s="326" customFormat="1" ht="9.9499999999999993" customHeight="1" x14ac:dyDescent="0.2">
      <c r="B550" s="327"/>
      <c r="F550" s="327"/>
      <c r="H550" s="327"/>
    </row>
    <row r="551" spans="2:8" s="326" customFormat="1" ht="9.9499999999999993" customHeight="1" x14ac:dyDescent="0.2">
      <c r="B551" s="327"/>
      <c r="F551" s="327"/>
      <c r="H551" s="327"/>
    </row>
    <row r="552" spans="2:8" s="326" customFormat="1" ht="9.9499999999999993" customHeight="1" x14ac:dyDescent="0.2">
      <c r="B552" s="327"/>
      <c r="F552" s="327"/>
      <c r="H552" s="327"/>
    </row>
    <row r="553" spans="2:8" s="326" customFormat="1" ht="9.9499999999999993" customHeight="1" x14ac:dyDescent="0.2">
      <c r="B553" s="327"/>
      <c r="F553" s="327"/>
      <c r="H553" s="327"/>
    </row>
    <row r="554" spans="2:8" s="326" customFormat="1" ht="9.9499999999999993" customHeight="1" x14ac:dyDescent="0.2">
      <c r="B554" s="327"/>
      <c r="F554" s="327"/>
      <c r="H554" s="327"/>
    </row>
    <row r="555" spans="2:8" s="326" customFormat="1" ht="9.9499999999999993" customHeight="1" x14ac:dyDescent="0.2">
      <c r="B555" s="327"/>
      <c r="F555" s="327"/>
      <c r="H555" s="327"/>
    </row>
    <row r="556" spans="2:8" s="326" customFormat="1" ht="9.9499999999999993" customHeight="1" x14ac:dyDescent="0.2">
      <c r="B556" s="327"/>
      <c r="F556" s="327"/>
      <c r="H556" s="327"/>
    </row>
    <row r="557" spans="2:8" s="326" customFormat="1" ht="9.9499999999999993" customHeight="1" x14ac:dyDescent="0.2">
      <c r="B557" s="327"/>
      <c r="F557" s="327"/>
      <c r="H557" s="327"/>
    </row>
    <row r="558" spans="2:8" s="326" customFormat="1" ht="9.9499999999999993" customHeight="1" x14ac:dyDescent="0.2">
      <c r="B558" s="327"/>
      <c r="F558" s="327"/>
      <c r="H558" s="327"/>
    </row>
    <row r="559" spans="2:8" s="326" customFormat="1" ht="9.9499999999999993" customHeight="1" x14ac:dyDescent="0.2">
      <c r="B559" s="327"/>
      <c r="F559" s="327"/>
      <c r="H559" s="327"/>
    </row>
    <row r="560" spans="2:8" s="326" customFormat="1" ht="9.9499999999999993" customHeight="1" x14ac:dyDescent="0.2">
      <c r="B560" s="327"/>
      <c r="F560" s="327"/>
      <c r="H560" s="327"/>
    </row>
    <row r="561" spans="2:8" s="326" customFormat="1" ht="9.9499999999999993" customHeight="1" x14ac:dyDescent="0.2">
      <c r="B561" s="327"/>
      <c r="F561" s="327"/>
      <c r="H561" s="327"/>
    </row>
    <row r="562" spans="2:8" s="326" customFormat="1" ht="9.9499999999999993" customHeight="1" x14ac:dyDescent="0.2">
      <c r="B562" s="327"/>
      <c r="F562" s="327"/>
      <c r="H562" s="327"/>
    </row>
    <row r="563" spans="2:8" s="326" customFormat="1" ht="9.9499999999999993" customHeight="1" x14ac:dyDescent="0.2">
      <c r="B563" s="327"/>
      <c r="F563" s="327"/>
      <c r="H563" s="327"/>
    </row>
    <row r="564" spans="2:8" s="326" customFormat="1" ht="9.9499999999999993" customHeight="1" x14ac:dyDescent="0.2">
      <c r="B564" s="327"/>
      <c r="F564" s="327"/>
      <c r="H564" s="327"/>
    </row>
    <row r="565" spans="2:8" s="326" customFormat="1" ht="9.9499999999999993" customHeight="1" x14ac:dyDescent="0.2">
      <c r="B565" s="327"/>
      <c r="F565" s="327"/>
      <c r="H565" s="327"/>
    </row>
    <row r="566" spans="2:8" s="326" customFormat="1" ht="9.9499999999999993" customHeight="1" x14ac:dyDescent="0.2">
      <c r="B566" s="327"/>
      <c r="F566" s="327"/>
      <c r="H566" s="327"/>
    </row>
    <row r="567" spans="2:8" s="326" customFormat="1" ht="9.9499999999999993" customHeight="1" x14ac:dyDescent="0.2">
      <c r="B567" s="327"/>
      <c r="F567" s="327"/>
      <c r="H567" s="327"/>
    </row>
    <row r="568" spans="2:8" s="326" customFormat="1" ht="9.9499999999999993" customHeight="1" x14ac:dyDescent="0.2">
      <c r="B568" s="327"/>
      <c r="F568" s="327"/>
      <c r="H568" s="327"/>
    </row>
    <row r="569" spans="2:8" s="326" customFormat="1" ht="9.9499999999999993" customHeight="1" x14ac:dyDescent="0.2">
      <c r="B569" s="327"/>
      <c r="F569" s="327"/>
      <c r="H569" s="327"/>
    </row>
    <row r="570" spans="2:8" s="326" customFormat="1" ht="9.9499999999999993" customHeight="1" x14ac:dyDescent="0.2">
      <c r="B570" s="327"/>
      <c r="F570" s="327"/>
      <c r="H570" s="327"/>
    </row>
    <row r="571" spans="2:8" s="326" customFormat="1" ht="9.9499999999999993" customHeight="1" x14ac:dyDescent="0.2">
      <c r="B571" s="327"/>
      <c r="F571" s="327"/>
      <c r="H571" s="327"/>
    </row>
    <row r="572" spans="2:8" s="326" customFormat="1" ht="9.9499999999999993" customHeight="1" x14ac:dyDescent="0.2">
      <c r="B572" s="327"/>
      <c r="F572" s="327"/>
      <c r="H572" s="327"/>
    </row>
    <row r="573" spans="2:8" s="326" customFormat="1" ht="9.9499999999999993" customHeight="1" x14ac:dyDescent="0.2">
      <c r="B573" s="327"/>
      <c r="F573" s="327"/>
      <c r="H573" s="327"/>
    </row>
    <row r="574" spans="2:8" s="326" customFormat="1" ht="9.9499999999999993" customHeight="1" x14ac:dyDescent="0.2">
      <c r="B574" s="327"/>
      <c r="F574" s="327"/>
      <c r="H574" s="327"/>
    </row>
    <row r="575" spans="2:8" s="326" customFormat="1" ht="9.9499999999999993" customHeight="1" x14ac:dyDescent="0.2">
      <c r="B575" s="327"/>
      <c r="F575" s="327"/>
      <c r="H575" s="327"/>
    </row>
    <row r="576" spans="2:8" s="326" customFormat="1" ht="9.9499999999999993" customHeight="1" x14ac:dyDescent="0.2">
      <c r="B576" s="327"/>
      <c r="F576" s="327"/>
      <c r="H576" s="327"/>
    </row>
    <row r="577" spans="2:8" s="326" customFormat="1" ht="9.9499999999999993" customHeight="1" x14ac:dyDescent="0.2">
      <c r="B577" s="327"/>
      <c r="F577" s="327"/>
      <c r="H577" s="327"/>
    </row>
    <row r="578" spans="2:8" s="326" customFormat="1" ht="9.9499999999999993" customHeight="1" x14ac:dyDescent="0.2">
      <c r="B578" s="327"/>
      <c r="F578" s="327"/>
      <c r="H578" s="327"/>
    </row>
    <row r="579" spans="2:8" s="326" customFormat="1" ht="9.9499999999999993" customHeight="1" x14ac:dyDescent="0.2">
      <c r="B579" s="327"/>
      <c r="F579" s="327"/>
      <c r="H579" s="327"/>
    </row>
    <row r="580" spans="2:8" s="326" customFormat="1" ht="9.9499999999999993" customHeight="1" x14ac:dyDescent="0.2">
      <c r="B580" s="327"/>
      <c r="F580" s="327"/>
      <c r="H580" s="327"/>
    </row>
    <row r="581" spans="2:8" s="326" customFormat="1" ht="9.9499999999999993" customHeight="1" x14ac:dyDescent="0.2">
      <c r="B581" s="327"/>
      <c r="F581" s="327"/>
      <c r="H581" s="327"/>
    </row>
    <row r="582" spans="2:8" s="326" customFormat="1" ht="9.9499999999999993" customHeight="1" x14ac:dyDescent="0.2">
      <c r="B582" s="327"/>
      <c r="F582" s="327"/>
      <c r="H582" s="327"/>
    </row>
    <row r="583" spans="2:8" s="326" customFormat="1" ht="9.9499999999999993" customHeight="1" x14ac:dyDescent="0.2">
      <c r="B583" s="327"/>
      <c r="F583" s="327"/>
      <c r="H583" s="327"/>
    </row>
    <row r="584" spans="2:8" s="326" customFormat="1" ht="9.9499999999999993" customHeight="1" x14ac:dyDescent="0.2">
      <c r="B584" s="327"/>
      <c r="F584" s="327"/>
      <c r="H584" s="327"/>
    </row>
    <row r="585" spans="2:8" s="326" customFormat="1" ht="9.9499999999999993" customHeight="1" x14ac:dyDescent="0.2">
      <c r="B585" s="327"/>
      <c r="F585" s="327"/>
      <c r="H585" s="327"/>
    </row>
    <row r="586" spans="2:8" s="326" customFormat="1" ht="9.9499999999999993" customHeight="1" x14ac:dyDescent="0.2">
      <c r="B586" s="327"/>
      <c r="F586" s="327"/>
      <c r="H586" s="327"/>
    </row>
    <row r="587" spans="2:8" s="326" customFormat="1" ht="9.9499999999999993" customHeight="1" x14ac:dyDescent="0.2">
      <c r="B587" s="327"/>
      <c r="F587" s="327"/>
      <c r="H587" s="327"/>
    </row>
    <row r="588" spans="2:8" s="326" customFormat="1" ht="9.9499999999999993" customHeight="1" x14ac:dyDescent="0.2">
      <c r="B588" s="327"/>
      <c r="F588" s="327"/>
      <c r="H588" s="327"/>
    </row>
    <row r="589" spans="2:8" s="326" customFormat="1" ht="9.9499999999999993" customHeight="1" x14ac:dyDescent="0.2">
      <c r="B589" s="327"/>
      <c r="F589" s="327"/>
      <c r="H589" s="327"/>
    </row>
    <row r="590" spans="2:8" s="326" customFormat="1" ht="9.9499999999999993" customHeight="1" x14ac:dyDescent="0.2">
      <c r="B590" s="327"/>
      <c r="F590" s="327"/>
      <c r="H590" s="327"/>
    </row>
    <row r="591" spans="2:8" s="326" customFormat="1" ht="9.9499999999999993" customHeight="1" x14ac:dyDescent="0.2">
      <c r="B591" s="327"/>
      <c r="F591" s="327"/>
      <c r="H591" s="327"/>
    </row>
    <row r="592" spans="2:8" s="326" customFormat="1" ht="9.9499999999999993" customHeight="1" x14ac:dyDescent="0.2">
      <c r="B592" s="327"/>
      <c r="F592" s="327"/>
      <c r="H592" s="327"/>
    </row>
    <row r="593" spans="2:8" s="326" customFormat="1" ht="9.9499999999999993" customHeight="1" x14ac:dyDescent="0.2">
      <c r="B593" s="327"/>
      <c r="F593" s="327"/>
      <c r="H593" s="327"/>
    </row>
    <row r="594" spans="2:8" s="326" customFormat="1" ht="9.9499999999999993" customHeight="1" x14ac:dyDescent="0.2">
      <c r="B594" s="327"/>
      <c r="F594" s="327"/>
      <c r="H594" s="327"/>
    </row>
    <row r="595" spans="2:8" s="326" customFormat="1" ht="9.9499999999999993" customHeight="1" x14ac:dyDescent="0.2">
      <c r="B595" s="327"/>
      <c r="F595" s="327"/>
      <c r="H595" s="327"/>
    </row>
    <row r="596" spans="2:8" s="326" customFormat="1" ht="9.9499999999999993" customHeight="1" x14ac:dyDescent="0.2">
      <c r="B596" s="327"/>
      <c r="F596" s="327"/>
      <c r="H596" s="327"/>
    </row>
    <row r="597" spans="2:8" s="326" customFormat="1" ht="9.9499999999999993" customHeight="1" x14ac:dyDescent="0.2">
      <c r="B597" s="327"/>
      <c r="F597" s="327"/>
      <c r="H597" s="327"/>
    </row>
    <row r="598" spans="2:8" s="326" customFormat="1" ht="9.9499999999999993" customHeight="1" x14ac:dyDescent="0.2">
      <c r="B598" s="327"/>
      <c r="F598" s="327"/>
      <c r="H598" s="327"/>
    </row>
    <row r="599" spans="2:8" s="326" customFormat="1" ht="9.9499999999999993" customHeight="1" x14ac:dyDescent="0.2">
      <c r="B599" s="327"/>
      <c r="F599" s="327"/>
      <c r="H599" s="327"/>
    </row>
    <row r="600" spans="2:8" s="326" customFormat="1" ht="9.9499999999999993" customHeight="1" x14ac:dyDescent="0.2">
      <c r="B600" s="327"/>
      <c r="F600" s="327"/>
      <c r="H600" s="327"/>
    </row>
    <row r="601" spans="2:8" s="326" customFormat="1" ht="9.9499999999999993" customHeight="1" x14ac:dyDescent="0.2">
      <c r="B601" s="327"/>
      <c r="F601" s="327"/>
      <c r="H601" s="327"/>
    </row>
    <row r="602" spans="2:8" s="326" customFormat="1" ht="9.9499999999999993" customHeight="1" x14ac:dyDescent="0.2">
      <c r="B602" s="327"/>
      <c r="F602" s="327"/>
      <c r="H602" s="327"/>
    </row>
    <row r="603" spans="2:8" s="326" customFormat="1" ht="9.9499999999999993" customHeight="1" x14ac:dyDescent="0.2">
      <c r="B603" s="327"/>
      <c r="F603" s="327"/>
      <c r="H603" s="327"/>
    </row>
    <row r="604" spans="2:8" s="326" customFormat="1" ht="9.9499999999999993" customHeight="1" x14ac:dyDescent="0.2">
      <c r="B604" s="327"/>
      <c r="F604" s="327"/>
      <c r="H604" s="327"/>
    </row>
    <row r="605" spans="2:8" s="326" customFormat="1" ht="9.9499999999999993" customHeight="1" x14ac:dyDescent="0.2">
      <c r="B605" s="327"/>
      <c r="F605" s="327"/>
      <c r="H605" s="327"/>
    </row>
    <row r="606" spans="2:8" s="326" customFormat="1" ht="9.9499999999999993" customHeight="1" x14ac:dyDescent="0.2">
      <c r="B606" s="327"/>
      <c r="F606" s="327"/>
      <c r="H606" s="327"/>
    </row>
    <row r="607" spans="2:8" s="326" customFormat="1" ht="9.9499999999999993" customHeight="1" x14ac:dyDescent="0.2">
      <c r="B607" s="327"/>
      <c r="F607" s="327"/>
      <c r="H607" s="327"/>
    </row>
    <row r="608" spans="2:8" s="326" customFormat="1" ht="9.9499999999999993" customHeight="1" x14ac:dyDescent="0.2">
      <c r="B608" s="327"/>
      <c r="F608" s="327"/>
      <c r="H608" s="327"/>
    </row>
    <row r="609" spans="2:8" s="326" customFormat="1" ht="9.9499999999999993" customHeight="1" x14ac:dyDescent="0.2">
      <c r="B609" s="327"/>
      <c r="F609" s="327"/>
      <c r="H609" s="327"/>
    </row>
    <row r="610" spans="2:8" s="326" customFormat="1" ht="9.9499999999999993" customHeight="1" x14ac:dyDescent="0.2">
      <c r="B610" s="327"/>
      <c r="F610" s="327"/>
      <c r="H610" s="327"/>
    </row>
    <row r="611" spans="2:8" s="326" customFormat="1" ht="9.9499999999999993" customHeight="1" x14ac:dyDescent="0.2">
      <c r="B611" s="327"/>
      <c r="F611" s="327"/>
      <c r="H611" s="327"/>
    </row>
    <row r="612" spans="2:8" s="326" customFormat="1" ht="9.9499999999999993" customHeight="1" x14ac:dyDescent="0.2">
      <c r="B612" s="327"/>
      <c r="F612" s="327"/>
      <c r="H612" s="327"/>
    </row>
    <row r="613" spans="2:8" s="326" customFormat="1" ht="9.9499999999999993" customHeight="1" x14ac:dyDescent="0.2">
      <c r="B613" s="327"/>
      <c r="F613" s="327"/>
      <c r="H613" s="327"/>
    </row>
    <row r="614" spans="2:8" s="326" customFormat="1" ht="9.9499999999999993" customHeight="1" x14ac:dyDescent="0.2">
      <c r="B614" s="327"/>
      <c r="F614" s="327"/>
      <c r="H614" s="327"/>
    </row>
    <row r="615" spans="2:8" s="326" customFormat="1" ht="9.9499999999999993" customHeight="1" x14ac:dyDescent="0.2">
      <c r="B615" s="327"/>
      <c r="F615" s="327"/>
      <c r="H615" s="327"/>
    </row>
    <row r="616" spans="2:8" s="326" customFormat="1" ht="9.9499999999999993" customHeight="1" x14ac:dyDescent="0.2">
      <c r="B616" s="327"/>
      <c r="F616" s="327"/>
      <c r="H616" s="327"/>
    </row>
    <row r="617" spans="2:8" s="326" customFormat="1" ht="9.9499999999999993" customHeight="1" x14ac:dyDescent="0.2">
      <c r="B617" s="327"/>
      <c r="F617" s="327"/>
      <c r="H617" s="327"/>
    </row>
    <row r="618" spans="2:8" s="326" customFormat="1" ht="9.9499999999999993" customHeight="1" x14ac:dyDescent="0.2">
      <c r="B618" s="327"/>
      <c r="F618" s="327"/>
      <c r="H618" s="327"/>
    </row>
    <row r="619" spans="2:8" s="326" customFormat="1" ht="9.9499999999999993" customHeight="1" x14ac:dyDescent="0.2">
      <c r="B619" s="327"/>
      <c r="F619" s="327"/>
      <c r="H619" s="327"/>
    </row>
    <row r="620" spans="2:8" s="326" customFormat="1" ht="9.9499999999999993" customHeight="1" x14ac:dyDescent="0.2">
      <c r="B620" s="327"/>
      <c r="F620" s="327"/>
      <c r="H620" s="327"/>
    </row>
    <row r="621" spans="2:8" s="326" customFormat="1" ht="9.9499999999999993" customHeight="1" x14ac:dyDescent="0.2">
      <c r="B621" s="327"/>
      <c r="F621" s="327"/>
      <c r="H621" s="327"/>
    </row>
    <row r="622" spans="2:8" s="326" customFormat="1" ht="9.9499999999999993" customHeight="1" x14ac:dyDescent="0.2">
      <c r="B622" s="327"/>
      <c r="F622" s="327"/>
      <c r="H622" s="327"/>
    </row>
    <row r="623" spans="2:8" s="326" customFormat="1" ht="9.9499999999999993" customHeight="1" x14ac:dyDescent="0.2">
      <c r="B623" s="327"/>
      <c r="F623" s="327"/>
      <c r="H623" s="327"/>
    </row>
    <row r="624" spans="2:8" s="326" customFormat="1" ht="9.9499999999999993" customHeight="1" x14ac:dyDescent="0.2">
      <c r="B624" s="327"/>
      <c r="F624" s="327"/>
      <c r="H624" s="327"/>
    </row>
    <row r="625" spans="2:8" s="326" customFormat="1" ht="9.9499999999999993" customHeight="1" x14ac:dyDescent="0.2">
      <c r="B625" s="327"/>
      <c r="F625" s="327"/>
      <c r="H625" s="327"/>
    </row>
    <row r="626" spans="2:8" s="326" customFormat="1" ht="9.9499999999999993" customHeight="1" x14ac:dyDescent="0.2">
      <c r="B626" s="327"/>
      <c r="F626" s="327"/>
      <c r="H626" s="327"/>
    </row>
    <row r="627" spans="2:8" s="326" customFormat="1" ht="9.9499999999999993" customHeight="1" x14ac:dyDescent="0.2">
      <c r="B627" s="327"/>
      <c r="F627" s="327"/>
      <c r="H627" s="327"/>
    </row>
    <row r="628" spans="2:8" s="326" customFormat="1" ht="9.9499999999999993" customHeight="1" x14ac:dyDescent="0.2">
      <c r="B628" s="327"/>
      <c r="F628" s="327"/>
      <c r="H628" s="327"/>
    </row>
    <row r="629" spans="2:8" s="326" customFormat="1" ht="9.9499999999999993" customHeight="1" x14ac:dyDescent="0.2">
      <c r="B629" s="327"/>
      <c r="F629" s="327"/>
      <c r="H629" s="327"/>
    </row>
    <row r="630" spans="2:8" s="326" customFormat="1" ht="9.9499999999999993" customHeight="1" x14ac:dyDescent="0.2">
      <c r="B630" s="327"/>
      <c r="F630" s="327"/>
      <c r="H630" s="327"/>
    </row>
    <row r="631" spans="2:8" s="326" customFormat="1" ht="9.9499999999999993" customHeight="1" x14ac:dyDescent="0.2">
      <c r="B631" s="327"/>
      <c r="F631" s="327"/>
      <c r="H631" s="327"/>
    </row>
    <row r="632" spans="2:8" s="326" customFormat="1" ht="9.9499999999999993" customHeight="1" x14ac:dyDescent="0.2">
      <c r="B632" s="327"/>
      <c r="F632" s="327"/>
      <c r="H632" s="327"/>
    </row>
    <row r="633" spans="2:8" s="326" customFormat="1" ht="9.9499999999999993" customHeight="1" x14ac:dyDescent="0.2">
      <c r="B633" s="327"/>
      <c r="F633" s="327"/>
      <c r="H633" s="327"/>
    </row>
    <row r="634" spans="2:8" s="326" customFormat="1" ht="9.9499999999999993" customHeight="1" x14ac:dyDescent="0.2">
      <c r="B634" s="327"/>
      <c r="F634" s="327"/>
      <c r="H634" s="327"/>
    </row>
    <row r="635" spans="2:8" s="326" customFormat="1" ht="9.9499999999999993" customHeight="1" x14ac:dyDescent="0.2">
      <c r="B635" s="327"/>
      <c r="F635" s="327"/>
      <c r="H635" s="327"/>
    </row>
    <row r="636" spans="2:8" s="326" customFormat="1" ht="9.9499999999999993" customHeight="1" x14ac:dyDescent="0.2">
      <c r="B636" s="327"/>
      <c r="F636" s="327"/>
      <c r="H636" s="327"/>
    </row>
    <row r="637" spans="2:8" s="326" customFormat="1" ht="9.9499999999999993" customHeight="1" x14ac:dyDescent="0.2">
      <c r="B637" s="327"/>
      <c r="F637" s="327"/>
      <c r="H637" s="327"/>
    </row>
    <row r="638" spans="2:8" s="326" customFormat="1" ht="9.9499999999999993" customHeight="1" x14ac:dyDescent="0.2">
      <c r="B638" s="327"/>
      <c r="F638" s="327"/>
      <c r="H638" s="327"/>
    </row>
    <row r="639" spans="2:8" s="326" customFormat="1" ht="9.9499999999999993" customHeight="1" x14ac:dyDescent="0.2">
      <c r="B639" s="327"/>
      <c r="F639" s="327"/>
      <c r="H639" s="327"/>
    </row>
    <row r="640" spans="2:8" s="326" customFormat="1" ht="9.9499999999999993" customHeight="1" x14ac:dyDescent="0.2">
      <c r="B640" s="327"/>
      <c r="F640" s="327"/>
      <c r="H640" s="327"/>
    </row>
    <row r="641" spans="2:8" s="326" customFormat="1" ht="9.9499999999999993" customHeight="1" x14ac:dyDescent="0.2">
      <c r="B641" s="327"/>
      <c r="F641" s="327"/>
      <c r="H641" s="327"/>
    </row>
    <row r="642" spans="2:8" s="326" customFormat="1" ht="9.9499999999999993" customHeight="1" x14ac:dyDescent="0.2">
      <c r="B642" s="327"/>
      <c r="F642" s="327"/>
      <c r="H642" s="327"/>
    </row>
    <row r="643" spans="2:8" s="326" customFormat="1" ht="9.9499999999999993" customHeight="1" x14ac:dyDescent="0.2">
      <c r="B643" s="327"/>
      <c r="F643" s="327"/>
      <c r="H643" s="327"/>
    </row>
    <row r="644" spans="2:8" s="326" customFormat="1" ht="9.9499999999999993" customHeight="1" x14ac:dyDescent="0.2">
      <c r="B644" s="327"/>
      <c r="F644" s="327"/>
      <c r="H644" s="327"/>
    </row>
    <row r="645" spans="2:8" s="326" customFormat="1" ht="9.9499999999999993" customHeight="1" x14ac:dyDescent="0.2">
      <c r="B645" s="327"/>
      <c r="F645" s="327"/>
      <c r="H645" s="327"/>
    </row>
    <row r="646" spans="2:8" s="326" customFormat="1" ht="9.9499999999999993" customHeight="1" x14ac:dyDescent="0.2">
      <c r="B646" s="327"/>
      <c r="F646" s="327"/>
      <c r="H646" s="327"/>
    </row>
    <row r="647" spans="2:8" s="326" customFormat="1" ht="9.9499999999999993" customHeight="1" x14ac:dyDescent="0.2">
      <c r="B647" s="327"/>
      <c r="F647" s="327"/>
      <c r="H647" s="327"/>
    </row>
    <row r="648" spans="2:8" s="326" customFormat="1" ht="9.9499999999999993" customHeight="1" x14ac:dyDescent="0.2">
      <c r="B648" s="327"/>
      <c r="F648" s="327"/>
      <c r="H648" s="327"/>
    </row>
    <row r="649" spans="2:8" s="326" customFormat="1" ht="9.9499999999999993" customHeight="1" x14ac:dyDescent="0.2">
      <c r="B649" s="327"/>
      <c r="F649" s="327"/>
      <c r="H649" s="327"/>
    </row>
    <row r="650" spans="2:8" s="326" customFormat="1" ht="9.9499999999999993" customHeight="1" x14ac:dyDescent="0.2">
      <c r="B650" s="327"/>
      <c r="F650" s="327"/>
      <c r="H650" s="327"/>
    </row>
    <row r="651" spans="2:8" s="326" customFormat="1" ht="9.9499999999999993" customHeight="1" x14ac:dyDescent="0.2">
      <c r="B651" s="327"/>
      <c r="F651" s="327"/>
      <c r="H651" s="327"/>
    </row>
    <row r="652" spans="2:8" s="326" customFormat="1" ht="9.9499999999999993" customHeight="1" x14ac:dyDescent="0.2">
      <c r="B652" s="327"/>
      <c r="F652" s="327"/>
      <c r="H652" s="327"/>
    </row>
    <row r="653" spans="2:8" s="326" customFormat="1" ht="9.9499999999999993" customHeight="1" x14ac:dyDescent="0.2">
      <c r="B653" s="327"/>
      <c r="F653" s="327"/>
      <c r="H653" s="327"/>
    </row>
    <row r="654" spans="2:8" s="326" customFormat="1" ht="9.9499999999999993" customHeight="1" x14ac:dyDescent="0.2">
      <c r="B654" s="327"/>
      <c r="F654" s="327"/>
      <c r="H654" s="327"/>
    </row>
    <row r="655" spans="2:8" s="326" customFormat="1" ht="9.9499999999999993" customHeight="1" x14ac:dyDescent="0.2">
      <c r="B655" s="327"/>
      <c r="F655" s="327"/>
      <c r="H655" s="327"/>
    </row>
    <row r="656" spans="2:8" s="326" customFormat="1" ht="9.9499999999999993" customHeight="1" x14ac:dyDescent="0.2">
      <c r="B656" s="327"/>
      <c r="F656" s="327"/>
      <c r="H656" s="327"/>
    </row>
    <row r="657" spans="2:8" s="326" customFormat="1" ht="9.9499999999999993" customHeight="1" x14ac:dyDescent="0.2">
      <c r="B657" s="327"/>
      <c r="F657" s="327"/>
      <c r="H657" s="327"/>
    </row>
    <row r="658" spans="2:8" s="326" customFormat="1" ht="9.9499999999999993" customHeight="1" x14ac:dyDescent="0.2">
      <c r="B658" s="327"/>
      <c r="F658" s="327"/>
      <c r="H658" s="327"/>
    </row>
    <row r="659" spans="2:8" s="326" customFormat="1" ht="9.9499999999999993" customHeight="1" x14ac:dyDescent="0.2">
      <c r="B659" s="327"/>
      <c r="F659" s="327"/>
      <c r="H659" s="327"/>
    </row>
    <row r="660" spans="2:8" s="326" customFormat="1" ht="9.9499999999999993" customHeight="1" x14ac:dyDescent="0.2">
      <c r="B660" s="327"/>
      <c r="F660" s="327"/>
      <c r="H660" s="327"/>
    </row>
    <row r="661" spans="2:8" s="326" customFormat="1" ht="9.9499999999999993" customHeight="1" x14ac:dyDescent="0.2">
      <c r="B661" s="327"/>
      <c r="F661" s="327"/>
      <c r="H661" s="327"/>
    </row>
    <row r="662" spans="2:8" s="326" customFormat="1" ht="9.9499999999999993" customHeight="1" x14ac:dyDescent="0.2">
      <c r="B662" s="327"/>
      <c r="F662" s="327"/>
      <c r="H662" s="327"/>
    </row>
    <row r="663" spans="2:8" s="326" customFormat="1" ht="9.9499999999999993" customHeight="1" x14ac:dyDescent="0.2">
      <c r="B663" s="327"/>
      <c r="F663" s="327"/>
      <c r="H663" s="327"/>
    </row>
    <row r="664" spans="2:8" s="326" customFormat="1" ht="9.9499999999999993" customHeight="1" x14ac:dyDescent="0.2">
      <c r="B664" s="327"/>
      <c r="F664" s="327"/>
      <c r="H664" s="327"/>
    </row>
    <row r="665" spans="2:8" s="326" customFormat="1" ht="9.9499999999999993" customHeight="1" x14ac:dyDescent="0.2">
      <c r="B665" s="327"/>
      <c r="F665" s="327"/>
      <c r="H665" s="327"/>
    </row>
    <row r="666" spans="2:8" s="326" customFormat="1" ht="9.9499999999999993" customHeight="1" x14ac:dyDescent="0.2">
      <c r="B666" s="327"/>
      <c r="F666" s="327"/>
      <c r="H666" s="327"/>
    </row>
    <row r="667" spans="2:8" s="326" customFormat="1" ht="9.9499999999999993" customHeight="1" x14ac:dyDescent="0.2">
      <c r="B667" s="327"/>
      <c r="F667" s="327"/>
      <c r="H667" s="327"/>
    </row>
    <row r="668" spans="2:8" s="326" customFormat="1" ht="9.9499999999999993" customHeight="1" x14ac:dyDescent="0.2">
      <c r="B668" s="327"/>
      <c r="F668" s="327"/>
      <c r="H668" s="327"/>
    </row>
    <row r="669" spans="2:8" s="326" customFormat="1" ht="9.9499999999999993" customHeight="1" x14ac:dyDescent="0.2">
      <c r="B669" s="327"/>
      <c r="F669" s="327"/>
      <c r="H669" s="327"/>
    </row>
    <row r="670" spans="2:8" s="326" customFormat="1" ht="9.9499999999999993" customHeight="1" x14ac:dyDescent="0.2">
      <c r="B670" s="327"/>
      <c r="F670" s="327"/>
      <c r="H670" s="327"/>
    </row>
    <row r="671" spans="2:8" s="326" customFormat="1" ht="9.9499999999999993" customHeight="1" x14ac:dyDescent="0.2">
      <c r="B671" s="327"/>
      <c r="F671" s="327"/>
      <c r="H671" s="327"/>
    </row>
    <row r="672" spans="2:8" s="326" customFormat="1" ht="9.9499999999999993" customHeight="1" x14ac:dyDescent="0.2">
      <c r="B672" s="327"/>
      <c r="F672" s="327"/>
      <c r="H672" s="327"/>
    </row>
    <row r="673" spans="2:8" s="326" customFormat="1" ht="9.9499999999999993" customHeight="1" x14ac:dyDescent="0.2">
      <c r="B673" s="327"/>
      <c r="F673" s="327"/>
      <c r="H673" s="327"/>
    </row>
    <row r="674" spans="2:8" s="326" customFormat="1" ht="9.9499999999999993" customHeight="1" x14ac:dyDescent="0.2">
      <c r="B674" s="327"/>
      <c r="F674" s="327"/>
      <c r="H674" s="327"/>
    </row>
    <row r="675" spans="2:8" s="326" customFormat="1" ht="9.9499999999999993" customHeight="1" x14ac:dyDescent="0.2">
      <c r="B675" s="327"/>
      <c r="F675" s="327"/>
      <c r="H675" s="327"/>
    </row>
    <row r="676" spans="2:8" s="326" customFormat="1" ht="9.9499999999999993" customHeight="1" x14ac:dyDescent="0.2">
      <c r="B676" s="327"/>
      <c r="F676" s="327"/>
      <c r="H676" s="327"/>
    </row>
    <row r="677" spans="2:8" s="326" customFormat="1" ht="9.9499999999999993" customHeight="1" x14ac:dyDescent="0.2">
      <c r="B677" s="327"/>
      <c r="F677" s="327"/>
      <c r="H677" s="327"/>
    </row>
    <row r="678" spans="2:8" s="326" customFormat="1" ht="9.9499999999999993" customHeight="1" x14ac:dyDescent="0.2">
      <c r="B678" s="327"/>
      <c r="F678" s="327"/>
      <c r="H678" s="327"/>
    </row>
    <row r="679" spans="2:8" s="326" customFormat="1" ht="9.9499999999999993" customHeight="1" x14ac:dyDescent="0.2">
      <c r="B679" s="327"/>
      <c r="F679" s="327"/>
      <c r="H679" s="327"/>
    </row>
    <row r="680" spans="2:8" s="326" customFormat="1" ht="9.9499999999999993" customHeight="1" x14ac:dyDescent="0.2">
      <c r="B680" s="327"/>
      <c r="F680" s="327"/>
      <c r="H680" s="327"/>
    </row>
    <row r="681" spans="2:8" s="326" customFormat="1" ht="9.9499999999999993" customHeight="1" x14ac:dyDescent="0.2">
      <c r="B681" s="327"/>
      <c r="F681" s="327"/>
      <c r="H681" s="327"/>
    </row>
    <row r="682" spans="2:8" s="326" customFormat="1" ht="9.9499999999999993" customHeight="1" x14ac:dyDescent="0.2">
      <c r="B682" s="327"/>
      <c r="F682" s="327"/>
      <c r="H682" s="327"/>
    </row>
    <row r="683" spans="2:8" s="326" customFormat="1" ht="9.9499999999999993" customHeight="1" x14ac:dyDescent="0.2">
      <c r="B683" s="327"/>
      <c r="F683" s="327"/>
      <c r="H683" s="327"/>
    </row>
    <row r="684" spans="2:8" s="326" customFormat="1" ht="9.9499999999999993" customHeight="1" x14ac:dyDescent="0.2">
      <c r="B684" s="327"/>
      <c r="F684" s="327"/>
      <c r="H684" s="327"/>
    </row>
    <row r="685" spans="2:8" s="326" customFormat="1" ht="9.9499999999999993" customHeight="1" x14ac:dyDescent="0.2">
      <c r="B685" s="327"/>
      <c r="F685" s="327"/>
      <c r="H685" s="327"/>
    </row>
    <row r="686" spans="2:8" s="326" customFormat="1" ht="9.9499999999999993" customHeight="1" x14ac:dyDescent="0.2">
      <c r="B686" s="327"/>
      <c r="F686" s="327"/>
      <c r="H686" s="327"/>
    </row>
    <row r="687" spans="2:8" s="326" customFormat="1" ht="9.9499999999999993" customHeight="1" x14ac:dyDescent="0.2">
      <c r="B687" s="327"/>
      <c r="F687" s="327"/>
      <c r="H687" s="327"/>
    </row>
    <row r="688" spans="2:8" s="326" customFormat="1" ht="9.9499999999999993" customHeight="1" x14ac:dyDescent="0.2">
      <c r="B688" s="327"/>
      <c r="F688" s="327"/>
      <c r="H688" s="327"/>
    </row>
    <row r="689" spans="2:8" s="326" customFormat="1" ht="9.9499999999999993" customHeight="1" x14ac:dyDescent="0.2">
      <c r="B689" s="327"/>
      <c r="F689" s="327"/>
      <c r="H689" s="327"/>
    </row>
    <row r="690" spans="2:8" s="326" customFormat="1" ht="9.9499999999999993" customHeight="1" x14ac:dyDescent="0.2">
      <c r="B690" s="327"/>
      <c r="F690" s="327"/>
      <c r="H690" s="327"/>
    </row>
    <row r="691" spans="2:8" s="326" customFormat="1" ht="9.9499999999999993" customHeight="1" x14ac:dyDescent="0.2">
      <c r="B691" s="327"/>
      <c r="F691" s="327"/>
      <c r="H691" s="327"/>
    </row>
    <row r="692" spans="2:8" s="326" customFormat="1" ht="9.9499999999999993" customHeight="1" x14ac:dyDescent="0.2">
      <c r="B692" s="327"/>
      <c r="F692" s="327"/>
      <c r="H692" s="327"/>
    </row>
    <row r="693" spans="2:8" s="326" customFormat="1" ht="9.9499999999999993" customHeight="1" x14ac:dyDescent="0.2">
      <c r="B693" s="327"/>
      <c r="F693" s="327"/>
      <c r="H693" s="327"/>
    </row>
    <row r="694" spans="2:8" s="326" customFormat="1" ht="9.9499999999999993" customHeight="1" x14ac:dyDescent="0.2">
      <c r="B694" s="327"/>
      <c r="F694" s="327"/>
      <c r="H694" s="327"/>
    </row>
    <row r="695" spans="2:8" s="326" customFormat="1" ht="9.9499999999999993" customHeight="1" x14ac:dyDescent="0.2">
      <c r="B695" s="327"/>
      <c r="F695" s="327"/>
      <c r="H695" s="327"/>
    </row>
    <row r="696" spans="2:8" s="326" customFormat="1" ht="9.9499999999999993" customHeight="1" x14ac:dyDescent="0.2">
      <c r="B696" s="327"/>
      <c r="F696" s="327"/>
      <c r="H696" s="327"/>
    </row>
    <row r="697" spans="2:8" s="326" customFormat="1" ht="9.9499999999999993" customHeight="1" x14ac:dyDescent="0.2">
      <c r="B697" s="327"/>
      <c r="F697" s="327"/>
      <c r="H697" s="327"/>
    </row>
    <row r="698" spans="2:8" s="326" customFormat="1" ht="9.9499999999999993" customHeight="1" x14ac:dyDescent="0.2">
      <c r="B698" s="327"/>
      <c r="F698" s="327"/>
      <c r="H698" s="327"/>
    </row>
    <row r="699" spans="2:8" s="326" customFormat="1" ht="9.9499999999999993" customHeight="1" x14ac:dyDescent="0.2">
      <c r="B699" s="327"/>
      <c r="F699" s="327"/>
      <c r="H699" s="327"/>
    </row>
    <row r="700" spans="2:8" s="326" customFormat="1" ht="9.9499999999999993" customHeight="1" x14ac:dyDescent="0.2">
      <c r="B700" s="327"/>
      <c r="F700" s="327"/>
      <c r="H700" s="327"/>
    </row>
    <row r="701" spans="2:8" s="326" customFormat="1" ht="9.9499999999999993" customHeight="1" x14ac:dyDescent="0.2">
      <c r="B701" s="327"/>
      <c r="F701" s="327"/>
      <c r="H701" s="327"/>
    </row>
    <row r="702" spans="2:8" s="326" customFormat="1" ht="9.9499999999999993" customHeight="1" x14ac:dyDescent="0.2">
      <c r="B702" s="327"/>
      <c r="F702" s="327"/>
      <c r="H702" s="327"/>
    </row>
    <row r="703" spans="2:8" s="326" customFormat="1" ht="9.9499999999999993" customHeight="1" x14ac:dyDescent="0.2">
      <c r="B703" s="327"/>
      <c r="F703" s="327"/>
      <c r="H703" s="327"/>
    </row>
    <row r="704" spans="2:8" s="326" customFormat="1" ht="9.9499999999999993" customHeight="1" x14ac:dyDescent="0.2">
      <c r="B704" s="327"/>
      <c r="F704" s="327"/>
      <c r="H704" s="327"/>
    </row>
    <row r="705" spans="2:8" s="326" customFormat="1" ht="9.9499999999999993" customHeight="1" x14ac:dyDescent="0.2">
      <c r="B705" s="327"/>
      <c r="F705" s="327"/>
      <c r="H705" s="327"/>
    </row>
    <row r="706" spans="2:8" s="326" customFormat="1" ht="9.9499999999999993" customHeight="1" x14ac:dyDescent="0.2">
      <c r="B706" s="327"/>
      <c r="F706" s="327"/>
      <c r="H706" s="327"/>
    </row>
    <row r="707" spans="2:8" s="326" customFormat="1" ht="9.9499999999999993" customHeight="1" x14ac:dyDescent="0.2">
      <c r="B707" s="327"/>
      <c r="F707" s="327"/>
      <c r="H707" s="327"/>
    </row>
    <row r="708" spans="2:8" s="326" customFormat="1" ht="9.9499999999999993" customHeight="1" x14ac:dyDescent="0.2">
      <c r="B708" s="327"/>
      <c r="F708" s="327"/>
      <c r="H708" s="327"/>
    </row>
    <row r="709" spans="2:8" s="326" customFormat="1" ht="9.9499999999999993" customHeight="1" x14ac:dyDescent="0.2">
      <c r="B709" s="327"/>
      <c r="F709" s="327"/>
      <c r="H709" s="327"/>
    </row>
    <row r="710" spans="2:8" s="326" customFormat="1" ht="9.9499999999999993" customHeight="1" x14ac:dyDescent="0.2">
      <c r="B710" s="327"/>
      <c r="F710" s="327"/>
      <c r="H710" s="327"/>
    </row>
    <row r="711" spans="2:8" s="326" customFormat="1" ht="9.9499999999999993" customHeight="1" x14ac:dyDescent="0.2">
      <c r="B711" s="327"/>
      <c r="F711" s="327"/>
      <c r="H711" s="327"/>
    </row>
    <row r="712" spans="2:8" s="326" customFormat="1" ht="9.9499999999999993" customHeight="1" x14ac:dyDescent="0.2">
      <c r="B712" s="327"/>
      <c r="F712" s="327"/>
      <c r="H712" s="327"/>
    </row>
    <row r="713" spans="2:8" s="326" customFormat="1" ht="9.9499999999999993" customHeight="1" x14ac:dyDescent="0.2">
      <c r="B713" s="327"/>
      <c r="F713" s="327"/>
      <c r="H713" s="327"/>
    </row>
    <row r="714" spans="2:8" s="326" customFormat="1" ht="9.9499999999999993" customHeight="1" x14ac:dyDescent="0.2">
      <c r="B714" s="327"/>
      <c r="F714" s="327"/>
      <c r="H714" s="327"/>
    </row>
    <row r="715" spans="2:8" s="326" customFormat="1" ht="9.9499999999999993" customHeight="1" x14ac:dyDescent="0.2">
      <c r="B715" s="327"/>
      <c r="F715" s="327"/>
      <c r="H715" s="327"/>
    </row>
    <row r="716" spans="2:8" s="326" customFormat="1" ht="9.9499999999999993" customHeight="1" x14ac:dyDescent="0.2">
      <c r="B716" s="327"/>
      <c r="F716" s="327"/>
      <c r="H716" s="327"/>
    </row>
    <row r="717" spans="2:8" s="326" customFormat="1" ht="9.9499999999999993" customHeight="1" x14ac:dyDescent="0.2">
      <c r="B717" s="327"/>
      <c r="F717" s="327"/>
      <c r="H717" s="327"/>
    </row>
    <row r="718" spans="2:8" s="326" customFormat="1" ht="9.9499999999999993" customHeight="1" x14ac:dyDescent="0.2">
      <c r="B718" s="327"/>
      <c r="F718" s="327"/>
      <c r="H718" s="327"/>
    </row>
    <row r="719" spans="2:8" s="326" customFormat="1" ht="9.9499999999999993" customHeight="1" x14ac:dyDescent="0.2">
      <c r="B719" s="327"/>
      <c r="F719" s="327"/>
      <c r="H719" s="327"/>
    </row>
    <row r="720" spans="2:8" s="326" customFormat="1" ht="9.9499999999999993" customHeight="1" x14ac:dyDescent="0.2">
      <c r="B720" s="327"/>
      <c r="F720" s="327"/>
      <c r="H720" s="327"/>
    </row>
    <row r="721" spans="2:8" s="326" customFormat="1" ht="9.9499999999999993" customHeight="1" x14ac:dyDescent="0.2">
      <c r="B721" s="327"/>
      <c r="F721" s="327"/>
      <c r="H721" s="327"/>
    </row>
    <row r="722" spans="2:8" s="326" customFormat="1" ht="9.9499999999999993" customHeight="1" x14ac:dyDescent="0.2">
      <c r="B722" s="327"/>
      <c r="F722" s="327"/>
      <c r="H722" s="327"/>
    </row>
    <row r="723" spans="2:8" s="326" customFormat="1" ht="9.9499999999999993" customHeight="1" x14ac:dyDescent="0.2">
      <c r="B723" s="327"/>
      <c r="F723" s="327"/>
      <c r="H723" s="327"/>
    </row>
    <row r="724" spans="2:8" s="326" customFormat="1" ht="9.9499999999999993" customHeight="1" x14ac:dyDescent="0.2">
      <c r="B724" s="327"/>
      <c r="F724" s="327"/>
      <c r="H724" s="327"/>
    </row>
    <row r="725" spans="2:8" s="326" customFormat="1" ht="9.9499999999999993" customHeight="1" x14ac:dyDescent="0.2">
      <c r="B725" s="327"/>
      <c r="F725" s="327"/>
      <c r="H725" s="327"/>
    </row>
    <row r="726" spans="2:8" s="326" customFormat="1" ht="9.9499999999999993" customHeight="1" x14ac:dyDescent="0.2">
      <c r="B726" s="327"/>
      <c r="F726" s="327"/>
      <c r="H726" s="327"/>
    </row>
    <row r="727" spans="2:8" s="326" customFormat="1" ht="9.9499999999999993" customHeight="1" x14ac:dyDescent="0.2">
      <c r="B727" s="327"/>
      <c r="F727" s="327"/>
      <c r="H727" s="327"/>
    </row>
    <row r="728" spans="2:8" s="326" customFormat="1" ht="9.9499999999999993" customHeight="1" x14ac:dyDescent="0.2">
      <c r="B728" s="327"/>
      <c r="F728" s="327"/>
      <c r="H728" s="327"/>
    </row>
    <row r="729" spans="2:8" s="326" customFormat="1" ht="9.9499999999999993" customHeight="1" x14ac:dyDescent="0.2">
      <c r="B729" s="327"/>
      <c r="F729" s="327"/>
      <c r="H729" s="327"/>
    </row>
    <row r="730" spans="2:8" s="326" customFormat="1" ht="9.9499999999999993" customHeight="1" x14ac:dyDescent="0.2">
      <c r="B730" s="327"/>
      <c r="F730" s="327"/>
      <c r="H730" s="327"/>
    </row>
    <row r="731" spans="2:8" s="326" customFormat="1" ht="9.9499999999999993" customHeight="1" x14ac:dyDescent="0.2">
      <c r="B731" s="327"/>
      <c r="F731" s="327"/>
      <c r="H731" s="327"/>
    </row>
    <row r="732" spans="2:8" s="326" customFormat="1" ht="9.9499999999999993" customHeight="1" x14ac:dyDescent="0.2">
      <c r="B732" s="327"/>
      <c r="F732" s="327"/>
      <c r="H732" s="327"/>
    </row>
    <row r="733" spans="2:8" s="326" customFormat="1" ht="9.9499999999999993" customHeight="1" x14ac:dyDescent="0.2">
      <c r="B733" s="327"/>
      <c r="F733" s="327"/>
      <c r="H733" s="327"/>
    </row>
    <row r="734" spans="2:8" s="326" customFormat="1" ht="9.9499999999999993" customHeight="1" x14ac:dyDescent="0.2">
      <c r="B734" s="327"/>
      <c r="F734" s="327"/>
      <c r="H734" s="327"/>
    </row>
    <row r="735" spans="2:8" s="326" customFormat="1" ht="9.9499999999999993" customHeight="1" x14ac:dyDescent="0.2">
      <c r="B735" s="327"/>
      <c r="F735" s="327"/>
      <c r="H735" s="327"/>
    </row>
    <row r="736" spans="2:8" s="326" customFormat="1" ht="9.9499999999999993" customHeight="1" x14ac:dyDescent="0.2">
      <c r="B736" s="327"/>
      <c r="F736" s="327"/>
      <c r="H736" s="327"/>
    </row>
    <row r="737" spans="2:8" s="326" customFormat="1" ht="9.9499999999999993" customHeight="1" x14ac:dyDescent="0.2">
      <c r="B737" s="327"/>
      <c r="F737" s="327"/>
      <c r="H737" s="327"/>
    </row>
    <row r="738" spans="2:8" s="326" customFormat="1" ht="9.9499999999999993" customHeight="1" x14ac:dyDescent="0.2">
      <c r="B738" s="327"/>
      <c r="F738" s="327"/>
      <c r="H738" s="327"/>
    </row>
    <row r="739" spans="2:8" s="326" customFormat="1" ht="9.9499999999999993" customHeight="1" x14ac:dyDescent="0.2">
      <c r="B739" s="327"/>
      <c r="F739" s="327"/>
      <c r="H739" s="327"/>
    </row>
    <row r="740" spans="2:8" s="326" customFormat="1" ht="9.9499999999999993" customHeight="1" x14ac:dyDescent="0.2">
      <c r="B740" s="327"/>
      <c r="F740" s="327"/>
      <c r="H740" s="327"/>
    </row>
    <row r="741" spans="2:8" s="326" customFormat="1" ht="9.9499999999999993" customHeight="1" x14ac:dyDescent="0.2">
      <c r="B741" s="327"/>
      <c r="F741" s="327"/>
      <c r="H741" s="327"/>
    </row>
    <row r="742" spans="2:8" s="326" customFormat="1" ht="9.9499999999999993" customHeight="1" x14ac:dyDescent="0.2">
      <c r="B742" s="327"/>
      <c r="F742" s="327"/>
      <c r="H742" s="327"/>
    </row>
    <row r="743" spans="2:8" s="326" customFormat="1" ht="9.9499999999999993" customHeight="1" x14ac:dyDescent="0.2">
      <c r="B743" s="327"/>
      <c r="F743" s="327"/>
      <c r="H743" s="327"/>
    </row>
    <row r="744" spans="2:8" s="326" customFormat="1" ht="9.9499999999999993" customHeight="1" x14ac:dyDescent="0.2">
      <c r="B744" s="327"/>
      <c r="F744" s="327"/>
      <c r="H744" s="327"/>
    </row>
    <row r="745" spans="2:8" s="326" customFormat="1" ht="9.9499999999999993" customHeight="1" x14ac:dyDescent="0.2">
      <c r="B745" s="327"/>
      <c r="F745" s="327"/>
      <c r="H745" s="327"/>
    </row>
    <row r="746" spans="2:8" s="326" customFormat="1" ht="9.9499999999999993" customHeight="1" x14ac:dyDescent="0.2">
      <c r="B746" s="327"/>
      <c r="F746" s="327"/>
      <c r="H746" s="327"/>
    </row>
    <row r="747" spans="2:8" s="326" customFormat="1" ht="9.9499999999999993" customHeight="1" x14ac:dyDescent="0.2">
      <c r="B747" s="327"/>
      <c r="F747" s="327"/>
      <c r="H747" s="327"/>
    </row>
    <row r="748" spans="2:8" s="326" customFormat="1" ht="9.9499999999999993" customHeight="1" x14ac:dyDescent="0.2">
      <c r="B748" s="327"/>
      <c r="F748" s="327"/>
      <c r="H748" s="327"/>
    </row>
    <row r="749" spans="2:8" s="326" customFormat="1" ht="9.9499999999999993" customHeight="1" x14ac:dyDescent="0.2">
      <c r="B749" s="327"/>
      <c r="F749" s="327"/>
      <c r="H749" s="327"/>
    </row>
    <row r="750" spans="2:8" s="326" customFormat="1" ht="9.9499999999999993" customHeight="1" x14ac:dyDescent="0.2">
      <c r="B750" s="327"/>
      <c r="F750" s="327"/>
      <c r="H750" s="327"/>
    </row>
    <row r="751" spans="2:8" s="326" customFormat="1" ht="9.9499999999999993" customHeight="1" x14ac:dyDescent="0.2">
      <c r="B751" s="327"/>
      <c r="F751" s="327"/>
      <c r="H751" s="327"/>
    </row>
    <row r="752" spans="2:8" s="326" customFormat="1" ht="9.9499999999999993" customHeight="1" x14ac:dyDescent="0.2">
      <c r="B752" s="327"/>
      <c r="F752" s="327"/>
      <c r="H752" s="327"/>
    </row>
    <row r="753" spans="2:8" s="326" customFormat="1" ht="9.9499999999999993" customHeight="1" x14ac:dyDescent="0.2">
      <c r="B753" s="327"/>
      <c r="F753" s="327"/>
      <c r="H753" s="327"/>
    </row>
    <row r="754" spans="2:8" s="326" customFormat="1" ht="9.9499999999999993" customHeight="1" x14ac:dyDescent="0.2">
      <c r="B754" s="327"/>
      <c r="F754" s="327"/>
      <c r="H754" s="327"/>
    </row>
    <row r="755" spans="2:8" s="326" customFormat="1" ht="9.9499999999999993" customHeight="1" x14ac:dyDescent="0.2">
      <c r="B755" s="327"/>
      <c r="F755" s="327"/>
      <c r="H755" s="327"/>
    </row>
    <row r="756" spans="2:8" s="326" customFormat="1" ht="9.9499999999999993" customHeight="1" x14ac:dyDescent="0.2">
      <c r="B756" s="327"/>
      <c r="F756" s="327"/>
      <c r="H756" s="327"/>
    </row>
    <row r="757" spans="2:8" s="326" customFormat="1" ht="9.9499999999999993" customHeight="1" x14ac:dyDescent="0.2">
      <c r="B757" s="327"/>
      <c r="F757" s="327"/>
      <c r="H757" s="327"/>
    </row>
    <row r="758" spans="2:8" s="326" customFormat="1" ht="9.9499999999999993" customHeight="1" x14ac:dyDescent="0.2">
      <c r="B758" s="327"/>
      <c r="F758" s="327"/>
      <c r="H758" s="327"/>
    </row>
    <row r="759" spans="2:8" s="326" customFormat="1" ht="9.9499999999999993" customHeight="1" x14ac:dyDescent="0.2">
      <c r="B759" s="327"/>
      <c r="F759" s="327"/>
      <c r="H759" s="327"/>
    </row>
    <row r="760" spans="2:8" s="326" customFormat="1" ht="9.9499999999999993" customHeight="1" x14ac:dyDescent="0.2">
      <c r="B760" s="327"/>
      <c r="F760" s="327"/>
      <c r="H760" s="327"/>
    </row>
    <row r="761" spans="2:8" s="326" customFormat="1" ht="9.9499999999999993" customHeight="1" x14ac:dyDescent="0.2">
      <c r="B761" s="327"/>
      <c r="F761" s="327"/>
      <c r="H761" s="327"/>
    </row>
    <row r="762" spans="2:8" s="326" customFormat="1" ht="9.9499999999999993" customHeight="1" x14ac:dyDescent="0.2">
      <c r="B762" s="327"/>
      <c r="F762" s="327"/>
      <c r="H762" s="327"/>
    </row>
    <row r="763" spans="2:8" s="326" customFormat="1" ht="9.9499999999999993" customHeight="1" x14ac:dyDescent="0.2">
      <c r="B763" s="327"/>
      <c r="F763" s="327"/>
      <c r="H763" s="327"/>
    </row>
    <row r="764" spans="2:8" s="326" customFormat="1" ht="9.9499999999999993" customHeight="1" x14ac:dyDescent="0.2">
      <c r="B764" s="327"/>
      <c r="F764" s="327"/>
      <c r="H764" s="327"/>
    </row>
    <row r="765" spans="2:8" s="326" customFormat="1" ht="9.9499999999999993" customHeight="1" x14ac:dyDescent="0.2">
      <c r="B765" s="327"/>
      <c r="F765" s="327"/>
      <c r="H765" s="327"/>
    </row>
    <row r="766" spans="2:8" s="326" customFormat="1" ht="9.9499999999999993" customHeight="1" x14ac:dyDescent="0.2">
      <c r="B766" s="327"/>
      <c r="F766" s="327"/>
      <c r="H766" s="327"/>
    </row>
    <row r="767" spans="2:8" s="326" customFormat="1" ht="9.9499999999999993" customHeight="1" x14ac:dyDescent="0.2">
      <c r="B767" s="327"/>
      <c r="F767" s="327"/>
      <c r="H767" s="327"/>
    </row>
    <row r="768" spans="2:8" s="326" customFormat="1" ht="9.9499999999999993" customHeight="1" x14ac:dyDescent="0.2">
      <c r="B768" s="327"/>
      <c r="F768" s="327"/>
      <c r="H768" s="327"/>
    </row>
    <row r="769" spans="2:8" s="326" customFormat="1" ht="9.9499999999999993" customHeight="1" x14ac:dyDescent="0.2">
      <c r="B769" s="327"/>
      <c r="F769" s="327"/>
      <c r="H769" s="327"/>
    </row>
    <row r="770" spans="2:8" s="326" customFormat="1" ht="9.9499999999999993" customHeight="1" x14ac:dyDescent="0.2">
      <c r="B770" s="327"/>
      <c r="F770" s="327"/>
      <c r="H770" s="327"/>
    </row>
    <row r="771" spans="2:8" s="326" customFormat="1" ht="9.9499999999999993" customHeight="1" x14ac:dyDescent="0.2">
      <c r="B771" s="327"/>
      <c r="F771" s="327"/>
      <c r="H771" s="327"/>
    </row>
    <row r="772" spans="2:8" s="326" customFormat="1" ht="9.9499999999999993" customHeight="1" x14ac:dyDescent="0.2">
      <c r="B772" s="327"/>
      <c r="F772" s="327"/>
      <c r="H772" s="327"/>
    </row>
    <row r="773" spans="2:8" s="326" customFormat="1" ht="9.9499999999999993" customHeight="1" x14ac:dyDescent="0.2">
      <c r="B773" s="327"/>
      <c r="F773" s="327"/>
      <c r="H773" s="327"/>
    </row>
    <row r="774" spans="2:8" s="326" customFormat="1" ht="9.9499999999999993" customHeight="1" x14ac:dyDescent="0.2">
      <c r="B774" s="327"/>
      <c r="F774" s="327"/>
      <c r="H774" s="327"/>
    </row>
    <row r="775" spans="2:8" s="326" customFormat="1" ht="9.9499999999999993" customHeight="1" x14ac:dyDescent="0.2">
      <c r="B775" s="327"/>
      <c r="F775" s="327"/>
      <c r="H775" s="327"/>
    </row>
    <row r="776" spans="2:8" s="326" customFormat="1" ht="9.9499999999999993" customHeight="1" x14ac:dyDescent="0.2">
      <c r="B776" s="327"/>
      <c r="F776" s="327"/>
      <c r="H776" s="327"/>
    </row>
    <row r="777" spans="2:8" s="326" customFormat="1" ht="9.9499999999999993" customHeight="1" x14ac:dyDescent="0.2">
      <c r="B777" s="327"/>
      <c r="F777" s="327"/>
      <c r="H777" s="327"/>
    </row>
    <row r="778" spans="2:8" s="326" customFormat="1" ht="9.9499999999999993" customHeight="1" x14ac:dyDescent="0.2">
      <c r="B778" s="327"/>
      <c r="F778" s="327"/>
      <c r="H778" s="327"/>
    </row>
    <row r="779" spans="2:8" s="326" customFormat="1" ht="9.9499999999999993" customHeight="1" x14ac:dyDescent="0.2">
      <c r="B779" s="327"/>
      <c r="F779" s="327"/>
      <c r="H779" s="327"/>
    </row>
    <row r="780" spans="2:8" s="326" customFormat="1" ht="9.9499999999999993" customHeight="1" x14ac:dyDescent="0.2">
      <c r="B780" s="327"/>
      <c r="F780" s="327"/>
      <c r="H780" s="327"/>
    </row>
    <row r="781" spans="2:8" s="326" customFormat="1" ht="9.9499999999999993" customHeight="1" x14ac:dyDescent="0.2">
      <c r="B781" s="327"/>
      <c r="F781" s="327"/>
      <c r="H781" s="327"/>
    </row>
    <row r="782" spans="2:8" s="326" customFormat="1" ht="9.9499999999999993" customHeight="1" x14ac:dyDescent="0.2">
      <c r="B782" s="327"/>
      <c r="F782" s="327"/>
      <c r="H782" s="327"/>
    </row>
    <row r="783" spans="2:8" s="326" customFormat="1" ht="9.9499999999999993" customHeight="1" x14ac:dyDescent="0.2">
      <c r="B783" s="327"/>
      <c r="F783" s="327"/>
      <c r="H783" s="327"/>
    </row>
    <row r="784" spans="2:8" s="326" customFormat="1" ht="9.9499999999999993" customHeight="1" x14ac:dyDescent="0.2">
      <c r="B784" s="327"/>
      <c r="F784" s="327"/>
      <c r="H784" s="327"/>
    </row>
    <row r="785" spans="2:8" s="326" customFormat="1" ht="9.9499999999999993" customHeight="1" x14ac:dyDescent="0.2">
      <c r="B785" s="327"/>
      <c r="F785" s="327"/>
      <c r="H785" s="327"/>
    </row>
    <row r="786" spans="2:8" s="326" customFormat="1" ht="9.9499999999999993" customHeight="1" x14ac:dyDescent="0.2">
      <c r="B786" s="327"/>
      <c r="F786" s="327"/>
      <c r="H786" s="327"/>
    </row>
    <row r="787" spans="2:8" s="326" customFormat="1" ht="9.9499999999999993" customHeight="1" x14ac:dyDescent="0.2">
      <c r="B787" s="327"/>
      <c r="F787" s="327"/>
      <c r="H787" s="327"/>
    </row>
    <row r="788" spans="2:8" s="326" customFormat="1" ht="9.9499999999999993" customHeight="1" x14ac:dyDescent="0.2">
      <c r="B788" s="327"/>
      <c r="F788" s="327"/>
      <c r="H788" s="327"/>
    </row>
    <row r="789" spans="2:8" s="326" customFormat="1" ht="9.9499999999999993" customHeight="1" x14ac:dyDescent="0.2">
      <c r="B789" s="327"/>
      <c r="F789" s="327"/>
      <c r="H789" s="327"/>
    </row>
    <row r="790" spans="2:8" s="326" customFormat="1" ht="9.9499999999999993" customHeight="1" x14ac:dyDescent="0.2">
      <c r="B790" s="327"/>
      <c r="F790" s="327"/>
      <c r="H790" s="327"/>
    </row>
    <row r="791" spans="2:8" s="326" customFormat="1" ht="9.9499999999999993" customHeight="1" x14ac:dyDescent="0.2">
      <c r="B791" s="327"/>
      <c r="F791" s="327"/>
      <c r="H791" s="327"/>
    </row>
    <row r="792" spans="2:8" s="326" customFormat="1" ht="9.9499999999999993" customHeight="1" x14ac:dyDescent="0.2">
      <c r="B792" s="327"/>
      <c r="F792" s="327"/>
      <c r="H792" s="327"/>
    </row>
    <row r="793" spans="2:8" s="326" customFormat="1" ht="9.9499999999999993" customHeight="1" x14ac:dyDescent="0.2">
      <c r="B793" s="327"/>
      <c r="F793" s="327"/>
      <c r="H793" s="327"/>
    </row>
    <row r="794" spans="2:8" s="326" customFormat="1" ht="9.9499999999999993" customHeight="1" x14ac:dyDescent="0.2">
      <c r="B794" s="327"/>
      <c r="F794" s="327"/>
      <c r="H794" s="327"/>
    </row>
    <row r="795" spans="2:8" s="326" customFormat="1" ht="9.9499999999999993" customHeight="1" x14ac:dyDescent="0.2">
      <c r="B795" s="327"/>
      <c r="F795" s="327"/>
      <c r="H795" s="327"/>
    </row>
    <row r="796" spans="2:8" s="326" customFormat="1" ht="9.9499999999999993" customHeight="1" x14ac:dyDescent="0.2">
      <c r="B796" s="327"/>
      <c r="F796" s="327"/>
      <c r="H796" s="327"/>
    </row>
    <row r="797" spans="2:8" s="326" customFormat="1" ht="9.9499999999999993" customHeight="1" x14ac:dyDescent="0.2">
      <c r="B797" s="327"/>
      <c r="F797" s="327"/>
      <c r="H797" s="327"/>
    </row>
    <row r="798" spans="2:8" s="326" customFormat="1" ht="9.9499999999999993" customHeight="1" x14ac:dyDescent="0.2">
      <c r="B798" s="327"/>
      <c r="F798" s="327"/>
      <c r="H798" s="327"/>
    </row>
    <row r="799" spans="2:8" s="326" customFormat="1" ht="9.9499999999999993" customHeight="1" x14ac:dyDescent="0.2">
      <c r="B799" s="327"/>
      <c r="F799" s="327"/>
      <c r="H799" s="327"/>
    </row>
  </sheetData>
  <mergeCells count="3">
    <mergeCell ref="A1:I1"/>
    <mergeCell ref="A4:G4"/>
    <mergeCell ref="A6:G6"/>
  </mergeCells>
  <phoneticPr fontId="9" type="noConversion"/>
  <printOptions horizontalCentered="1"/>
  <pageMargins left="0.5" right="0.5" top="0.5" bottom="0.625"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theme="6" tint="0.39997558519241921"/>
    <pageSetUpPr fitToPage="1"/>
  </sheetPr>
  <dimension ref="A1:Z122"/>
  <sheetViews>
    <sheetView view="pageBreakPreview" zoomScaleNormal="100" workbookViewId="0">
      <pane xSplit="1" ySplit="11" topLeftCell="H12" activePane="bottomRight" state="frozen"/>
      <selection activeCell="Z13" activeCellId="3" sqref="Z18 Z17 Z15 Z13"/>
      <selection pane="topRight" activeCell="Z13" activeCellId="3" sqref="Z18 Z17 Z15 Z13"/>
      <selection pane="bottomLeft" activeCell="Z13" activeCellId="3" sqref="Z18 Z17 Z15 Z13"/>
      <selection pane="bottomRight" activeCell="Z13" activeCellId="3" sqref="Z18 Z17 Z15 Z13"/>
    </sheetView>
  </sheetViews>
  <sheetFormatPr defaultColWidth="9.140625" defaultRowHeight="12.75" x14ac:dyDescent="0.2"/>
  <cols>
    <col min="1" max="1" width="37.5703125" style="434" customWidth="1"/>
    <col min="2" max="2" width="1.5703125" style="437" hidden="1" customWidth="1"/>
    <col min="3" max="3" width="12.42578125" style="437" hidden="1" customWidth="1"/>
    <col min="4" max="4" width="1.5703125" style="437" hidden="1" customWidth="1"/>
    <col min="5" max="5" width="12.42578125" style="437" hidden="1" customWidth="1"/>
    <col min="6" max="6" width="1.5703125" style="437" hidden="1" customWidth="1"/>
    <col min="7" max="7" width="12.42578125" style="437" hidden="1" customWidth="1"/>
    <col min="8" max="8" width="1.5703125" style="437" customWidth="1"/>
    <col min="9" max="9" width="12.42578125" style="437" customWidth="1"/>
    <col min="10" max="10" width="1.5703125" style="437" customWidth="1"/>
    <col min="11" max="11" width="12.42578125" style="437" customWidth="1"/>
    <col min="12" max="12" width="1.5703125" style="437" customWidth="1"/>
    <col min="13" max="13" width="12.42578125" style="437" customWidth="1"/>
    <col min="14" max="14" width="1.5703125" style="437" customWidth="1"/>
    <col min="15" max="15" width="12.42578125" style="437" customWidth="1"/>
    <col min="16" max="16" width="1.5703125" style="437" customWidth="1"/>
    <col min="17" max="17" width="12.42578125" style="437" customWidth="1"/>
    <col min="18" max="18" width="1.5703125" style="437" customWidth="1"/>
    <col min="19" max="16384" width="9.140625" style="202"/>
  </cols>
  <sheetData>
    <row r="1" spans="1:20" s="430" customFormat="1" ht="16.5" customHeight="1" thickBot="1" x14ac:dyDescent="0.25">
      <c r="A1" s="1582" t="s">
        <v>1033</v>
      </c>
      <c r="B1" s="1582"/>
      <c r="C1" s="1582"/>
      <c r="D1" s="1582"/>
      <c r="E1" s="1582"/>
      <c r="F1" s="1582"/>
      <c r="G1" s="1582"/>
      <c r="H1" s="1582"/>
      <c r="I1" s="1582"/>
      <c r="J1" s="1582"/>
      <c r="K1" s="1582"/>
      <c r="L1" s="1582"/>
      <c r="M1" s="1582"/>
      <c r="N1" s="1582"/>
      <c r="O1" s="1582"/>
      <c r="P1" s="1582"/>
      <c r="Q1" s="1582"/>
    </row>
    <row r="2" spans="1:20" s="250" customFormat="1" ht="15" customHeight="1" x14ac:dyDescent="0.2">
      <c r="A2" s="700" t="s">
        <v>461</v>
      </c>
      <c r="I2" s="431"/>
      <c r="K2" s="431"/>
      <c r="M2" s="431"/>
      <c r="O2" s="431"/>
    </row>
    <row r="3" spans="1:20" s="250" customFormat="1" ht="15" customHeight="1" x14ac:dyDescent="0.2">
      <c r="A3" s="700" t="s">
        <v>1010</v>
      </c>
      <c r="I3" s="431"/>
      <c r="K3" s="431"/>
      <c r="M3" s="431"/>
      <c r="O3" s="431"/>
    </row>
    <row r="4" spans="1:20" s="212" customFormat="1" ht="12.95" customHeight="1" x14ac:dyDescent="0.2">
      <c r="A4" s="506" t="s">
        <v>1724</v>
      </c>
      <c r="I4" s="432"/>
      <c r="K4" s="432"/>
      <c r="M4" s="432"/>
      <c r="O4" s="432"/>
    </row>
    <row r="5" spans="1:20" s="247" customFormat="1" ht="12" customHeight="1" x14ac:dyDescent="0.2">
      <c r="A5" s="253" t="s">
        <v>972</v>
      </c>
      <c r="B5" s="433"/>
      <c r="C5" s="433"/>
      <c r="D5" s="433"/>
      <c r="E5" s="311"/>
      <c r="F5" s="433"/>
      <c r="H5" s="433"/>
      <c r="J5" s="433"/>
      <c r="L5" s="433"/>
      <c r="N5" s="433"/>
      <c r="P5" s="433"/>
    </row>
    <row r="6" spans="1:20" s="247" customFormat="1" ht="12" hidden="1" customHeight="1" x14ac:dyDescent="0.2">
      <c r="B6" s="433"/>
      <c r="C6" s="433"/>
      <c r="D6" s="433"/>
      <c r="E6" s="311"/>
      <c r="F6" s="433"/>
      <c r="H6" s="433"/>
      <c r="J6" s="433"/>
      <c r="L6" s="433"/>
      <c r="N6" s="433"/>
      <c r="P6" s="433"/>
    </row>
    <row r="7" spans="1:20" ht="12.6" customHeight="1" x14ac:dyDescent="0.2">
      <c r="B7" s="435"/>
      <c r="C7" s="435"/>
      <c r="D7" s="435"/>
      <c r="E7" s="435"/>
      <c r="F7" s="435"/>
      <c r="G7" s="435"/>
      <c r="H7" s="435"/>
      <c r="I7" s="435"/>
      <c r="J7" s="435"/>
      <c r="K7" s="435"/>
      <c r="L7" s="435"/>
      <c r="M7" s="435"/>
      <c r="N7" s="435"/>
      <c r="O7" s="435"/>
      <c r="P7" s="435"/>
      <c r="Q7" s="436"/>
    </row>
    <row r="8" spans="1:20" s="198" customFormat="1" ht="12.6" customHeight="1" x14ac:dyDescent="0.2">
      <c r="A8" s="445"/>
      <c r="C8" s="443" t="s">
        <v>748</v>
      </c>
      <c r="E8" s="444" t="s">
        <v>617</v>
      </c>
      <c r="G8" s="444" t="s">
        <v>1324</v>
      </c>
      <c r="I8" s="444" t="s">
        <v>1701</v>
      </c>
      <c r="K8" s="444" t="s">
        <v>1318</v>
      </c>
      <c r="M8" s="1228" t="s">
        <v>1663</v>
      </c>
      <c r="O8" s="443" t="s">
        <v>108</v>
      </c>
      <c r="Q8" s="443" t="s">
        <v>671</v>
      </c>
      <c r="R8" s="443"/>
    </row>
    <row r="9" spans="1:20" s="198" customFormat="1" ht="12.6" customHeight="1" x14ac:dyDescent="0.2">
      <c r="A9" s="445"/>
      <c r="C9" s="443" t="s">
        <v>108</v>
      </c>
      <c r="E9" s="443" t="s">
        <v>108</v>
      </c>
      <c r="G9" s="443" t="s">
        <v>108</v>
      </c>
      <c r="I9" s="443" t="s">
        <v>108</v>
      </c>
      <c r="K9" s="443" t="s">
        <v>108</v>
      </c>
      <c r="M9" s="443" t="s">
        <v>108</v>
      </c>
      <c r="O9" s="443" t="s">
        <v>243</v>
      </c>
      <c r="Q9" s="443" t="s">
        <v>108</v>
      </c>
      <c r="R9" s="443"/>
    </row>
    <row r="10" spans="1:20" s="198" customFormat="1" ht="12.6" customHeight="1" x14ac:dyDescent="0.2">
      <c r="A10" s="445"/>
      <c r="C10" s="443" t="s">
        <v>243</v>
      </c>
      <c r="E10" s="443" t="s">
        <v>243</v>
      </c>
      <c r="G10" s="443" t="s">
        <v>243</v>
      </c>
      <c r="I10" s="443" t="s">
        <v>243</v>
      </c>
      <c r="K10" s="443" t="s">
        <v>243</v>
      </c>
      <c r="M10" s="443" t="s">
        <v>243</v>
      </c>
      <c r="O10" s="443" t="s">
        <v>862</v>
      </c>
      <c r="Q10" s="443" t="s">
        <v>243</v>
      </c>
      <c r="R10" s="443"/>
    </row>
    <row r="11" spans="1:20" s="198" customFormat="1" ht="12.6" customHeight="1" x14ac:dyDescent="0.2">
      <c r="A11" s="445"/>
      <c r="C11" s="446" t="s">
        <v>244</v>
      </c>
      <c r="E11" s="446" t="s">
        <v>244</v>
      </c>
      <c r="G11" s="446" t="s">
        <v>244</v>
      </c>
      <c r="I11" s="446" t="s">
        <v>244</v>
      </c>
      <c r="K11" s="446" t="s">
        <v>244</v>
      </c>
      <c r="M11" s="446" t="s">
        <v>244</v>
      </c>
      <c r="O11" s="446" t="s">
        <v>227</v>
      </c>
      <c r="Q11" s="446" t="s">
        <v>244</v>
      </c>
      <c r="R11" s="443"/>
    </row>
    <row r="12" spans="1:20" s="439" customFormat="1" ht="9.9499999999999993" customHeight="1" x14ac:dyDescent="0.2">
      <c r="A12" s="417" t="s">
        <v>672</v>
      </c>
      <c r="B12" s="438"/>
      <c r="C12" s="438"/>
      <c r="D12" s="438"/>
      <c r="E12" s="438"/>
      <c r="F12" s="438"/>
      <c r="G12" s="438"/>
      <c r="H12" s="438"/>
      <c r="I12" s="438"/>
      <c r="J12" s="438"/>
      <c r="K12" s="438"/>
      <c r="L12" s="438"/>
      <c r="M12" s="438"/>
      <c r="N12" s="438"/>
      <c r="O12" s="438"/>
      <c r="P12" s="438"/>
      <c r="Q12" s="438"/>
      <c r="R12" s="438"/>
    </row>
    <row r="13" spans="1:20" s="449" customFormat="1" ht="9.9499999999999993" hidden="1" customHeight="1" x14ac:dyDescent="0.2">
      <c r="A13" s="425" t="s">
        <v>673</v>
      </c>
      <c r="B13" s="447"/>
      <c r="C13" s="448">
        <f>+BSGFws!Y3</f>
        <v>0</v>
      </c>
      <c r="D13" s="447"/>
      <c r="E13" s="448">
        <f>+BSGFws!Z3</f>
        <v>0</v>
      </c>
      <c r="F13" s="447"/>
      <c r="G13" s="448">
        <f>+BSGFws!AA3</f>
        <v>0</v>
      </c>
      <c r="H13" s="447"/>
      <c r="I13" s="448"/>
      <c r="J13" s="447"/>
      <c r="K13" s="448">
        <f>BSGFws!AC3</f>
        <v>0</v>
      </c>
      <c r="L13" s="447"/>
      <c r="M13" s="448"/>
      <c r="N13" s="447"/>
      <c r="O13" s="448"/>
      <c r="P13" s="447"/>
      <c r="Q13" s="448">
        <f>SUM(B13:O13)</f>
        <v>0</v>
      </c>
      <c r="R13" s="448"/>
      <c r="T13" s="449">
        <v>0</v>
      </c>
    </row>
    <row r="14" spans="1:20" s="451" customFormat="1" ht="9.9499999999999993" hidden="1" customHeight="1" x14ac:dyDescent="0.2">
      <c r="A14" s="425" t="s">
        <v>674</v>
      </c>
      <c r="B14" s="450"/>
      <c r="C14" s="450">
        <f>+BSGFws!Y4</f>
        <v>0</v>
      </c>
      <c r="D14" s="450"/>
      <c r="E14" s="450">
        <f>+BSGFws!Z4</f>
        <v>0</v>
      </c>
      <c r="F14" s="450"/>
      <c r="G14" s="450">
        <f>+BSGFws!AA4</f>
        <v>0</v>
      </c>
      <c r="H14" s="450"/>
      <c r="I14" s="450"/>
      <c r="J14" s="450"/>
      <c r="K14" s="450">
        <f>BSGFws!AC4</f>
        <v>0</v>
      </c>
      <c r="L14" s="450"/>
      <c r="M14" s="450"/>
      <c r="N14" s="450"/>
      <c r="O14" s="450"/>
      <c r="P14" s="450"/>
      <c r="Q14" s="450">
        <f t="shared" ref="Q14:Q31" si="0">SUM(B14:O14)</f>
        <v>0</v>
      </c>
      <c r="R14" s="450"/>
    </row>
    <row r="15" spans="1:20" s="451" customFormat="1" ht="9.9499999999999993" hidden="1" customHeight="1" x14ac:dyDescent="0.2">
      <c r="A15" s="425" t="s">
        <v>675</v>
      </c>
      <c r="B15" s="450"/>
      <c r="C15" s="450">
        <f>+BSGFws!Y5</f>
        <v>0</v>
      </c>
      <c r="D15" s="450"/>
      <c r="E15" s="450">
        <f>+BSGFws!Z5</f>
        <v>0</v>
      </c>
      <c r="F15" s="450"/>
      <c r="G15" s="450">
        <f>+BSGFws!AA5</f>
        <v>0</v>
      </c>
      <c r="H15" s="450"/>
      <c r="I15" s="450"/>
      <c r="J15" s="450"/>
      <c r="K15" s="450">
        <f>BSGFws!AC5</f>
        <v>0</v>
      </c>
      <c r="L15" s="450"/>
      <c r="M15" s="450"/>
      <c r="N15" s="450"/>
      <c r="O15" s="450"/>
      <c r="P15" s="450"/>
      <c r="Q15" s="450">
        <f t="shared" si="0"/>
        <v>0</v>
      </c>
      <c r="R15" s="450"/>
    </row>
    <row r="16" spans="1:20" s="451" customFormat="1" ht="9.9499999999999993" hidden="1" customHeight="1" x14ac:dyDescent="0.2">
      <c r="A16" s="425" t="s">
        <v>763</v>
      </c>
      <c r="B16" s="450"/>
      <c r="C16" s="450">
        <f>+BSGFws!Y6</f>
        <v>0</v>
      </c>
      <c r="D16" s="450"/>
      <c r="E16" s="450">
        <f>+BSGFws!Z6</f>
        <v>0</v>
      </c>
      <c r="F16" s="450"/>
      <c r="G16" s="450">
        <f>+BSGFws!AA6</f>
        <v>0</v>
      </c>
      <c r="H16" s="450"/>
      <c r="I16" s="450"/>
      <c r="J16" s="450"/>
      <c r="K16" s="450">
        <f>BSGFws!AC6</f>
        <v>0</v>
      </c>
      <c r="L16" s="450"/>
      <c r="M16" s="450"/>
      <c r="N16" s="450"/>
      <c r="O16" s="450"/>
      <c r="P16" s="450"/>
      <c r="Q16" s="450">
        <f t="shared" si="0"/>
        <v>0</v>
      </c>
      <c r="R16" s="450"/>
    </row>
    <row r="17" spans="1:19" s="451" customFormat="1" ht="9.9499999999999993" hidden="1" customHeight="1" x14ac:dyDescent="0.2">
      <c r="A17" s="425" t="s">
        <v>683</v>
      </c>
      <c r="B17" s="450"/>
      <c r="C17" s="450">
        <f>+BSGFws!Y7</f>
        <v>0</v>
      </c>
      <c r="D17" s="450"/>
      <c r="E17" s="450">
        <f>+BSGFws!Z7</f>
        <v>0</v>
      </c>
      <c r="F17" s="450"/>
      <c r="G17" s="450">
        <f>+BSGFws!AA7</f>
        <v>0</v>
      </c>
      <c r="H17" s="450"/>
      <c r="I17" s="450"/>
      <c r="J17" s="450"/>
      <c r="K17" s="450">
        <f>BSGFws!AC7</f>
        <v>0</v>
      </c>
      <c r="L17" s="450"/>
      <c r="M17" s="450"/>
      <c r="N17" s="450"/>
      <c r="O17" s="450"/>
      <c r="P17" s="450"/>
      <c r="Q17" s="450">
        <f t="shared" si="0"/>
        <v>0</v>
      </c>
      <c r="R17" s="450"/>
    </row>
    <row r="18" spans="1:19" s="451" customFormat="1" ht="9.9499999999999993" hidden="1" customHeight="1" x14ac:dyDescent="0.2">
      <c r="A18" s="425" t="s">
        <v>840</v>
      </c>
      <c r="B18" s="450"/>
      <c r="C18" s="450">
        <f>+BSGFws!Y8</f>
        <v>0</v>
      </c>
      <c r="D18" s="450"/>
      <c r="E18" s="450">
        <f>+BSGFws!Z8</f>
        <v>0</v>
      </c>
      <c r="F18" s="450"/>
      <c r="G18" s="450">
        <f>+BSGFws!AA8</f>
        <v>0</v>
      </c>
      <c r="H18" s="450"/>
      <c r="I18" s="450"/>
      <c r="J18" s="450"/>
      <c r="K18" s="450">
        <f>BSGFws!AC8</f>
        <v>0</v>
      </c>
      <c r="L18" s="450"/>
      <c r="M18" s="450"/>
      <c r="N18" s="450"/>
      <c r="O18" s="450"/>
      <c r="P18" s="450"/>
      <c r="Q18" s="450">
        <f t="shared" si="0"/>
        <v>0</v>
      </c>
      <c r="R18" s="450"/>
    </row>
    <row r="19" spans="1:19" s="451" customFormat="1" ht="9.9499999999999993" hidden="1" customHeight="1" x14ac:dyDescent="0.2">
      <c r="A19" s="425" t="s">
        <v>1575</v>
      </c>
      <c r="B19" s="450"/>
      <c r="C19" s="450"/>
      <c r="D19" s="450"/>
      <c r="E19" s="450"/>
      <c r="F19" s="450"/>
      <c r="G19" s="450">
        <f>+BSGFws!AA9</f>
        <v>0</v>
      </c>
      <c r="H19" s="450"/>
      <c r="I19" s="450"/>
      <c r="J19" s="450"/>
      <c r="K19" s="450">
        <f>BSGFws!AC9</f>
        <v>0</v>
      </c>
      <c r="L19" s="450"/>
      <c r="M19" s="450"/>
      <c r="N19" s="450"/>
      <c r="O19" s="450"/>
      <c r="P19" s="450"/>
      <c r="Q19" s="450">
        <f t="shared" si="0"/>
        <v>0</v>
      </c>
      <c r="R19" s="450"/>
    </row>
    <row r="20" spans="1:19" s="451" customFormat="1" ht="9.9499999999999993" hidden="1" customHeight="1" x14ac:dyDescent="0.2">
      <c r="A20" s="425" t="s">
        <v>63</v>
      </c>
      <c r="B20" s="450"/>
      <c r="C20" s="450">
        <f>+BSGFws!Y10</f>
        <v>0</v>
      </c>
      <c r="D20" s="450"/>
      <c r="E20" s="450">
        <f>+BSGFws!Z10</f>
        <v>0</v>
      </c>
      <c r="F20" s="450"/>
      <c r="G20" s="450">
        <f>+BSGFws!AA10</f>
        <v>0</v>
      </c>
      <c r="H20" s="450"/>
      <c r="I20" s="450"/>
      <c r="J20" s="450"/>
      <c r="K20" s="450">
        <f>BSGFws!AC10</f>
        <v>0</v>
      </c>
      <c r="L20" s="450"/>
      <c r="M20" s="450"/>
      <c r="N20" s="450"/>
      <c r="O20" s="450"/>
      <c r="P20" s="450"/>
      <c r="Q20" s="450">
        <f t="shared" si="0"/>
        <v>0</v>
      </c>
      <c r="R20" s="450"/>
    </row>
    <row r="21" spans="1:19" s="451" customFormat="1" ht="9.9499999999999993" hidden="1" customHeight="1" x14ac:dyDescent="0.2">
      <c r="A21" s="425" t="s">
        <v>592</v>
      </c>
      <c r="B21" s="450"/>
      <c r="C21" s="450">
        <f>+BSGFws!Y11</f>
        <v>0</v>
      </c>
      <c r="D21" s="450"/>
      <c r="E21" s="450">
        <f>+BSGFws!Z11</f>
        <v>0</v>
      </c>
      <c r="F21" s="450"/>
      <c r="G21" s="450">
        <f>+BSGFws!AA11</f>
        <v>0</v>
      </c>
      <c r="H21" s="450"/>
      <c r="I21" s="450"/>
      <c r="J21" s="450"/>
      <c r="K21" s="450">
        <f>BSGFws!AC11</f>
        <v>0</v>
      </c>
      <c r="L21" s="450"/>
      <c r="M21" s="450"/>
      <c r="N21" s="450"/>
      <c r="O21" s="450"/>
      <c r="P21" s="450"/>
      <c r="Q21" s="450">
        <f t="shared" si="0"/>
        <v>0</v>
      </c>
      <c r="R21" s="450"/>
    </row>
    <row r="22" spans="1:19" s="451" customFormat="1" ht="9.9499999999999993" customHeight="1" x14ac:dyDescent="0.2">
      <c r="A22" s="425" t="s">
        <v>685</v>
      </c>
      <c r="B22" s="450"/>
      <c r="C22" s="450">
        <f>+BSGFws!Y12</f>
        <v>0</v>
      </c>
      <c r="D22" s="450"/>
      <c r="E22" s="450">
        <f>+BSGFws!Z12</f>
        <v>0</v>
      </c>
      <c r="F22" s="450"/>
      <c r="G22" s="450">
        <f>+BSGFws!AA12</f>
        <v>0</v>
      </c>
      <c r="H22" s="450"/>
      <c r="I22" s="450"/>
      <c r="J22" s="450"/>
      <c r="K22" s="450">
        <f>BSGFws!AC12</f>
        <v>0</v>
      </c>
      <c r="L22" s="450"/>
      <c r="M22" s="450"/>
      <c r="N22" s="450"/>
      <c r="O22" s="450"/>
      <c r="P22" s="450"/>
      <c r="Q22" s="450"/>
      <c r="R22" s="450"/>
    </row>
    <row r="23" spans="1:19" s="451" customFormat="1" ht="9.9499999999999993" customHeight="1" x14ac:dyDescent="0.2">
      <c r="A23" s="426" t="s">
        <v>673</v>
      </c>
      <c r="B23" s="450"/>
      <c r="C23" s="346"/>
      <c r="D23" s="450"/>
      <c r="E23" s="346"/>
      <c r="F23" s="450"/>
      <c r="G23" s="339">
        <f>+BSGFws!AA13</f>
        <v>0</v>
      </c>
      <c r="H23" s="450"/>
      <c r="I23" s="346">
        <f>BSGFws!AB13</f>
        <v>1172</v>
      </c>
      <c r="J23" s="450"/>
      <c r="K23" s="346">
        <f>BSGFws!AC13</f>
        <v>3781</v>
      </c>
      <c r="L23" s="450"/>
      <c r="M23" s="346">
        <f>BSGFws!AD13</f>
        <v>34752</v>
      </c>
      <c r="N23" s="450"/>
      <c r="O23" s="346">
        <f>BSGFws!AF13</f>
        <v>28124</v>
      </c>
      <c r="P23" s="450"/>
      <c r="Q23" s="1379">
        <f t="shared" si="0"/>
        <v>67829</v>
      </c>
      <c r="R23" s="450"/>
      <c r="S23" s="1229"/>
    </row>
    <row r="24" spans="1:19" s="451" customFormat="1" ht="9.9499999999999993" customHeight="1" x14ac:dyDescent="0.2">
      <c r="A24" s="426" t="s">
        <v>674</v>
      </c>
      <c r="B24" s="447"/>
      <c r="C24" s="450"/>
      <c r="D24" s="447"/>
      <c r="E24" s="450"/>
      <c r="F24" s="447"/>
      <c r="G24" s="450">
        <f>+BSGFws!AA14</f>
        <v>0</v>
      </c>
      <c r="H24" s="447"/>
      <c r="I24" s="450">
        <f>BSGFws!AB14</f>
        <v>3979</v>
      </c>
      <c r="J24" s="447"/>
      <c r="K24" s="450">
        <f>BSGFws!AC14</f>
        <v>12836</v>
      </c>
      <c r="L24" s="447"/>
      <c r="M24" s="450">
        <f>BSGFws!AD14</f>
        <v>120524</v>
      </c>
      <c r="N24" s="447"/>
      <c r="O24" s="450">
        <f>BSGFws!AF14</f>
        <v>0</v>
      </c>
      <c r="P24" s="447"/>
      <c r="Q24" s="450">
        <f t="shared" si="0"/>
        <v>137339</v>
      </c>
      <c r="R24" s="450"/>
      <c r="S24" s="1229"/>
    </row>
    <row r="25" spans="1:19" s="451" customFormat="1" ht="9.9499999999999993" customHeight="1" x14ac:dyDescent="0.2">
      <c r="A25" s="426" t="s">
        <v>252</v>
      </c>
      <c r="B25" s="450"/>
      <c r="C25" s="450"/>
      <c r="D25" s="450"/>
      <c r="E25" s="450"/>
      <c r="F25" s="450"/>
      <c r="G25" s="450">
        <f>+BSGFws!AA15</f>
        <v>0</v>
      </c>
      <c r="H25" s="450"/>
      <c r="I25" s="450">
        <f>BSGFws!AB15</f>
        <v>25</v>
      </c>
      <c r="J25" s="450"/>
      <c r="K25" s="450">
        <f>BSGFws!AC15</f>
        <v>79</v>
      </c>
      <c r="L25" s="450"/>
      <c r="M25" s="450">
        <f>BSGFws!AD15</f>
        <v>745</v>
      </c>
      <c r="N25" s="450"/>
      <c r="O25" s="450">
        <f>BSGFws!AF15</f>
        <v>4330</v>
      </c>
      <c r="P25" s="450"/>
      <c r="Q25" s="450">
        <f t="shared" si="0"/>
        <v>5179</v>
      </c>
      <c r="R25" s="450"/>
      <c r="S25" s="1229"/>
    </row>
    <row r="26" spans="1:19" s="451" customFormat="1" ht="9.9499999999999993" hidden="1" customHeight="1" x14ac:dyDescent="0.2">
      <c r="A26" s="426" t="s">
        <v>763</v>
      </c>
      <c r="B26" s="450"/>
      <c r="C26" s="450"/>
      <c r="D26" s="450"/>
      <c r="E26" s="450"/>
      <c r="F26" s="450"/>
      <c r="G26" s="450">
        <f>+BSGFws!AA16</f>
        <v>0</v>
      </c>
      <c r="H26" s="450"/>
      <c r="I26" s="450">
        <f>BSGFws!AB16</f>
        <v>0</v>
      </c>
      <c r="J26" s="450"/>
      <c r="K26" s="450">
        <f>BSGFws!AC16</f>
        <v>0</v>
      </c>
      <c r="L26" s="450"/>
      <c r="M26" s="450">
        <f>BSGFws!AJ16</f>
        <v>0</v>
      </c>
      <c r="N26" s="450"/>
      <c r="O26" s="450">
        <f>BSGFws!AF16</f>
        <v>0</v>
      </c>
      <c r="P26" s="450"/>
      <c r="Q26" s="450">
        <f t="shared" si="0"/>
        <v>0</v>
      </c>
      <c r="R26" s="450"/>
      <c r="S26" s="1229"/>
    </row>
    <row r="27" spans="1:19" s="451" customFormat="1" ht="9.9499999999999993" hidden="1" customHeight="1" x14ac:dyDescent="0.2">
      <c r="A27" s="426" t="s">
        <v>683</v>
      </c>
      <c r="B27" s="450"/>
      <c r="C27" s="450"/>
      <c r="D27" s="450"/>
      <c r="E27" s="450"/>
      <c r="F27" s="450"/>
      <c r="G27" s="450">
        <f>+BSGFws!AA17</f>
        <v>0</v>
      </c>
      <c r="H27" s="450"/>
      <c r="I27" s="450">
        <f>BSGFws!AB17</f>
        <v>0</v>
      </c>
      <c r="J27" s="450"/>
      <c r="K27" s="450">
        <f>BSGFws!AC17</f>
        <v>0</v>
      </c>
      <c r="L27" s="450"/>
      <c r="M27" s="450">
        <f>BSGFws!AJ17</f>
        <v>0</v>
      </c>
      <c r="N27" s="450"/>
      <c r="O27" s="450">
        <f>BSGFws!AF17</f>
        <v>0</v>
      </c>
      <c r="P27" s="450"/>
      <c r="Q27" s="450">
        <f t="shared" si="0"/>
        <v>0</v>
      </c>
      <c r="R27" s="450"/>
      <c r="S27" s="1229"/>
    </row>
    <row r="28" spans="1:19" s="451" customFormat="1" ht="9.9499999999999993" hidden="1" customHeight="1" x14ac:dyDescent="0.2">
      <c r="A28" s="426" t="s">
        <v>840</v>
      </c>
      <c r="B28" s="450"/>
      <c r="C28" s="450"/>
      <c r="D28" s="450"/>
      <c r="E28" s="450"/>
      <c r="F28" s="450"/>
      <c r="G28" s="450">
        <f>+BSGFws!AA18</f>
        <v>0</v>
      </c>
      <c r="H28" s="450"/>
      <c r="I28" s="450">
        <f>BSGFws!AB18</f>
        <v>0</v>
      </c>
      <c r="J28" s="450"/>
      <c r="K28" s="450">
        <f>BSGFws!AC18</f>
        <v>0</v>
      </c>
      <c r="L28" s="450"/>
      <c r="M28" s="450">
        <f>BSGFws!AJ18</f>
        <v>0</v>
      </c>
      <c r="N28" s="450"/>
      <c r="O28" s="450">
        <f>BSGFws!AF18</f>
        <v>0</v>
      </c>
      <c r="P28" s="450"/>
      <c r="Q28" s="450">
        <f t="shared" si="0"/>
        <v>0</v>
      </c>
      <c r="R28" s="450"/>
      <c r="S28" s="1229"/>
    </row>
    <row r="29" spans="1:19" s="451" customFormat="1" ht="9.9499999999999993" hidden="1" customHeight="1" x14ac:dyDescent="0.2">
      <c r="A29" s="426" t="s">
        <v>1575</v>
      </c>
      <c r="B29" s="450"/>
      <c r="C29" s="450"/>
      <c r="D29" s="450"/>
      <c r="E29" s="450"/>
      <c r="F29" s="450"/>
      <c r="G29" s="450">
        <f>+BSGFws!AA19</f>
        <v>0</v>
      </c>
      <c r="H29" s="450"/>
      <c r="I29" s="450">
        <f>BSGFws!AB19</f>
        <v>0</v>
      </c>
      <c r="J29" s="450"/>
      <c r="K29" s="450">
        <f>BSGFws!AC19</f>
        <v>0</v>
      </c>
      <c r="L29" s="450"/>
      <c r="M29" s="450">
        <f>BSGFws!AJ19</f>
        <v>0</v>
      </c>
      <c r="N29" s="450"/>
      <c r="O29" s="450">
        <f>BSGFws!AF19</f>
        <v>0</v>
      </c>
      <c r="P29" s="450"/>
      <c r="Q29" s="450">
        <f t="shared" si="0"/>
        <v>0</v>
      </c>
      <c r="R29" s="450"/>
      <c r="S29" s="1229"/>
    </row>
    <row r="30" spans="1:19" s="451" customFormat="1" ht="9.9499999999999993" hidden="1" customHeight="1" x14ac:dyDescent="0.2">
      <c r="A30" s="426" t="s">
        <v>63</v>
      </c>
      <c r="B30" s="450"/>
      <c r="C30" s="450"/>
      <c r="D30" s="450"/>
      <c r="E30" s="450"/>
      <c r="F30" s="450"/>
      <c r="G30" s="450">
        <f>+BSGFws!AA20</f>
        <v>0</v>
      </c>
      <c r="H30" s="450"/>
      <c r="I30" s="450">
        <f>BSGFws!AB20</f>
        <v>0</v>
      </c>
      <c r="J30" s="450"/>
      <c r="K30" s="450">
        <f>BSGFws!AC20</f>
        <v>0</v>
      </c>
      <c r="L30" s="450"/>
      <c r="M30" s="450">
        <f>BSGFws!AJ20</f>
        <v>0</v>
      </c>
      <c r="N30" s="450"/>
      <c r="O30" s="450">
        <f>BSGFws!AF20</f>
        <v>0</v>
      </c>
      <c r="P30" s="450"/>
      <c r="Q30" s="450">
        <f t="shared" si="0"/>
        <v>0</v>
      </c>
      <c r="R30" s="450"/>
      <c r="S30" s="1229"/>
    </row>
    <row r="31" spans="1:19" s="451" customFormat="1" ht="9.9499999999999993" customHeight="1" x14ac:dyDescent="0.2">
      <c r="A31" s="426" t="s">
        <v>1216</v>
      </c>
      <c r="B31" s="450"/>
      <c r="C31" s="450"/>
      <c r="D31" s="450"/>
      <c r="E31" s="450"/>
      <c r="F31" s="450"/>
      <c r="G31" s="450">
        <f>+BSGFws!AA21</f>
        <v>0</v>
      </c>
      <c r="H31" s="450"/>
      <c r="I31" s="450">
        <f>BSGFws!AB21</f>
        <v>0</v>
      </c>
      <c r="J31" s="450"/>
      <c r="K31" s="450">
        <f>BSGFws!AC21</f>
        <v>0</v>
      </c>
      <c r="L31" s="450"/>
      <c r="M31" s="450">
        <f>BSGFws!AJ21</f>
        <v>0</v>
      </c>
      <c r="N31" s="450"/>
      <c r="O31" s="450">
        <f>BSGFws!AF21</f>
        <v>5476</v>
      </c>
      <c r="P31" s="450"/>
      <c r="Q31" s="450">
        <f t="shared" si="0"/>
        <v>5476</v>
      </c>
      <c r="R31" s="450"/>
      <c r="S31" s="1229"/>
    </row>
    <row r="32" spans="1:19" s="451" customFormat="1" ht="5.0999999999999996" customHeight="1" x14ac:dyDescent="0.2">
      <c r="A32" s="418"/>
      <c r="B32" s="450"/>
      <c r="C32" s="452"/>
      <c r="D32" s="450"/>
      <c r="E32" s="452"/>
      <c r="F32" s="450"/>
      <c r="G32" s="452"/>
      <c r="H32" s="450"/>
      <c r="I32" s="452"/>
      <c r="J32" s="450"/>
      <c r="K32" s="452"/>
      <c r="L32" s="450"/>
      <c r="M32" s="452"/>
      <c r="N32" s="450"/>
      <c r="O32" s="452"/>
      <c r="P32" s="450"/>
      <c r="Q32" s="452"/>
      <c r="R32" s="450"/>
      <c r="S32" s="1229"/>
    </row>
    <row r="33" spans="1:19" s="451" customFormat="1" ht="11.1" customHeight="1" thickBot="1" x14ac:dyDescent="0.25">
      <c r="A33" s="417" t="s">
        <v>687</v>
      </c>
      <c r="B33" s="447"/>
      <c r="C33" s="453"/>
      <c r="D33" s="447"/>
      <c r="E33" s="453"/>
      <c r="F33" s="447"/>
      <c r="G33" s="453">
        <f>SUM(G13:G31)</f>
        <v>0</v>
      </c>
      <c r="H33" s="447"/>
      <c r="I33" s="453">
        <f>SUM(I13:I31)</f>
        <v>5176</v>
      </c>
      <c r="J33" s="447"/>
      <c r="K33" s="453">
        <f>SUM(K13:K31)</f>
        <v>16696</v>
      </c>
      <c r="L33" s="447"/>
      <c r="M33" s="453">
        <f>SUM(M13:M31)</f>
        <v>156021</v>
      </c>
      <c r="N33" s="447"/>
      <c r="O33" s="453">
        <f>SUM(O13:O31)</f>
        <v>37930</v>
      </c>
      <c r="P33" s="447"/>
      <c r="Q33" s="453">
        <f>SUM(Q13:Q31)</f>
        <v>215823</v>
      </c>
      <c r="R33" s="450"/>
      <c r="S33" s="1229"/>
    </row>
    <row r="34" spans="1:19" s="451" customFormat="1" ht="5.0999999999999996" customHeight="1" thickTop="1" x14ac:dyDescent="0.2">
      <c r="A34" s="418"/>
      <c r="B34" s="450"/>
      <c r="C34" s="461"/>
      <c r="D34" s="450"/>
      <c r="E34" s="450"/>
      <c r="F34" s="450"/>
      <c r="G34" s="450"/>
      <c r="H34" s="450"/>
      <c r="I34" s="450"/>
      <c r="J34" s="450"/>
      <c r="K34" s="450"/>
      <c r="L34" s="450"/>
      <c r="M34" s="450"/>
      <c r="N34" s="450"/>
      <c r="O34" s="450"/>
      <c r="P34" s="450"/>
      <c r="Q34" s="450"/>
      <c r="R34" s="450"/>
      <c r="S34" s="1229"/>
    </row>
    <row r="35" spans="1:19" s="451" customFormat="1" ht="24" x14ac:dyDescent="0.2">
      <c r="A35" s="1241" t="s">
        <v>1699</v>
      </c>
      <c r="B35" s="450"/>
      <c r="C35" s="450"/>
      <c r="D35" s="450"/>
      <c r="E35" s="450"/>
      <c r="F35" s="450"/>
      <c r="G35" s="450"/>
      <c r="H35" s="450"/>
      <c r="I35" s="450"/>
      <c r="J35" s="450"/>
      <c r="K35" s="450"/>
      <c r="L35" s="450"/>
      <c r="M35" s="450"/>
      <c r="N35" s="450"/>
      <c r="O35" s="450"/>
      <c r="P35" s="450"/>
      <c r="Q35" s="450"/>
      <c r="R35" s="450"/>
      <c r="S35" s="1229"/>
    </row>
    <row r="36" spans="1:19" s="451" customFormat="1" ht="9.9499999999999993" customHeight="1" x14ac:dyDescent="0.2">
      <c r="A36" s="428" t="s">
        <v>751</v>
      </c>
      <c r="B36" s="450"/>
      <c r="C36" s="450"/>
      <c r="D36" s="450"/>
      <c r="E36" s="450"/>
      <c r="F36" s="450"/>
      <c r="G36" s="450"/>
      <c r="H36" s="450"/>
      <c r="I36" s="450"/>
      <c r="J36" s="450"/>
      <c r="K36" s="450"/>
      <c r="L36" s="450"/>
      <c r="M36" s="450"/>
      <c r="N36" s="450"/>
      <c r="O36" s="450"/>
      <c r="P36" s="450"/>
      <c r="Q36" s="450"/>
      <c r="R36" s="450"/>
      <c r="S36" s="1229"/>
    </row>
    <row r="37" spans="1:19" s="451" customFormat="1" ht="9.9499999999999993" hidden="1" customHeight="1" x14ac:dyDescent="0.2">
      <c r="A37" s="426" t="s">
        <v>688</v>
      </c>
      <c r="B37" s="450"/>
      <c r="C37" s="450"/>
      <c r="D37" s="450"/>
      <c r="E37" s="450"/>
      <c r="F37" s="450"/>
      <c r="G37" s="450">
        <f>+BSGFws!AA28</f>
        <v>0</v>
      </c>
      <c r="H37" s="450"/>
      <c r="I37" s="450"/>
      <c r="J37" s="450"/>
      <c r="K37" s="450">
        <f>BSGFws!AC28</f>
        <v>0</v>
      </c>
      <c r="L37" s="450"/>
      <c r="M37" s="450"/>
      <c r="N37" s="450"/>
      <c r="O37" s="450">
        <f>+BSGFws!AF25</f>
        <v>0</v>
      </c>
      <c r="P37" s="450"/>
      <c r="Q37" s="450">
        <f t="shared" ref="Q37:Q53" si="1">SUM(B37:O37)</f>
        <v>0</v>
      </c>
      <c r="R37" s="450"/>
      <c r="S37" s="1229"/>
    </row>
    <row r="38" spans="1:19" s="451" customFormat="1" ht="9.9499999999999993" hidden="1" customHeight="1" x14ac:dyDescent="0.2">
      <c r="A38" s="426" t="s">
        <v>847</v>
      </c>
      <c r="B38" s="450"/>
      <c r="C38" s="450"/>
      <c r="D38" s="450"/>
      <c r="E38" s="450"/>
      <c r="F38" s="450"/>
      <c r="G38" s="450">
        <f>+BSGFws!AA29</f>
        <v>0</v>
      </c>
      <c r="H38" s="450"/>
      <c r="I38" s="450"/>
      <c r="J38" s="450"/>
      <c r="K38" s="450"/>
      <c r="L38" s="450"/>
      <c r="M38" s="450"/>
      <c r="N38" s="450"/>
      <c r="O38" s="450">
        <f>+BSGFws!AF26</f>
        <v>0</v>
      </c>
      <c r="P38" s="450"/>
      <c r="Q38" s="450">
        <f t="shared" si="1"/>
        <v>0</v>
      </c>
      <c r="R38" s="450"/>
      <c r="S38" s="1229"/>
    </row>
    <row r="39" spans="1:19" s="451" customFormat="1" ht="9.9499999999999993" hidden="1" customHeight="1" x14ac:dyDescent="0.2">
      <c r="A39" s="426" t="s">
        <v>690</v>
      </c>
      <c r="B39" s="450"/>
      <c r="C39" s="450"/>
      <c r="D39" s="450"/>
      <c r="E39" s="450"/>
      <c r="F39" s="450"/>
      <c r="G39" s="450">
        <f>+BSGFws!AA30</f>
        <v>0</v>
      </c>
      <c r="H39" s="450"/>
      <c r="I39" s="450"/>
      <c r="J39" s="450"/>
      <c r="K39" s="450"/>
      <c r="L39" s="450"/>
      <c r="M39" s="450"/>
      <c r="N39" s="450"/>
      <c r="O39" s="450"/>
      <c r="P39" s="450"/>
      <c r="Q39" s="450">
        <f t="shared" si="1"/>
        <v>0</v>
      </c>
      <c r="R39" s="450"/>
      <c r="S39" s="1229"/>
    </row>
    <row r="40" spans="1:19" s="451" customFormat="1" ht="9.9499999999999993" hidden="1" customHeight="1" x14ac:dyDescent="0.2">
      <c r="A40" s="426" t="s">
        <v>691</v>
      </c>
      <c r="B40" s="450"/>
      <c r="C40" s="450"/>
      <c r="D40" s="450"/>
      <c r="E40" s="450"/>
      <c r="F40" s="450"/>
      <c r="G40" s="450">
        <f>+BSGFws!AA31</f>
        <v>0</v>
      </c>
      <c r="H40" s="450"/>
      <c r="I40" s="450"/>
      <c r="J40" s="450"/>
      <c r="K40" s="450"/>
      <c r="L40" s="450"/>
      <c r="M40" s="450"/>
      <c r="N40" s="450"/>
      <c r="O40" s="450"/>
      <c r="P40" s="450"/>
      <c r="Q40" s="450">
        <f t="shared" si="1"/>
        <v>0</v>
      </c>
      <c r="R40" s="450"/>
      <c r="S40" s="1229"/>
    </row>
    <row r="41" spans="1:19" s="451" customFormat="1" ht="9.9499999999999993" hidden="1" customHeight="1" x14ac:dyDescent="0.2">
      <c r="A41" s="426" t="s">
        <v>692</v>
      </c>
      <c r="B41" s="450"/>
      <c r="C41" s="450"/>
      <c r="D41" s="450"/>
      <c r="E41" s="450"/>
      <c r="F41" s="450"/>
      <c r="G41" s="450">
        <f>+BSGFws!AA32</f>
        <v>0</v>
      </c>
      <c r="H41" s="450"/>
      <c r="I41" s="450"/>
      <c r="J41" s="450"/>
      <c r="K41" s="450"/>
      <c r="L41" s="450"/>
      <c r="M41" s="450"/>
      <c r="N41" s="450"/>
      <c r="O41" s="450"/>
      <c r="P41" s="450"/>
      <c r="Q41" s="450">
        <f t="shared" si="1"/>
        <v>0</v>
      </c>
      <c r="R41" s="450"/>
      <c r="S41" s="1229"/>
    </row>
    <row r="42" spans="1:19" s="451" customFormat="1" ht="9.9499999999999993" hidden="1" customHeight="1" x14ac:dyDescent="0.2">
      <c r="A42" s="426" t="s">
        <v>848</v>
      </c>
      <c r="B42" s="450"/>
      <c r="C42" s="450"/>
      <c r="D42" s="450"/>
      <c r="E42" s="450"/>
      <c r="F42" s="450"/>
      <c r="G42" s="450">
        <f>+BSGFws!AA33</f>
        <v>0</v>
      </c>
      <c r="H42" s="450"/>
      <c r="I42" s="450"/>
      <c r="J42" s="450"/>
      <c r="K42" s="450"/>
      <c r="L42" s="450"/>
      <c r="M42" s="450"/>
      <c r="N42" s="450"/>
      <c r="O42" s="450"/>
      <c r="P42" s="450"/>
      <c r="Q42" s="450">
        <f t="shared" si="1"/>
        <v>0</v>
      </c>
      <c r="R42" s="450"/>
      <c r="S42" s="1229"/>
    </row>
    <row r="43" spans="1:19" s="451" customFormat="1" ht="9.9499999999999993" hidden="1" customHeight="1" x14ac:dyDescent="0.2">
      <c r="A43" s="426" t="s">
        <v>604</v>
      </c>
      <c r="B43" s="450"/>
      <c r="C43" s="450"/>
      <c r="D43" s="450"/>
      <c r="E43" s="450"/>
      <c r="F43" s="450"/>
      <c r="G43" s="450">
        <f>+BSGFws!AA34</f>
        <v>0</v>
      </c>
      <c r="H43" s="450"/>
      <c r="I43" s="450"/>
      <c r="J43" s="450"/>
      <c r="K43" s="450"/>
      <c r="L43" s="450"/>
      <c r="M43" s="450"/>
      <c r="N43" s="450"/>
      <c r="O43" s="450"/>
      <c r="P43" s="450"/>
      <c r="Q43" s="450">
        <f t="shared" si="1"/>
        <v>0</v>
      </c>
      <c r="R43" s="450"/>
      <c r="S43" s="1229"/>
    </row>
    <row r="44" spans="1:19" s="451" customFormat="1" ht="9.9499999999999993" hidden="1" customHeight="1" x14ac:dyDescent="0.2">
      <c r="A44" s="426" t="s">
        <v>593</v>
      </c>
      <c r="B44" s="450"/>
      <c r="C44" s="450"/>
      <c r="D44" s="450"/>
      <c r="E44" s="450"/>
      <c r="F44" s="450"/>
      <c r="G44" s="450">
        <f>+BSGFws!AA35</f>
        <v>0</v>
      </c>
      <c r="H44" s="450"/>
      <c r="I44" s="450"/>
      <c r="J44" s="450"/>
      <c r="K44" s="450"/>
      <c r="L44" s="450"/>
      <c r="M44" s="450"/>
      <c r="N44" s="450"/>
      <c r="O44" s="450"/>
      <c r="P44" s="450"/>
      <c r="Q44" s="450">
        <f t="shared" si="1"/>
        <v>0</v>
      </c>
      <c r="R44" s="450"/>
      <c r="S44" s="1229"/>
    </row>
    <row r="45" spans="1:19" s="451" customFormat="1" ht="9.9499999999999993" customHeight="1" x14ac:dyDescent="0.2">
      <c r="A45" s="426" t="s">
        <v>1304</v>
      </c>
      <c r="B45" s="450"/>
      <c r="C45" s="450"/>
      <c r="D45" s="450"/>
      <c r="E45" s="450"/>
      <c r="F45" s="450"/>
      <c r="G45" s="450">
        <f>+BSGFws!AA36</f>
        <v>0</v>
      </c>
      <c r="H45" s="450"/>
      <c r="I45" s="450"/>
      <c r="J45" s="450"/>
      <c r="K45" s="450"/>
      <c r="L45" s="450"/>
      <c r="M45" s="450"/>
      <c r="N45" s="450"/>
      <c r="O45" s="450"/>
      <c r="P45" s="450"/>
      <c r="Q45" s="450">
        <f t="shared" si="1"/>
        <v>0</v>
      </c>
      <c r="R45" s="450"/>
      <c r="S45" s="1229"/>
    </row>
    <row r="46" spans="1:19" s="451" customFormat="1" ht="9.9499999999999993" customHeight="1" x14ac:dyDescent="0.2">
      <c r="A46" s="427" t="s">
        <v>688</v>
      </c>
      <c r="B46" s="450"/>
      <c r="C46" s="346"/>
      <c r="D46" s="450"/>
      <c r="E46" s="346"/>
      <c r="F46" s="450"/>
      <c r="G46" s="339">
        <f>+BSGFws!AA37</f>
        <v>0</v>
      </c>
      <c r="H46" s="339"/>
      <c r="I46" s="339">
        <f>BSGFws!AB37</f>
        <v>0</v>
      </c>
      <c r="J46" s="339"/>
      <c r="K46" s="339">
        <f>BSGFws!AC37</f>
        <v>0</v>
      </c>
      <c r="L46" s="339"/>
      <c r="M46" s="339">
        <f>BSGFws!AD37</f>
        <v>0</v>
      </c>
      <c r="N46" s="339"/>
      <c r="O46" s="339">
        <f>BSGFws!AF37</f>
        <v>30289</v>
      </c>
      <c r="P46" s="339"/>
      <c r="Q46" s="339">
        <f t="shared" si="1"/>
        <v>30289</v>
      </c>
      <c r="R46" s="450"/>
      <c r="S46" s="1229"/>
    </row>
    <row r="47" spans="1:19" s="451" customFormat="1" ht="9.9499999999999993" customHeight="1" x14ac:dyDescent="0.2">
      <c r="A47" s="427" t="s">
        <v>847</v>
      </c>
      <c r="B47" s="450"/>
      <c r="C47" s="450"/>
      <c r="D47" s="450"/>
      <c r="E47" s="450"/>
      <c r="F47" s="450"/>
      <c r="G47" s="450">
        <f>+BSGFws!AA38</f>
        <v>0</v>
      </c>
      <c r="H47" s="450"/>
      <c r="I47" s="450">
        <f>BSGFws!AB38</f>
        <v>0</v>
      </c>
      <c r="J47" s="450"/>
      <c r="K47" s="450">
        <f>BSGFws!AC38</f>
        <v>0</v>
      </c>
      <c r="L47" s="450"/>
      <c r="M47" s="1414">
        <f>BSGFws!AD38</f>
        <v>2429</v>
      </c>
      <c r="N47" s="450"/>
      <c r="O47" s="450">
        <f>BSGFws!AF38</f>
        <v>8822</v>
      </c>
      <c r="P47" s="450"/>
      <c r="Q47" s="450">
        <f t="shared" si="1"/>
        <v>11251</v>
      </c>
      <c r="R47" s="450"/>
      <c r="S47" s="1229"/>
    </row>
    <row r="48" spans="1:19" s="451" customFormat="1" ht="9.9499999999999993" customHeight="1" x14ac:dyDescent="0.2">
      <c r="A48" s="427" t="s">
        <v>690</v>
      </c>
      <c r="B48" s="450"/>
      <c r="C48" s="450"/>
      <c r="D48" s="450"/>
      <c r="E48" s="450"/>
      <c r="F48" s="450"/>
      <c r="G48" s="450">
        <f>+BSGFws!AA39</f>
        <v>0</v>
      </c>
      <c r="H48" s="450"/>
      <c r="I48" s="450">
        <f>BSGFws!AB39</f>
        <v>0</v>
      </c>
      <c r="J48" s="450"/>
      <c r="K48" s="450">
        <f>BSGFws!AC39</f>
        <v>0</v>
      </c>
      <c r="L48" s="450"/>
      <c r="M48" s="450">
        <f>BSGFws!AJ39</f>
        <v>0</v>
      </c>
      <c r="N48" s="450"/>
      <c r="O48" s="450">
        <f>BSGFws!AF39</f>
        <v>2</v>
      </c>
      <c r="P48" s="450"/>
      <c r="Q48" s="450">
        <f t="shared" si="1"/>
        <v>2</v>
      </c>
      <c r="R48" s="450"/>
      <c r="S48" s="1229"/>
    </row>
    <row r="49" spans="1:19" s="451" customFormat="1" ht="9.9499999999999993" hidden="1" customHeight="1" x14ac:dyDescent="0.2">
      <c r="A49" s="427" t="s">
        <v>691</v>
      </c>
      <c r="B49" s="450"/>
      <c r="C49" s="450"/>
      <c r="D49" s="450"/>
      <c r="E49" s="450"/>
      <c r="F49" s="450"/>
      <c r="G49" s="450">
        <f>+BSGFws!AA40</f>
        <v>0</v>
      </c>
      <c r="H49" s="450"/>
      <c r="I49" s="450">
        <f>BSGFws!AB40</f>
        <v>0</v>
      </c>
      <c r="J49" s="450"/>
      <c r="K49" s="450">
        <f>BSGFws!AC40</f>
        <v>0</v>
      </c>
      <c r="L49" s="450"/>
      <c r="M49" s="450">
        <f>BSGFws!AJ40</f>
        <v>0</v>
      </c>
      <c r="N49" s="450"/>
      <c r="O49" s="450">
        <f>BSGFws!AF40</f>
        <v>0</v>
      </c>
      <c r="P49" s="450"/>
      <c r="Q49" s="450">
        <f t="shared" si="1"/>
        <v>0</v>
      </c>
      <c r="R49" s="450"/>
      <c r="S49" s="1229"/>
    </row>
    <row r="50" spans="1:19" s="451" customFormat="1" ht="9.9499999999999993" customHeight="1" x14ac:dyDescent="0.2">
      <c r="A50" s="427" t="s">
        <v>692</v>
      </c>
      <c r="B50" s="447"/>
      <c r="C50" s="450"/>
      <c r="D50" s="447"/>
      <c r="E50" s="450"/>
      <c r="F50" s="447"/>
      <c r="G50" s="450">
        <f>+BSGFws!AA41</f>
        <v>0</v>
      </c>
      <c r="H50" s="447"/>
      <c r="I50" s="450">
        <f>BSGFws!AB41</f>
        <v>0</v>
      </c>
      <c r="J50" s="447"/>
      <c r="K50" s="450">
        <f>BSGFws!AC41</f>
        <v>0</v>
      </c>
      <c r="L50" s="447"/>
      <c r="M50" s="450">
        <f>BSGFws!AJ41</f>
        <v>0</v>
      </c>
      <c r="N50" s="447"/>
      <c r="O50" s="450">
        <f>BSGFws!AF41</f>
        <v>2613</v>
      </c>
      <c r="P50" s="447"/>
      <c r="Q50" s="450">
        <f t="shared" si="1"/>
        <v>2613</v>
      </c>
      <c r="R50" s="450"/>
      <c r="S50" s="1229"/>
    </row>
    <row r="51" spans="1:19" s="451" customFormat="1" ht="9.9499999999999993" hidden="1" customHeight="1" x14ac:dyDescent="0.2">
      <c r="A51" s="427" t="s">
        <v>848</v>
      </c>
      <c r="B51" s="450"/>
      <c r="C51" s="450"/>
      <c r="D51" s="450"/>
      <c r="E51" s="450"/>
      <c r="F51" s="450"/>
      <c r="G51" s="450">
        <f>+BSGFws!AA42</f>
        <v>0</v>
      </c>
      <c r="H51" s="450"/>
      <c r="I51" s="450">
        <f>BSGFws!AB42</f>
        <v>0</v>
      </c>
      <c r="J51" s="450"/>
      <c r="K51" s="450">
        <f>BSGFws!AC42</f>
        <v>0</v>
      </c>
      <c r="L51" s="450"/>
      <c r="M51" s="450">
        <f>BSGFws!AJ42</f>
        <v>0</v>
      </c>
      <c r="N51" s="450"/>
      <c r="O51" s="450">
        <f>BSGFws!AF42</f>
        <v>0</v>
      </c>
      <c r="P51" s="450"/>
      <c r="Q51" s="450">
        <f t="shared" si="1"/>
        <v>0</v>
      </c>
      <c r="R51" s="450"/>
      <c r="S51" s="1229"/>
    </row>
    <row r="52" spans="1:19" s="451" customFormat="1" ht="9.9499999999999993" hidden="1" customHeight="1" x14ac:dyDescent="0.2">
      <c r="A52" s="427" t="s">
        <v>604</v>
      </c>
      <c r="B52" s="450"/>
      <c r="C52" s="450"/>
      <c r="D52" s="450"/>
      <c r="E52" s="450"/>
      <c r="F52" s="450"/>
      <c r="G52" s="450">
        <f>+BSGFws!AA43</f>
        <v>0</v>
      </c>
      <c r="H52" s="450"/>
      <c r="I52" s="450">
        <f>BSGFws!AB43</f>
        <v>0</v>
      </c>
      <c r="J52" s="450"/>
      <c r="K52" s="450">
        <f>BSGFws!AC43</f>
        <v>0</v>
      </c>
      <c r="L52" s="450"/>
      <c r="M52" s="450">
        <f>BSGFws!AJ43</f>
        <v>0</v>
      </c>
      <c r="N52" s="450"/>
      <c r="O52" s="450">
        <f>BSGFws!AF43</f>
        <v>0</v>
      </c>
      <c r="P52" s="450"/>
      <c r="Q52" s="450">
        <f t="shared" si="1"/>
        <v>0</v>
      </c>
      <c r="R52" s="450"/>
      <c r="S52" s="1229"/>
    </row>
    <row r="53" spans="1:19" s="451" customFormat="1" ht="9.9499999999999993" hidden="1" customHeight="1" x14ac:dyDescent="0.2">
      <c r="A53" s="427" t="s">
        <v>593</v>
      </c>
      <c r="B53" s="450"/>
      <c r="C53" s="450"/>
      <c r="D53" s="450"/>
      <c r="E53" s="450"/>
      <c r="F53" s="450"/>
      <c r="G53" s="450">
        <f>+BSGFws!AA44</f>
        <v>0</v>
      </c>
      <c r="H53" s="450"/>
      <c r="I53" s="450">
        <f>BSGFws!AB44</f>
        <v>0</v>
      </c>
      <c r="J53" s="450"/>
      <c r="K53" s="450">
        <f>BSGFws!AC44</f>
        <v>0</v>
      </c>
      <c r="L53" s="450"/>
      <c r="M53" s="450">
        <f>BSGFws!AJ44</f>
        <v>0</v>
      </c>
      <c r="N53" s="450"/>
      <c r="O53" s="450">
        <f>BSGFws!AF44</f>
        <v>0</v>
      </c>
      <c r="P53" s="450"/>
      <c r="Q53" s="450">
        <f t="shared" si="1"/>
        <v>0</v>
      </c>
      <c r="R53" s="450"/>
      <c r="S53" s="1229"/>
    </row>
    <row r="54" spans="1:19" s="451" customFormat="1" ht="5.0999999999999996" customHeight="1" x14ac:dyDescent="0.2">
      <c r="A54" s="418"/>
      <c r="B54" s="450"/>
      <c r="C54" s="452"/>
      <c r="D54" s="450"/>
      <c r="E54" s="452"/>
      <c r="F54" s="450"/>
      <c r="G54" s="452"/>
      <c r="H54" s="450"/>
      <c r="I54" s="452"/>
      <c r="J54" s="450"/>
      <c r="K54" s="452"/>
      <c r="L54" s="450"/>
      <c r="M54" s="452"/>
      <c r="N54" s="450"/>
      <c r="O54" s="452"/>
      <c r="P54" s="450"/>
      <c r="Q54" s="452"/>
      <c r="R54" s="450"/>
      <c r="S54" s="1229"/>
    </row>
    <row r="55" spans="1:19" s="451" customFormat="1" ht="11.1" customHeight="1" x14ac:dyDescent="0.2">
      <c r="A55" s="428" t="s">
        <v>702</v>
      </c>
      <c r="B55" s="450"/>
      <c r="C55" s="455"/>
      <c r="D55" s="450"/>
      <c r="E55" s="455"/>
      <c r="F55" s="450"/>
      <c r="G55" s="455">
        <f>SUM(G37:G53)</f>
        <v>0</v>
      </c>
      <c r="H55" s="450"/>
      <c r="I55" s="455">
        <f>SUM(I37:I53)</f>
        <v>0</v>
      </c>
      <c r="J55" s="450"/>
      <c r="K55" s="455">
        <f>SUM(K37:K53)</f>
        <v>0</v>
      </c>
      <c r="L55" s="450"/>
      <c r="M55" s="455">
        <f>SUM(M37:M53)</f>
        <v>2429</v>
      </c>
      <c r="N55" s="450"/>
      <c r="O55" s="455">
        <f>SUM(O37:O53)</f>
        <v>41726</v>
      </c>
      <c r="P55" s="450"/>
      <c r="Q55" s="455">
        <f>SUM(Q37:Q53)</f>
        <v>44155</v>
      </c>
      <c r="R55" s="450"/>
      <c r="S55" s="1229"/>
    </row>
    <row r="56" spans="1:19" s="451" customFormat="1" ht="5.0999999999999996" customHeight="1" x14ac:dyDescent="0.2">
      <c r="A56" s="417"/>
      <c r="B56" s="450"/>
      <c r="C56" s="450"/>
      <c r="D56" s="450"/>
      <c r="E56" s="450"/>
      <c r="F56" s="450"/>
      <c r="G56" s="450"/>
      <c r="H56" s="450"/>
      <c r="I56" s="450"/>
      <c r="J56" s="450"/>
      <c r="K56" s="450"/>
      <c r="L56" s="450"/>
      <c r="M56" s="450"/>
      <c r="N56" s="450"/>
      <c r="O56" s="450"/>
      <c r="P56" s="450"/>
      <c r="Q56" s="450"/>
      <c r="R56" s="450"/>
      <c r="S56" s="1229"/>
    </row>
    <row r="57" spans="1:19" s="439" customFormat="1" ht="9.9499999999999993" hidden="1" customHeight="1" x14ac:dyDescent="0.2">
      <c r="A57" s="418"/>
      <c r="B57" s="438"/>
      <c r="C57" s="438"/>
      <c r="D57" s="438"/>
      <c r="E57" s="438"/>
      <c r="F57" s="438"/>
      <c r="G57" s="438"/>
      <c r="H57" s="438"/>
      <c r="I57" s="438"/>
      <c r="J57" s="438"/>
      <c r="K57" s="438"/>
      <c r="L57" s="438"/>
      <c r="M57" s="438"/>
      <c r="N57" s="438"/>
      <c r="O57" s="438"/>
      <c r="P57" s="438"/>
      <c r="Q57" s="438"/>
      <c r="R57" s="438"/>
      <c r="S57" s="1229"/>
    </row>
    <row r="58" spans="1:19" s="439" customFormat="1" ht="9.9499999999999993" customHeight="1" x14ac:dyDescent="0.2">
      <c r="A58" s="428" t="s">
        <v>1206</v>
      </c>
      <c r="B58" s="438"/>
      <c r="C58" s="438"/>
      <c r="D58" s="438"/>
      <c r="E58" s="438"/>
      <c r="F58" s="438"/>
      <c r="G58" s="438"/>
      <c r="H58" s="438"/>
      <c r="I58" s="438"/>
      <c r="J58" s="438"/>
      <c r="K58" s="438"/>
      <c r="L58" s="438"/>
      <c r="M58" s="438"/>
      <c r="N58" s="438"/>
      <c r="O58" s="450">
        <f>BSGFws!AF47</f>
        <v>5338</v>
      </c>
      <c r="P58" s="438"/>
      <c r="Q58" s="450">
        <f>SUM(B58:O58)</f>
        <v>5338</v>
      </c>
      <c r="R58" s="438"/>
      <c r="S58" s="1229"/>
    </row>
    <row r="59" spans="1:19" s="451" customFormat="1" ht="5.0999999999999996" customHeight="1" x14ac:dyDescent="0.2">
      <c r="A59" s="417"/>
      <c r="B59" s="450"/>
      <c r="C59" s="452"/>
      <c r="D59" s="450"/>
      <c r="E59" s="452"/>
      <c r="F59" s="450"/>
      <c r="G59" s="452"/>
      <c r="H59" s="450"/>
      <c r="I59" s="452"/>
      <c r="J59" s="450"/>
      <c r="K59" s="452"/>
      <c r="L59" s="450"/>
      <c r="M59" s="452"/>
      <c r="N59" s="450"/>
      <c r="O59" s="452"/>
      <c r="P59" s="450"/>
      <c r="Q59" s="452"/>
      <c r="R59" s="450"/>
      <c r="S59" s="1229"/>
    </row>
    <row r="60" spans="1:19" s="439" customFormat="1" ht="9.9499999999999993" hidden="1" customHeight="1" x14ac:dyDescent="0.2">
      <c r="A60" s="418"/>
      <c r="B60" s="438"/>
      <c r="C60" s="438"/>
      <c r="D60" s="438"/>
      <c r="E60" s="438"/>
      <c r="F60" s="438"/>
      <c r="G60" s="438"/>
      <c r="H60" s="438"/>
      <c r="I60" s="438"/>
      <c r="J60" s="438"/>
      <c r="K60" s="438"/>
      <c r="L60" s="438"/>
      <c r="M60" s="438"/>
      <c r="N60" s="438"/>
      <c r="O60" s="438"/>
      <c r="P60" s="438"/>
      <c r="Q60" s="438"/>
      <c r="R60" s="438"/>
      <c r="S60" s="1229"/>
    </row>
    <row r="61" spans="1:19" s="451" customFormat="1" ht="9.9499999999999993" customHeight="1" x14ac:dyDescent="0.2">
      <c r="A61" s="428" t="s">
        <v>1480</v>
      </c>
      <c r="B61" s="450"/>
      <c r="C61" s="450"/>
      <c r="D61" s="450"/>
      <c r="E61" s="450"/>
      <c r="F61" s="450"/>
      <c r="G61" s="450"/>
      <c r="H61" s="450"/>
      <c r="I61" s="450"/>
      <c r="J61" s="450"/>
      <c r="K61" s="450"/>
      <c r="L61" s="450"/>
      <c r="M61" s="450"/>
      <c r="N61" s="450"/>
      <c r="O61" s="450"/>
      <c r="P61" s="450"/>
      <c r="Q61" s="450"/>
      <c r="R61" s="450"/>
      <c r="S61" s="1229"/>
    </row>
    <row r="62" spans="1:19" s="451" customFormat="1" ht="9.9499999999999993" hidden="1" customHeight="1" x14ac:dyDescent="0.2">
      <c r="A62" s="776" t="s">
        <v>392</v>
      </c>
      <c r="B62" s="450"/>
      <c r="C62" s="450"/>
      <c r="D62" s="450"/>
      <c r="E62" s="450"/>
      <c r="F62" s="450"/>
      <c r="G62" s="450">
        <f>+BSGFws!AA50</f>
        <v>0</v>
      </c>
      <c r="H62" s="450"/>
      <c r="I62" s="450"/>
      <c r="J62" s="450"/>
      <c r="K62" s="450">
        <f>BSGFws!AC50</f>
        <v>0</v>
      </c>
      <c r="L62" s="450"/>
      <c r="M62" s="450"/>
      <c r="N62" s="450"/>
      <c r="O62" s="450">
        <f>BSGFws!AF50</f>
        <v>0</v>
      </c>
      <c r="P62" s="450"/>
      <c r="Q62" s="450">
        <f>SUM(B62:O62)</f>
        <v>0</v>
      </c>
      <c r="R62" s="450"/>
      <c r="S62" s="1229"/>
    </row>
    <row r="63" spans="1:19" s="451" customFormat="1" ht="9.9499999999999993" customHeight="1" x14ac:dyDescent="0.2">
      <c r="A63" s="776" t="s">
        <v>789</v>
      </c>
      <c r="B63" s="450"/>
      <c r="C63" s="450"/>
      <c r="D63" s="450"/>
      <c r="E63" s="450"/>
      <c r="F63" s="450"/>
      <c r="G63" s="450">
        <f>+BSGFws!AA51</f>
        <v>0</v>
      </c>
      <c r="H63" s="450"/>
      <c r="I63" s="450">
        <f>BSGFws!AB51</f>
        <v>5176</v>
      </c>
      <c r="J63" s="450"/>
      <c r="K63" s="450">
        <f>BSGFws!AC51</f>
        <v>16696</v>
      </c>
      <c r="L63" s="450"/>
      <c r="M63" s="450">
        <f>BSGFws!AD51</f>
        <v>153592</v>
      </c>
      <c r="N63" s="450"/>
      <c r="O63" s="450">
        <f>BSGFws!AF51</f>
        <v>0</v>
      </c>
      <c r="P63" s="450"/>
      <c r="Q63" s="450">
        <f>SUM(B63:O63)</f>
        <v>175464</v>
      </c>
      <c r="R63" s="450"/>
      <c r="S63" s="1229"/>
    </row>
    <row r="64" spans="1:19" s="451" customFormat="1" ht="9.9499999999999993" hidden="1" customHeight="1" x14ac:dyDescent="0.2">
      <c r="A64" s="776" t="s">
        <v>393</v>
      </c>
      <c r="B64" s="450"/>
      <c r="C64" s="450"/>
      <c r="D64" s="450"/>
      <c r="E64" s="450"/>
      <c r="F64" s="450"/>
      <c r="G64" s="450">
        <f>+BSGFws!AA52</f>
        <v>0</v>
      </c>
      <c r="H64" s="450"/>
      <c r="I64" s="450">
        <f>BSGFws!AB52</f>
        <v>0</v>
      </c>
      <c r="J64" s="450"/>
      <c r="K64" s="450">
        <f>BSGFws!AC52</f>
        <v>0</v>
      </c>
      <c r="L64" s="450"/>
      <c r="M64" s="450">
        <f>BSGFws!AJ52</f>
        <v>0</v>
      </c>
      <c r="N64" s="450"/>
      <c r="O64" s="450">
        <f>BSGFws!AF52</f>
        <v>0</v>
      </c>
      <c r="P64" s="450"/>
      <c r="Q64" s="450">
        <f>SUM(B64:O64)</f>
        <v>0</v>
      </c>
      <c r="R64" s="450"/>
      <c r="S64" s="1229"/>
    </row>
    <row r="65" spans="1:26" s="451" customFormat="1" ht="9.9499999999999993" hidden="1" customHeight="1" x14ac:dyDescent="0.2">
      <c r="A65" s="776" t="s">
        <v>394</v>
      </c>
      <c r="B65" s="450"/>
      <c r="C65" s="450"/>
      <c r="D65" s="450"/>
      <c r="E65" s="450"/>
      <c r="F65" s="450"/>
      <c r="G65" s="450">
        <f>+BSGFws!AA53</f>
        <v>0</v>
      </c>
      <c r="H65" s="450"/>
      <c r="I65" s="450">
        <f>BSGFws!AB53</f>
        <v>0</v>
      </c>
      <c r="J65" s="450"/>
      <c r="K65" s="450">
        <f>BSGFws!AC53</f>
        <v>0</v>
      </c>
      <c r="L65" s="450"/>
      <c r="M65" s="450">
        <f>BSGFws!AJ53</f>
        <v>0</v>
      </c>
      <c r="N65" s="450"/>
      <c r="O65" s="450">
        <f>BSGFws!AF53</f>
        <v>0</v>
      </c>
      <c r="P65" s="450"/>
      <c r="Q65" s="450">
        <f>SUM(B65:O65)</f>
        <v>0</v>
      </c>
      <c r="R65" s="450"/>
      <c r="S65" s="1229"/>
    </row>
    <row r="66" spans="1:26" s="451" customFormat="1" ht="9.9499999999999993" customHeight="1" x14ac:dyDescent="0.2">
      <c r="A66" s="776" t="s">
        <v>395</v>
      </c>
      <c r="B66" s="450"/>
      <c r="C66" s="450"/>
      <c r="D66" s="450"/>
      <c r="E66" s="450"/>
      <c r="F66" s="450"/>
      <c r="G66" s="450">
        <f>+BSGFws!AA54</f>
        <v>0</v>
      </c>
      <c r="H66" s="450"/>
      <c r="I66" s="450">
        <f>BSGFws!AB54</f>
        <v>0</v>
      </c>
      <c r="J66" s="450"/>
      <c r="K66" s="450">
        <f>BSGFws!AC54</f>
        <v>0</v>
      </c>
      <c r="L66" s="450"/>
      <c r="M66" s="450">
        <f>BSGFws!AJ54</f>
        <v>0</v>
      </c>
      <c r="N66" s="450"/>
      <c r="O66" s="450">
        <f>BSGFws!AF54</f>
        <v>-9134</v>
      </c>
      <c r="P66" s="450"/>
      <c r="Q66" s="450">
        <f>SUM(B66:O66)</f>
        <v>-9134</v>
      </c>
      <c r="R66" s="450"/>
      <c r="S66" s="1229"/>
    </row>
    <row r="67" spans="1:26" s="451" customFormat="1" ht="5.0999999999999996" customHeight="1" x14ac:dyDescent="0.2">
      <c r="A67" s="418"/>
      <c r="B67" s="450"/>
      <c r="C67" s="452"/>
      <c r="D67" s="450"/>
      <c r="E67" s="452"/>
      <c r="F67" s="450"/>
      <c r="G67" s="452"/>
      <c r="H67" s="450"/>
      <c r="I67" s="452"/>
      <c r="J67" s="450"/>
      <c r="K67" s="452"/>
      <c r="L67" s="450"/>
      <c r="M67" s="452"/>
      <c r="N67" s="450"/>
      <c r="O67" s="452"/>
      <c r="P67" s="450"/>
      <c r="Q67" s="452"/>
      <c r="R67" s="450"/>
      <c r="S67" s="1229"/>
    </row>
    <row r="68" spans="1:26" s="451" customFormat="1" ht="11.1" customHeight="1" x14ac:dyDescent="0.2">
      <c r="A68" s="428" t="s">
        <v>1479</v>
      </c>
      <c r="B68" s="450"/>
      <c r="C68" s="455"/>
      <c r="D68" s="450"/>
      <c r="E68" s="455"/>
      <c r="F68" s="450"/>
      <c r="G68" s="455">
        <f>SUM(G62:G66)</f>
        <v>0</v>
      </c>
      <c r="H68" s="450"/>
      <c r="I68" s="455">
        <f>SUM(I62:I66)</f>
        <v>5176</v>
      </c>
      <c r="J68" s="450"/>
      <c r="K68" s="455">
        <f>SUM(K62:K66)</f>
        <v>16696</v>
      </c>
      <c r="L68" s="455">
        <f t="shared" ref="L68:M68" si="2">SUM(L62:L66)</f>
        <v>0</v>
      </c>
      <c r="M68" s="455">
        <f t="shared" si="2"/>
        <v>153592</v>
      </c>
      <c r="N68" s="450"/>
      <c r="O68" s="455">
        <f>SUM(O62:O66)</f>
        <v>-9134</v>
      </c>
      <c r="P68" s="450"/>
      <c r="Q68" s="455">
        <f>SUM(Q62:Q66)</f>
        <v>166330</v>
      </c>
      <c r="R68" s="450"/>
    </row>
    <row r="69" spans="1:26" s="451" customFormat="1" ht="5.0999999999999996" customHeight="1" x14ac:dyDescent="0.2">
      <c r="A69" s="418"/>
      <c r="B69" s="450"/>
      <c r="C69" s="450"/>
      <c r="D69" s="450"/>
      <c r="E69" s="450"/>
      <c r="F69" s="450"/>
      <c r="G69" s="450"/>
      <c r="H69" s="450"/>
      <c r="I69" s="450"/>
      <c r="J69" s="450"/>
      <c r="K69" s="450"/>
      <c r="L69" s="450"/>
      <c r="M69" s="450"/>
      <c r="N69" s="450"/>
      <c r="O69" s="450"/>
      <c r="P69" s="450"/>
      <c r="Q69" s="450"/>
      <c r="R69" s="450"/>
    </row>
    <row r="70" spans="1:26" s="449" customFormat="1" ht="24.75" thickBot="1" x14ac:dyDescent="0.25">
      <c r="A70" s="1241" t="s">
        <v>1753</v>
      </c>
      <c r="B70" s="1368"/>
      <c r="C70" s="1366"/>
      <c r="D70" s="1368"/>
      <c r="E70" s="1366"/>
      <c r="F70" s="1368"/>
      <c r="G70" s="1366">
        <f>G55+G68+G58</f>
        <v>0</v>
      </c>
      <c r="H70" s="1368"/>
      <c r="I70" s="1366">
        <f>I55+I68+I58</f>
        <v>5176</v>
      </c>
      <c r="J70" s="1368"/>
      <c r="K70" s="1366">
        <f>K55+K68+K58</f>
        <v>16696</v>
      </c>
      <c r="L70" s="1366">
        <f t="shared" ref="L70:M70" si="3">L55+L68+L58</f>
        <v>0</v>
      </c>
      <c r="M70" s="1366">
        <f t="shared" si="3"/>
        <v>156021</v>
      </c>
      <c r="N70" s="1368"/>
      <c r="O70" s="1366">
        <f>O55+O68+O58</f>
        <v>37930</v>
      </c>
      <c r="P70" s="1368"/>
      <c r="Q70" s="1366">
        <f>Q55+Q68+Q58</f>
        <v>215823</v>
      </c>
    </row>
    <row r="71" spans="1:26" s="439" customFormat="1" ht="5.0999999999999996" customHeight="1" thickTop="1" x14ac:dyDescent="0.2">
      <c r="A71" s="418"/>
      <c r="B71" s="438"/>
      <c r="C71" s="438"/>
      <c r="D71" s="438"/>
      <c r="E71" s="438"/>
      <c r="F71" s="438"/>
      <c r="G71" s="438"/>
      <c r="H71" s="438"/>
      <c r="I71" s="438"/>
      <c r="J71" s="438"/>
      <c r="K71" s="438"/>
      <c r="L71" s="438"/>
      <c r="M71" s="438"/>
      <c r="N71" s="438"/>
      <c r="O71" s="438"/>
      <c r="P71" s="438"/>
      <c r="Q71" s="438"/>
      <c r="R71" s="438"/>
    </row>
    <row r="72" spans="1:26" s="439" customFormat="1" ht="9.9499999999999993" customHeight="1" x14ac:dyDescent="0.2">
      <c r="A72" s="418"/>
      <c r="B72" s="438"/>
      <c r="C72" s="438"/>
      <c r="D72" s="438"/>
      <c r="E72" s="438"/>
      <c r="F72" s="438"/>
      <c r="G72" s="438"/>
      <c r="H72" s="438"/>
      <c r="I72" s="438"/>
      <c r="J72" s="438"/>
      <c r="K72" s="438"/>
      <c r="L72" s="438"/>
      <c r="M72" s="438"/>
      <c r="N72" s="438"/>
      <c r="O72" s="438"/>
      <c r="P72" s="438"/>
      <c r="Q72" s="438"/>
      <c r="R72" s="438"/>
    </row>
    <row r="73" spans="1:26" s="442" customFormat="1" ht="9.9499999999999993" customHeight="1" x14ac:dyDescent="0.2">
      <c r="A73" s="440"/>
      <c r="B73" s="440"/>
      <c r="C73" s="440">
        <f>C33-C70</f>
        <v>0</v>
      </c>
      <c r="D73" s="440"/>
      <c r="E73" s="440">
        <f>E33-E70</f>
        <v>0</v>
      </c>
      <c r="F73" s="440"/>
      <c r="G73" s="440">
        <f>G33-G70</f>
        <v>0</v>
      </c>
      <c r="H73" s="440"/>
      <c r="I73" s="440">
        <f>I33-I70</f>
        <v>0</v>
      </c>
      <c r="J73" s="440"/>
      <c r="K73" s="440">
        <f>K33-K70</f>
        <v>0</v>
      </c>
      <c r="L73" s="440"/>
      <c r="M73" s="440">
        <f>M33-M70</f>
        <v>0</v>
      </c>
      <c r="N73" s="440"/>
      <c r="O73" s="440">
        <f>O33-O70</f>
        <v>0</v>
      </c>
      <c r="P73" s="440"/>
      <c r="Q73" s="440">
        <f>Q33-Q70</f>
        <v>0</v>
      </c>
      <c r="R73" s="440"/>
      <c r="S73" s="441"/>
      <c r="T73" s="441"/>
      <c r="U73" s="441"/>
      <c r="V73" s="441"/>
      <c r="W73" s="441"/>
      <c r="X73" s="441"/>
      <c r="Y73" s="441"/>
      <c r="Z73" s="441"/>
    </row>
    <row r="74" spans="1:26" s="439" customFormat="1" ht="12" x14ac:dyDescent="0.2">
      <c r="A74" s="418"/>
      <c r="B74" s="438"/>
      <c r="C74" s="438"/>
      <c r="D74" s="438"/>
      <c r="E74" s="438"/>
      <c r="F74" s="438"/>
      <c r="G74" s="438"/>
      <c r="H74" s="438"/>
      <c r="I74" s="438"/>
      <c r="J74" s="438"/>
      <c r="K74" s="438"/>
      <c r="L74" s="438"/>
      <c r="M74" s="438"/>
      <c r="N74" s="438"/>
      <c r="O74" s="438"/>
      <c r="P74" s="438"/>
      <c r="Q74" s="438"/>
      <c r="R74" s="438"/>
    </row>
    <row r="75" spans="1:26" s="439" customFormat="1" ht="12" x14ac:dyDescent="0.2">
      <c r="A75" s="418"/>
      <c r="B75" s="438"/>
      <c r="C75" s="438"/>
      <c r="D75" s="438"/>
      <c r="E75" s="438"/>
      <c r="F75" s="438"/>
      <c r="G75" s="438"/>
      <c r="H75" s="438"/>
      <c r="I75" s="438"/>
      <c r="J75" s="438"/>
      <c r="K75" s="438"/>
      <c r="L75" s="438"/>
      <c r="M75" s="438"/>
      <c r="N75" s="438"/>
      <c r="O75" s="438"/>
      <c r="P75" s="438"/>
      <c r="Q75" s="438"/>
      <c r="R75" s="438"/>
    </row>
    <row r="76" spans="1:26" s="439" customFormat="1" ht="12" x14ac:dyDescent="0.2">
      <c r="A76" s="418"/>
      <c r="B76" s="438"/>
      <c r="C76" s="438"/>
      <c r="D76" s="438"/>
      <c r="E76" s="438"/>
      <c r="F76" s="438"/>
      <c r="G76" s="438"/>
      <c r="H76" s="438"/>
      <c r="I76" s="438"/>
      <c r="J76" s="438"/>
      <c r="K76" s="438"/>
      <c r="L76" s="438"/>
      <c r="M76" s="438"/>
      <c r="N76" s="438"/>
      <c r="O76" s="438"/>
      <c r="P76" s="438"/>
      <c r="Q76" s="438"/>
      <c r="R76" s="438"/>
    </row>
    <row r="77" spans="1:26" s="439" customFormat="1" ht="12" x14ac:dyDescent="0.2">
      <c r="A77" s="418"/>
      <c r="B77" s="438"/>
      <c r="C77" s="438"/>
      <c r="D77" s="438"/>
      <c r="E77" s="438"/>
      <c r="F77" s="438"/>
      <c r="G77" s="438"/>
      <c r="H77" s="438"/>
      <c r="I77" s="438"/>
      <c r="J77" s="438"/>
      <c r="K77" s="438"/>
      <c r="L77" s="438"/>
      <c r="M77" s="438"/>
      <c r="N77" s="438"/>
      <c r="O77" s="438"/>
      <c r="P77" s="438"/>
      <c r="Q77" s="438"/>
      <c r="R77" s="438"/>
    </row>
    <row r="78" spans="1:26" s="439" customFormat="1" ht="12" x14ac:dyDescent="0.2">
      <c r="A78" s="418"/>
      <c r="B78" s="438"/>
      <c r="C78" s="438"/>
      <c r="D78" s="438"/>
      <c r="E78" s="438"/>
      <c r="F78" s="438"/>
      <c r="G78" s="438"/>
      <c r="H78" s="438"/>
      <c r="I78" s="438"/>
      <c r="J78" s="438"/>
      <c r="K78" s="438"/>
      <c r="L78" s="438"/>
      <c r="M78" s="438"/>
      <c r="N78" s="438"/>
      <c r="O78" s="438"/>
      <c r="P78" s="438"/>
      <c r="Q78" s="438"/>
      <c r="R78" s="438"/>
    </row>
    <row r="79" spans="1:26" s="439" customFormat="1" ht="12" x14ac:dyDescent="0.2">
      <c r="A79" s="418"/>
      <c r="B79" s="438"/>
      <c r="C79" s="438"/>
      <c r="D79" s="438"/>
      <c r="E79" s="438"/>
      <c r="F79" s="438"/>
      <c r="G79" s="438"/>
      <c r="H79" s="438"/>
      <c r="I79" s="438"/>
      <c r="J79" s="438"/>
      <c r="K79" s="438"/>
      <c r="L79" s="438"/>
      <c r="M79" s="438"/>
      <c r="N79" s="438"/>
      <c r="O79" s="438"/>
      <c r="P79" s="438"/>
      <c r="Q79" s="438"/>
      <c r="R79" s="438"/>
    </row>
    <row r="80" spans="1:26" s="439" customFormat="1" ht="12" x14ac:dyDescent="0.2">
      <c r="A80" s="418"/>
      <c r="B80" s="438"/>
      <c r="C80" s="438"/>
      <c r="D80" s="438"/>
      <c r="E80" s="438"/>
      <c r="F80" s="438"/>
      <c r="G80" s="438"/>
      <c r="H80" s="438"/>
      <c r="I80" s="438"/>
      <c r="J80" s="438"/>
      <c r="K80" s="438"/>
      <c r="L80" s="438"/>
      <c r="M80" s="438"/>
      <c r="N80" s="438"/>
      <c r="O80" s="438"/>
      <c r="P80" s="438"/>
      <c r="Q80" s="438"/>
      <c r="R80" s="438"/>
    </row>
    <row r="81" spans="1:18" s="439" customFormat="1" ht="12" x14ac:dyDescent="0.2">
      <c r="A81" s="418"/>
      <c r="B81" s="438"/>
      <c r="C81" s="438"/>
      <c r="D81" s="438"/>
      <c r="E81" s="438"/>
      <c r="F81" s="438"/>
      <c r="G81" s="438"/>
      <c r="H81" s="438"/>
      <c r="I81" s="438"/>
      <c r="J81" s="438"/>
      <c r="K81" s="438"/>
      <c r="L81" s="438"/>
      <c r="M81" s="438"/>
      <c r="N81" s="438"/>
      <c r="O81" s="438"/>
      <c r="P81" s="438"/>
      <c r="Q81" s="438"/>
      <c r="R81" s="438"/>
    </row>
    <row r="82" spans="1:18" s="439" customFormat="1" ht="12" x14ac:dyDescent="0.2">
      <c r="A82" s="418"/>
      <c r="B82" s="438"/>
      <c r="C82" s="438"/>
      <c r="D82" s="438"/>
      <c r="E82" s="438"/>
      <c r="F82" s="438"/>
      <c r="G82" s="438"/>
      <c r="H82" s="438"/>
      <c r="I82" s="438"/>
      <c r="J82" s="438"/>
      <c r="K82" s="438"/>
      <c r="L82" s="438"/>
      <c r="M82" s="438"/>
      <c r="N82" s="438"/>
      <c r="O82" s="438"/>
      <c r="P82" s="438"/>
      <c r="Q82" s="438"/>
      <c r="R82" s="438"/>
    </row>
    <row r="83" spans="1:18" s="439" customFormat="1" ht="12" x14ac:dyDescent="0.2">
      <c r="A83" s="418"/>
      <c r="B83" s="438"/>
      <c r="C83" s="438"/>
      <c r="D83" s="438"/>
      <c r="E83" s="438"/>
      <c r="F83" s="438"/>
      <c r="G83" s="438"/>
      <c r="H83" s="438"/>
      <c r="I83" s="438"/>
      <c r="J83" s="438"/>
      <c r="K83" s="438"/>
      <c r="L83" s="438"/>
      <c r="M83" s="438"/>
      <c r="N83" s="438"/>
      <c r="O83" s="438"/>
      <c r="P83" s="438"/>
      <c r="Q83" s="438"/>
      <c r="R83" s="438"/>
    </row>
    <row r="84" spans="1:18" s="439" customFormat="1" ht="12" x14ac:dyDescent="0.2">
      <c r="A84" s="418"/>
      <c r="B84" s="438"/>
      <c r="C84" s="438"/>
      <c r="D84" s="438"/>
      <c r="E84" s="438"/>
      <c r="F84" s="438"/>
      <c r="G84" s="438"/>
      <c r="H84" s="438"/>
      <c r="I84" s="438"/>
      <c r="J84" s="438"/>
      <c r="K84" s="438"/>
      <c r="L84" s="438"/>
      <c r="M84" s="438"/>
      <c r="N84" s="438"/>
      <c r="O84" s="438"/>
      <c r="P84" s="438"/>
      <c r="Q84" s="438"/>
      <c r="R84" s="438"/>
    </row>
    <row r="85" spans="1:18" s="439" customFormat="1" ht="12" x14ac:dyDescent="0.2">
      <c r="A85" s="418"/>
      <c r="B85" s="438"/>
      <c r="C85" s="438"/>
      <c r="D85" s="438"/>
      <c r="E85" s="438"/>
      <c r="F85" s="438"/>
      <c r="G85" s="438"/>
      <c r="H85" s="438"/>
      <c r="I85" s="438"/>
      <c r="J85" s="438"/>
      <c r="K85" s="438"/>
      <c r="L85" s="438"/>
      <c r="M85" s="438"/>
      <c r="N85" s="438"/>
      <c r="O85" s="438"/>
      <c r="P85" s="438"/>
      <c r="Q85" s="438"/>
      <c r="R85" s="438"/>
    </row>
    <row r="86" spans="1:18" s="439" customFormat="1" ht="12" x14ac:dyDescent="0.2">
      <c r="A86" s="418"/>
      <c r="B86" s="438"/>
      <c r="C86" s="438"/>
      <c r="D86" s="438"/>
      <c r="E86" s="438"/>
      <c r="F86" s="438"/>
      <c r="G86" s="438"/>
      <c r="H86" s="438"/>
      <c r="I86" s="438"/>
      <c r="J86" s="438"/>
      <c r="K86" s="438"/>
      <c r="L86" s="438"/>
      <c r="M86" s="438"/>
      <c r="N86" s="438"/>
      <c r="O86" s="438"/>
      <c r="P86" s="438"/>
      <c r="Q86" s="438"/>
      <c r="R86" s="438"/>
    </row>
    <row r="87" spans="1:18" s="439" customFormat="1" ht="12" x14ac:dyDescent="0.2">
      <c r="A87" s="418"/>
      <c r="B87" s="438"/>
      <c r="C87" s="438"/>
      <c r="D87" s="438"/>
      <c r="E87" s="438"/>
      <c r="F87" s="438"/>
      <c r="G87" s="438"/>
      <c r="H87" s="438"/>
      <c r="I87" s="438"/>
      <c r="J87" s="438"/>
      <c r="K87" s="438"/>
      <c r="L87" s="438"/>
      <c r="M87" s="438"/>
      <c r="N87" s="438"/>
      <c r="O87" s="438"/>
      <c r="P87" s="438"/>
      <c r="Q87" s="438"/>
      <c r="R87" s="438"/>
    </row>
    <row r="88" spans="1:18" s="439" customFormat="1" ht="12" x14ac:dyDescent="0.2">
      <c r="A88" s="418"/>
      <c r="B88" s="438"/>
      <c r="C88" s="438"/>
      <c r="D88" s="438"/>
      <c r="E88" s="438"/>
      <c r="F88" s="438"/>
      <c r="G88" s="438"/>
      <c r="H88" s="438"/>
      <c r="I88" s="438"/>
      <c r="J88" s="438"/>
      <c r="K88" s="438"/>
      <c r="L88" s="438"/>
      <c r="M88" s="438"/>
      <c r="N88" s="438"/>
      <c r="O88" s="438"/>
      <c r="P88" s="438"/>
      <c r="Q88" s="438"/>
      <c r="R88" s="438"/>
    </row>
    <row r="89" spans="1:18" s="439" customFormat="1" ht="12" x14ac:dyDescent="0.2">
      <c r="A89" s="418"/>
      <c r="B89" s="438"/>
      <c r="C89" s="438"/>
      <c r="D89" s="438"/>
      <c r="E89" s="438"/>
      <c r="F89" s="438"/>
      <c r="G89" s="438"/>
      <c r="H89" s="438"/>
      <c r="I89" s="438"/>
      <c r="J89" s="438"/>
      <c r="K89" s="438"/>
      <c r="L89" s="438"/>
      <c r="M89" s="438"/>
      <c r="N89" s="438"/>
      <c r="O89" s="438"/>
      <c r="P89" s="438"/>
      <c r="Q89" s="438"/>
      <c r="R89" s="438"/>
    </row>
    <row r="90" spans="1:18" s="439" customFormat="1" ht="12" x14ac:dyDescent="0.2">
      <c r="A90" s="418"/>
      <c r="B90" s="438"/>
      <c r="C90" s="438"/>
      <c r="D90" s="438"/>
      <c r="E90" s="438"/>
      <c r="F90" s="438"/>
      <c r="G90" s="438"/>
      <c r="H90" s="438"/>
      <c r="I90" s="438"/>
      <c r="J90" s="438"/>
      <c r="K90" s="438"/>
      <c r="L90" s="438"/>
      <c r="M90" s="438"/>
      <c r="N90" s="438"/>
      <c r="O90" s="438"/>
      <c r="P90" s="438"/>
      <c r="Q90" s="438"/>
      <c r="R90" s="438"/>
    </row>
    <row r="91" spans="1:18" s="439" customFormat="1" ht="12" x14ac:dyDescent="0.2">
      <c r="A91" s="418"/>
      <c r="B91" s="438"/>
      <c r="C91" s="438"/>
      <c r="D91" s="438"/>
      <c r="E91" s="438"/>
      <c r="F91" s="438"/>
      <c r="G91" s="438"/>
      <c r="H91" s="438"/>
      <c r="I91" s="438"/>
      <c r="J91" s="438"/>
      <c r="K91" s="438"/>
      <c r="L91" s="438"/>
      <c r="M91" s="438"/>
      <c r="N91" s="438"/>
      <c r="O91" s="438"/>
      <c r="P91" s="438"/>
      <c r="Q91" s="438"/>
      <c r="R91" s="438"/>
    </row>
    <row r="92" spans="1:18" s="439" customFormat="1" ht="12" x14ac:dyDescent="0.2">
      <c r="A92" s="418"/>
      <c r="B92" s="438"/>
      <c r="C92" s="438"/>
      <c r="D92" s="438"/>
      <c r="E92" s="438"/>
      <c r="F92" s="438"/>
      <c r="G92" s="438"/>
      <c r="H92" s="438"/>
      <c r="I92" s="438"/>
      <c r="J92" s="438"/>
      <c r="K92" s="438"/>
      <c r="L92" s="438"/>
      <c r="M92" s="438"/>
      <c r="N92" s="438"/>
      <c r="O92" s="438"/>
      <c r="P92" s="438"/>
      <c r="Q92" s="438"/>
      <c r="R92" s="438"/>
    </row>
    <row r="93" spans="1:18" s="439" customFormat="1" ht="12" x14ac:dyDescent="0.2">
      <c r="A93" s="418"/>
      <c r="B93" s="438"/>
      <c r="C93" s="438"/>
      <c r="D93" s="438"/>
      <c r="E93" s="438"/>
      <c r="F93" s="438"/>
      <c r="G93" s="438"/>
      <c r="H93" s="438"/>
      <c r="I93" s="438"/>
      <c r="J93" s="438"/>
      <c r="K93" s="438"/>
      <c r="L93" s="438"/>
      <c r="M93" s="438"/>
      <c r="N93" s="438"/>
      <c r="O93" s="438"/>
      <c r="P93" s="438"/>
      <c r="Q93" s="438"/>
      <c r="R93" s="438"/>
    </row>
    <row r="94" spans="1:18" s="439" customFormat="1" ht="12" x14ac:dyDescent="0.2">
      <c r="A94" s="418"/>
      <c r="B94" s="438"/>
      <c r="C94" s="438"/>
      <c r="D94" s="438"/>
      <c r="E94" s="438"/>
      <c r="F94" s="438"/>
      <c r="G94" s="438"/>
      <c r="H94" s="438"/>
      <c r="I94" s="438"/>
      <c r="J94" s="438"/>
      <c r="K94" s="438"/>
      <c r="L94" s="438"/>
      <c r="M94" s="438"/>
      <c r="N94" s="438"/>
      <c r="O94" s="438"/>
      <c r="P94" s="438"/>
      <c r="Q94" s="438"/>
      <c r="R94" s="438"/>
    </row>
    <row r="95" spans="1:18" s="439" customFormat="1" ht="12" x14ac:dyDescent="0.2">
      <c r="A95" s="418"/>
      <c r="B95" s="438"/>
      <c r="C95" s="438"/>
      <c r="D95" s="438"/>
      <c r="E95" s="438"/>
      <c r="F95" s="438"/>
      <c r="G95" s="438"/>
      <c r="H95" s="438"/>
      <c r="I95" s="438"/>
      <c r="J95" s="438"/>
      <c r="K95" s="438"/>
      <c r="L95" s="438"/>
      <c r="M95" s="438"/>
      <c r="N95" s="438"/>
      <c r="O95" s="438"/>
      <c r="P95" s="438"/>
      <c r="Q95" s="438"/>
      <c r="R95" s="438"/>
    </row>
    <row r="122" spans="7:7" x14ac:dyDescent="0.2">
      <c r="G122" s="437">
        <v>21</v>
      </c>
    </row>
  </sheetData>
  <mergeCells count="1">
    <mergeCell ref="A1:Q1"/>
  </mergeCells>
  <phoneticPr fontId="9" type="noConversion"/>
  <printOptions horizontalCentered="1"/>
  <pageMargins left="0.5" right="0.5" top="0.5" bottom="0.625" header="0.5" footer="0.5"/>
  <pageSetup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theme="6" tint="0.39997558519241921"/>
    <pageSetUpPr fitToPage="1"/>
  </sheetPr>
  <dimension ref="A1:AT143"/>
  <sheetViews>
    <sheetView view="pageBreakPreview" zoomScaleNormal="100" workbookViewId="0">
      <pane xSplit="1" ySplit="11" topLeftCell="H12" activePane="bottomRight" state="frozen"/>
      <selection activeCell="Z13" activeCellId="3" sqref="Z18 Z17 Z15 Z13"/>
      <selection pane="topRight" activeCell="Z13" activeCellId="3" sqref="Z18 Z17 Z15 Z13"/>
      <selection pane="bottomLeft" activeCell="Z13" activeCellId="3" sqref="Z18 Z17 Z15 Z13"/>
      <selection pane="bottomRight" activeCell="Z13" activeCellId="3" sqref="Z18 Z17 Z15 Z13"/>
    </sheetView>
  </sheetViews>
  <sheetFormatPr defaultColWidth="9.140625" defaultRowHeight="12.75" x14ac:dyDescent="0.2"/>
  <cols>
    <col min="1" max="1" width="32.5703125" style="434" customWidth="1"/>
    <col min="2" max="2" width="1.5703125" style="437" hidden="1" customWidth="1"/>
    <col min="3" max="3" width="12.42578125" style="437" hidden="1" customWidth="1"/>
    <col min="4" max="4" width="1.5703125" style="437" hidden="1" customWidth="1"/>
    <col min="5" max="5" width="12.42578125" style="437" hidden="1" customWidth="1"/>
    <col min="6" max="6" width="1.5703125" style="437" hidden="1" customWidth="1"/>
    <col min="7" max="7" width="12.42578125" style="437" hidden="1" customWidth="1"/>
    <col min="8" max="8" width="1.5703125" style="437" customWidth="1"/>
    <col min="9" max="9" width="12.42578125" style="437" customWidth="1"/>
    <col min="10" max="10" width="1.5703125" style="437" customWidth="1"/>
    <col min="11" max="11" width="12.42578125" style="437" customWidth="1"/>
    <col min="12" max="12" width="1.5703125" style="437" customWidth="1"/>
    <col min="13" max="13" width="12.42578125" style="437" customWidth="1"/>
    <col min="14" max="14" width="1.5703125" style="437" customWidth="1"/>
    <col min="15" max="15" width="12.42578125" style="437" customWidth="1"/>
    <col min="16" max="16" width="1.5703125" style="437" customWidth="1"/>
    <col min="17" max="17" width="12.42578125" style="437" customWidth="1"/>
    <col min="18" max="29" width="9.140625" style="434"/>
    <col min="30" max="16384" width="9.140625" style="202"/>
  </cols>
  <sheetData>
    <row r="1" spans="1:29" s="541" customFormat="1" ht="16.5" customHeight="1" thickBot="1" x14ac:dyDescent="0.25">
      <c r="A1" s="1582" t="s">
        <v>1033</v>
      </c>
      <c r="B1" s="1582"/>
      <c r="C1" s="1582"/>
      <c r="D1" s="1582"/>
      <c r="E1" s="1582"/>
      <c r="F1" s="1582"/>
      <c r="G1" s="1582"/>
      <c r="H1" s="1582"/>
      <c r="I1" s="1582"/>
      <c r="J1" s="1582"/>
      <c r="K1" s="1582"/>
      <c r="L1" s="1582"/>
      <c r="M1" s="1582"/>
      <c r="N1" s="1582"/>
      <c r="O1" s="1582"/>
      <c r="P1" s="1582"/>
      <c r="Q1" s="1582"/>
    </row>
    <row r="2" spans="1:29" s="715" customFormat="1" ht="15" customHeight="1" x14ac:dyDescent="0.2">
      <c r="A2" s="700" t="s">
        <v>32</v>
      </c>
      <c r="B2" s="714"/>
      <c r="C2" s="714"/>
      <c r="D2" s="714"/>
      <c r="E2" s="714"/>
      <c r="F2" s="714"/>
      <c r="G2" s="714"/>
      <c r="H2" s="714"/>
      <c r="I2" s="714"/>
      <c r="J2" s="714"/>
      <c r="K2" s="714"/>
      <c r="L2" s="714"/>
      <c r="M2" s="714"/>
      <c r="N2" s="714"/>
      <c r="O2" s="714"/>
      <c r="P2" s="714"/>
      <c r="Q2" s="714"/>
    </row>
    <row r="3" spans="1:29" s="715" customFormat="1" ht="15" customHeight="1" x14ac:dyDescent="0.2">
      <c r="A3" s="700" t="s">
        <v>1010</v>
      </c>
      <c r="B3" s="714"/>
      <c r="C3" s="714"/>
      <c r="D3" s="714"/>
      <c r="E3" s="714"/>
      <c r="F3" s="714"/>
      <c r="G3" s="714"/>
      <c r="H3" s="714"/>
      <c r="I3" s="714"/>
      <c r="J3" s="714"/>
      <c r="K3" s="714"/>
      <c r="L3" s="714"/>
      <c r="M3" s="714"/>
      <c r="N3" s="714"/>
      <c r="O3" s="714"/>
      <c r="P3" s="714"/>
      <c r="Q3" s="714"/>
    </row>
    <row r="4" spans="1:29" s="434" customFormat="1" ht="12.95" customHeight="1" x14ac:dyDescent="0.2">
      <c r="A4" s="1579" t="s">
        <v>1725</v>
      </c>
      <c r="B4" s="1579"/>
      <c r="C4" s="1579"/>
      <c r="D4" s="1579"/>
      <c r="E4" s="1579"/>
      <c r="F4" s="1579"/>
      <c r="G4" s="1579"/>
      <c r="H4" s="432"/>
      <c r="I4" s="432"/>
      <c r="J4" s="432"/>
      <c r="K4" s="432"/>
      <c r="L4" s="432"/>
      <c r="M4" s="432"/>
      <c r="N4" s="432"/>
      <c r="O4" s="432"/>
      <c r="P4" s="432"/>
      <c r="Q4" s="437"/>
    </row>
    <row r="5" spans="1:29" s="247" customFormat="1" ht="12" customHeight="1" x14ac:dyDescent="0.2">
      <c r="A5" s="253" t="s">
        <v>972</v>
      </c>
      <c r="B5" s="433"/>
      <c r="C5" s="433"/>
      <c r="D5" s="433"/>
      <c r="E5" s="433"/>
      <c r="F5" s="433"/>
      <c r="G5" s="433"/>
      <c r="H5" s="433"/>
      <c r="J5" s="433"/>
      <c r="L5" s="433"/>
      <c r="N5" s="433"/>
      <c r="P5" s="433"/>
    </row>
    <row r="6" spans="1:29" s="247" customFormat="1" ht="12" hidden="1" customHeight="1" x14ac:dyDescent="0.2">
      <c r="B6" s="433"/>
      <c r="C6" s="433"/>
      <c r="D6" s="433"/>
      <c r="E6" s="433"/>
      <c r="F6" s="433"/>
      <c r="G6" s="433"/>
      <c r="H6" s="433"/>
      <c r="J6" s="433"/>
      <c r="L6" s="433"/>
      <c r="N6" s="433"/>
      <c r="P6" s="433"/>
    </row>
    <row r="7" spans="1:29" s="198" customFormat="1" ht="12.6" customHeight="1" x14ac:dyDescent="0.2">
      <c r="A7" s="445"/>
      <c r="B7" s="1599"/>
      <c r="C7" s="1599"/>
      <c r="D7" s="1599"/>
      <c r="E7" s="1599"/>
      <c r="F7" s="1599"/>
      <c r="G7" s="1599"/>
      <c r="H7" s="1599"/>
      <c r="I7" s="1599"/>
      <c r="J7" s="445"/>
      <c r="K7" s="445"/>
      <c r="L7" s="445"/>
      <c r="M7" s="445"/>
      <c r="N7" s="445"/>
      <c r="O7" s="445"/>
      <c r="P7" s="445"/>
      <c r="Q7" s="443"/>
      <c r="R7" s="445"/>
      <c r="S7" s="445"/>
      <c r="T7" s="445"/>
      <c r="U7" s="445"/>
      <c r="V7" s="445"/>
      <c r="W7" s="445"/>
      <c r="X7" s="445"/>
      <c r="Y7" s="445"/>
      <c r="Z7" s="445"/>
      <c r="AA7" s="445"/>
      <c r="AB7" s="445"/>
      <c r="AC7" s="445"/>
    </row>
    <row r="8" spans="1:29" s="198" customFormat="1" ht="12.6" customHeight="1" x14ac:dyDescent="0.2">
      <c r="A8" s="445"/>
      <c r="C8" s="445" t="s">
        <v>748</v>
      </c>
      <c r="E8" s="542" t="s">
        <v>617</v>
      </c>
      <c r="G8" s="444" t="s">
        <v>1324</v>
      </c>
      <c r="I8" s="444" t="s">
        <v>1701</v>
      </c>
      <c r="K8" s="542">
        <v>2012</v>
      </c>
      <c r="M8" s="542">
        <v>2017</v>
      </c>
      <c r="O8" s="443" t="s">
        <v>108</v>
      </c>
      <c r="Q8" s="443" t="s">
        <v>671</v>
      </c>
      <c r="R8" s="445"/>
      <c r="S8" s="445"/>
      <c r="T8" s="445"/>
      <c r="U8" s="445"/>
      <c r="V8" s="445"/>
      <c r="W8" s="445"/>
      <c r="X8" s="445"/>
      <c r="Y8" s="445"/>
      <c r="Z8" s="445"/>
      <c r="AA8" s="445"/>
      <c r="AB8" s="445"/>
      <c r="AC8" s="445"/>
    </row>
    <row r="9" spans="1:29" s="198" customFormat="1" ht="12.6" customHeight="1" x14ac:dyDescent="0.2">
      <c r="A9" s="445"/>
      <c r="C9" s="443" t="s">
        <v>108</v>
      </c>
      <c r="E9" s="443" t="s">
        <v>108</v>
      </c>
      <c r="G9" s="443" t="s">
        <v>108</v>
      </c>
      <c r="I9" s="443" t="s">
        <v>108</v>
      </c>
      <c r="K9" s="443" t="s">
        <v>108</v>
      </c>
      <c r="M9" s="443" t="s">
        <v>108</v>
      </c>
      <c r="O9" s="443" t="s">
        <v>243</v>
      </c>
      <c r="Q9" s="443" t="s">
        <v>108</v>
      </c>
      <c r="R9" s="445"/>
      <c r="S9" s="445"/>
      <c r="T9" s="445"/>
      <c r="U9" s="445"/>
      <c r="V9" s="445"/>
      <c r="W9" s="445"/>
      <c r="X9" s="445"/>
      <c r="Y9" s="445"/>
      <c r="Z9" s="445"/>
      <c r="AA9" s="445"/>
      <c r="AB9" s="445"/>
      <c r="AC9" s="445"/>
    </row>
    <row r="10" spans="1:29" s="198" customFormat="1" ht="12.6" customHeight="1" x14ac:dyDescent="0.2">
      <c r="A10" s="445"/>
      <c r="C10" s="443" t="s">
        <v>243</v>
      </c>
      <c r="E10" s="443" t="s">
        <v>243</v>
      </c>
      <c r="G10" s="443" t="s">
        <v>243</v>
      </c>
      <c r="I10" s="443" t="s">
        <v>243</v>
      </c>
      <c r="K10" s="443" t="s">
        <v>243</v>
      </c>
      <c r="M10" s="443" t="s">
        <v>243</v>
      </c>
      <c r="O10" s="443" t="s">
        <v>862</v>
      </c>
      <c r="Q10" s="443" t="s">
        <v>243</v>
      </c>
      <c r="R10" s="445"/>
      <c r="S10" s="445"/>
      <c r="T10" s="445"/>
      <c r="U10" s="445"/>
      <c r="V10" s="445"/>
      <c r="W10" s="445"/>
      <c r="X10" s="445"/>
      <c r="Y10" s="445"/>
      <c r="Z10" s="445"/>
      <c r="AA10" s="445"/>
      <c r="AB10" s="445"/>
      <c r="AC10" s="445"/>
    </row>
    <row r="11" spans="1:29" s="198" customFormat="1" ht="12.6" customHeight="1" x14ac:dyDescent="0.2">
      <c r="A11" s="445"/>
      <c r="C11" s="446" t="s">
        <v>244</v>
      </c>
      <c r="E11" s="446" t="s">
        <v>244</v>
      </c>
      <c r="G11" s="446" t="s">
        <v>244</v>
      </c>
      <c r="I11" s="446" t="s">
        <v>244</v>
      </c>
      <c r="K11" s="446" t="s">
        <v>244</v>
      </c>
      <c r="M11" s="446" t="s">
        <v>244</v>
      </c>
      <c r="O11" s="446" t="s">
        <v>227</v>
      </c>
      <c r="Q11" s="446" t="s">
        <v>244</v>
      </c>
      <c r="R11" s="445"/>
      <c r="S11" s="445"/>
      <c r="T11" s="445"/>
      <c r="U11" s="445"/>
      <c r="V11" s="445"/>
      <c r="W11" s="445"/>
      <c r="X11" s="445"/>
      <c r="Y11" s="445"/>
      <c r="Z11" s="445"/>
      <c r="AA11" s="445"/>
      <c r="AB11" s="445"/>
      <c r="AC11" s="445"/>
    </row>
    <row r="12" spans="1:29" s="439" customFormat="1" ht="9.9499999999999993" customHeight="1" x14ac:dyDescent="0.2">
      <c r="A12" s="417" t="s">
        <v>868</v>
      </c>
      <c r="B12" s="438"/>
      <c r="C12" s="438"/>
      <c r="D12" s="438"/>
      <c r="E12" s="438"/>
      <c r="F12" s="438"/>
      <c r="G12" s="438"/>
      <c r="H12" s="438"/>
      <c r="I12" s="438"/>
      <c r="J12" s="438"/>
      <c r="K12" s="438"/>
      <c r="L12" s="438"/>
      <c r="M12" s="438"/>
      <c r="N12" s="438"/>
      <c r="O12" s="438"/>
      <c r="P12" s="438"/>
      <c r="Q12" s="438"/>
      <c r="R12" s="418"/>
      <c r="S12" s="418"/>
      <c r="T12" s="418"/>
      <c r="U12" s="418"/>
      <c r="V12" s="418"/>
      <c r="W12" s="418"/>
      <c r="X12" s="418"/>
      <c r="Y12" s="418"/>
      <c r="Z12" s="418"/>
      <c r="AA12" s="418"/>
      <c r="AB12" s="418"/>
      <c r="AC12" s="418"/>
    </row>
    <row r="13" spans="1:29" s="439" customFormat="1" ht="9.9499999999999993" hidden="1" customHeight="1" x14ac:dyDescent="0.2">
      <c r="A13" s="425" t="s">
        <v>869</v>
      </c>
      <c r="B13" s="438"/>
      <c r="C13" s="438"/>
      <c r="D13" s="438"/>
      <c r="E13" s="438"/>
      <c r="F13" s="438"/>
      <c r="G13" s="438"/>
      <c r="H13" s="438"/>
      <c r="I13" s="438"/>
      <c r="J13" s="438"/>
      <c r="K13" s="438"/>
      <c r="L13" s="438"/>
      <c r="M13" s="438"/>
      <c r="N13" s="438"/>
      <c r="O13" s="438"/>
      <c r="P13" s="438"/>
      <c r="Q13" s="438"/>
      <c r="R13" s="418"/>
      <c r="S13" s="418"/>
      <c r="T13" s="418">
        <v>0</v>
      </c>
      <c r="U13" s="418"/>
      <c r="V13" s="418"/>
      <c r="W13" s="418"/>
      <c r="X13" s="418"/>
      <c r="Y13" s="418"/>
      <c r="Z13" s="418"/>
      <c r="AA13" s="418"/>
      <c r="AB13" s="418"/>
      <c r="AC13" s="418"/>
    </row>
    <row r="14" spans="1:29" s="449" customFormat="1" ht="9.9499999999999993" hidden="1" customHeight="1" x14ac:dyDescent="0.2">
      <c r="A14" s="426" t="s">
        <v>829</v>
      </c>
      <c r="B14" s="447"/>
      <c r="C14" s="450">
        <f>+SORECGFws!Y5</f>
        <v>0</v>
      </c>
      <c r="D14" s="447"/>
      <c r="E14" s="450">
        <f>+SORECGFws!Z5</f>
        <v>0</v>
      </c>
      <c r="F14" s="447"/>
      <c r="G14" s="450">
        <f>+SORECGFws!AA5</f>
        <v>0</v>
      </c>
      <c r="H14" s="447"/>
      <c r="I14" s="450">
        <f>+SORECGFws!AC5</f>
        <v>0</v>
      </c>
      <c r="J14" s="447"/>
      <c r="K14" s="450">
        <f>SORECGFws!AC5</f>
        <v>0</v>
      </c>
      <c r="L14" s="447"/>
      <c r="M14" s="450">
        <f>+SORECGFws!AF5</f>
        <v>0</v>
      </c>
      <c r="N14" s="447"/>
      <c r="O14" s="450">
        <f>SORECGFws!AF5</f>
        <v>0</v>
      </c>
      <c r="P14" s="447"/>
      <c r="Q14" s="450">
        <f t="shared" ref="Q14:Q20" si="0">SUM(B14:I14)</f>
        <v>0</v>
      </c>
      <c r="R14" s="448"/>
      <c r="S14" s="448"/>
      <c r="T14" s="448"/>
      <c r="U14" s="448"/>
      <c r="V14" s="448"/>
      <c r="W14" s="448"/>
      <c r="X14" s="448"/>
      <c r="Y14" s="448"/>
      <c r="Z14" s="448"/>
      <c r="AA14" s="448"/>
      <c r="AB14" s="448"/>
      <c r="AC14" s="448"/>
    </row>
    <row r="15" spans="1:29" s="451" customFormat="1" ht="9.9499999999999993" hidden="1" customHeight="1" x14ac:dyDescent="0.2">
      <c r="A15" s="426" t="s">
        <v>830</v>
      </c>
      <c r="B15" s="450"/>
      <c r="C15" s="450">
        <f>+SORECGFws!Y6</f>
        <v>0</v>
      </c>
      <c r="D15" s="450"/>
      <c r="E15" s="450">
        <f>+SORECGFws!Z6</f>
        <v>0</v>
      </c>
      <c r="F15" s="450"/>
      <c r="G15" s="450">
        <f>+SORECGFws!AA6</f>
        <v>0</v>
      </c>
      <c r="H15" s="450"/>
      <c r="I15" s="450">
        <f>+SORECGFws!AC6</f>
        <v>0</v>
      </c>
      <c r="J15" s="450"/>
      <c r="K15" s="450">
        <f>SORECGFws!AC6</f>
        <v>0</v>
      </c>
      <c r="L15" s="450"/>
      <c r="M15" s="450">
        <f>+SORECGFws!AF6</f>
        <v>0</v>
      </c>
      <c r="N15" s="450"/>
      <c r="O15" s="450">
        <f>SORECGFws!AF6</f>
        <v>0</v>
      </c>
      <c r="P15" s="450"/>
      <c r="Q15" s="450">
        <f t="shared" si="0"/>
        <v>0</v>
      </c>
      <c r="R15" s="450"/>
      <c r="S15" s="450"/>
      <c r="T15" s="450"/>
      <c r="U15" s="450"/>
      <c r="V15" s="450"/>
      <c r="W15" s="450"/>
      <c r="X15" s="450"/>
      <c r="Y15" s="450"/>
      <c r="Z15" s="450"/>
      <c r="AA15" s="450"/>
      <c r="AB15" s="450"/>
      <c r="AC15" s="450"/>
    </row>
    <row r="16" spans="1:29" s="451" customFormat="1" ht="9.9499999999999993" hidden="1" customHeight="1" x14ac:dyDescent="0.2">
      <c r="A16" s="426" t="s">
        <v>831</v>
      </c>
      <c r="B16" s="450"/>
      <c r="C16" s="450">
        <f>+SORECGFws!Y7</f>
        <v>0</v>
      </c>
      <c r="D16" s="450"/>
      <c r="E16" s="450">
        <f>+SORECGFws!Z7</f>
        <v>0</v>
      </c>
      <c r="F16" s="450"/>
      <c r="G16" s="450">
        <f>+SORECGFws!AA7</f>
        <v>0</v>
      </c>
      <c r="H16" s="450"/>
      <c r="I16" s="450">
        <f>+SORECGFws!AC7</f>
        <v>0</v>
      </c>
      <c r="J16" s="450"/>
      <c r="K16" s="450">
        <f>SORECGFws!AC7</f>
        <v>0</v>
      </c>
      <c r="L16" s="450"/>
      <c r="M16" s="450">
        <f>+SORECGFws!AF7</f>
        <v>0</v>
      </c>
      <c r="N16" s="450"/>
      <c r="O16" s="450">
        <f>SORECGFws!AF7</f>
        <v>0</v>
      </c>
      <c r="P16" s="450"/>
      <c r="Q16" s="450">
        <f t="shared" si="0"/>
        <v>0</v>
      </c>
      <c r="R16" s="450"/>
      <c r="S16" s="450"/>
      <c r="T16" s="450"/>
      <c r="U16" s="450"/>
      <c r="V16" s="450"/>
      <c r="W16" s="450"/>
      <c r="X16" s="450"/>
      <c r="Y16" s="450"/>
      <c r="Z16" s="450"/>
      <c r="AA16" s="450"/>
      <c r="AB16" s="450"/>
      <c r="AC16" s="450"/>
    </row>
    <row r="17" spans="1:29" s="451" customFormat="1" ht="9.9499999999999993" hidden="1" customHeight="1" x14ac:dyDescent="0.2">
      <c r="A17" s="426" t="s">
        <v>827</v>
      </c>
      <c r="B17" s="450"/>
      <c r="C17" s="450">
        <f>+SORECGFws!Y8</f>
        <v>0</v>
      </c>
      <c r="D17" s="450"/>
      <c r="E17" s="450">
        <f>+SORECGFws!Z8</f>
        <v>0</v>
      </c>
      <c r="F17" s="450"/>
      <c r="G17" s="450">
        <f>+SORECGFws!AA8</f>
        <v>0</v>
      </c>
      <c r="H17" s="450"/>
      <c r="I17" s="450">
        <f>+SORECGFws!AC8</f>
        <v>0</v>
      </c>
      <c r="J17" s="450"/>
      <c r="K17" s="450">
        <f>SORECGFws!AC8</f>
        <v>0</v>
      </c>
      <c r="L17" s="450"/>
      <c r="M17" s="450">
        <f>+SORECGFws!AF8</f>
        <v>0</v>
      </c>
      <c r="N17" s="450"/>
      <c r="O17" s="450">
        <f>SORECGFws!AF8</f>
        <v>0</v>
      </c>
      <c r="P17" s="450"/>
      <c r="Q17" s="450">
        <f t="shared" si="0"/>
        <v>0</v>
      </c>
      <c r="R17" s="450"/>
      <c r="S17" s="450"/>
      <c r="T17" s="450"/>
      <c r="U17" s="450"/>
      <c r="V17" s="450"/>
      <c r="W17" s="450"/>
      <c r="X17" s="450"/>
      <c r="Y17" s="450"/>
      <c r="Z17" s="450"/>
      <c r="AA17" s="450"/>
      <c r="AB17" s="450"/>
      <c r="AC17" s="450"/>
    </row>
    <row r="18" spans="1:29" s="451" customFormat="1" ht="9.9499999999999993" hidden="1" customHeight="1" x14ac:dyDescent="0.2">
      <c r="A18" s="426" t="s">
        <v>832</v>
      </c>
      <c r="B18" s="450"/>
      <c r="C18" s="450">
        <f>+SORECGFws!Y9</f>
        <v>0</v>
      </c>
      <c r="D18" s="450"/>
      <c r="E18" s="450">
        <f>+SORECGFws!Z9</f>
        <v>0</v>
      </c>
      <c r="F18" s="450"/>
      <c r="G18" s="450">
        <f>+SORECGFws!AA9</f>
        <v>0</v>
      </c>
      <c r="H18" s="450"/>
      <c r="I18" s="450">
        <f>+SORECGFws!AC9</f>
        <v>0</v>
      </c>
      <c r="J18" s="450"/>
      <c r="K18" s="450">
        <f>SORECGFws!AC9</f>
        <v>0</v>
      </c>
      <c r="L18" s="450"/>
      <c r="M18" s="450">
        <f>+SORECGFws!AF9</f>
        <v>0</v>
      </c>
      <c r="N18" s="450"/>
      <c r="O18" s="450">
        <f>SORECGFws!AF9</f>
        <v>0</v>
      </c>
      <c r="P18" s="450"/>
      <c r="Q18" s="450">
        <f t="shared" si="0"/>
        <v>0</v>
      </c>
      <c r="R18" s="450"/>
      <c r="S18" s="450"/>
      <c r="T18" s="450"/>
      <c r="U18" s="450"/>
      <c r="V18" s="450"/>
      <c r="W18" s="450"/>
      <c r="X18" s="450"/>
      <c r="Y18" s="450"/>
      <c r="Z18" s="450"/>
      <c r="AA18" s="450"/>
      <c r="AB18" s="450"/>
      <c r="AC18" s="450"/>
    </row>
    <row r="19" spans="1:29" s="451" customFormat="1" ht="9.9499999999999993" hidden="1" customHeight="1" x14ac:dyDescent="0.2">
      <c r="A19" s="426" t="s">
        <v>944</v>
      </c>
      <c r="B19" s="450"/>
      <c r="C19" s="450">
        <f>+SORECGFws!Y10</f>
        <v>0</v>
      </c>
      <c r="D19" s="450"/>
      <c r="E19" s="450">
        <f>+SORECGFws!Z10</f>
        <v>0</v>
      </c>
      <c r="F19" s="450"/>
      <c r="G19" s="450">
        <f>+SORECGFws!AA10</f>
        <v>0</v>
      </c>
      <c r="H19" s="450"/>
      <c r="I19" s="450">
        <f>+SORECGFws!AC10</f>
        <v>0</v>
      </c>
      <c r="J19" s="450"/>
      <c r="K19" s="450">
        <f>SORECGFws!AC10</f>
        <v>0</v>
      </c>
      <c r="L19" s="450"/>
      <c r="M19" s="450">
        <f>+SORECGFws!AF10</f>
        <v>0</v>
      </c>
      <c r="N19" s="450"/>
      <c r="O19" s="450">
        <f>SORECGFws!AF10</f>
        <v>0</v>
      </c>
      <c r="P19" s="450"/>
      <c r="Q19" s="450">
        <f t="shared" si="0"/>
        <v>0</v>
      </c>
      <c r="R19" s="450"/>
      <c r="S19" s="450"/>
      <c r="T19" s="450"/>
      <c r="U19" s="450"/>
      <c r="V19" s="450"/>
      <c r="W19" s="450"/>
      <c r="X19" s="450"/>
      <c r="Y19" s="450"/>
      <c r="Z19" s="450"/>
      <c r="AA19" s="450"/>
      <c r="AB19" s="450"/>
      <c r="AC19" s="450"/>
    </row>
    <row r="20" spans="1:29" s="451" customFormat="1" ht="9.9499999999999993" hidden="1" customHeight="1" x14ac:dyDescent="0.2">
      <c r="A20" s="425" t="s">
        <v>945</v>
      </c>
      <c r="B20" s="450"/>
      <c r="C20" s="450">
        <f>+SORECGFws!Y11</f>
        <v>0</v>
      </c>
      <c r="D20" s="450"/>
      <c r="E20" s="450">
        <f>+SORECGFws!Z11</f>
        <v>0</v>
      </c>
      <c r="F20" s="450"/>
      <c r="G20" s="450">
        <f>+SORECGFws!AA11</f>
        <v>0</v>
      </c>
      <c r="H20" s="450"/>
      <c r="I20" s="450">
        <f>+SORECGFws!AC11</f>
        <v>0</v>
      </c>
      <c r="J20" s="450"/>
      <c r="K20" s="450">
        <f>SORECGFws!AC11</f>
        <v>0</v>
      </c>
      <c r="L20" s="450"/>
      <c r="M20" s="450">
        <f>+SORECGFws!AF11</f>
        <v>0</v>
      </c>
      <c r="N20" s="450"/>
      <c r="O20" s="450">
        <f>SORECGFws!AF11</f>
        <v>0</v>
      </c>
      <c r="P20" s="450"/>
      <c r="Q20" s="450">
        <f t="shared" si="0"/>
        <v>0</v>
      </c>
      <c r="R20" s="450"/>
      <c r="S20" s="450"/>
      <c r="T20" s="450"/>
      <c r="U20" s="450"/>
      <c r="V20" s="450"/>
      <c r="W20" s="450"/>
      <c r="X20" s="450"/>
      <c r="Y20" s="450"/>
      <c r="Z20" s="450"/>
      <c r="AA20" s="450"/>
      <c r="AB20" s="450"/>
      <c r="AC20" s="450"/>
    </row>
    <row r="21" spans="1:29" s="451" customFormat="1" ht="9.9499999999999993" customHeight="1" x14ac:dyDescent="0.2">
      <c r="A21" s="425" t="s">
        <v>946</v>
      </c>
      <c r="B21" s="450"/>
      <c r="C21" s="346"/>
      <c r="D21" s="346"/>
      <c r="E21" s="346"/>
      <c r="F21" s="346"/>
      <c r="G21" s="339">
        <f>+SORECGFws!AA12</f>
        <v>0</v>
      </c>
      <c r="H21" s="339"/>
      <c r="I21" s="339">
        <f>SORECGFws!AB12</f>
        <v>0</v>
      </c>
      <c r="J21" s="339"/>
      <c r="K21" s="339">
        <f>SORECGFws!AC12</f>
        <v>0</v>
      </c>
      <c r="L21" s="339"/>
      <c r="M21" s="339">
        <f>SORECGFws!AD12</f>
        <v>0</v>
      </c>
      <c r="N21" s="339"/>
      <c r="O21" s="339">
        <f>SORECGFws!AF12</f>
        <v>19790</v>
      </c>
      <c r="P21" s="339"/>
      <c r="Q21" s="339">
        <f>SUM(B21:O21)</f>
        <v>19790</v>
      </c>
      <c r="R21" s="450">
        <f>+C21+E21+G21+I21+M21-Q21</f>
        <v>-19790</v>
      </c>
      <c r="S21" s="450"/>
      <c r="T21" s="450"/>
      <c r="U21" s="450"/>
      <c r="V21" s="450"/>
      <c r="W21" s="450"/>
      <c r="X21" s="450"/>
      <c r="Y21" s="450"/>
      <c r="Z21" s="450"/>
      <c r="AA21" s="450"/>
      <c r="AB21" s="450"/>
      <c r="AC21" s="450"/>
    </row>
    <row r="22" spans="1:29" s="451" customFormat="1" ht="9.9499999999999993" hidden="1" customHeight="1" x14ac:dyDescent="0.2">
      <c r="A22" s="425" t="s">
        <v>947</v>
      </c>
      <c r="B22" s="450"/>
      <c r="C22" s="450"/>
      <c r="D22" s="450"/>
      <c r="E22" s="450"/>
      <c r="F22" s="450"/>
      <c r="G22" s="450">
        <f>+SORECGFws!AA13</f>
        <v>0</v>
      </c>
      <c r="H22" s="450"/>
      <c r="I22" s="450"/>
      <c r="J22" s="450"/>
      <c r="K22" s="450">
        <f>SORECGFws!AC13</f>
        <v>0</v>
      </c>
      <c r="L22" s="450"/>
      <c r="M22" s="450">
        <f>SORECGFws!AD13</f>
        <v>0</v>
      </c>
      <c r="N22" s="450"/>
      <c r="O22" s="450">
        <f>SORECGFws!AF13</f>
        <v>0</v>
      </c>
      <c r="P22" s="450"/>
      <c r="Q22" s="450">
        <f t="shared" ref="Q22:Q27" si="1">SUM(B22:O22)</f>
        <v>0</v>
      </c>
      <c r="R22" s="450">
        <f t="shared" ref="R22:R89" si="2">+C22+E22+G22+I22+M22-Q22</f>
        <v>0</v>
      </c>
      <c r="S22" s="450"/>
      <c r="T22" s="450"/>
      <c r="U22" s="450"/>
      <c r="V22" s="450"/>
      <c r="W22" s="450"/>
      <c r="X22" s="450"/>
      <c r="Y22" s="450"/>
      <c r="Z22" s="450"/>
      <c r="AA22" s="450"/>
      <c r="AB22" s="450"/>
      <c r="AC22" s="450"/>
    </row>
    <row r="23" spans="1:29" s="451" customFormat="1" ht="9.9499999999999993" hidden="1" customHeight="1" x14ac:dyDescent="0.2">
      <c r="A23" s="425" t="s">
        <v>948</v>
      </c>
      <c r="B23" s="450"/>
      <c r="C23" s="450"/>
      <c r="D23" s="450"/>
      <c r="E23" s="450"/>
      <c r="F23" s="450"/>
      <c r="G23" s="450">
        <f>+SORECGFws!AA14</f>
        <v>0</v>
      </c>
      <c r="H23" s="450"/>
      <c r="I23" s="450"/>
      <c r="J23" s="450"/>
      <c r="K23" s="450">
        <f>SORECGFws!AC14</f>
        <v>0</v>
      </c>
      <c r="L23" s="450"/>
      <c r="M23" s="450">
        <f>SORECGFws!AD14</f>
        <v>0</v>
      </c>
      <c r="N23" s="450"/>
      <c r="O23" s="450">
        <f>SORECGFws!AF14</f>
        <v>0</v>
      </c>
      <c r="P23" s="450"/>
      <c r="Q23" s="450">
        <f t="shared" si="1"/>
        <v>0</v>
      </c>
      <c r="R23" s="450">
        <f t="shared" si="2"/>
        <v>0</v>
      </c>
      <c r="S23" s="450"/>
      <c r="T23" s="450"/>
      <c r="U23" s="450"/>
      <c r="V23" s="450"/>
      <c r="W23" s="450"/>
      <c r="X23" s="450"/>
      <c r="Y23" s="450"/>
      <c r="Z23" s="450"/>
      <c r="AA23" s="450"/>
      <c r="AB23" s="450"/>
      <c r="AC23" s="450"/>
    </row>
    <row r="24" spans="1:29" s="451" customFormat="1" ht="9.9499999999999993" hidden="1" customHeight="1" x14ac:dyDescent="0.2">
      <c r="A24" s="425" t="s">
        <v>16</v>
      </c>
      <c r="B24" s="450"/>
      <c r="C24" s="450"/>
      <c r="D24" s="450"/>
      <c r="E24" s="450"/>
      <c r="F24" s="450"/>
      <c r="G24" s="450">
        <f>+SORECGFws!AA15</f>
        <v>0</v>
      </c>
      <c r="H24" s="450"/>
      <c r="I24" s="450"/>
      <c r="J24" s="450"/>
      <c r="K24" s="450">
        <f>SORECGFws!AC15</f>
        <v>0</v>
      </c>
      <c r="L24" s="450"/>
      <c r="M24" s="450">
        <f>SORECGFws!AD15</f>
        <v>0</v>
      </c>
      <c r="N24" s="450"/>
      <c r="O24" s="450">
        <f>SORECGFws!AF15</f>
        <v>0</v>
      </c>
      <c r="P24" s="450"/>
      <c r="Q24" s="450">
        <f t="shared" si="1"/>
        <v>0</v>
      </c>
      <c r="R24" s="450">
        <f t="shared" si="2"/>
        <v>0</v>
      </c>
      <c r="S24" s="450"/>
      <c r="T24" s="450"/>
      <c r="U24" s="450"/>
      <c r="V24" s="450"/>
      <c r="W24" s="450"/>
      <c r="X24" s="450"/>
      <c r="Y24" s="450"/>
      <c r="Z24" s="450"/>
      <c r="AA24" s="450"/>
      <c r="AB24" s="450"/>
      <c r="AC24" s="450"/>
    </row>
    <row r="25" spans="1:29" s="646" customFormat="1" ht="9.9499999999999993" customHeight="1" x14ac:dyDescent="0.2">
      <c r="A25" s="425" t="s">
        <v>775</v>
      </c>
      <c r="B25" s="538"/>
      <c r="C25" s="450"/>
      <c r="D25" s="450"/>
      <c r="E25" s="450"/>
      <c r="F25" s="450"/>
      <c r="G25" s="450">
        <f>+SORECGFws!AA16</f>
        <v>0</v>
      </c>
      <c r="H25" s="450"/>
      <c r="I25" s="450">
        <f>SORECGFws!AB16</f>
        <v>0</v>
      </c>
      <c r="J25" s="450"/>
      <c r="K25" s="450">
        <f>SORECGFws!AC16</f>
        <v>0</v>
      </c>
      <c r="L25" s="450"/>
      <c r="M25" s="450">
        <f>SORECGFws!AD16</f>
        <v>42</v>
      </c>
      <c r="N25" s="538"/>
      <c r="O25" s="450">
        <f>SORECGFws!AF16</f>
        <v>0</v>
      </c>
      <c r="P25" s="450"/>
      <c r="Q25" s="450">
        <f t="shared" ref="Q25" si="3">SUM(B25:O25)</f>
        <v>42</v>
      </c>
      <c r="R25" s="538">
        <f t="shared" si="2"/>
        <v>0</v>
      </c>
      <c r="S25" s="538"/>
      <c r="T25" s="538"/>
      <c r="U25" s="538"/>
      <c r="V25" s="538"/>
      <c r="W25" s="538"/>
      <c r="X25" s="538"/>
      <c r="Y25" s="533"/>
      <c r="Z25" s="533"/>
      <c r="AA25" s="533"/>
      <c r="AB25" s="533"/>
      <c r="AC25" s="533"/>
    </row>
    <row r="26" spans="1:29" s="451" customFormat="1" ht="9.9499999999999993" customHeight="1" x14ac:dyDescent="0.2">
      <c r="A26" s="349" t="s">
        <v>774</v>
      </c>
      <c r="B26" s="447"/>
      <c r="C26" s="450"/>
      <c r="D26" s="447"/>
      <c r="E26" s="450"/>
      <c r="F26" s="447"/>
      <c r="G26" s="450">
        <f>+SORECGFws!AA17</f>
        <v>0</v>
      </c>
      <c r="H26" s="447"/>
      <c r="I26" s="450">
        <f>SORECGFws!AB17</f>
        <v>423</v>
      </c>
      <c r="J26" s="447"/>
      <c r="K26" s="450">
        <f>SORECGFws!AC17</f>
        <v>1216</v>
      </c>
      <c r="L26" s="447"/>
      <c r="M26" s="450">
        <f>SORECGFws!AD17</f>
        <v>12301</v>
      </c>
      <c r="N26" s="447"/>
      <c r="O26" s="450">
        <f>SORECGFws!AF17</f>
        <v>0</v>
      </c>
      <c r="P26" s="447"/>
      <c r="Q26" s="450">
        <f t="shared" si="1"/>
        <v>13940</v>
      </c>
      <c r="R26" s="450">
        <f t="shared" si="2"/>
        <v>-1216</v>
      </c>
      <c r="S26" s="450"/>
      <c r="T26" s="450"/>
      <c r="U26" s="450"/>
      <c r="V26" s="450"/>
      <c r="W26" s="450"/>
      <c r="X26" s="450"/>
      <c r="Y26" s="450"/>
      <c r="Z26" s="450"/>
      <c r="AA26" s="450"/>
      <c r="AB26" s="450"/>
      <c r="AC26" s="450"/>
    </row>
    <row r="27" spans="1:29" s="451" customFormat="1" ht="9.9499999999999993" hidden="1" customHeight="1" x14ac:dyDescent="0.2">
      <c r="A27" s="425" t="s">
        <v>766</v>
      </c>
      <c r="B27" s="450"/>
      <c r="C27" s="450"/>
      <c r="D27" s="450"/>
      <c r="E27" s="450"/>
      <c r="F27" s="450"/>
      <c r="G27" s="450">
        <f>+SORECGFws!AA18</f>
        <v>0</v>
      </c>
      <c r="H27" s="450"/>
      <c r="I27" s="450"/>
      <c r="J27" s="450"/>
      <c r="K27" s="450">
        <f>SORECGFws!AC18</f>
        <v>0</v>
      </c>
      <c r="L27" s="450"/>
      <c r="M27" s="450">
        <f>SORECGFws!AD18</f>
        <v>0</v>
      </c>
      <c r="N27" s="450"/>
      <c r="O27" s="450">
        <f>SORECGFws!AF18</f>
        <v>0</v>
      </c>
      <c r="P27" s="450"/>
      <c r="Q27" s="450">
        <f t="shared" si="1"/>
        <v>0</v>
      </c>
      <c r="R27" s="450">
        <f t="shared" si="2"/>
        <v>0</v>
      </c>
      <c r="S27" s="450"/>
      <c r="T27" s="450"/>
      <c r="U27" s="450"/>
      <c r="V27" s="450"/>
      <c r="W27" s="450"/>
      <c r="X27" s="450"/>
      <c r="Y27" s="450"/>
      <c r="Z27" s="450"/>
      <c r="AA27" s="450"/>
      <c r="AB27" s="450"/>
      <c r="AC27" s="450"/>
    </row>
    <row r="28" spans="1:29" s="451" customFormat="1" ht="5.0999999999999996" customHeight="1" x14ac:dyDescent="0.2">
      <c r="B28" s="450"/>
      <c r="C28" s="452"/>
      <c r="D28" s="450"/>
      <c r="E28" s="452"/>
      <c r="F28" s="450"/>
      <c r="G28" s="452"/>
      <c r="H28" s="450"/>
      <c r="I28" s="452"/>
      <c r="J28" s="450"/>
      <c r="K28" s="452"/>
      <c r="L28" s="450"/>
      <c r="M28" s="452"/>
      <c r="N28" s="450"/>
      <c r="O28" s="452"/>
      <c r="P28" s="450"/>
      <c r="Q28" s="452"/>
      <c r="R28" s="450">
        <f t="shared" si="2"/>
        <v>0</v>
      </c>
      <c r="S28" s="450"/>
      <c r="T28" s="450"/>
      <c r="U28" s="450"/>
      <c r="V28" s="450"/>
      <c r="W28" s="450"/>
      <c r="X28" s="450"/>
      <c r="Y28" s="450"/>
      <c r="Z28" s="450"/>
      <c r="AA28" s="450"/>
      <c r="AB28" s="450"/>
      <c r="AC28" s="450"/>
    </row>
    <row r="29" spans="1:29" s="451" customFormat="1" ht="11.1" customHeight="1" x14ac:dyDescent="0.2">
      <c r="A29" s="417" t="s">
        <v>950</v>
      </c>
      <c r="B29" s="450"/>
      <c r="C29" s="455"/>
      <c r="D29" s="450"/>
      <c r="E29" s="455"/>
      <c r="F29" s="450"/>
      <c r="G29" s="455">
        <f>SUM(G14:G27)</f>
        <v>0</v>
      </c>
      <c r="H29" s="450"/>
      <c r="I29" s="455">
        <f>SUM(I14:I27)</f>
        <v>423</v>
      </c>
      <c r="J29" s="450"/>
      <c r="K29" s="455">
        <f>SUM(K14:K27)</f>
        <v>1216</v>
      </c>
      <c r="L29" s="450"/>
      <c r="M29" s="455">
        <f>SUM(M14:M27)</f>
        <v>12343</v>
      </c>
      <c r="N29" s="450"/>
      <c r="O29" s="455">
        <f>SUM(O14:O27)</f>
        <v>19790</v>
      </c>
      <c r="P29" s="450"/>
      <c r="Q29" s="455">
        <f>SUM(Q14:Q27)</f>
        <v>33772</v>
      </c>
      <c r="R29" s="450">
        <f t="shared" si="2"/>
        <v>-21006</v>
      </c>
      <c r="S29" s="450"/>
      <c r="T29" s="450"/>
      <c r="U29" s="450"/>
      <c r="V29" s="450"/>
      <c r="W29" s="450"/>
      <c r="X29" s="450"/>
      <c r="Y29" s="450"/>
      <c r="Z29" s="450"/>
      <c r="AA29" s="450"/>
      <c r="AB29" s="450"/>
      <c r="AC29" s="450"/>
    </row>
    <row r="30" spans="1:29" s="451" customFormat="1" ht="5.0999999999999996" customHeight="1" x14ac:dyDescent="0.2">
      <c r="A30" s="450"/>
      <c r="B30" s="450"/>
      <c r="C30" s="450"/>
      <c r="D30" s="450"/>
      <c r="E30" s="450"/>
      <c r="F30" s="450"/>
      <c r="G30" s="450"/>
      <c r="H30" s="450"/>
      <c r="I30" s="450"/>
      <c r="J30" s="450"/>
      <c r="K30" s="450"/>
      <c r="L30" s="450"/>
      <c r="M30" s="450"/>
      <c r="N30" s="450"/>
      <c r="O30" s="450"/>
      <c r="P30" s="450"/>
      <c r="Q30" s="450"/>
      <c r="R30" s="450">
        <f t="shared" si="2"/>
        <v>0</v>
      </c>
      <c r="S30" s="450"/>
      <c r="T30" s="450"/>
      <c r="U30" s="450"/>
      <c r="V30" s="450"/>
      <c r="W30" s="450"/>
      <c r="X30" s="450"/>
      <c r="Y30" s="450"/>
      <c r="Z30" s="450"/>
      <c r="AA30" s="450"/>
      <c r="AB30" s="450"/>
      <c r="AC30" s="450"/>
    </row>
    <row r="31" spans="1:29" s="451" customFormat="1" ht="9.9499999999999993" customHeight="1" x14ac:dyDescent="0.2">
      <c r="A31" s="417" t="s">
        <v>590</v>
      </c>
      <c r="B31" s="450"/>
      <c r="C31" s="450"/>
      <c r="D31" s="450"/>
      <c r="E31" s="450"/>
      <c r="F31" s="450"/>
      <c r="G31" s="450"/>
      <c r="H31" s="450"/>
      <c r="I31" s="450"/>
      <c r="J31" s="450"/>
      <c r="K31" s="450"/>
      <c r="L31" s="450"/>
      <c r="M31" s="450"/>
      <c r="N31" s="450"/>
      <c r="O31" s="450"/>
      <c r="P31" s="450"/>
      <c r="Q31" s="450"/>
      <c r="R31" s="450">
        <f t="shared" si="2"/>
        <v>0</v>
      </c>
      <c r="S31" s="450"/>
      <c r="T31" s="450"/>
      <c r="U31" s="450"/>
      <c r="V31" s="450"/>
      <c r="W31" s="450"/>
      <c r="X31" s="450"/>
      <c r="Y31" s="450"/>
      <c r="Z31" s="450"/>
      <c r="AA31" s="450"/>
      <c r="AB31" s="450"/>
      <c r="AC31" s="450"/>
    </row>
    <row r="32" spans="1:29" s="451" customFormat="1" ht="9.9499999999999993" hidden="1" customHeight="1" x14ac:dyDescent="0.2">
      <c r="A32" s="425" t="s">
        <v>952</v>
      </c>
      <c r="B32" s="450"/>
      <c r="C32" s="450"/>
      <c r="D32" s="450"/>
      <c r="E32" s="450"/>
      <c r="F32" s="450"/>
      <c r="G32" s="450"/>
      <c r="H32" s="450"/>
      <c r="I32" s="450"/>
      <c r="J32" s="450"/>
      <c r="K32" s="450"/>
      <c r="L32" s="450"/>
      <c r="M32" s="450"/>
      <c r="N32" s="450"/>
      <c r="O32" s="450"/>
      <c r="P32" s="450"/>
      <c r="Q32" s="450"/>
      <c r="R32" s="450">
        <f t="shared" si="2"/>
        <v>0</v>
      </c>
      <c r="S32" s="450"/>
      <c r="T32" s="450"/>
      <c r="U32" s="450"/>
      <c r="V32" s="450"/>
      <c r="W32" s="450"/>
      <c r="X32" s="450"/>
      <c r="Y32" s="450"/>
      <c r="Z32" s="450"/>
      <c r="AA32" s="450"/>
      <c r="AB32" s="450"/>
      <c r="AC32" s="450"/>
    </row>
    <row r="33" spans="1:29" s="451" customFormat="1" ht="9.9499999999999993" hidden="1" customHeight="1" x14ac:dyDescent="0.2">
      <c r="A33" s="426" t="s">
        <v>953</v>
      </c>
      <c r="B33" s="450"/>
      <c r="C33" s="450"/>
      <c r="D33" s="450"/>
      <c r="E33" s="450"/>
      <c r="F33" s="450"/>
      <c r="G33" s="450">
        <f>+SORECGFws!AA23</f>
        <v>0</v>
      </c>
      <c r="H33" s="450"/>
      <c r="I33" s="450">
        <f>SORECGFws!AB23</f>
        <v>0</v>
      </c>
      <c r="J33" s="450"/>
      <c r="K33" s="450">
        <f>SORECGFws!AC23</f>
        <v>0</v>
      </c>
      <c r="L33" s="450"/>
      <c r="M33" s="450"/>
      <c r="N33" s="450"/>
      <c r="O33" s="450">
        <f>SORECGFws!AF23</f>
        <v>0</v>
      </c>
      <c r="P33" s="450"/>
      <c r="Q33" s="450">
        <f>SUM(B33:O33)</f>
        <v>0</v>
      </c>
      <c r="R33" s="450">
        <f t="shared" si="2"/>
        <v>0</v>
      </c>
      <c r="S33" s="450"/>
      <c r="T33" s="450"/>
      <c r="U33" s="450"/>
      <c r="V33" s="450"/>
      <c r="W33" s="450"/>
      <c r="X33" s="450"/>
      <c r="Y33" s="450"/>
      <c r="Z33" s="450"/>
      <c r="AA33" s="450"/>
      <c r="AB33" s="450"/>
      <c r="AC33" s="450"/>
    </row>
    <row r="34" spans="1:29" s="451" customFormat="1" ht="9.9499999999999993" hidden="1" customHeight="1" x14ac:dyDescent="0.2">
      <c r="A34" s="426" t="s">
        <v>954</v>
      </c>
      <c r="B34" s="450"/>
      <c r="C34" s="450"/>
      <c r="D34" s="450"/>
      <c r="E34" s="450"/>
      <c r="F34" s="450"/>
      <c r="G34" s="450">
        <f>+SORECGFws!AA24</f>
        <v>0</v>
      </c>
      <c r="H34" s="450"/>
      <c r="I34" s="450">
        <f>SORECGFws!AB24</f>
        <v>0</v>
      </c>
      <c r="J34" s="450"/>
      <c r="K34" s="450">
        <f>SORECGFws!AC24</f>
        <v>0</v>
      </c>
      <c r="L34" s="450"/>
      <c r="M34" s="450"/>
      <c r="N34" s="450"/>
      <c r="O34" s="450">
        <f>SORECGFws!AF24</f>
        <v>0</v>
      </c>
      <c r="P34" s="450"/>
      <c r="Q34" s="450">
        <f t="shared" ref="Q34:Q44" si="4">SUM(B34:O34)</f>
        <v>0</v>
      </c>
      <c r="R34" s="450">
        <f t="shared" si="2"/>
        <v>0</v>
      </c>
      <c r="S34" s="450"/>
      <c r="T34" s="450"/>
      <c r="U34" s="450"/>
      <c r="V34" s="450"/>
      <c r="W34" s="450"/>
      <c r="X34" s="450"/>
      <c r="Y34" s="450"/>
      <c r="Z34" s="450"/>
      <c r="AA34" s="450"/>
      <c r="AB34" s="450"/>
      <c r="AC34" s="450"/>
    </row>
    <row r="35" spans="1:29" s="451" customFormat="1" ht="9.9499999999999993" hidden="1" customHeight="1" x14ac:dyDescent="0.2">
      <c r="A35" s="426" t="s">
        <v>955</v>
      </c>
      <c r="B35" s="450"/>
      <c r="C35" s="450"/>
      <c r="D35" s="450"/>
      <c r="E35" s="450"/>
      <c r="F35" s="450"/>
      <c r="G35" s="450">
        <f>+SORECGFws!AA25</f>
        <v>0</v>
      </c>
      <c r="H35" s="450"/>
      <c r="I35" s="450">
        <f>SORECGFws!AB25</f>
        <v>0</v>
      </c>
      <c r="J35" s="450"/>
      <c r="K35" s="450">
        <f>SORECGFws!AC25</f>
        <v>0</v>
      </c>
      <c r="L35" s="450"/>
      <c r="M35" s="450"/>
      <c r="N35" s="450"/>
      <c r="O35" s="450">
        <f>SORECGFws!AF25</f>
        <v>0</v>
      </c>
      <c r="P35" s="450"/>
      <c r="Q35" s="450">
        <f t="shared" si="4"/>
        <v>0</v>
      </c>
      <c r="R35" s="450">
        <f t="shared" si="2"/>
        <v>0</v>
      </c>
      <c r="S35" s="450"/>
      <c r="T35" s="450"/>
      <c r="U35" s="450"/>
      <c r="V35" s="450"/>
      <c r="W35" s="450"/>
      <c r="X35" s="450"/>
      <c r="Y35" s="450"/>
      <c r="Z35" s="450"/>
      <c r="AA35" s="450"/>
      <c r="AB35" s="450"/>
      <c r="AC35" s="450"/>
    </row>
    <row r="36" spans="1:29" s="451" customFormat="1" ht="9.9499999999999993" hidden="1" customHeight="1" x14ac:dyDescent="0.2">
      <c r="A36" s="426" t="s">
        <v>956</v>
      </c>
      <c r="B36" s="450"/>
      <c r="C36" s="450"/>
      <c r="D36" s="450"/>
      <c r="E36" s="450"/>
      <c r="F36" s="450"/>
      <c r="G36" s="450">
        <f>+SORECGFws!AA26</f>
        <v>0</v>
      </c>
      <c r="H36" s="450"/>
      <c r="I36" s="450">
        <f>SORECGFws!AB26</f>
        <v>0</v>
      </c>
      <c r="J36" s="450"/>
      <c r="K36" s="450">
        <f>SORECGFws!AC26</f>
        <v>0</v>
      </c>
      <c r="L36" s="450"/>
      <c r="M36" s="450"/>
      <c r="N36" s="450"/>
      <c r="O36" s="450">
        <f>SORECGFws!AF26</f>
        <v>0</v>
      </c>
      <c r="P36" s="450"/>
      <c r="Q36" s="450">
        <f t="shared" si="4"/>
        <v>0</v>
      </c>
      <c r="R36" s="450">
        <f t="shared" si="2"/>
        <v>0</v>
      </c>
      <c r="S36" s="450"/>
      <c r="T36" s="450"/>
      <c r="U36" s="450"/>
      <c r="V36" s="450"/>
      <c r="W36" s="450"/>
      <c r="X36" s="450"/>
      <c r="Y36" s="450"/>
      <c r="Z36" s="450"/>
      <c r="AA36" s="450"/>
      <c r="AB36" s="450"/>
      <c r="AC36" s="450"/>
    </row>
    <row r="37" spans="1:29" s="451" customFormat="1" ht="9.9499999999999993" hidden="1" customHeight="1" x14ac:dyDescent="0.2">
      <c r="A37" s="426" t="s">
        <v>958</v>
      </c>
      <c r="B37" s="450"/>
      <c r="C37" s="450"/>
      <c r="D37" s="450"/>
      <c r="E37" s="450"/>
      <c r="F37" s="450"/>
      <c r="G37" s="450">
        <f>+SORECGFws!AA27</f>
        <v>0</v>
      </c>
      <c r="H37" s="450"/>
      <c r="I37" s="450">
        <f>SORECGFws!AB27</f>
        <v>0</v>
      </c>
      <c r="J37" s="450"/>
      <c r="K37" s="450">
        <f>SORECGFws!AC27</f>
        <v>0</v>
      </c>
      <c r="L37" s="450"/>
      <c r="M37" s="450"/>
      <c r="N37" s="450"/>
      <c r="O37" s="450">
        <f>SORECGFws!AF27</f>
        <v>0</v>
      </c>
      <c r="P37" s="450"/>
      <c r="Q37" s="450">
        <f t="shared" si="4"/>
        <v>0</v>
      </c>
      <c r="R37" s="450">
        <f t="shared" si="2"/>
        <v>0</v>
      </c>
      <c r="S37" s="450"/>
      <c r="T37" s="450"/>
      <c r="U37" s="450"/>
      <c r="V37" s="450"/>
      <c r="W37" s="450"/>
      <c r="X37" s="450"/>
      <c r="Y37" s="450"/>
      <c r="Z37" s="450"/>
      <c r="AA37" s="450"/>
      <c r="AB37" s="450"/>
      <c r="AC37" s="450"/>
    </row>
    <row r="38" spans="1:29" s="451" customFormat="1" ht="9.9499999999999993" hidden="1" customHeight="1" x14ac:dyDescent="0.2">
      <c r="A38" s="426" t="s">
        <v>959</v>
      </c>
      <c r="B38" s="450"/>
      <c r="C38" s="450"/>
      <c r="D38" s="450"/>
      <c r="E38" s="450"/>
      <c r="F38" s="450"/>
      <c r="G38" s="450">
        <f>+SORECGFws!AA28</f>
        <v>0</v>
      </c>
      <c r="H38" s="450"/>
      <c r="I38" s="450">
        <f>SORECGFws!AB28</f>
        <v>0</v>
      </c>
      <c r="J38" s="450"/>
      <c r="K38" s="450">
        <f>SORECGFws!AC28</f>
        <v>0</v>
      </c>
      <c r="L38" s="450"/>
      <c r="M38" s="450"/>
      <c r="N38" s="450"/>
      <c r="O38" s="450">
        <f>SORECGFws!AF28</f>
        <v>0</v>
      </c>
      <c r="P38" s="450"/>
      <c r="Q38" s="450">
        <f t="shared" si="4"/>
        <v>0</v>
      </c>
      <c r="R38" s="450">
        <f t="shared" si="2"/>
        <v>0</v>
      </c>
      <c r="S38" s="450"/>
      <c r="T38" s="450"/>
      <c r="U38" s="450"/>
      <c r="V38" s="450"/>
      <c r="W38" s="450"/>
      <c r="X38" s="450"/>
      <c r="Y38" s="450"/>
      <c r="Z38" s="450"/>
      <c r="AA38" s="450"/>
      <c r="AB38" s="450"/>
      <c r="AC38" s="450"/>
    </row>
    <row r="39" spans="1:29" s="451" customFormat="1" ht="9.9499999999999993" hidden="1" customHeight="1" x14ac:dyDescent="0.2">
      <c r="A39" s="426" t="s">
        <v>961</v>
      </c>
      <c r="B39" s="450"/>
      <c r="C39" s="450"/>
      <c r="D39" s="450"/>
      <c r="E39" s="450"/>
      <c r="F39" s="450"/>
      <c r="G39" s="450">
        <f>+SORECGFws!AA29</f>
        <v>0</v>
      </c>
      <c r="H39" s="450"/>
      <c r="I39" s="450">
        <f>SORECGFws!AB29</f>
        <v>0</v>
      </c>
      <c r="J39" s="450"/>
      <c r="K39" s="450">
        <f>SORECGFws!AC29</f>
        <v>0</v>
      </c>
      <c r="L39" s="450"/>
      <c r="M39" s="450"/>
      <c r="N39" s="450"/>
      <c r="O39" s="450">
        <f>SORECGFws!AF29</f>
        <v>0</v>
      </c>
      <c r="P39" s="450"/>
      <c r="Q39" s="450">
        <f t="shared" si="4"/>
        <v>0</v>
      </c>
      <c r="R39" s="450">
        <f t="shared" si="2"/>
        <v>0</v>
      </c>
      <c r="S39" s="450"/>
      <c r="T39" s="450"/>
      <c r="U39" s="450"/>
      <c r="V39" s="450"/>
      <c r="W39" s="450"/>
      <c r="X39" s="450"/>
      <c r="Y39" s="450"/>
      <c r="Z39" s="450"/>
      <c r="AA39" s="450"/>
      <c r="AB39" s="450"/>
      <c r="AC39" s="450"/>
    </row>
    <row r="40" spans="1:29" s="451" customFormat="1" ht="9.9499999999999993" hidden="1" customHeight="1" x14ac:dyDescent="0.2">
      <c r="A40" s="426" t="s">
        <v>960</v>
      </c>
      <c r="B40" s="450"/>
      <c r="C40" s="450"/>
      <c r="D40" s="450"/>
      <c r="E40" s="450"/>
      <c r="F40" s="450"/>
      <c r="G40" s="450">
        <f>+SORECGFws!AA30</f>
        <v>0</v>
      </c>
      <c r="H40" s="450"/>
      <c r="I40" s="450">
        <f>SORECGFws!AB30</f>
        <v>0</v>
      </c>
      <c r="J40" s="450"/>
      <c r="K40" s="450">
        <f>SORECGFws!AC30</f>
        <v>0</v>
      </c>
      <c r="L40" s="450"/>
      <c r="M40" s="450"/>
      <c r="N40" s="450"/>
      <c r="O40" s="450">
        <f>SORECGFws!AF30</f>
        <v>0</v>
      </c>
      <c r="P40" s="450"/>
      <c r="Q40" s="450">
        <f t="shared" si="4"/>
        <v>0</v>
      </c>
      <c r="R40" s="450">
        <f t="shared" si="2"/>
        <v>0</v>
      </c>
      <c r="S40" s="450"/>
      <c r="T40" s="450"/>
      <c r="U40" s="450"/>
      <c r="V40" s="450"/>
      <c r="W40" s="450"/>
      <c r="X40" s="450"/>
      <c r="Y40" s="450"/>
      <c r="Z40" s="450"/>
      <c r="AA40" s="450"/>
      <c r="AB40" s="450"/>
      <c r="AC40" s="450"/>
    </row>
    <row r="41" spans="1:29" s="451" customFormat="1" ht="9.9499999999999993" hidden="1" customHeight="1" x14ac:dyDescent="0.2">
      <c r="A41" s="426" t="s">
        <v>963</v>
      </c>
      <c r="B41" s="450"/>
      <c r="C41" s="450"/>
      <c r="D41" s="450"/>
      <c r="E41" s="450"/>
      <c r="F41" s="450"/>
      <c r="G41" s="450">
        <f>+SORECGFws!AA31</f>
        <v>0</v>
      </c>
      <c r="H41" s="450"/>
      <c r="I41" s="450">
        <f>SORECGFws!AB31</f>
        <v>0</v>
      </c>
      <c r="J41" s="450"/>
      <c r="K41" s="450">
        <f>SORECGFws!AC31</f>
        <v>0</v>
      </c>
      <c r="L41" s="450"/>
      <c r="M41" s="450"/>
      <c r="N41" s="450"/>
      <c r="O41" s="450">
        <f>SORECGFws!AF31</f>
        <v>0</v>
      </c>
      <c r="P41" s="450"/>
      <c r="Q41" s="450">
        <f t="shared" si="4"/>
        <v>0</v>
      </c>
      <c r="R41" s="450">
        <f t="shared" si="2"/>
        <v>0</v>
      </c>
      <c r="S41" s="450"/>
      <c r="T41" s="450"/>
      <c r="U41" s="450"/>
      <c r="V41" s="450"/>
      <c r="W41" s="450"/>
      <c r="X41" s="450"/>
      <c r="Y41" s="450"/>
      <c r="Z41" s="450"/>
      <c r="AA41" s="450"/>
      <c r="AB41" s="450"/>
      <c r="AC41" s="450"/>
    </row>
    <row r="42" spans="1:29" s="451" customFormat="1" ht="9.9499999999999993" hidden="1" customHeight="1" x14ac:dyDescent="0.2">
      <c r="A42" s="426" t="s">
        <v>1191</v>
      </c>
      <c r="B42" s="450"/>
      <c r="C42" s="450"/>
      <c r="D42" s="450"/>
      <c r="E42" s="450"/>
      <c r="F42" s="450"/>
      <c r="G42" s="450">
        <f>+SORECGFws!AA32</f>
        <v>0</v>
      </c>
      <c r="H42" s="450"/>
      <c r="I42" s="450">
        <f>SORECGFws!AB32</f>
        <v>0</v>
      </c>
      <c r="J42" s="450"/>
      <c r="K42" s="450">
        <f>SORECGFws!AC32</f>
        <v>0</v>
      </c>
      <c r="L42" s="450"/>
      <c r="M42" s="450"/>
      <c r="N42" s="450"/>
      <c r="O42" s="450">
        <f>SORECGFws!AF32</f>
        <v>0</v>
      </c>
      <c r="P42" s="450"/>
      <c r="Q42" s="450">
        <f t="shared" si="4"/>
        <v>0</v>
      </c>
      <c r="R42" s="450">
        <f t="shared" si="2"/>
        <v>0</v>
      </c>
      <c r="S42" s="450"/>
      <c r="T42" s="450"/>
      <c r="U42" s="450"/>
      <c r="V42" s="450"/>
      <c r="W42" s="450"/>
      <c r="X42" s="450"/>
      <c r="Y42" s="450"/>
      <c r="Z42" s="450"/>
      <c r="AA42" s="450"/>
      <c r="AB42" s="450"/>
      <c r="AC42" s="450"/>
    </row>
    <row r="43" spans="1:29" s="451" customFormat="1" ht="9.9499999999999993" hidden="1" customHeight="1" x14ac:dyDescent="0.2">
      <c r="A43" s="426" t="s">
        <v>964</v>
      </c>
      <c r="B43" s="450"/>
      <c r="C43" s="450"/>
      <c r="D43" s="450"/>
      <c r="E43" s="450"/>
      <c r="F43" s="450"/>
      <c r="G43" s="450">
        <f>+SORECGFws!AA33</f>
        <v>0</v>
      </c>
      <c r="H43" s="450"/>
      <c r="I43" s="450">
        <f>SORECGFws!AB33</f>
        <v>0</v>
      </c>
      <c r="J43" s="450"/>
      <c r="K43" s="450">
        <f>SORECGFws!AC33</f>
        <v>0</v>
      </c>
      <c r="L43" s="450"/>
      <c r="M43" s="450"/>
      <c r="N43" s="450"/>
      <c r="O43" s="450">
        <f>SORECGFws!AF33</f>
        <v>0</v>
      </c>
      <c r="P43" s="450"/>
      <c r="Q43" s="450">
        <f t="shared" si="4"/>
        <v>0</v>
      </c>
      <c r="R43" s="450">
        <f t="shared" si="2"/>
        <v>0</v>
      </c>
      <c r="S43" s="450"/>
      <c r="T43" s="450"/>
      <c r="U43" s="450"/>
      <c r="V43" s="450"/>
      <c r="W43" s="450"/>
      <c r="X43" s="450"/>
      <c r="Y43" s="450"/>
      <c r="Z43" s="450"/>
      <c r="AA43" s="450"/>
      <c r="AB43" s="450"/>
      <c r="AC43" s="450"/>
    </row>
    <row r="44" spans="1:29" s="451" customFormat="1" ht="9.9499999999999993" hidden="1" customHeight="1" x14ac:dyDescent="0.2">
      <c r="A44" s="426" t="s">
        <v>1414</v>
      </c>
      <c r="B44" s="450"/>
      <c r="C44" s="450"/>
      <c r="D44" s="450"/>
      <c r="E44" s="450"/>
      <c r="F44" s="450"/>
      <c r="G44" s="450">
        <f>+SORECGFws!AA34</f>
        <v>0</v>
      </c>
      <c r="H44" s="450"/>
      <c r="I44" s="450">
        <f>SORECGFws!AB34</f>
        <v>0</v>
      </c>
      <c r="J44" s="450"/>
      <c r="K44" s="450">
        <f>SORECGFws!AC34</f>
        <v>0</v>
      </c>
      <c r="L44" s="450"/>
      <c r="M44" s="450"/>
      <c r="N44" s="450"/>
      <c r="O44" s="450">
        <f>SORECGFws!AF34</f>
        <v>0</v>
      </c>
      <c r="P44" s="450"/>
      <c r="Q44" s="450">
        <f t="shared" si="4"/>
        <v>0</v>
      </c>
      <c r="R44" s="450"/>
      <c r="S44" s="450"/>
      <c r="T44" s="450"/>
      <c r="U44" s="450"/>
      <c r="V44" s="450"/>
      <c r="W44" s="450"/>
      <c r="X44" s="450"/>
      <c r="Y44" s="450"/>
      <c r="Z44" s="450"/>
      <c r="AA44" s="450"/>
      <c r="AB44" s="450"/>
      <c r="AC44" s="450"/>
    </row>
    <row r="45" spans="1:29" s="451" customFormat="1" ht="9.75" customHeight="1" x14ac:dyDescent="0.2">
      <c r="A45" s="425" t="s">
        <v>888</v>
      </c>
      <c r="B45" s="450"/>
      <c r="C45" s="450"/>
      <c r="D45" s="450"/>
      <c r="E45" s="450"/>
      <c r="F45" s="450"/>
      <c r="G45" s="450">
        <f>+SORECGFws!AA35</f>
        <v>0</v>
      </c>
      <c r="H45" s="450"/>
      <c r="I45" s="450"/>
      <c r="J45" s="450"/>
      <c r="K45" s="450">
        <f>SORECGFws!AC35</f>
        <v>0</v>
      </c>
      <c r="L45" s="450"/>
      <c r="M45" s="450"/>
      <c r="N45" s="450"/>
      <c r="O45" s="450">
        <f>SORECGFws!AF35</f>
        <v>262327</v>
      </c>
      <c r="P45" s="450"/>
      <c r="Q45" s="450">
        <f t="shared" ref="Q45:Q56" si="5">SUM(B45:O45)</f>
        <v>262327</v>
      </c>
      <c r="R45" s="450">
        <f t="shared" si="2"/>
        <v>-262327</v>
      </c>
      <c r="S45" s="450"/>
      <c r="T45" s="450"/>
      <c r="U45" s="450"/>
      <c r="V45" s="450"/>
      <c r="W45" s="450"/>
      <c r="X45" s="450"/>
      <c r="Y45" s="450"/>
      <c r="Z45" s="450"/>
      <c r="AA45" s="450"/>
      <c r="AB45" s="450"/>
      <c r="AC45" s="450"/>
    </row>
    <row r="46" spans="1:29" s="451" customFormat="1" ht="9.9499999999999993" customHeight="1" x14ac:dyDescent="0.2">
      <c r="A46" s="425" t="s">
        <v>965</v>
      </c>
      <c r="B46" s="450"/>
      <c r="C46" s="450"/>
      <c r="D46" s="450"/>
      <c r="E46" s="450"/>
      <c r="F46" s="450"/>
      <c r="G46" s="450">
        <f>+SORECGFws!AA36</f>
        <v>0</v>
      </c>
      <c r="H46" s="450"/>
      <c r="I46" s="450"/>
      <c r="J46" s="450"/>
      <c r="K46" s="450">
        <f>SORECGFws!AC36</f>
        <v>0</v>
      </c>
      <c r="L46" s="450"/>
      <c r="M46" s="450"/>
      <c r="N46" s="450"/>
      <c r="O46" s="450">
        <f>SORECGFws!AF36</f>
        <v>0</v>
      </c>
      <c r="P46" s="450"/>
      <c r="Q46" s="450">
        <f t="shared" si="5"/>
        <v>0</v>
      </c>
      <c r="R46" s="450">
        <f t="shared" si="2"/>
        <v>0</v>
      </c>
      <c r="S46" s="450"/>
      <c r="T46" s="450"/>
      <c r="U46" s="450"/>
      <c r="V46" s="450"/>
      <c r="W46" s="450"/>
      <c r="X46" s="450"/>
      <c r="Y46" s="450"/>
      <c r="Z46" s="450"/>
      <c r="AA46" s="450"/>
      <c r="AB46" s="450"/>
      <c r="AC46" s="450"/>
    </row>
    <row r="47" spans="1:29" s="451" customFormat="1" ht="9.9499999999999993" hidden="1" customHeight="1" x14ac:dyDescent="0.2">
      <c r="A47" s="426" t="s">
        <v>966</v>
      </c>
      <c r="B47" s="450"/>
      <c r="C47" s="450"/>
      <c r="D47" s="450"/>
      <c r="E47" s="450"/>
      <c r="F47" s="450"/>
      <c r="G47" s="450">
        <f>+SORECGFws!AA37</f>
        <v>0</v>
      </c>
      <c r="H47" s="450"/>
      <c r="I47" s="450"/>
      <c r="J47" s="450"/>
      <c r="K47" s="450">
        <f>SORECGFws!AC37</f>
        <v>0</v>
      </c>
      <c r="L47" s="450"/>
      <c r="M47" s="450"/>
      <c r="N47" s="450"/>
      <c r="O47" s="450">
        <f>SORECGFws!AF37</f>
        <v>0</v>
      </c>
      <c r="P47" s="450"/>
      <c r="Q47" s="450">
        <f t="shared" si="5"/>
        <v>0</v>
      </c>
      <c r="R47" s="450">
        <f t="shared" si="2"/>
        <v>0</v>
      </c>
      <c r="S47" s="450"/>
      <c r="T47" s="450"/>
      <c r="U47" s="450"/>
      <c r="V47" s="450"/>
      <c r="W47" s="450"/>
      <c r="X47" s="450"/>
      <c r="Y47" s="450"/>
      <c r="Z47" s="450"/>
      <c r="AA47" s="450"/>
      <c r="AB47" s="450"/>
      <c r="AC47" s="450"/>
    </row>
    <row r="48" spans="1:29" s="451" customFormat="1" ht="9.9499999999999993" hidden="1" customHeight="1" x14ac:dyDescent="0.2">
      <c r="A48" s="426" t="s">
        <v>949</v>
      </c>
      <c r="B48" s="450"/>
      <c r="C48" s="450"/>
      <c r="D48" s="450"/>
      <c r="E48" s="450"/>
      <c r="F48" s="450"/>
      <c r="G48" s="450">
        <f>+SORECGFws!AA38</f>
        <v>0</v>
      </c>
      <c r="H48" s="450"/>
      <c r="I48" s="450"/>
      <c r="J48" s="450"/>
      <c r="K48" s="450">
        <f>SORECGFws!AC38</f>
        <v>0</v>
      </c>
      <c r="L48" s="450"/>
      <c r="M48" s="450"/>
      <c r="N48" s="450"/>
      <c r="O48" s="450">
        <f>SORECGFws!AF38</f>
        <v>0</v>
      </c>
      <c r="P48" s="450"/>
      <c r="Q48" s="450">
        <f t="shared" si="5"/>
        <v>0</v>
      </c>
      <c r="R48" s="450">
        <f t="shared" si="2"/>
        <v>0</v>
      </c>
      <c r="S48" s="450"/>
      <c r="T48" s="450"/>
      <c r="U48" s="450"/>
      <c r="V48" s="450"/>
      <c r="W48" s="450"/>
      <c r="X48" s="450"/>
      <c r="Y48" s="450"/>
      <c r="Z48" s="450"/>
      <c r="AA48" s="450"/>
      <c r="AB48" s="450"/>
      <c r="AC48" s="450"/>
    </row>
    <row r="49" spans="1:29" s="451" customFormat="1" ht="9.9499999999999993" customHeight="1" x14ac:dyDescent="0.2">
      <c r="A49" s="426" t="s">
        <v>91</v>
      </c>
      <c r="B49" s="450"/>
      <c r="C49" s="450"/>
      <c r="D49" s="450"/>
      <c r="E49" s="450"/>
      <c r="F49" s="450"/>
      <c r="G49" s="450">
        <f>+SORECGFws!AA39</f>
        <v>0</v>
      </c>
      <c r="H49" s="450"/>
      <c r="I49" s="450"/>
      <c r="J49" s="450"/>
      <c r="K49" s="450">
        <f>SORECGFws!AC39</f>
        <v>0</v>
      </c>
      <c r="L49" s="450"/>
      <c r="M49" s="450">
        <f>SORECGFws!AD39</f>
        <v>2429</v>
      </c>
      <c r="N49" s="450"/>
      <c r="O49" s="450">
        <f>SORECGFws!AF39</f>
        <v>0</v>
      </c>
      <c r="P49" s="450"/>
      <c r="Q49" s="450">
        <f t="shared" si="5"/>
        <v>2429</v>
      </c>
      <c r="R49" s="450">
        <f t="shared" si="2"/>
        <v>0</v>
      </c>
      <c r="S49" s="450"/>
      <c r="T49" s="450"/>
      <c r="U49" s="450"/>
      <c r="V49" s="450"/>
      <c r="W49" s="450"/>
      <c r="X49" s="450"/>
      <c r="Y49" s="450"/>
      <c r="Z49" s="450"/>
      <c r="AA49" s="450"/>
      <c r="AB49" s="450"/>
      <c r="AC49" s="450"/>
    </row>
    <row r="50" spans="1:29" s="451" customFormat="1" ht="9.9499999999999993" hidden="1" customHeight="1" x14ac:dyDescent="0.2">
      <c r="A50" s="426" t="s">
        <v>968</v>
      </c>
      <c r="B50" s="450"/>
      <c r="C50" s="450"/>
      <c r="D50" s="450"/>
      <c r="E50" s="450"/>
      <c r="F50" s="450"/>
      <c r="G50" s="450">
        <f>+SORECGFws!AA40</f>
        <v>0</v>
      </c>
      <c r="H50" s="450"/>
      <c r="I50" s="450"/>
      <c r="J50" s="450"/>
      <c r="K50" s="450">
        <f>SORECGFws!AC40</f>
        <v>0</v>
      </c>
      <c r="L50" s="450"/>
      <c r="M50" s="450">
        <f>SORECGFws!AD40</f>
        <v>0</v>
      </c>
      <c r="N50" s="450"/>
      <c r="O50" s="450">
        <f>SORECGFws!AF40</f>
        <v>0</v>
      </c>
      <c r="P50" s="450"/>
      <c r="Q50" s="450">
        <f t="shared" si="5"/>
        <v>0</v>
      </c>
      <c r="R50" s="450">
        <f t="shared" si="2"/>
        <v>0</v>
      </c>
      <c r="S50" s="450"/>
      <c r="T50" s="450"/>
      <c r="U50" s="450"/>
      <c r="V50" s="450"/>
      <c r="W50" s="450"/>
      <c r="X50" s="450"/>
      <c r="Y50" s="450"/>
      <c r="Z50" s="450"/>
      <c r="AA50" s="450"/>
      <c r="AB50" s="450"/>
      <c r="AC50" s="450"/>
    </row>
    <row r="51" spans="1:29" s="451" customFormat="1" ht="9.9499999999999993" hidden="1" customHeight="1" x14ac:dyDescent="0.2">
      <c r="A51" s="425" t="s">
        <v>1595</v>
      </c>
      <c r="B51" s="450"/>
      <c r="C51" s="450"/>
      <c r="D51" s="450"/>
      <c r="E51" s="450"/>
      <c r="F51" s="450"/>
      <c r="G51" s="450"/>
      <c r="H51" s="450"/>
      <c r="I51" s="450"/>
      <c r="J51" s="450"/>
      <c r="K51" s="450"/>
      <c r="L51" s="450"/>
      <c r="M51" s="450"/>
      <c r="N51" s="450"/>
      <c r="O51" s="450"/>
      <c r="P51" s="450"/>
      <c r="Q51" s="450">
        <f t="shared" si="5"/>
        <v>0</v>
      </c>
      <c r="R51" s="450"/>
      <c r="S51" s="450"/>
      <c r="T51" s="450"/>
      <c r="U51" s="450"/>
      <c r="V51" s="450"/>
      <c r="W51" s="450"/>
      <c r="X51" s="450"/>
      <c r="Y51" s="450"/>
      <c r="Z51" s="450"/>
      <c r="AA51" s="450"/>
      <c r="AB51" s="450"/>
      <c r="AC51" s="450"/>
    </row>
    <row r="52" spans="1:29" s="451" customFormat="1" ht="9.9499999999999993" hidden="1" customHeight="1" x14ac:dyDescent="0.2">
      <c r="A52" s="426" t="s">
        <v>966</v>
      </c>
      <c r="B52" s="450"/>
      <c r="C52" s="450"/>
      <c r="D52" s="450"/>
      <c r="E52" s="450"/>
      <c r="F52" s="450"/>
      <c r="G52" s="450">
        <f>+SORECGFws!AA42</f>
        <v>0</v>
      </c>
      <c r="H52" s="450"/>
      <c r="I52" s="450"/>
      <c r="J52" s="450"/>
      <c r="K52" s="450">
        <f>SORECGFws!AC42</f>
        <v>0</v>
      </c>
      <c r="L52" s="450"/>
      <c r="M52" s="450">
        <f>SORECGFws!AD42</f>
        <v>0</v>
      </c>
      <c r="N52" s="450"/>
      <c r="O52" s="450">
        <f>SORECGFws!AF42</f>
        <v>0</v>
      </c>
      <c r="P52" s="450"/>
      <c r="Q52" s="450">
        <f t="shared" si="5"/>
        <v>0</v>
      </c>
      <c r="R52" s="450"/>
      <c r="S52" s="450"/>
      <c r="T52" s="450"/>
      <c r="U52" s="450"/>
      <c r="V52" s="450"/>
      <c r="W52" s="450"/>
      <c r="X52" s="450"/>
      <c r="Y52" s="450"/>
      <c r="Z52" s="450"/>
      <c r="AA52" s="450"/>
      <c r="AB52" s="450"/>
      <c r="AC52" s="450"/>
    </row>
    <row r="53" spans="1:29" s="451" customFormat="1" ht="9.9499999999999993" hidden="1" customHeight="1" x14ac:dyDescent="0.2">
      <c r="A53" s="426" t="s">
        <v>949</v>
      </c>
      <c r="B53" s="450"/>
      <c r="C53" s="450"/>
      <c r="D53" s="450"/>
      <c r="E53" s="450"/>
      <c r="F53" s="450"/>
      <c r="G53" s="450">
        <f>+SORECGFws!AA43</f>
        <v>0</v>
      </c>
      <c r="H53" s="450"/>
      <c r="I53" s="450"/>
      <c r="J53" s="450"/>
      <c r="K53" s="450">
        <f>SORECGFws!AC43</f>
        <v>0</v>
      </c>
      <c r="L53" s="450"/>
      <c r="M53" s="450">
        <f>SORECGFws!AD43</f>
        <v>0</v>
      </c>
      <c r="N53" s="450"/>
      <c r="O53" s="450">
        <f>SORECGFws!AF43</f>
        <v>0</v>
      </c>
      <c r="P53" s="450"/>
      <c r="Q53" s="450">
        <f t="shared" si="5"/>
        <v>0</v>
      </c>
      <c r="R53" s="450"/>
      <c r="S53" s="450"/>
      <c r="T53" s="450"/>
      <c r="U53" s="450"/>
      <c r="V53" s="450"/>
      <c r="W53" s="450"/>
      <c r="X53" s="450"/>
      <c r="Y53" s="450"/>
      <c r="Z53" s="450"/>
      <c r="AA53" s="450"/>
      <c r="AB53" s="450"/>
      <c r="AC53" s="450"/>
    </row>
    <row r="54" spans="1:29" s="451" customFormat="1" ht="9.9499999999999993" hidden="1" customHeight="1" x14ac:dyDescent="0.2">
      <c r="A54" s="425" t="s">
        <v>1641</v>
      </c>
      <c r="B54" s="450"/>
      <c r="C54" s="450"/>
      <c r="D54" s="450"/>
      <c r="E54" s="450"/>
      <c r="F54" s="450"/>
      <c r="G54" s="450"/>
      <c r="H54" s="450"/>
      <c r="I54" s="450"/>
      <c r="J54" s="450"/>
      <c r="K54" s="450"/>
      <c r="L54" s="450"/>
      <c r="M54" s="450"/>
      <c r="N54" s="450"/>
      <c r="O54" s="450"/>
      <c r="P54" s="450"/>
      <c r="Q54" s="450">
        <f t="shared" si="5"/>
        <v>0</v>
      </c>
      <c r="R54" s="450"/>
      <c r="S54" s="450"/>
      <c r="T54" s="450"/>
      <c r="U54" s="450"/>
      <c r="V54" s="450"/>
      <c r="W54" s="450"/>
      <c r="X54" s="450"/>
      <c r="Y54" s="450"/>
      <c r="Z54" s="450"/>
      <c r="AA54" s="450"/>
      <c r="AB54" s="450"/>
      <c r="AC54" s="450"/>
    </row>
    <row r="55" spans="1:29" s="451" customFormat="1" ht="9.9499999999999993" hidden="1" customHeight="1" x14ac:dyDescent="0.2">
      <c r="A55" s="426" t="s">
        <v>966</v>
      </c>
      <c r="B55" s="450"/>
      <c r="C55" s="450"/>
      <c r="D55" s="450"/>
      <c r="E55" s="450"/>
      <c r="F55" s="450"/>
      <c r="G55" s="450"/>
      <c r="H55" s="450"/>
      <c r="I55" s="450">
        <f>SORECGFws!AB45</f>
        <v>0</v>
      </c>
      <c r="J55" s="450"/>
      <c r="K55" s="450">
        <f>SORECGFws!AC45</f>
        <v>0</v>
      </c>
      <c r="L55" s="450"/>
      <c r="M55" s="450">
        <f>SORECGFws!AD45</f>
        <v>0</v>
      </c>
      <c r="N55" s="450"/>
      <c r="O55" s="450">
        <f>SORECGFws!AF45</f>
        <v>0</v>
      </c>
      <c r="P55" s="450"/>
      <c r="Q55" s="450">
        <f t="shared" si="5"/>
        <v>0</v>
      </c>
      <c r="R55" s="450"/>
      <c r="S55" s="450"/>
      <c r="T55" s="450"/>
      <c r="U55" s="450"/>
      <c r="V55" s="450"/>
      <c r="W55" s="450"/>
      <c r="X55" s="450"/>
      <c r="Y55" s="450"/>
      <c r="Z55" s="450"/>
      <c r="AA55" s="450"/>
      <c r="AB55" s="450"/>
      <c r="AC55" s="450"/>
    </row>
    <row r="56" spans="1:29" s="451" customFormat="1" ht="9.9499999999999993" hidden="1" customHeight="1" x14ac:dyDescent="0.2">
      <c r="A56" s="426" t="s">
        <v>949</v>
      </c>
      <c r="B56" s="450"/>
      <c r="C56" s="450"/>
      <c r="D56" s="450"/>
      <c r="E56" s="450"/>
      <c r="F56" s="450"/>
      <c r="G56" s="450"/>
      <c r="H56" s="450"/>
      <c r="I56" s="450">
        <f>SORECGFws!AB46</f>
        <v>0</v>
      </c>
      <c r="J56" s="450"/>
      <c r="K56" s="450">
        <f>SORECGFws!AC46</f>
        <v>0</v>
      </c>
      <c r="L56" s="450"/>
      <c r="M56" s="450">
        <f>SORECGFws!AD46</f>
        <v>0</v>
      </c>
      <c r="N56" s="450"/>
      <c r="O56" s="450">
        <f>SORECGFws!AF46</f>
        <v>0</v>
      </c>
      <c r="P56" s="450"/>
      <c r="Q56" s="450">
        <f t="shared" si="5"/>
        <v>0</v>
      </c>
      <c r="R56" s="450"/>
      <c r="S56" s="450"/>
      <c r="T56" s="450"/>
      <c r="U56" s="450"/>
      <c r="V56" s="450"/>
      <c r="W56" s="450"/>
      <c r="X56" s="450"/>
      <c r="Y56" s="450"/>
      <c r="Z56" s="450"/>
      <c r="AA56" s="450"/>
      <c r="AB56" s="450"/>
      <c r="AC56" s="450"/>
    </row>
    <row r="57" spans="1:29" s="451" customFormat="1" ht="5.0999999999999996" customHeight="1" x14ac:dyDescent="0.2">
      <c r="B57" s="450"/>
      <c r="C57" s="452"/>
      <c r="D57" s="450"/>
      <c r="E57" s="452"/>
      <c r="F57" s="450"/>
      <c r="G57" s="452"/>
      <c r="H57" s="450"/>
      <c r="I57" s="452"/>
      <c r="J57" s="450"/>
      <c r="K57" s="452"/>
      <c r="L57" s="450"/>
      <c r="M57" s="452"/>
      <c r="N57" s="450"/>
      <c r="O57" s="452"/>
      <c r="P57" s="450"/>
      <c r="Q57" s="452"/>
      <c r="R57" s="450">
        <f t="shared" si="2"/>
        <v>0</v>
      </c>
      <c r="S57" s="450"/>
      <c r="T57" s="450"/>
      <c r="U57" s="450"/>
      <c r="V57" s="450"/>
      <c r="W57" s="450"/>
      <c r="X57" s="450"/>
      <c r="Y57" s="450"/>
      <c r="Z57" s="450"/>
      <c r="AA57" s="450"/>
      <c r="AB57" s="450"/>
      <c r="AC57" s="450"/>
    </row>
    <row r="58" spans="1:29" s="451" customFormat="1" ht="11.1" customHeight="1" x14ac:dyDescent="0.2">
      <c r="A58" s="417" t="s">
        <v>970</v>
      </c>
      <c r="B58" s="450"/>
      <c r="C58" s="455"/>
      <c r="D58" s="450"/>
      <c r="E58" s="455"/>
      <c r="F58" s="450"/>
      <c r="G58" s="455">
        <f>SUM(G33:G53)</f>
        <v>0</v>
      </c>
      <c r="H58" s="450"/>
      <c r="I58" s="455">
        <f>SUM(I33:I56)</f>
        <v>0</v>
      </c>
      <c r="J58" s="450"/>
      <c r="K58" s="455">
        <f t="shared" ref="K58" si="6">SUM(K33:K56)</f>
        <v>0</v>
      </c>
      <c r="L58" s="450"/>
      <c r="M58" s="455">
        <f t="shared" ref="M58" si="7">SUM(M33:M56)</f>
        <v>2429</v>
      </c>
      <c r="N58" s="450"/>
      <c r="O58" s="455">
        <f t="shared" ref="O58" si="8">SUM(O33:O56)</f>
        <v>262327</v>
      </c>
      <c r="P58" s="450"/>
      <c r="Q58" s="455">
        <f t="shared" ref="Q58" si="9">SUM(Q33:Q56)</f>
        <v>264756</v>
      </c>
      <c r="R58" s="450">
        <f t="shared" si="2"/>
        <v>-262327</v>
      </c>
      <c r="S58" s="450"/>
      <c r="T58" s="450"/>
      <c r="U58" s="450"/>
      <c r="V58" s="450"/>
      <c r="W58" s="450"/>
      <c r="X58" s="450"/>
      <c r="Y58" s="450"/>
      <c r="Z58" s="450"/>
      <c r="AA58" s="450"/>
      <c r="AB58" s="450"/>
      <c r="AC58" s="450"/>
    </row>
    <row r="59" spans="1:29" s="451" customFormat="1" ht="5.0999999999999996" customHeight="1" x14ac:dyDescent="0.2">
      <c r="A59" s="253"/>
      <c r="B59" s="450"/>
      <c r="C59" s="450"/>
      <c r="D59" s="450"/>
      <c r="E59" s="450"/>
      <c r="F59" s="450"/>
      <c r="G59" s="450"/>
      <c r="H59" s="450"/>
      <c r="I59" s="450"/>
      <c r="J59" s="450"/>
      <c r="K59" s="450"/>
      <c r="L59" s="450"/>
      <c r="M59" s="450"/>
      <c r="N59" s="450"/>
      <c r="O59" s="450"/>
      <c r="P59" s="450"/>
      <c r="Q59" s="450"/>
      <c r="R59" s="450">
        <f t="shared" si="2"/>
        <v>0</v>
      </c>
      <c r="S59" s="450"/>
      <c r="T59" s="450"/>
      <c r="U59" s="450"/>
      <c r="V59" s="450"/>
      <c r="W59" s="450"/>
      <c r="X59" s="450"/>
      <c r="Y59" s="450"/>
      <c r="Z59" s="450"/>
      <c r="AA59" s="450"/>
      <c r="AB59" s="450"/>
      <c r="AC59" s="450"/>
    </row>
    <row r="60" spans="1:29" s="451" customFormat="1" ht="9.9499999999999993" customHeight="1" x14ac:dyDescent="0.2">
      <c r="A60" s="417" t="s">
        <v>1332</v>
      </c>
      <c r="B60" s="450"/>
      <c r="C60" s="450"/>
      <c r="D60" s="450"/>
      <c r="E60" s="450"/>
      <c r="F60" s="450"/>
      <c r="G60" s="450"/>
      <c r="H60" s="450"/>
      <c r="I60" s="450"/>
      <c r="J60" s="450"/>
      <c r="K60" s="450"/>
      <c r="L60" s="450"/>
      <c r="M60" s="450"/>
      <c r="N60" s="450"/>
      <c r="O60" s="450"/>
      <c r="P60" s="450"/>
      <c r="Q60" s="450"/>
      <c r="R60" s="450">
        <f t="shared" si="2"/>
        <v>0</v>
      </c>
      <c r="S60" s="450"/>
      <c r="T60" s="450"/>
      <c r="U60" s="450"/>
      <c r="V60" s="450"/>
      <c r="W60" s="450"/>
      <c r="X60" s="450"/>
      <c r="Y60" s="450"/>
      <c r="Z60" s="450"/>
      <c r="AA60" s="450"/>
      <c r="AB60" s="450"/>
      <c r="AC60" s="450"/>
    </row>
    <row r="61" spans="1:29" s="451" customFormat="1" ht="9.9499999999999993" customHeight="1" x14ac:dyDescent="0.2">
      <c r="A61" s="428" t="s">
        <v>1276</v>
      </c>
      <c r="B61" s="450"/>
      <c r="C61" s="455"/>
      <c r="D61" s="450"/>
      <c r="E61" s="455"/>
      <c r="F61" s="450"/>
      <c r="G61" s="455">
        <f>SUM(G29-G58)</f>
        <v>0</v>
      </c>
      <c r="H61" s="450"/>
      <c r="I61" s="455">
        <f>SUM(I29-I58)</f>
        <v>423</v>
      </c>
      <c r="J61" s="450"/>
      <c r="K61" s="455">
        <f>SUM(K29-K58)</f>
        <v>1216</v>
      </c>
      <c r="L61" s="450"/>
      <c r="M61" s="455">
        <f>SUM(M29-M58)</f>
        <v>9914</v>
      </c>
      <c r="N61" s="450"/>
      <c r="O61" s="455">
        <f>SUM(O29-O58)</f>
        <v>-242537</v>
      </c>
      <c r="P61" s="450"/>
      <c r="Q61" s="455">
        <f>SUM(Q29-Q58)</f>
        <v>-230984</v>
      </c>
      <c r="R61" s="450">
        <f t="shared" si="2"/>
        <v>241321</v>
      </c>
      <c r="S61" s="450"/>
      <c r="T61" s="450"/>
      <c r="U61" s="450"/>
      <c r="V61" s="450"/>
      <c r="W61" s="450"/>
      <c r="X61" s="450"/>
      <c r="Y61" s="450"/>
      <c r="Z61" s="450"/>
      <c r="AA61" s="450"/>
      <c r="AB61" s="450"/>
      <c r="AC61" s="450"/>
    </row>
    <row r="62" spans="1:29" s="451" customFormat="1" ht="5.0999999999999996" customHeight="1" x14ac:dyDescent="0.2">
      <c r="B62" s="450"/>
      <c r="C62" s="452"/>
      <c r="D62" s="450"/>
      <c r="E62" s="452"/>
      <c r="F62" s="450"/>
      <c r="G62" s="452"/>
      <c r="H62" s="450"/>
      <c r="I62" s="452"/>
      <c r="J62" s="450"/>
      <c r="K62" s="452"/>
      <c r="L62" s="450"/>
      <c r="M62" s="452"/>
      <c r="N62" s="450"/>
      <c r="O62" s="452"/>
      <c r="P62" s="450"/>
      <c r="Q62" s="452"/>
      <c r="R62" s="450">
        <f t="shared" si="2"/>
        <v>0</v>
      </c>
      <c r="S62" s="450"/>
      <c r="T62" s="450"/>
      <c r="U62" s="450"/>
      <c r="V62" s="450"/>
      <c r="W62" s="450"/>
      <c r="X62" s="450"/>
      <c r="Y62" s="450"/>
      <c r="Z62" s="450"/>
      <c r="AA62" s="450"/>
      <c r="AB62" s="450"/>
      <c r="AC62" s="450"/>
    </row>
    <row r="63" spans="1:29" s="451" customFormat="1" ht="9.9499999999999993" customHeight="1" x14ac:dyDescent="0.2">
      <c r="A63" s="417" t="s">
        <v>34</v>
      </c>
      <c r="B63" s="450"/>
      <c r="C63" s="450"/>
      <c r="D63" s="450"/>
      <c r="E63" s="450"/>
      <c r="F63" s="450"/>
      <c r="G63" s="450"/>
      <c r="H63" s="450"/>
      <c r="I63" s="450"/>
      <c r="J63" s="450"/>
      <c r="K63" s="450"/>
      <c r="L63" s="450"/>
      <c r="M63" s="450"/>
      <c r="N63" s="450"/>
      <c r="O63" s="450"/>
      <c r="P63" s="450"/>
      <c r="Q63" s="450"/>
      <c r="R63" s="450">
        <f t="shared" si="2"/>
        <v>0</v>
      </c>
      <c r="S63" s="450"/>
      <c r="T63" s="450"/>
      <c r="U63" s="450"/>
      <c r="V63" s="450"/>
      <c r="W63" s="450"/>
      <c r="X63" s="450"/>
      <c r="Y63" s="450"/>
      <c r="Z63" s="450"/>
      <c r="AA63" s="450"/>
      <c r="AB63" s="450"/>
      <c r="AC63" s="450"/>
    </row>
    <row r="64" spans="1:29" s="451" customFormat="1" ht="9.9499999999999993" hidden="1" customHeight="1" x14ac:dyDescent="0.2">
      <c r="A64" s="425" t="s">
        <v>667</v>
      </c>
      <c r="B64" s="450"/>
      <c r="C64" s="450"/>
      <c r="D64" s="450"/>
      <c r="E64" s="450"/>
      <c r="F64" s="450"/>
      <c r="G64" s="450">
        <f>+SORECGFws!AA53</f>
        <v>0</v>
      </c>
      <c r="H64" s="450"/>
      <c r="I64" s="450">
        <f>SORECGFws!AB53</f>
        <v>0</v>
      </c>
      <c r="J64" s="450"/>
      <c r="K64" s="450">
        <f>SORECGFws!AC53</f>
        <v>0</v>
      </c>
      <c r="L64" s="450"/>
      <c r="M64" s="450">
        <f>SORECGFws!AD53</f>
        <v>0</v>
      </c>
      <c r="N64" s="450"/>
      <c r="O64" s="450">
        <f>SORECGFws!AF53</f>
        <v>0</v>
      </c>
      <c r="P64" s="450"/>
      <c r="Q64" s="450">
        <f>SUM(B64:O64)</f>
        <v>0</v>
      </c>
      <c r="R64" s="450">
        <f t="shared" si="2"/>
        <v>0</v>
      </c>
      <c r="S64" s="450"/>
      <c r="T64" s="450"/>
      <c r="U64" s="450"/>
      <c r="V64" s="450"/>
      <c r="W64" s="450"/>
      <c r="X64" s="450"/>
      <c r="Y64" s="450"/>
      <c r="Z64" s="450"/>
      <c r="AA64" s="450"/>
      <c r="AB64" s="450"/>
      <c r="AC64" s="450"/>
    </row>
    <row r="65" spans="1:46" s="451" customFormat="1" ht="9.9499999999999993" hidden="1" customHeight="1" x14ac:dyDescent="0.2">
      <c r="A65" s="425" t="s">
        <v>1235</v>
      </c>
      <c r="B65" s="450"/>
      <c r="C65" s="450"/>
      <c r="D65" s="450"/>
      <c r="E65" s="450"/>
      <c r="F65" s="450"/>
      <c r="G65" s="450">
        <f>+SORECGFws!AA54</f>
        <v>0</v>
      </c>
      <c r="H65" s="450"/>
      <c r="I65" s="450">
        <f>SORECGFws!AB54</f>
        <v>0</v>
      </c>
      <c r="J65" s="450"/>
      <c r="K65" s="450">
        <f>SORECGFws!AC54</f>
        <v>0</v>
      </c>
      <c r="L65" s="450"/>
      <c r="M65" s="450">
        <f>SORECGFws!AD54</f>
        <v>0</v>
      </c>
      <c r="N65" s="450"/>
      <c r="O65" s="450">
        <f>SORECGFws!AF54</f>
        <v>0</v>
      </c>
      <c r="P65" s="450"/>
      <c r="Q65" s="450">
        <f>SUM(B65:O65)</f>
        <v>0</v>
      </c>
      <c r="R65" s="450">
        <f t="shared" si="2"/>
        <v>0</v>
      </c>
      <c r="S65" s="450"/>
      <c r="T65" s="450"/>
      <c r="U65" s="450"/>
      <c r="V65" s="450"/>
      <c r="W65" s="450"/>
      <c r="X65" s="450"/>
      <c r="Y65" s="450"/>
      <c r="Z65" s="450"/>
      <c r="AA65" s="450"/>
      <c r="AB65" s="450"/>
      <c r="AC65" s="450"/>
    </row>
    <row r="66" spans="1:46" s="451" customFormat="1" ht="9.9499999999999993" hidden="1" customHeight="1" x14ac:dyDescent="0.2">
      <c r="A66" s="425" t="s">
        <v>973</v>
      </c>
      <c r="B66" s="450"/>
      <c r="C66" s="450"/>
      <c r="D66" s="450"/>
      <c r="E66" s="450"/>
      <c r="F66" s="450"/>
      <c r="G66" s="450">
        <f>+SORECGFws!AA55</f>
        <v>0</v>
      </c>
      <c r="H66" s="450"/>
      <c r="I66" s="450">
        <f>SORECGFws!AB55</f>
        <v>0</v>
      </c>
      <c r="J66" s="450"/>
      <c r="K66" s="450">
        <f>SORECGFws!AC55</f>
        <v>0</v>
      </c>
      <c r="L66" s="450"/>
      <c r="M66" s="450">
        <f>SORECGFws!AD55</f>
        <v>0</v>
      </c>
      <c r="N66" s="450"/>
      <c r="O66" s="450">
        <f>SORECGFws!AF55</f>
        <v>0</v>
      </c>
      <c r="P66" s="450"/>
      <c r="Q66" s="450">
        <f t="shared" ref="Q66:Q73" si="10">SUM(B66:O66)</f>
        <v>0</v>
      </c>
      <c r="R66" s="450">
        <f t="shared" si="2"/>
        <v>0</v>
      </c>
      <c r="S66" s="450"/>
      <c r="T66" s="450"/>
      <c r="U66" s="450"/>
      <c r="V66" s="450"/>
      <c r="W66" s="450"/>
      <c r="X66" s="450"/>
      <c r="Y66" s="450"/>
      <c r="Z66" s="450"/>
      <c r="AA66" s="450"/>
      <c r="AB66" s="450"/>
      <c r="AC66" s="450"/>
    </row>
    <row r="67" spans="1:46" s="451" customFormat="1" ht="9.9499999999999993" hidden="1" customHeight="1" x14ac:dyDescent="0.2">
      <c r="A67" s="425" t="s">
        <v>666</v>
      </c>
      <c r="B67" s="450"/>
      <c r="C67" s="450"/>
      <c r="D67" s="450"/>
      <c r="E67" s="450"/>
      <c r="F67" s="450"/>
      <c r="G67" s="450">
        <f>+SORECGFws!AA56</f>
        <v>0</v>
      </c>
      <c r="H67" s="450"/>
      <c r="I67" s="450">
        <f>SORECGFws!AB56</f>
        <v>0</v>
      </c>
      <c r="J67" s="450"/>
      <c r="K67" s="450">
        <f>SORECGFws!AC56</f>
        <v>0</v>
      </c>
      <c r="L67" s="450"/>
      <c r="M67" s="450">
        <f>SORECGFws!AD56</f>
        <v>0</v>
      </c>
      <c r="N67" s="450"/>
      <c r="O67" s="450">
        <f>SORECGFws!AF56</f>
        <v>0</v>
      </c>
      <c r="P67" s="450"/>
      <c r="Q67" s="450">
        <f t="shared" si="10"/>
        <v>0</v>
      </c>
      <c r="R67" s="450">
        <f t="shared" si="2"/>
        <v>0</v>
      </c>
      <c r="S67" s="450"/>
      <c r="T67" s="450"/>
      <c r="U67" s="450"/>
      <c r="V67" s="450"/>
      <c r="W67" s="450"/>
      <c r="X67" s="450"/>
      <c r="Y67" s="450"/>
      <c r="Z67" s="450"/>
      <c r="AA67" s="450"/>
      <c r="AB67" s="450"/>
      <c r="AC67" s="450"/>
    </row>
    <row r="68" spans="1:46" s="451" customFormat="1" ht="9.9499999999999993" hidden="1" customHeight="1" x14ac:dyDescent="0.2">
      <c r="A68" s="425" t="s">
        <v>1581</v>
      </c>
      <c r="B68" s="450"/>
      <c r="C68" s="450"/>
      <c r="D68" s="450"/>
      <c r="E68" s="450"/>
      <c r="F68" s="450"/>
      <c r="G68" s="450">
        <f>+SORECGFws!AA57</f>
        <v>0</v>
      </c>
      <c r="H68" s="450"/>
      <c r="I68" s="450">
        <f>SORECGFws!AB57</f>
        <v>0</v>
      </c>
      <c r="J68" s="450"/>
      <c r="K68" s="450">
        <f>SORECGFws!AC57</f>
        <v>0</v>
      </c>
      <c r="L68" s="450"/>
      <c r="M68" s="450">
        <f>SORECGFws!AD57</f>
        <v>0</v>
      </c>
      <c r="N68" s="450"/>
      <c r="O68" s="450">
        <f>SORECGFws!AF57</f>
        <v>0</v>
      </c>
      <c r="P68" s="450"/>
      <c r="Q68" s="450">
        <f t="shared" ref="Q68" si="11">SUM(B68:O68)</f>
        <v>0</v>
      </c>
      <c r="R68" s="450"/>
      <c r="S68" s="450"/>
      <c r="T68" s="450"/>
      <c r="U68" s="450"/>
      <c r="V68" s="450"/>
      <c r="W68" s="450"/>
      <c r="X68" s="450"/>
      <c r="Y68" s="450"/>
      <c r="Z68" s="450"/>
      <c r="AA68" s="450"/>
      <c r="AB68" s="450"/>
      <c r="AC68" s="450"/>
    </row>
    <row r="69" spans="1:46" s="451" customFormat="1" ht="9.9499999999999993" hidden="1" customHeight="1" x14ac:dyDescent="0.2">
      <c r="A69" s="425" t="s">
        <v>1642</v>
      </c>
      <c r="B69" s="450"/>
      <c r="C69" s="450"/>
      <c r="D69" s="450"/>
      <c r="E69" s="450"/>
      <c r="F69" s="450"/>
      <c r="G69" s="450"/>
      <c r="H69" s="450"/>
      <c r="I69" s="450">
        <f>SORECGFws!AB58</f>
        <v>0</v>
      </c>
      <c r="J69" s="450"/>
      <c r="K69" s="450">
        <f>SORECGFws!AC58</f>
        <v>0</v>
      </c>
      <c r="L69" s="450"/>
      <c r="M69" s="450">
        <f>SORECGFws!AD58</f>
        <v>0</v>
      </c>
      <c r="N69" s="450"/>
      <c r="O69" s="450">
        <f>SORECGFws!AF58</f>
        <v>0</v>
      </c>
      <c r="P69" s="450"/>
      <c r="Q69" s="450">
        <f t="shared" ref="Q69" si="12">SUM(B69:O69)</f>
        <v>0</v>
      </c>
      <c r="R69" s="450"/>
      <c r="S69" s="450"/>
      <c r="T69" s="450"/>
      <c r="U69" s="450"/>
      <c r="V69" s="450"/>
      <c r="W69" s="450"/>
      <c r="X69" s="450"/>
      <c r="Y69" s="450"/>
      <c r="Z69" s="450"/>
      <c r="AA69" s="450"/>
      <c r="AB69" s="450"/>
      <c r="AC69" s="450"/>
    </row>
    <row r="70" spans="1:46" s="451" customFormat="1" ht="9.9499999999999993" hidden="1" customHeight="1" x14ac:dyDescent="0.2">
      <c r="A70" s="425" t="s">
        <v>668</v>
      </c>
      <c r="B70" s="450"/>
      <c r="C70" s="450"/>
      <c r="D70" s="450"/>
      <c r="E70" s="450"/>
      <c r="F70" s="450"/>
      <c r="G70" s="450">
        <f>+SORECGFws!AA59</f>
        <v>0</v>
      </c>
      <c r="H70" s="450"/>
      <c r="I70" s="450">
        <f>SORECGFws!AB59</f>
        <v>0</v>
      </c>
      <c r="J70" s="450"/>
      <c r="K70" s="450">
        <f>SORECGFws!AC59</f>
        <v>0</v>
      </c>
      <c r="L70" s="450"/>
      <c r="M70" s="450">
        <f>SORECGFws!AD59</f>
        <v>0</v>
      </c>
      <c r="N70" s="450"/>
      <c r="O70" s="450">
        <f>SORECGFws!AF59</f>
        <v>0</v>
      </c>
      <c r="P70" s="450"/>
      <c r="Q70" s="450">
        <f t="shared" si="10"/>
        <v>0</v>
      </c>
      <c r="R70" s="450">
        <f t="shared" si="2"/>
        <v>0</v>
      </c>
      <c r="S70" s="450"/>
      <c r="T70" s="450"/>
      <c r="U70" s="450"/>
      <c r="V70" s="450"/>
      <c r="W70" s="450"/>
      <c r="X70" s="450"/>
      <c r="Y70" s="450"/>
      <c r="Z70" s="450"/>
      <c r="AA70" s="450"/>
      <c r="AB70" s="450"/>
      <c r="AC70" s="450"/>
    </row>
    <row r="71" spans="1:46" s="451" customFormat="1" ht="9.9499999999999993" hidden="1" customHeight="1" x14ac:dyDescent="0.2">
      <c r="A71" s="425" t="s">
        <v>1134</v>
      </c>
      <c r="B71" s="450"/>
      <c r="C71" s="450"/>
      <c r="D71" s="450"/>
      <c r="E71" s="450"/>
      <c r="F71" s="450"/>
      <c r="G71" s="450">
        <f>+SORECGFws!AA60</f>
        <v>0</v>
      </c>
      <c r="H71" s="450"/>
      <c r="I71" s="450">
        <f>SORECGFws!AB60</f>
        <v>0</v>
      </c>
      <c r="J71" s="450"/>
      <c r="K71" s="450">
        <f>SORECGFws!AC60</f>
        <v>0</v>
      </c>
      <c r="L71" s="450"/>
      <c r="M71" s="450">
        <f>SORECGFws!AD60</f>
        <v>0</v>
      </c>
      <c r="N71" s="450"/>
      <c r="O71" s="450">
        <f>SORECGFws!AF60</f>
        <v>0</v>
      </c>
      <c r="P71" s="450"/>
      <c r="Q71" s="450">
        <f t="shared" si="10"/>
        <v>0</v>
      </c>
      <c r="R71" s="450">
        <f t="shared" si="2"/>
        <v>0</v>
      </c>
      <c r="S71" s="450"/>
      <c r="T71" s="450"/>
      <c r="U71" s="450"/>
      <c r="V71" s="450"/>
      <c r="W71" s="450"/>
      <c r="X71" s="450"/>
      <c r="Y71" s="450"/>
      <c r="Z71" s="450"/>
      <c r="AA71" s="450"/>
      <c r="AB71" s="450"/>
      <c r="AC71" s="450"/>
    </row>
    <row r="72" spans="1:46" s="451" customFormat="1" ht="9.9499999999999993" customHeight="1" x14ac:dyDescent="0.2">
      <c r="A72" s="425" t="s">
        <v>21</v>
      </c>
      <c r="B72" s="450"/>
      <c r="C72" s="450"/>
      <c r="D72" s="450"/>
      <c r="E72" s="450"/>
      <c r="F72" s="450"/>
      <c r="G72" s="450">
        <f>+SORECGFws!AA61</f>
        <v>0</v>
      </c>
      <c r="H72" s="450"/>
      <c r="I72" s="450">
        <f>SORECGFws!AB61</f>
        <v>0</v>
      </c>
      <c r="J72" s="450"/>
      <c r="K72" s="450">
        <f>SORECGFws!AC61</f>
        <v>0</v>
      </c>
      <c r="L72" s="450"/>
      <c r="M72" s="450">
        <f>SORECGFws!AD61</f>
        <v>0</v>
      </c>
      <c r="N72" s="450"/>
      <c r="O72" s="450">
        <f>SORECGFws!AF61</f>
        <v>239948</v>
      </c>
      <c r="P72" s="450"/>
      <c r="Q72" s="450">
        <f t="shared" si="10"/>
        <v>239948</v>
      </c>
      <c r="R72" s="450">
        <f t="shared" si="2"/>
        <v>-239948</v>
      </c>
      <c r="S72" s="450"/>
      <c r="T72" s="450"/>
      <c r="U72" s="450"/>
      <c r="V72" s="450"/>
      <c r="W72" s="450"/>
      <c r="X72" s="450"/>
      <c r="Y72" s="450"/>
      <c r="Z72" s="450"/>
      <c r="AA72" s="450"/>
      <c r="AB72" s="450"/>
      <c r="AC72" s="450"/>
    </row>
    <row r="73" spans="1:46" s="451" customFormat="1" ht="9.9499999999999993" customHeight="1" x14ac:dyDescent="0.2">
      <c r="A73" s="425" t="s">
        <v>22</v>
      </c>
      <c r="B73" s="450"/>
      <c r="C73" s="450"/>
      <c r="D73" s="450"/>
      <c r="E73" s="450"/>
      <c r="F73" s="450"/>
      <c r="G73" s="450">
        <f>+SORECGFws!AA62</f>
        <v>0</v>
      </c>
      <c r="H73" s="450"/>
      <c r="I73" s="450">
        <f>SORECGFws!AB62</f>
        <v>-2388</v>
      </c>
      <c r="J73" s="450"/>
      <c r="K73" s="450">
        <f>SORECGFws!AC62</f>
        <v>-4348</v>
      </c>
      <c r="L73" s="450"/>
      <c r="M73" s="450">
        <f>SORECGFws!AD62</f>
        <v>-55818</v>
      </c>
      <c r="N73" s="450"/>
      <c r="O73" s="450">
        <f>SORECGFws!AF62</f>
        <v>-505</v>
      </c>
      <c r="P73" s="450"/>
      <c r="Q73" s="450">
        <f t="shared" si="10"/>
        <v>-63059</v>
      </c>
      <c r="R73" s="450">
        <f t="shared" si="2"/>
        <v>4853</v>
      </c>
      <c r="S73" s="450"/>
      <c r="T73" s="450"/>
      <c r="U73" s="450"/>
      <c r="V73" s="450"/>
      <c r="W73" s="450"/>
      <c r="X73" s="450"/>
      <c r="Y73" s="450"/>
      <c r="Z73" s="450"/>
      <c r="AA73" s="450"/>
      <c r="AB73" s="450"/>
      <c r="AC73" s="450"/>
    </row>
    <row r="74" spans="1:46" s="451" customFormat="1" ht="5.0999999999999996" customHeight="1" x14ac:dyDescent="0.2">
      <c r="B74" s="450"/>
      <c r="C74" s="452"/>
      <c r="D74" s="450"/>
      <c r="E74" s="452"/>
      <c r="F74" s="450"/>
      <c r="G74" s="452"/>
      <c r="H74" s="450"/>
      <c r="I74" s="452"/>
      <c r="J74" s="450"/>
      <c r="K74" s="452"/>
      <c r="L74" s="450"/>
      <c r="M74" s="452"/>
      <c r="N74" s="450"/>
      <c r="O74" s="452"/>
      <c r="P74" s="450"/>
      <c r="Q74" s="452"/>
      <c r="R74" s="450">
        <f t="shared" si="2"/>
        <v>0</v>
      </c>
      <c r="S74" s="450"/>
      <c r="T74" s="450"/>
      <c r="U74" s="450"/>
      <c r="V74" s="450"/>
      <c r="W74" s="450"/>
      <c r="X74" s="450"/>
      <c r="Y74" s="450"/>
      <c r="Z74" s="450"/>
      <c r="AA74" s="450"/>
      <c r="AB74" s="450"/>
      <c r="AC74" s="450"/>
    </row>
    <row r="75" spans="1:46" s="451" customFormat="1" ht="11.1" customHeight="1" x14ac:dyDescent="0.2">
      <c r="A75" s="417" t="s">
        <v>1334</v>
      </c>
      <c r="B75" s="450"/>
      <c r="C75" s="455"/>
      <c r="D75" s="450"/>
      <c r="E75" s="455"/>
      <c r="F75" s="450"/>
      <c r="G75" s="455">
        <f>SUM(G64:G73)</f>
        <v>0</v>
      </c>
      <c r="H75" s="450"/>
      <c r="I75" s="455">
        <f>SUM(I64:I73)</f>
        <v>-2388</v>
      </c>
      <c r="J75" s="450"/>
      <c r="K75" s="455">
        <f>SUM(K64:K73)</f>
        <v>-4348</v>
      </c>
      <c r="L75" s="450"/>
      <c r="M75" s="455">
        <f>SUM(M64:M73)</f>
        <v>-55818</v>
      </c>
      <c r="N75" s="450"/>
      <c r="O75" s="455">
        <f>SUM(O64:O73)</f>
        <v>239443</v>
      </c>
      <c r="P75" s="450"/>
      <c r="Q75" s="455">
        <f>SUM(Q64:Q73)</f>
        <v>176889</v>
      </c>
      <c r="R75" s="450">
        <f t="shared" si="2"/>
        <v>-235095</v>
      </c>
      <c r="S75" s="450"/>
      <c r="T75" s="450"/>
      <c r="U75" s="450"/>
      <c r="V75" s="450"/>
      <c r="W75" s="450"/>
      <c r="X75" s="450"/>
      <c r="Y75" s="450"/>
      <c r="Z75" s="450"/>
      <c r="AA75" s="450"/>
      <c r="AB75" s="450"/>
      <c r="AC75" s="450"/>
    </row>
    <row r="76" spans="1:46" s="451" customFormat="1" ht="5.0999999999999996" customHeight="1" x14ac:dyDescent="0.2">
      <c r="B76" s="450"/>
      <c r="C76" s="452"/>
      <c r="D76" s="450"/>
      <c r="E76" s="452"/>
      <c r="F76" s="450"/>
      <c r="G76" s="452"/>
      <c r="H76" s="450"/>
      <c r="I76" s="452"/>
      <c r="J76" s="450"/>
      <c r="K76" s="452"/>
      <c r="L76" s="450"/>
      <c r="M76" s="452"/>
      <c r="N76" s="450"/>
      <c r="O76" s="452"/>
      <c r="P76" s="450"/>
      <c r="Q76" s="452"/>
      <c r="R76" s="450">
        <f t="shared" si="2"/>
        <v>0</v>
      </c>
      <c r="S76" s="450"/>
      <c r="T76" s="450"/>
      <c r="U76" s="450"/>
      <c r="V76" s="450"/>
      <c r="W76" s="450"/>
      <c r="X76" s="450"/>
      <c r="Y76" s="450"/>
      <c r="Z76" s="450"/>
      <c r="AA76" s="450"/>
      <c r="AB76" s="450"/>
      <c r="AC76" s="450"/>
    </row>
    <row r="77" spans="1:46" s="439" customFormat="1" ht="9.9499999999999993" customHeight="1" x14ac:dyDescent="0.2">
      <c r="A77" s="417" t="s">
        <v>989</v>
      </c>
      <c r="B77" s="450"/>
      <c r="C77" s="450"/>
      <c r="D77" s="450"/>
      <c r="E77" s="450"/>
      <c r="F77" s="450"/>
      <c r="G77" s="450">
        <f>+G61+G75</f>
        <v>0</v>
      </c>
      <c r="H77" s="450"/>
      <c r="I77" s="450">
        <f>+I61+I75</f>
        <v>-1965</v>
      </c>
      <c r="J77" s="450"/>
      <c r="K77" s="450">
        <f>+K61+K75</f>
        <v>-3132</v>
      </c>
      <c r="L77" s="450"/>
      <c r="M77" s="450">
        <f>+M61+M75</f>
        <v>-45904</v>
      </c>
      <c r="N77" s="450"/>
      <c r="O77" s="450">
        <f>+O61+O75</f>
        <v>-3094</v>
      </c>
      <c r="P77" s="450"/>
      <c r="Q77" s="450">
        <f>+Q61+Q75</f>
        <v>-54095</v>
      </c>
      <c r="R77" s="450">
        <f t="shared" si="2"/>
        <v>6226</v>
      </c>
      <c r="S77" s="418"/>
      <c r="T77" s="418"/>
      <c r="U77" s="418"/>
      <c r="V77" s="418"/>
      <c r="W77" s="418"/>
      <c r="X77" s="418"/>
      <c r="Y77" s="418"/>
      <c r="Z77" s="418"/>
      <c r="AA77" s="418"/>
      <c r="AB77" s="418"/>
      <c r="AC77" s="418"/>
    </row>
    <row r="78" spans="1:46" s="439" customFormat="1" ht="5.0999999999999996" customHeight="1" x14ac:dyDescent="0.2">
      <c r="A78" s="418"/>
      <c r="B78" s="450"/>
      <c r="C78" s="450"/>
      <c r="D78" s="450"/>
      <c r="E78" s="450"/>
      <c r="F78" s="450"/>
      <c r="G78" s="450"/>
      <c r="H78" s="450"/>
      <c r="I78" s="450"/>
      <c r="J78" s="450"/>
      <c r="K78" s="450"/>
      <c r="L78" s="450"/>
      <c r="M78" s="450"/>
      <c r="N78" s="450"/>
      <c r="O78" s="450"/>
      <c r="P78" s="450"/>
      <c r="Q78" s="450"/>
      <c r="R78" s="450">
        <f t="shared" si="2"/>
        <v>0</v>
      </c>
      <c r="S78" s="418"/>
      <c r="T78" s="418"/>
      <c r="U78" s="418"/>
      <c r="V78" s="418"/>
      <c r="W78" s="418"/>
      <c r="X78" s="418"/>
      <c r="Y78" s="418"/>
      <c r="Z78" s="418"/>
      <c r="AA78" s="418"/>
      <c r="AB78" s="418"/>
      <c r="AC78" s="418"/>
    </row>
    <row r="79" spans="1:46" s="439" customFormat="1" ht="11.1" customHeight="1" x14ac:dyDescent="0.2">
      <c r="A79" s="418" t="s">
        <v>1495</v>
      </c>
      <c r="B79" s="450"/>
      <c r="C79" s="455"/>
      <c r="D79" s="450"/>
      <c r="E79" s="455"/>
      <c r="F79" s="450"/>
      <c r="G79" s="455"/>
      <c r="H79" s="450"/>
      <c r="I79" s="455">
        <v>7141</v>
      </c>
      <c r="J79" s="450"/>
      <c r="K79" s="455">
        <v>19828</v>
      </c>
      <c r="L79" s="450"/>
      <c r="M79" s="455">
        <v>199496</v>
      </c>
      <c r="N79" s="450"/>
      <c r="O79" s="455">
        <v>-6040</v>
      </c>
      <c r="P79" s="450"/>
      <c r="Q79" s="455">
        <f>+G79+I79+K79+M79+O79</f>
        <v>220425</v>
      </c>
      <c r="R79" s="450">
        <f t="shared" si="2"/>
        <v>-13788</v>
      </c>
      <c r="S79" s="418"/>
      <c r="T79" s="418"/>
      <c r="U79" s="418"/>
      <c r="V79" s="418"/>
      <c r="W79" s="418"/>
      <c r="X79" s="418"/>
      <c r="Y79" s="418"/>
      <c r="Z79" s="418"/>
      <c r="AA79" s="418"/>
      <c r="AB79" s="418"/>
      <c r="AC79" s="418"/>
    </row>
    <row r="80" spans="1:46" s="439" customFormat="1" ht="5.0999999999999996" customHeight="1" x14ac:dyDescent="0.2">
      <c r="A80" s="418"/>
      <c r="B80" s="450"/>
      <c r="C80" s="452"/>
      <c r="D80" s="450"/>
      <c r="E80" s="452"/>
      <c r="F80" s="450"/>
      <c r="G80" s="452"/>
      <c r="H80" s="450"/>
      <c r="I80" s="452"/>
      <c r="J80" s="450"/>
      <c r="K80" s="452"/>
      <c r="L80" s="450"/>
      <c r="M80" s="452"/>
      <c r="N80" s="450"/>
      <c r="O80" s="452"/>
      <c r="P80" s="450"/>
      <c r="Q80" s="452"/>
      <c r="R80" s="450"/>
      <c r="S80" s="452"/>
      <c r="T80" s="450"/>
      <c r="U80" s="452"/>
      <c r="V80" s="450"/>
      <c r="W80" s="452"/>
      <c r="X80" s="450"/>
      <c r="Y80" s="452"/>
      <c r="Z80" s="450"/>
      <c r="AA80" s="452"/>
      <c r="AB80" s="450"/>
      <c r="AC80" s="452"/>
      <c r="AD80" s="450"/>
      <c r="AE80" s="452"/>
      <c r="AF80" s="450"/>
      <c r="AG80" s="452"/>
      <c r="AH80" s="450"/>
      <c r="AI80" s="450"/>
      <c r="AJ80" s="418"/>
      <c r="AK80" s="418"/>
      <c r="AL80" s="418"/>
      <c r="AM80" s="418"/>
      <c r="AN80" s="418"/>
      <c r="AO80" s="418"/>
      <c r="AP80" s="418"/>
      <c r="AQ80" s="418"/>
      <c r="AR80" s="418"/>
      <c r="AS80" s="418"/>
      <c r="AT80" s="418"/>
    </row>
    <row r="81" spans="1:46" s="439" customFormat="1" ht="11.1" hidden="1" customHeight="1" x14ac:dyDescent="0.2">
      <c r="A81" s="418" t="s">
        <v>1715</v>
      </c>
      <c r="B81" s="450"/>
      <c r="C81" s="450"/>
      <c r="D81" s="450"/>
      <c r="E81" s="450"/>
      <c r="F81" s="450"/>
      <c r="G81" s="450"/>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0"/>
      <c r="AF81" s="450"/>
      <c r="AG81" s="450"/>
      <c r="AH81" s="450"/>
      <c r="AI81" s="450"/>
      <c r="AJ81" s="418"/>
      <c r="AK81" s="418"/>
      <c r="AL81" s="418"/>
      <c r="AM81" s="418"/>
      <c r="AN81" s="418"/>
      <c r="AO81" s="418"/>
      <c r="AP81" s="418"/>
      <c r="AQ81" s="418"/>
      <c r="AR81" s="418"/>
      <c r="AS81" s="418"/>
      <c r="AT81" s="418"/>
    </row>
    <row r="82" spans="1:46" s="439" customFormat="1" ht="5.0999999999999996" hidden="1" customHeight="1" x14ac:dyDescent="0.2">
      <c r="A82" s="418"/>
      <c r="B82" s="450"/>
      <c r="C82" s="450"/>
      <c r="D82" s="450"/>
      <c r="E82" s="45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0"/>
      <c r="AF82" s="450"/>
      <c r="AG82" s="450"/>
      <c r="AH82" s="450"/>
      <c r="AI82" s="450"/>
      <c r="AJ82" s="418"/>
      <c r="AK82" s="418"/>
      <c r="AL82" s="418"/>
      <c r="AM82" s="418"/>
      <c r="AN82" s="418"/>
      <c r="AO82" s="418"/>
      <c r="AP82" s="418"/>
      <c r="AQ82" s="418"/>
      <c r="AR82" s="418"/>
      <c r="AS82" s="418"/>
      <c r="AT82" s="418"/>
    </row>
    <row r="83" spans="1:46" s="439" customFormat="1" ht="11.1" hidden="1" customHeight="1" x14ac:dyDescent="0.2">
      <c r="A83" s="418" t="s">
        <v>1716</v>
      </c>
      <c r="B83" s="450"/>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450"/>
      <c r="AD83" s="450"/>
      <c r="AE83" s="450"/>
      <c r="AF83" s="450"/>
      <c r="AG83" s="450"/>
      <c r="AH83" s="450"/>
      <c r="AI83" s="450"/>
      <c r="AJ83" s="418"/>
      <c r="AK83" s="418"/>
      <c r="AL83" s="418"/>
      <c r="AM83" s="418"/>
      <c r="AN83" s="418"/>
      <c r="AO83" s="418"/>
      <c r="AP83" s="418"/>
      <c r="AQ83" s="418"/>
      <c r="AR83" s="418"/>
      <c r="AS83" s="418"/>
      <c r="AT83" s="418"/>
    </row>
    <row r="84" spans="1:46" s="439" customFormat="1" ht="5.0999999999999996" hidden="1" customHeight="1" x14ac:dyDescent="0.2">
      <c r="A84" s="418"/>
      <c r="B84" s="450"/>
      <c r="C84" s="450"/>
      <c r="D84" s="450"/>
      <c r="E84" s="450"/>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450"/>
      <c r="AD84" s="450"/>
      <c r="AE84" s="450"/>
      <c r="AF84" s="450"/>
      <c r="AG84" s="450"/>
      <c r="AH84" s="450"/>
      <c r="AI84" s="450"/>
      <c r="AJ84" s="418"/>
      <c r="AK84" s="418"/>
      <c r="AL84" s="418"/>
      <c r="AM84" s="418"/>
      <c r="AN84" s="418"/>
      <c r="AO84" s="418"/>
      <c r="AP84" s="418"/>
      <c r="AQ84" s="418"/>
      <c r="AR84" s="418"/>
      <c r="AS84" s="418"/>
      <c r="AT84" s="418"/>
    </row>
    <row r="85" spans="1:46" s="439" customFormat="1" ht="11.1" hidden="1" customHeight="1" x14ac:dyDescent="0.2">
      <c r="A85" s="418" t="s">
        <v>1717</v>
      </c>
      <c r="B85" s="450"/>
      <c r="C85" s="450"/>
      <c r="D85" s="450"/>
      <c r="E85" s="450"/>
      <c r="F85" s="450"/>
      <c r="G85" s="450"/>
      <c r="H85" s="450"/>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18"/>
      <c r="AK85" s="418"/>
      <c r="AL85" s="418"/>
      <c r="AM85" s="418"/>
      <c r="AN85" s="418"/>
      <c r="AO85" s="418"/>
      <c r="AP85" s="418"/>
      <c r="AQ85" s="418"/>
      <c r="AR85" s="418"/>
      <c r="AS85" s="418"/>
      <c r="AT85" s="418"/>
    </row>
    <row r="86" spans="1:46" s="439" customFormat="1" ht="5.0999999999999996" hidden="1" customHeight="1" x14ac:dyDescent="0.2">
      <c r="A86" s="418"/>
      <c r="B86" s="450"/>
      <c r="C86" s="450"/>
      <c r="D86" s="450"/>
      <c r="E86" s="450"/>
      <c r="F86" s="450"/>
      <c r="G86" s="450"/>
      <c r="H86" s="450"/>
      <c r="I86" s="450"/>
      <c r="J86" s="450"/>
      <c r="K86" s="450"/>
      <c r="L86" s="450"/>
      <c r="M86" s="450"/>
      <c r="N86" s="450"/>
      <c r="O86" s="450"/>
      <c r="P86" s="450"/>
      <c r="Q86" s="450"/>
      <c r="R86" s="450"/>
      <c r="S86" s="450"/>
      <c r="T86" s="450"/>
      <c r="U86" s="450"/>
      <c r="V86" s="450"/>
      <c r="W86" s="450"/>
      <c r="X86" s="450"/>
      <c r="Y86" s="450"/>
      <c r="Z86" s="450"/>
      <c r="AA86" s="450"/>
      <c r="AB86" s="450"/>
      <c r="AC86" s="450"/>
      <c r="AD86" s="450"/>
      <c r="AE86" s="450"/>
      <c r="AF86" s="450"/>
      <c r="AG86" s="450"/>
      <c r="AH86" s="450"/>
      <c r="AI86" s="450"/>
      <c r="AJ86" s="418"/>
      <c r="AK86" s="418"/>
      <c r="AL86" s="418"/>
      <c r="AM86" s="418"/>
      <c r="AN86" s="418"/>
      <c r="AO86" s="418"/>
      <c r="AP86" s="418"/>
      <c r="AQ86" s="418"/>
      <c r="AR86" s="418"/>
      <c r="AS86" s="418"/>
      <c r="AT86" s="418"/>
    </row>
    <row r="87" spans="1:46" s="439" customFormat="1" ht="11.1" hidden="1" customHeight="1" x14ac:dyDescent="0.2">
      <c r="A87" s="425" t="s">
        <v>1720</v>
      </c>
      <c r="B87" s="450"/>
      <c r="C87" s="273">
        <v>332698</v>
      </c>
      <c r="D87" s="450"/>
      <c r="E87" s="273">
        <v>143906</v>
      </c>
      <c r="F87" s="450"/>
      <c r="G87" s="273">
        <v>35652</v>
      </c>
      <c r="H87" s="450"/>
      <c r="I87" s="273">
        <f>SUM(I79:I86)</f>
        <v>7141</v>
      </c>
      <c r="J87" s="450"/>
      <c r="K87" s="273">
        <f>SUM(K79:K86)</f>
        <v>19828</v>
      </c>
      <c r="L87" s="450"/>
      <c r="M87" s="273">
        <f>SUM(M79:M86)</f>
        <v>199496</v>
      </c>
      <c r="N87" s="450"/>
      <c r="O87" s="273">
        <f>SUM(O79:O86)</f>
        <v>-6040</v>
      </c>
      <c r="P87" s="450"/>
      <c r="Q87" s="273">
        <f>SUM(Q79:Q86)</f>
        <v>220425</v>
      </c>
      <c r="R87" s="450"/>
      <c r="S87" s="273">
        <v>1650</v>
      </c>
      <c r="T87" s="450"/>
      <c r="U87" s="450"/>
      <c r="V87" s="450"/>
      <c r="W87" s="273">
        <v>30024</v>
      </c>
      <c r="X87" s="450"/>
      <c r="Y87" s="273">
        <v>3433</v>
      </c>
      <c r="Z87" s="450"/>
      <c r="AA87" s="273">
        <v>5122</v>
      </c>
      <c r="AB87" s="450"/>
      <c r="AC87" s="273">
        <v>8948</v>
      </c>
      <c r="AD87" s="450"/>
      <c r="AE87" s="273">
        <v>0</v>
      </c>
      <c r="AF87" s="450"/>
      <c r="AG87" s="273">
        <v>149786</v>
      </c>
      <c r="AH87" s="450"/>
      <c r="AI87" s="273">
        <v>0</v>
      </c>
      <c r="AJ87" s="418"/>
      <c r="AK87" s="418"/>
      <c r="AL87" s="418"/>
      <c r="AM87" s="418"/>
      <c r="AN87" s="418"/>
      <c r="AO87" s="418"/>
      <c r="AP87" s="418"/>
      <c r="AQ87" s="418"/>
      <c r="AR87" s="418"/>
      <c r="AS87" s="418"/>
      <c r="AT87" s="418"/>
    </row>
    <row r="88" spans="1:46" s="451" customFormat="1" ht="5.0999999999999996" hidden="1" customHeight="1" x14ac:dyDescent="0.2">
      <c r="A88" s="450"/>
      <c r="B88" s="450"/>
      <c r="C88" s="452"/>
      <c r="D88" s="450"/>
      <c r="E88" s="452"/>
      <c r="F88" s="450"/>
      <c r="G88" s="452"/>
      <c r="H88" s="450"/>
      <c r="I88" s="366"/>
      <c r="J88" s="450"/>
      <c r="K88" s="366"/>
      <c r="L88" s="450"/>
      <c r="M88" s="366"/>
      <c r="N88" s="450"/>
      <c r="O88" s="366"/>
      <c r="P88" s="450"/>
      <c r="Q88" s="366"/>
      <c r="R88" s="450">
        <f t="shared" si="2"/>
        <v>0</v>
      </c>
      <c r="S88" s="450"/>
      <c r="T88" s="450"/>
      <c r="U88" s="450"/>
      <c r="V88" s="450"/>
      <c r="W88" s="450"/>
      <c r="X88" s="450"/>
      <c r="Y88" s="450"/>
      <c r="Z88" s="450"/>
      <c r="AA88" s="450"/>
      <c r="AB88" s="450"/>
      <c r="AC88" s="450"/>
    </row>
    <row r="89" spans="1:46" s="439" customFormat="1" ht="11.1" customHeight="1" thickBot="1" x14ac:dyDescent="0.25">
      <c r="A89" s="417" t="s">
        <v>1494</v>
      </c>
      <c r="B89" s="447"/>
      <c r="C89" s="453">
        <f>SUM(C77+C79)</f>
        <v>0</v>
      </c>
      <c r="D89" s="447"/>
      <c r="E89" s="453">
        <f>SUM(E77+E79)</f>
        <v>0</v>
      </c>
      <c r="F89" s="447"/>
      <c r="G89" s="453">
        <f>SUM(G77+G79)</f>
        <v>0</v>
      </c>
      <c r="H89" s="447"/>
      <c r="I89" s="344">
        <f>+I87+I77</f>
        <v>5176</v>
      </c>
      <c r="J89" s="447"/>
      <c r="K89" s="344">
        <f>+K87+K77</f>
        <v>16696</v>
      </c>
      <c r="L89" s="447"/>
      <c r="M89" s="344">
        <f>+M87+M77</f>
        <v>153592</v>
      </c>
      <c r="N89" s="447"/>
      <c r="O89" s="344">
        <f>+O87+O77</f>
        <v>-9134</v>
      </c>
      <c r="P89" s="447"/>
      <c r="Q89" s="344">
        <f>+Q87+Q77</f>
        <v>166330</v>
      </c>
      <c r="R89" s="450">
        <f t="shared" si="2"/>
        <v>-7562</v>
      </c>
      <c r="S89" s="418"/>
      <c r="T89" s="418"/>
      <c r="U89" s="418"/>
      <c r="V89" s="418"/>
      <c r="W89" s="418"/>
      <c r="X89" s="418"/>
      <c r="Y89" s="418"/>
      <c r="Z89" s="418"/>
      <c r="AA89" s="418"/>
      <c r="AB89" s="418"/>
      <c r="AC89" s="418"/>
    </row>
    <row r="90" spans="1:46" s="439" customFormat="1" ht="5.0999999999999996" customHeight="1" thickTop="1" x14ac:dyDescent="0.2">
      <c r="A90" s="418"/>
      <c r="B90" s="438"/>
      <c r="C90" s="438"/>
      <c r="D90" s="438"/>
      <c r="E90" s="438"/>
      <c r="F90" s="438"/>
      <c r="G90" s="438"/>
      <c r="H90" s="438"/>
      <c r="I90" s="438"/>
      <c r="J90" s="438"/>
      <c r="K90" s="438"/>
      <c r="L90" s="438"/>
      <c r="M90" s="438"/>
      <c r="N90" s="438"/>
      <c r="O90" s="438"/>
      <c r="P90" s="438"/>
      <c r="Q90" s="438"/>
      <c r="R90" s="418"/>
      <c r="S90" s="418"/>
      <c r="T90" s="418"/>
      <c r="U90" s="418"/>
      <c r="V90" s="418"/>
      <c r="W90" s="418"/>
      <c r="X90" s="418"/>
      <c r="Y90" s="418"/>
      <c r="Z90" s="418"/>
      <c r="AA90" s="418"/>
      <c r="AB90" s="418"/>
      <c r="AC90" s="418"/>
    </row>
    <row r="91" spans="1:46" s="439" customFormat="1" ht="9.9499999999999993" customHeight="1" x14ac:dyDescent="0.2">
      <c r="A91" s="417"/>
      <c r="B91" s="438"/>
      <c r="C91" s="438"/>
      <c r="D91" s="438"/>
      <c r="E91" s="438"/>
      <c r="F91" s="438"/>
      <c r="G91" s="438"/>
      <c r="H91" s="438"/>
      <c r="I91" s="438"/>
      <c r="J91" s="438"/>
      <c r="K91" s="438"/>
      <c r="L91" s="438"/>
      <c r="M91" s="438"/>
      <c r="N91" s="438"/>
      <c r="O91" s="438"/>
      <c r="P91" s="438"/>
      <c r="Q91" s="438"/>
      <c r="R91" s="418"/>
      <c r="S91" s="418"/>
      <c r="T91" s="418"/>
      <c r="U91" s="418"/>
      <c r="V91" s="418"/>
      <c r="W91" s="418"/>
      <c r="X91" s="418"/>
      <c r="Y91" s="418"/>
      <c r="Z91" s="418"/>
      <c r="AA91" s="418"/>
      <c r="AB91" s="418"/>
      <c r="AC91" s="418"/>
    </row>
    <row r="92" spans="1:46" s="439" customFormat="1" ht="9.9499999999999993" customHeight="1" x14ac:dyDescent="0.2">
      <c r="A92" s="1014" t="s">
        <v>992</v>
      </c>
      <c r="B92" s="518"/>
      <c r="C92" s="518">
        <f>+C89-'GO BS'!C68</f>
        <v>0</v>
      </c>
      <c r="D92" s="518"/>
      <c r="E92" s="518">
        <f>+E89-'GO BS'!E68</f>
        <v>0</v>
      </c>
      <c r="F92" s="518"/>
      <c r="G92" s="518">
        <f>+G89-'GO BS'!G68</f>
        <v>0</v>
      </c>
      <c r="H92" s="518"/>
      <c r="I92" s="518">
        <f>+I89-'GO BS'!I68</f>
        <v>0</v>
      </c>
      <c r="J92" s="518"/>
      <c r="K92" s="518">
        <f>+K89-'GO BS'!K68</f>
        <v>0</v>
      </c>
      <c r="L92" s="518"/>
      <c r="M92" s="518">
        <f>+M89-'GO BS'!M68</f>
        <v>0</v>
      </c>
      <c r="N92" s="518"/>
      <c r="O92" s="518">
        <f>+O89-'GO BS'!O68</f>
        <v>0</v>
      </c>
      <c r="P92" s="518"/>
      <c r="Q92" s="518">
        <f>+Q89-'GO BS'!Q68</f>
        <v>0</v>
      </c>
      <c r="R92" s="418"/>
      <c r="S92" s="418"/>
      <c r="T92" s="418"/>
      <c r="U92" s="418"/>
      <c r="V92" s="418"/>
      <c r="W92" s="418"/>
      <c r="X92" s="418"/>
      <c r="Y92" s="418"/>
      <c r="Z92" s="418"/>
      <c r="AA92" s="418"/>
      <c r="AB92" s="418"/>
      <c r="AC92" s="418"/>
    </row>
    <row r="93" spans="1:46" s="439" customFormat="1" ht="12" x14ac:dyDescent="0.2">
      <c r="A93" s="417"/>
      <c r="B93" s="438"/>
      <c r="C93" s="438"/>
      <c r="D93" s="438"/>
      <c r="E93" s="438"/>
      <c r="F93" s="438"/>
      <c r="G93" s="438"/>
      <c r="H93" s="438"/>
      <c r="I93" s="438"/>
      <c r="J93" s="438"/>
      <c r="K93" s="438"/>
      <c r="L93" s="438"/>
      <c r="M93" s="438"/>
      <c r="N93" s="438"/>
      <c r="O93" s="438"/>
      <c r="P93" s="438"/>
      <c r="Q93" s="438"/>
      <c r="R93" s="418"/>
      <c r="S93" s="418"/>
      <c r="T93" s="418"/>
      <c r="U93" s="418"/>
      <c r="V93" s="418"/>
      <c r="W93" s="418"/>
      <c r="X93" s="418"/>
      <c r="Y93" s="418"/>
      <c r="Z93" s="418"/>
      <c r="AA93" s="418"/>
      <c r="AB93" s="418"/>
      <c r="AC93" s="418"/>
    </row>
    <row r="94" spans="1:46" s="439" customFormat="1" ht="12" x14ac:dyDescent="0.2">
      <c r="A94" s="418"/>
      <c r="B94" s="438"/>
      <c r="C94" s="438"/>
      <c r="D94" s="438"/>
      <c r="E94" s="438"/>
      <c r="F94" s="438"/>
      <c r="G94" s="438"/>
      <c r="H94" s="438"/>
      <c r="I94" s="438"/>
      <c r="J94" s="438"/>
      <c r="K94" s="438"/>
      <c r="L94" s="438"/>
      <c r="M94" s="438"/>
      <c r="N94" s="438"/>
      <c r="O94" s="438"/>
      <c r="P94" s="438"/>
      <c r="Q94" s="438"/>
      <c r="R94" s="418"/>
      <c r="S94" s="418"/>
      <c r="T94" s="418"/>
      <c r="U94" s="418"/>
      <c r="V94" s="418"/>
      <c r="W94" s="418"/>
      <c r="X94" s="418"/>
      <c r="Y94" s="418"/>
      <c r="Z94" s="418"/>
      <c r="AA94" s="418"/>
      <c r="AB94" s="418"/>
      <c r="AC94" s="418"/>
    </row>
    <row r="95" spans="1:46" s="439" customFormat="1" ht="12" x14ac:dyDescent="0.2">
      <c r="A95" s="418"/>
      <c r="B95" s="438"/>
      <c r="C95" s="438"/>
      <c r="D95" s="438"/>
      <c r="E95" s="438"/>
      <c r="F95" s="438"/>
      <c r="G95" s="438"/>
      <c r="H95" s="438"/>
      <c r="I95" s="438"/>
      <c r="J95" s="438"/>
      <c r="K95" s="438"/>
      <c r="L95" s="438"/>
      <c r="M95" s="438"/>
      <c r="N95" s="438"/>
      <c r="O95" s="438"/>
      <c r="P95" s="438"/>
      <c r="Q95" s="438"/>
      <c r="R95" s="418"/>
      <c r="S95" s="418"/>
      <c r="T95" s="418"/>
      <c r="U95" s="418"/>
      <c r="V95" s="418"/>
      <c r="W95" s="418"/>
      <c r="X95" s="418"/>
      <c r="Y95" s="418"/>
      <c r="Z95" s="418"/>
      <c r="AA95" s="418"/>
      <c r="AB95" s="418"/>
      <c r="AC95" s="418"/>
    </row>
    <row r="96" spans="1:46" s="439" customFormat="1" ht="12" x14ac:dyDescent="0.2">
      <c r="A96" s="418"/>
      <c r="B96" s="438"/>
      <c r="C96" s="438"/>
      <c r="D96" s="438"/>
      <c r="E96" s="438"/>
      <c r="F96" s="438"/>
      <c r="G96" s="438"/>
      <c r="H96" s="438"/>
      <c r="I96" s="438"/>
      <c r="J96" s="438"/>
      <c r="K96" s="438"/>
      <c r="L96" s="438"/>
      <c r="M96" s="438"/>
      <c r="N96" s="438"/>
      <c r="O96" s="438"/>
      <c r="P96" s="438"/>
      <c r="Q96" s="438"/>
      <c r="R96" s="418"/>
      <c r="S96" s="418"/>
      <c r="T96" s="418"/>
      <c r="U96" s="418"/>
      <c r="V96" s="418"/>
      <c r="W96" s="418"/>
      <c r="X96" s="418"/>
      <c r="Y96" s="418"/>
      <c r="Z96" s="418"/>
      <c r="AA96" s="418"/>
      <c r="AB96" s="418"/>
      <c r="AC96" s="418"/>
    </row>
    <row r="97" spans="1:29" s="439" customFormat="1" ht="12" x14ac:dyDescent="0.2">
      <c r="A97" s="417"/>
      <c r="B97" s="438"/>
      <c r="C97" s="438"/>
      <c r="D97" s="438"/>
      <c r="E97" s="438"/>
      <c r="F97" s="438"/>
      <c r="G97" s="438"/>
      <c r="H97" s="438"/>
      <c r="I97" s="438"/>
      <c r="J97" s="438"/>
      <c r="K97" s="438"/>
      <c r="L97" s="438"/>
      <c r="M97" s="438"/>
      <c r="N97" s="438"/>
      <c r="O97" s="438"/>
      <c r="P97" s="438"/>
      <c r="Q97" s="438"/>
      <c r="R97" s="418"/>
      <c r="S97" s="418"/>
      <c r="T97" s="418"/>
      <c r="U97" s="418"/>
      <c r="V97" s="418"/>
      <c r="W97" s="418"/>
      <c r="X97" s="418"/>
      <c r="Y97" s="418"/>
      <c r="Z97" s="418"/>
      <c r="AA97" s="418"/>
      <c r="AB97" s="418"/>
      <c r="AC97" s="418"/>
    </row>
    <row r="98" spans="1:29" s="439" customFormat="1" ht="12" x14ac:dyDescent="0.2">
      <c r="A98" s="418"/>
      <c r="B98" s="438"/>
      <c r="C98" s="438"/>
      <c r="D98" s="438"/>
      <c r="E98" s="438"/>
      <c r="F98" s="438"/>
      <c r="G98" s="438"/>
      <c r="H98" s="438"/>
      <c r="I98" s="438"/>
      <c r="J98" s="438"/>
      <c r="K98" s="438"/>
      <c r="L98" s="438"/>
      <c r="M98" s="438"/>
      <c r="N98" s="438"/>
      <c r="O98" s="438"/>
      <c r="P98" s="438"/>
      <c r="Q98" s="438"/>
      <c r="R98" s="418"/>
      <c r="S98" s="418"/>
      <c r="T98" s="418"/>
      <c r="U98" s="418"/>
      <c r="V98" s="418"/>
      <c r="W98" s="418"/>
      <c r="X98" s="418"/>
      <c r="Y98" s="418"/>
      <c r="Z98" s="418"/>
      <c r="AA98" s="418"/>
      <c r="AB98" s="418"/>
      <c r="AC98" s="418"/>
    </row>
    <row r="99" spans="1:29" s="439" customFormat="1" ht="12" x14ac:dyDescent="0.2">
      <c r="A99" s="418"/>
      <c r="B99" s="438"/>
      <c r="C99" s="438"/>
      <c r="D99" s="438"/>
      <c r="E99" s="438"/>
      <c r="F99" s="438"/>
      <c r="G99" s="438"/>
      <c r="H99" s="438"/>
      <c r="I99" s="438"/>
      <c r="J99" s="438"/>
      <c r="K99" s="438"/>
      <c r="L99" s="438"/>
      <c r="M99" s="438"/>
      <c r="N99" s="438"/>
      <c r="O99" s="438"/>
      <c r="P99" s="438"/>
      <c r="Q99" s="438"/>
      <c r="R99" s="418"/>
      <c r="S99" s="418"/>
      <c r="T99" s="418"/>
      <c r="U99" s="418"/>
      <c r="V99" s="418"/>
      <c r="W99" s="418"/>
      <c r="X99" s="418"/>
      <c r="Y99" s="418"/>
      <c r="Z99" s="418"/>
      <c r="AA99" s="418"/>
      <c r="AB99" s="418"/>
      <c r="AC99" s="418"/>
    </row>
    <row r="100" spans="1:29" s="439" customFormat="1" ht="12" x14ac:dyDescent="0.2">
      <c r="A100" s="418"/>
      <c r="B100" s="438"/>
      <c r="C100" s="438"/>
      <c r="D100" s="438"/>
      <c r="E100" s="438"/>
      <c r="F100" s="438"/>
      <c r="G100" s="438"/>
      <c r="H100" s="438"/>
      <c r="I100" s="438"/>
      <c r="J100" s="438"/>
      <c r="K100" s="438"/>
      <c r="L100" s="438"/>
      <c r="M100" s="438"/>
      <c r="N100" s="438"/>
      <c r="O100" s="438"/>
      <c r="P100" s="438"/>
      <c r="Q100" s="438"/>
      <c r="R100" s="418"/>
      <c r="S100" s="418"/>
      <c r="T100" s="418"/>
      <c r="U100" s="418"/>
      <c r="V100" s="418"/>
      <c r="W100" s="418"/>
      <c r="X100" s="418"/>
      <c r="Y100" s="418"/>
      <c r="Z100" s="418"/>
      <c r="AA100" s="418"/>
      <c r="AB100" s="418"/>
      <c r="AC100" s="418"/>
    </row>
    <row r="101" spans="1:29" s="439" customFormat="1" ht="12" x14ac:dyDescent="0.2">
      <c r="A101" s="418"/>
      <c r="B101" s="438"/>
      <c r="C101" s="438"/>
      <c r="D101" s="438"/>
      <c r="E101" s="438"/>
      <c r="F101" s="438"/>
      <c r="G101" s="438"/>
      <c r="H101" s="438"/>
      <c r="I101" s="438"/>
      <c r="J101" s="438"/>
      <c r="K101" s="438"/>
      <c r="L101" s="438"/>
      <c r="M101" s="438"/>
      <c r="N101" s="438"/>
      <c r="O101" s="438"/>
      <c r="P101" s="438"/>
      <c r="Q101" s="438"/>
      <c r="R101" s="418"/>
      <c r="S101" s="418"/>
      <c r="T101" s="418"/>
      <c r="U101" s="418"/>
      <c r="V101" s="418"/>
      <c r="W101" s="418"/>
      <c r="X101" s="418"/>
      <c r="Y101" s="418"/>
      <c r="Z101" s="418"/>
      <c r="AA101" s="418"/>
      <c r="AB101" s="418"/>
      <c r="AC101" s="418"/>
    </row>
    <row r="102" spans="1:29" s="439" customFormat="1" ht="12" x14ac:dyDescent="0.2">
      <c r="A102" s="418"/>
      <c r="B102" s="438"/>
      <c r="C102" s="438"/>
      <c r="D102" s="438"/>
      <c r="E102" s="438"/>
      <c r="F102" s="438"/>
      <c r="G102" s="438"/>
      <c r="H102" s="438"/>
      <c r="I102" s="438"/>
      <c r="J102" s="438"/>
      <c r="K102" s="438"/>
      <c r="L102" s="438"/>
      <c r="M102" s="438"/>
      <c r="N102" s="438"/>
      <c r="O102" s="438"/>
      <c r="P102" s="438"/>
      <c r="Q102" s="438"/>
      <c r="R102" s="418"/>
      <c r="S102" s="418"/>
      <c r="T102" s="418"/>
      <c r="U102" s="418"/>
      <c r="V102" s="418"/>
      <c r="W102" s="418"/>
      <c r="X102" s="418"/>
      <c r="Y102" s="418"/>
      <c r="Z102" s="418"/>
      <c r="AA102" s="418"/>
      <c r="AB102" s="418"/>
      <c r="AC102" s="418"/>
    </row>
    <row r="103" spans="1:29" s="439" customFormat="1" ht="12" x14ac:dyDescent="0.2">
      <c r="A103" s="418"/>
      <c r="B103" s="438"/>
      <c r="C103" s="438"/>
      <c r="D103" s="438"/>
      <c r="E103" s="438"/>
      <c r="F103" s="438"/>
      <c r="G103" s="438"/>
      <c r="H103" s="438"/>
      <c r="I103" s="438"/>
      <c r="J103" s="438"/>
      <c r="K103" s="438"/>
      <c r="L103" s="438"/>
      <c r="M103" s="438"/>
      <c r="N103" s="438"/>
      <c r="O103" s="438"/>
      <c r="P103" s="438"/>
      <c r="Q103" s="438"/>
      <c r="R103" s="418"/>
      <c r="S103" s="418"/>
      <c r="T103" s="418"/>
      <c r="U103" s="418"/>
      <c r="V103" s="418"/>
      <c r="W103" s="418"/>
      <c r="X103" s="418"/>
      <c r="Y103" s="418"/>
      <c r="Z103" s="418"/>
      <c r="AA103" s="418"/>
      <c r="AB103" s="418"/>
      <c r="AC103" s="418"/>
    </row>
    <row r="104" spans="1:29" s="439" customFormat="1" ht="12" x14ac:dyDescent="0.2">
      <c r="A104" s="418"/>
      <c r="B104" s="438"/>
      <c r="C104" s="438"/>
      <c r="D104" s="438"/>
      <c r="E104" s="438"/>
      <c r="F104" s="438"/>
      <c r="G104" s="438"/>
      <c r="H104" s="438"/>
      <c r="I104" s="438"/>
      <c r="J104" s="438"/>
      <c r="K104" s="438"/>
      <c r="L104" s="438"/>
      <c r="M104" s="438"/>
      <c r="N104" s="438"/>
      <c r="O104" s="438"/>
      <c r="P104" s="438"/>
      <c r="Q104" s="438"/>
      <c r="R104" s="418"/>
      <c r="S104" s="418"/>
      <c r="T104" s="418"/>
      <c r="U104" s="418"/>
      <c r="V104" s="418"/>
      <c r="W104" s="418"/>
      <c r="X104" s="418"/>
      <c r="Y104" s="418"/>
      <c r="Z104" s="418"/>
      <c r="AA104" s="418"/>
      <c r="AB104" s="418"/>
      <c r="AC104" s="418"/>
    </row>
    <row r="105" spans="1:29" s="439" customFormat="1" ht="12" x14ac:dyDescent="0.2">
      <c r="A105" s="418"/>
      <c r="B105" s="438"/>
      <c r="C105" s="438"/>
      <c r="D105" s="438"/>
      <c r="E105" s="438"/>
      <c r="F105" s="438"/>
      <c r="G105" s="438"/>
      <c r="H105" s="438"/>
      <c r="I105" s="438"/>
      <c r="J105" s="438"/>
      <c r="K105" s="438"/>
      <c r="L105" s="438"/>
      <c r="M105" s="438"/>
      <c r="N105" s="438"/>
      <c r="O105" s="438"/>
      <c r="P105" s="438"/>
      <c r="Q105" s="438"/>
      <c r="R105" s="418"/>
      <c r="S105" s="418"/>
      <c r="T105" s="418"/>
      <c r="U105" s="418"/>
      <c r="V105" s="418"/>
      <c r="W105" s="418"/>
      <c r="X105" s="418"/>
      <c r="Y105" s="418"/>
      <c r="Z105" s="418"/>
      <c r="AA105" s="418"/>
      <c r="AB105" s="418"/>
      <c r="AC105" s="418"/>
    </row>
    <row r="106" spans="1:29" s="439" customFormat="1" ht="12" x14ac:dyDescent="0.2">
      <c r="A106" s="418"/>
      <c r="B106" s="438"/>
      <c r="C106" s="438"/>
      <c r="D106" s="438"/>
      <c r="E106" s="438"/>
      <c r="F106" s="438"/>
      <c r="G106" s="438"/>
      <c r="H106" s="438"/>
      <c r="I106" s="438"/>
      <c r="J106" s="438"/>
      <c r="K106" s="438"/>
      <c r="L106" s="438"/>
      <c r="M106" s="438"/>
      <c r="N106" s="438"/>
      <c r="O106" s="438"/>
      <c r="P106" s="438"/>
      <c r="Q106" s="438"/>
      <c r="R106" s="418"/>
      <c r="S106" s="418"/>
      <c r="T106" s="418"/>
      <c r="U106" s="418"/>
      <c r="V106" s="418"/>
      <c r="W106" s="418"/>
      <c r="X106" s="418"/>
      <c r="Y106" s="418"/>
      <c r="Z106" s="418"/>
      <c r="AA106" s="418"/>
      <c r="AB106" s="418"/>
      <c r="AC106" s="418"/>
    </row>
    <row r="107" spans="1:29" s="439" customFormat="1" ht="12" x14ac:dyDescent="0.2">
      <c r="A107" s="418"/>
      <c r="B107" s="438"/>
      <c r="C107" s="438"/>
      <c r="D107" s="438"/>
      <c r="E107" s="438"/>
      <c r="F107" s="438"/>
      <c r="G107" s="438"/>
      <c r="H107" s="438"/>
      <c r="I107" s="438"/>
      <c r="J107" s="438"/>
      <c r="K107" s="438"/>
      <c r="L107" s="438"/>
      <c r="M107" s="438"/>
      <c r="N107" s="438"/>
      <c r="O107" s="438"/>
      <c r="P107" s="438"/>
      <c r="Q107" s="438"/>
      <c r="R107" s="418"/>
      <c r="S107" s="418"/>
      <c r="T107" s="418"/>
      <c r="U107" s="418"/>
      <c r="V107" s="418"/>
      <c r="W107" s="418"/>
      <c r="X107" s="418"/>
      <c r="Y107" s="418"/>
      <c r="Z107" s="418"/>
      <c r="AA107" s="418"/>
      <c r="AB107" s="418"/>
      <c r="AC107" s="418"/>
    </row>
    <row r="108" spans="1:29" s="439" customFormat="1" ht="12" x14ac:dyDescent="0.2">
      <c r="A108" s="418"/>
      <c r="B108" s="438"/>
      <c r="C108" s="438"/>
      <c r="D108" s="438"/>
      <c r="E108" s="438"/>
      <c r="F108" s="438"/>
      <c r="G108" s="438"/>
      <c r="H108" s="438"/>
      <c r="I108" s="438"/>
      <c r="J108" s="438"/>
      <c r="K108" s="438"/>
      <c r="L108" s="438"/>
      <c r="M108" s="438"/>
      <c r="N108" s="438"/>
      <c r="O108" s="438"/>
      <c r="P108" s="438"/>
      <c r="Q108" s="438"/>
      <c r="R108" s="418"/>
      <c r="S108" s="418"/>
      <c r="T108" s="418"/>
      <c r="U108" s="418"/>
      <c r="V108" s="418"/>
      <c r="W108" s="418"/>
      <c r="X108" s="418"/>
      <c r="Y108" s="418"/>
      <c r="Z108" s="418"/>
      <c r="AA108" s="418"/>
      <c r="AB108" s="418"/>
      <c r="AC108" s="418"/>
    </row>
    <row r="109" spans="1:29" s="439" customFormat="1" ht="12" x14ac:dyDescent="0.2">
      <c r="A109" s="418"/>
      <c r="B109" s="438"/>
      <c r="C109" s="438"/>
      <c r="D109" s="438"/>
      <c r="E109" s="438"/>
      <c r="F109" s="438"/>
      <c r="G109" s="438"/>
      <c r="H109" s="438"/>
      <c r="I109" s="438"/>
      <c r="J109" s="438"/>
      <c r="K109" s="438"/>
      <c r="L109" s="438"/>
      <c r="M109" s="438"/>
      <c r="N109" s="438"/>
      <c r="O109" s="438"/>
      <c r="P109" s="438"/>
      <c r="Q109" s="438"/>
      <c r="R109" s="418"/>
      <c r="S109" s="418"/>
      <c r="T109" s="418"/>
      <c r="U109" s="418"/>
      <c r="V109" s="418"/>
      <c r="W109" s="418"/>
      <c r="X109" s="418"/>
      <c r="Y109" s="418"/>
      <c r="Z109" s="418"/>
      <c r="AA109" s="418"/>
      <c r="AB109" s="418"/>
      <c r="AC109" s="418"/>
    </row>
    <row r="110" spans="1:29" s="439" customFormat="1" ht="12" x14ac:dyDescent="0.2">
      <c r="A110" s="418"/>
      <c r="B110" s="438"/>
      <c r="C110" s="438"/>
      <c r="D110" s="438"/>
      <c r="E110" s="438"/>
      <c r="F110" s="438"/>
      <c r="G110" s="438"/>
      <c r="H110" s="438"/>
      <c r="I110" s="438"/>
      <c r="J110" s="438"/>
      <c r="K110" s="438"/>
      <c r="L110" s="438"/>
      <c r="M110" s="438"/>
      <c r="N110" s="438"/>
      <c r="O110" s="438"/>
      <c r="P110" s="438"/>
      <c r="Q110" s="438"/>
      <c r="R110" s="418"/>
      <c r="S110" s="418"/>
      <c r="T110" s="418"/>
      <c r="U110" s="418"/>
      <c r="V110" s="418"/>
      <c r="W110" s="418"/>
      <c r="X110" s="418"/>
      <c r="Y110" s="418"/>
      <c r="Z110" s="418"/>
      <c r="AA110" s="418"/>
      <c r="AB110" s="418"/>
      <c r="AC110" s="418"/>
    </row>
    <row r="111" spans="1:29" s="439" customFormat="1" ht="12" x14ac:dyDescent="0.2">
      <c r="A111" s="418"/>
      <c r="B111" s="438"/>
      <c r="C111" s="438"/>
      <c r="D111" s="438"/>
      <c r="E111" s="438"/>
      <c r="F111" s="438"/>
      <c r="G111" s="438"/>
      <c r="H111" s="438"/>
      <c r="I111" s="438"/>
      <c r="J111" s="438"/>
      <c r="K111" s="438"/>
      <c r="L111" s="438"/>
      <c r="M111" s="438"/>
      <c r="N111" s="438"/>
      <c r="O111" s="438"/>
      <c r="P111" s="438"/>
      <c r="Q111" s="438"/>
      <c r="R111" s="418"/>
      <c r="S111" s="418"/>
      <c r="T111" s="418"/>
      <c r="U111" s="418"/>
      <c r="V111" s="418"/>
      <c r="W111" s="418"/>
      <c r="X111" s="418"/>
      <c r="Y111" s="418"/>
      <c r="Z111" s="418"/>
      <c r="AA111" s="418"/>
      <c r="AB111" s="418"/>
      <c r="AC111" s="418"/>
    </row>
    <row r="112" spans="1:29" s="439" customFormat="1" ht="12" x14ac:dyDescent="0.2">
      <c r="A112" s="418"/>
      <c r="B112" s="438"/>
      <c r="C112" s="438"/>
      <c r="D112" s="438"/>
      <c r="E112" s="438"/>
      <c r="F112" s="438"/>
      <c r="G112" s="438"/>
      <c r="H112" s="438"/>
      <c r="I112" s="438"/>
      <c r="J112" s="438"/>
      <c r="K112" s="438"/>
      <c r="L112" s="438"/>
      <c r="M112" s="438"/>
      <c r="N112" s="438"/>
      <c r="O112" s="438"/>
      <c r="P112" s="438"/>
      <c r="Q112" s="438"/>
      <c r="R112" s="418"/>
      <c r="S112" s="418"/>
      <c r="T112" s="418"/>
      <c r="U112" s="418"/>
      <c r="V112" s="418"/>
      <c r="W112" s="418"/>
      <c r="X112" s="418"/>
      <c r="Y112" s="418"/>
      <c r="Z112" s="418"/>
      <c r="AA112" s="418"/>
      <c r="AB112" s="418"/>
      <c r="AC112" s="418"/>
    </row>
    <row r="113" spans="1:29" s="439" customFormat="1" ht="12" x14ac:dyDescent="0.2">
      <c r="A113" s="418"/>
      <c r="B113" s="438"/>
      <c r="C113" s="438"/>
      <c r="D113" s="438"/>
      <c r="E113" s="438"/>
      <c r="F113" s="438"/>
      <c r="G113" s="438"/>
      <c r="H113" s="438"/>
      <c r="I113" s="438"/>
      <c r="J113" s="438"/>
      <c r="K113" s="438"/>
      <c r="L113" s="438"/>
      <c r="M113" s="438"/>
      <c r="N113" s="438"/>
      <c r="O113" s="438"/>
      <c r="P113" s="438"/>
      <c r="Q113" s="438"/>
      <c r="R113" s="418"/>
      <c r="S113" s="418"/>
      <c r="T113" s="418"/>
      <c r="U113" s="418"/>
      <c r="V113" s="418"/>
      <c r="W113" s="418"/>
      <c r="X113" s="418"/>
      <c r="Y113" s="418"/>
      <c r="Z113" s="418"/>
      <c r="AA113" s="418"/>
      <c r="AB113" s="418"/>
      <c r="AC113" s="418"/>
    </row>
    <row r="114" spans="1:29" s="439" customFormat="1" ht="12" x14ac:dyDescent="0.2">
      <c r="A114" s="418"/>
      <c r="B114" s="438"/>
      <c r="C114" s="438"/>
      <c r="D114" s="438"/>
      <c r="E114" s="438"/>
      <c r="F114" s="438"/>
      <c r="G114" s="438"/>
      <c r="H114" s="438"/>
      <c r="I114" s="438"/>
      <c r="J114" s="438"/>
      <c r="K114" s="438"/>
      <c r="L114" s="438"/>
      <c r="M114" s="438"/>
      <c r="N114" s="438"/>
      <c r="O114" s="438"/>
      <c r="P114" s="438"/>
      <c r="Q114" s="438"/>
      <c r="R114" s="418"/>
      <c r="S114" s="418"/>
      <c r="T114" s="418"/>
      <c r="U114" s="418"/>
      <c r="V114" s="418"/>
      <c r="W114" s="418"/>
      <c r="X114" s="418"/>
      <c r="Y114" s="418"/>
      <c r="Z114" s="418"/>
      <c r="AA114" s="418"/>
      <c r="AB114" s="418"/>
      <c r="AC114" s="418"/>
    </row>
    <row r="115" spans="1:29" x14ac:dyDescent="0.2">
      <c r="A115" s="418"/>
    </row>
    <row r="116" spans="1:29" x14ac:dyDescent="0.2">
      <c r="A116" s="418"/>
    </row>
    <row r="117" spans="1:29" x14ac:dyDescent="0.2">
      <c r="A117" s="418"/>
    </row>
    <row r="143" spans="7:7" s="202" customFormat="1" x14ac:dyDescent="0.2">
      <c r="G143" s="437">
        <v>21</v>
      </c>
    </row>
  </sheetData>
  <mergeCells count="3">
    <mergeCell ref="B7:I7"/>
    <mergeCell ref="A1:Q1"/>
    <mergeCell ref="A4:G4"/>
  </mergeCells>
  <phoneticPr fontId="9" type="noConversion"/>
  <printOptions horizontalCentered="1"/>
  <pageMargins left="0.5" right="0.5" top="0.5" bottom="0.625" header="0.5" footer="0.5"/>
  <pageSetup scale="9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tabColor theme="6" tint="0.39997558519241921"/>
    <pageSetUpPr fitToPage="1"/>
  </sheetPr>
  <dimension ref="A1:AF94"/>
  <sheetViews>
    <sheetView view="pageBreakPreview" zoomScale="110" zoomScaleNormal="100" zoomScaleSheetLayoutView="110" workbookViewId="0">
      <pane ySplit="11" topLeftCell="A12" activePane="bottomLeft" state="frozen"/>
      <selection activeCell="Z13" activeCellId="3" sqref="Z18 Z17 Z15 Z13"/>
      <selection pane="bottomLeft" activeCell="Z13" activeCellId="3" sqref="Z18 Z17 Z15 Z13"/>
    </sheetView>
  </sheetViews>
  <sheetFormatPr defaultColWidth="9.140625" defaultRowHeight="12.75" x14ac:dyDescent="0.2"/>
  <cols>
    <col min="1" max="1" width="35.85546875" style="434" customWidth="1"/>
    <col min="2" max="2" width="1.5703125" style="437" hidden="1" customWidth="1"/>
    <col min="3" max="3" width="11.140625" style="437" hidden="1" customWidth="1"/>
    <col min="4" max="4" width="1.5703125" style="437" hidden="1" customWidth="1"/>
    <col min="5" max="5" width="11.140625" style="437" hidden="1" customWidth="1"/>
    <col min="6" max="6" width="1.5703125" style="437" customWidth="1"/>
    <col min="7" max="7" width="11.140625" style="437" customWidth="1"/>
    <col min="8" max="8" width="1.5703125" style="437" customWidth="1"/>
    <col min="9" max="9" width="11.140625" style="437" customWidth="1"/>
    <col min="10" max="10" width="1.5703125" style="437" customWidth="1"/>
    <col min="11" max="11" width="11.140625" style="437" customWidth="1"/>
    <col min="12" max="12" width="1.5703125" style="437" customWidth="1"/>
    <col min="13" max="13" width="11.140625" style="437" customWidth="1"/>
    <col min="14" max="14" width="1.5703125" style="437" customWidth="1"/>
    <col min="15" max="15" width="11.140625" style="437" customWidth="1"/>
    <col min="16" max="16" width="1.5703125" style="437" customWidth="1"/>
    <col min="17" max="17" width="11.140625" style="437" customWidth="1"/>
    <col min="18" max="18" width="1.5703125" style="437" customWidth="1"/>
    <col min="19" max="19" width="11.140625" style="437" customWidth="1"/>
    <col min="20" max="20" width="1.5703125" style="437" customWidth="1"/>
    <col min="21" max="21" width="12.85546875" style="437" customWidth="1"/>
    <col min="22" max="22" width="1.5703125" style="437" customWidth="1"/>
    <col min="23" max="23" width="12.85546875" style="437" customWidth="1"/>
    <col min="24" max="24" width="1.5703125" style="437" customWidth="1"/>
    <col min="25" max="16384" width="9.140625" style="202"/>
  </cols>
  <sheetData>
    <row r="1" spans="1:24" s="462" customFormat="1" ht="16.5" customHeight="1"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1582"/>
    </row>
    <row r="2" spans="1:24" s="250" customFormat="1" ht="15" customHeight="1" x14ac:dyDescent="0.2">
      <c r="A2" s="700" t="s">
        <v>461</v>
      </c>
      <c r="U2" s="431"/>
    </row>
    <row r="3" spans="1:24" s="250" customFormat="1" ht="15" customHeight="1" x14ac:dyDescent="0.2">
      <c r="A3" s="700" t="s">
        <v>749</v>
      </c>
      <c r="U3" s="431"/>
    </row>
    <row r="4" spans="1:24" s="212" customFormat="1" ht="12.95" customHeight="1" x14ac:dyDescent="0.2">
      <c r="A4" s="506" t="s">
        <v>1724</v>
      </c>
      <c r="U4" s="432"/>
    </row>
    <row r="5" spans="1:24" s="247" customFormat="1" ht="12" customHeight="1" x14ac:dyDescent="0.2">
      <c r="A5" s="253" t="s">
        <v>972</v>
      </c>
      <c r="B5" s="433"/>
      <c r="C5" s="433"/>
      <c r="D5" s="433"/>
      <c r="E5" s="433"/>
      <c r="F5" s="433"/>
      <c r="G5" s="433"/>
      <c r="H5" s="433"/>
      <c r="I5" s="433"/>
      <c r="J5" s="433"/>
      <c r="K5" s="433"/>
      <c r="L5" s="433"/>
      <c r="M5" s="433"/>
      <c r="N5" s="433"/>
      <c r="O5" s="433"/>
      <c r="P5" s="433"/>
      <c r="Q5" s="433"/>
      <c r="R5" s="433"/>
      <c r="S5" s="433"/>
      <c r="T5" s="433"/>
      <c r="V5" s="433"/>
    </row>
    <row r="6" spans="1:24" s="212" customFormat="1" ht="12" customHeight="1" x14ac:dyDescent="0.2">
      <c r="B6" s="433"/>
      <c r="C6" s="433"/>
      <c r="D6" s="433"/>
      <c r="E6" s="433"/>
      <c r="F6" s="433"/>
      <c r="G6" s="433"/>
      <c r="H6" s="433"/>
      <c r="I6" s="433"/>
      <c r="J6" s="433"/>
      <c r="K6" s="433"/>
      <c r="L6" s="433"/>
      <c r="M6" s="433"/>
      <c r="N6" s="433"/>
      <c r="O6" s="433"/>
      <c r="P6" s="433"/>
      <c r="Q6" s="433"/>
      <c r="R6" s="433"/>
      <c r="S6" s="433"/>
      <c r="T6" s="433"/>
      <c r="V6" s="433"/>
    </row>
    <row r="7" spans="1:24" ht="12.6" customHeight="1" x14ac:dyDescent="0.2">
      <c r="B7" s="212"/>
      <c r="C7" s="212"/>
      <c r="D7" s="212"/>
      <c r="E7" s="212"/>
      <c r="F7" s="212"/>
      <c r="G7" s="212"/>
      <c r="H7" s="212"/>
      <c r="I7" s="212"/>
      <c r="J7" s="212"/>
      <c r="K7" s="212"/>
      <c r="L7" s="212"/>
      <c r="M7" s="212"/>
      <c r="N7" s="212"/>
      <c r="O7" s="212"/>
      <c r="P7" s="212"/>
      <c r="Q7" s="212"/>
      <c r="R7" s="212"/>
      <c r="S7" s="212"/>
      <c r="T7" s="212"/>
      <c r="U7" s="212"/>
      <c r="V7" s="212"/>
      <c r="W7" s="443"/>
    </row>
    <row r="8" spans="1:24" s="198" customFormat="1" ht="12.6" customHeight="1" x14ac:dyDescent="0.2">
      <c r="A8" s="445"/>
      <c r="C8" s="444" t="s">
        <v>1574</v>
      </c>
      <c r="E8" s="444" t="s">
        <v>1623</v>
      </c>
      <c r="G8" s="444" t="s">
        <v>1729</v>
      </c>
      <c r="I8" s="444" t="s">
        <v>1433</v>
      </c>
      <c r="K8" s="444" t="s">
        <v>1547</v>
      </c>
      <c r="M8" s="444" t="s">
        <v>1500</v>
      </c>
      <c r="O8" s="444" t="s">
        <v>1571</v>
      </c>
      <c r="Q8" s="444" t="s">
        <v>1621</v>
      </c>
      <c r="S8" s="444" t="s">
        <v>1727</v>
      </c>
      <c r="U8" s="443" t="s">
        <v>551</v>
      </c>
      <c r="W8" s="443" t="s">
        <v>671</v>
      </c>
      <c r="X8" s="443"/>
    </row>
    <row r="9" spans="1:24" s="198" customFormat="1" ht="12.6" customHeight="1" x14ac:dyDescent="0.2">
      <c r="A9" s="445"/>
      <c r="C9" s="443" t="s">
        <v>551</v>
      </c>
      <c r="E9" s="443" t="s">
        <v>551</v>
      </c>
      <c r="G9" s="443" t="s">
        <v>551</v>
      </c>
      <c r="I9" s="443" t="s">
        <v>551</v>
      </c>
      <c r="K9" s="443" t="s">
        <v>551</v>
      </c>
      <c r="M9" s="443" t="s">
        <v>551</v>
      </c>
      <c r="O9" s="443" t="s">
        <v>551</v>
      </c>
      <c r="Q9" s="443" t="s">
        <v>551</v>
      </c>
      <c r="S9" s="443" t="s">
        <v>551</v>
      </c>
      <c r="U9" s="443" t="s">
        <v>245</v>
      </c>
      <c r="W9" s="443" t="s">
        <v>551</v>
      </c>
      <c r="X9" s="443"/>
    </row>
    <row r="10" spans="1:24" s="198" customFormat="1" ht="12.6" customHeight="1" x14ac:dyDescent="0.2">
      <c r="A10" s="445"/>
      <c r="C10" s="443" t="s">
        <v>245</v>
      </c>
      <c r="E10" s="443" t="s">
        <v>245</v>
      </c>
      <c r="G10" s="443" t="s">
        <v>245</v>
      </c>
      <c r="I10" s="443" t="s">
        <v>245</v>
      </c>
      <c r="K10" s="443" t="s">
        <v>245</v>
      </c>
      <c r="M10" s="443" t="s">
        <v>245</v>
      </c>
      <c r="O10" s="443" t="s">
        <v>245</v>
      </c>
      <c r="Q10" s="443" t="s">
        <v>245</v>
      </c>
      <c r="S10" s="443" t="s">
        <v>245</v>
      </c>
      <c r="U10" s="443" t="s">
        <v>243</v>
      </c>
      <c r="W10" s="443" t="s">
        <v>245</v>
      </c>
      <c r="X10" s="443"/>
    </row>
    <row r="11" spans="1:24" s="198" customFormat="1" ht="12.6" customHeight="1" x14ac:dyDescent="0.2">
      <c r="A11" s="445"/>
      <c r="C11" s="446" t="s">
        <v>243</v>
      </c>
      <c r="E11" s="446" t="s">
        <v>243</v>
      </c>
      <c r="G11" s="446" t="s">
        <v>243</v>
      </c>
      <c r="I11" s="446" t="s">
        <v>243</v>
      </c>
      <c r="K11" s="446" t="s">
        <v>243</v>
      </c>
      <c r="M11" s="446" t="s">
        <v>243</v>
      </c>
      <c r="O11" s="446" t="s">
        <v>243</v>
      </c>
      <c r="Q11" s="446" t="s">
        <v>243</v>
      </c>
      <c r="S11" s="446" t="s">
        <v>243</v>
      </c>
      <c r="U11" s="446" t="s">
        <v>1108</v>
      </c>
      <c r="W11" s="446" t="s">
        <v>243</v>
      </c>
      <c r="X11" s="443"/>
    </row>
    <row r="12" spans="1:24" s="439" customFormat="1" ht="9.9499999999999993" customHeight="1" x14ac:dyDescent="0.2">
      <c r="A12" s="417" t="s">
        <v>672</v>
      </c>
      <c r="B12" s="438"/>
      <c r="C12" s="438"/>
      <c r="D12" s="438"/>
      <c r="E12" s="438"/>
      <c r="F12" s="438"/>
      <c r="G12" s="438"/>
      <c r="H12" s="438"/>
      <c r="I12" s="438"/>
      <c r="J12" s="438"/>
      <c r="K12" s="438"/>
      <c r="L12" s="438"/>
      <c r="M12" s="438"/>
      <c r="N12" s="438"/>
      <c r="O12" s="438"/>
      <c r="P12" s="438"/>
      <c r="Q12" s="438"/>
      <c r="R12" s="438"/>
      <c r="S12" s="438"/>
      <c r="T12" s="438"/>
      <c r="U12" s="438"/>
      <c r="V12" s="438"/>
      <c r="W12" s="438"/>
      <c r="X12" s="438"/>
    </row>
    <row r="13" spans="1:24" s="449" customFormat="1" ht="9.9499999999999993" hidden="1" customHeight="1" x14ac:dyDescent="0.2">
      <c r="A13" s="425" t="s">
        <v>673</v>
      </c>
      <c r="B13" s="447"/>
      <c r="C13" s="448"/>
      <c r="D13" s="447"/>
      <c r="E13" s="448"/>
      <c r="F13" s="447"/>
      <c r="G13" s="448"/>
      <c r="H13" s="447"/>
      <c r="I13" s="448"/>
      <c r="J13" s="447"/>
      <c r="K13" s="448"/>
      <c r="L13" s="447"/>
      <c r="M13" s="448"/>
      <c r="N13" s="447"/>
      <c r="O13" s="448"/>
      <c r="P13" s="447"/>
      <c r="Q13" s="448"/>
      <c r="R13" s="447"/>
      <c r="S13" s="448"/>
      <c r="T13" s="447"/>
      <c r="U13" s="448">
        <f>+BSGFws!AR3</f>
        <v>0</v>
      </c>
      <c r="V13" s="447"/>
      <c r="W13" s="448">
        <f t="shared" ref="W13:W31" si="0">SUM(B13:U13)</f>
        <v>0</v>
      </c>
      <c r="X13" s="448"/>
    </row>
    <row r="14" spans="1:24" s="451" customFormat="1" ht="9.9499999999999993" hidden="1" customHeight="1" x14ac:dyDescent="0.2">
      <c r="A14" s="425" t="s">
        <v>674</v>
      </c>
      <c r="B14" s="450"/>
      <c r="C14" s="450"/>
      <c r="D14" s="450"/>
      <c r="E14" s="450"/>
      <c r="F14" s="450"/>
      <c r="G14" s="450"/>
      <c r="H14" s="450"/>
      <c r="I14" s="450"/>
      <c r="J14" s="450"/>
      <c r="K14" s="450"/>
      <c r="L14" s="450"/>
      <c r="M14" s="450"/>
      <c r="N14" s="450"/>
      <c r="O14" s="450"/>
      <c r="P14" s="450"/>
      <c r="Q14" s="450"/>
      <c r="R14" s="450"/>
      <c r="S14" s="450"/>
      <c r="T14" s="450"/>
      <c r="U14" s="450">
        <f>+BSGFws!AR4</f>
        <v>0</v>
      </c>
      <c r="V14" s="450"/>
      <c r="W14" s="450">
        <f t="shared" si="0"/>
        <v>0</v>
      </c>
      <c r="X14" s="450"/>
    </row>
    <row r="15" spans="1:24" s="451" customFormat="1" ht="9.9499999999999993" hidden="1" customHeight="1" x14ac:dyDescent="0.2">
      <c r="A15" s="425" t="s">
        <v>675</v>
      </c>
      <c r="B15" s="450"/>
      <c r="C15" s="450"/>
      <c r="D15" s="450"/>
      <c r="E15" s="450"/>
      <c r="F15" s="450"/>
      <c r="G15" s="450"/>
      <c r="H15" s="450"/>
      <c r="I15" s="450"/>
      <c r="J15" s="450"/>
      <c r="K15" s="450"/>
      <c r="L15" s="450"/>
      <c r="M15" s="450"/>
      <c r="N15" s="450"/>
      <c r="O15" s="450"/>
      <c r="P15" s="450"/>
      <c r="Q15" s="450"/>
      <c r="R15" s="450"/>
      <c r="S15" s="450"/>
      <c r="T15" s="450"/>
      <c r="U15" s="450">
        <f>+BSGFws!AR5</f>
        <v>0</v>
      </c>
      <c r="V15" s="450"/>
      <c r="W15" s="450">
        <f t="shared" si="0"/>
        <v>0</v>
      </c>
      <c r="X15" s="450"/>
    </row>
    <row r="16" spans="1:24" s="451" customFormat="1" ht="9.9499999999999993" hidden="1" customHeight="1" x14ac:dyDescent="0.2">
      <c r="A16" s="425" t="s">
        <v>763</v>
      </c>
      <c r="B16" s="450"/>
      <c r="C16" s="450"/>
      <c r="D16" s="450"/>
      <c r="E16" s="450"/>
      <c r="F16" s="450"/>
      <c r="G16" s="450"/>
      <c r="H16" s="450"/>
      <c r="I16" s="450"/>
      <c r="J16" s="450"/>
      <c r="K16" s="450"/>
      <c r="L16" s="450"/>
      <c r="M16" s="450"/>
      <c r="N16" s="450"/>
      <c r="O16" s="450"/>
      <c r="P16" s="450"/>
      <c r="Q16" s="450"/>
      <c r="R16" s="450"/>
      <c r="S16" s="450"/>
      <c r="T16" s="450"/>
      <c r="U16" s="450">
        <f>+BSGFws!AR6</f>
        <v>0</v>
      </c>
      <c r="V16" s="450"/>
      <c r="W16" s="450">
        <f t="shared" si="0"/>
        <v>0</v>
      </c>
      <c r="X16" s="450"/>
    </row>
    <row r="17" spans="1:24" s="451" customFormat="1" ht="9.9499999999999993" hidden="1" customHeight="1" x14ac:dyDescent="0.2">
      <c r="A17" s="425" t="s">
        <v>683</v>
      </c>
      <c r="B17" s="450"/>
      <c r="C17" s="450"/>
      <c r="D17" s="450"/>
      <c r="E17" s="450"/>
      <c r="F17" s="450"/>
      <c r="G17" s="450"/>
      <c r="H17" s="450"/>
      <c r="I17" s="450"/>
      <c r="J17" s="450"/>
      <c r="K17" s="450"/>
      <c r="L17" s="450"/>
      <c r="M17" s="450"/>
      <c r="N17" s="450"/>
      <c r="O17" s="450"/>
      <c r="P17" s="450"/>
      <c r="Q17" s="450"/>
      <c r="R17" s="450"/>
      <c r="S17" s="450"/>
      <c r="T17" s="450"/>
      <c r="U17" s="450">
        <f>+BSGFws!AR7</f>
        <v>0</v>
      </c>
      <c r="V17" s="450"/>
      <c r="W17" s="450">
        <f t="shared" si="0"/>
        <v>0</v>
      </c>
      <c r="X17" s="450"/>
    </row>
    <row r="18" spans="1:24" s="451" customFormat="1" ht="9.9499999999999993" hidden="1" customHeight="1" x14ac:dyDescent="0.2">
      <c r="A18" s="425" t="s">
        <v>840</v>
      </c>
      <c r="B18" s="450"/>
      <c r="C18" s="450"/>
      <c r="D18" s="450"/>
      <c r="E18" s="450"/>
      <c r="F18" s="450"/>
      <c r="G18" s="450"/>
      <c r="H18" s="450"/>
      <c r="I18" s="450"/>
      <c r="J18" s="450"/>
      <c r="K18" s="450"/>
      <c r="L18" s="450"/>
      <c r="M18" s="450"/>
      <c r="N18" s="450"/>
      <c r="O18" s="450"/>
      <c r="P18" s="450"/>
      <c r="Q18" s="450"/>
      <c r="R18" s="450"/>
      <c r="S18" s="450"/>
      <c r="T18" s="450"/>
      <c r="U18" s="450">
        <f>+BSGFws!AR8</f>
        <v>0</v>
      </c>
      <c r="V18" s="450"/>
      <c r="W18" s="450">
        <f t="shared" si="0"/>
        <v>0</v>
      </c>
      <c r="X18" s="450"/>
    </row>
    <row r="19" spans="1:24" s="451" customFormat="1" ht="9.9499999999999993" hidden="1" customHeight="1" x14ac:dyDescent="0.2">
      <c r="A19" s="425" t="s">
        <v>1575</v>
      </c>
      <c r="B19" s="450"/>
      <c r="C19" s="450"/>
      <c r="D19" s="450"/>
      <c r="E19" s="450"/>
      <c r="F19" s="450"/>
      <c r="G19" s="450"/>
      <c r="H19" s="450"/>
      <c r="I19" s="450"/>
      <c r="J19" s="450"/>
      <c r="K19" s="450"/>
      <c r="L19" s="450"/>
      <c r="M19" s="450"/>
      <c r="N19" s="450"/>
      <c r="O19" s="450"/>
      <c r="P19" s="450"/>
      <c r="Q19" s="450"/>
      <c r="R19" s="450"/>
      <c r="S19" s="450"/>
      <c r="T19" s="450"/>
      <c r="U19" s="450">
        <f>+BSGFws!AR9</f>
        <v>0</v>
      </c>
      <c r="V19" s="450"/>
      <c r="W19" s="450">
        <f t="shared" si="0"/>
        <v>0</v>
      </c>
      <c r="X19" s="450"/>
    </row>
    <row r="20" spans="1:24" s="451" customFormat="1" ht="9.9499999999999993" hidden="1" customHeight="1" x14ac:dyDescent="0.2">
      <c r="A20" s="425" t="s">
        <v>63</v>
      </c>
      <c r="B20" s="450"/>
      <c r="C20" s="450"/>
      <c r="D20" s="450"/>
      <c r="E20" s="450"/>
      <c r="F20" s="450"/>
      <c r="G20" s="450"/>
      <c r="H20" s="450"/>
      <c r="I20" s="450"/>
      <c r="J20" s="450"/>
      <c r="K20" s="450"/>
      <c r="L20" s="450"/>
      <c r="M20" s="450"/>
      <c r="N20" s="450"/>
      <c r="O20" s="450"/>
      <c r="P20" s="450"/>
      <c r="Q20" s="450"/>
      <c r="R20" s="450"/>
      <c r="S20" s="450"/>
      <c r="T20" s="450"/>
      <c r="U20" s="450">
        <f>+BSGFws!AR10</f>
        <v>0</v>
      </c>
      <c r="V20" s="450"/>
      <c r="W20" s="450">
        <f t="shared" si="0"/>
        <v>0</v>
      </c>
      <c r="X20" s="450"/>
    </row>
    <row r="21" spans="1:24" s="451" customFormat="1" ht="9.9499999999999993" hidden="1" customHeight="1" x14ac:dyDescent="0.2">
      <c r="A21" s="425" t="s">
        <v>592</v>
      </c>
      <c r="B21" s="450"/>
      <c r="C21" s="450"/>
      <c r="D21" s="450"/>
      <c r="E21" s="450"/>
      <c r="F21" s="450"/>
      <c r="G21" s="450"/>
      <c r="H21" s="450"/>
      <c r="I21" s="450"/>
      <c r="J21" s="450"/>
      <c r="K21" s="450"/>
      <c r="L21" s="450"/>
      <c r="M21" s="450"/>
      <c r="N21" s="450"/>
      <c r="O21" s="450"/>
      <c r="P21" s="450"/>
      <c r="Q21" s="450"/>
      <c r="R21" s="450"/>
      <c r="S21" s="450"/>
      <c r="T21" s="450"/>
      <c r="U21" s="450">
        <f>+BSGFws!AR11</f>
        <v>0</v>
      </c>
      <c r="V21" s="450"/>
      <c r="W21" s="450">
        <f t="shared" si="0"/>
        <v>0</v>
      </c>
      <c r="X21" s="450"/>
    </row>
    <row r="22" spans="1:24" s="451" customFormat="1" ht="9.9499999999999993" customHeight="1" x14ac:dyDescent="0.2">
      <c r="A22" s="425" t="s">
        <v>685</v>
      </c>
      <c r="B22" s="450"/>
      <c r="C22" s="450"/>
      <c r="D22" s="450"/>
      <c r="E22" s="450"/>
      <c r="F22" s="450"/>
      <c r="G22" s="450"/>
      <c r="H22" s="450"/>
      <c r="I22" s="450"/>
      <c r="J22" s="450"/>
      <c r="K22" s="450"/>
      <c r="L22" s="450"/>
      <c r="M22" s="450"/>
      <c r="N22" s="450"/>
      <c r="O22" s="450"/>
      <c r="P22" s="450"/>
      <c r="Q22" s="450"/>
      <c r="R22" s="450"/>
      <c r="S22" s="450"/>
      <c r="T22" s="450"/>
      <c r="U22" s="450">
        <f>+BSGFws!AR12</f>
        <v>0</v>
      </c>
      <c r="V22" s="450"/>
      <c r="W22" s="450">
        <f t="shared" si="0"/>
        <v>0</v>
      </c>
      <c r="X22" s="450"/>
    </row>
    <row r="23" spans="1:24" s="451" customFormat="1" ht="9.9499999999999993" customHeight="1" x14ac:dyDescent="0.2">
      <c r="A23" s="426" t="s">
        <v>673</v>
      </c>
      <c r="B23" s="450"/>
      <c r="C23" s="339">
        <f>BSGFws!AI13</f>
        <v>0</v>
      </c>
      <c r="D23" s="339"/>
      <c r="E23" s="339">
        <f>BSGFws!AJ13</f>
        <v>0</v>
      </c>
      <c r="F23" s="339"/>
      <c r="G23" s="339">
        <f>BSGFws!AK13</f>
        <v>16005</v>
      </c>
      <c r="H23" s="339"/>
      <c r="I23" s="339">
        <f>BSGFws!AL13</f>
        <v>241</v>
      </c>
      <c r="J23" s="339"/>
      <c r="K23" s="339">
        <f>BSGFws!AM13</f>
        <v>416</v>
      </c>
      <c r="L23" s="339"/>
      <c r="M23" s="339">
        <f>BSGFws!AN13</f>
        <v>2269</v>
      </c>
      <c r="N23" s="339"/>
      <c r="O23" s="339">
        <f>BSGFws!AO13</f>
        <v>406</v>
      </c>
      <c r="P23" s="339"/>
      <c r="Q23" s="339">
        <f>BSGFws!AP13</f>
        <v>213</v>
      </c>
      <c r="R23" s="339"/>
      <c r="S23" s="339">
        <f>BSGFws!AQ13</f>
        <v>18875</v>
      </c>
      <c r="T23" s="339"/>
      <c r="U23" s="339">
        <f>+BSGFws!AR13</f>
        <v>3151</v>
      </c>
      <c r="V23" s="339"/>
      <c r="W23" s="339">
        <f t="shared" si="0"/>
        <v>41576</v>
      </c>
      <c r="X23" s="450"/>
    </row>
    <row r="24" spans="1:24" s="451" customFormat="1" ht="9.9499999999999993" customHeight="1" x14ac:dyDescent="0.2">
      <c r="A24" s="426" t="s">
        <v>674</v>
      </c>
      <c r="B24" s="450"/>
      <c r="C24" s="450">
        <f>BSGFws!AI14</f>
        <v>0</v>
      </c>
      <c r="D24" s="450"/>
      <c r="E24" s="450">
        <f>BSGFws!AJ14</f>
        <v>0</v>
      </c>
      <c r="F24" s="450"/>
      <c r="G24" s="450">
        <f>BSGFws!AK14</f>
        <v>21319</v>
      </c>
      <c r="H24" s="450"/>
      <c r="I24" s="450">
        <f>BSGFws!AL14</f>
        <v>1073</v>
      </c>
      <c r="J24" s="450"/>
      <c r="K24" s="538">
        <f>BSGFws!AM14</f>
        <v>1485</v>
      </c>
      <c r="L24" s="538"/>
      <c r="M24" s="538">
        <f>BSGFws!AN14</f>
        <v>7701</v>
      </c>
      <c r="N24" s="538"/>
      <c r="O24" s="538">
        <f>BSGFws!AO14</f>
        <v>17640</v>
      </c>
      <c r="P24" s="538"/>
      <c r="Q24" s="450">
        <f>BSGFws!AP14</f>
        <v>729</v>
      </c>
      <c r="R24" s="538"/>
      <c r="S24" s="450">
        <f>BSGFws!AQ14</f>
        <v>72131</v>
      </c>
      <c r="T24" s="450"/>
      <c r="U24" s="450">
        <f>+BSGFws!AR14</f>
        <v>0</v>
      </c>
      <c r="V24" s="450"/>
      <c r="W24" s="450">
        <f t="shared" si="0"/>
        <v>122078</v>
      </c>
      <c r="X24" s="450"/>
    </row>
    <row r="25" spans="1:24" s="451" customFormat="1" ht="9.9499999999999993" customHeight="1" x14ac:dyDescent="0.2">
      <c r="A25" s="426" t="s">
        <v>252</v>
      </c>
      <c r="B25" s="450"/>
      <c r="C25" s="450">
        <f>BSGFws!AI15</f>
        <v>0</v>
      </c>
      <c r="D25" s="450"/>
      <c r="E25" s="450">
        <f>BSGFws!AJ15</f>
        <v>0</v>
      </c>
      <c r="F25" s="450"/>
      <c r="G25" s="450">
        <f>BSGFws!AK15</f>
        <v>132</v>
      </c>
      <c r="H25" s="450"/>
      <c r="I25" s="450">
        <f>BSGFws!AL15</f>
        <v>7</v>
      </c>
      <c r="J25" s="450"/>
      <c r="K25" s="538">
        <f>BSGFws!AM15</f>
        <v>9</v>
      </c>
      <c r="L25" s="538"/>
      <c r="M25" s="538">
        <f>BSGFws!AN15</f>
        <v>48</v>
      </c>
      <c r="N25" s="538"/>
      <c r="O25" s="538">
        <f>BSGFws!AO15</f>
        <v>109</v>
      </c>
      <c r="P25" s="538"/>
      <c r="Q25" s="450">
        <f>BSGFws!AP15</f>
        <v>5</v>
      </c>
      <c r="R25" s="538"/>
      <c r="S25" s="450">
        <f>BSGFws!AQ15</f>
        <v>446</v>
      </c>
      <c r="T25" s="450"/>
      <c r="U25" s="450">
        <f>+BSGFws!AR15</f>
        <v>0</v>
      </c>
      <c r="V25" s="450"/>
      <c r="W25" s="450">
        <f t="shared" si="0"/>
        <v>756</v>
      </c>
      <c r="X25" s="450"/>
    </row>
    <row r="26" spans="1:24" s="451" customFormat="1" ht="9.9499999999999993" hidden="1" customHeight="1" x14ac:dyDescent="0.2">
      <c r="A26" s="426" t="s">
        <v>763</v>
      </c>
      <c r="B26" s="450"/>
      <c r="C26" s="450">
        <f>BSGFws!AI16</f>
        <v>0</v>
      </c>
      <c r="D26" s="450"/>
      <c r="E26" s="450">
        <f>BSGFws!AJ16</f>
        <v>0</v>
      </c>
      <c r="F26" s="450"/>
      <c r="G26" s="450">
        <f>BSGFws!AK16</f>
        <v>0</v>
      </c>
      <c r="H26" s="450"/>
      <c r="I26" s="450">
        <f>BSGFws!AL16</f>
        <v>0</v>
      </c>
      <c r="J26" s="450"/>
      <c r="K26" s="450">
        <f>BSGFws!ALR16</f>
        <v>0</v>
      </c>
      <c r="L26" s="450"/>
      <c r="M26" s="450">
        <f>BSGFws!ALS16</f>
        <v>0</v>
      </c>
      <c r="N26" s="450"/>
      <c r="O26" s="450">
        <f>BSGFws!ALU16</f>
        <v>0</v>
      </c>
      <c r="P26" s="450"/>
      <c r="Q26" s="450"/>
      <c r="R26" s="450"/>
      <c r="S26" s="450"/>
      <c r="T26" s="450"/>
      <c r="U26" s="450">
        <f>+BSGFws!AR16</f>
        <v>0</v>
      </c>
      <c r="V26" s="450"/>
      <c r="W26" s="450">
        <f t="shared" si="0"/>
        <v>0</v>
      </c>
      <c r="X26" s="450"/>
    </row>
    <row r="27" spans="1:24" s="451" customFormat="1" ht="9.9499999999999993" hidden="1" customHeight="1" x14ac:dyDescent="0.2">
      <c r="A27" s="426" t="s">
        <v>683</v>
      </c>
      <c r="B27" s="450"/>
      <c r="C27" s="450">
        <f>BSGFws!AI17</f>
        <v>0</v>
      </c>
      <c r="D27" s="450"/>
      <c r="E27" s="450">
        <f>BSGFws!AJ17</f>
        <v>0</v>
      </c>
      <c r="F27" s="450"/>
      <c r="G27" s="450">
        <f>BSGFws!AK17</f>
        <v>0</v>
      </c>
      <c r="H27" s="450"/>
      <c r="I27" s="450">
        <f>BSGFws!AL17</f>
        <v>0</v>
      </c>
      <c r="J27" s="450"/>
      <c r="K27" s="450">
        <f>BSGFws!ALR17</f>
        <v>0</v>
      </c>
      <c r="L27" s="450"/>
      <c r="M27" s="450">
        <f>BSGFws!ALS17</f>
        <v>0</v>
      </c>
      <c r="N27" s="450"/>
      <c r="O27" s="450">
        <f>BSGFws!ALU17</f>
        <v>0</v>
      </c>
      <c r="P27" s="450"/>
      <c r="Q27" s="450"/>
      <c r="R27" s="450"/>
      <c r="S27" s="450"/>
      <c r="T27" s="450"/>
      <c r="U27" s="450">
        <f>+BSGFws!AR17</f>
        <v>0</v>
      </c>
      <c r="V27" s="450"/>
      <c r="W27" s="450">
        <f t="shared" si="0"/>
        <v>0</v>
      </c>
      <c r="X27" s="450"/>
    </row>
    <row r="28" spans="1:24" s="451" customFormat="1" ht="9.9499999999999993" hidden="1" customHeight="1" x14ac:dyDescent="0.2">
      <c r="A28" s="426" t="s">
        <v>840</v>
      </c>
      <c r="B28" s="450"/>
      <c r="C28" s="450">
        <f>BSGFws!AI18</f>
        <v>0</v>
      </c>
      <c r="D28" s="450"/>
      <c r="E28" s="450">
        <f>BSGFws!AJ18</f>
        <v>0</v>
      </c>
      <c r="F28" s="450"/>
      <c r="G28" s="450">
        <f>BSGFws!AK18</f>
        <v>0</v>
      </c>
      <c r="H28" s="450"/>
      <c r="I28" s="450">
        <f>BSGFws!AL18</f>
        <v>0</v>
      </c>
      <c r="J28" s="450"/>
      <c r="K28" s="450">
        <f>BSGFws!ALR18</f>
        <v>0</v>
      </c>
      <c r="L28" s="450"/>
      <c r="M28" s="450">
        <f>BSGFws!ALS18</f>
        <v>0</v>
      </c>
      <c r="N28" s="450"/>
      <c r="O28" s="450">
        <f>BSGFws!ALU18</f>
        <v>0</v>
      </c>
      <c r="P28" s="450"/>
      <c r="Q28" s="450"/>
      <c r="R28" s="450"/>
      <c r="S28" s="450"/>
      <c r="T28" s="450"/>
      <c r="U28" s="450">
        <f>+BSGFws!AR18</f>
        <v>0</v>
      </c>
      <c r="V28" s="450"/>
      <c r="W28" s="450">
        <f t="shared" si="0"/>
        <v>0</v>
      </c>
      <c r="X28" s="450"/>
    </row>
    <row r="29" spans="1:24" s="451" customFormat="1" ht="9.9499999999999993" hidden="1" customHeight="1" x14ac:dyDescent="0.2">
      <c r="A29" s="426" t="s">
        <v>1575</v>
      </c>
      <c r="B29" s="450"/>
      <c r="C29" s="450">
        <f>BSGFws!AI19</f>
        <v>0</v>
      </c>
      <c r="D29" s="450"/>
      <c r="E29" s="450">
        <f>BSGFws!AJ19</f>
        <v>0</v>
      </c>
      <c r="F29" s="450"/>
      <c r="G29" s="450">
        <f>BSGFws!AK19</f>
        <v>0</v>
      </c>
      <c r="H29" s="450"/>
      <c r="I29" s="450">
        <f>BSGFws!AL19</f>
        <v>0</v>
      </c>
      <c r="J29" s="450"/>
      <c r="K29" s="450">
        <f>BSGFws!ALR19</f>
        <v>0</v>
      </c>
      <c r="L29" s="450"/>
      <c r="M29" s="450">
        <f>BSGFws!ALS19</f>
        <v>0</v>
      </c>
      <c r="N29" s="450"/>
      <c r="O29" s="450">
        <f>BSGFws!ALU19</f>
        <v>0</v>
      </c>
      <c r="P29" s="450"/>
      <c r="Q29" s="450"/>
      <c r="R29" s="450"/>
      <c r="S29" s="450"/>
      <c r="T29" s="450"/>
      <c r="U29" s="450">
        <f>+BSGFws!AR19</f>
        <v>0</v>
      </c>
      <c r="V29" s="450"/>
      <c r="W29" s="450">
        <f t="shared" si="0"/>
        <v>0</v>
      </c>
      <c r="X29" s="450"/>
    </row>
    <row r="30" spans="1:24" s="451" customFormat="1" ht="9.9499999999999993" hidden="1" customHeight="1" x14ac:dyDescent="0.2">
      <c r="A30" s="426" t="s">
        <v>63</v>
      </c>
      <c r="B30" s="447"/>
      <c r="C30" s="450">
        <f>BSGFws!AI20</f>
        <v>0</v>
      </c>
      <c r="D30" s="447"/>
      <c r="E30" s="450">
        <f>BSGFws!AJ20</f>
        <v>0</v>
      </c>
      <c r="F30" s="447"/>
      <c r="G30" s="450">
        <f>BSGFws!AK20</f>
        <v>0</v>
      </c>
      <c r="H30" s="447"/>
      <c r="I30" s="450">
        <f>BSGFws!AL20</f>
        <v>0</v>
      </c>
      <c r="J30" s="447"/>
      <c r="K30" s="450">
        <f>BSGFws!ALR20</f>
        <v>0</v>
      </c>
      <c r="L30" s="447"/>
      <c r="M30" s="450">
        <f>BSGFws!ALS20</f>
        <v>0</v>
      </c>
      <c r="N30" s="447"/>
      <c r="O30" s="450">
        <f>BSGFws!ALU20</f>
        <v>0</v>
      </c>
      <c r="P30" s="447"/>
      <c r="Q30" s="450"/>
      <c r="R30" s="447"/>
      <c r="S30" s="450"/>
      <c r="T30" s="447"/>
      <c r="U30" s="450">
        <f>+BSGFws!AR20</f>
        <v>0</v>
      </c>
      <c r="V30" s="447"/>
      <c r="W30" s="450">
        <f t="shared" si="0"/>
        <v>0</v>
      </c>
      <c r="X30" s="450"/>
    </row>
    <row r="31" spans="1:24" s="451" customFormat="1" ht="9.9499999999999993" hidden="1" customHeight="1" x14ac:dyDescent="0.2">
      <c r="A31" s="426" t="s">
        <v>1216</v>
      </c>
      <c r="B31" s="450"/>
      <c r="C31" s="450"/>
      <c r="D31" s="450"/>
      <c r="E31" s="450">
        <f>BSGFws!AJ20</f>
        <v>0</v>
      </c>
      <c r="F31" s="450"/>
      <c r="G31" s="450"/>
      <c r="H31" s="450"/>
      <c r="I31" s="450"/>
      <c r="J31" s="450"/>
      <c r="K31" s="450">
        <f>BSGFws!ALR21</f>
        <v>0</v>
      </c>
      <c r="L31" s="450"/>
      <c r="M31" s="450">
        <f>BSGFws!ALS21</f>
        <v>0</v>
      </c>
      <c r="N31" s="450"/>
      <c r="O31" s="450">
        <f>BSGFws!ALU21</f>
        <v>0</v>
      </c>
      <c r="P31" s="450"/>
      <c r="Q31" s="450">
        <f>BSGFws!ALW21</f>
        <v>0</v>
      </c>
      <c r="R31" s="450"/>
      <c r="S31" s="450">
        <f>BSGFws!ALY21</f>
        <v>0</v>
      </c>
      <c r="T31" s="450"/>
      <c r="U31" s="450">
        <f>+BSGFws!AR21</f>
        <v>0</v>
      </c>
      <c r="V31" s="450"/>
      <c r="W31" s="450">
        <f t="shared" si="0"/>
        <v>0</v>
      </c>
      <c r="X31" s="450"/>
    </row>
    <row r="32" spans="1:24" s="451" customFormat="1" ht="5.0999999999999996" customHeight="1" x14ac:dyDescent="0.2">
      <c r="A32" s="418"/>
      <c r="B32" s="450"/>
      <c r="C32" s="452"/>
      <c r="D32" s="450"/>
      <c r="E32" s="452"/>
      <c r="F32" s="450"/>
      <c r="G32" s="452"/>
      <c r="H32" s="450"/>
      <c r="I32" s="452"/>
      <c r="J32" s="450"/>
      <c r="K32" s="452"/>
      <c r="L32" s="450"/>
      <c r="M32" s="452"/>
      <c r="N32" s="450"/>
      <c r="O32" s="452"/>
      <c r="P32" s="450"/>
      <c r="Q32" s="452"/>
      <c r="R32" s="450"/>
      <c r="S32" s="452"/>
      <c r="T32" s="450"/>
      <c r="U32" s="452"/>
      <c r="V32" s="450"/>
      <c r="W32" s="452"/>
      <c r="X32" s="450"/>
    </row>
    <row r="33" spans="1:24" s="451" customFormat="1" ht="9.9499999999999993" customHeight="1" thickBot="1" x14ac:dyDescent="0.25">
      <c r="A33" s="417" t="s">
        <v>687</v>
      </c>
      <c r="B33" s="450"/>
      <c r="C33" s="453">
        <f>SUM(C13:C31)</f>
        <v>0</v>
      </c>
      <c r="D33" s="450"/>
      <c r="E33" s="453">
        <f>SUM(E13:E31)</f>
        <v>0</v>
      </c>
      <c r="F33" s="450"/>
      <c r="G33" s="453">
        <f>SUM(G13:G31)</f>
        <v>37456</v>
      </c>
      <c r="H33" s="450"/>
      <c r="I33" s="453">
        <f>SUM(I13:I31)</f>
        <v>1321</v>
      </c>
      <c r="J33" s="450"/>
      <c r="K33" s="453">
        <f>SUM(K13:K31)</f>
        <v>1910</v>
      </c>
      <c r="L33" s="450"/>
      <c r="M33" s="453">
        <f>SUM(M13:M31)</f>
        <v>10018</v>
      </c>
      <c r="N33" s="450"/>
      <c r="O33" s="453">
        <f>SUM(O13:O31)</f>
        <v>18155</v>
      </c>
      <c r="P33" s="450"/>
      <c r="Q33" s="453">
        <f>SUM(Q13:Q31)</f>
        <v>947</v>
      </c>
      <c r="R33" s="450"/>
      <c r="S33" s="453">
        <f>SUM(S13:S31)</f>
        <v>91452</v>
      </c>
      <c r="T33" s="450"/>
      <c r="U33" s="453">
        <f>SUM(U13:U31)</f>
        <v>3151</v>
      </c>
      <c r="V33" s="450"/>
      <c r="W33" s="453">
        <f>SUM(W13:W31)</f>
        <v>164410</v>
      </c>
      <c r="X33" s="450"/>
    </row>
    <row r="34" spans="1:24" s="451" customFormat="1" ht="5.0999999999999996" customHeight="1" thickTop="1" x14ac:dyDescent="0.2">
      <c r="A34" s="418"/>
      <c r="B34" s="450"/>
      <c r="C34" s="450"/>
      <c r="D34" s="450"/>
      <c r="E34" s="450"/>
      <c r="F34" s="450"/>
      <c r="G34" s="450"/>
      <c r="H34" s="450"/>
      <c r="I34" s="450"/>
      <c r="J34" s="450"/>
      <c r="K34" s="450"/>
      <c r="L34" s="450"/>
      <c r="M34" s="450"/>
      <c r="N34" s="450"/>
      <c r="O34" s="450"/>
      <c r="P34" s="450"/>
      <c r="Q34" s="450"/>
      <c r="R34" s="450"/>
      <c r="S34" s="450"/>
      <c r="T34" s="450"/>
      <c r="U34" s="450"/>
      <c r="V34" s="450"/>
      <c r="W34" s="450"/>
      <c r="X34" s="450"/>
    </row>
    <row r="35" spans="1:24" s="451" customFormat="1" ht="12" x14ac:dyDescent="0.2">
      <c r="A35" s="1241" t="s">
        <v>1750</v>
      </c>
      <c r="B35" s="450"/>
      <c r="C35" s="450"/>
      <c r="D35" s="450"/>
      <c r="E35" s="450"/>
      <c r="F35" s="450"/>
      <c r="G35" s="450"/>
      <c r="H35" s="450"/>
      <c r="I35" s="450"/>
      <c r="J35" s="450"/>
      <c r="K35" s="450"/>
      <c r="L35" s="450"/>
      <c r="M35" s="450"/>
      <c r="N35" s="450"/>
      <c r="O35" s="450"/>
      <c r="P35" s="450"/>
      <c r="Q35" s="450"/>
      <c r="R35" s="450"/>
      <c r="S35" s="450"/>
      <c r="T35" s="450"/>
      <c r="U35" s="450"/>
      <c r="V35" s="450"/>
      <c r="W35" s="450"/>
      <c r="X35" s="450"/>
    </row>
    <row r="36" spans="1:24" s="451" customFormat="1" ht="9.9499999999999993" customHeight="1" x14ac:dyDescent="0.2">
      <c r="A36" s="428" t="s">
        <v>751</v>
      </c>
      <c r="B36" s="450"/>
      <c r="C36" s="450"/>
      <c r="D36" s="450"/>
      <c r="E36" s="450"/>
      <c r="F36" s="450"/>
      <c r="G36" s="450"/>
      <c r="H36" s="450"/>
      <c r="I36" s="450"/>
      <c r="J36" s="450"/>
      <c r="K36" s="450"/>
      <c r="L36" s="450"/>
      <c r="M36" s="450"/>
      <c r="N36" s="450"/>
      <c r="O36" s="450"/>
      <c r="P36" s="450"/>
      <c r="Q36" s="450"/>
      <c r="R36" s="450"/>
      <c r="S36" s="450"/>
      <c r="T36" s="450"/>
      <c r="U36" s="450"/>
      <c r="V36" s="450"/>
      <c r="W36" s="450"/>
      <c r="X36" s="450"/>
    </row>
    <row r="37" spans="1:24" s="451" customFormat="1" ht="9.9499999999999993" hidden="1" customHeight="1" x14ac:dyDescent="0.2">
      <c r="A37" s="426" t="s">
        <v>688</v>
      </c>
      <c r="B37" s="450"/>
      <c r="C37" s="450"/>
      <c r="D37" s="450"/>
      <c r="E37" s="450"/>
      <c r="F37" s="450"/>
      <c r="G37" s="450"/>
      <c r="H37" s="450"/>
      <c r="I37" s="450"/>
      <c r="J37" s="450"/>
      <c r="K37" s="450"/>
      <c r="L37" s="450"/>
      <c r="M37" s="450"/>
      <c r="N37" s="450"/>
      <c r="O37" s="450"/>
      <c r="P37" s="450"/>
      <c r="Q37" s="450"/>
      <c r="R37" s="450"/>
      <c r="S37" s="450"/>
      <c r="T37" s="450"/>
      <c r="U37" s="450">
        <f>+BSGFws!AR28</f>
        <v>0</v>
      </c>
      <c r="V37" s="450"/>
      <c r="W37" s="450">
        <f t="shared" ref="W37:W54" si="1">SUM(B37:U37)</f>
        <v>0</v>
      </c>
      <c r="X37" s="450"/>
    </row>
    <row r="38" spans="1:24" s="451" customFormat="1" ht="9.9499999999999993" hidden="1" customHeight="1" x14ac:dyDescent="0.2">
      <c r="A38" s="426" t="s">
        <v>847</v>
      </c>
      <c r="B38" s="450"/>
      <c r="C38" s="450"/>
      <c r="D38" s="450"/>
      <c r="E38" s="450"/>
      <c r="F38" s="450"/>
      <c r="G38" s="450"/>
      <c r="H38" s="450"/>
      <c r="I38" s="450"/>
      <c r="J38" s="450"/>
      <c r="K38" s="450"/>
      <c r="L38" s="450"/>
      <c r="M38" s="450"/>
      <c r="N38" s="450"/>
      <c r="O38" s="450"/>
      <c r="P38" s="450"/>
      <c r="Q38" s="450"/>
      <c r="R38" s="450"/>
      <c r="S38" s="450"/>
      <c r="T38" s="450"/>
      <c r="U38" s="450">
        <f>+BSGFws!AR29</f>
        <v>0</v>
      </c>
      <c r="V38" s="450"/>
      <c r="W38" s="450">
        <f t="shared" si="1"/>
        <v>0</v>
      </c>
      <c r="X38" s="450"/>
    </row>
    <row r="39" spans="1:24" s="451" customFormat="1" ht="9.9499999999999993" hidden="1" customHeight="1" x14ac:dyDescent="0.2">
      <c r="A39" s="426" t="s">
        <v>690</v>
      </c>
      <c r="B39" s="447"/>
      <c r="C39" s="450"/>
      <c r="D39" s="447"/>
      <c r="E39" s="450"/>
      <c r="F39" s="447"/>
      <c r="G39" s="450"/>
      <c r="H39" s="447"/>
      <c r="I39" s="450"/>
      <c r="J39" s="447"/>
      <c r="K39" s="450"/>
      <c r="L39" s="447"/>
      <c r="M39" s="450"/>
      <c r="N39" s="447"/>
      <c r="O39" s="450"/>
      <c r="P39" s="447"/>
      <c r="Q39" s="450"/>
      <c r="R39" s="447"/>
      <c r="S39" s="450"/>
      <c r="T39" s="447"/>
      <c r="U39" s="450">
        <f>+BSGFws!AR30</f>
        <v>0</v>
      </c>
      <c r="V39" s="447"/>
      <c r="W39" s="450">
        <f t="shared" si="1"/>
        <v>0</v>
      </c>
      <c r="X39" s="450"/>
    </row>
    <row r="40" spans="1:24" s="451" customFormat="1" ht="9.9499999999999993" hidden="1" customHeight="1" x14ac:dyDescent="0.2">
      <c r="A40" s="426" t="s">
        <v>691</v>
      </c>
      <c r="B40" s="450"/>
      <c r="C40" s="450"/>
      <c r="D40" s="450"/>
      <c r="E40" s="450"/>
      <c r="F40" s="450"/>
      <c r="G40" s="450"/>
      <c r="H40" s="450"/>
      <c r="I40" s="450"/>
      <c r="J40" s="450"/>
      <c r="K40" s="450"/>
      <c r="L40" s="450"/>
      <c r="M40" s="450"/>
      <c r="N40" s="450"/>
      <c r="O40" s="450"/>
      <c r="P40" s="450"/>
      <c r="Q40" s="450"/>
      <c r="R40" s="450"/>
      <c r="S40" s="450"/>
      <c r="T40" s="450"/>
      <c r="U40" s="450">
        <f>+BSGFws!AR31</f>
        <v>0</v>
      </c>
      <c r="V40" s="450"/>
      <c r="W40" s="450">
        <f t="shared" si="1"/>
        <v>0</v>
      </c>
      <c r="X40" s="450"/>
    </row>
    <row r="41" spans="1:24" s="451" customFormat="1" ht="9.9499999999999993" hidden="1" customHeight="1" x14ac:dyDescent="0.2">
      <c r="A41" s="426" t="s">
        <v>203</v>
      </c>
      <c r="B41" s="450"/>
      <c r="C41" s="450"/>
      <c r="D41" s="450"/>
      <c r="E41" s="450"/>
      <c r="F41" s="450"/>
      <c r="G41" s="450"/>
      <c r="H41" s="450"/>
      <c r="I41" s="450"/>
      <c r="J41" s="450"/>
      <c r="K41" s="450"/>
      <c r="L41" s="450"/>
      <c r="M41" s="450"/>
      <c r="N41" s="450"/>
      <c r="O41" s="450"/>
      <c r="P41" s="450"/>
      <c r="Q41" s="450"/>
      <c r="R41" s="450"/>
      <c r="S41" s="450"/>
      <c r="T41" s="450"/>
      <c r="U41" s="450">
        <f>+BSGFws!AR32</f>
        <v>0</v>
      </c>
      <c r="V41" s="450"/>
      <c r="W41" s="450">
        <f t="shared" si="1"/>
        <v>0</v>
      </c>
      <c r="X41" s="450"/>
    </row>
    <row r="42" spans="1:24" s="451" customFormat="1" ht="9.9499999999999993" hidden="1" customHeight="1" x14ac:dyDescent="0.2">
      <c r="A42" s="426" t="s">
        <v>848</v>
      </c>
      <c r="B42" s="447"/>
      <c r="C42" s="450"/>
      <c r="D42" s="447"/>
      <c r="E42" s="450"/>
      <c r="F42" s="447"/>
      <c r="G42" s="450"/>
      <c r="H42" s="447"/>
      <c r="I42" s="450"/>
      <c r="J42" s="447"/>
      <c r="K42" s="450"/>
      <c r="L42" s="447"/>
      <c r="M42" s="450"/>
      <c r="N42" s="447"/>
      <c r="O42" s="450"/>
      <c r="P42" s="447"/>
      <c r="Q42" s="450"/>
      <c r="R42" s="447"/>
      <c r="S42" s="450"/>
      <c r="T42" s="447"/>
      <c r="U42" s="450">
        <f>+BSGFws!AR33</f>
        <v>0</v>
      </c>
      <c r="V42" s="447"/>
      <c r="W42" s="450">
        <f t="shared" si="1"/>
        <v>0</v>
      </c>
      <c r="X42" s="450"/>
    </row>
    <row r="43" spans="1:24" s="451" customFormat="1" ht="9.9499999999999993" hidden="1" customHeight="1" x14ac:dyDescent="0.2">
      <c r="A43" s="426" t="s">
        <v>695</v>
      </c>
      <c r="B43" s="450"/>
      <c r="C43" s="450"/>
      <c r="D43" s="450"/>
      <c r="E43" s="450"/>
      <c r="F43" s="450"/>
      <c r="G43" s="450"/>
      <c r="H43" s="450"/>
      <c r="I43" s="450"/>
      <c r="J43" s="450"/>
      <c r="K43" s="450"/>
      <c r="L43" s="450"/>
      <c r="M43" s="450"/>
      <c r="N43" s="450"/>
      <c r="O43" s="450"/>
      <c r="P43" s="450"/>
      <c r="Q43" s="450"/>
      <c r="R43" s="450"/>
      <c r="S43" s="450"/>
      <c r="T43" s="450"/>
      <c r="U43" s="450"/>
      <c r="V43" s="450"/>
      <c r="W43" s="450"/>
      <c r="X43" s="450"/>
    </row>
    <row r="44" spans="1:24" s="451" customFormat="1" ht="9.9499999999999993" hidden="1" customHeight="1" x14ac:dyDescent="0.2">
      <c r="A44" s="426" t="s">
        <v>604</v>
      </c>
      <c r="B44" s="450"/>
      <c r="C44" s="450"/>
      <c r="D44" s="450"/>
      <c r="E44" s="450"/>
      <c r="F44" s="450"/>
      <c r="G44" s="450"/>
      <c r="H44" s="450"/>
      <c r="I44" s="450"/>
      <c r="J44" s="450"/>
      <c r="K44" s="450"/>
      <c r="L44" s="450"/>
      <c r="M44" s="450"/>
      <c r="N44" s="450"/>
      <c r="O44" s="450"/>
      <c r="P44" s="450"/>
      <c r="Q44" s="450"/>
      <c r="R44" s="450"/>
      <c r="S44" s="450"/>
      <c r="T44" s="450"/>
      <c r="U44" s="450">
        <f>+BSGFws!AR34</f>
        <v>0</v>
      </c>
      <c r="V44" s="450"/>
      <c r="W44" s="450">
        <f t="shared" si="1"/>
        <v>0</v>
      </c>
      <c r="X44" s="450"/>
    </row>
    <row r="45" spans="1:24" s="451" customFormat="1" ht="9.9499999999999993" hidden="1" customHeight="1" x14ac:dyDescent="0.2">
      <c r="A45" s="426" t="s">
        <v>593</v>
      </c>
      <c r="B45" s="450"/>
      <c r="C45" s="450"/>
      <c r="D45" s="450"/>
      <c r="E45" s="450"/>
      <c r="F45" s="450"/>
      <c r="G45" s="450"/>
      <c r="H45" s="450"/>
      <c r="I45" s="450"/>
      <c r="J45" s="450"/>
      <c r="K45" s="450"/>
      <c r="L45" s="450"/>
      <c r="M45" s="450"/>
      <c r="N45" s="450"/>
      <c r="O45" s="450"/>
      <c r="P45" s="450"/>
      <c r="Q45" s="450"/>
      <c r="R45" s="450"/>
      <c r="S45" s="450"/>
      <c r="T45" s="450"/>
      <c r="U45" s="450">
        <f>+BSGFws!AR35</f>
        <v>0</v>
      </c>
      <c r="V45" s="450"/>
      <c r="W45" s="450">
        <f t="shared" si="1"/>
        <v>0</v>
      </c>
      <c r="X45" s="450"/>
    </row>
    <row r="46" spans="1:24" s="451" customFormat="1" ht="9.9499999999999993" customHeight="1" x14ac:dyDescent="0.2">
      <c r="A46" s="426" t="s">
        <v>1304</v>
      </c>
      <c r="B46" s="450"/>
      <c r="C46" s="450"/>
      <c r="D46" s="450"/>
      <c r="E46" s="450"/>
      <c r="F46" s="450"/>
      <c r="G46" s="450"/>
      <c r="H46" s="450"/>
      <c r="I46" s="450"/>
      <c r="J46" s="450"/>
      <c r="K46" s="450"/>
      <c r="L46" s="450"/>
      <c r="M46" s="450"/>
      <c r="N46" s="450"/>
      <c r="O46" s="450"/>
      <c r="P46" s="450"/>
      <c r="Q46" s="450"/>
      <c r="R46" s="450"/>
      <c r="S46" s="450"/>
      <c r="T46" s="450"/>
      <c r="U46" s="450">
        <f>+BSGFws!AR36</f>
        <v>0</v>
      </c>
      <c r="V46" s="450"/>
      <c r="W46" s="450">
        <f t="shared" si="1"/>
        <v>0</v>
      </c>
      <c r="X46" s="450"/>
    </row>
    <row r="47" spans="1:24" s="451" customFormat="1" ht="9.9499999999999993" customHeight="1" x14ac:dyDescent="0.2">
      <c r="A47" s="427" t="s">
        <v>688</v>
      </c>
      <c r="B47" s="450"/>
      <c r="C47" s="339">
        <f>BSGFws!AI37</f>
        <v>0</v>
      </c>
      <c r="D47" s="339"/>
      <c r="E47" s="339">
        <f>BSGFws!AJ37</f>
        <v>0</v>
      </c>
      <c r="F47" s="339"/>
      <c r="G47" s="339">
        <f>BSGFws!AK37</f>
        <v>0</v>
      </c>
      <c r="H47" s="339"/>
      <c r="I47" s="339">
        <f>BSGFws!AL37</f>
        <v>0</v>
      </c>
      <c r="J47" s="339"/>
      <c r="K47" s="339">
        <f>BSGFws!AM37</f>
        <v>0</v>
      </c>
      <c r="L47" s="339"/>
      <c r="M47" s="339">
        <f>BSGFws!AN37</f>
        <v>0</v>
      </c>
      <c r="N47" s="339"/>
      <c r="O47" s="339">
        <f>BSGFws!AO37</f>
        <v>0</v>
      </c>
      <c r="P47" s="339"/>
      <c r="Q47" s="339">
        <f>BSGFws!AP37</f>
        <v>0</v>
      </c>
      <c r="R47" s="339"/>
      <c r="S47" s="339">
        <f>BSGFws!AQ37</f>
        <v>0</v>
      </c>
      <c r="T47" s="339"/>
      <c r="U47" s="339">
        <f>+BSGFws!AR37</f>
        <v>3074</v>
      </c>
      <c r="V47" s="339"/>
      <c r="W47" s="339">
        <f t="shared" si="1"/>
        <v>3074</v>
      </c>
      <c r="X47" s="450"/>
    </row>
    <row r="48" spans="1:24" s="451" customFormat="1" ht="9.9499999999999993" customHeight="1" x14ac:dyDescent="0.2">
      <c r="A48" s="427" t="s">
        <v>847</v>
      </c>
      <c r="B48" s="450"/>
      <c r="C48" s="450">
        <f>BSGFws!AI38</f>
        <v>0</v>
      </c>
      <c r="D48" s="450"/>
      <c r="E48" s="450">
        <f>BSGFws!AJ38</f>
        <v>0</v>
      </c>
      <c r="F48" s="450"/>
      <c r="G48" s="450">
        <f>BSGFws!AK38</f>
        <v>0</v>
      </c>
      <c r="H48" s="450"/>
      <c r="I48" s="450">
        <f>BSGFws!AL38</f>
        <v>258</v>
      </c>
      <c r="J48" s="450"/>
      <c r="K48" s="450">
        <f>BSGFws!AM38</f>
        <v>0</v>
      </c>
      <c r="L48" s="450"/>
      <c r="M48" s="450">
        <f>BSGFws!AN38</f>
        <v>0</v>
      </c>
      <c r="N48" s="450"/>
      <c r="O48" s="450">
        <f>BSGFws!AO38</f>
        <v>0</v>
      </c>
      <c r="P48" s="450"/>
      <c r="Q48" s="450"/>
      <c r="R48" s="450"/>
      <c r="S48" s="450"/>
      <c r="T48" s="450"/>
      <c r="U48" s="450">
        <f>+BSGFws!AR38</f>
        <v>526</v>
      </c>
      <c r="V48" s="450"/>
      <c r="W48" s="450">
        <f t="shared" si="1"/>
        <v>784</v>
      </c>
      <c r="X48" s="450"/>
    </row>
    <row r="49" spans="1:24" s="451" customFormat="1" ht="9.9499999999999993" customHeight="1" x14ac:dyDescent="0.2">
      <c r="A49" s="427" t="s">
        <v>690</v>
      </c>
      <c r="B49" s="450"/>
      <c r="C49" s="450">
        <f>BSGFws!AI39</f>
        <v>0</v>
      </c>
      <c r="D49" s="450"/>
      <c r="E49" s="450">
        <f>BSGFws!AJ39</f>
        <v>0</v>
      </c>
      <c r="F49" s="450"/>
      <c r="G49" s="450">
        <f>BSGFws!AK39</f>
        <v>0</v>
      </c>
      <c r="H49" s="450"/>
      <c r="I49" s="450">
        <f>BSGFws!AL39</f>
        <v>0</v>
      </c>
      <c r="J49" s="450"/>
      <c r="K49" s="450">
        <f>BSGFws!AM39</f>
        <v>0</v>
      </c>
      <c r="L49" s="450"/>
      <c r="M49" s="450">
        <f>BSGFws!AN39</f>
        <v>0</v>
      </c>
      <c r="N49" s="450"/>
      <c r="O49" s="450">
        <f>BSGFws!AO39</f>
        <v>0</v>
      </c>
      <c r="P49" s="450"/>
      <c r="Q49" s="450"/>
      <c r="R49" s="450"/>
      <c r="S49" s="450"/>
      <c r="T49" s="450"/>
      <c r="U49" s="450">
        <f>+BSGFws!AR39</f>
        <v>6</v>
      </c>
      <c r="V49" s="450"/>
      <c r="W49" s="450">
        <f t="shared" si="1"/>
        <v>6</v>
      </c>
      <c r="X49" s="450"/>
    </row>
    <row r="50" spans="1:24" s="451" customFormat="1" ht="9.9499999999999993" hidden="1" customHeight="1" x14ac:dyDescent="0.2">
      <c r="A50" s="427" t="s">
        <v>691</v>
      </c>
      <c r="B50" s="450"/>
      <c r="C50" s="450">
        <f>BSGFws!AI40</f>
        <v>0</v>
      </c>
      <c r="D50" s="450"/>
      <c r="E50" s="450">
        <f>BSGFws!AJ40</f>
        <v>0</v>
      </c>
      <c r="F50" s="450"/>
      <c r="G50" s="450">
        <f>BSGFws!AK40</f>
        <v>0</v>
      </c>
      <c r="H50" s="450"/>
      <c r="I50" s="450">
        <f>BSGFws!AL40</f>
        <v>0</v>
      </c>
      <c r="J50" s="450"/>
      <c r="K50" s="450">
        <f>BSGFws!AM40</f>
        <v>0</v>
      </c>
      <c r="L50" s="450"/>
      <c r="M50" s="450">
        <f>BSGFws!AN40</f>
        <v>0</v>
      </c>
      <c r="N50" s="450"/>
      <c r="O50" s="450">
        <f>BSGFws!AO40</f>
        <v>0</v>
      </c>
      <c r="P50" s="450"/>
      <c r="Q50" s="450"/>
      <c r="R50" s="450"/>
      <c r="S50" s="450"/>
      <c r="T50" s="450"/>
      <c r="U50" s="450">
        <f>+BSGFws!AR40</f>
        <v>0</v>
      </c>
      <c r="V50" s="450"/>
      <c r="W50" s="450">
        <f t="shared" si="1"/>
        <v>0</v>
      </c>
      <c r="X50" s="450"/>
    </row>
    <row r="51" spans="1:24" s="451" customFormat="1" ht="9.9499999999999993" customHeight="1" x14ac:dyDescent="0.2">
      <c r="A51" s="427" t="s">
        <v>692</v>
      </c>
      <c r="B51" s="450"/>
      <c r="C51" s="450">
        <f>BSGFws!AI41</f>
        <v>0</v>
      </c>
      <c r="D51" s="450"/>
      <c r="E51" s="450">
        <f>BSGFws!AJ41</f>
        <v>0</v>
      </c>
      <c r="F51" s="450"/>
      <c r="G51" s="450">
        <f>BSGFws!AK41</f>
        <v>0</v>
      </c>
      <c r="H51" s="450"/>
      <c r="I51" s="450">
        <f>BSGFws!AL41</f>
        <v>0</v>
      </c>
      <c r="J51" s="450"/>
      <c r="K51" s="450">
        <f>BSGFws!AM41</f>
        <v>0</v>
      </c>
      <c r="L51" s="450"/>
      <c r="M51" s="450">
        <f>BSGFws!AN41</f>
        <v>0</v>
      </c>
      <c r="N51" s="450"/>
      <c r="O51" s="450">
        <f>BSGFws!AO41</f>
        <v>0</v>
      </c>
      <c r="P51" s="450"/>
      <c r="Q51" s="450"/>
      <c r="R51" s="450"/>
      <c r="S51" s="450"/>
      <c r="T51" s="450"/>
      <c r="U51" s="450">
        <f>+BSGFws!AR41</f>
        <v>52</v>
      </c>
      <c r="V51" s="450"/>
      <c r="W51" s="450">
        <f t="shared" si="1"/>
        <v>52</v>
      </c>
      <c r="X51" s="450"/>
    </row>
    <row r="52" spans="1:24" s="451" customFormat="1" ht="9.9499999999999993" hidden="1" customHeight="1" x14ac:dyDescent="0.2">
      <c r="A52" s="427" t="s">
        <v>848</v>
      </c>
      <c r="B52" s="450"/>
      <c r="C52" s="450">
        <f>BSGFws!AI42</f>
        <v>0</v>
      </c>
      <c r="D52" s="450"/>
      <c r="E52" s="450">
        <f>BSGFws!AJ42</f>
        <v>0</v>
      </c>
      <c r="F52" s="450"/>
      <c r="G52" s="450">
        <f>BSGFws!AK42</f>
        <v>0</v>
      </c>
      <c r="H52" s="450"/>
      <c r="I52" s="450">
        <f>BSGFws!AL42</f>
        <v>0</v>
      </c>
      <c r="J52" s="450"/>
      <c r="K52" s="450">
        <f>BSGFws!AM42</f>
        <v>0</v>
      </c>
      <c r="L52" s="450"/>
      <c r="M52" s="450">
        <f>BSGFws!AN42</f>
        <v>0</v>
      </c>
      <c r="N52" s="450"/>
      <c r="O52" s="450">
        <f>BSGFws!AO42</f>
        <v>0</v>
      </c>
      <c r="P52" s="450"/>
      <c r="Q52" s="450"/>
      <c r="R52" s="450"/>
      <c r="S52" s="450"/>
      <c r="T52" s="450"/>
      <c r="U52" s="450">
        <f>+BSGFws!AR42</f>
        <v>0</v>
      </c>
      <c r="V52" s="450"/>
      <c r="W52" s="450">
        <f t="shared" si="1"/>
        <v>0</v>
      </c>
      <c r="X52" s="450"/>
    </row>
    <row r="53" spans="1:24" s="451" customFormat="1" ht="9.9499999999999993" hidden="1" customHeight="1" x14ac:dyDescent="0.2">
      <c r="A53" s="427" t="s">
        <v>604</v>
      </c>
      <c r="B53" s="450"/>
      <c r="C53" s="450">
        <f>BSGFws!AI43</f>
        <v>0</v>
      </c>
      <c r="D53" s="450"/>
      <c r="E53" s="450">
        <f>BSGFws!AJ43</f>
        <v>0</v>
      </c>
      <c r="F53" s="450"/>
      <c r="G53" s="450">
        <f>BSGFws!AK43</f>
        <v>0</v>
      </c>
      <c r="H53" s="450"/>
      <c r="I53" s="450">
        <f>BSGFws!AL43</f>
        <v>0</v>
      </c>
      <c r="J53" s="450"/>
      <c r="K53" s="450">
        <f>BSGFws!AM43</f>
        <v>0</v>
      </c>
      <c r="L53" s="450"/>
      <c r="M53" s="450">
        <f>BSGFws!AN43</f>
        <v>0</v>
      </c>
      <c r="N53" s="450"/>
      <c r="O53" s="450">
        <f>BSGFws!AO43</f>
        <v>0</v>
      </c>
      <c r="P53" s="450"/>
      <c r="Q53" s="450">
        <f>+BSGFws!AP43</f>
        <v>0</v>
      </c>
      <c r="R53" s="450"/>
      <c r="S53" s="450">
        <f>+BSGFws!AQ43</f>
        <v>0</v>
      </c>
      <c r="T53" s="450"/>
      <c r="U53" s="450">
        <f>+BSGFws!AR43</f>
        <v>0</v>
      </c>
      <c r="V53" s="450"/>
      <c r="W53" s="450">
        <f t="shared" si="1"/>
        <v>0</v>
      </c>
      <c r="X53" s="450"/>
    </row>
    <row r="54" spans="1:24" s="451" customFormat="1" ht="9.9499999999999993" hidden="1" customHeight="1" x14ac:dyDescent="0.2">
      <c r="A54" s="427" t="s">
        <v>593</v>
      </c>
      <c r="B54" s="450"/>
      <c r="C54" s="450"/>
      <c r="D54" s="450"/>
      <c r="E54" s="450">
        <f>BSGFws!AJ43</f>
        <v>0</v>
      </c>
      <c r="F54" s="450"/>
      <c r="G54" s="450"/>
      <c r="H54" s="450"/>
      <c r="I54" s="450"/>
      <c r="J54" s="450"/>
      <c r="K54" s="450">
        <f>BSGFws!AM44</f>
        <v>0</v>
      </c>
      <c r="L54" s="450"/>
      <c r="M54" s="450">
        <f>BSGFws!AN44</f>
        <v>0</v>
      </c>
      <c r="N54" s="450"/>
      <c r="O54" s="450">
        <f>BSGFws!AO44</f>
        <v>0</v>
      </c>
      <c r="P54" s="450"/>
      <c r="Q54" s="450"/>
      <c r="R54" s="450"/>
      <c r="S54" s="450"/>
      <c r="T54" s="450"/>
      <c r="U54" s="450">
        <f>+BSGFws!AR44</f>
        <v>0</v>
      </c>
      <c r="V54" s="450"/>
      <c r="W54" s="450">
        <f t="shared" si="1"/>
        <v>0</v>
      </c>
      <c r="X54" s="450"/>
    </row>
    <row r="55" spans="1:24" s="451" customFormat="1" ht="5.0999999999999996" customHeight="1" x14ac:dyDescent="0.2">
      <c r="A55" s="418"/>
      <c r="B55" s="450"/>
      <c r="C55" s="452"/>
      <c r="D55" s="450"/>
      <c r="E55" s="452"/>
      <c r="F55" s="450"/>
      <c r="G55" s="452"/>
      <c r="H55" s="450"/>
      <c r="I55" s="452"/>
      <c r="J55" s="450"/>
      <c r="K55" s="452"/>
      <c r="L55" s="450"/>
      <c r="M55" s="452"/>
      <c r="N55" s="450"/>
      <c r="O55" s="452"/>
      <c r="P55" s="450"/>
      <c r="Q55" s="452"/>
      <c r="R55" s="450"/>
      <c r="S55" s="452"/>
      <c r="T55" s="450"/>
      <c r="U55" s="452"/>
      <c r="V55" s="450"/>
      <c r="W55" s="452"/>
      <c r="X55" s="450"/>
    </row>
    <row r="56" spans="1:24" s="451" customFormat="1" ht="9.9499999999999993" customHeight="1" x14ac:dyDescent="0.2">
      <c r="A56" s="428" t="s">
        <v>702</v>
      </c>
      <c r="B56" s="450"/>
      <c r="C56" s="455">
        <f>SUM(C37:C54)</f>
        <v>0</v>
      </c>
      <c r="D56" s="450"/>
      <c r="E56" s="455">
        <f>SUM(E37:E54)</f>
        <v>0</v>
      </c>
      <c r="F56" s="450"/>
      <c r="G56" s="455">
        <f>SUM(G37:G54)</f>
        <v>0</v>
      </c>
      <c r="H56" s="450"/>
      <c r="I56" s="455">
        <f>SUM(I37:I54)</f>
        <v>258</v>
      </c>
      <c r="J56" s="450"/>
      <c r="K56" s="455">
        <f>SUM(K37:K54)</f>
        <v>0</v>
      </c>
      <c r="L56" s="450"/>
      <c r="M56" s="455">
        <f>SUM(M37:M54)</f>
        <v>0</v>
      </c>
      <c r="N56" s="450"/>
      <c r="O56" s="455">
        <f>SUM(O37:O54)</f>
        <v>0</v>
      </c>
      <c r="P56" s="450"/>
      <c r="Q56" s="455">
        <f>SUM(Q37:Q54)</f>
        <v>0</v>
      </c>
      <c r="R56" s="450"/>
      <c r="S56" s="455">
        <f>SUM(S37:S54)</f>
        <v>0</v>
      </c>
      <c r="T56" s="450"/>
      <c r="U56" s="455">
        <f>SUM(U37:U54)</f>
        <v>3658</v>
      </c>
      <c r="V56" s="450"/>
      <c r="W56" s="455">
        <f>SUM(W37:W54)</f>
        <v>3916</v>
      </c>
      <c r="X56" s="450"/>
    </row>
    <row r="57" spans="1:24" s="253" customFormat="1" ht="5.0999999999999996" hidden="1" customHeight="1" x14ac:dyDescent="0.2">
      <c r="A57" s="417"/>
      <c r="B57" s="362"/>
      <c r="D57" s="362"/>
      <c r="F57" s="362"/>
      <c r="H57" s="362"/>
      <c r="J57" s="362"/>
      <c r="L57" s="362"/>
      <c r="N57" s="362"/>
      <c r="P57" s="362"/>
      <c r="R57" s="362"/>
      <c r="T57" s="362"/>
      <c r="V57" s="362"/>
    </row>
    <row r="58" spans="1:24" s="253" customFormat="1" ht="9.9499999999999993" hidden="1" customHeight="1" x14ac:dyDescent="0.2">
      <c r="A58" s="417"/>
      <c r="B58" s="362"/>
      <c r="D58" s="362"/>
      <c r="F58" s="362"/>
      <c r="H58" s="362"/>
      <c r="J58" s="362"/>
      <c r="L58" s="362"/>
      <c r="N58" s="362"/>
      <c r="P58" s="362"/>
      <c r="R58" s="362"/>
      <c r="T58" s="362"/>
      <c r="V58" s="362"/>
    </row>
    <row r="59" spans="1:24" s="253" customFormat="1" ht="9.9499999999999993" hidden="1" customHeight="1" x14ac:dyDescent="0.2">
      <c r="A59" s="428" t="s">
        <v>1206</v>
      </c>
      <c r="B59" s="362"/>
      <c r="D59" s="362"/>
      <c r="F59" s="362"/>
      <c r="H59" s="362"/>
      <c r="J59" s="362"/>
      <c r="L59" s="362"/>
      <c r="N59" s="362"/>
      <c r="P59" s="362"/>
      <c r="R59" s="362"/>
      <c r="T59" s="362"/>
      <c r="U59" s="450">
        <f>BSGFws!AR47</f>
        <v>0</v>
      </c>
      <c r="V59" s="362"/>
      <c r="W59" s="450">
        <f>SUM(B59:U59)</f>
        <v>0</v>
      </c>
    </row>
    <row r="60" spans="1:24" s="253" customFormat="1" ht="5.0999999999999996" customHeight="1" x14ac:dyDescent="0.2">
      <c r="A60" s="417"/>
      <c r="B60" s="362"/>
      <c r="C60" s="661"/>
      <c r="D60" s="362"/>
      <c r="E60" s="661"/>
      <c r="F60" s="362"/>
      <c r="G60" s="661"/>
      <c r="H60" s="362"/>
      <c r="I60" s="661"/>
      <c r="J60" s="362"/>
      <c r="K60" s="661"/>
      <c r="L60" s="362"/>
      <c r="M60" s="661"/>
      <c r="N60" s="362"/>
      <c r="O60" s="661"/>
      <c r="P60" s="362"/>
      <c r="Q60" s="661"/>
      <c r="R60" s="362"/>
      <c r="S60" s="661"/>
      <c r="T60" s="362"/>
      <c r="U60" s="661"/>
      <c r="V60" s="362"/>
      <c r="W60" s="661"/>
    </row>
    <row r="61" spans="1:24" s="253" customFormat="1" ht="9.9499999999999993" hidden="1" customHeight="1" x14ac:dyDescent="0.2">
      <c r="A61" s="417"/>
      <c r="B61" s="362"/>
      <c r="D61" s="362"/>
      <c r="F61" s="362"/>
      <c r="H61" s="362"/>
      <c r="J61" s="362"/>
      <c r="L61" s="362"/>
      <c r="N61" s="362"/>
      <c r="P61" s="362"/>
      <c r="R61" s="362"/>
      <c r="T61" s="362"/>
      <c r="V61" s="362"/>
    </row>
    <row r="62" spans="1:24" s="451" customFormat="1" ht="9.9499999999999993" customHeight="1" x14ac:dyDescent="0.2">
      <c r="A62" s="428" t="s">
        <v>1480</v>
      </c>
      <c r="B62" s="450"/>
      <c r="C62" s="450"/>
      <c r="D62" s="450"/>
      <c r="E62" s="450"/>
      <c r="F62" s="450"/>
      <c r="G62" s="450"/>
      <c r="H62" s="450"/>
      <c r="I62" s="450"/>
      <c r="J62" s="450"/>
      <c r="K62" s="450"/>
      <c r="L62" s="450"/>
      <c r="M62" s="450"/>
      <c r="N62" s="450"/>
      <c r="O62" s="450"/>
      <c r="P62" s="450"/>
      <c r="Q62" s="450"/>
      <c r="R62" s="450"/>
      <c r="S62" s="450"/>
      <c r="T62" s="450"/>
      <c r="U62" s="450"/>
      <c r="V62" s="450"/>
      <c r="W62" s="450"/>
      <c r="X62" s="450"/>
    </row>
    <row r="63" spans="1:24" s="451" customFormat="1" ht="9.9499999999999993" hidden="1" customHeight="1" x14ac:dyDescent="0.2">
      <c r="A63" s="776" t="s">
        <v>392</v>
      </c>
      <c r="B63" s="450"/>
      <c r="C63" s="450">
        <f>BSGFws!AI50</f>
        <v>0</v>
      </c>
      <c r="D63" s="450"/>
      <c r="E63" s="450">
        <f>BSGFws!AJ50</f>
        <v>0</v>
      </c>
      <c r="F63" s="450"/>
      <c r="G63" s="450">
        <f>BSGFws!AK50</f>
        <v>0</v>
      </c>
      <c r="H63" s="450"/>
      <c r="I63" s="450">
        <f>BSGFws!AL50</f>
        <v>0</v>
      </c>
      <c r="J63" s="450"/>
      <c r="K63" s="450">
        <f>BSGFws!AR50</f>
        <v>0</v>
      </c>
      <c r="L63" s="450"/>
      <c r="M63" s="450">
        <f>BSGFws!AS50</f>
        <v>0</v>
      </c>
      <c r="N63" s="450"/>
      <c r="O63" s="450">
        <f>BSGFws!AU50</f>
        <v>0</v>
      </c>
      <c r="P63" s="450"/>
      <c r="Q63" s="450"/>
      <c r="R63" s="450"/>
      <c r="S63" s="450"/>
      <c r="T63" s="450"/>
      <c r="U63" s="450">
        <f>+BSGFws!AR50</f>
        <v>0</v>
      </c>
      <c r="V63" s="450"/>
      <c r="W63" s="450">
        <f>SUM(B63:U63)</f>
        <v>0</v>
      </c>
      <c r="X63" s="450"/>
    </row>
    <row r="64" spans="1:24" s="451" customFormat="1" ht="9.9499999999999993" customHeight="1" x14ac:dyDescent="0.2">
      <c r="A64" s="776" t="s">
        <v>789</v>
      </c>
      <c r="B64" s="450"/>
      <c r="C64" s="450">
        <f>BSGFws!AI51</f>
        <v>0</v>
      </c>
      <c r="D64" s="450"/>
      <c r="E64" s="450">
        <f>BSGFws!AJ51</f>
        <v>0</v>
      </c>
      <c r="F64" s="450"/>
      <c r="G64" s="450">
        <f>BSGFws!AK51</f>
        <v>37456</v>
      </c>
      <c r="H64" s="450"/>
      <c r="I64" s="450">
        <f>BSGFws!AL51</f>
        <v>1063</v>
      </c>
      <c r="J64" s="450"/>
      <c r="K64" s="450">
        <f>BSGFws!AM51</f>
        <v>1910</v>
      </c>
      <c r="L64" s="450"/>
      <c r="M64" s="450">
        <f>BSGFws!AN51</f>
        <v>10018</v>
      </c>
      <c r="N64" s="450"/>
      <c r="O64" s="450">
        <f>BSGFws!AO51</f>
        <v>18155</v>
      </c>
      <c r="P64" s="450"/>
      <c r="Q64" s="450">
        <f>BSGFws!AP51</f>
        <v>947</v>
      </c>
      <c r="R64" s="450"/>
      <c r="S64" s="450">
        <f>BSGFws!AQ51</f>
        <v>91452</v>
      </c>
      <c r="T64" s="450"/>
      <c r="U64" s="450">
        <f>+BSGFws!AR51</f>
        <v>0</v>
      </c>
      <c r="V64" s="450"/>
      <c r="W64" s="450">
        <f>SUM(B64:U64)</f>
        <v>161001</v>
      </c>
      <c r="X64" s="450"/>
    </row>
    <row r="65" spans="1:32" s="451" customFormat="1" ht="9.9499999999999993" hidden="1" customHeight="1" x14ac:dyDescent="0.2">
      <c r="A65" s="776" t="s">
        <v>393</v>
      </c>
      <c r="B65" s="450"/>
      <c r="C65" s="450">
        <f>BSGFws!AI52</f>
        <v>0</v>
      </c>
      <c r="D65" s="450"/>
      <c r="E65" s="450">
        <f>BSGFws!AJ52</f>
        <v>0</v>
      </c>
      <c r="F65" s="450"/>
      <c r="G65" s="450">
        <f>BSGFws!AK52</f>
        <v>0</v>
      </c>
      <c r="H65" s="450"/>
      <c r="I65" s="450">
        <f>BSGFws!AL52</f>
        <v>0</v>
      </c>
      <c r="J65" s="450"/>
      <c r="K65" s="450">
        <f>BSGFws!AR52</f>
        <v>0</v>
      </c>
      <c r="L65" s="450"/>
      <c r="M65" s="450">
        <f>BSGFws!AS52</f>
        <v>0</v>
      </c>
      <c r="N65" s="450"/>
      <c r="O65" s="450">
        <f>BSGFws!AU52</f>
        <v>0</v>
      </c>
      <c r="P65" s="450"/>
      <c r="Q65" s="450"/>
      <c r="R65" s="450"/>
      <c r="S65" s="450"/>
      <c r="T65" s="450"/>
      <c r="U65" s="450">
        <f>+BSGFws!AR52</f>
        <v>0</v>
      </c>
      <c r="V65" s="450"/>
      <c r="W65" s="450">
        <f>SUM(B65:U65)</f>
        <v>0</v>
      </c>
      <c r="X65" s="450"/>
    </row>
    <row r="66" spans="1:32" s="451" customFormat="1" ht="9.9499999999999993" hidden="1" customHeight="1" x14ac:dyDescent="0.2">
      <c r="A66" s="776" t="s">
        <v>394</v>
      </c>
      <c r="B66" s="450"/>
      <c r="C66" s="450">
        <f>BSGFws!AI53</f>
        <v>0</v>
      </c>
      <c r="D66" s="450"/>
      <c r="E66" s="450">
        <f>BSGFws!AJ53</f>
        <v>0</v>
      </c>
      <c r="F66" s="450"/>
      <c r="G66" s="450">
        <f>BSGFws!AK53</f>
        <v>0</v>
      </c>
      <c r="H66" s="450"/>
      <c r="I66" s="450">
        <f>BSGFws!AL53</f>
        <v>0</v>
      </c>
      <c r="J66" s="450"/>
      <c r="K66" s="450">
        <f>BSGFws!AR53</f>
        <v>0</v>
      </c>
      <c r="L66" s="450"/>
      <c r="M66" s="450">
        <f>BSGFws!AS53</f>
        <v>0</v>
      </c>
      <c r="N66" s="450"/>
      <c r="O66" s="450">
        <f>BSGFws!AU53</f>
        <v>0</v>
      </c>
      <c r="P66" s="450"/>
      <c r="Q66" s="450"/>
      <c r="R66" s="450"/>
      <c r="S66" s="450"/>
      <c r="T66" s="450"/>
      <c r="U66" s="450">
        <f>+BSGFws!AR53</f>
        <v>0</v>
      </c>
      <c r="V66" s="450"/>
      <c r="W66" s="450">
        <f>SUM(B66:U66)</f>
        <v>0</v>
      </c>
      <c r="X66" s="450"/>
    </row>
    <row r="67" spans="1:32" s="451" customFormat="1" ht="9.9499999999999993" customHeight="1" x14ac:dyDescent="0.2">
      <c r="A67" s="776" t="s">
        <v>395</v>
      </c>
      <c r="B67" s="450"/>
      <c r="C67" s="450">
        <f>BSGFws!AI54</f>
        <v>0</v>
      </c>
      <c r="D67" s="450"/>
      <c r="E67" s="450"/>
      <c r="F67" s="450"/>
      <c r="G67" s="450"/>
      <c r="H67" s="450"/>
      <c r="I67" s="450">
        <f>BSGFws!AL54</f>
        <v>0</v>
      </c>
      <c r="J67" s="450"/>
      <c r="K67" s="450"/>
      <c r="L67" s="450"/>
      <c r="M67" s="450">
        <f>BSGFws!AN54</f>
        <v>0</v>
      </c>
      <c r="N67" s="450"/>
      <c r="O67" s="450">
        <f>BSGFws!AO54</f>
        <v>0</v>
      </c>
      <c r="P67" s="450"/>
      <c r="Q67" s="450"/>
      <c r="R67" s="450"/>
      <c r="S67" s="450"/>
      <c r="T67" s="450"/>
      <c r="U67" s="450">
        <f>+BSGFws!AR54</f>
        <v>-507</v>
      </c>
      <c r="V67" s="450"/>
      <c r="W67" s="450">
        <f>SUM(B67:U67)</f>
        <v>-507</v>
      </c>
      <c r="X67" s="450"/>
    </row>
    <row r="68" spans="1:32" s="451" customFormat="1" ht="5.0999999999999996" customHeight="1" x14ac:dyDescent="0.2">
      <c r="A68" s="418"/>
      <c r="B68" s="450"/>
      <c r="C68" s="452"/>
      <c r="D68" s="450"/>
      <c r="E68" s="452"/>
      <c r="F68" s="450"/>
      <c r="G68" s="452"/>
      <c r="H68" s="450"/>
      <c r="I68" s="452"/>
      <c r="J68" s="450"/>
      <c r="K68" s="452"/>
      <c r="L68" s="450"/>
      <c r="M68" s="452"/>
      <c r="N68" s="450"/>
      <c r="O68" s="452"/>
      <c r="P68" s="450"/>
      <c r="Q68" s="452"/>
      <c r="R68" s="450"/>
      <c r="S68" s="452"/>
      <c r="T68" s="450"/>
      <c r="U68" s="452"/>
      <c r="V68" s="450"/>
      <c r="W68" s="452"/>
      <c r="X68" s="450"/>
    </row>
    <row r="69" spans="1:32" s="451" customFormat="1" ht="9.9499999999999993" customHeight="1" x14ac:dyDescent="0.2">
      <c r="A69" s="428" t="s">
        <v>1479</v>
      </c>
      <c r="B69" s="450"/>
      <c r="C69" s="455">
        <f>SUM(C63:C67)</f>
        <v>0</v>
      </c>
      <c r="D69" s="450"/>
      <c r="E69" s="455">
        <f>SUM(E63:E67)</f>
        <v>0</v>
      </c>
      <c r="F69" s="450"/>
      <c r="G69" s="455">
        <f>SUM(G63:G67)</f>
        <v>37456</v>
      </c>
      <c r="H69" s="450"/>
      <c r="I69" s="455">
        <f>SUM(I63:I67)</f>
        <v>1063</v>
      </c>
      <c r="J69" s="450"/>
      <c r="K69" s="455">
        <f>SUM(K63:K67)</f>
        <v>1910</v>
      </c>
      <c r="L69" s="450"/>
      <c r="M69" s="455">
        <f>SUM(M63:M67)</f>
        <v>10018</v>
      </c>
      <c r="N69" s="450"/>
      <c r="O69" s="455">
        <f>SUM(O63:O67)</f>
        <v>18155</v>
      </c>
      <c r="P69" s="450"/>
      <c r="Q69" s="455">
        <f>SUM(Q63:Q67)</f>
        <v>947</v>
      </c>
      <c r="R69" s="450"/>
      <c r="S69" s="455">
        <f>SUM(S63:S67)</f>
        <v>91452</v>
      </c>
      <c r="T69" s="450"/>
      <c r="U69" s="455">
        <f>SUM(U63:U67)</f>
        <v>-507</v>
      </c>
      <c r="V69" s="450"/>
      <c r="W69" s="455">
        <f>SUM(W64:W67)</f>
        <v>160494</v>
      </c>
      <c r="X69" s="450"/>
    </row>
    <row r="70" spans="1:32" s="451" customFormat="1" ht="5.0999999999999996" customHeight="1" x14ac:dyDescent="0.2">
      <c r="A70" s="418"/>
      <c r="B70" s="450"/>
      <c r="C70" s="450"/>
      <c r="D70" s="450"/>
      <c r="E70" s="450"/>
      <c r="F70" s="450"/>
      <c r="G70" s="450"/>
      <c r="H70" s="450"/>
      <c r="I70" s="450"/>
      <c r="J70" s="450"/>
      <c r="K70" s="450"/>
      <c r="L70" s="450"/>
      <c r="M70" s="450"/>
      <c r="N70" s="450"/>
      <c r="O70" s="450"/>
      <c r="P70" s="450"/>
      <c r="Q70" s="450"/>
      <c r="R70" s="450"/>
      <c r="S70" s="450"/>
      <c r="T70" s="450"/>
      <c r="U70" s="450"/>
      <c r="V70" s="450"/>
      <c r="W70" s="450"/>
      <c r="X70" s="450"/>
    </row>
    <row r="71" spans="1:32" s="451" customFormat="1" thickBot="1" x14ac:dyDescent="0.25">
      <c r="A71" s="1365" t="s">
        <v>1772</v>
      </c>
      <c r="C71" s="1366">
        <f>+C69+C56+C59</f>
        <v>0</v>
      </c>
      <c r="E71" s="1366">
        <f>+E69+E56+E59</f>
        <v>0</v>
      </c>
      <c r="G71" s="1366">
        <f>+G69+G56+G59</f>
        <v>37456</v>
      </c>
      <c r="I71" s="1366">
        <f>+I69+I56+I59</f>
        <v>1321</v>
      </c>
      <c r="K71" s="1366">
        <f>+K69+K56+K59</f>
        <v>1910</v>
      </c>
      <c r="M71" s="1366">
        <f>+M69+M56+M59</f>
        <v>10018</v>
      </c>
      <c r="O71" s="1366">
        <f>+O69+O56+O59</f>
        <v>18155</v>
      </c>
      <c r="Q71" s="1366">
        <f>+Q69+Q56+Q59</f>
        <v>947</v>
      </c>
      <c r="S71" s="1366">
        <f>+S69+S56+S59</f>
        <v>91452</v>
      </c>
      <c r="U71" s="1366">
        <f>+U69+U56+U59</f>
        <v>3151</v>
      </c>
      <c r="W71" s="1366">
        <f>+W69+W56+W59</f>
        <v>164410</v>
      </c>
    </row>
    <row r="72" spans="1:32" s="451" customFormat="1" ht="9.9499999999999993" customHeight="1" thickTop="1" x14ac:dyDescent="0.2">
      <c r="A72" s="418"/>
      <c r="B72" s="450"/>
      <c r="C72" s="450"/>
      <c r="D72" s="450"/>
      <c r="E72" s="450"/>
      <c r="F72" s="450"/>
      <c r="G72" s="450"/>
      <c r="H72" s="450"/>
      <c r="I72" s="450"/>
      <c r="J72" s="450"/>
      <c r="K72" s="450"/>
      <c r="L72" s="450"/>
      <c r="M72" s="450"/>
      <c r="N72" s="450"/>
      <c r="O72" s="450"/>
      <c r="P72" s="450"/>
      <c r="Q72" s="450"/>
      <c r="R72" s="450"/>
      <c r="S72" s="450"/>
      <c r="T72" s="450"/>
      <c r="U72" s="450"/>
      <c r="V72" s="450"/>
      <c r="W72" s="450"/>
      <c r="X72" s="450"/>
    </row>
    <row r="73" spans="1:32" s="451" customFormat="1" ht="9.9499999999999993" customHeight="1" x14ac:dyDescent="0.2">
      <c r="A73" s="418"/>
      <c r="B73" s="450"/>
      <c r="C73" s="450"/>
      <c r="D73" s="450"/>
      <c r="E73" s="450"/>
      <c r="F73" s="450"/>
      <c r="G73" s="450"/>
      <c r="H73" s="450"/>
      <c r="I73" s="450"/>
      <c r="J73" s="450"/>
      <c r="K73" s="450"/>
      <c r="L73" s="450"/>
      <c r="M73" s="450"/>
      <c r="N73" s="450"/>
      <c r="O73" s="450"/>
      <c r="P73" s="450"/>
      <c r="Q73" s="450"/>
      <c r="R73" s="450"/>
      <c r="S73" s="450"/>
      <c r="T73" s="450"/>
      <c r="U73" s="450"/>
      <c r="V73" s="450"/>
      <c r="W73" s="450"/>
      <c r="X73" s="450"/>
    </row>
    <row r="74" spans="1:32" s="439" customFormat="1" ht="5.0999999999999996" customHeight="1" x14ac:dyDescent="0.2">
      <c r="A74" s="418"/>
      <c r="B74" s="438"/>
      <c r="C74" s="438"/>
      <c r="D74" s="438"/>
      <c r="E74" s="438"/>
      <c r="F74" s="438"/>
      <c r="G74" s="438"/>
      <c r="H74" s="438"/>
      <c r="I74" s="438"/>
      <c r="J74" s="438"/>
      <c r="K74" s="438"/>
      <c r="L74" s="438"/>
      <c r="M74" s="438"/>
      <c r="N74" s="438"/>
      <c r="O74" s="438"/>
      <c r="P74" s="438"/>
      <c r="Q74" s="438"/>
      <c r="R74" s="438"/>
      <c r="S74" s="438"/>
      <c r="T74" s="438"/>
      <c r="U74" s="438"/>
      <c r="V74" s="438"/>
      <c r="W74" s="438"/>
      <c r="X74" s="438"/>
    </row>
    <row r="75" spans="1:32" s="439" customFormat="1" ht="9.9499999999999993" customHeight="1" x14ac:dyDescent="0.2">
      <c r="A75" s="418"/>
      <c r="B75" s="438"/>
      <c r="C75" s="438"/>
      <c r="D75" s="438"/>
      <c r="E75" s="438"/>
      <c r="F75" s="438"/>
      <c r="G75" s="438"/>
      <c r="H75" s="438"/>
      <c r="I75" s="438"/>
      <c r="J75" s="438"/>
      <c r="K75" s="438"/>
      <c r="L75" s="438"/>
      <c r="M75" s="438"/>
      <c r="N75" s="438"/>
      <c r="O75" s="438"/>
      <c r="P75" s="438"/>
      <c r="Q75" s="438"/>
      <c r="R75" s="438"/>
      <c r="S75" s="438"/>
      <c r="T75" s="438"/>
      <c r="U75" s="438"/>
      <c r="V75" s="438"/>
      <c r="W75" s="438"/>
      <c r="X75" s="438"/>
    </row>
    <row r="76" spans="1:32" s="442" customFormat="1" ht="9.9499999999999993" customHeight="1" x14ac:dyDescent="0.2">
      <c r="A76" s="440"/>
      <c r="B76" s="440"/>
      <c r="C76" s="440">
        <f>C33-C71</f>
        <v>0</v>
      </c>
      <c r="D76" s="440"/>
      <c r="E76" s="440">
        <f>E33-E71</f>
        <v>0</v>
      </c>
      <c r="F76" s="440"/>
      <c r="G76" s="440">
        <f>G33-G71</f>
        <v>0</v>
      </c>
      <c r="H76" s="440"/>
      <c r="I76" s="440">
        <f>I33-I71</f>
        <v>0</v>
      </c>
      <c r="J76" s="440"/>
      <c r="K76" s="440">
        <f>K33-K71</f>
        <v>0</v>
      </c>
      <c r="L76" s="440"/>
      <c r="M76" s="440">
        <f>M33-M71</f>
        <v>0</v>
      </c>
      <c r="N76" s="440"/>
      <c r="O76" s="440">
        <f>O33-O71</f>
        <v>0</v>
      </c>
      <c r="P76" s="440"/>
      <c r="Q76" s="440">
        <f>Q33-Q71</f>
        <v>0</v>
      </c>
      <c r="R76" s="440"/>
      <c r="S76" s="440">
        <f>S33-S71</f>
        <v>0</v>
      </c>
      <c r="T76" s="440"/>
      <c r="U76" s="440">
        <f>U33-U71</f>
        <v>0</v>
      </c>
      <c r="V76" s="440"/>
      <c r="W76" s="440">
        <f>W33-W71</f>
        <v>0</v>
      </c>
      <c r="X76" s="440"/>
      <c r="Y76" s="441"/>
      <c r="Z76" s="441"/>
      <c r="AA76" s="441"/>
      <c r="AB76" s="441"/>
      <c r="AC76" s="441"/>
      <c r="AD76" s="441"/>
      <c r="AE76" s="441"/>
      <c r="AF76" s="441"/>
    </row>
    <row r="77" spans="1:32" s="439" customFormat="1" ht="12" x14ac:dyDescent="0.2">
      <c r="A77" s="418"/>
      <c r="B77" s="438"/>
      <c r="C77" s="438"/>
      <c r="D77" s="438"/>
      <c r="E77" s="438"/>
      <c r="F77" s="438"/>
      <c r="G77" s="438"/>
      <c r="H77" s="438"/>
      <c r="I77" s="438"/>
      <c r="J77" s="438"/>
      <c r="K77" s="438"/>
      <c r="L77" s="438"/>
      <c r="M77" s="438"/>
      <c r="N77" s="438"/>
      <c r="O77" s="438"/>
      <c r="P77" s="438"/>
      <c r="Q77" s="438"/>
      <c r="R77" s="438"/>
      <c r="S77" s="438"/>
      <c r="T77" s="438"/>
      <c r="U77" s="438"/>
      <c r="V77" s="438"/>
      <c r="W77" s="438"/>
      <c r="X77" s="438"/>
    </row>
    <row r="78" spans="1:32" s="439" customFormat="1" ht="12" x14ac:dyDescent="0.2">
      <c r="A78" s="418"/>
      <c r="B78" s="438"/>
      <c r="C78" s="438"/>
      <c r="D78" s="438"/>
      <c r="E78" s="438"/>
      <c r="F78" s="438"/>
      <c r="G78" s="438"/>
      <c r="H78" s="438"/>
      <c r="I78" s="438"/>
      <c r="J78" s="438"/>
      <c r="K78" s="438"/>
      <c r="L78" s="438"/>
      <c r="M78" s="438"/>
      <c r="N78" s="438"/>
      <c r="O78" s="438"/>
      <c r="P78" s="438"/>
      <c r="Q78" s="438"/>
      <c r="R78" s="438"/>
      <c r="S78" s="438"/>
      <c r="T78" s="438"/>
      <c r="U78" s="438"/>
      <c r="V78" s="438"/>
      <c r="W78" s="438"/>
      <c r="X78" s="438"/>
    </row>
    <row r="79" spans="1:32" s="439" customFormat="1" ht="12" x14ac:dyDescent="0.2">
      <c r="A79" s="418"/>
      <c r="B79" s="438"/>
      <c r="C79" s="438"/>
      <c r="D79" s="438"/>
      <c r="E79" s="438"/>
      <c r="F79" s="438"/>
      <c r="G79" s="438"/>
      <c r="H79" s="438"/>
      <c r="I79" s="438"/>
      <c r="J79" s="438"/>
      <c r="K79" s="438"/>
      <c r="L79" s="438"/>
      <c r="M79" s="438"/>
      <c r="N79" s="438"/>
      <c r="O79" s="438"/>
      <c r="P79" s="438"/>
      <c r="Q79" s="438"/>
      <c r="R79" s="438"/>
      <c r="S79" s="438"/>
      <c r="T79" s="438"/>
      <c r="U79" s="438"/>
      <c r="V79" s="438"/>
      <c r="W79" s="438"/>
      <c r="X79" s="438"/>
    </row>
    <row r="80" spans="1:32" s="439" customFormat="1" ht="12" x14ac:dyDescent="0.2">
      <c r="A80" s="418"/>
      <c r="B80" s="438"/>
      <c r="C80" s="438"/>
      <c r="D80" s="438"/>
      <c r="E80" s="438"/>
      <c r="F80" s="438"/>
      <c r="G80" s="438"/>
      <c r="H80" s="438"/>
      <c r="I80" s="438"/>
      <c r="J80" s="438"/>
      <c r="K80" s="438"/>
      <c r="L80" s="438"/>
      <c r="M80" s="438"/>
      <c r="N80" s="438"/>
      <c r="O80" s="438"/>
      <c r="P80" s="438"/>
      <c r="Q80" s="438"/>
      <c r="R80" s="438"/>
      <c r="S80" s="438"/>
      <c r="T80" s="438"/>
      <c r="U80" s="438"/>
      <c r="V80" s="438"/>
      <c r="W80" s="438"/>
      <c r="X80" s="438"/>
    </row>
    <row r="81" spans="1:24" s="439" customFormat="1" ht="12" x14ac:dyDescent="0.2">
      <c r="A81" s="418"/>
      <c r="B81" s="438"/>
      <c r="C81" s="438"/>
      <c r="D81" s="438"/>
      <c r="E81" s="438"/>
      <c r="F81" s="438"/>
      <c r="G81" s="438"/>
      <c r="H81" s="438"/>
      <c r="I81" s="438"/>
      <c r="J81" s="438"/>
      <c r="K81" s="438"/>
      <c r="L81" s="438"/>
      <c r="M81" s="438"/>
      <c r="N81" s="438"/>
      <c r="O81" s="438"/>
      <c r="P81" s="438"/>
      <c r="Q81" s="438"/>
      <c r="R81" s="438"/>
      <c r="S81" s="438"/>
      <c r="T81" s="438"/>
      <c r="U81" s="438"/>
      <c r="V81" s="438"/>
      <c r="W81" s="438"/>
      <c r="X81" s="438"/>
    </row>
    <row r="82" spans="1:24" s="439" customFormat="1" ht="12" x14ac:dyDescent="0.2">
      <c r="A82" s="418"/>
      <c r="B82" s="438"/>
      <c r="C82" s="438"/>
      <c r="D82" s="438"/>
      <c r="E82" s="438"/>
      <c r="F82" s="438"/>
      <c r="G82" s="438"/>
      <c r="H82" s="438"/>
      <c r="I82" s="438"/>
      <c r="J82" s="438"/>
      <c r="K82" s="438"/>
      <c r="L82" s="438"/>
      <c r="M82" s="438"/>
      <c r="N82" s="438"/>
      <c r="O82" s="438"/>
      <c r="P82" s="438"/>
      <c r="Q82" s="438"/>
      <c r="R82" s="438"/>
      <c r="S82" s="438"/>
      <c r="T82" s="438"/>
      <c r="U82" s="438"/>
      <c r="V82" s="438"/>
      <c r="W82" s="438"/>
      <c r="X82" s="438"/>
    </row>
    <row r="83" spans="1:24" s="439" customFormat="1" ht="12" x14ac:dyDescent="0.2">
      <c r="A83" s="418"/>
      <c r="B83" s="438"/>
      <c r="C83" s="438"/>
      <c r="D83" s="438"/>
      <c r="E83" s="438"/>
      <c r="F83" s="438"/>
      <c r="G83" s="438"/>
      <c r="H83" s="438"/>
      <c r="I83" s="438"/>
      <c r="J83" s="438"/>
      <c r="K83" s="438"/>
      <c r="L83" s="438"/>
      <c r="M83" s="438"/>
      <c r="N83" s="438"/>
      <c r="O83" s="438"/>
      <c r="P83" s="438"/>
      <c r="Q83" s="438"/>
      <c r="R83" s="438"/>
      <c r="S83" s="438"/>
      <c r="T83" s="438"/>
      <c r="U83" s="438"/>
      <c r="V83" s="438"/>
      <c r="W83" s="438"/>
      <c r="X83" s="438"/>
    </row>
    <row r="84" spans="1:24" s="439" customFormat="1" ht="12" x14ac:dyDescent="0.2">
      <c r="A84" s="418"/>
      <c r="B84" s="438"/>
      <c r="C84" s="438"/>
      <c r="D84" s="438"/>
      <c r="E84" s="438"/>
      <c r="F84" s="438"/>
      <c r="G84" s="438"/>
      <c r="H84" s="438"/>
      <c r="I84" s="438"/>
      <c r="J84" s="438"/>
      <c r="K84" s="438"/>
      <c r="L84" s="438"/>
      <c r="M84" s="438"/>
      <c r="N84" s="438"/>
      <c r="O84" s="438"/>
      <c r="P84" s="438"/>
      <c r="Q84" s="438"/>
      <c r="R84" s="438"/>
      <c r="S84" s="438"/>
      <c r="T84" s="438"/>
      <c r="U84" s="438"/>
      <c r="V84" s="438"/>
      <c r="W84" s="438"/>
      <c r="X84" s="438"/>
    </row>
    <row r="85" spans="1:24" s="439" customFormat="1" ht="12" x14ac:dyDescent="0.2">
      <c r="A85" s="418"/>
      <c r="B85" s="438"/>
      <c r="C85" s="438"/>
      <c r="D85" s="438"/>
      <c r="E85" s="438"/>
      <c r="F85" s="438"/>
      <c r="G85" s="438"/>
      <c r="H85" s="438"/>
      <c r="I85" s="438"/>
      <c r="J85" s="438"/>
      <c r="K85" s="438"/>
      <c r="L85" s="438"/>
      <c r="M85" s="438"/>
      <c r="N85" s="438"/>
      <c r="O85" s="438"/>
      <c r="P85" s="438"/>
      <c r="Q85" s="438"/>
      <c r="R85" s="438"/>
      <c r="S85" s="438"/>
      <c r="T85" s="438"/>
      <c r="U85" s="438"/>
      <c r="V85" s="438"/>
      <c r="W85" s="438"/>
      <c r="X85" s="438"/>
    </row>
    <row r="86" spans="1:24" s="439" customFormat="1" ht="12" x14ac:dyDescent="0.2">
      <c r="A86" s="418"/>
      <c r="B86" s="438"/>
      <c r="C86" s="438"/>
      <c r="D86" s="438"/>
      <c r="E86" s="438"/>
      <c r="F86" s="438"/>
      <c r="G86" s="438"/>
      <c r="H86" s="438"/>
      <c r="I86" s="438"/>
      <c r="J86" s="438"/>
      <c r="K86" s="438"/>
      <c r="L86" s="438"/>
      <c r="M86" s="438"/>
      <c r="N86" s="438"/>
      <c r="O86" s="438"/>
      <c r="P86" s="438"/>
      <c r="Q86" s="438"/>
      <c r="R86" s="438"/>
      <c r="S86" s="438"/>
      <c r="T86" s="438"/>
      <c r="U86" s="438"/>
      <c r="V86" s="438"/>
      <c r="W86" s="438"/>
      <c r="X86" s="438"/>
    </row>
    <row r="87" spans="1:24" s="439" customFormat="1" ht="12" x14ac:dyDescent="0.2">
      <c r="A87" s="418"/>
      <c r="B87" s="438"/>
      <c r="C87" s="438"/>
      <c r="D87" s="438"/>
      <c r="E87" s="438"/>
      <c r="F87" s="438"/>
      <c r="G87" s="438"/>
      <c r="H87" s="438"/>
      <c r="I87" s="438"/>
      <c r="J87" s="438"/>
      <c r="K87" s="438"/>
      <c r="L87" s="438"/>
      <c r="M87" s="438"/>
      <c r="N87" s="438"/>
      <c r="O87" s="438"/>
      <c r="P87" s="438"/>
      <c r="Q87" s="438"/>
      <c r="R87" s="438"/>
      <c r="S87" s="438"/>
      <c r="T87" s="438"/>
      <c r="U87" s="438"/>
      <c r="V87" s="438"/>
      <c r="W87" s="438"/>
      <c r="X87" s="438"/>
    </row>
    <row r="88" spans="1:24" s="439" customFormat="1" ht="12" x14ac:dyDescent="0.2">
      <c r="A88" s="418"/>
      <c r="B88" s="438"/>
      <c r="C88" s="438"/>
      <c r="D88" s="438"/>
      <c r="E88" s="438"/>
      <c r="F88" s="438"/>
      <c r="G88" s="438"/>
      <c r="H88" s="438"/>
      <c r="I88" s="438"/>
      <c r="J88" s="438"/>
      <c r="K88" s="438"/>
      <c r="L88" s="438"/>
      <c r="M88" s="438"/>
      <c r="N88" s="438"/>
      <c r="O88" s="438"/>
      <c r="P88" s="438"/>
      <c r="Q88" s="438"/>
      <c r="R88" s="438"/>
      <c r="S88" s="438"/>
      <c r="T88" s="438"/>
      <c r="U88" s="438"/>
      <c r="V88" s="438"/>
      <c r="W88" s="438"/>
      <c r="X88" s="438"/>
    </row>
    <row r="89" spans="1:24" s="439" customFormat="1" ht="12" x14ac:dyDescent="0.2">
      <c r="A89" s="418"/>
      <c r="B89" s="438"/>
      <c r="C89" s="438"/>
      <c r="D89" s="438"/>
      <c r="E89" s="438"/>
      <c r="F89" s="438"/>
      <c r="G89" s="438"/>
      <c r="H89" s="438"/>
      <c r="I89" s="438"/>
      <c r="J89" s="438"/>
      <c r="K89" s="438"/>
      <c r="L89" s="438"/>
      <c r="M89" s="438"/>
      <c r="N89" s="438"/>
      <c r="O89" s="438"/>
      <c r="P89" s="438"/>
      <c r="Q89" s="438"/>
      <c r="R89" s="438"/>
      <c r="S89" s="438"/>
      <c r="T89" s="438"/>
      <c r="U89" s="438"/>
      <c r="V89" s="438"/>
      <c r="W89" s="438"/>
      <c r="X89" s="438"/>
    </row>
    <row r="90" spans="1:24" s="439" customFormat="1" ht="12" x14ac:dyDescent="0.2">
      <c r="A90" s="418"/>
      <c r="B90" s="438"/>
      <c r="C90" s="438"/>
      <c r="D90" s="438"/>
      <c r="E90" s="438"/>
      <c r="F90" s="438"/>
      <c r="G90" s="438"/>
      <c r="H90" s="438"/>
      <c r="I90" s="438"/>
      <c r="J90" s="438"/>
      <c r="K90" s="438"/>
      <c r="L90" s="438"/>
      <c r="M90" s="438"/>
      <c r="N90" s="438"/>
      <c r="O90" s="438"/>
      <c r="P90" s="438"/>
      <c r="Q90" s="438"/>
      <c r="R90" s="438"/>
      <c r="S90" s="438"/>
      <c r="T90" s="438"/>
      <c r="U90" s="438"/>
      <c r="V90" s="438"/>
      <c r="W90" s="438"/>
      <c r="X90" s="438"/>
    </row>
    <row r="91" spans="1:24" s="439" customFormat="1" ht="12" x14ac:dyDescent="0.2">
      <c r="A91" s="418"/>
      <c r="B91" s="438"/>
      <c r="C91" s="438"/>
      <c r="D91" s="438"/>
      <c r="E91" s="438"/>
      <c r="F91" s="438"/>
      <c r="G91" s="438"/>
      <c r="H91" s="438"/>
      <c r="I91" s="438"/>
      <c r="J91" s="438"/>
      <c r="K91" s="438"/>
      <c r="L91" s="438"/>
      <c r="M91" s="438"/>
      <c r="N91" s="438"/>
      <c r="O91" s="438"/>
      <c r="P91" s="438"/>
      <c r="Q91" s="438"/>
      <c r="R91" s="438"/>
      <c r="S91" s="438"/>
      <c r="T91" s="438"/>
      <c r="U91" s="438"/>
      <c r="V91" s="438"/>
      <c r="W91" s="438"/>
      <c r="X91" s="438"/>
    </row>
    <row r="92" spans="1:24" s="439" customFormat="1" ht="12" x14ac:dyDescent="0.2">
      <c r="A92" s="418"/>
      <c r="B92" s="438"/>
      <c r="C92" s="438"/>
      <c r="D92" s="438"/>
      <c r="E92" s="438"/>
      <c r="F92" s="438"/>
      <c r="G92" s="438"/>
      <c r="H92" s="438"/>
      <c r="I92" s="438"/>
      <c r="J92" s="438"/>
      <c r="K92" s="438"/>
      <c r="L92" s="438"/>
      <c r="M92" s="438"/>
      <c r="N92" s="438"/>
      <c r="O92" s="438"/>
      <c r="P92" s="438"/>
      <c r="Q92" s="438"/>
      <c r="R92" s="438"/>
      <c r="S92" s="438"/>
      <c r="T92" s="438"/>
      <c r="U92" s="438"/>
      <c r="V92" s="438"/>
      <c r="W92" s="438"/>
      <c r="X92" s="438"/>
    </row>
    <row r="93" spans="1:24" s="439" customFormat="1" ht="12" x14ac:dyDescent="0.2">
      <c r="A93" s="418"/>
      <c r="B93" s="438"/>
      <c r="C93" s="438"/>
      <c r="D93" s="438"/>
      <c r="E93" s="438"/>
      <c r="F93" s="438"/>
      <c r="G93" s="438"/>
      <c r="H93" s="438"/>
      <c r="I93" s="438"/>
      <c r="J93" s="438"/>
      <c r="K93" s="438"/>
      <c r="L93" s="438"/>
      <c r="M93" s="438"/>
      <c r="N93" s="438"/>
      <c r="O93" s="438"/>
      <c r="P93" s="438"/>
      <c r="Q93" s="438"/>
      <c r="R93" s="438"/>
      <c r="S93" s="438"/>
      <c r="T93" s="438"/>
      <c r="U93" s="438"/>
      <c r="V93" s="438"/>
      <c r="W93" s="438"/>
      <c r="X93" s="438"/>
    </row>
    <row r="94" spans="1:24" s="439" customFormat="1" ht="12" x14ac:dyDescent="0.2">
      <c r="A94" s="418"/>
      <c r="B94" s="438"/>
      <c r="C94" s="438"/>
      <c r="D94" s="438"/>
      <c r="E94" s="438"/>
      <c r="F94" s="438"/>
      <c r="G94" s="438"/>
      <c r="H94" s="438"/>
      <c r="I94" s="438"/>
      <c r="J94" s="438"/>
      <c r="K94" s="438"/>
      <c r="L94" s="438"/>
      <c r="M94" s="438"/>
      <c r="N94" s="438"/>
      <c r="O94" s="438"/>
      <c r="P94" s="438"/>
      <c r="Q94" s="438"/>
      <c r="R94" s="438"/>
      <c r="S94" s="438"/>
      <c r="T94" s="438"/>
      <c r="U94" s="438"/>
      <c r="V94" s="438"/>
      <c r="W94" s="438"/>
      <c r="X94" s="438"/>
    </row>
  </sheetData>
  <mergeCells count="1">
    <mergeCell ref="A1:W1"/>
  </mergeCells>
  <phoneticPr fontId="9" type="noConversion"/>
  <printOptions horizontalCentered="1"/>
  <pageMargins left="0.5" right="0.5" top="0.5" bottom="0.625" header="0.5" footer="0.5"/>
  <pageSetup scale="8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4">
    <tabColor theme="9" tint="0.39997558519241921"/>
    <pageSetUpPr fitToPage="1"/>
  </sheetPr>
  <dimension ref="A1:XFC55"/>
  <sheetViews>
    <sheetView zoomScaleNormal="100" workbookViewId="0">
      <pane xSplit="2" ySplit="6" topLeftCell="J7" activePane="bottomRight" state="frozen"/>
      <selection activeCell="L104" activeCellId="2" sqref="L101 L103 L104"/>
      <selection pane="topRight" activeCell="L104" activeCellId="2" sqref="L101 L103 L104"/>
      <selection pane="bottomLeft" activeCell="L104" activeCellId="2" sqref="L101 L103 L104"/>
      <selection pane="bottomRight" activeCell="N42" sqref="N42:S42"/>
    </sheetView>
  </sheetViews>
  <sheetFormatPr defaultColWidth="9.140625" defaultRowHeight="15" x14ac:dyDescent="0.25"/>
  <cols>
    <col min="1" max="1" width="1.85546875" style="1161" customWidth="1"/>
    <col min="2" max="2" width="37.7109375" style="1161" bestFit="1" customWidth="1"/>
    <col min="3" max="3" width="12.85546875" style="1161" customWidth="1"/>
    <col min="4" max="4" width="1.85546875" style="1162" customWidth="1"/>
    <col min="5" max="10" width="12.85546875" style="1161" customWidth="1"/>
    <col min="11" max="11" width="6.5703125" style="1161" customWidth="1"/>
    <col min="12" max="12" width="12.85546875" style="1163" customWidth="1"/>
    <col min="13" max="13" width="1.85546875" style="1162" customWidth="1"/>
    <col min="14" max="15" width="12.85546875" style="1163" customWidth="1"/>
    <col min="16" max="19" width="12.85546875" style="1161" customWidth="1"/>
    <col min="20" max="21" width="9.140625" style="1161"/>
    <col min="22" max="23" width="10.28515625" style="1161" bestFit="1" customWidth="1"/>
    <col min="24" max="16384" width="9.140625" style="1161"/>
  </cols>
  <sheetData>
    <row r="1" spans="1:19 16383:16383" ht="15.75" x14ac:dyDescent="0.25">
      <c r="A1" s="1159" t="s">
        <v>1261</v>
      </c>
      <c r="B1" s="1160"/>
    </row>
    <row r="2" spans="1:19 16383:16383" ht="15.75" x14ac:dyDescent="0.25">
      <c r="A2" s="1159" t="s">
        <v>1262</v>
      </c>
      <c r="B2" s="1160"/>
    </row>
    <row r="3" spans="1:19 16383:16383" ht="15.75" x14ac:dyDescent="0.25">
      <c r="A3" s="1159" t="s">
        <v>1722</v>
      </c>
      <c r="B3" s="1160"/>
    </row>
    <row r="4" spans="1:19 16383:16383" ht="15.75" x14ac:dyDescent="0.25">
      <c r="A4" s="1159"/>
      <c r="B4" s="1160"/>
    </row>
    <row r="5" spans="1:19 16383:16383" ht="15.75" x14ac:dyDescent="0.25">
      <c r="A5" s="1159"/>
      <c r="B5" s="1160"/>
    </row>
    <row r="6" spans="1:19 16383:16383" ht="16.5" thickBot="1" x14ac:dyDescent="0.3">
      <c r="A6" s="1160"/>
      <c r="B6" s="1160"/>
      <c r="C6" s="1566" t="s">
        <v>1263</v>
      </c>
      <c r="D6" s="1566"/>
      <c r="E6" s="1566"/>
      <c r="F6" s="1566"/>
      <c r="G6" s="1566"/>
      <c r="H6" s="1566"/>
      <c r="I6" s="1566"/>
      <c r="J6" s="1566"/>
      <c r="L6" s="1567" t="s">
        <v>54</v>
      </c>
      <c r="M6" s="1567"/>
      <c r="N6" s="1567"/>
      <c r="O6" s="1567"/>
      <c r="P6" s="1567"/>
      <c r="Q6" s="1567"/>
      <c r="R6" s="1567"/>
      <c r="S6" s="1567"/>
    </row>
    <row r="7" spans="1:19 16383:16383" ht="25.5" customHeight="1" x14ac:dyDescent="0.25">
      <c r="A7" s="1160"/>
      <c r="B7" s="1160"/>
      <c r="E7" s="1165" t="s">
        <v>1259</v>
      </c>
      <c r="L7" s="1176"/>
      <c r="M7" s="1178"/>
      <c r="N7" s="1176"/>
      <c r="O7" s="1176"/>
      <c r="P7" s="1177"/>
      <c r="Q7" s="1177"/>
      <c r="R7" s="1177"/>
      <c r="S7" s="1165" t="s">
        <v>1266</v>
      </c>
    </row>
    <row r="8" spans="1:19 16383:16383" x14ac:dyDescent="0.25">
      <c r="A8" s="1160"/>
      <c r="B8" s="1160"/>
      <c r="C8" s="1165"/>
      <c r="D8" s="1166"/>
      <c r="E8" s="1165" t="s">
        <v>1268</v>
      </c>
      <c r="F8" s="1165"/>
      <c r="G8" s="1165" t="s">
        <v>1147</v>
      </c>
      <c r="H8" s="1165" t="s">
        <v>1148</v>
      </c>
      <c r="I8" s="1165" t="s">
        <v>1149</v>
      </c>
      <c r="J8" s="1165" t="s">
        <v>1150</v>
      </c>
      <c r="L8" s="1177"/>
      <c r="M8" s="1166"/>
      <c r="N8" s="1165"/>
      <c r="O8" s="1165" t="s">
        <v>1153</v>
      </c>
      <c r="P8" s="1165"/>
      <c r="Q8" s="1165" t="s">
        <v>1154</v>
      </c>
      <c r="R8" s="1165" t="s">
        <v>1155</v>
      </c>
      <c r="S8" s="1165" t="s">
        <v>1152</v>
      </c>
    </row>
    <row r="9" spans="1:19 16383:16383" s="1165" customFormat="1" x14ac:dyDescent="0.25">
      <c r="A9" s="1167"/>
      <c r="B9" s="1167"/>
      <c r="C9" s="1168" t="s">
        <v>725</v>
      </c>
      <c r="D9" s="1166"/>
      <c r="E9" s="1168" t="s">
        <v>722</v>
      </c>
      <c r="F9" s="1168" t="s">
        <v>756</v>
      </c>
      <c r="G9" s="1168" t="s">
        <v>185</v>
      </c>
      <c r="H9" s="1168" t="s">
        <v>1151</v>
      </c>
      <c r="I9" s="1168" t="s">
        <v>1264</v>
      </c>
      <c r="J9" s="1168" t="s">
        <v>1152</v>
      </c>
      <c r="L9" s="1168" t="s">
        <v>725</v>
      </c>
      <c r="M9" s="1166"/>
      <c r="N9" s="1168" t="s">
        <v>148</v>
      </c>
      <c r="O9" s="1168" t="s">
        <v>1156</v>
      </c>
      <c r="P9" s="1168" t="s">
        <v>760</v>
      </c>
      <c r="Q9" s="1168" t="s">
        <v>1157</v>
      </c>
      <c r="R9" s="1168" t="s">
        <v>1158</v>
      </c>
      <c r="S9" s="1168" t="s">
        <v>1265</v>
      </c>
    </row>
    <row r="10" spans="1:19 16383:16383" x14ac:dyDescent="0.25">
      <c r="A10" s="1160"/>
      <c r="B10" s="1158" t="s">
        <v>724</v>
      </c>
      <c r="N10" s="1161"/>
      <c r="O10" s="1161"/>
      <c r="S10" s="1163"/>
    </row>
    <row r="12" spans="1:19 16383:16383" hidden="1" x14ac:dyDescent="0.25">
      <c r="A12" s="1160"/>
      <c r="B12" s="1169" t="s">
        <v>1067</v>
      </c>
      <c r="C12" s="1161">
        <f t="shared" ref="C12:C15" si="0">SUM(E12:J12)</f>
        <v>0</v>
      </c>
      <c r="H12" s="1145"/>
      <c r="I12" s="1145">
        <f>+SONPws!BD66+SONPws!BD69+SONPws!BD82+SONPws!BD85</f>
        <v>0</v>
      </c>
      <c r="L12" s="1161">
        <f>SUM(N12:S12)</f>
        <v>0</v>
      </c>
    </row>
    <row r="13" spans="1:19 16383:16383" x14ac:dyDescent="0.25">
      <c r="A13" s="1160"/>
      <c r="B13" s="1169" t="s">
        <v>1682</v>
      </c>
      <c r="C13" s="1161">
        <f t="shared" si="0"/>
        <v>5884626</v>
      </c>
      <c r="E13" s="1161">
        <f>+SONPws!B29+SONPws!B30-F13-G13-H13-I13-J13</f>
        <v>5667814</v>
      </c>
      <c r="H13" s="1145">
        <f>SUM(SONPws!Y29:AX34)</f>
        <v>0</v>
      </c>
      <c r="I13" s="1145">
        <f>SUM(SONPws!BB29:BS30)</f>
        <v>73255</v>
      </c>
      <c r="J13" s="1161">
        <f>SONPPF!K74</f>
        <v>143557</v>
      </c>
      <c r="L13" s="1161">
        <f>SUM(N13:S13)</f>
        <v>798861</v>
      </c>
      <c r="N13" s="1161">
        <f>SONPPF!C74</f>
        <v>751265</v>
      </c>
      <c r="O13" s="1161">
        <f>SONPPF!E74</f>
        <v>19666</v>
      </c>
      <c r="P13" s="1161">
        <f>'Nonmajor Ent BS'!G72</f>
        <v>16162</v>
      </c>
      <c r="Q13" s="1161">
        <f>'Nonmajor Ent BS'!E72</f>
        <v>3801</v>
      </c>
      <c r="R13" s="1161">
        <f>'Nonmajor Ent BS'!C72</f>
        <v>7967</v>
      </c>
      <c r="S13" s="1164"/>
    </row>
    <row r="14" spans="1:19 16383:16383" x14ac:dyDescent="0.25">
      <c r="A14" s="1160"/>
      <c r="B14" s="1169" t="s">
        <v>1576</v>
      </c>
      <c r="C14" s="1161">
        <f t="shared" si="0"/>
        <v>94890</v>
      </c>
      <c r="E14" s="1161">
        <f>SUM(SONPws!C31:X31)</f>
        <v>28759</v>
      </c>
      <c r="H14" s="1145"/>
      <c r="I14" s="1145">
        <f>SUM(SONPws!BD31:BS31)</f>
        <v>38697</v>
      </c>
      <c r="J14" s="1161">
        <f>SONPPF!K79</f>
        <v>27434</v>
      </c>
      <c r="L14" s="1161">
        <f>SUM(N14:S14)</f>
        <v>11137</v>
      </c>
      <c r="N14" s="1161">
        <f>SONPPF!C79</f>
        <v>11042</v>
      </c>
      <c r="O14" s="1161">
        <f>SONPPF!E79</f>
        <v>83</v>
      </c>
      <c r="P14" s="1161">
        <f>'Nonmajor Ent BS'!G77</f>
        <v>12</v>
      </c>
      <c r="Q14" s="1161">
        <f>'Nonmajor Ent BS'!E77</f>
        <v>0</v>
      </c>
      <c r="R14" s="1161">
        <f>'Nonmajor Ent BS'!C77</f>
        <v>0</v>
      </c>
      <c r="S14" s="1164"/>
    </row>
    <row r="15" spans="1:19 16383:16383" x14ac:dyDescent="0.25">
      <c r="A15" s="1160"/>
      <c r="B15" s="1169" t="s">
        <v>1636</v>
      </c>
      <c r="C15" s="1161">
        <f t="shared" si="0"/>
        <v>90901</v>
      </c>
      <c r="E15" s="1161">
        <f>SUM(SONPws!C32:X32)</f>
        <v>65203</v>
      </c>
      <c r="H15" s="1145"/>
      <c r="I15" s="1145">
        <f>SUM(SONPws!BD32:BS32)</f>
        <v>1281</v>
      </c>
      <c r="J15" s="1161">
        <f>SONPPF!K84</f>
        <v>24417</v>
      </c>
      <c r="L15" s="1161">
        <f>SUM(N15:S15)</f>
        <v>7285</v>
      </c>
      <c r="N15" s="1161">
        <f>SONPPF!C84</f>
        <v>5343</v>
      </c>
      <c r="O15" s="1161">
        <f>+SONPPF!E84</f>
        <v>223</v>
      </c>
      <c r="P15" s="1161">
        <f>'Nonmajor Ent BS'!G82</f>
        <v>0</v>
      </c>
      <c r="Q15" s="1161">
        <f>'Nonmajor Ent BS'!E82</f>
        <v>0</v>
      </c>
      <c r="R15" s="1161">
        <f>'Nonmajor Ent BS'!C82</f>
        <v>1719</v>
      </c>
      <c r="S15" s="1164"/>
    </row>
    <row r="16" spans="1:19 16383:16383" x14ac:dyDescent="0.25">
      <c r="A16" s="1160"/>
      <c r="B16" s="1170" t="s">
        <v>725</v>
      </c>
      <c r="C16" s="1171">
        <f>SUM(C12:C15)</f>
        <v>6070417</v>
      </c>
      <c r="E16" s="1171">
        <f t="shared" ref="E16:J16" si="1">SUM(E12:E15)</f>
        <v>5761776</v>
      </c>
      <c r="F16" s="1171">
        <f t="shared" si="1"/>
        <v>0</v>
      </c>
      <c r="G16" s="1171">
        <f t="shared" si="1"/>
        <v>0</v>
      </c>
      <c r="H16" s="1171">
        <f t="shared" si="1"/>
        <v>0</v>
      </c>
      <c r="I16" s="1171">
        <f t="shared" si="1"/>
        <v>113233</v>
      </c>
      <c r="J16" s="1171">
        <f t="shared" si="1"/>
        <v>195408</v>
      </c>
      <c r="L16" s="1171">
        <f>SUM(L12:L15)</f>
        <v>817283</v>
      </c>
      <c r="N16" s="1171">
        <f t="shared" ref="N16:R16" si="2">SUM(N12:N15)</f>
        <v>767650</v>
      </c>
      <c r="O16" s="1171">
        <f t="shared" si="2"/>
        <v>19972</v>
      </c>
      <c r="P16" s="1171">
        <f t="shared" si="2"/>
        <v>16174</v>
      </c>
      <c r="Q16" s="1171">
        <f t="shared" si="2"/>
        <v>3801</v>
      </c>
      <c r="R16" s="1171">
        <f t="shared" si="2"/>
        <v>9686</v>
      </c>
      <c r="S16" s="1162"/>
      <c r="XFC16" s="1171">
        <f>SUM(XFC11:XFD13)</f>
        <v>0</v>
      </c>
    </row>
    <row r="17" spans="1:24" x14ac:dyDescent="0.25">
      <c r="A17" s="1160"/>
      <c r="B17" s="1160"/>
      <c r="H17" s="1145"/>
      <c r="I17" s="1145"/>
      <c r="L17" s="1161"/>
      <c r="N17" s="1161"/>
      <c r="O17" s="1161"/>
      <c r="S17" s="1163"/>
    </row>
    <row r="18" spans="1:24" x14ac:dyDescent="0.25">
      <c r="A18" s="1160"/>
      <c r="B18" s="1158" t="s">
        <v>185</v>
      </c>
      <c r="H18" s="1145"/>
      <c r="I18" s="1145"/>
      <c r="L18" s="1161"/>
      <c r="N18" s="1161"/>
      <c r="O18" s="1161"/>
      <c r="S18" s="1163"/>
    </row>
    <row r="19" spans="1:24" x14ac:dyDescent="0.25">
      <c r="A19" s="1160"/>
      <c r="B19" s="1169" t="s">
        <v>696</v>
      </c>
      <c r="C19" s="1161">
        <f>SUM(E19:J19)</f>
        <v>-3232039</v>
      </c>
      <c r="E19" s="1161">
        <f>-SUM(SONPws!E66:X66)-SONPws!C82-SONPws!J82-SONPws!O82</f>
        <v>-2287</v>
      </c>
      <c r="F19" s="1161">
        <f>-SONPws!D66-SONPws!D82</f>
        <v>3181414</v>
      </c>
      <c r="G19" s="1161">
        <f>-SONPws!BZ66-SONPws!BZ82</f>
        <v>-1006456</v>
      </c>
      <c r="H19" s="1145">
        <f>-SUM(SONPws!Y66:AX66)-SUM(SONPws!Y82:AX82)</f>
        <v>-4702505</v>
      </c>
      <c r="I19" s="1145">
        <f>-SUM(SONPws!BD66:BS66)-SUM(SONPws!BD82:BS82)</f>
        <v>-697975</v>
      </c>
      <c r="J19" s="1161">
        <f>-SONPPF!K137-SONPPF!K149</f>
        <v>-4230</v>
      </c>
      <c r="L19" s="1161">
        <f t="shared" ref="L19:L26" si="3">SUM(N19:S19)</f>
        <v>-584653</v>
      </c>
      <c r="N19" s="1162">
        <f>-SONPPF!C137-SONPPF!C149-N20</f>
        <v>-579605</v>
      </c>
      <c r="O19" s="1162">
        <f>-SONPPF!E137-SONPPF!E149-O20</f>
        <v>0</v>
      </c>
      <c r="P19" s="1162">
        <f>-'Nonmajor Ent BS'!G136-'Nonmajor Ent BS'!G148-P20</f>
        <v>0</v>
      </c>
      <c r="Q19" s="1162"/>
      <c r="R19" s="1162">
        <f>-'Nonmajor Ent BS'!C136-'Nonmajor Ent BS'!C148-R20</f>
        <v>-5048</v>
      </c>
      <c r="S19" s="1164"/>
      <c r="T19" s="1162"/>
    </row>
    <row r="20" spans="1:24" x14ac:dyDescent="0.25">
      <c r="A20" s="1160"/>
      <c r="B20" s="1169" t="s">
        <v>186</v>
      </c>
      <c r="C20" s="1161">
        <f t="shared" ref="C20:C26" si="4">SUM(E20:J20)</f>
        <v>-189856</v>
      </c>
      <c r="E20" s="1161">
        <f>-SONPws!B69-SONPws!B70-SONPws!B85-SONPws!B86-F20-G20-H20-I20-J20</f>
        <v>0</v>
      </c>
      <c r="F20" s="1161">
        <f>-SONPws!D69-SONPws!D70-SONPws!D85-SONPws!D86</f>
        <v>-16602</v>
      </c>
      <c r="H20" s="1145">
        <f>-SUM(SONPws!Y69:AX70)-SUM(SONPws!Y85:AX86)</f>
        <v>-137721</v>
      </c>
      <c r="I20" s="1145">
        <f>-SUM(SONPws!BD69:BR70)-SUM(SONPws!BD85:BS86)</f>
        <v>-35533</v>
      </c>
      <c r="J20" s="1161">
        <f>-SONPws!BX69-SONPws!BX85</f>
        <v>0</v>
      </c>
      <c r="L20" s="1161">
        <f t="shared" si="3"/>
        <v>-9003</v>
      </c>
      <c r="N20" s="1162">
        <v>-8288</v>
      </c>
      <c r="O20" s="1162"/>
      <c r="P20" s="1162"/>
      <c r="Q20" s="1162"/>
      <c r="R20" s="1162">
        <v>-715</v>
      </c>
      <c r="S20" s="1164"/>
      <c r="T20" s="1162"/>
    </row>
    <row r="21" spans="1:24" x14ac:dyDescent="0.25">
      <c r="A21" s="1160"/>
      <c r="B21" s="1169" t="s">
        <v>1684</v>
      </c>
      <c r="C21" s="1161">
        <f t="shared" si="4"/>
        <v>-70946</v>
      </c>
      <c r="H21" s="1145">
        <f>-SUM(SONPws!AB56:AX56)</f>
        <v>-70946</v>
      </c>
      <c r="I21" s="1145"/>
      <c r="L21" s="1161">
        <f t="shared" si="3"/>
        <v>-27786</v>
      </c>
      <c r="N21" s="1162">
        <f>-SONPPF!C131-SONPPF!C141</f>
        <v>-27163</v>
      </c>
      <c r="O21" s="1162"/>
      <c r="P21" s="1162"/>
      <c r="Q21" s="1162"/>
      <c r="R21" s="1162">
        <v>-623</v>
      </c>
      <c r="S21" s="1164"/>
      <c r="T21" s="1162"/>
    </row>
    <row r="22" spans="1:24" x14ac:dyDescent="0.25">
      <c r="A22" s="1160"/>
      <c r="B22" s="1169" t="s">
        <v>1683</v>
      </c>
      <c r="C22" s="1161">
        <f>SUM(E22:J22)</f>
        <v>34543</v>
      </c>
      <c r="F22" s="1161">
        <f>+'recon-SONPws'!D38</f>
        <v>27091</v>
      </c>
      <c r="H22" s="1145"/>
      <c r="I22" s="1145">
        <f>+SONPws!BK46+SONPws!BL46+SONPws!BR46</f>
        <v>7452</v>
      </c>
      <c r="L22" s="1161">
        <f t="shared" si="3"/>
        <v>1855</v>
      </c>
      <c r="N22" s="1162">
        <v>1855</v>
      </c>
      <c r="O22" s="1162"/>
      <c r="P22" s="1162"/>
      <c r="Q22" s="1162">
        <f>'Nonmajor Ent BS'!E94*0</f>
        <v>0</v>
      </c>
      <c r="R22" s="1162">
        <f>'Nonmajor Ent BS'!C94-R49</f>
        <v>0</v>
      </c>
      <c r="S22" s="1162"/>
      <c r="T22" s="1162"/>
    </row>
    <row r="23" spans="1:24" x14ac:dyDescent="0.25">
      <c r="A23" s="1160"/>
      <c r="B23" s="1169" t="s">
        <v>765</v>
      </c>
      <c r="C23" s="1161">
        <f>SUM(E23:J23)</f>
        <v>0</v>
      </c>
      <c r="H23" s="1145"/>
      <c r="I23" s="1145">
        <f>-SONPws!BD88-SONPws!BD74</f>
        <v>0</v>
      </c>
      <c r="L23" s="1161"/>
      <c r="N23" s="1162"/>
      <c r="O23" s="1162"/>
      <c r="P23" s="1162"/>
      <c r="Q23" s="1162"/>
      <c r="R23" s="1162"/>
      <c r="S23" s="1162"/>
      <c r="T23" s="1162"/>
    </row>
    <row r="24" spans="1:24" x14ac:dyDescent="0.25">
      <c r="A24" s="1160"/>
      <c r="B24" s="1169" t="s">
        <v>1690</v>
      </c>
      <c r="C24" s="1161">
        <f t="shared" si="4"/>
        <v>-83928</v>
      </c>
      <c r="E24" s="1161">
        <f>-SUM(SONPws!C77:X77)-SUM(SONPws!C92:X92)</f>
        <v>-29721</v>
      </c>
      <c r="I24" s="1161">
        <f>-SUM(SONPws!BD77:BS77)-SUM(SONPws!BD92:BS92)</f>
        <v>-25188</v>
      </c>
      <c r="J24" s="1161">
        <f>-SONPPF!K119-SONPPF!K154</f>
        <v>-29019</v>
      </c>
      <c r="L24" s="1161">
        <f t="shared" si="3"/>
        <v>-11679</v>
      </c>
      <c r="N24" s="1162">
        <f>-SONPPF!C119-SONPPF!C154</f>
        <v>-11582</v>
      </c>
      <c r="O24" s="1162">
        <f>-SONPPF!E119-SONPPF!E154</f>
        <v>-85</v>
      </c>
      <c r="P24" s="1162">
        <f>-'Nonmajor Ent BS'!G118-'Nonmajor Ent BS'!G153</f>
        <v>-12</v>
      </c>
      <c r="Q24" s="1162">
        <f>-'Nonmajor Ent BS'!E118-'Nonmajor Ent BS'!E153</f>
        <v>0</v>
      </c>
      <c r="R24" s="1162">
        <f>-'Nonmajor Ent BS'!C118-'Nonmajor Ent BS'!C153</f>
        <v>0</v>
      </c>
      <c r="S24" s="1164"/>
      <c r="T24" s="1162"/>
      <c r="V24" s="1377"/>
      <c r="W24" s="1377"/>
      <c r="X24" s="1376"/>
    </row>
    <row r="25" spans="1:24" x14ac:dyDescent="0.25">
      <c r="A25" s="1160"/>
      <c r="B25" s="1169" t="s">
        <v>1689</v>
      </c>
      <c r="C25" s="1161">
        <f t="shared" si="4"/>
        <v>-89487</v>
      </c>
      <c r="E25" s="1161">
        <f>-SONPws!B78-SONPws!B93-F25-G25-H25-I25-J25</f>
        <v>-66507</v>
      </c>
      <c r="I25" s="1161">
        <f>-SUM(SONPws!BD78:BS78)-SUM(SONPws!BD93:BS93)</f>
        <v>-687</v>
      </c>
      <c r="J25" s="1161">
        <f>-SONPPF!K120-SONPPF!K155</f>
        <v>-22293</v>
      </c>
      <c r="L25" s="1161">
        <f t="shared" si="3"/>
        <v>-6694</v>
      </c>
      <c r="N25" s="1162">
        <f>-SONPPF!C120-SONPPF!C155</f>
        <v>-5343</v>
      </c>
      <c r="O25" s="1162">
        <f>-SONPPF!E120-SONPPF!E155</f>
        <v>-5</v>
      </c>
      <c r="P25" s="1162">
        <f>-'Nonmajor Ent BS'!G120-'Nonmajor Ent BS'!G154</f>
        <v>0</v>
      </c>
      <c r="Q25" s="1162">
        <f>+'Nonmajor Ent BS'!E120+'Nonmajor Ent BS'!E154</f>
        <v>0</v>
      </c>
      <c r="R25" s="1162">
        <f>-'Nonmajor Ent BS'!C120-'Nonmajor Ent BS'!C154</f>
        <v>-1346</v>
      </c>
      <c r="S25" s="1164"/>
      <c r="T25" s="1162"/>
      <c r="V25" s="1377"/>
      <c r="W25" s="1377"/>
      <c r="X25" s="1376"/>
    </row>
    <row r="26" spans="1:24" x14ac:dyDescent="0.25">
      <c r="A26" s="1160"/>
      <c r="B26" s="1169" t="s">
        <v>1598</v>
      </c>
      <c r="C26" s="1161">
        <f t="shared" si="4"/>
        <v>-5169</v>
      </c>
      <c r="E26" s="1161">
        <f>-SONPws!B79-SONPws!B94-F26-G26-H26-I26-J26</f>
        <v>0</v>
      </c>
      <c r="G26" s="1161">
        <f>-SONPws!BZ79-SONPws!BZ94</f>
        <v>-1325</v>
      </c>
      <c r="I26" s="1161">
        <f>-SONPws!BJ79-SONPws!BJ94-SONPws!BH79-SONPws!BH94</f>
        <v>-3844</v>
      </c>
      <c r="L26" s="1161">
        <f t="shared" si="3"/>
        <v>-8628</v>
      </c>
      <c r="N26" s="1162">
        <f>-SONPPF!C121-SONPPF!C156</f>
        <v>-515</v>
      </c>
      <c r="O26" s="1162">
        <f>-SONPPF!E121-SONPPF!E156</f>
        <v>-8113</v>
      </c>
      <c r="P26" s="1162"/>
      <c r="Q26" s="1162"/>
      <c r="R26" s="1162"/>
      <c r="S26" s="1164"/>
      <c r="T26" s="1162"/>
      <c r="V26" s="1377"/>
      <c r="W26" s="1377"/>
      <c r="X26" s="1376"/>
    </row>
    <row r="27" spans="1:24" ht="30" x14ac:dyDescent="0.25">
      <c r="A27" s="1160"/>
      <c r="B27" s="1175" t="s">
        <v>1681</v>
      </c>
      <c r="C27" s="1161">
        <f>SUM(E27:J27)</f>
        <v>824399</v>
      </c>
      <c r="H27" s="1145">
        <f>SUM(SONPws!AB16:AE17)+SUM(SONPws!AI16:AQ17)+SUM(SONPws!AU16:AW17)</f>
        <v>768292</v>
      </c>
      <c r="I27" s="1145">
        <f>+SONPws!BK16+SONPws!BK17+SONPws!BR16+SONPws!BR17</f>
        <v>55957</v>
      </c>
      <c r="J27" s="1161">
        <f>+SONPPF!K37+SONPPF!K38</f>
        <v>150</v>
      </c>
      <c r="L27" s="1161">
        <f>SUM(N27:S27)</f>
        <v>151865</v>
      </c>
      <c r="N27" s="1161">
        <f>+SONPPF!C37+SONPPF!C38</f>
        <v>151744</v>
      </c>
      <c r="O27" s="1161">
        <f>+SONPPF!E37+SONPPF!E38</f>
        <v>34</v>
      </c>
      <c r="R27" s="1161">
        <f>+'Nonmajor Ent BS'!C35+'Nonmajor Ent BS'!C36</f>
        <v>87</v>
      </c>
      <c r="S27" s="1163"/>
    </row>
    <row r="28" spans="1:24" x14ac:dyDescent="0.25">
      <c r="A28" s="1160"/>
      <c r="B28" s="1175" t="s">
        <v>1763</v>
      </c>
      <c r="C28" s="1161">
        <f>SUM(E28:J28)</f>
        <v>-16000</v>
      </c>
      <c r="H28" s="1145"/>
      <c r="I28" s="1145">
        <v>-16000</v>
      </c>
      <c r="L28" s="1161"/>
      <c r="N28" s="1161"/>
      <c r="O28" s="1161"/>
      <c r="S28" s="1163"/>
    </row>
    <row r="29" spans="1:24" x14ac:dyDescent="0.25">
      <c r="A29" s="1160"/>
      <c r="B29" s="1170" t="s">
        <v>725</v>
      </c>
      <c r="C29" s="1171">
        <f>SUM(C19:C28)</f>
        <v>-2828483</v>
      </c>
      <c r="E29" s="1171">
        <f t="shared" ref="E29:J29" si="5">SUM(E19:E28)</f>
        <v>-98515</v>
      </c>
      <c r="F29" s="1171">
        <f t="shared" si="5"/>
        <v>3191903</v>
      </c>
      <c r="G29" s="1171">
        <f t="shared" si="5"/>
        <v>-1007781</v>
      </c>
      <c r="H29" s="1171">
        <f t="shared" si="5"/>
        <v>-4142880</v>
      </c>
      <c r="I29" s="1171">
        <f t="shared" si="5"/>
        <v>-715818</v>
      </c>
      <c r="J29" s="1171">
        <f t="shared" si="5"/>
        <v>-55392</v>
      </c>
      <c r="L29" s="1171">
        <f>SUM(L19:L27)</f>
        <v>-494723</v>
      </c>
      <c r="N29" s="1171">
        <f t="shared" ref="N29:R29" si="6">SUM(N19:N27)</f>
        <v>-478897</v>
      </c>
      <c r="O29" s="1171">
        <f t="shared" si="6"/>
        <v>-8169</v>
      </c>
      <c r="P29" s="1171">
        <f t="shared" si="6"/>
        <v>-12</v>
      </c>
      <c r="Q29" s="1171">
        <f t="shared" si="6"/>
        <v>0</v>
      </c>
      <c r="R29" s="1171">
        <f t="shared" si="6"/>
        <v>-7645</v>
      </c>
      <c r="S29" s="1162"/>
      <c r="T29" s="1162"/>
    </row>
    <row r="30" spans="1:24" x14ac:dyDescent="0.25">
      <c r="A30" s="1160"/>
      <c r="B30" s="1160"/>
      <c r="L30" s="1164"/>
      <c r="N30" s="1164"/>
      <c r="O30" s="1164"/>
      <c r="P30" s="1162"/>
      <c r="Q30" s="1162"/>
      <c r="R30" s="1162"/>
      <c r="S30" s="1162"/>
      <c r="T30" s="1162"/>
    </row>
    <row r="31" spans="1:24" x14ac:dyDescent="0.25">
      <c r="A31" s="1160"/>
      <c r="B31" s="1169" t="s">
        <v>1110</v>
      </c>
      <c r="C31" s="1162">
        <f>+C16+C29</f>
        <v>3241934</v>
      </c>
      <c r="E31" s="1162">
        <f t="shared" ref="E31:J31" si="7">SUM(E16+E29)</f>
        <v>5663261</v>
      </c>
      <c r="F31" s="1162">
        <f t="shared" si="7"/>
        <v>3191903</v>
      </c>
      <c r="G31" s="1162">
        <f t="shared" si="7"/>
        <v>-1007781</v>
      </c>
      <c r="H31" s="1162">
        <f t="shared" si="7"/>
        <v>-4142880</v>
      </c>
      <c r="I31" s="1162">
        <f t="shared" si="7"/>
        <v>-602585</v>
      </c>
      <c r="J31" s="1162">
        <f t="shared" si="7"/>
        <v>140016</v>
      </c>
      <c r="L31" s="1161">
        <f>SUM(N31:S31)</f>
        <v>322560</v>
      </c>
      <c r="N31" s="1162">
        <f>SUM(N16+N29)</f>
        <v>288753</v>
      </c>
      <c r="O31" s="1162">
        <f>SUM(O16+O29)</f>
        <v>11803</v>
      </c>
      <c r="P31" s="1162">
        <f>SUM(P16+P29)</f>
        <v>16162</v>
      </c>
      <c r="Q31" s="1162">
        <f>SUM(Q16+Q29)</f>
        <v>3801</v>
      </c>
      <c r="R31" s="1162">
        <f>SUM(R16+R29)</f>
        <v>2041</v>
      </c>
      <c r="S31" s="1162"/>
    </row>
    <row r="32" spans="1:24" x14ac:dyDescent="0.25">
      <c r="A32" s="1160"/>
      <c r="B32" s="1169"/>
      <c r="C32" s="1162"/>
      <c r="L32" s="1162"/>
      <c r="N32" s="1161"/>
      <c r="O32" s="1161"/>
    </row>
    <row r="33" spans="1:19" x14ac:dyDescent="0.25">
      <c r="A33" s="1160"/>
      <c r="B33" s="1169" t="s">
        <v>789</v>
      </c>
      <c r="C33" s="1162"/>
    </row>
    <row r="34" spans="1:19" x14ac:dyDescent="0.25">
      <c r="A34" s="1160"/>
      <c r="B34" s="1172" t="s">
        <v>756</v>
      </c>
      <c r="C34" s="1162">
        <f t="shared" ref="C34:C39" si="8">SUM(E34:J34)</f>
        <v>43302</v>
      </c>
      <c r="F34" s="1161">
        <f>SONPws!D107</f>
        <v>43258</v>
      </c>
      <c r="I34" s="1161">
        <f>SONPws!BD107</f>
        <v>0</v>
      </c>
      <c r="J34" s="1161">
        <f>SONPPF!K171</f>
        <v>44</v>
      </c>
      <c r="L34" s="1161">
        <f t="shared" ref="L34:L39" si="9">SUM(N34:S34)</f>
        <v>38691</v>
      </c>
      <c r="N34" s="1161">
        <f>SONPPF!C171</f>
        <v>38270</v>
      </c>
      <c r="O34" s="1161">
        <f>+SONPPF!E171</f>
        <v>0</v>
      </c>
      <c r="P34" s="1161">
        <f>+'Nonmajor Ent BS'!G170</f>
        <v>421</v>
      </c>
      <c r="Q34" s="1161">
        <f>+'Nonmajor Ent BS'!E170</f>
        <v>0</v>
      </c>
      <c r="R34" s="1161">
        <f>'Nonmajor Ent BS'!C170</f>
        <v>0</v>
      </c>
    </row>
    <row r="35" spans="1:19" x14ac:dyDescent="0.25">
      <c r="A35" s="1160"/>
      <c r="B35" s="1172" t="s">
        <v>706</v>
      </c>
      <c r="C35" s="1162">
        <f t="shared" si="8"/>
        <v>-4663</v>
      </c>
      <c r="H35" s="1161">
        <f>SUM(SONPws!AA108:AX108)</f>
        <v>-4813</v>
      </c>
      <c r="J35" s="1161">
        <f>SUM(SONPws!BT108:BY108)</f>
        <v>150</v>
      </c>
      <c r="L35" s="1161">
        <f t="shared" si="9"/>
        <v>267828</v>
      </c>
      <c r="N35" s="1161">
        <f>SONPPF!C172</f>
        <v>266323</v>
      </c>
      <c r="O35" s="1161">
        <f>+SONPPF!E172</f>
        <v>0</v>
      </c>
      <c r="P35" s="1161">
        <f>+'Nonmajor Ent BS'!G171</f>
        <v>998</v>
      </c>
      <c r="Q35" s="1161">
        <f>+'Nonmajor Ent BS'!E171</f>
        <v>0</v>
      </c>
      <c r="R35" s="1161">
        <f>'Nonmajor Ent BS'!C171</f>
        <v>507</v>
      </c>
    </row>
    <row r="36" spans="1:19" x14ac:dyDescent="0.25">
      <c r="A36" s="1160"/>
      <c r="B36" s="1172" t="s">
        <v>708</v>
      </c>
      <c r="C36" s="1162">
        <f t="shared" si="8"/>
        <v>13387</v>
      </c>
      <c r="E36" s="1161">
        <f>SONPws!B111</f>
        <v>13387</v>
      </c>
      <c r="L36" s="1161">
        <f t="shared" si="9"/>
        <v>0</v>
      </c>
      <c r="M36" s="1164"/>
      <c r="P36" s="1163"/>
      <c r="Q36" s="1163"/>
      <c r="R36" s="1163"/>
      <c r="S36" s="1163"/>
    </row>
    <row r="37" spans="1:19" x14ac:dyDescent="0.25">
      <c r="A37" s="1160"/>
      <c r="B37" s="1172" t="s">
        <v>709</v>
      </c>
      <c r="C37" s="1162">
        <f t="shared" si="8"/>
        <v>6952</v>
      </c>
      <c r="E37" s="1161">
        <f>+SONPws!B112-F37-G37-H37-I37-J37</f>
        <v>6952</v>
      </c>
      <c r="H37" s="1161">
        <f>SUM(SONPws!AA112:AX112)</f>
        <v>0</v>
      </c>
      <c r="L37" s="1161">
        <f t="shared" si="9"/>
        <v>0</v>
      </c>
      <c r="M37" s="1164"/>
      <c r="P37" s="1163"/>
      <c r="Q37" s="1163"/>
      <c r="R37" s="1163"/>
      <c r="S37" s="1163"/>
    </row>
    <row r="38" spans="1:19" x14ac:dyDescent="0.25">
      <c r="A38" s="1160"/>
      <c r="B38" s="1169" t="s">
        <v>727</v>
      </c>
      <c r="C38" s="1162">
        <f t="shared" si="8"/>
        <v>149559</v>
      </c>
      <c r="I38" s="1161">
        <f>SUM(SONPws!BD109:BS109)</f>
        <v>149559</v>
      </c>
      <c r="L38" s="1161">
        <f t="shared" si="9"/>
        <v>0</v>
      </c>
    </row>
    <row r="39" spans="1:19" x14ac:dyDescent="0.25">
      <c r="A39" s="1160"/>
      <c r="B39" s="1169" t="s">
        <v>711</v>
      </c>
      <c r="C39" s="1162">
        <f t="shared" si="8"/>
        <v>-536384</v>
      </c>
      <c r="E39" s="1161">
        <f>SONPws!B113-'Analysis of Net Position'!F39-G39-H39-I39-J39</f>
        <v>1260543</v>
      </c>
      <c r="F39" s="1161">
        <f>SONPws!D113</f>
        <v>0</v>
      </c>
      <c r="G39" s="1161">
        <f>+SONPws!BZ113</f>
        <v>-1913294</v>
      </c>
      <c r="H39" s="1161">
        <f>SUM(SONPws!AA113:AX113)</f>
        <v>52418</v>
      </c>
      <c r="I39" s="1161">
        <f>SUM(SONPws!BD113:BS113)</f>
        <v>18401</v>
      </c>
      <c r="J39" s="1161">
        <f>SUM(SONPws!BT113:BY113)</f>
        <v>45548</v>
      </c>
      <c r="L39" s="1161">
        <f t="shared" si="9"/>
        <v>-93200</v>
      </c>
      <c r="M39" s="1164"/>
      <c r="N39" s="1161">
        <f>SONPPF!C173</f>
        <v>-3799</v>
      </c>
      <c r="O39" s="1161">
        <f>SONPPF!E173</f>
        <v>-59675</v>
      </c>
      <c r="P39" s="1161">
        <f>'Nonmajor Ent BS'!G172</f>
        <v>903</v>
      </c>
      <c r="Q39" s="1161">
        <f>'Nonmajor Ent BS'!E172</f>
        <v>116</v>
      </c>
      <c r="R39" s="1161">
        <f>'Nonmajor Ent BS'!C172</f>
        <v>-15543</v>
      </c>
      <c r="S39" s="1161">
        <f>SONPPF!I177</f>
        <v>-15202</v>
      </c>
    </row>
    <row r="40" spans="1:19" ht="18" customHeight="1" thickBot="1" x14ac:dyDescent="0.3">
      <c r="A40" s="1160"/>
      <c r="B40" s="1160"/>
      <c r="C40" s="1173">
        <f>SUM(C31:C39)</f>
        <v>2914087</v>
      </c>
      <c r="E40" s="1173">
        <f t="shared" ref="E40:I40" si="10">SUM(E31:E39)</f>
        <v>6944143</v>
      </c>
      <c r="F40" s="1173">
        <f>SUM(F31:F39)</f>
        <v>3235161</v>
      </c>
      <c r="G40" s="1173">
        <f t="shared" si="10"/>
        <v>-2921075</v>
      </c>
      <c r="H40" s="1173">
        <f t="shared" si="10"/>
        <v>-4095275</v>
      </c>
      <c r="I40" s="1173">
        <f t="shared" si="10"/>
        <v>-434625</v>
      </c>
      <c r="J40" s="1173">
        <f>SUM(J31:J39)</f>
        <v>185758</v>
      </c>
      <c r="L40" s="1174">
        <f>SUM(N40:S40)</f>
        <v>535879</v>
      </c>
      <c r="M40" s="1164"/>
      <c r="N40" s="1174">
        <f t="shared" ref="N40:S40" si="11">SUM(N31:N39)</f>
        <v>589547</v>
      </c>
      <c r="O40" s="1173">
        <f t="shared" si="11"/>
        <v>-47872</v>
      </c>
      <c r="P40" s="1173">
        <f t="shared" si="11"/>
        <v>18484</v>
      </c>
      <c r="Q40" s="1173">
        <f t="shared" si="11"/>
        <v>3917</v>
      </c>
      <c r="R40" s="1173">
        <f t="shared" si="11"/>
        <v>-12995</v>
      </c>
      <c r="S40" s="1173">
        <f t="shared" si="11"/>
        <v>-15202</v>
      </c>
    </row>
    <row r="41" spans="1:19" ht="15.75" thickTop="1" x14ac:dyDescent="0.25">
      <c r="M41" s="1164"/>
      <c r="O41" s="1161"/>
    </row>
    <row r="42" spans="1:19" x14ac:dyDescent="0.25">
      <c r="B42" s="1478" t="s">
        <v>1628</v>
      </c>
      <c r="C42" s="1161">
        <f>SONPws!B114</f>
        <v>2914087</v>
      </c>
      <c r="E42" s="1161">
        <f>SONPws!B114-'Analysis of Net Position'!F42-G42-H42-I42-J42</f>
        <v>6944143</v>
      </c>
      <c r="F42" s="1161">
        <f>SONPws!D114</f>
        <v>3235161</v>
      </c>
      <c r="G42" s="1161">
        <f>+SONPws!BZ114</f>
        <v>-2921075</v>
      </c>
      <c r="H42" s="1161">
        <f>SUM(SONPws!AA114:AX114)</f>
        <v>-4095275</v>
      </c>
      <c r="I42" s="1161">
        <f>SUM(SONPws!BD114:BS114)</f>
        <v>-434625</v>
      </c>
      <c r="J42" s="1161">
        <f>reconSONP!G54</f>
        <v>185758</v>
      </c>
      <c r="L42" s="1163">
        <f>SUM(N42:S42)</f>
        <v>535879</v>
      </c>
      <c r="M42" s="1164"/>
      <c r="N42" s="1161">
        <f>SONPPF!C175</f>
        <v>589547</v>
      </c>
      <c r="O42" s="1161">
        <f>+SONPPF!E175</f>
        <v>-47872</v>
      </c>
      <c r="P42" s="1161">
        <f>+'Nonmajor Ent BS'!G174</f>
        <v>18484</v>
      </c>
      <c r="Q42" s="1163">
        <f>+'Nonmajor Ent BS'!E174</f>
        <v>3917</v>
      </c>
      <c r="R42" s="1163">
        <f>+'Nonmajor Ent BS'!C174</f>
        <v>-12995</v>
      </c>
      <c r="S42" s="1163">
        <f>SONPPF!I177</f>
        <v>-15202</v>
      </c>
    </row>
    <row r="43" spans="1:19" ht="6" customHeight="1" x14ac:dyDescent="0.25">
      <c r="B43" s="1479"/>
      <c r="M43" s="1164"/>
      <c r="P43" s="1163"/>
      <c r="Q43" s="1163"/>
      <c r="R43" s="1163"/>
      <c r="S43" s="1163"/>
    </row>
    <row r="44" spans="1:19" x14ac:dyDescent="0.25">
      <c r="B44" s="1478" t="s">
        <v>1003</v>
      </c>
      <c r="C44" s="1161">
        <f t="shared" ref="C44:J44" si="12">+C42+-C40</f>
        <v>0</v>
      </c>
      <c r="D44" s="1161">
        <f t="shared" si="12"/>
        <v>0</v>
      </c>
      <c r="E44" s="1161">
        <f t="shared" si="12"/>
        <v>0</v>
      </c>
      <c r="F44" s="1161">
        <f t="shared" si="12"/>
        <v>0</v>
      </c>
      <c r="G44" s="1161">
        <f t="shared" si="12"/>
        <v>0</v>
      </c>
      <c r="H44" s="1161">
        <f t="shared" si="12"/>
        <v>0</v>
      </c>
      <c r="I44" s="1161">
        <f t="shared" si="12"/>
        <v>0</v>
      </c>
      <c r="J44" s="1161">
        <f t="shared" si="12"/>
        <v>0</v>
      </c>
      <c r="L44" s="1161">
        <f>SUM(N44:S44)</f>
        <v>0</v>
      </c>
      <c r="N44" s="1161">
        <f t="shared" ref="N44:S44" si="13">+N42-N40</f>
        <v>0</v>
      </c>
      <c r="O44" s="1161">
        <f t="shared" si="13"/>
        <v>0</v>
      </c>
      <c r="P44" s="1161">
        <f t="shared" si="13"/>
        <v>0</v>
      </c>
      <c r="Q44" s="1163">
        <f t="shared" si="13"/>
        <v>0</v>
      </c>
      <c r="R44" s="1163">
        <f t="shared" si="13"/>
        <v>0</v>
      </c>
      <c r="S44" s="1163">
        <f t="shared" si="13"/>
        <v>0</v>
      </c>
    </row>
    <row r="45" spans="1:19" x14ac:dyDescent="0.25">
      <c r="M45" s="1164"/>
      <c r="P45" s="1163"/>
      <c r="Q45" s="1163"/>
      <c r="R45" s="1163"/>
      <c r="S45" s="1163"/>
    </row>
    <row r="46" spans="1:19" x14ac:dyDescent="0.25">
      <c r="A46" s="1160"/>
      <c r="B46" s="1160"/>
      <c r="M46" s="1164"/>
      <c r="P46" s="1163"/>
      <c r="Q46" s="1163"/>
      <c r="R46" s="1163"/>
      <c r="S46" s="1163"/>
    </row>
    <row r="47" spans="1:19" x14ac:dyDescent="0.25">
      <c r="A47" s="1163"/>
      <c r="B47" s="1361" t="s">
        <v>1463</v>
      </c>
      <c r="C47" s="1362"/>
      <c r="D47" s="1363"/>
      <c r="E47" s="1362"/>
      <c r="F47" s="1362">
        <v>45280</v>
      </c>
      <c r="G47" s="1362"/>
      <c r="H47" s="1362"/>
      <c r="I47" s="1362">
        <f>SONPws!BL46</f>
        <v>394</v>
      </c>
      <c r="J47" s="1362">
        <f>SONPPF!K94</f>
        <v>30776</v>
      </c>
      <c r="K47" s="1362"/>
      <c r="L47" s="1362"/>
      <c r="M47" s="1363"/>
      <c r="N47" s="1362">
        <f>SONPPF!C94</f>
        <v>20436</v>
      </c>
      <c r="O47" s="1362">
        <f>SONPPF!E94</f>
        <v>17858</v>
      </c>
      <c r="P47" s="1362">
        <f>'Nonmajor Ent BS'!G94</f>
        <v>1815</v>
      </c>
      <c r="Q47" s="1362">
        <v>98</v>
      </c>
      <c r="R47" s="1362">
        <f>'Nonmajor Ent BS'!C94</f>
        <v>8995</v>
      </c>
      <c r="S47" s="1362"/>
    </row>
    <row r="48" spans="1:19" x14ac:dyDescent="0.25">
      <c r="A48" s="1163"/>
      <c r="B48" s="1361" t="s">
        <v>1464</v>
      </c>
      <c r="C48" s="1362"/>
      <c r="D48" s="1363"/>
      <c r="E48" s="1362"/>
      <c r="F48" s="1362">
        <v>45280</v>
      </c>
      <c r="G48" s="1362"/>
      <c r="H48" s="1362"/>
      <c r="I48" s="1362">
        <v>528</v>
      </c>
      <c r="J48" s="1362">
        <v>395</v>
      </c>
      <c r="K48" s="1362"/>
      <c r="L48" s="1362"/>
      <c r="M48" s="1363"/>
      <c r="N48" s="1362">
        <f>2176+474</f>
        <v>2650</v>
      </c>
      <c r="O48" s="1362">
        <v>17</v>
      </c>
      <c r="P48" s="1362">
        <v>83</v>
      </c>
      <c r="Q48" s="1362">
        <v>0</v>
      </c>
      <c r="R48" s="1362">
        <v>0</v>
      </c>
      <c r="S48" s="1362"/>
    </row>
    <row r="49" spans="1:19" x14ac:dyDescent="0.25">
      <c r="A49" s="1163"/>
      <c r="B49" s="1361" t="s">
        <v>1465</v>
      </c>
      <c r="C49" s="1362"/>
      <c r="D49" s="1363"/>
      <c r="E49" s="1362"/>
      <c r="F49" s="1364">
        <f>+F47-F48</f>
        <v>0</v>
      </c>
      <c r="G49" s="1362"/>
      <c r="H49" s="1362"/>
      <c r="I49" s="1364">
        <f>+I47-I48</f>
        <v>-134</v>
      </c>
      <c r="J49" s="1364">
        <f>+J47-J48</f>
        <v>30381</v>
      </c>
      <c r="K49" s="1362"/>
      <c r="L49" s="1362"/>
      <c r="M49" s="1363"/>
      <c r="N49" s="1364">
        <f>+N47-N48</f>
        <v>17786</v>
      </c>
      <c r="O49" s="1364">
        <f t="shared" ref="O49:R49" si="14">+O47-O48</f>
        <v>17841</v>
      </c>
      <c r="P49" s="1364">
        <f t="shared" si="14"/>
        <v>1732</v>
      </c>
      <c r="Q49" s="1364">
        <f t="shared" si="14"/>
        <v>98</v>
      </c>
      <c r="R49" s="1364">
        <f t="shared" si="14"/>
        <v>8995</v>
      </c>
      <c r="S49" s="1362"/>
    </row>
    <row r="50" spans="1:19" x14ac:dyDescent="0.25">
      <c r="A50" s="1163"/>
      <c r="B50" s="1163"/>
      <c r="M50" s="1164"/>
    </row>
    <row r="51" spans="1:19" x14ac:dyDescent="0.25">
      <c r="A51" s="1163"/>
      <c r="B51" s="1163"/>
      <c r="M51" s="1164"/>
    </row>
    <row r="52" spans="1:19" x14ac:dyDescent="0.25">
      <c r="A52" s="1163"/>
      <c r="B52" s="1163"/>
      <c r="C52" s="1163"/>
      <c r="D52" s="1164"/>
      <c r="E52" s="1163">
        <v>5467475</v>
      </c>
      <c r="F52" s="1163"/>
      <c r="G52" s="1163"/>
      <c r="H52" s="1163">
        <v>3801339</v>
      </c>
      <c r="I52" s="1163"/>
      <c r="J52" s="1163">
        <v>-118227</v>
      </c>
      <c r="M52" s="1164"/>
    </row>
    <row r="53" spans="1:19" x14ac:dyDescent="0.25">
      <c r="A53" s="1163"/>
      <c r="B53" s="1163"/>
      <c r="C53" s="1163"/>
      <c r="D53" s="1164"/>
      <c r="E53" s="1163"/>
      <c r="F53" s="1163"/>
      <c r="G53" s="1163"/>
      <c r="H53" s="1163"/>
      <c r="I53" s="1163"/>
      <c r="J53" s="1163"/>
      <c r="M53" s="1164"/>
      <c r="S53" s="1161">
        <v>155994</v>
      </c>
    </row>
    <row r="54" spans="1:19" x14ac:dyDescent="0.25">
      <c r="A54" s="1163"/>
      <c r="B54" s="1163"/>
      <c r="C54" s="1163"/>
      <c r="D54" s="1164"/>
      <c r="E54" s="1163">
        <f>+E52-E31</f>
        <v>-195786</v>
      </c>
      <c r="F54" s="1163"/>
      <c r="G54" s="1163"/>
      <c r="H54" s="1163">
        <f>+H31+H52</f>
        <v>-341541</v>
      </c>
      <c r="I54" s="1163"/>
      <c r="J54" s="1163"/>
      <c r="M54" s="1164"/>
      <c r="S54" s="1161">
        <f>S42</f>
        <v>-15202</v>
      </c>
    </row>
    <row r="55" spans="1:19" x14ac:dyDescent="0.25">
      <c r="S55" s="1161">
        <f>+S53-S54</f>
        <v>171196</v>
      </c>
    </row>
  </sheetData>
  <mergeCells count="2">
    <mergeCell ref="C6:J6"/>
    <mergeCell ref="L6:S6"/>
  </mergeCells>
  <pageMargins left="0.45" right="0.45" top="0.75" bottom="0.75" header="0.3" footer="0.3"/>
  <pageSetup scale="57"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tabColor theme="6" tint="0.39997558519241921"/>
    <pageSetUpPr fitToPage="1"/>
  </sheetPr>
  <dimension ref="A1:AV143"/>
  <sheetViews>
    <sheetView view="pageBreakPreview" zoomScaleNormal="100" workbookViewId="0">
      <selection activeCell="Z13" activeCellId="3" sqref="Z18 Z17 Z15 Z13"/>
    </sheetView>
  </sheetViews>
  <sheetFormatPr defaultColWidth="9.140625" defaultRowHeight="12.75" x14ac:dyDescent="0.2"/>
  <cols>
    <col min="1" max="1" width="31.5703125" style="434" customWidth="1"/>
    <col min="2" max="2" width="1.5703125" style="437" hidden="1" customWidth="1"/>
    <col min="3" max="3" width="11.140625" style="437" hidden="1" customWidth="1"/>
    <col min="4" max="4" width="1.5703125" style="437" hidden="1" customWidth="1"/>
    <col min="5" max="5" width="11.140625" style="437" hidden="1" customWidth="1"/>
    <col min="6" max="6" width="1.5703125" style="437" customWidth="1"/>
    <col min="7" max="7" width="11.140625" style="437" customWidth="1"/>
    <col min="8" max="8" width="1.5703125" style="437" customWidth="1"/>
    <col min="9" max="9" width="11.140625" style="437" customWidth="1"/>
    <col min="10" max="10" width="1.5703125" style="437" customWidth="1"/>
    <col min="11" max="11" width="11.140625" style="437" customWidth="1"/>
    <col min="12" max="12" width="1.5703125" style="437" customWidth="1"/>
    <col min="13" max="13" width="11.140625" style="437" customWidth="1"/>
    <col min="14" max="14" width="1.5703125" style="437" customWidth="1"/>
    <col min="15" max="15" width="11.140625" style="437" customWidth="1"/>
    <col min="16" max="16" width="1.5703125" style="437" customWidth="1"/>
    <col min="17" max="17" width="11.140625" style="437" customWidth="1"/>
    <col min="18" max="18" width="1.5703125" style="437" customWidth="1"/>
    <col min="19" max="19" width="11.140625" style="437" customWidth="1"/>
    <col min="20" max="20" width="1.5703125" style="437" customWidth="1"/>
    <col min="21" max="21" width="12.85546875" style="437" customWidth="1"/>
    <col min="22" max="22" width="1.5703125" style="437" customWidth="1"/>
    <col min="23" max="23" width="12.85546875" style="437" customWidth="1"/>
    <col min="24" max="35" width="9.140625" style="434"/>
    <col min="36" max="16384" width="9.140625" style="202"/>
  </cols>
  <sheetData>
    <row r="1" spans="1:35" s="541" customFormat="1" ht="16.5" customHeight="1"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1582"/>
    </row>
    <row r="2" spans="1:35" s="715" customFormat="1" ht="15" customHeight="1" x14ac:dyDescent="0.2">
      <c r="A2" s="700" t="s">
        <v>32</v>
      </c>
      <c r="B2" s="714"/>
      <c r="C2" s="714"/>
      <c r="D2" s="714"/>
      <c r="E2" s="714"/>
      <c r="F2" s="714"/>
      <c r="G2" s="714"/>
      <c r="H2" s="714"/>
      <c r="I2" s="714"/>
      <c r="J2" s="714"/>
      <c r="K2" s="714"/>
      <c r="L2" s="714"/>
      <c r="M2" s="714"/>
      <c r="N2" s="714"/>
      <c r="O2" s="714"/>
      <c r="P2" s="714"/>
      <c r="Q2" s="714"/>
      <c r="R2" s="714"/>
      <c r="S2" s="714"/>
      <c r="T2" s="714"/>
      <c r="U2" s="714"/>
      <c r="V2" s="714"/>
      <c r="W2" s="714"/>
    </row>
    <row r="3" spans="1:35" s="715" customFormat="1" ht="15" customHeight="1" x14ac:dyDescent="0.2">
      <c r="A3" s="700" t="s">
        <v>749</v>
      </c>
      <c r="B3" s="714"/>
      <c r="C3" s="714"/>
      <c r="D3" s="714"/>
      <c r="E3" s="714"/>
      <c r="F3" s="714"/>
      <c r="G3" s="714"/>
      <c r="H3" s="714"/>
      <c r="I3" s="714"/>
      <c r="J3" s="714"/>
      <c r="K3" s="714"/>
      <c r="L3" s="714"/>
      <c r="M3" s="714"/>
      <c r="N3" s="714"/>
      <c r="O3" s="714"/>
      <c r="P3" s="714"/>
      <c r="Q3" s="714"/>
      <c r="R3" s="714"/>
      <c r="S3" s="714"/>
      <c r="T3" s="714"/>
      <c r="U3" s="714"/>
      <c r="V3" s="714"/>
      <c r="W3" s="714"/>
    </row>
    <row r="4" spans="1:35" s="434" customFormat="1" ht="12.95" customHeight="1" x14ac:dyDescent="0.2">
      <c r="A4" s="1579" t="s">
        <v>1725</v>
      </c>
      <c r="B4" s="1579"/>
      <c r="C4" s="432"/>
      <c r="D4" s="432"/>
      <c r="E4" s="432"/>
      <c r="F4" s="432"/>
      <c r="G4" s="432"/>
      <c r="H4" s="432"/>
      <c r="I4" s="432"/>
      <c r="J4" s="432"/>
      <c r="K4" s="432"/>
      <c r="L4" s="432"/>
      <c r="M4" s="432"/>
      <c r="N4" s="432"/>
      <c r="O4" s="432"/>
      <c r="P4" s="432"/>
      <c r="Q4" s="432"/>
      <c r="R4" s="432"/>
      <c r="S4" s="432"/>
      <c r="T4" s="432"/>
      <c r="U4" s="432"/>
      <c r="V4" s="432"/>
      <c r="W4" s="437"/>
    </row>
    <row r="5" spans="1:35" s="247" customFormat="1" ht="12" customHeight="1" x14ac:dyDescent="0.2">
      <c r="A5" s="253" t="s">
        <v>972</v>
      </c>
      <c r="B5" s="433"/>
      <c r="C5" s="433"/>
      <c r="D5" s="433"/>
      <c r="E5" s="433"/>
      <c r="F5" s="433"/>
      <c r="G5" s="433"/>
      <c r="H5" s="433"/>
      <c r="I5" s="433"/>
      <c r="J5" s="433"/>
      <c r="K5" s="433"/>
      <c r="L5" s="433"/>
      <c r="M5" s="433"/>
      <c r="N5" s="433"/>
      <c r="O5" s="433"/>
      <c r="P5" s="433"/>
      <c r="Q5" s="433"/>
      <c r="R5" s="433"/>
      <c r="S5" s="433"/>
      <c r="T5" s="433"/>
      <c r="V5" s="433"/>
    </row>
    <row r="6" spans="1:35" s="247" customFormat="1" ht="12" customHeight="1" x14ac:dyDescent="0.2">
      <c r="B6" s="433"/>
      <c r="C6" s="433"/>
      <c r="D6" s="433"/>
      <c r="E6" s="433"/>
      <c r="F6" s="433"/>
      <c r="G6" s="433"/>
      <c r="H6" s="433"/>
      <c r="I6" s="433"/>
      <c r="J6" s="433"/>
      <c r="K6" s="433"/>
      <c r="L6" s="433"/>
      <c r="M6" s="433"/>
      <c r="N6" s="433"/>
      <c r="O6" s="433"/>
      <c r="P6" s="433"/>
      <c r="Q6" s="433"/>
      <c r="R6" s="433"/>
      <c r="S6" s="433"/>
      <c r="T6" s="433"/>
      <c r="V6" s="433"/>
    </row>
    <row r="7" spans="1:35" s="247" customFormat="1" ht="12" customHeight="1" x14ac:dyDescent="0.2">
      <c r="B7" s="433"/>
      <c r="C7" s="433"/>
      <c r="D7" s="433"/>
      <c r="E7" s="433"/>
      <c r="F7" s="433"/>
      <c r="G7" s="433"/>
      <c r="H7" s="433"/>
      <c r="I7" s="433"/>
      <c r="J7" s="433"/>
      <c r="K7" s="433"/>
      <c r="L7" s="433"/>
      <c r="M7" s="433"/>
      <c r="N7" s="433"/>
      <c r="O7" s="433"/>
      <c r="P7" s="433"/>
      <c r="Q7" s="433"/>
      <c r="R7" s="433"/>
      <c r="S7" s="433"/>
      <c r="T7" s="433"/>
      <c r="V7" s="433"/>
    </row>
    <row r="8" spans="1:35" s="198" customFormat="1" ht="12.6" customHeight="1" x14ac:dyDescent="0.2">
      <c r="A8" s="445"/>
      <c r="C8" s="542" t="s">
        <v>1574</v>
      </c>
      <c r="E8" s="542" t="s">
        <v>1623</v>
      </c>
      <c r="G8" s="444" t="s">
        <v>1729</v>
      </c>
      <c r="I8" s="542" t="s">
        <v>1433</v>
      </c>
      <c r="K8" s="542" t="s">
        <v>1547</v>
      </c>
      <c r="M8" s="542" t="s">
        <v>1500</v>
      </c>
      <c r="O8" s="542" t="s">
        <v>1571</v>
      </c>
      <c r="Q8" s="542" t="s">
        <v>1621</v>
      </c>
      <c r="S8" s="542" t="s">
        <v>1727</v>
      </c>
      <c r="U8" s="445" t="s">
        <v>551</v>
      </c>
      <c r="W8" s="443" t="s">
        <v>860</v>
      </c>
      <c r="X8" s="445"/>
      <c r="Y8" s="445"/>
      <c r="Z8" s="445"/>
      <c r="AA8" s="445"/>
      <c r="AB8" s="445"/>
      <c r="AC8" s="445"/>
      <c r="AD8" s="445"/>
      <c r="AE8" s="445"/>
      <c r="AF8" s="445"/>
      <c r="AG8" s="445"/>
      <c r="AH8" s="445"/>
      <c r="AI8" s="445"/>
    </row>
    <row r="9" spans="1:35" s="198" customFormat="1" ht="12.6" customHeight="1" x14ac:dyDescent="0.2">
      <c r="A9" s="445"/>
      <c r="C9" s="443" t="s">
        <v>551</v>
      </c>
      <c r="E9" s="443" t="s">
        <v>551</v>
      </c>
      <c r="G9" s="443" t="s">
        <v>551</v>
      </c>
      <c r="I9" s="443" t="s">
        <v>551</v>
      </c>
      <c r="K9" s="443" t="s">
        <v>551</v>
      </c>
      <c r="M9" s="443" t="s">
        <v>551</v>
      </c>
      <c r="O9" s="443" t="s">
        <v>551</v>
      </c>
      <c r="Q9" s="443" t="s">
        <v>551</v>
      </c>
      <c r="S9" s="443" t="s">
        <v>551</v>
      </c>
      <c r="U9" s="443" t="s">
        <v>245</v>
      </c>
      <c r="W9" s="443" t="s">
        <v>551</v>
      </c>
      <c r="X9" s="445"/>
      <c r="Y9" s="445"/>
      <c r="Z9" s="445"/>
      <c r="AA9" s="445"/>
      <c r="AB9" s="445"/>
      <c r="AC9" s="445"/>
      <c r="AD9" s="445"/>
      <c r="AE9" s="445"/>
      <c r="AF9" s="445"/>
      <c r="AG9" s="445"/>
      <c r="AH9" s="445"/>
      <c r="AI9" s="445"/>
    </row>
    <row r="10" spans="1:35" s="198" customFormat="1" ht="12.6" customHeight="1" x14ac:dyDescent="0.2">
      <c r="A10" s="445"/>
      <c r="C10" s="443" t="s">
        <v>245</v>
      </c>
      <c r="E10" s="443" t="s">
        <v>245</v>
      </c>
      <c r="G10" s="443" t="s">
        <v>245</v>
      </c>
      <c r="I10" s="443" t="s">
        <v>245</v>
      </c>
      <c r="K10" s="443" t="s">
        <v>245</v>
      </c>
      <c r="M10" s="443" t="s">
        <v>245</v>
      </c>
      <c r="O10" s="443" t="s">
        <v>245</v>
      </c>
      <c r="Q10" s="443" t="s">
        <v>245</v>
      </c>
      <c r="S10" s="443" t="s">
        <v>245</v>
      </c>
      <c r="U10" s="443" t="s">
        <v>243</v>
      </c>
      <c r="W10" s="443" t="s">
        <v>245</v>
      </c>
      <c r="X10" s="445"/>
      <c r="Y10" s="445"/>
      <c r="Z10" s="445"/>
      <c r="AA10" s="445"/>
      <c r="AB10" s="445"/>
      <c r="AC10" s="445"/>
      <c r="AD10" s="445"/>
      <c r="AE10" s="445"/>
      <c r="AF10" s="445"/>
      <c r="AG10" s="445"/>
      <c r="AH10" s="445"/>
      <c r="AI10" s="445"/>
    </row>
    <row r="11" spans="1:35" s="198" customFormat="1" ht="12.6" customHeight="1" x14ac:dyDescent="0.2">
      <c r="A11" s="445"/>
      <c r="C11" s="446" t="s">
        <v>243</v>
      </c>
      <c r="E11" s="446" t="s">
        <v>243</v>
      </c>
      <c r="G11" s="446" t="s">
        <v>243</v>
      </c>
      <c r="I11" s="446" t="s">
        <v>243</v>
      </c>
      <c r="K11" s="446" t="s">
        <v>243</v>
      </c>
      <c r="M11" s="446" t="s">
        <v>243</v>
      </c>
      <c r="O11" s="446" t="s">
        <v>243</v>
      </c>
      <c r="Q11" s="446" t="s">
        <v>243</v>
      </c>
      <c r="S11" s="446" t="s">
        <v>243</v>
      </c>
      <c r="U11" s="446" t="s">
        <v>1108</v>
      </c>
      <c r="W11" s="446" t="s">
        <v>243</v>
      </c>
      <c r="X11" s="445"/>
      <c r="Y11" s="445"/>
      <c r="Z11" s="445"/>
      <c r="AA11" s="445"/>
      <c r="AB11" s="445"/>
      <c r="AC11" s="445"/>
      <c r="AD11" s="445"/>
      <c r="AE11" s="445"/>
      <c r="AF11" s="445"/>
      <c r="AG11" s="445"/>
      <c r="AH11" s="445"/>
      <c r="AI11" s="445"/>
    </row>
    <row r="12" spans="1:35" s="439" customFormat="1" ht="9.9499999999999993" customHeight="1" x14ac:dyDescent="0.2">
      <c r="A12" s="417" t="s">
        <v>868</v>
      </c>
      <c r="B12" s="438"/>
      <c r="C12" s="438"/>
      <c r="D12" s="438"/>
      <c r="E12" s="438"/>
      <c r="F12" s="438"/>
      <c r="G12" s="438"/>
      <c r="H12" s="438"/>
      <c r="I12" s="438"/>
      <c r="J12" s="438"/>
      <c r="K12" s="438"/>
      <c r="L12" s="438"/>
      <c r="M12" s="438"/>
      <c r="N12" s="438"/>
      <c r="O12" s="438"/>
      <c r="P12" s="438"/>
      <c r="Q12" s="438"/>
      <c r="R12" s="438"/>
      <c r="S12" s="438"/>
      <c r="T12" s="438"/>
      <c r="U12" s="438"/>
      <c r="V12" s="438"/>
      <c r="W12" s="438"/>
      <c r="X12" s="418"/>
      <c r="Y12" s="418"/>
      <c r="Z12" s="418"/>
      <c r="AA12" s="418"/>
      <c r="AB12" s="418"/>
      <c r="AC12" s="418"/>
      <c r="AD12" s="418"/>
      <c r="AE12" s="418"/>
      <c r="AF12" s="418"/>
      <c r="AG12" s="418"/>
      <c r="AH12" s="418"/>
      <c r="AI12" s="418"/>
    </row>
    <row r="13" spans="1:35" s="439" customFormat="1" ht="9.9499999999999993" hidden="1" customHeight="1" x14ac:dyDescent="0.2">
      <c r="A13" s="428" t="s">
        <v>869</v>
      </c>
      <c r="B13" s="438"/>
      <c r="C13" s="438"/>
      <c r="D13" s="438"/>
      <c r="E13" s="438"/>
      <c r="F13" s="438"/>
      <c r="G13" s="438"/>
      <c r="H13" s="438"/>
      <c r="I13" s="438"/>
      <c r="J13" s="438"/>
      <c r="K13" s="438"/>
      <c r="L13" s="438"/>
      <c r="M13" s="438"/>
      <c r="N13" s="438"/>
      <c r="O13" s="438"/>
      <c r="P13" s="438"/>
      <c r="Q13" s="438"/>
      <c r="R13" s="438"/>
      <c r="S13" s="438"/>
      <c r="T13" s="438"/>
      <c r="U13" s="438"/>
      <c r="V13" s="438"/>
      <c r="W13" s="438"/>
      <c r="X13" s="418"/>
      <c r="Y13" s="418"/>
      <c r="Z13" s="418"/>
      <c r="AA13" s="418"/>
      <c r="AB13" s="418"/>
      <c r="AC13" s="418"/>
      <c r="AD13" s="418"/>
      <c r="AE13" s="418"/>
      <c r="AF13" s="418"/>
      <c r="AG13" s="418"/>
      <c r="AH13" s="418"/>
      <c r="AI13" s="418"/>
    </row>
    <row r="14" spans="1:35" s="449" customFormat="1" ht="9.9499999999999993" hidden="1" customHeight="1" x14ac:dyDescent="0.2">
      <c r="A14" s="426" t="s">
        <v>829</v>
      </c>
      <c r="B14" s="447"/>
      <c r="C14" s="346"/>
      <c r="D14" s="447"/>
      <c r="E14" s="346"/>
      <c r="F14" s="447"/>
      <c r="G14" s="346"/>
      <c r="H14" s="447"/>
      <c r="I14" s="346"/>
      <c r="J14" s="447"/>
      <c r="K14" s="346"/>
      <c r="L14" s="447"/>
      <c r="M14" s="346"/>
      <c r="N14" s="447"/>
      <c r="O14" s="346"/>
      <c r="P14" s="447"/>
      <c r="Q14" s="346"/>
      <c r="R14" s="447"/>
      <c r="S14" s="346"/>
      <c r="T14" s="447"/>
      <c r="U14" s="346">
        <f>+SORECGFws!AR5</f>
        <v>0</v>
      </c>
      <c r="V14" s="447"/>
      <c r="W14" s="346">
        <f t="shared" ref="W14:W27" si="0">SUM(B14:U14)</f>
        <v>0</v>
      </c>
      <c r="X14" s="448"/>
      <c r="Y14" s="448"/>
      <c r="Z14" s="448"/>
      <c r="AA14" s="448"/>
      <c r="AB14" s="448"/>
      <c r="AC14" s="448"/>
      <c r="AD14" s="448"/>
      <c r="AE14" s="448"/>
      <c r="AF14" s="448"/>
      <c r="AG14" s="448"/>
      <c r="AH14" s="448"/>
      <c r="AI14" s="448"/>
    </row>
    <row r="15" spans="1:35" s="451" customFormat="1" ht="9.9499999999999993" hidden="1" customHeight="1" x14ac:dyDescent="0.2">
      <c r="A15" s="426" t="s">
        <v>830</v>
      </c>
      <c r="B15" s="450"/>
      <c r="C15" s="450"/>
      <c r="D15" s="450"/>
      <c r="E15" s="450"/>
      <c r="F15" s="450"/>
      <c r="G15" s="450"/>
      <c r="H15" s="450"/>
      <c r="I15" s="450"/>
      <c r="J15" s="450"/>
      <c r="K15" s="450"/>
      <c r="L15" s="450"/>
      <c r="M15" s="450"/>
      <c r="N15" s="450"/>
      <c r="O15" s="450"/>
      <c r="P15" s="450"/>
      <c r="Q15" s="450"/>
      <c r="R15" s="450"/>
      <c r="S15" s="450"/>
      <c r="T15" s="450"/>
      <c r="U15" s="450">
        <f>+SORECGFws!AR6</f>
        <v>0</v>
      </c>
      <c r="V15" s="450"/>
      <c r="W15" s="450">
        <f t="shared" si="0"/>
        <v>0</v>
      </c>
      <c r="X15" s="450"/>
      <c r="Y15" s="450"/>
      <c r="Z15" s="450"/>
      <c r="AA15" s="450"/>
      <c r="AB15" s="450"/>
      <c r="AC15" s="450"/>
      <c r="AD15" s="450"/>
      <c r="AE15" s="450"/>
      <c r="AF15" s="450"/>
      <c r="AG15" s="450"/>
      <c r="AH15" s="450"/>
      <c r="AI15" s="450"/>
    </row>
    <row r="16" spans="1:35" s="451" customFormat="1" ht="9.9499999999999993" hidden="1" customHeight="1" x14ac:dyDescent="0.2">
      <c r="A16" s="426" t="s">
        <v>831</v>
      </c>
      <c r="B16" s="450"/>
      <c r="C16" s="450"/>
      <c r="D16" s="450"/>
      <c r="E16" s="450"/>
      <c r="F16" s="450"/>
      <c r="G16" s="450"/>
      <c r="H16" s="450"/>
      <c r="I16" s="450"/>
      <c r="J16" s="450"/>
      <c r="K16" s="450"/>
      <c r="L16" s="450"/>
      <c r="M16" s="450"/>
      <c r="N16" s="450"/>
      <c r="O16" s="450"/>
      <c r="P16" s="450"/>
      <c r="Q16" s="450"/>
      <c r="R16" s="450"/>
      <c r="S16" s="450"/>
      <c r="T16" s="450"/>
      <c r="U16" s="450">
        <f>+SORECGFws!AR7</f>
        <v>0</v>
      </c>
      <c r="V16" s="450"/>
      <c r="W16" s="450">
        <f t="shared" si="0"/>
        <v>0</v>
      </c>
      <c r="X16" s="450"/>
      <c r="Y16" s="450"/>
      <c r="Z16" s="450"/>
      <c r="AA16" s="450"/>
      <c r="AB16" s="450"/>
      <c r="AC16" s="450"/>
      <c r="AD16" s="450"/>
      <c r="AE16" s="450"/>
      <c r="AF16" s="450"/>
      <c r="AG16" s="450"/>
      <c r="AH16" s="450"/>
      <c r="AI16" s="450"/>
    </row>
    <row r="17" spans="1:35" s="451" customFormat="1" ht="9.9499999999999993" hidden="1" customHeight="1" x14ac:dyDescent="0.2">
      <c r="A17" s="426" t="s">
        <v>827</v>
      </c>
      <c r="B17" s="450"/>
      <c r="C17" s="450"/>
      <c r="D17" s="450"/>
      <c r="E17" s="450"/>
      <c r="F17" s="450"/>
      <c r="G17" s="450"/>
      <c r="H17" s="450"/>
      <c r="I17" s="450"/>
      <c r="J17" s="450"/>
      <c r="K17" s="450"/>
      <c r="L17" s="450"/>
      <c r="M17" s="450"/>
      <c r="N17" s="450"/>
      <c r="O17" s="450"/>
      <c r="P17" s="450"/>
      <c r="Q17" s="450"/>
      <c r="R17" s="450"/>
      <c r="S17" s="450"/>
      <c r="T17" s="450"/>
      <c r="U17" s="450">
        <f>+SORECGFws!AR8</f>
        <v>0</v>
      </c>
      <c r="V17" s="450"/>
      <c r="W17" s="450">
        <f t="shared" si="0"/>
        <v>0</v>
      </c>
      <c r="X17" s="450"/>
      <c r="Y17" s="450"/>
      <c r="Z17" s="450"/>
      <c r="AA17" s="450"/>
      <c r="AB17" s="450"/>
      <c r="AC17" s="450"/>
      <c r="AD17" s="450"/>
      <c r="AE17" s="450"/>
      <c r="AF17" s="450"/>
      <c r="AG17" s="450"/>
      <c r="AH17" s="450"/>
      <c r="AI17" s="450"/>
    </row>
    <row r="18" spans="1:35" s="451" customFormat="1" ht="9.9499999999999993" hidden="1" customHeight="1" x14ac:dyDescent="0.2">
      <c r="A18" s="426" t="s">
        <v>832</v>
      </c>
      <c r="B18" s="447"/>
      <c r="C18" s="450"/>
      <c r="D18" s="447"/>
      <c r="E18" s="450"/>
      <c r="F18" s="447"/>
      <c r="G18" s="450"/>
      <c r="H18" s="447"/>
      <c r="I18" s="450"/>
      <c r="J18" s="447"/>
      <c r="K18" s="450"/>
      <c r="L18" s="447"/>
      <c r="M18" s="450"/>
      <c r="N18" s="447"/>
      <c r="O18" s="450"/>
      <c r="P18" s="447"/>
      <c r="Q18" s="450"/>
      <c r="R18" s="447"/>
      <c r="S18" s="450"/>
      <c r="T18" s="447"/>
      <c r="U18" s="450">
        <f>+SORECGFws!AR9</f>
        <v>0</v>
      </c>
      <c r="V18" s="447"/>
      <c r="W18" s="450">
        <f t="shared" si="0"/>
        <v>0</v>
      </c>
      <c r="X18" s="450"/>
      <c r="Y18" s="450"/>
      <c r="Z18" s="450"/>
      <c r="AA18" s="450"/>
      <c r="AB18" s="450"/>
      <c r="AC18" s="450"/>
      <c r="AD18" s="450"/>
      <c r="AE18" s="450"/>
      <c r="AF18" s="450"/>
      <c r="AG18" s="450"/>
      <c r="AH18" s="450"/>
      <c r="AI18" s="450"/>
    </row>
    <row r="19" spans="1:35" s="451" customFormat="1" ht="9.9499999999999993" hidden="1" customHeight="1" x14ac:dyDescent="0.2">
      <c r="A19" s="426" t="s">
        <v>944</v>
      </c>
      <c r="B19" s="447"/>
      <c r="C19" s="450"/>
      <c r="D19" s="447"/>
      <c r="E19" s="450"/>
      <c r="F19" s="447"/>
      <c r="G19" s="450"/>
      <c r="H19" s="447"/>
      <c r="I19" s="450"/>
      <c r="J19" s="447"/>
      <c r="K19" s="450"/>
      <c r="L19" s="447"/>
      <c r="M19" s="450"/>
      <c r="N19" s="447"/>
      <c r="O19" s="450"/>
      <c r="P19" s="447"/>
      <c r="Q19" s="450"/>
      <c r="R19" s="447"/>
      <c r="S19" s="450"/>
      <c r="T19" s="447"/>
      <c r="U19" s="450">
        <f>+SORECGFws!AR10</f>
        <v>0</v>
      </c>
      <c r="V19" s="447"/>
      <c r="W19" s="450">
        <f t="shared" si="0"/>
        <v>0</v>
      </c>
      <c r="X19" s="450"/>
      <c r="Y19" s="450"/>
      <c r="Z19" s="450"/>
      <c r="AA19" s="450"/>
      <c r="AB19" s="450"/>
      <c r="AC19" s="450"/>
      <c r="AD19" s="450"/>
      <c r="AE19" s="450"/>
      <c r="AF19" s="450"/>
      <c r="AG19" s="450"/>
      <c r="AH19" s="450"/>
      <c r="AI19" s="450"/>
    </row>
    <row r="20" spans="1:35" s="451" customFormat="1" ht="9.9499999999999993" hidden="1" customHeight="1" x14ac:dyDescent="0.2">
      <c r="A20" s="425" t="s">
        <v>945</v>
      </c>
      <c r="B20" s="447"/>
      <c r="C20" s="450"/>
      <c r="D20" s="447"/>
      <c r="E20" s="450"/>
      <c r="F20" s="447"/>
      <c r="G20" s="450"/>
      <c r="H20" s="447"/>
      <c r="I20" s="450"/>
      <c r="J20" s="447"/>
      <c r="K20" s="450"/>
      <c r="L20" s="447"/>
      <c r="M20" s="450"/>
      <c r="N20" s="447"/>
      <c r="O20" s="450"/>
      <c r="P20" s="447"/>
      <c r="Q20" s="450"/>
      <c r="R20" s="447"/>
      <c r="S20" s="450"/>
      <c r="T20" s="447"/>
      <c r="U20" s="450">
        <f>+SORECGFws!AR11</f>
        <v>0</v>
      </c>
      <c r="V20" s="447"/>
      <c r="W20" s="450">
        <f t="shared" si="0"/>
        <v>0</v>
      </c>
      <c r="X20" s="450"/>
      <c r="Y20" s="450"/>
      <c r="Z20" s="450"/>
      <c r="AA20" s="450"/>
      <c r="AB20" s="450"/>
      <c r="AC20" s="450"/>
      <c r="AD20" s="450"/>
      <c r="AE20" s="450"/>
      <c r="AF20" s="450"/>
      <c r="AG20" s="450"/>
      <c r="AH20" s="450"/>
      <c r="AI20" s="450"/>
    </row>
    <row r="21" spans="1:35" s="451" customFormat="1" ht="9.9499999999999993" customHeight="1" x14ac:dyDescent="0.2">
      <c r="A21" s="425" t="s">
        <v>946</v>
      </c>
      <c r="B21" s="339"/>
      <c r="C21" s="339">
        <f>SORECGFws!AI12</f>
        <v>0</v>
      </c>
      <c r="D21" s="339"/>
      <c r="E21" s="339">
        <f>SORECGFws!AJ12</f>
        <v>0</v>
      </c>
      <c r="F21" s="339"/>
      <c r="G21" s="339">
        <f>SORECGFws!AK12</f>
        <v>0</v>
      </c>
      <c r="H21" s="339"/>
      <c r="I21" s="339">
        <f>SORECGFws!AL12</f>
        <v>0</v>
      </c>
      <c r="J21" s="339"/>
      <c r="K21" s="339">
        <f>SORECGFws!AM12</f>
        <v>0</v>
      </c>
      <c r="L21" s="339"/>
      <c r="M21" s="339">
        <f>SORECGFws!AN12</f>
        <v>0</v>
      </c>
      <c r="N21" s="339"/>
      <c r="O21" s="339">
        <f>SORECGFws!AO12</f>
        <v>0</v>
      </c>
      <c r="P21" s="339"/>
      <c r="Q21" s="339">
        <f>SORECGFws!AP12</f>
        <v>0</v>
      </c>
      <c r="R21" s="339"/>
      <c r="S21" s="339">
        <f>SORECGFws!AQ12</f>
        <v>0</v>
      </c>
      <c r="T21" s="339"/>
      <c r="U21" s="339">
        <f>+SORECGFws!AR12</f>
        <v>163</v>
      </c>
      <c r="V21" s="339"/>
      <c r="W21" s="339">
        <f t="shared" si="0"/>
        <v>163</v>
      </c>
      <c r="X21" s="450"/>
      <c r="Y21" s="450"/>
      <c r="Z21" s="450"/>
      <c r="AA21" s="450"/>
      <c r="AB21" s="450"/>
      <c r="AC21" s="450"/>
      <c r="AD21" s="450"/>
      <c r="AE21" s="450"/>
      <c r="AF21" s="450"/>
      <c r="AG21" s="450"/>
      <c r="AH21" s="450"/>
      <c r="AI21" s="450"/>
    </row>
    <row r="22" spans="1:35" s="451" customFormat="1" ht="9.9499999999999993" hidden="1" customHeight="1" x14ac:dyDescent="0.2">
      <c r="A22" s="425" t="s">
        <v>947</v>
      </c>
      <c r="B22" s="450"/>
      <c r="C22" s="450">
        <f>SORECGFws!AI13</f>
        <v>0</v>
      </c>
      <c r="D22" s="450"/>
      <c r="E22" s="450">
        <f>SORECGFws!AJ13</f>
        <v>0</v>
      </c>
      <c r="F22" s="450"/>
      <c r="G22" s="450">
        <f>SORECGFws!AK13</f>
        <v>0</v>
      </c>
      <c r="H22" s="450"/>
      <c r="I22" s="450">
        <f>SORECGFws!AL13</f>
        <v>0</v>
      </c>
      <c r="J22" s="450"/>
      <c r="K22" s="450">
        <f>SORECGFws!AR13</f>
        <v>0</v>
      </c>
      <c r="L22" s="450"/>
      <c r="M22" s="450">
        <f>SORECGFws!AS13</f>
        <v>0</v>
      </c>
      <c r="N22" s="450"/>
      <c r="O22" s="450">
        <f>SORECGFws!AU13</f>
        <v>0</v>
      </c>
      <c r="P22" s="450"/>
      <c r="Q22" s="450">
        <f>SORECGFws!AW13</f>
        <v>0</v>
      </c>
      <c r="R22" s="450"/>
      <c r="S22" s="450">
        <f>SORECGFws!AY13</f>
        <v>0</v>
      </c>
      <c r="T22" s="450"/>
      <c r="U22" s="450">
        <f>+SORECGFws!AR13</f>
        <v>0</v>
      </c>
      <c r="V22" s="450"/>
      <c r="W22" s="450">
        <f t="shared" si="0"/>
        <v>0</v>
      </c>
      <c r="X22" s="450"/>
      <c r="Y22" s="450"/>
      <c r="Z22" s="450"/>
      <c r="AA22" s="450"/>
      <c r="AB22" s="450"/>
      <c r="AC22" s="450"/>
      <c r="AD22" s="450"/>
      <c r="AE22" s="450"/>
      <c r="AF22" s="450"/>
      <c r="AG22" s="450"/>
      <c r="AH22" s="450"/>
      <c r="AI22" s="450"/>
    </row>
    <row r="23" spans="1:35" s="451" customFormat="1" ht="9.9499999999999993" hidden="1" customHeight="1" x14ac:dyDescent="0.2">
      <c r="A23" s="425" t="s">
        <v>948</v>
      </c>
      <c r="B23" s="450"/>
      <c r="C23" s="450">
        <f>SORECGFws!AI14</f>
        <v>0</v>
      </c>
      <c r="D23" s="450"/>
      <c r="E23" s="450">
        <f>SORECGFws!AJ14</f>
        <v>0</v>
      </c>
      <c r="F23" s="450"/>
      <c r="G23" s="450">
        <f>SORECGFws!AK14</f>
        <v>0</v>
      </c>
      <c r="H23" s="450"/>
      <c r="I23" s="450">
        <f>SORECGFws!AL14</f>
        <v>0</v>
      </c>
      <c r="J23" s="450"/>
      <c r="K23" s="450">
        <f>SORECGFws!AR14</f>
        <v>0</v>
      </c>
      <c r="L23" s="450"/>
      <c r="M23" s="450">
        <f>SORECGFws!AS14</f>
        <v>0</v>
      </c>
      <c r="N23" s="450"/>
      <c r="O23" s="450">
        <f>SORECGFws!AU14</f>
        <v>0</v>
      </c>
      <c r="P23" s="450"/>
      <c r="Q23" s="450">
        <f>SORECGFws!AW14</f>
        <v>0</v>
      </c>
      <c r="R23" s="450"/>
      <c r="S23" s="450">
        <f>SORECGFws!AY14</f>
        <v>0</v>
      </c>
      <c r="T23" s="450"/>
      <c r="U23" s="450">
        <f>+SORECGFws!AR14</f>
        <v>0</v>
      </c>
      <c r="V23" s="450"/>
      <c r="W23" s="450">
        <f t="shared" si="0"/>
        <v>0</v>
      </c>
      <c r="X23" s="450"/>
      <c r="Y23" s="450"/>
      <c r="Z23" s="450"/>
      <c r="AA23" s="450"/>
      <c r="AB23" s="450"/>
      <c r="AC23" s="450"/>
      <c r="AD23" s="450"/>
      <c r="AE23" s="450"/>
      <c r="AF23" s="450"/>
      <c r="AG23" s="450"/>
      <c r="AH23" s="450"/>
      <c r="AI23" s="450"/>
    </row>
    <row r="24" spans="1:35" s="451" customFormat="1" ht="9.9499999999999993" hidden="1" customHeight="1" x14ac:dyDescent="0.2">
      <c r="A24" s="425" t="s">
        <v>16</v>
      </c>
      <c r="B24" s="450"/>
      <c r="C24" s="450">
        <f>SORECGFws!AI15</f>
        <v>0</v>
      </c>
      <c r="D24" s="450"/>
      <c r="E24" s="450">
        <f>SORECGFws!AJ15</f>
        <v>0</v>
      </c>
      <c r="F24" s="450"/>
      <c r="G24" s="450">
        <f>SORECGFws!AK15</f>
        <v>0</v>
      </c>
      <c r="H24" s="450"/>
      <c r="I24" s="450">
        <f>SORECGFws!AL15</f>
        <v>0</v>
      </c>
      <c r="J24" s="450"/>
      <c r="K24" s="450">
        <f>SORECGFws!AR15</f>
        <v>0</v>
      </c>
      <c r="L24" s="450"/>
      <c r="M24" s="450">
        <f>SORECGFws!AS15</f>
        <v>0</v>
      </c>
      <c r="N24" s="450"/>
      <c r="O24" s="450">
        <f>SORECGFws!AU15</f>
        <v>0</v>
      </c>
      <c r="P24" s="450"/>
      <c r="Q24" s="450">
        <f>SORECGFws!AW15</f>
        <v>0</v>
      </c>
      <c r="R24" s="450"/>
      <c r="S24" s="450">
        <f>SORECGFws!AY15</f>
        <v>0</v>
      </c>
      <c r="T24" s="450"/>
      <c r="U24" s="450">
        <f>+SORECGFws!AR15</f>
        <v>0</v>
      </c>
      <c r="V24" s="450"/>
      <c r="W24" s="450">
        <f t="shared" si="0"/>
        <v>0</v>
      </c>
      <c r="X24" s="450"/>
      <c r="Y24" s="450"/>
      <c r="Z24" s="450"/>
      <c r="AA24" s="450"/>
      <c r="AB24" s="450"/>
      <c r="AC24" s="450"/>
      <c r="AD24" s="450"/>
      <c r="AE24" s="450"/>
      <c r="AF24" s="450"/>
      <c r="AG24" s="450"/>
      <c r="AH24" s="450"/>
      <c r="AI24" s="450"/>
    </row>
    <row r="25" spans="1:35" s="646" customFormat="1" ht="9.9499999999999993" hidden="1" customHeight="1" x14ac:dyDescent="0.2">
      <c r="A25" s="425" t="s">
        <v>775</v>
      </c>
      <c r="B25" s="450"/>
      <c r="C25" s="450">
        <f>SORECGFws!AI16</f>
        <v>0</v>
      </c>
      <c r="D25" s="450"/>
      <c r="E25" s="450">
        <f>SORECGFws!AJ16</f>
        <v>0</v>
      </c>
      <c r="F25" s="450"/>
      <c r="G25" s="450">
        <f>SORECGFws!AK16</f>
        <v>0</v>
      </c>
      <c r="H25" s="450"/>
      <c r="I25" s="450">
        <f>SORECGFws!AL16</f>
        <v>0</v>
      </c>
      <c r="J25" s="450"/>
      <c r="K25" s="450">
        <f>SORECGFws!AM16</f>
        <v>0</v>
      </c>
      <c r="L25" s="450"/>
      <c r="M25" s="450">
        <f>SORECGFws!AN16</f>
        <v>0</v>
      </c>
      <c r="N25" s="450"/>
      <c r="O25" s="450">
        <f>SORECGFws!AO16</f>
        <v>0</v>
      </c>
      <c r="P25" s="450"/>
      <c r="Q25" s="450">
        <f>SORECGFws!AR16</f>
        <v>0</v>
      </c>
      <c r="R25" s="450"/>
      <c r="S25" s="450">
        <f>SORECGFws!AQ16</f>
        <v>0</v>
      </c>
      <c r="T25" s="450"/>
      <c r="U25" s="450">
        <f>+SORECGFws!AR16</f>
        <v>0</v>
      </c>
      <c r="V25" s="538"/>
      <c r="W25" s="450">
        <f t="shared" si="0"/>
        <v>0</v>
      </c>
      <c r="X25" s="538"/>
      <c r="Y25" s="538"/>
      <c r="Z25" s="538"/>
      <c r="AA25" s="538"/>
      <c r="AB25" s="538"/>
      <c r="AC25" s="538"/>
      <c r="AD25" s="538"/>
      <c r="AE25" s="533"/>
      <c r="AF25" s="533"/>
      <c r="AG25" s="533"/>
      <c r="AH25" s="533"/>
      <c r="AI25" s="533"/>
    </row>
    <row r="26" spans="1:35" s="451" customFormat="1" ht="9.9499999999999993" customHeight="1" x14ac:dyDescent="0.2">
      <c r="A26" s="425" t="s">
        <v>774</v>
      </c>
      <c r="B26" s="450"/>
      <c r="C26" s="450">
        <f>SORECGFws!AI17</f>
        <v>0</v>
      </c>
      <c r="D26" s="450"/>
      <c r="E26" s="450">
        <f>SORECGFws!AJ17</f>
        <v>0</v>
      </c>
      <c r="F26" s="450"/>
      <c r="G26" s="450">
        <f>SORECGFws!AK17</f>
        <v>3098</v>
      </c>
      <c r="H26" s="450"/>
      <c r="I26" s="450">
        <f>SORECGFws!AL17</f>
        <v>152</v>
      </c>
      <c r="J26" s="450"/>
      <c r="K26" s="450">
        <f>SORECGFws!AM17</f>
        <v>280</v>
      </c>
      <c r="L26" s="450"/>
      <c r="M26" s="450">
        <f>SORECGFws!AN17</f>
        <v>1306</v>
      </c>
      <c r="N26" s="450"/>
      <c r="O26" s="450">
        <f>SORECGFws!AO17</f>
        <v>1567</v>
      </c>
      <c r="P26" s="450"/>
      <c r="Q26" s="450">
        <f>SORECGFws!AP17</f>
        <v>248</v>
      </c>
      <c r="R26" s="450"/>
      <c r="S26" s="450">
        <f>SORECGFws!AQ17</f>
        <v>223</v>
      </c>
      <c r="T26" s="450"/>
      <c r="U26" s="450">
        <f>+SORECGFws!AR17</f>
        <v>0</v>
      </c>
      <c r="V26" s="450"/>
      <c r="W26" s="450">
        <f t="shared" si="0"/>
        <v>6874</v>
      </c>
      <c r="X26" s="450"/>
      <c r="Y26" s="450"/>
      <c r="Z26" s="450"/>
      <c r="AA26" s="450"/>
      <c r="AB26" s="450"/>
      <c r="AC26" s="450"/>
      <c r="AD26" s="450"/>
      <c r="AE26" s="450"/>
      <c r="AF26" s="450"/>
      <c r="AG26" s="450"/>
      <c r="AH26" s="450"/>
      <c r="AI26" s="450"/>
    </row>
    <row r="27" spans="1:35" s="451" customFormat="1" ht="9.9499999999999993" hidden="1" customHeight="1" x14ac:dyDescent="0.2">
      <c r="A27" s="425" t="s">
        <v>766</v>
      </c>
      <c r="B27" s="450"/>
      <c r="C27" s="450">
        <f>SORECGFws!AI18</f>
        <v>0</v>
      </c>
      <c r="D27" s="450"/>
      <c r="E27" s="450">
        <f>SORECGFws!AJ18</f>
        <v>0</v>
      </c>
      <c r="F27" s="450"/>
      <c r="G27" s="450">
        <f>SORECGFws!AK18</f>
        <v>0</v>
      </c>
      <c r="H27" s="450"/>
      <c r="I27" s="450">
        <f>SORECGFws!AL18</f>
        <v>0</v>
      </c>
      <c r="J27" s="450"/>
      <c r="K27" s="450">
        <f>SORECGFws!AM18</f>
        <v>0</v>
      </c>
      <c r="L27" s="450"/>
      <c r="M27" s="450">
        <f>SORECGFws!AN18</f>
        <v>0</v>
      </c>
      <c r="N27" s="450"/>
      <c r="O27" s="450">
        <f>SORECGFws!AO18</f>
        <v>0</v>
      </c>
      <c r="P27" s="450"/>
      <c r="Q27" s="450"/>
      <c r="R27" s="450"/>
      <c r="S27" s="450"/>
      <c r="T27" s="450"/>
      <c r="U27" s="450">
        <f>+SORECGFws!AR18</f>
        <v>0</v>
      </c>
      <c r="V27" s="450"/>
      <c r="W27" s="450">
        <f t="shared" si="0"/>
        <v>0</v>
      </c>
      <c r="X27" s="450"/>
      <c r="Y27" s="450"/>
      <c r="Z27" s="450"/>
      <c r="AA27" s="450"/>
      <c r="AB27" s="450"/>
      <c r="AC27" s="450"/>
      <c r="AD27" s="450"/>
      <c r="AE27" s="450"/>
      <c r="AF27" s="450"/>
      <c r="AG27" s="450"/>
      <c r="AH27" s="450"/>
      <c r="AI27" s="450"/>
    </row>
    <row r="28" spans="1:35" s="451" customFormat="1" ht="5.0999999999999996" customHeight="1" x14ac:dyDescent="0.2">
      <c r="B28" s="450"/>
      <c r="C28" s="452"/>
      <c r="D28" s="450"/>
      <c r="E28" s="452"/>
      <c r="F28" s="450"/>
      <c r="G28" s="452"/>
      <c r="H28" s="450"/>
      <c r="I28" s="452"/>
      <c r="J28" s="450"/>
      <c r="K28" s="452"/>
      <c r="L28" s="450"/>
      <c r="M28" s="452"/>
      <c r="N28" s="450"/>
      <c r="O28" s="452"/>
      <c r="P28" s="450"/>
      <c r="Q28" s="452"/>
      <c r="R28" s="450"/>
      <c r="S28" s="452"/>
      <c r="T28" s="450"/>
      <c r="U28" s="452"/>
      <c r="V28" s="450"/>
      <c r="W28" s="452"/>
      <c r="X28" s="450"/>
      <c r="Y28" s="450"/>
      <c r="Z28" s="450"/>
      <c r="AA28" s="450"/>
      <c r="AB28" s="450"/>
      <c r="AC28" s="450"/>
      <c r="AD28" s="450"/>
      <c r="AE28" s="450"/>
      <c r="AF28" s="450"/>
      <c r="AG28" s="450"/>
      <c r="AH28" s="450"/>
      <c r="AI28" s="450"/>
    </row>
    <row r="29" spans="1:35" s="451" customFormat="1" ht="11.1" customHeight="1" x14ac:dyDescent="0.2">
      <c r="A29" s="417" t="s">
        <v>950</v>
      </c>
      <c r="B29" s="450"/>
      <c r="C29" s="455">
        <f>SUM(C14:C27)</f>
        <v>0</v>
      </c>
      <c r="D29" s="450"/>
      <c r="E29" s="455">
        <f>SUM(E14:E27)</f>
        <v>0</v>
      </c>
      <c r="F29" s="450"/>
      <c r="G29" s="455">
        <f>SUM(G14:G27)</f>
        <v>3098</v>
      </c>
      <c r="H29" s="450"/>
      <c r="I29" s="455">
        <f>SUM(I14:I27)</f>
        <v>152</v>
      </c>
      <c r="J29" s="450"/>
      <c r="K29" s="455">
        <f>SUM(K14:K27)</f>
        <v>280</v>
      </c>
      <c r="L29" s="450"/>
      <c r="M29" s="455">
        <f>SUM(M14:M27)</f>
        <v>1306</v>
      </c>
      <c r="N29" s="450"/>
      <c r="O29" s="455">
        <f>SUM(O14:O27)</f>
        <v>1567</v>
      </c>
      <c r="P29" s="450"/>
      <c r="Q29" s="455">
        <f>SUM(Q14:Q27)</f>
        <v>248</v>
      </c>
      <c r="R29" s="450"/>
      <c r="S29" s="455">
        <f>SUM(S14:S27)</f>
        <v>223</v>
      </c>
      <c r="T29" s="450"/>
      <c r="U29" s="455">
        <f>SUM(U14:U27)</f>
        <v>163</v>
      </c>
      <c r="V29" s="450"/>
      <c r="W29" s="455">
        <f>SUM(W14:W27)</f>
        <v>7037</v>
      </c>
      <c r="X29" s="450"/>
      <c r="Y29" s="450"/>
      <c r="Z29" s="450"/>
      <c r="AA29" s="450"/>
      <c r="AB29" s="450"/>
      <c r="AC29" s="450"/>
      <c r="AD29" s="450"/>
      <c r="AE29" s="450"/>
      <c r="AF29" s="450"/>
      <c r="AG29" s="450"/>
      <c r="AH29" s="450"/>
      <c r="AI29" s="450"/>
    </row>
    <row r="30" spans="1:35" s="451" customFormat="1" ht="5.0999999999999996" customHeight="1" x14ac:dyDescent="0.2">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row>
    <row r="31" spans="1:35" s="451" customFormat="1" ht="9.9499999999999993" customHeight="1" x14ac:dyDescent="0.2">
      <c r="A31" s="417" t="s">
        <v>590</v>
      </c>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450"/>
    </row>
    <row r="32" spans="1:35" s="451" customFormat="1" ht="9.9499999999999993" hidden="1" customHeight="1" x14ac:dyDescent="0.2">
      <c r="A32" s="425" t="s">
        <v>952</v>
      </c>
      <c r="B32" s="450"/>
      <c r="C32" s="450"/>
      <c r="D32" s="450"/>
      <c r="E32" s="450"/>
      <c r="F32" s="450"/>
      <c r="G32" s="450"/>
      <c r="H32" s="450"/>
      <c r="I32" s="450"/>
      <c r="J32" s="450"/>
      <c r="K32" s="450"/>
      <c r="L32" s="450"/>
      <c r="M32" s="450"/>
      <c r="N32" s="450"/>
      <c r="O32" s="450"/>
      <c r="P32" s="450"/>
      <c r="Q32" s="450"/>
      <c r="R32" s="450"/>
      <c r="S32" s="450"/>
      <c r="T32" s="450"/>
      <c r="U32" s="450"/>
      <c r="V32" s="450"/>
      <c r="W32" s="450">
        <f t="shared" ref="W32:W56" si="1">SUM(B32:U32)</f>
        <v>0</v>
      </c>
      <c r="X32" s="450"/>
      <c r="Y32" s="450"/>
      <c r="Z32" s="450"/>
      <c r="AA32" s="450"/>
      <c r="AB32" s="450"/>
      <c r="AC32" s="450"/>
      <c r="AD32" s="450"/>
      <c r="AE32" s="450"/>
      <c r="AF32" s="450"/>
      <c r="AG32" s="450"/>
      <c r="AH32" s="450"/>
      <c r="AI32" s="450"/>
    </row>
    <row r="33" spans="1:35" s="451" customFormat="1" ht="9.9499999999999993" hidden="1" customHeight="1" x14ac:dyDescent="0.2">
      <c r="A33" s="426" t="s">
        <v>953</v>
      </c>
      <c r="B33" s="450"/>
      <c r="C33" s="450">
        <f>SORECGFws!AI23</f>
        <v>0</v>
      </c>
      <c r="D33" s="450"/>
      <c r="E33" s="450">
        <f>SORECGFws!AJ23</f>
        <v>0</v>
      </c>
      <c r="F33" s="450"/>
      <c r="G33" s="450">
        <f>SORECGFws!AK23</f>
        <v>0</v>
      </c>
      <c r="H33" s="450"/>
      <c r="I33" s="450">
        <f>SORECGFws!AL23</f>
        <v>0</v>
      </c>
      <c r="J33" s="450"/>
      <c r="K33" s="450">
        <f>SORECGFws!AR23</f>
        <v>0</v>
      </c>
      <c r="L33" s="450"/>
      <c r="M33" s="450">
        <f>SORECGFws!AS23</f>
        <v>0</v>
      </c>
      <c r="N33" s="450"/>
      <c r="O33" s="450">
        <f>SORECGFws!AU23</f>
        <v>0</v>
      </c>
      <c r="P33" s="450"/>
      <c r="Q33" s="450"/>
      <c r="R33" s="450"/>
      <c r="S33" s="450"/>
      <c r="T33" s="450"/>
      <c r="U33" s="450">
        <f>+SORECGFws!AR23</f>
        <v>0</v>
      </c>
      <c r="V33" s="450"/>
      <c r="W33" s="450">
        <f t="shared" si="1"/>
        <v>0</v>
      </c>
      <c r="X33" s="450"/>
      <c r="Y33" s="450"/>
      <c r="Z33" s="450"/>
      <c r="AA33" s="450"/>
      <c r="AB33" s="450"/>
      <c r="AC33" s="450"/>
      <c r="AD33" s="450"/>
      <c r="AE33" s="450"/>
      <c r="AF33" s="450"/>
      <c r="AG33" s="450"/>
      <c r="AH33" s="450"/>
      <c r="AI33" s="450"/>
    </row>
    <row r="34" spans="1:35" s="451" customFormat="1" ht="9.9499999999999993" hidden="1" customHeight="1" x14ac:dyDescent="0.2">
      <c r="A34" s="426" t="s">
        <v>954</v>
      </c>
      <c r="B34" s="450"/>
      <c r="C34" s="450">
        <f>SORECGFws!AI24</f>
        <v>0</v>
      </c>
      <c r="D34" s="450"/>
      <c r="E34" s="450">
        <f>SORECGFws!AJ24</f>
        <v>0</v>
      </c>
      <c r="F34" s="450"/>
      <c r="G34" s="450">
        <f>SORECGFws!AK24</f>
        <v>0</v>
      </c>
      <c r="H34" s="450"/>
      <c r="I34" s="450">
        <f>SORECGFws!AL24</f>
        <v>0</v>
      </c>
      <c r="J34" s="450"/>
      <c r="K34" s="450">
        <f>SORECGFws!AR24</f>
        <v>0</v>
      </c>
      <c r="L34" s="450"/>
      <c r="M34" s="450">
        <f>SORECGFws!AS24</f>
        <v>0</v>
      </c>
      <c r="N34" s="450"/>
      <c r="O34" s="450">
        <f>SORECGFws!AU24</f>
        <v>0</v>
      </c>
      <c r="P34" s="450"/>
      <c r="Q34" s="450"/>
      <c r="R34" s="450"/>
      <c r="S34" s="450"/>
      <c r="T34" s="450"/>
      <c r="U34" s="450">
        <f>+SORECGFws!AR24</f>
        <v>0</v>
      </c>
      <c r="V34" s="450"/>
      <c r="W34" s="450">
        <f t="shared" si="1"/>
        <v>0</v>
      </c>
      <c r="X34" s="450"/>
      <c r="Y34" s="450"/>
      <c r="Z34" s="450"/>
      <c r="AA34" s="450"/>
      <c r="AB34" s="450"/>
      <c r="AC34" s="450"/>
      <c r="AD34" s="450"/>
      <c r="AE34" s="450"/>
      <c r="AF34" s="450"/>
      <c r="AG34" s="450"/>
      <c r="AH34" s="450"/>
      <c r="AI34" s="450"/>
    </row>
    <row r="35" spans="1:35" s="451" customFormat="1" ht="9.9499999999999993" hidden="1" customHeight="1" x14ac:dyDescent="0.2">
      <c r="A35" s="426" t="s">
        <v>955</v>
      </c>
      <c r="B35" s="450"/>
      <c r="C35" s="450">
        <f>SORECGFws!AI25</f>
        <v>0</v>
      </c>
      <c r="D35" s="450"/>
      <c r="E35" s="450">
        <f>SORECGFws!AJ25</f>
        <v>0</v>
      </c>
      <c r="F35" s="450"/>
      <c r="G35" s="450">
        <f>SORECGFws!AK25</f>
        <v>0</v>
      </c>
      <c r="H35" s="450"/>
      <c r="I35" s="450">
        <f>SORECGFws!AL25</f>
        <v>0</v>
      </c>
      <c r="J35" s="450"/>
      <c r="K35" s="450">
        <f>SORECGFws!AR25</f>
        <v>0</v>
      </c>
      <c r="L35" s="450"/>
      <c r="M35" s="450">
        <f>SORECGFws!AS25</f>
        <v>0</v>
      </c>
      <c r="N35" s="450"/>
      <c r="O35" s="450">
        <f>SORECGFws!AU25</f>
        <v>0</v>
      </c>
      <c r="P35" s="450"/>
      <c r="Q35" s="450"/>
      <c r="R35" s="450"/>
      <c r="S35" s="450"/>
      <c r="T35" s="450"/>
      <c r="U35" s="450">
        <f>+SORECGFws!AR25</f>
        <v>0</v>
      </c>
      <c r="V35" s="450"/>
      <c r="W35" s="450">
        <f t="shared" si="1"/>
        <v>0</v>
      </c>
      <c r="X35" s="450"/>
      <c r="Y35" s="450"/>
      <c r="Z35" s="450"/>
      <c r="AA35" s="450"/>
      <c r="AB35" s="450"/>
      <c r="AC35" s="450"/>
      <c r="AD35" s="450"/>
      <c r="AE35" s="450"/>
      <c r="AF35" s="450"/>
      <c r="AG35" s="450"/>
      <c r="AH35" s="450"/>
      <c r="AI35" s="450"/>
    </row>
    <row r="36" spans="1:35" s="451" customFormat="1" ht="9.9499999999999993" hidden="1" customHeight="1" x14ac:dyDescent="0.2">
      <c r="A36" s="426" t="s">
        <v>956</v>
      </c>
      <c r="B36" s="450"/>
      <c r="C36" s="450">
        <f>SORECGFws!AI26</f>
        <v>0</v>
      </c>
      <c r="D36" s="450"/>
      <c r="E36" s="450">
        <f>SORECGFws!AJ26</f>
        <v>0</v>
      </c>
      <c r="F36" s="450"/>
      <c r="G36" s="450">
        <f>SORECGFws!AK26</f>
        <v>0</v>
      </c>
      <c r="H36" s="450"/>
      <c r="I36" s="450">
        <f>SORECGFws!AL26</f>
        <v>0</v>
      </c>
      <c r="J36" s="450"/>
      <c r="K36" s="450">
        <f>SORECGFws!AR26</f>
        <v>0</v>
      </c>
      <c r="L36" s="450"/>
      <c r="M36" s="450">
        <f>SORECGFws!AS26</f>
        <v>0</v>
      </c>
      <c r="N36" s="450"/>
      <c r="O36" s="450">
        <f>SORECGFws!AU26</f>
        <v>0</v>
      </c>
      <c r="P36" s="450"/>
      <c r="Q36" s="450"/>
      <c r="R36" s="450"/>
      <c r="S36" s="450"/>
      <c r="T36" s="450"/>
      <c r="U36" s="450">
        <f>+SORECGFws!AR26</f>
        <v>0</v>
      </c>
      <c r="V36" s="450"/>
      <c r="W36" s="450">
        <f t="shared" si="1"/>
        <v>0</v>
      </c>
      <c r="X36" s="450"/>
      <c r="Y36" s="450"/>
      <c r="Z36" s="450"/>
      <c r="AA36" s="450"/>
      <c r="AB36" s="450"/>
      <c r="AC36" s="450"/>
      <c r="AD36" s="450"/>
      <c r="AE36" s="450"/>
      <c r="AF36" s="450"/>
      <c r="AG36" s="450"/>
      <c r="AH36" s="450"/>
      <c r="AI36" s="450"/>
    </row>
    <row r="37" spans="1:35" s="451" customFormat="1" ht="9.9499999999999993" hidden="1" customHeight="1" x14ac:dyDescent="0.2">
      <c r="A37" s="426" t="s">
        <v>958</v>
      </c>
      <c r="B37" s="450"/>
      <c r="C37" s="450">
        <f>SORECGFws!AI27</f>
        <v>0</v>
      </c>
      <c r="D37" s="450"/>
      <c r="E37" s="450">
        <f>SORECGFws!AJ27</f>
        <v>0</v>
      </c>
      <c r="F37" s="450"/>
      <c r="G37" s="450">
        <f>SORECGFws!AK27</f>
        <v>0</v>
      </c>
      <c r="H37" s="450"/>
      <c r="I37" s="450">
        <f>SORECGFws!AL27</f>
        <v>0</v>
      </c>
      <c r="J37" s="450"/>
      <c r="K37" s="450">
        <f>SORECGFws!AR27</f>
        <v>0</v>
      </c>
      <c r="L37" s="450"/>
      <c r="M37" s="450">
        <f>SORECGFws!AS27</f>
        <v>0</v>
      </c>
      <c r="N37" s="450"/>
      <c r="O37" s="450">
        <f>SORECGFws!AU27</f>
        <v>0</v>
      </c>
      <c r="P37" s="450"/>
      <c r="Q37" s="450"/>
      <c r="R37" s="450"/>
      <c r="S37" s="450"/>
      <c r="T37" s="450"/>
      <c r="U37" s="450">
        <f>+SORECGFws!AR27</f>
        <v>0</v>
      </c>
      <c r="V37" s="450"/>
      <c r="W37" s="450">
        <f t="shared" si="1"/>
        <v>0</v>
      </c>
      <c r="X37" s="450"/>
      <c r="Y37" s="450"/>
      <c r="Z37" s="450"/>
      <c r="AA37" s="450"/>
      <c r="AB37" s="450"/>
      <c r="AC37" s="450"/>
      <c r="AD37" s="450"/>
      <c r="AE37" s="450"/>
      <c r="AF37" s="450"/>
      <c r="AG37" s="450"/>
      <c r="AH37" s="450"/>
      <c r="AI37" s="450"/>
    </row>
    <row r="38" spans="1:35" s="451" customFormat="1" ht="9.9499999999999993" hidden="1" customHeight="1" x14ac:dyDescent="0.2">
      <c r="A38" s="426" t="s">
        <v>959</v>
      </c>
      <c r="B38" s="450"/>
      <c r="C38" s="450">
        <f>SORECGFws!AI28</f>
        <v>0</v>
      </c>
      <c r="D38" s="450"/>
      <c r="E38" s="450">
        <f>SORECGFws!AJ28</f>
        <v>0</v>
      </c>
      <c r="F38" s="450"/>
      <c r="G38" s="450">
        <f>SORECGFws!AK28</f>
        <v>0</v>
      </c>
      <c r="H38" s="450"/>
      <c r="I38" s="450">
        <f>SORECGFws!AL28</f>
        <v>0</v>
      </c>
      <c r="J38" s="450"/>
      <c r="K38" s="450">
        <f>SORECGFws!AR28</f>
        <v>0</v>
      </c>
      <c r="L38" s="450"/>
      <c r="M38" s="450">
        <f>SORECGFws!AS28</f>
        <v>0</v>
      </c>
      <c r="N38" s="450"/>
      <c r="O38" s="450">
        <f>SORECGFws!AU28</f>
        <v>0</v>
      </c>
      <c r="P38" s="450"/>
      <c r="Q38" s="450"/>
      <c r="R38" s="450"/>
      <c r="S38" s="450"/>
      <c r="T38" s="450"/>
      <c r="U38" s="450">
        <f>+SORECGFws!AR28</f>
        <v>0</v>
      </c>
      <c r="V38" s="450"/>
      <c r="W38" s="450">
        <f t="shared" si="1"/>
        <v>0</v>
      </c>
      <c r="X38" s="450"/>
      <c r="Y38" s="450"/>
      <c r="Z38" s="450"/>
      <c r="AA38" s="450"/>
      <c r="AB38" s="450"/>
      <c r="AC38" s="450"/>
      <c r="AD38" s="450"/>
      <c r="AE38" s="450"/>
      <c r="AF38" s="450"/>
      <c r="AG38" s="450"/>
      <c r="AH38" s="450"/>
      <c r="AI38" s="450"/>
    </row>
    <row r="39" spans="1:35" s="451" customFormat="1" ht="9.9499999999999993" hidden="1" customHeight="1" x14ac:dyDescent="0.2">
      <c r="A39" s="426" t="s">
        <v>961</v>
      </c>
      <c r="B39" s="450"/>
      <c r="C39" s="450">
        <f>SORECGFws!AI29</f>
        <v>0</v>
      </c>
      <c r="D39" s="450"/>
      <c r="E39" s="450">
        <f>SORECGFws!AJ29</f>
        <v>0</v>
      </c>
      <c r="F39" s="450"/>
      <c r="G39" s="450">
        <f>SORECGFws!AK29</f>
        <v>0</v>
      </c>
      <c r="H39" s="450"/>
      <c r="I39" s="450">
        <f>SORECGFws!AL29</f>
        <v>0</v>
      </c>
      <c r="J39" s="450"/>
      <c r="K39" s="450">
        <f>SORECGFws!AR29</f>
        <v>0</v>
      </c>
      <c r="L39" s="450"/>
      <c r="M39" s="450">
        <f>SORECGFws!AS29</f>
        <v>0</v>
      </c>
      <c r="N39" s="450"/>
      <c r="O39" s="450">
        <f>SORECGFws!AU29</f>
        <v>0</v>
      </c>
      <c r="P39" s="450"/>
      <c r="Q39" s="450"/>
      <c r="R39" s="450"/>
      <c r="S39" s="450"/>
      <c r="T39" s="450"/>
      <c r="U39" s="450">
        <f>+SORECGFws!AR29</f>
        <v>0</v>
      </c>
      <c r="V39" s="450"/>
      <c r="W39" s="450">
        <f t="shared" si="1"/>
        <v>0</v>
      </c>
      <c r="X39" s="450"/>
      <c r="Y39" s="450"/>
      <c r="Z39" s="450"/>
      <c r="AA39" s="450"/>
      <c r="AB39" s="450"/>
      <c r="AC39" s="450"/>
      <c r="AD39" s="450"/>
      <c r="AE39" s="450"/>
      <c r="AF39" s="450"/>
      <c r="AG39" s="450"/>
      <c r="AH39" s="450"/>
      <c r="AI39" s="450"/>
    </row>
    <row r="40" spans="1:35" s="451" customFormat="1" ht="9.9499999999999993" hidden="1" customHeight="1" x14ac:dyDescent="0.2">
      <c r="A40" s="426" t="s">
        <v>960</v>
      </c>
      <c r="B40" s="450"/>
      <c r="C40" s="450">
        <f>SORECGFws!AI30</f>
        <v>0</v>
      </c>
      <c r="D40" s="450"/>
      <c r="E40" s="450">
        <f>SORECGFws!AJ30</f>
        <v>0</v>
      </c>
      <c r="F40" s="450"/>
      <c r="G40" s="450">
        <f>SORECGFws!AK30</f>
        <v>0</v>
      </c>
      <c r="H40" s="450"/>
      <c r="I40" s="450">
        <f>SORECGFws!AL30</f>
        <v>0</v>
      </c>
      <c r="J40" s="450"/>
      <c r="K40" s="450">
        <f>SORECGFws!AR30</f>
        <v>0</v>
      </c>
      <c r="L40" s="450"/>
      <c r="M40" s="450">
        <f>SORECGFws!AS30</f>
        <v>0</v>
      </c>
      <c r="N40" s="450"/>
      <c r="O40" s="450">
        <f>SORECGFws!AU30</f>
        <v>0</v>
      </c>
      <c r="P40" s="450"/>
      <c r="Q40" s="450"/>
      <c r="R40" s="450"/>
      <c r="S40" s="450"/>
      <c r="T40" s="450"/>
      <c r="U40" s="450">
        <f>+SORECGFws!AR30</f>
        <v>0</v>
      </c>
      <c r="V40" s="450"/>
      <c r="W40" s="450">
        <f t="shared" si="1"/>
        <v>0</v>
      </c>
      <c r="X40" s="450"/>
      <c r="Y40" s="450"/>
      <c r="Z40" s="450"/>
      <c r="AA40" s="450"/>
      <c r="AB40" s="450"/>
      <c r="AC40" s="450"/>
      <c r="AD40" s="450"/>
      <c r="AE40" s="450"/>
      <c r="AF40" s="450"/>
      <c r="AG40" s="450"/>
      <c r="AH40" s="450"/>
      <c r="AI40" s="450"/>
    </row>
    <row r="41" spans="1:35" s="451" customFormat="1" ht="9.9499999999999993" hidden="1" customHeight="1" x14ac:dyDescent="0.2">
      <c r="A41" s="426" t="s">
        <v>963</v>
      </c>
      <c r="B41" s="450"/>
      <c r="C41" s="450">
        <f>SORECGFws!AI31</f>
        <v>0</v>
      </c>
      <c r="D41" s="450"/>
      <c r="E41" s="450">
        <f>SORECGFws!AJ31</f>
        <v>0</v>
      </c>
      <c r="F41" s="450"/>
      <c r="G41" s="450">
        <f>SORECGFws!AK31</f>
        <v>0</v>
      </c>
      <c r="H41" s="450"/>
      <c r="I41" s="450">
        <f>SORECGFws!AL31</f>
        <v>0</v>
      </c>
      <c r="J41" s="450"/>
      <c r="K41" s="450">
        <f>SORECGFws!AR31</f>
        <v>0</v>
      </c>
      <c r="L41" s="450"/>
      <c r="M41" s="450">
        <f>SORECGFws!AS31</f>
        <v>0</v>
      </c>
      <c r="N41" s="450"/>
      <c r="O41" s="450">
        <f>SORECGFws!AU31</f>
        <v>0</v>
      </c>
      <c r="P41" s="450"/>
      <c r="Q41" s="450"/>
      <c r="R41" s="450"/>
      <c r="S41" s="450"/>
      <c r="T41" s="450"/>
      <c r="U41" s="450">
        <f>+SORECGFws!AR31</f>
        <v>0</v>
      </c>
      <c r="V41" s="450"/>
      <c r="W41" s="450">
        <f t="shared" si="1"/>
        <v>0</v>
      </c>
      <c r="X41" s="450"/>
      <c r="Y41" s="450"/>
      <c r="Z41" s="450"/>
      <c r="AA41" s="450"/>
      <c r="AB41" s="450"/>
      <c r="AC41" s="450"/>
      <c r="AD41" s="450"/>
      <c r="AE41" s="450"/>
      <c r="AF41" s="450"/>
      <c r="AG41" s="450"/>
      <c r="AH41" s="450"/>
      <c r="AI41" s="450"/>
    </row>
    <row r="42" spans="1:35" s="451" customFormat="1" ht="9.9499999999999993" hidden="1" customHeight="1" x14ac:dyDescent="0.2">
      <c r="A42" s="426" t="s">
        <v>1191</v>
      </c>
      <c r="B42" s="450"/>
      <c r="C42" s="450">
        <f>SORECGFws!AI32</f>
        <v>0</v>
      </c>
      <c r="D42" s="450"/>
      <c r="E42" s="450">
        <f>SORECGFws!AJ32</f>
        <v>0</v>
      </c>
      <c r="F42" s="450"/>
      <c r="G42" s="450">
        <f>SORECGFws!AK32</f>
        <v>0</v>
      </c>
      <c r="H42" s="450"/>
      <c r="I42" s="450">
        <f>SORECGFws!AL32</f>
        <v>0</v>
      </c>
      <c r="J42" s="450"/>
      <c r="K42" s="450">
        <f>SORECGFws!AR32</f>
        <v>0</v>
      </c>
      <c r="L42" s="450"/>
      <c r="M42" s="450">
        <f>SORECGFws!AS32</f>
        <v>0</v>
      </c>
      <c r="N42" s="450"/>
      <c r="O42" s="450">
        <f>SORECGFws!AU32</f>
        <v>0</v>
      </c>
      <c r="P42" s="450"/>
      <c r="Q42" s="450"/>
      <c r="R42" s="450"/>
      <c r="S42" s="450"/>
      <c r="T42" s="450"/>
      <c r="U42" s="450">
        <f>+SORECGFws!AR32</f>
        <v>0</v>
      </c>
      <c r="V42" s="450"/>
      <c r="W42" s="450">
        <f t="shared" si="1"/>
        <v>0</v>
      </c>
      <c r="X42" s="450"/>
      <c r="Y42" s="450"/>
      <c r="Z42" s="450"/>
      <c r="AA42" s="450"/>
      <c r="AB42" s="450"/>
      <c r="AC42" s="450"/>
      <c r="AD42" s="450"/>
      <c r="AE42" s="450"/>
      <c r="AF42" s="450"/>
      <c r="AG42" s="450"/>
      <c r="AH42" s="450"/>
      <c r="AI42" s="450"/>
    </row>
    <row r="43" spans="1:35" s="451" customFormat="1" ht="9.9499999999999993" hidden="1" customHeight="1" x14ac:dyDescent="0.2">
      <c r="A43" s="426" t="s">
        <v>964</v>
      </c>
      <c r="B43" s="450"/>
      <c r="C43" s="450">
        <f>SORECGFws!AI33</f>
        <v>0</v>
      </c>
      <c r="D43" s="450"/>
      <c r="E43" s="450">
        <f>SORECGFws!AJ33</f>
        <v>0</v>
      </c>
      <c r="F43" s="450"/>
      <c r="G43" s="450">
        <f>SORECGFws!AK33</f>
        <v>0</v>
      </c>
      <c r="H43" s="450"/>
      <c r="I43" s="450">
        <f>SORECGFws!AL33</f>
        <v>0</v>
      </c>
      <c r="J43" s="450"/>
      <c r="K43" s="450">
        <f>SORECGFws!AR33</f>
        <v>0</v>
      </c>
      <c r="L43" s="450"/>
      <c r="M43" s="450">
        <f>SORECGFws!AS33</f>
        <v>0</v>
      </c>
      <c r="N43" s="450"/>
      <c r="O43" s="450">
        <f>SORECGFws!AU33</f>
        <v>0</v>
      </c>
      <c r="P43" s="450"/>
      <c r="Q43" s="450"/>
      <c r="R43" s="450"/>
      <c r="S43" s="450"/>
      <c r="T43" s="450"/>
      <c r="U43" s="450">
        <f>+SORECGFws!AR33</f>
        <v>0</v>
      </c>
      <c r="V43" s="450"/>
      <c r="W43" s="450">
        <f t="shared" si="1"/>
        <v>0</v>
      </c>
      <c r="X43" s="450"/>
      <c r="Y43" s="450"/>
      <c r="Z43" s="450"/>
      <c r="AA43" s="450"/>
      <c r="AB43" s="450"/>
      <c r="AC43" s="450"/>
      <c r="AD43" s="450"/>
      <c r="AE43" s="450"/>
      <c r="AF43" s="450"/>
      <c r="AG43" s="450"/>
      <c r="AH43" s="450"/>
      <c r="AI43" s="450"/>
    </row>
    <row r="44" spans="1:35" s="451" customFormat="1" ht="9.9499999999999993" hidden="1" customHeight="1" x14ac:dyDescent="0.2">
      <c r="A44" s="426" t="s">
        <v>1414</v>
      </c>
      <c r="B44" s="450"/>
      <c r="C44" s="450">
        <f>SORECGFws!AI34</f>
        <v>0</v>
      </c>
      <c r="D44" s="450"/>
      <c r="E44" s="450">
        <f>SORECGFws!AJ34</f>
        <v>0</v>
      </c>
      <c r="F44" s="450"/>
      <c r="G44" s="450">
        <f>SORECGFws!AK34</f>
        <v>0</v>
      </c>
      <c r="H44" s="450"/>
      <c r="I44" s="450">
        <f>SORECGFws!AL34</f>
        <v>0</v>
      </c>
      <c r="J44" s="450"/>
      <c r="K44" s="450">
        <f>SORECGFws!AR34</f>
        <v>0</v>
      </c>
      <c r="L44" s="450"/>
      <c r="M44" s="450">
        <f>SORECGFws!AS34</f>
        <v>0</v>
      </c>
      <c r="N44" s="450"/>
      <c r="O44" s="450">
        <f>SORECGFws!AU34</f>
        <v>0</v>
      </c>
      <c r="P44" s="450"/>
      <c r="Q44" s="450"/>
      <c r="R44" s="450"/>
      <c r="S44" s="450"/>
      <c r="T44" s="450"/>
      <c r="U44" s="450">
        <f>+SORECGFws!AR34</f>
        <v>0</v>
      </c>
      <c r="V44" s="450"/>
      <c r="W44" s="450">
        <f t="shared" si="1"/>
        <v>0</v>
      </c>
      <c r="X44" s="450"/>
      <c r="Y44" s="450"/>
      <c r="Z44" s="450"/>
      <c r="AA44" s="450"/>
      <c r="AB44" s="450"/>
      <c r="AC44" s="450"/>
      <c r="AD44" s="450"/>
      <c r="AE44" s="450"/>
      <c r="AF44" s="450"/>
      <c r="AG44" s="450"/>
      <c r="AH44" s="450"/>
      <c r="AI44" s="450"/>
    </row>
    <row r="45" spans="1:35" s="451" customFormat="1" ht="9.9499999999999993" customHeight="1" x14ac:dyDescent="0.2">
      <c r="A45" s="425" t="s">
        <v>888</v>
      </c>
      <c r="B45" s="450"/>
      <c r="C45" s="450">
        <f>SORECGFws!AI35</f>
        <v>0</v>
      </c>
      <c r="D45" s="450"/>
      <c r="E45" s="450">
        <f>SORECGFws!AJ35</f>
        <v>0</v>
      </c>
      <c r="F45" s="450"/>
      <c r="G45" s="450">
        <f>SORECGFws!AK35</f>
        <v>0</v>
      </c>
      <c r="H45" s="450"/>
      <c r="I45" s="450">
        <f>SORECGFws!AL35</f>
        <v>0</v>
      </c>
      <c r="J45" s="450"/>
      <c r="K45" s="450">
        <f>SORECGFws!AM36</f>
        <v>0</v>
      </c>
      <c r="L45" s="450"/>
      <c r="M45" s="450">
        <f>SORECGFws!AN36</f>
        <v>0</v>
      </c>
      <c r="N45" s="450"/>
      <c r="O45" s="450">
        <f>SORECGFws!AO36</f>
        <v>0</v>
      </c>
      <c r="P45" s="450"/>
      <c r="Q45" s="450"/>
      <c r="R45" s="450"/>
      <c r="S45" s="450"/>
      <c r="T45" s="450"/>
      <c r="U45" s="450">
        <f>+SORECGFws!AR35</f>
        <v>49618</v>
      </c>
      <c r="V45" s="450"/>
      <c r="W45" s="450">
        <f t="shared" si="1"/>
        <v>49618</v>
      </c>
      <c r="X45" s="450"/>
      <c r="Y45" s="450"/>
      <c r="Z45" s="450"/>
      <c r="AA45" s="450"/>
      <c r="AB45" s="450"/>
      <c r="AC45" s="450"/>
      <c r="AD45" s="450"/>
      <c r="AE45" s="450"/>
      <c r="AF45" s="450"/>
      <c r="AG45" s="450"/>
      <c r="AH45" s="450"/>
      <c r="AI45" s="450"/>
    </row>
    <row r="46" spans="1:35" s="451" customFormat="1" ht="9.9499999999999993" customHeight="1" x14ac:dyDescent="0.2">
      <c r="A46" s="425" t="s">
        <v>965</v>
      </c>
      <c r="B46" s="450"/>
      <c r="C46" s="450">
        <f>SORECGFws!AI36</f>
        <v>0</v>
      </c>
      <c r="D46" s="450"/>
      <c r="E46" s="450">
        <f>SORECGFws!AJ36</f>
        <v>0</v>
      </c>
      <c r="F46" s="450"/>
      <c r="G46" s="450">
        <f>SORECGFws!AK36</f>
        <v>0</v>
      </c>
      <c r="H46" s="450"/>
      <c r="I46" s="450">
        <f>SORECGFws!AL36</f>
        <v>0</v>
      </c>
      <c r="J46" s="450"/>
      <c r="K46" s="450">
        <f>SORECGFws!AM37</f>
        <v>0</v>
      </c>
      <c r="L46" s="450"/>
      <c r="M46" s="450">
        <f>SORECGFws!AN37</f>
        <v>0</v>
      </c>
      <c r="N46" s="450"/>
      <c r="O46" s="450">
        <f>SORECGFws!AO37</f>
        <v>0</v>
      </c>
      <c r="P46" s="450"/>
      <c r="Q46" s="450"/>
      <c r="R46" s="450"/>
      <c r="S46" s="450"/>
      <c r="T46" s="450"/>
      <c r="U46" s="450">
        <f>+SORECGFws!AR36</f>
        <v>0</v>
      </c>
      <c r="V46" s="450"/>
      <c r="W46" s="450">
        <f t="shared" si="1"/>
        <v>0</v>
      </c>
      <c r="X46" s="450"/>
      <c r="Y46" s="450"/>
      <c r="Z46" s="450"/>
      <c r="AA46" s="450"/>
      <c r="AB46" s="450"/>
      <c r="AC46" s="450"/>
      <c r="AD46" s="450"/>
      <c r="AE46" s="450"/>
      <c r="AF46" s="450"/>
      <c r="AG46" s="450"/>
      <c r="AH46" s="450"/>
      <c r="AI46" s="450"/>
    </row>
    <row r="47" spans="1:35" s="451" customFormat="1" ht="9.9499999999999993" hidden="1" customHeight="1" x14ac:dyDescent="0.2">
      <c r="A47" s="426" t="s">
        <v>966</v>
      </c>
      <c r="B47" s="450"/>
      <c r="C47" s="450">
        <f>SORECGFws!AI37</f>
        <v>0</v>
      </c>
      <c r="D47" s="450"/>
      <c r="E47" s="450">
        <f>SORECGFws!AJ37</f>
        <v>0</v>
      </c>
      <c r="F47" s="450"/>
      <c r="G47" s="450">
        <f>SORECGFws!AK37</f>
        <v>0</v>
      </c>
      <c r="H47" s="450"/>
      <c r="I47" s="450">
        <f>SORECGFws!AL37</f>
        <v>0</v>
      </c>
      <c r="J47" s="450"/>
      <c r="K47" s="450">
        <f>SORECGFws!AM38</f>
        <v>0</v>
      </c>
      <c r="L47" s="450"/>
      <c r="M47" s="450">
        <f>SORECGFws!AN38</f>
        <v>0</v>
      </c>
      <c r="N47" s="450"/>
      <c r="O47" s="450">
        <f>SORECGFws!AO38</f>
        <v>0</v>
      </c>
      <c r="P47" s="450"/>
      <c r="Q47" s="450"/>
      <c r="R47" s="450"/>
      <c r="S47" s="450"/>
      <c r="T47" s="450"/>
      <c r="U47" s="450">
        <f>+SORECGFws!AR37</f>
        <v>0</v>
      </c>
      <c r="V47" s="450"/>
      <c r="W47" s="450">
        <f t="shared" si="1"/>
        <v>0</v>
      </c>
      <c r="X47" s="450"/>
      <c r="Y47" s="450"/>
      <c r="Z47" s="450"/>
      <c r="AA47" s="450"/>
      <c r="AB47" s="450"/>
      <c r="AC47" s="450"/>
      <c r="AD47" s="450"/>
      <c r="AE47" s="450"/>
      <c r="AF47" s="450"/>
      <c r="AG47" s="450"/>
      <c r="AH47" s="450"/>
      <c r="AI47" s="450"/>
    </row>
    <row r="48" spans="1:35" s="451" customFormat="1" ht="9.9499999999999993" hidden="1" customHeight="1" x14ac:dyDescent="0.2">
      <c r="A48" s="426" t="s">
        <v>949</v>
      </c>
      <c r="B48" s="450"/>
      <c r="C48" s="450">
        <f>SORECGFws!AI38</f>
        <v>0</v>
      </c>
      <c r="D48" s="450"/>
      <c r="E48" s="450">
        <f>SORECGFws!AJ38</f>
        <v>0</v>
      </c>
      <c r="F48" s="450"/>
      <c r="G48" s="450">
        <f>SORECGFws!AK38</f>
        <v>0</v>
      </c>
      <c r="H48" s="450"/>
      <c r="I48" s="450">
        <f>SORECGFws!AL38</f>
        <v>0</v>
      </c>
      <c r="J48" s="450"/>
      <c r="K48" s="450"/>
      <c r="L48" s="450"/>
      <c r="M48" s="450">
        <f>SORECGFws!AN39</f>
        <v>0</v>
      </c>
      <c r="N48" s="450"/>
      <c r="O48" s="450">
        <f>SORECGFws!AO39</f>
        <v>0</v>
      </c>
      <c r="P48" s="450"/>
      <c r="Q48" s="450"/>
      <c r="R48" s="450"/>
      <c r="S48" s="450"/>
      <c r="T48" s="450"/>
      <c r="U48" s="450">
        <f>+SORECGFws!AR38</f>
        <v>0</v>
      </c>
      <c r="V48" s="450"/>
      <c r="W48" s="450">
        <f t="shared" si="1"/>
        <v>0</v>
      </c>
      <c r="X48" s="450"/>
      <c r="Y48" s="450"/>
      <c r="Z48" s="450"/>
      <c r="AA48" s="450"/>
      <c r="AB48" s="450"/>
      <c r="AC48" s="450"/>
      <c r="AD48" s="450"/>
      <c r="AE48" s="450"/>
      <c r="AF48" s="450"/>
      <c r="AG48" s="450"/>
      <c r="AH48" s="450"/>
      <c r="AI48" s="450"/>
    </row>
    <row r="49" spans="1:35" s="451" customFormat="1" ht="9.9499999999999993" customHeight="1" x14ac:dyDescent="0.2">
      <c r="A49" s="426" t="s">
        <v>91</v>
      </c>
      <c r="B49" s="450"/>
      <c r="C49" s="450">
        <f>SORECGFws!AI39</f>
        <v>0</v>
      </c>
      <c r="D49" s="450"/>
      <c r="E49" s="450">
        <f>SORECGFws!AJ39</f>
        <v>0</v>
      </c>
      <c r="F49" s="450"/>
      <c r="G49" s="450">
        <f>SORECGFws!AK39</f>
        <v>0</v>
      </c>
      <c r="H49" s="450"/>
      <c r="I49" s="450">
        <f>SORECGFws!AL39</f>
        <v>258</v>
      </c>
      <c r="J49" s="450"/>
      <c r="K49" s="450">
        <f>SORECGFws!AM39</f>
        <v>0</v>
      </c>
      <c r="L49" s="450"/>
      <c r="M49" s="450">
        <f>SORECGFws!AN39</f>
        <v>0</v>
      </c>
      <c r="N49" s="450"/>
      <c r="O49" s="450">
        <f>SORECGFws!AO39</f>
        <v>0</v>
      </c>
      <c r="P49" s="450"/>
      <c r="Q49" s="450">
        <f>SORECGFws!AP39</f>
        <v>0</v>
      </c>
      <c r="R49" s="450"/>
      <c r="S49" s="450">
        <f>SORECGFws!AQ39</f>
        <v>0</v>
      </c>
      <c r="T49" s="450"/>
      <c r="U49" s="450">
        <f>+SORECGFws!AR39</f>
        <v>0</v>
      </c>
      <c r="V49" s="450"/>
      <c r="W49" s="450">
        <f t="shared" si="1"/>
        <v>258</v>
      </c>
      <c r="X49" s="450"/>
      <c r="Y49" s="450"/>
      <c r="Z49" s="450">
        <f>-5714+130661</f>
        <v>124947</v>
      </c>
      <c r="AA49" s="450"/>
      <c r="AB49" s="450"/>
      <c r="AC49" s="450"/>
      <c r="AD49" s="450"/>
      <c r="AE49" s="450"/>
      <c r="AF49" s="450"/>
      <c r="AG49" s="450"/>
      <c r="AH49" s="450"/>
      <c r="AI49" s="450"/>
    </row>
    <row r="50" spans="1:35" s="451" customFormat="1" ht="9.9499999999999993" customHeight="1" x14ac:dyDescent="0.2">
      <c r="A50" s="426" t="s">
        <v>968</v>
      </c>
      <c r="B50" s="450"/>
      <c r="C50" s="450">
        <f>SORECGFws!AI40</f>
        <v>0</v>
      </c>
      <c r="D50" s="450"/>
      <c r="E50" s="450">
        <f>SORECGFws!AJ40</f>
        <v>0</v>
      </c>
      <c r="F50" s="450"/>
      <c r="G50" s="450">
        <f>SORECGFws!AK40</f>
        <v>0</v>
      </c>
      <c r="H50" s="450"/>
      <c r="I50" s="450">
        <f>SORECGFws!AL40</f>
        <v>0</v>
      </c>
      <c r="J50" s="450"/>
      <c r="K50" s="450">
        <f>SORECGFws!AM40</f>
        <v>0</v>
      </c>
      <c r="L50" s="450"/>
      <c r="M50" s="450">
        <f>SORECGFws!AN40</f>
        <v>0</v>
      </c>
      <c r="N50" s="450"/>
      <c r="O50" s="450">
        <f>SORECGFws!AO40</f>
        <v>0</v>
      </c>
      <c r="P50" s="450"/>
      <c r="Q50" s="450">
        <f>SORECGFws!AP40</f>
        <v>13</v>
      </c>
      <c r="R50" s="450"/>
      <c r="S50" s="450">
        <f>SORECGFws!AQ40</f>
        <v>1001</v>
      </c>
      <c r="T50" s="450"/>
      <c r="U50" s="450">
        <f>+SORECGFws!AR40</f>
        <v>0</v>
      </c>
      <c r="V50" s="450"/>
      <c r="W50" s="450">
        <f t="shared" si="1"/>
        <v>1014</v>
      </c>
      <c r="X50" s="450"/>
      <c r="Y50" s="450"/>
      <c r="Z50" s="450">
        <f>9646-40813+25453</f>
        <v>-5714</v>
      </c>
      <c r="AA50" s="450"/>
      <c r="AB50" s="450"/>
      <c r="AC50" s="450"/>
      <c r="AD50" s="450"/>
      <c r="AE50" s="450"/>
      <c r="AF50" s="450"/>
      <c r="AG50" s="450"/>
      <c r="AH50" s="450"/>
      <c r="AI50" s="450"/>
    </row>
    <row r="51" spans="1:35" s="451" customFormat="1" ht="9.9499999999999993" hidden="1" customHeight="1" x14ac:dyDescent="0.2">
      <c r="A51" s="425" t="s">
        <v>1595</v>
      </c>
      <c r="B51" s="450"/>
      <c r="C51" s="450"/>
      <c r="D51" s="450"/>
      <c r="E51" s="450"/>
      <c r="F51" s="450"/>
      <c r="G51" s="450"/>
      <c r="H51" s="450"/>
      <c r="I51" s="450"/>
      <c r="J51" s="450"/>
      <c r="K51" s="450"/>
      <c r="L51" s="450"/>
      <c r="M51" s="450"/>
      <c r="N51" s="450"/>
      <c r="O51" s="450"/>
      <c r="P51" s="450"/>
      <c r="Q51" s="450"/>
      <c r="R51" s="450"/>
      <c r="S51" s="450"/>
      <c r="T51" s="450"/>
      <c r="U51" s="450"/>
      <c r="V51" s="450"/>
      <c r="W51" s="450">
        <f t="shared" si="1"/>
        <v>0</v>
      </c>
      <c r="X51" s="450"/>
      <c r="Y51" s="450"/>
      <c r="Z51" s="450"/>
      <c r="AA51" s="450"/>
      <c r="AB51" s="450"/>
      <c r="AC51" s="450"/>
      <c r="AD51" s="450"/>
      <c r="AE51" s="450"/>
      <c r="AF51" s="450"/>
      <c r="AG51" s="450"/>
      <c r="AH51" s="450"/>
      <c r="AI51" s="450"/>
    </row>
    <row r="52" spans="1:35" s="451" customFormat="1" ht="9.9499999999999993" hidden="1" customHeight="1" x14ac:dyDescent="0.2">
      <c r="A52" s="426" t="s">
        <v>966</v>
      </c>
      <c r="B52" s="450"/>
      <c r="C52" s="450">
        <f>SORECGFws!AI42</f>
        <v>0</v>
      </c>
      <c r="D52" s="450"/>
      <c r="E52" s="450">
        <f>SORECGFws!AJ42</f>
        <v>0</v>
      </c>
      <c r="F52" s="450"/>
      <c r="G52" s="450">
        <f>SORECGFws!AK42</f>
        <v>0</v>
      </c>
      <c r="H52" s="450"/>
      <c r="I52" s="450">
        <f>SORECGFws!AL42</f>
        <v>0</v>
      </c>
      <c r="J52" s="450"/>
      <c r="K52" s="450">
        <f>SORECGFws!AM42</f>
        <v>0</v>
      </c>
      <c r="L52" s="450"/>
      <c r="M52" s="450">
        <f>SORECGFws!AN42</f>
        <v>0</v>
      </c>
      <c r="N52" s="450"/>
      <c r="O52" s="450">
        <f>SORECGFws!AO42</f>
        <v>0</v>
      </c>
      <c r="P52" s="450"/>
      <c r="Q52" s="450">
        <f>SORECGFws!AR42</f>
        <v>0</v>
      </c>
      <c r="R52" s="450"/>
      <c r="S52" s="450">
        <f>SORECGFws!AT42</f>
        <v>0</v>
      </c>
      <c r="T52" s="450"/>
      <c r="U52" s="450">
        <f>+SORECGFws!AR42</f>
        <v>0</v>
      </c>
      <c r="V52" s="450"/>
      <c r="W52" s="450">
        <f t="shared" si="1"/>
        <v>0</v>
      </c>
      <c r="X52" s="450"/>
      <c r="Y52" s="450"/>
      <c r="Z52" s="450"/>
      <c r="AA52" s="450"/>
      <c r="AB52" s="450"/>
      <c r="AC52" s="450"/>
      <c r="AD52" s="450"/>
      <c r="AE52" s="450"/>
      <c r="AF52" s="450"/>
      <c r="AG52" s="450"/>
      <c r="AH52" s="450"/>
      <c r="AI52" s="450"/>
    </row>
    <row r="53" spans="1:35" s="451" customFormat="1" ht="9.9499999999999993" hidden="1" customHeight="1" x14ac:dyDescent="0.2">
      <c r="A53" s="426" t="s">
        <v>949</v>
      </c>
      <c r="B53" s="450"/>
      <c r="C53" s="450">
        <f>SORECGFws!AI43</f>
        <v>0</v>
      </c>
      <c r="D53" s="450"/>
      <c r="E53" s="450">
        <f>SORECGFws!AJ43</f>
        <v>0</v>
      </c>
      <c r="F53" s="450"/>
      <c r="G53" s="450">
        <f>SORECGFws!AK43</f>
        <v>0</v>
      </c>
      <c r="H53" s="450"/>
      <c r="I53" s="450">
        <f>SORECGFws!AL43</f>
        <v>0</v>
      </c>
      <c r="J53" s="450"/>
      <c r="K53" s="450">
        <f>SORECGFws!AM43</f>
        <v>0</v>
      </c>
      <c r="L53" s="450"/>
      <c r="M53" s="450">
        <f>SORECGFws!AN43</f>
        <v>0</v>
      </c>
      <c r="N53" s="450"/>
      <c r="O53" s="450">
        <f>SORECGFws!AO43</f>
        <v>0</v>
      </c>
      <c r="P53" s="450"/>
      <c r="Q53" s="450">
        <f>SORECGFws!AR43</f>
        <v>0</v>
      </c>
      <c r="R53" s="450"/>
      <c r="S53" s="450">
        <f>SORECGFws!AT43</f>
        <v>0</v>
      </c>
      <c r="T53" s="450"/>
      <c r="U53" s="450">
        <f>+SORECGFws!AR43</f>
        <v>0</v>
      </c>
      <c r="V53" s="450"/>
      <c r="W53" s="450">
        <f t="shared" si="1"/>
        <v>0</v>
      </c>
      <c r="X53" s="450"/>
      <c r="Y53" s="450"/>
      <c r="Z53" s="450"/>
      <c r="AA53" s="450"/>
      <c r="AB53" s="450"/>
      <c r="AC53" s="450"/>
      <c r="AD53" s="450"/>
      <c r="AE53" s="450"/>
      <c r="AF53" s="450"/>
      <c r="AG53" s="450"/>
      <c r="AH53" s="450"/>
      <c r="AI53" s="450"/>
    </row>
    <row r="54" spans="1:35" s="451" customFormat="1" ht="9.9499999999999993" hidden="1" customHeight="1" x14ac:dyDescent="0.2">
      <c r="A54" s="425" t="s">
        <v>1641</v>
      </c>
      <c r="B54" s="450"/>
      <c r="C54" s="450"/>
      <c r="D54" s="450"/>
      <c r="E54" s="450"/>
      <c r="F54" s="450"/>
      <c r="G54" s="450"/>
      <c r="H54" s="450"/>
      <c r="I54" s="450"/>
      <c r="J54" s="450"/>
      <c r="K54" s="450"/>
      <c r="L54" s="450"/>
      <c r="M54" s="450"/>
      <c r="N54" s="450"/>
      <c r="O54" s="450"/>
      <c r="P54" s="450"/>
      <c r="Q54" s="450"/>
      <c r="R54" s="450"/>
      <c r="S54" s="450"/>
      <c r="T54" s="450"/>
      <c r="U54" s="450"/>
      <c r="V54" s="450"/>
      <c r="W54" s="450">
        <f t="shared" si="1"/>
        <v>0</v>
      </c>
      <c r="X54" s="450"/>
      <c r="Y54" s="450"/>
      <c r="Z54" s="450"/>
      <c r="AA54" s="450"/>
      <c r="AB54" s="450"/>
      <c r="AC54" s="450"/>
      <c r="AD54" s="450"/>
      <c r="AE54" s="450"/>
      <c r="AF54" s="450"/>
      <c r="AG54" s="450"/>
      <c r="AH54" s="450"/>
      <c r="AI54" s="450"/>
    </row>
    <row r="55" spans="1:35" s="451" customFormat="1" ht="9.9499999999999993" hidden="1" customHeight="1" x14ac:dyDescent="0.2">
      <c r="A55" s="426" t="s">
        <v>966</v>
      </c>
      <c r="B55" s="450"/>
      <c r="C55" s="450"/>
      <c r="D55" s="450"/>
      <c r="E55" s="450">
        <f>SORECGFws!AJ45</f>
        <v>0</v>
      </c>
      <c r="F55" s="450"/>
      <c r="G55" s="450">
        <f>SORECGFws!AK45</f>
        <v>0</v>
      </c>
      <c r="H55" s="450"/>
      <c r="I55" s="450">
        <f>SORECGFws!AL45</f>
        <v>0</v>
      </c>
      <c r="J55" s="450"/>
      <c r="K55" s="450">
        <f>SORECGFws!AM45</f>
        <v>0</v>
      </c>
      <c r="L55" s="450"/>
      <c r="M55" s="450">
        <f>SORECGFws!AN45</f>
        <v>0</v>
      </c>
      <c r="N55" s="450"/>
      <c r="O55" s="450">
        <f>SORECGFws!AO45</f>
        <v>0</v>
      </c>
      <c r="P55" s="450"/>
      <c r="Q55" s="450">
        <f>SORECGFws!AP45</f>
        <v>0</v>
      </c>
      <c r="R55" s="450"/>
      <c r="S55" s="450">
        <f>SORECGFws!AQ45</f>
        <v>0</v>
      </c>
      <c r="T55" s="450"/>
      <c r="U55" s="450">
        <f>SORECGFws!AR45</f>
        <v>0</v>
      </c>
      <c r="V55" s="450"/>
      <c r="W55" s="450">
        <f t="shared" si="1"/>
        <v>0</v>
      </c>
      <c r="X55" s="450"/>
      <c r="Y55" s="450"/>
      <c r="Z55" s="450"/>
      <c r="AA55" s="450"/>
      <c r="AB55" s="450"/>
      <c r="AC55" s="450"/>
      <c r="AD55" s="450"/>
      <c r="AE55" s="450"/>
      <c r="AF55" s="450"/>
      <c r="AG55" s="450"/>
      <c r="AH55" s="450"/>
      <c r="AI55" s="450"/>
    </row>
    <row r="56" spans="1:35" s="451" customFormat="1" ht="9.9499999999999993" hidden="1" customHeight="1" x14ac:dyDescent="0.2">
      <c r="A56" s="426" t="s">
        <v>949</v>
      </c>
      <c r="B56" s="450"/>
      <c r="C56" s="450"/>
      <c r="D56" s="450"/>
      <c r="E56" s="450">
        <f>SORECGFws!AJ46</f>
        <v>0</v>
      </c>
      <c r="F56" s="450"/>
      <c r="G56" s="450">
        <f>SORECGFws!AK46</f>
        <v>0</v>
      </c>
      <c r="H56" s="450"/>
      <c r="I56" s="450">
        <f>SORECGFws!AL46</f>
        <v>0</v>
      </c>
      <c r="J56" s="450"/>
      <c r="K56" s="450">
        <f>SORECGFws!AM46</f>
        <v>0</v>
      </c>
      <c r="L56" s="450"/>
      <c r="M56" s="450">
        <f>SORECGFws!AN46</f>
        <v>0</v>
      </c>
      <c r="N56" s="450"/>
      <c r="O56" s="450">
        <f>SORECGFws!AO46</f>
        <v>0</v>
      </c>
      <c r="P56" s="450"/>
      <c r="Q56" s="450">
        <f>SORECGFws!AP46</f>
        <v>0</v>
      </c>
      <c r="R56" s="450"/>
      <c r="S56" s="450">
        <f>SORECGFws!AQ46</f>
        <v>0</v>
      </c>
      <c r="T56" s="450"/>
      <c r="U56" s="450">
        <f>SORECGFws!AR46</f>
        <v>0</v>
      </c>
      <c r="V56" s="450"/>
      <c r="W56" s="450">
        <f t="shared" si="1"/>
        <v>0</v>
      </c>
      <c r="X56" s="450"/>
      <c r="Y56" s="450"/>
      <c r="Z56" s="450"/>
      <c r="AA56" s="450"/>
      <c r="AB56" s="450"/>
      <c r="AC56" s="450"/>
      <c r="AD56" s="450"/>
      <c r="AE56" s="450"/>
      <c r="AF56" s="450"/>
      <c r="AG56" s="450"/>
      <c r="AH56" s="450"/>
      <c r="AI56" s="450"/>
    </row>
    <row r="57" spans="1:35" s="451" customFormat="1" ht="5.0999999999999996" customHeight="1" x14ac:dyDescent="0.2">
      <c r="B57" s="450"/>
      <c r="C57" s="452"/>
      <c r="D57" s="450"/>
      <c r="E57" s="452"/>
      <c r="F57" s="450"/>
      <c r="G57" s="452"/>
      <c r="H57" s="450"/>
      <c r="I57" s="452"/>
      <c r="J57" s="450"/>
      <c r="K57" s="452"/>
      <c r="L57" s="450"/>
      <c r="M57" s="452"/>
      <c r="N57" s="450"/>
      <c r="O57" s="452"/>
      <c r="P57" s="450"/>
      <c r="Q57" s="452"/>
      <c r="R57" s="450"/>
      <c r="S57" s="452"/>
      <c r="T57" s="450"/>
      <c r="U57" s="452"/>
      <c r="V57" s="450"/>
      <c r="W57" s="452"/>
      <c r="X57" s="450"/>
      <c r="Y57" s="450"/>
      <c r="AA57" s="450"/>
      <c r="AB57" s="450"/>
      <c r="AC57" s="450"/>
      <c r="AD57" s="450"/>
      <c r="AE57" s="450"/>
      <c r="AF57" s="450"/>
      <c r="AG57" s="450"/>
      <c r="AH57" s="450"/>
      <c r="AI57" s="450"/>
    </row>
    <row r="58" spans="1:35" s="451" customFormat="1" ht="11.1" customHeight="1" x14ac:dyDescent="0.2">
      <c r="A58" s="417" t="s">
        <v>970</v>
      </c>
      <c r="B58" s="450"/>
      <c r="C58" s="455">
        <f>SUM(C32:C53)</f>
        <v>0</v>
      </c>
      <c r="D58" s="450"/>
      <c r="E58" s="455">
        <f>SUM(E32:E56)</f>
        <v>0</v>
      </c>
      <c r="F58" s="450"/>
      <c r="G58" s="455">
        <f t="shared" ref="G58" si="2">SUM(G32:G56)</f>
        <v>0</v>
      </c>
      <c r="H58" s="450"/>
      <c r="I58" s="455">
        <f t="shared" ref="I58" si="3">SUM(I32:I56)</f>
        <v>258</v>
      </c>
      <c r="J58" s="450"/>
      <c r="K58" s="455">
        <f t="shared" ref="K58" si="4">SUM(K32:K56)</f>
        <v>0</v>
      </c>
      <c r="L58" s="450"/>
      <c r="M58" s="455">
        <f t="shared" ref="M58" si="5">SUM(M32:M56)</f>
        <v>0</v>
      </c>
      <c r="N58" s="450"/>
      <c r="O58" s="455">
        <f t="shared" ref="O58" si="6">SUM(O32:O56)</f>
        <v>0</v>
      </c>
      <c r="P58" s="450"/>
      <c r="Q58" s="455">
        <f t="shared" ref="Q58:S58" si="7">SUM(Q32:Q56)</f>
        <v>13</v>
      </c>
      <c r="R58" s="450"/>
      <c r="S58" s="455">
        <f t="shared" si="7"/>
        <v>1001</v>
      </c>
      <c r="T58" s="450"/>
      <c r="U58" s="455">
        <f t="shared" ref="U58" si="8">SUM(U32:U56)</f>
        <v>49618</v>
      </c>
      <c r="V58" s="450"/>
      <c r="W58" s="455">
        <f t="shared" ref="W58" si="9">SUM(W32:W56)</f>
        <v>50890</v>
      </c>
      <c r="X58" s="450"/>
      <c r="Y58" s="450"/>
      <c r="Z58" s="450"/>
      <c r="AA58" s="450"/>
      <c r="AB58" s="450"/>
      <c r="AC58" s="450"/>
      <c r="AD58" s="450"/>
      <c r="AE58" s="450"/>
      <c r="AF58" s="450"/>
      <c r="AG58" s="450"/>
      <c r="AH58" s="450"/>
      <c r="AI58" s="450"/>
    </row>
    <row r="59" spans="1:35" s="451" customFormat="1" ht="5.0999999999999996" customHeight="1" x14ac:dyDescent="0.2">
      <c r="B59" s="450"/>
      <c r="C59" s="452"/>
      <c r="D59" s="450"/>
      <c r="E59" s="452"/>
      <c r="F59" s="450"/>
      <c r="G59" s="452"/>
      <c r="H59" s="450"/>
      <c r="I59" s="452"/>
      <c r="J59" s="450"/>
      <c r="K59" s="452"/>
      <c r="L59" s="450"/>
      <c r="M59" s="452"/>
      <c r="N59" s="450"/>
      <c r="O59" s="452"/>
      <c r="P59" s="450"/>
      <c r="Q59" s="452"/>
      <c r="R59" s="450"/>
      <c r="S59" s="452"/>
      <c r="T59" s="450"/>
      <c r="U59" s="452"/>
      <c r="V59" s="450"/>
      <c r="W59" s="452"/>
      <c r="X59" s="450"/>
      <c r="Y59" s="450"/>
      <c r="Z59" s="450"/>
      <c r="AA59" s="450"/>
      <c r="AB59" s="450"/>
      <c r="AC59" s="450"/>
      <c r="AD59" s="450"/>
      <c r="AE59" s="450"/>
      <c r="AF59" s="450"/>
      <c r="AG59" s="450"/>
      <c r="AH59" s="450"/>
      <c r="AI59" s="450"/>
    </row>
    <row r="60" spans="1:35" s="451" customFormat="1" ht="9.9499999999999993" customHeight="1" x14ac:dyDescent="0.2">
      <c r="A60" s="417" t="s">
        <v>19</v>
      </c>
      <c r="B60" s="450"/>
      <c r="C60" s="450"/>
      <c r="D60" s="450"/>
      <c r="E60" s="450"/>
      <c r="F60" s="450"/>
      <c r="G60" s="450"/>
      <c r="H60" s="450"/>
      <c r="I60" s="450"/>
      <c r="J60" s="450"/>
      <c r="K60" s="450"/>
      <c r="L60" s="450"/>
      <c r="M60" s="450"/>
      <c r="N60" s="450"/>
      <c r="O60" s="450"/>
      <c r="P60" s="450"/>
      <c r="Q60" s="450"/>
      <c r="R60" s="450"/>
      <c r="S60" s="450"/>
      <c r="T60" s="450"/>
      <c r="U60" s="450"/>
      <c r="V60" s="450"/>
      <c r="W60" s="450"/>
      <c r="X60" s="450"/>
      <c r="Y60" s="450"/>
      <c r="Z60" s="450"/>
      <c r="AA60" s="450"/>
      <c r="AB60" s="450"/>
      <c r="AC60" s="450"/>
      <c r="AD60" s="450"/>
      <c r="AE60" s="450"/>
      <c r="AF60" s="450"/>
      <c r="AG60" s="450"/>
      <c r="AH60" s="450"/>
      <c r="AI60" s="450"/>
    </row>
    <row r="61" spans="1:35" s="451" customFormat="1" ht="9.9499999999999993" customHeight="1" x14ac:dyDescent="0.2">
      <c r="A61" s="428" t="s">
        <v>20</v>
      </c>
      <c r="B61" s="450"/>
      <c r="C61" s="455">
        <f>+C29-C58</f>
        <v>0</v>
      </c>
      <c r="D61" s="450"/>
      <c r="E61" s="455">
        <f>+E29-E58</f>
        <v>0</v>
      </c>
      <c r="F61" s="450"/>
      <c r="G61" s="455">
        <f>+G29-G58</f>
        <v>3098</v>
      </c>
      <c r="H61" s="450"/>
      <c r="I61" s="455">
        <f>+I29-I58</f>
        <v>-106</v>
      </c>
      <c r="J61" s="450"/>
      <c r="K61" s="455">
        <f>+K29-K58</f>
        <v>280</v>
      </c>
      <c r="L61" s="450"/>
      <c r="M61" s="455">
        <f>+M29-M58</f>
        <v>1306</v>
      </c>
      <c r="N61" s="450"/>
      <c r="O61" s="455">
        <f>+O29-O58</f>
        <v>1567</v>
      </c>
      <c r="P61" s="450"/>
      <c r="Q61" s="455">
        <f>+Q29-Q58</f>
        <v>235</v>
      </c>
      <c r="R61" s="450"/>
      <c r="S61" s="455">
        <f>+S29-S58</f>
        <v>-778</v>
      </c>
      <c r="T61" s="450"/>
      <c r="U61" s="455">
        <f>+U29-U58</f>
        <v>-49455</v>
      </c>
      <c r="V61" s="450"/>
      <c r="W61" s="455">
        <f>SUM(W29-W58)</f>
        <v>-43853</v>
      </c>
      <c r="X61" s="450"/>
      <c r="Y61" s="450"/>
      <c r="Z61" s="450"/>
      <c r="AA61" s="450"/>
      <c r="AB61" s="450"/>
      <c r="AC61" s="450"/>
      <c r="AD61" s="450"/>
      <c r="AE61" s="450"/>
      <c r="AF61" s="450"/>
      <c r="AG61" s="450"/>
      <c r="AH61" s="450"/>
      <c r="AI61" s="450"/>
    </row>
    <row r="62" spans="1:35" s="451" customFormat="1" ht="5.0999999999999996" customHeight="1" x14ac:dyDescent="0.2">
      <c r="B62" s="450"/>
      <c r="C62" s="452"/>
      <c r="D62" s="450"/>
      <c r="E62" s="452"/>
      <c r="F62" s="450"/>
      <c r="G62" s="452"/>
      <c r="H62" s="450"/>
      <c r="I62" s="452"/>
      <c r="J62" s="450"/>
      <c r="K62" s="452"/>
      <c r="L62" s="450"/>
      <c r="M62" s="452"/>
      <c r="N62" s="450"/>
      <c r="O62" s="452"/>
      <c r="P62" s="450"/>
      <c r="Q62" s="450"/>
      <c r="R62" s="450"/>
      <c r="S62" s="450"/>
      <c r="T62" s="450"/>
      <c r="U62" s="452"/>
      <c r="V62" s="450"/>
      <c r="W62" s="452"/>
      <c r="X62" s="450"/>
      <c r="Y62" s="450"/>
      <c r="Z62" s="450"/>
      <c r="AA62" s="450"/>
      <c r="AB62" s="450"/>
      <c r="AC62" s="450"/>
      <c r="AD62" s="450"/>
      <c r="AE62" s="450"/>
      <c r="AF62" s="450"/>
      <c r="AG62" s="450"/>
      <c r="AH62" s="450"/>
      <c r="AI62" s="450"/>
    </row>
    <row r="63" spans="1:35" s="451" customFormat="1" ht="9.9499999999999993" customHeight="1" x14ac:dyDescent="0.2">
      <c r="A63" s="417" t="s">
        <v>34</v>
      </c>
      <c r="B63" s="450"/>
      <c r="C63" s="450"/>
      <c r="D63" s="450"/>
      <c r="E63" s="450"/>
      <c r="F63" s="450"/>
      <c r="G63" s="450"/>
      <c r="H63" s="450"/>
      <c r="I63" s="450"/>
      <c r="J63" s="450"/>
      <c r="K63" s="450"/>
      <c r="L63" s="450"/>
      <c r="M63" s="450"/>
      <c r="N63" s="450"/>
      <c r="O63" s="450"/>
      <c r="P63" s="450"/>
      <c r="Q63" s="450"/>
      <c r="R63" s="450"/>
      <c r="S63" s="450"/>
      <c r="T63" s="450"/>
      <c r="U63" s="450"/>
      <c r="V63" s="450"/>
      <c r="W63" s="450"/>
      <c r="X63" s="450"/>
      <c r="Y63" s="450"/>
      <c r="Z63" s="450"/>
      <c r="AA63" s="450"/>
      <c r="AB63" s="450"/>
      <c r="AC63" s="450"/>
      <c r="AD63" s="450"/>
      <c r="AE63" s="450"/>
      <c r="AF63" s="450"/>
      <c r="AG63" s="450"/>
      <c r="AH63" s="450"/>
      <c r="AI63" s="450"/>
    </row>
    <row r="64" spans="1:35" s="451" customFormat="1" ht="9.9499999999999993" customHeight="1" x14ac:dyDescent="0.2">
      <c r="A64" s="425" t="s">
        <v>667</v>
      </c>
      <c r="B64" s="450"/>
      <c r="C64" s="450">
        <f>SORECGFws!AI53</f>
        <v>0</v>
      </c>
      <c r="D64" s="450"/>
      <c r="E64" s="450">
        <f>SORECGFws!AJ53</f>
        <v>0</v>
      </c>
      <c r="F64" s="450"/>
      <c r="G64" s="450">
        <f>SORECGFws!AK53</f>
        <v>0</v>
      </c>
      <c r="H64" s="450"/>
      <c r="I64" s="450">
        <f>SORECGFws!AL53</f>
        <v>0</v>
      </c>
      <c r="J64" s="450"/>
      <c r="K64" s="450">
        <f>SORECGFws!AM53</f>
        <v>0</v>
      </c>
      <c r="L64" s="450"/>
      <c r="M64" s="450">
        <f>SORECGFws!AN53</f>
        <v>0</v>
      </c>
      <c r="N64" s="450"/>
      <c r="O64" s="450">
        <f>SORECGFws!AO53</f>
        <v>0</v>
      </c>
      <c r="P64" s="450"/>
      <c r="Q64" s="450">
        <f>SORECGFws!AP53</f>
        <v>0</v>
      </c>
      <c r="R64" s="450"/>
      <c r="S64" s="450">
        <f>SORECGFws!AQ53</f>
        <v>156205</v>
      </c>
      <c r="T64" s="450"/>
      <c r="U64" s="450">
        <f>+SORECGFws!AR53</f>
        <v>0</v>
      </c>
      <c r="V64" s="450"/>
      <c r="W64" s="450">
        <f t="shared" ref="W64:W73" si="10">SUM(B64:U64)</f>
        <v>156205</v>
      </c>
      <c r="X64" s="450"/>
      <c r="Y64" s="450"/>
      <c r="Z64" s="450"/>
      <c r="AA64" s="450"/>
      <c r="AB64" s="450"/>
      <c r="AC64" s="450"/>
      <c r="AD64" s="450"/>
      <c r="AE64" s="450"/>
      <c r="AF64" s="450"/>
      <c r="AG64" s="450"/>
      <c r="AH64" s="450"/>
      <c r="AI64" s="450"/>
    </row>
    <row r="65" spans="1:48" s="451" customFormat="1" ht="9.9499999999999993" hidden="1" customHeight="1" x14ac:dyDescent="0.2">
      <c r="A65" s="425" t="s">
        <v>1235</v>
      </c>
      <c r="B65" s="450"/>
      <c r="C65" s="450">
        <f>SORECGFws!AI54</f>
        <v>0</v>
      </c>
      <c r="D65" s="450"/>
      <c r="E65" s="450">
        <f>SORECGFws!AJ54</f>
        <v>0</v>
      </c>
      <c r="F65" s="450"/>
      <c r="G65" s="450">
        <f>SORECGFws!AK54</f>
        <v>0</v>
      </c>
      <c r="H65" s="450"/>
      <c r="I65" s="450">
        <f>SORECGFws!AL54</f>
        <v>0</v>
      </c>
      <c r="J65" s="450"/>
      <c r="K65" s="450">
        <f>SORECGFws!AM54</f>
        <v>0</v>
      </c>
      <c r="L65" s="450"/>
      <c r="M65" s="450">
        <f>SORECGFws!AN54</f>
        <v>0</v>
      </c>
      <c r="N65" s="450"/>
      <c r="O65" s="450">
        <f>SORECGFws!AO54</f>
        <v>0</v>
      </c>
      <c r="P65" s="450"/>
      <c r="Q65" s="450">
        <f>SORECGFws!AR54</f>
        <v>0</v>
      </c>
      <c r="R65" s="450"/>
      <c r="S65" s="450">
        <f>SORECGFws!AT54</f>
        <v>0</v>
      </c>
      <c r="T65" s="450"/>
      <c r="U65" s="450">
        <f>+SORECGFws!AR54</f>
        <v>0</v>
      </c>
      <c r="V65" s="450"/>
      <c r="W65" s="450">
        <f t="shared" si="10"/>
        <v>0</v>
      </c>
      <c r="X65" s="450"/>
      <c r="Y65" s="450"/>
      <c r="Z65" s="450"/>
      <c r="AA65" s="450"/>
      <c r="AB65" s="450"/>
      <c r="AC65" s="450"/>
      <c r="AD65" s="450"/>
      <c r="AE65" s="450"/>
      <c r="AF65" s="450"/>
      <c r="AG65" s="450"/>
      <c r="AH65" s="450"/>
      <c r="AI65" s="450"/>
    </row>
    <row r="66" spans="1:48" s="451" customFormat="1" ht="9.9499999999999993" hidden="1" customHeight="1" x14ac:dyDescent="0.2">
      <c r="A66" s="425" t="s">
        <v>973</v>
      </c>
      <c r="B66" s="450"/>
      <c r="C66" s="450">
        <f>SORECGFws!AI55</f>
        <v>0</v>
      </c>
      <c r="D66" s="450"/>
      <c r="E66" s="450">
        <f>SORECGFws!AJ55</f>
        <v>0</v>
      </c>
      <c r="F66" s="450"/>
      <c r="G66" s="450">
        <f>SORECGFws!AK55</f>
        <v>0</v>
      </c>
      <c r="H66" s="450"/>
      <c r="I66" s="450">
        <f>SORECGFws!AL55</f>
        <v>0</v>
      </c>
      <c r="J66" s="450"/>
      <c r="K66" s="450">
        <f>SORECGFws!AM55</f>
        <v>0</v>
      </c>
      <c r="L66" s="450"/>
      <c r="M66" s="450">
        <f>SORECGFws!AN55</f>
        <v>0</v>
      </c>
      <c r="N66" s="450"/>
      <c r="O66" s="450">
        <f>SORECGFws!AO55</f>
        <v>0</v>
      </c>
      <c r="P66" s="450"/>
      <c r="Q66" s="450">
        <f>SORECGFws!AR55</f>
        <v>0</v>
      </c>
      <c r="R66" s="450"/>
      <c r="S66" s="450">
        <f>SORECGFws!AT55</f>
        <v>0</v>
      </c>
      <c r="T66" s="450"/>
      <c r="U66" s="450">
        <f>+SORECGFws!AR55</f>
        <v>0</v>
      </c>
      <c r="V66" s="450"/>
      <c r="W66" s="450">
        <f t="shared" si="10"/>
        <v>0</v>
      </c>
      <c r="X66" s="450"/>
      <c r="Y66" s="450"/>
      <c r="Z66" s="450"/>
      <c r="AA66" s="450"/>
      <c r="AB66" s="450"/>
      <c r="AC66" s="450"/>
      <c r="AD66" s="450"/>
      <c r="AE66" s="450"/>
      <c r="AF66" s="450"/>
      <c r="AG66" s="450"/>
      <c r="AH66" s="450"/>
      <c r="AI66" s="450"/>
    </row>
    <row r="67" spans="1:48" s="451" customFormat="1" ht="9.9499999999999993" hidden="1" customHeight="1" x14ac:dyDescent="0.2">
      <c r="A67" s="425" t="s">
        <v>666</v>
      </c>
      <c r="B67" s="450"/>
      <c r="C67" s="450">
        <f>SORECGFws!AI56</f>
        <v>0</v>
      </c>
      <c r="D67" s="450"/>
      <c r="E67" s="450">
        <f>SORECGFws!AJ56</f>
        <v>0</v>
      </c>
      <c r="F67" s="450"/>
      <c r="G67" s="450">
        <f>SORECGFws!AK56</f>
        <v>0</v>
      </c>
      <c r="H67" s="450"/>
      <c r="I67" s="450">
        <f>SORECGFws!AL56</f>
        <v>0</v>
      </c>
      <c r="J67" s="450"/>
      <c r="K67" s="450">
        <f>SORECGFws!AM56</f>
        <v>0</v>
      </c>
      <c r="L67" s="450"/>
      <c r="M67" s="450">
        <f>SORECGFws!AN56</f>
        <v>0</v>
      </c>
      <c r="N67" s="450"/>
      <c r="O67" s="450">
        <f>SORECGFws!AO56</f>
        <v>0</v>
      </c>
      <c r="P67" s="450"/>
      <c r="Q67" s="450">
        <f>SORECGFws!AR56</f>
        <v>0</v>
      </c>
      <c r="R67" s="450"/>
      <c r="S67" s="450">
        <f>SORECGFws!AT56</f>
        <v>0</v>
      </c>
      <c r="T67" s="450"/>
      <c r="U67" s="450">
        <f>+SORECGFws!AR56</f>
        <v>0</v>
      </c>
      <c r="V67" s="450"/>
      <c r="W67" s="450">
        <f t="shared" si="10"/>
        <v>0</v>
      </c>
      <c r="X67" s="450"/>
      <c r="Y67" s="450"/>
      <c r="Z67" s="450"/>
      <c r="AA67" s="450"/>
      <c r="AB67" s="450"/>
      <c r="AC67" s="450"/>
      <c r="AD67" s="450"/>
      <c r="AE67" s="450"/>
      <c r="AF67" s="450"/>
      <c r="AG67" s="450"/>
      <c r="AH67" s="450"/>
      <c r="AI67" s="450"/>
    </row>
    <row r="68" spans="1:48" s="451" customFormat="1" ht="9.9499999999999993" hidden="1" customHeight="1" x14ac:dyDescent="0.2">
      <c r="A68" s="425" t="s">
        <v>1581</v>
      </c>
      <c r="B68" s="450"/>
      <c r="C68" s="450">
        <f>SORECGFws!AI57</f>
        <v>0</v>
      </c>
      <c r="D68" s="450"/>
      <c r="E68" s="450">
        <f>SORECGFws!AJ57</f>
        <v>0</v>
      </c>
      <c r="F68" s="450"/>
      <c r="G68" s="450">
        <f>SORECGFws!AK57</f>
        <v>0</v>
      </c>
      <c r="H68" s="450"/>
      <c r="I68" s="450">
        <f>SORECGFws!AL57</f>
        <v>0</v>
      </c>
      <c r="J68" s="450"/>
      <c r="K68" s="450">
        <f>SORECGFws!AM57</f>
        <v>0</v>
      </c>
      <c r="L68" s="450"/>
      <c r="M68" s="450">
        <f>SORECGFws!AN57</f>
        <v>0</v>
      </c>
      <c r="N68" s="450"/>
      <c r="O68" s="450">
        <f>SORECGFws!AO57</f>
        <v>0</v>
      </c>
      <c r="P68" s="450"/>
      <c r="Q68" s="450">
        <f>SORECGFws!AR57</f>
        <v>0</v>
      </c>
      <c r="R68" s="450"/>
      <c r="S68" s="450">
        <f>SORECGFws!AT57</f>
        <v>0</v>
      </c>
      <c r="T68" s="450"/>
      <c r="U68" s="450">
        <f>+SORECGFws!AR57</f>
        <v>0</v>
      </c>
      <c r="V68" s="450"/>
      <c r="W68" s="450">
        <f t="shared" ref="W68" si="11">SUM(B68:U68)</f>
        <v>0</v>
      </c>
      <c r="X68" s="450"/>
      <c r="Y68" s="450"/>
      <c r="Z68" s="450"/>
      <c r="AA68" s="450"/>
      <c r="AB68" s="450"/>
      <c r="AC68" s="450"/>
      <c r="AD68" s="450"/>
      <c r="AE68" s="450"/>
      <c r="AF68" s="450"/>
      <c r="AG68" s="450"/>
      <c r="AH68" s="450"/>
      <c r="AI68" s="450"/>
    </row>
    <row r="69" spans="1:48" s="451" customFormat="1" ht="9.9499999999999993" hidden="1" customHeight="1" x14ac:dyDescent="0.2">
      <c r="A69" s="425" t="s">
        <v>1642</v>
      </c>
      <c r="B69" s="450"/>
      <c r="C69" s="450"/>
      <c r="D69" s="450"/>
      <c r="E69" s="450">
        <f>SORECGFws!AJ58</f>
        <v>0</v>
      </c>
      <c r="F69" s="450"/>
      <c r="G69" s="450">
        <f>SORECGFws!AK58</f>
        <v>0</v>
      </c>
      <c r="H69" s="450"/>
      <c r="I69" s="450">
        <f>SORECGFws!AL58</f>
        <v>0</v>
      </c>
      <c r="J69" s="450"/>
      <c r="K69" s="450">
        <f>SORECGFws!AM58</f>
        <v>0</v>
      </c>
      <c r="L69" s="450"/>
      <c r="M69" s="450">
        <f>SORECGFws!AN58</f>
        <v>0</v>
      </c>
      <c r="N69" s="450"/>
      <c r="O69" s="450">
        <f>SORECGFws!AO58</f>
        <v>0</v>
      </c>
      <c r="P69" s="450"/>
      <c r="Q69" s="450">
        <f>SORECGFws!AR58</f>
        <v>0</v>
      </c>
      <c r="R69" s="450"/>
      <c r="S69" s="450">
        <f>SORECGFws!AT58</f>
        <v>0</v>
      </c>
      <c r="T69" s="450"/>
      <c r="U69" s="450">
        <f>+SORECGFws!AR58</f>
        <v>0</v>
      </c>
      <c r="V69" s="450"/>
      <c r="W69" s="450">
        <f t="shared" ref="W69" si="12">SUM(B69:U69)</f>
        <v>0</v>
      </c>
      <c r="X69" s="450"/>
      <c r="Y69" s="450"/>
      <c r="Z69" s="450"/>
      <c r="AA69" s="450"/>
      <c r="AB69" s="450"/>
      <c r="AC69" s="450"/>
      <c r="AD69" s="450"/>
      <c r="AE69" s="450"/>
      <c r="AF69" s="450"/>
      <c r="AG69" s="450"/>
      <c r="AH69" s="450"/>
      <c r="AI69" s="450"/>
    </row>
    <row r="70" spans="1:48" s="451" customFormat="1" ht="9.9499999999999993" hidden="1" customHeight="1" x14ac:dyDescent="0.2">
      <c r="A70" s="425" t="s">
        <v>668</v>
      </c>
      <c r="B70" s="450"/>
      <c r="C70" s="450">
        <f>SORECGFws!AI59</f>
        <v>0</v>
      </c>
      <c r="D70" s="450"/>
      <c r="E70" s="450">
        <f>SORECGFws!AJ59</f>
        <v>0</v>
      </c>
      <c r="F70" s="450"/>
      <c r="G70" s="450">
        <f>SORECGFws!AK59</f>
        <v>0</v>
      </c>
      <c r="H70" s="450"/>
      <c r="I70" s="450">
        <f>SORECGFws!AL59</f>
        <v>0</v>
      </c>
      <c r="J70" s="450"/>
      <c r="K70" s="450">
        <f>SORECGFws!AM59</f>
        <v>0</v>
      </c>
      <c r="L70" s="450"/>
      <c r="M70" s="450">
        <f>SORECGFws!AN59</f>
        <v>0</v>
      </c>
      <c r="N70" s="450"/>
      <c r="O70" s="450">
        <f>SORECGFws!AO59</f>
        <v>0</v>
      </c>
      <c r="P70" s="450"/>
      <c r="Q70" s="450">
        <f>SORECGFws!AR59</f>
        <v>0</v>
      </c>
      <c r="R70" s="450"/>
      <c r="S70" s="450">
        <f>SORECGFws!AT59</f>
        <v>0</v>
      </c>
      <c r="T70" s="450"/>
      <c r="U70" s="450">
        <f>+SORECGFws!AR59</f>
        <v>0</v>
      </c>
      <c r="V70" s="450"/>
      <c r="W70" s="450">
        <f t="shared" si="10"/>
        <v>0</v>
      </c>
      <c r="X70" s="450"/>
      <c r="Y70" s="450"/>
      <c r="Z70" s="450"/>
      <c r="AA70" s="450"/>
      <c r="AB70" s="450"/>
      <c r="AC70" s="450"/>
      <c r="AD70" s="450"/>
      <c r="AE70" s="450"/>
      <c r="AF70" s="450"/>
      <c r="AG70" s="450"/>
      <c r="AH70" s="450"/>
      <c r="AI70" s="450"/>
    </row>
    <row r="71" spans="1:48" s="451" customFormat="1" ht="9.9499999999999993" customHeight="1" x14ac:dyDescent="0.2">
      <c r="A71" s="425" t="s">
        <v>1134</v>
      </c>
      <c r="B71" s="450"/>
      <c r="C71" s="450">
        <f>SORECGFws!AI60</f>
        <v>0</v>
      </c>
      <c r="D71" s="450"/>
      <c r="E71" s="450">
        <f>SORECGFws!AJ60</f>
        <v>0</v>
      </c>
      <c r="F71" s="450"/>
      <c r="G71" s="450">
        <f>SORECGFws!AK60</f>
        <v>0</v>
      </c>
      <c r="H71" s="450"/>
      <c r="I71" s="450">
        <f>SORECGFws!AL60</f>
        <v>0</v>
      </c>
      <c r="J71" s="450"/>
      <c r="K71" s="450">
        <f>SORECGFws!AM60</f>
        <v>0</v>
      </c>
      <c r="L71" s="450"/>
      <c r="M71" s="450">
        <f>SORECGFws!AN60</f>
        <v>0</v>
      </c>
      <c r="N71" s="450"/>
      <c r="O71" s="450">
        <f>SORECGFws!AO60</f>
        <v>0</v>
      </c>
      <c r="P71" s="450"/>
      <c r="Q71" s="450">
        <f>SORECGFws!AP60</f>
        <v>0</v>
      </c>
      <c r="R71" s="450"/>
      <c r="S71" s="450">
        <f>SORECGFws!AQ60</f>
        <v>12069</v>
      </c>
      <c r="T71" s="450"/>
      <c r="U71" s="450">
        <f>+SORECGFws!AR60</f>
        <v>0</v>
      </c>
      <c r="V71" s="450"/>
      <c r="W71" s="450">
        <f t="shared" si="10"/>
        <v>12069</v>
      </c>
      <c r="X71" s="450"/>
      <c r="Y71" s="450"/>
      <c r="Z71" s="450"/>
      <c r="AA71" s="450"/>
      <c r="AB71" s="450"/>
      <c r="AC71" s="450"/>
      <c r="AD71" s="450"/>
      <c r="AE71" s="450"/>
      <c r="AF71" s="450"/>
      <c r="AG71" s="450"/>
      <c r="AH71" s="450"/>
      <c r="AI71" s="450"/>
    </row>
    <row r="72" spans="1:48" s="451" customFormat="1" ht="9.9499999999999993" customHeight="1" x14ac:dyDescent="0.2">
      <c r="A72" s="425" t="s">
        <v>21</v>
      </c>
      <c r="B72" s="450"/>
      <c r="C72" s="450">
        <f>SORECGFws!AI61</f>
        <v>0</v>
      </c>
      <c r="D72" s="450"/>
      <c r="E72" s="450">
        <f>SORECGFws!AJ61</f>
        <v>0</v>
      </c>
      <c r="F72" s="450"/>
      <c r="G72" s="450">
        <f>SORECGFws!AK61</f>
        <v>1945</v>
      </c>
      <c r="H72" s="450"/>
      <c r="I72" s="450">
        <f>SORECGFws!AL61</f>
        <v>0</v>
      </c>
      <c r="J72" s="450"/>
      <c r="K72" s="450">
        <f>SORECGFws!AM61</f>
        <v>0</v>
      </c>
      <c r="L72" s="450"/>
      <c r="M72" s="450">
        <f>SORECGFws!AN61</f>
        <v>0</v>
      </c>
      <c r="N72" s="450"/>
      <c r="O72" s="450">
        <f>SORECGFws!AO61</f>
        <v>0</v>
      </c>
      <c r="P72" s="450"/>
      <c r="Q72" s="450">
        <f>SORECGFws!AP61</f>
        <v>0</v>
      </c>
      <c r="R72" s="450"/>
      <c r="S72" s="450">
        <f>SORECGFws!AQ61</f>
        <v>0</v>
      </c>
      <c r="T72" s="450"/>
      <c r="U72" s="450">
        <f>+SORECGFws!AR61</f>
        <v>48975</v>
      </c>
      <c r="V72" s="450"/>
      <c r="W72" s="450">
        <f t="shared" si="10"/>
        <v>50920</v>
      </c>
      <c r="X72" s="450"/>
      <c r="Y72" s="450"/>
      <c r="Z72" s="450"/>
      <c r="AA72" s="450"/>
      <c r="AB72" s="450"/>
      <c r="AC72" s="450"/>
      <c r="AD72" s="450"/>
      <c r="AE72" s="450"/>
      <c r="AF72" s="450"/>
      <c r="AG72" s="450"/>
      <c r="AH72" s="450"/>
      <c r="AI72" s="450"/>
    </row>
    <row r="73" spans="1:48" s="451" customFormat="1" ht="9.9499999999999993" customHeight="1" x14ac:dyDescent="0.2">
      <c r="A73" s="425" t="s">
        <v>22</v>
      </c>
      <c r="B73" s="450"/>
      <c r="C73" s="450">
        <f>SORECGFws!AI62</f>
        <v>0</v>
      </c>
      <c r="D73" s="450"/>
      <c r="E73" s="450">
        <f>SORECGFws!AJ62</f>
        <v>0</v>
      </c>
      <c r="F73" s="450"/>
      <c r="G73" s="450">
        <f>SORECGFws!AK62</f>
        <v>-23574</v>
      </c>
      <c r="H73" s="450"/>
      <c r="I73" s="450">
        <f>SORECGFws!AL62</f>
        <v>-1604</v>
      </c>
      <c r="J73" s="450"/>
      <c r="K73" s="450">
        <f>SORECGFws!AM62</f>
        <v>-6431</v>
      </c>
      <c r="L73" s="450"/>
      <c r="M73" s="450">
        <f>SORECGFws!AN62</f>
        <v>-15302</v>
      </c>
      <c r="N73" s="450"/>
      <c r="O73" s="450">
        <f>SORECGFws!AO62</f>
        <v>-7976</v>
      </c>
      <c r="P73" s="450"/>
      <c r="Q73" s="450">
        <f>SORECGFws!AP62</f>
        <v>-5192</v>
      </c>
      <c r="R73" s="450"/>
      <c r="S73" s="450">
        <f>SORECGFws!AQ62</f>
        <v>-76044</v>
      </c>
      <c r="T73" s="450"/>
      <c r="U73" s="450">
        <f>+SORECGFws!AR62</f>
        <v>0</v>
      </c>
      <c r="V73" s="450"/>
      <c r="W73" s="450">
        <f t="shared" si="10"/>
        <v>-136123</v>
      </c>
      <c r="X73" s="450"/>
      <c r="Y73" s="450"/>
      <c r="Z73" s="450"/>
      <c r="AA73" s="450"/>
      <c r="AB73" s="450"/>
      <c r="AC73" s="450"/>
      <c r="AD73" s="450"/>
      <c r="AE73" s="450"/>
      <c r="AF73" s="450"/>
      <c r="AG73" s="450"/>
      <c r="AH73" s="450"/>
      <c r="AI73" s="450"/>
    </row>
    <row r="74" spans="1:48" s="451" customFormat="1" ht="5.0999999999999996" customHeight="1" x14ac:dyDescent="0.2">
      <c r="B74" s="450"/>
      <c r="C74" s="452"/>
      <c r="D74" s="450"/>
      <c r="E74" s="452"/>
      <c r="F74" s="450"/>
      <c r="G74" s="452"/>
      <c r="H74" s="450"/>
      <c r="I74" s="452"/>
      <c r="J74" s="450"/>
      <c r="K74" s="452"/>
      <c r="L74" s="450"/>
      <c r="M74" s="452"/>
      <c r="N74" s="450"/>
      <c r="O74" s="452"/>
      <c r="P74" s="450"/>
      <c r="Q74" s="452"/>
      <c r="R74" s="450"/>
      <c r="S74" s="452"/>
      <c r="T74" s="450"/>
      <c r="U74" s="452"/>
      <c r="V74" s="450"/>
      <c r="W74" s="452"/>
      <c r="X74" s="450"/>
      <c r="Y74" s="450"/>
      <c r="Z74" s="450"/>
      <c r="AA74" s="450"/>
      <c r="AB74" s="450"/>
      <c r="AC74" s="450"/>
      <c r="AD74" s="450"/>
      <c r="AE74" s="450"/>
      <c r="AF74" s="450"/>
      <c r="AG74" s="450"/>
      <c r="AH74" s="450"/>
      <c r="AI74" s="450"/>
    </row>
    <row r="75" spans="1:48" s="451" customFormat="1" ht="11.1" customHeight="1" x14ac:dyDescent="0.2">
      <c r="A75" s="417" t="s">
        <v>1334</v>
      </c>
      <c r="B75" s="450"/>
      <c r="C75" s="455">
        <f>SUM(C64:C73)</f>
        <v>0</v>
      </c>
      <c r="D75" s="450"/>
      <c r="E75" s="455">
        <f>SUM(E64:E73)</f>
        <v>0</v>
      </c>
      <c r="F75" s="450"/>
      <c r="G75" s="455">
        <f>SUM(G64:G73)</f>
        <v>-21629</v>
      </c>
      <c r="H75" s="450"/>
      <c r="I75" s="455">
        <f>SUM(I64:I73)</f>
        <v>-1604</v>
      </c>
      <c r="J75" s="450"/>
      <c r="K75" s="455">
        <f>SUM(K64:K73)</f>
        <v>-6431</v>
      </c>
      <c r="L75" s="450"/>
      <c r="M75" s="455">
        <f>SUM(M64:M73)</f>
        <v>-15302</v>
      </c>
      <c r="N75" s="450"/>
      <c r="O75" s="455">
        <f>SUM(O64:O73)</f>
        <v>-7976</v>
      </c>
      <c r="P75" s="450"/>
      <c r="Q75" s="455">
        <f>SUM(Q64:Q73)</f>
        <v>-5192</v>
      </c>
      <c r="R75" s="450"/>
      <c r="S75" s="455">
        <f>SUM(S64:S73)</f>
        <v>92230</v>
      </c>
      <c r="T75" s="450"/>
      <c r="U75" s="455">
        <f>SUM(U64:U73)</f>
        <v>48975</v>
      </c>
      <c r="V75" s="450"/>
      <c r="W75" s="455">
        <f>SUM(W64:W73)</f>
        <v>83071</v>
      </c>
      <c r="X75" s="450"/>
      <c r="Y75" s="450"/>
      <c r="Z75" s="450"/>
      <c r="AA75" s="450"/>
      <c r="AB75" s="450"/>
      <c r="AC75" s="450"/>
      <c r="AD75" s="450"/>
      <c r="AE75" s="450"/>
      <c r="AF75" s="450"/>
      <c r="AG75" s="450"/>
      <c r="AH75" s="450"/>
      <c r="AI75" s="450"/>
    </row>
    <row r="76" spans="1:48" s="451" customFormat="1" ht="5.0999999999999996" customHeight="1" x14ac:dyDescent="0.2">
      <c r="B76" s="450"/>
      <c r="C76" s="452"/>
      <c r="D76" s="450"/>
      <c r="E76" s="452"/>
      <c r="F76" s="450"/>
      <c r="G76" s="452"/>
      <c r="H76" s="450"/>
      <c r="I76" s="452"/>
      <c r="J76" s="450"/>
      <c r="K76" s="452"/>
      <c r="L76" s="450"/>
      <c r="M76" s="452"/>
      <c r="N76" s="450"/>
      <c r="O76" s="452"/>
      <c r="P76" s="450"/>
      <c r="Q76" s="452"/>
      <c r="R76" s="450"/>
      <c r="S76" s="452"/>
      <c r="T76" s="450"/>
      <c r="U76" s="452"/>
      <c r="V76" s="450"/>
      <c r="W76" s="452"/>
      <c r="X76" s="450"/>
      <c r="Y76" s="450"/>
      <c r="Z76" s="450"/>
      <c r="AA76" s="450"/>
      <c r="AB76" s="450"/>
      <c r="AC76" s="450"/>
      <c r="AD76" s="450"/>
      <c r="AE76" s="450"/>
      <c r="AF76" s="450"/>
      <c r="AG76" s="450"/>
      <c r="AH76" s="450"/>
      <c r="AI76" s="450"/>
    </row>
    <row r="77" spans="1:48" s="451" customFormat="1" ht="9.9499999999999993" customHeight="1" x14ac:dyDescent="0.2">
      <c r="A77" s="417" t="s">
        <v>989</v>
      </c>
      <c r="B77" s="450"/>
      <c r="C77" s="450">
        <f>+C61+C75</f>
        <v>0</v>
      </c>
      <c r="D77" s="450"/>
      <c r="E77" s="450">
        <f>+E61+E75</f>
        <v>0</v>
      </c>
      <c r="F77" s="450"/>
      <c r="G77" s="450">
        <f>+G61+G75</f>
        <v>-18531</v>
      </c>
      <c r="H77" s="450"/>
      <c r="I77" s="450">
        <f>+I61+I75</f>
        <v>-1710</v>
      </c>
      <c r="J77" s="450"/>
      <c r="K77" s="450">
        <f>+K61+K75</f>
        <v>-6151</v>
      </c>
      <c r="L77" s="450"/>
      <c r="M77" s="450">
        <f>+M61+M75</f>
        <v>-13996</v>
      </c>
      <c r="N77" s="450"/>
      <c r="O77" s="450">
        <f>+O61+O75</f>
        <v>-6409</v>
      </c>
      <c r="P77" s="450"/>
      <c r="Q77" s="450">
        <f>+Q61+Q75</f>
        <v>-4957</v>
      </c>
      <c r="R77" s="450"/>
      <c r="S77" s="450">
        <f>+S61+S75</f>
        <v>91452</v>
      </c>
      <c r="T77" s="450"/>
      <c r="U77" s="450">
        <f>+U61+U75</f>
        <v>-480</v>
      </c>
      <c r="V77" s="450"/>
      <c r="W77" s="450">
        <f>+W61+W75</f>
        <v>39218</v>
      </c>
      <c r="X77" s="450"/>
      <c r="Y77" s="450"/>
      <c r="Z77" s="450"/>
      <c r="AA77" s="450"/>
      <c r="AB77" s="450"/>
      <c r="AC77" s="450"/>
      <c r="AD77" s="450"/>
      <c r="AE77" s="450"/>
      <c r="AF77" s="450"/>
      <c r="AG77" s="450"/>
      <c r="AH77" s="450"/>
      <c r="AI77" s="450"/>
    </row>
    <row r="78" spans="1:48" s="451" customFormat="1" ht="5.0999999999999996" customHeight="1" x14ac:dyDescent="0.2">
      <c r="B78" s="450"/>
      <c r="C78" s="450"/>
      <c r="D78" s="450"/>
      <c r="E78" s="450"/>
      <c r="F78" s="450"/>
      <c r="G78" s="450"/>
      <c r="H78" s="450"/>
      <c r="I78" s="450"/>
      <c r="J78" s="450"/>
      <c r="K78" s="450"/>
      <c r="L78" s="450"/>
      <c r="M78" s="450"/>
      <c r="N78" s="450"/>
      <c r="O78" s="450"/>
      <c r="P78" s="450"/>
      <c r="Q78" s="450"/>
      <c r="R78" s="450"/>
      <c r="S78" s="450"/>
      <c r="T78" s="450"/>
      <c r="U78" s="450"/>
      <c r="V78" s="450"/>
      <c r="W78" s="450"/>
      <c r="X78" s="450"/>
      <c r="Y78" s="450"/>
      <c r="Z78" s="450"/>
      <c r="AA78" s="450"/>
      <c r="AB78" s="450"/>
      <c r="AC78" s="450"/>
      <c r="AD78" s="450"/>
      <c r="AE78" s="450"/>
      <c r="AF78" s="450"/>
      <c r="AG78" s="450"/>
      <c r="AH78" s="450"/>
      <c r="AI78" s="450"/>
    </row>
    <row r="79" spans="1:48" s="439" customFormat="1" ht="9.9499999999999993" customHeight="1" x14ac:dyDescent="0.2">
      <c r="A79" s="418" t="s">
        <v>1496</v>
      </c>
      <c r="B79" s="450"/>
      <c r="C79" s="450"/>
      <c r="D79" s="450"/>
      <c r="E79" s="450"/>
      <c r="F79" s="450"/>
      <c r="G79" s="450">
        <v>55987</v>
      </c>
      <c r="H79" s="450"/>
      <c r="I79" s="450">
        <v>2773</v>
      </c>
      <c r="J79" s="450"/>
      <c r="K79" s="450">
        <v>8061</v>
      </c>
      <c r="L79" s="450"/>
      <c r="M79" s="450">
        <v>24014</v>
      </c>
      <c r="N79" s="450"/>
      <c r="O79" s="450">
        <v>24564</v>
      </c>
      <c r="P79" s="450"/>
      <c r="Q79" s="450">
        <v>5904</v>
      </c>
      <c r="R79" s="450"/>
      <c r="S79" s="450">
        <v>0</v>
      </c>
      <c r="T79" s="450"/>
      <c r="U79" s="450">
        <v>-27</v>
      </c>
      <c r="V79" s="450"/>
      <c r="W79" s="450">
        <f>SUM(B79:U79)</f>
        <v>121276</v>
      </c>
      <c r="X79" s="418"/>
      <c r="Y79" s="418"/>
      <c r="Z79" s="418"/>
      <c r="AA79" s="418"/>
      <c r="AB79" s="418"/>
      <c r="AC79" s="418"/>
      <c r="AD79" s="418"/>
      <c r="AE79" s="418"/>
      <c r="AF79" s="418"/>
      <c r="AG79" s="418"/>
      <c r="AH79" s="418"/>
      <c r="AI79" s="418"/>
    </row>
    <row r="80" spans="1:48" s="439" customFormat="1" ht="5.0999999999999996" customHeight="1" x14ac:dyDescent="0.2">
      <c r="A80" s="418"/>
      <c r="B80" s="450"/>
      <c r="C80" s="452"/>
      <c r="D80" s="450"/>
      <c r="E80" s="452"/>
      <c r="F80" s="450"/>
      <c r="G80" s="452"/>
      <c r="H80" s="450"/>
      <c r="I80" s="452"/>
      <c r="J80" s="450"/>
      <c r="K80" s="452"/>
      <c r="L80" s="450"/>
      <c r="M80" s="452"/>
      <c r="N80" s="450"/>
      <c r="O80" s="452"/>
      <c r="P80" s="450"/>
      <c r="Q80" s="452"/>
      <c r="R80" s="450"/>
      <c r="S80" s="452"/>
      <c r="T80" s="450"/>
      <c r="U80" s="452"/>
      <c r="V80" s="450"/>
      <c r="W80" s="452"/>
      <c r="X80" s="450"/>
      <c r="Y80" s="452"/>
      <c r="Z80" s="450"/>
      <c r="AA80" s="452"/>
      <c r="AB80" s="450"/>
      <c r="AC80" s="452"/>
      <c r="AD80" s="450"/>
      <c r="AE80" s="452"/>
      <c r="AF80" s="450"/>
      <c r="AG80" s="452"/>
      <c r="AH80" s="450"/>
      <c r="AI80" s="452"/>
      <c r="AJ80" s="450"/>
      <c r="AK80" s="450"/>
      <c r="AL80" s="418"/>
      <c r="AM80" s="418"/>
      <c r="AN80" s="418"/>
      <c r="AO80" s="418"/>
      <c r="AP80" s="418"/>
      <c r="AQ80" s="418"/>
      <c r="AR80" s="418"/>
      <c r="AS80" s="418"/>
      <c r="AT80" s="418"/>
      <c r="AU80" s="418"/>
      <c r="AV80" s="418"/>
    </row>
    <row r="81" spans="1:48" s="439" customFormat="1" ht="11.1" hidden="1" customHeight="1" x14ac:dyDescent="0.2">
      <c r="A81" s="418" t="s">
        <v>1715</v>
      </c>
      <c r="B81" s="450"/>
      <c r="C81" s="450"/>
      <c r="D81" s="450"/>
      <c r="E81" s="450"/>
      <c r="F81" s="450"/>
      <c r="G81" s="450"/>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0"/>
      <c r="AF81" s="450"/>
      <c r="AG81" s="450"/>
      <c r="AH81" s="450"/>
      <c r="AI81" s="450"/>
      <c r="AJ81" s="450"/>
      <c r="AK81" s="450"/>
      <c r="AL81" s="418"/>
      <c r="AM81" s="418"/>
      <c r="AN81" s="418"/>
      <c r="AO81" s="418"/>
      <c r="AP81" s="418"/>
      <c r="AQ81" s="418"/>
      <c r="AR81" s="418"/>
      <c r="AS81" s="418"/>
      <c r="AT81" s="418"/>
      <c r="AU81" s="418"/>
      <c r="AV81" s="418"/>
    </row>
    <row r="82" spans="1:48" s="439" customFormat="1" ht="5.0999999999999996" hidden="1" customHeight="1" x14ac:dyDescent="0.2">
      <c r="A82" s="418"/>
      <c r="B82" s="450"/>
      <c r="C82" s="450"/>
      <c r="D82" s="450"/>
      <c r="E82" s="45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0"/>
      <c r="AF82" s="450"/>
      <c r="AG82" s="450"/>
      <c r="AH82" s="450"/>
      <c r="AI82" s="450"/>
      <c r="AJ82" s="450"/>
      <c r="AK82" s="450"/>
      <c r="AL82" s="418"/>
      <c r="AM82" s="418"/>
      <c r="AN82" s="418"/>
      <c r="AO82" s="418"/>
      <c r="AP82" s="418"/>
      <c r="AQ82" s="418"/>
      <c r="AR82" s="418"/>
      <c r="AS82" s="418"/>
      <c r="AT82" s="418"/>
      <c r="AU82" s="418"/>
      <c r="AV82" s="418"/>
    </row>
    <row r="83" spans="1:48" s="439" customFormat="1" ht="11.1" hidden="1" customHeight="1" x14ac:dyDescent="0.2">
      <c r="A83" s="418" t="s">
        <v>1716</v>
      </c>
      <c r="B83" s="450"/>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450"/>
      <c r="AD83" s="450"/>
      <c r="AE83" s="450"/>
      <c r="AF83" s="450"/>
      <c r="AG83" s="450"/>
      <c r="AH83" s="450"/>
      <c r="AI83" s="450"/>
      <c r="AJ83" s="450"/>
      <c r="AK83" s="450"/>
      <c r="AL83" s="418"/>
      <c r="AM83" s="418"/>
      <c r="AN83" s="418"/>
      <c r="AO83" s="418"/>
      <c r="AP83" s="418"/>
      <c r="AQ83" s="418"/>
      <c r="AR83" s="418"/>
      <c r="AS83" s="418"/>
      <c r="AT83" s="418"/>
      <c r="AU83" s="418"/>
      <c r="AV83" s="418"/>
    </row>
    <row r="84" spans="1:48" s="439" customFormat="1" ht="5.0999999999999996" hidden="1" customHeight="1" x14ac:dyDescent="0.2">
      <c r="A84" s="418"/>
      <c r="B84" s="450"/>
      <c r="C84" s="450"/>
      <c r="D84" s="450"/>
      <c r="E84" s="450"/>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450"/>
      <c r="AD84" s="450"/>
      <c r="AE84" s="450"/>
      <c r="AF84" s="450"/>
      <c r="AG84" s="450"/>
      <c r="AH84" s="450"/>
      <c r="AI84" s="450"/>
      <c r="AJ84" s="450"/>
      <c r="AK84" s="450"/>
      <c r="AL84" s="418"/>
      <c r="AM84" s="418"/>
      <c r="AN84" s="418"/>
      <c r="AO84" s="418"/>
      <c r="AP84" s="418"/>
      <c r="AQ84" s="418"/>
      <c r="AR84" s="418"/>
      <c r="AS84" s="418"/>
      <c r="AT84" s="418"/>
      <c r="AU84" s="418"/>
      <c r="AV84" s="418"/>
    </row>
    <row r="85" spans="1:48" s="439" customFormat="1" ht="11.1" hidden="1" customHeight="1" x14ac:dyDescent="0.2">
      <c r="A85" s="418" t="s">
        <v>1717</v>
      </c>
      <c r="B85" s="450"/>
      <c r="C85" s="450"/>
      <c r="D85" s="450"/>
      <c r="E85" s="450"/>
      <c r="F85" s="450"/>
      <c r="G85" s="450"/>
      <c r="H85" s="450"/>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18"/>
      <c r="AM85" s="418"/>
      <c r="AN85" s="418"/>
      <c r="AO85" s="418"/>
      <c r="AP85" s="418"/>
      <c r="AQ85" s="418"/>
      <c r="AR85" s="418"/>
      <c r="AS85" s="418"/>
      <c r="AT85" s="418"/>
      <c r="AU85" s="418"/>
      <c r="AV85" s="418"/>
    </row>
    <row r="86" spans="1:48" s="439" customFormat="1" ht="5.0999999999999996" hidden="1" customHeight="1" x14ac:dyDescent="0.2">
      <c r="A86" s="418"/>
      <c r="B86" s="450"/>
      <c r="C86" s="450"/>
      <c r="D86" s="450"/>
      <c r="E86" s="450"/>
      <c r="F86" s="450"/>
      <c r="G86" s="450"/>
      <c r="H86" s="450"/>
      <c r="I86" s="450"/>
      <c r="J86" s="450"/>
      <c r="K86" s="450"/>
      <c r="L86" s="450"/>
      <c r="M86" s="450"/>
      <c r="N86" s="450"/>
      <c r="O86" s="450"/>
      <c r="P86" s="450"/>
      <c r="Q86" s="450"/>
      <c r="R86" s="450"/>
      <c r="S86" s="450"/>
      <c r="T86" s="450"/>
      <c r="U86" s="450"/>
      <c r="V86" s="450"/>
      <c r="W86" s="450"/>
      <c r="X86" s="450"/>
      <c r="Y86" s="450"/>
      <c r="Z86" s="450"/>
      <c r="AA86" s="450"/>
      <c r="AB86" s="450"/>
      <c r="AC86" s="450"/>
      <c r="AD86" s="450"/>
      <c r="AE86" s="450"/>
      <c r="AF86" s="450"/>
      <c r="AG86" s="450"/>
      <c r="AH86" s="450"/>
      <c r="AI86" s="450"/>
      <c r="AJ86" s="450"/>
      <c r="AK86" s="450"/>
      <c r="AL86" s="418"/>
      <c r="AM86" s="418"/>
      <c r="AN86" s="418"/>
      <c r="AO86" s="418"/>
      <c r="AP86" s="418"/>
      <c r="AQ86" s="418"/>
      <c r="AR86" s="418"/>
      <c r="AS86" s="418"/>
      <c r="AT86" s="418"/>
      <c r="AU86" s="418"/>
      <c r="AV86" s="418"/>
    </row>
    <row r="87" spans="1:48" s="439" customFormat="1" ht="11.1" hidden="1" customHeight="1" x14ac:dyDescent="0.2">
      <c r="A87" s="425" t="s">
        <v>1720</v>
      </c>
      <c r="B87" s="450"/>
      <c r="C87" s="273">
        <v>332698</v>
      </c>
      <c r="D87" s="450"/>
      <c r="E87" s="273">
        <f>SUM(E79:E86)</f>
        <v>0</v>
      </c>
      <c r="F87" s="450"/>
      <c r="G87" s="273">
        <f>SUM(G79:G86)</f>
        <v>55987</v>
      </c>
      <c r="H87" s="450"/>
      <c r="I87" s="273">
        <f>SUM(I79:I86)</f>
        <v>2773</v>
      </c>
      <c r="J87" s="450"/>
      <c r="K87" s="273">
        <f>SUM(K79:K86)</f>
        <v>8061</v>
      </c>
      <c r="L87" s="450"/>
      <c r="M87" s="273">
        <f>SUM(M79:M86)</f>
        <v>24014</v>
      </c>
      <c r="N87" s="450"/>
      <c r="O87" s="273">
        <f>SUM(O79:O86)</f>
        <v>24564</v>
      </c>
      <c r="P87" s="450"/>
      <c r="Q87" s="273">
        <f>SUM(Q79:Q86)</f>
        <v>5904</v>
      </c>
      <c r="R87" s="450"/>
      <c r="S87" s="273">
        <f>SUM(S79:S86)</f>
        <v>0</v>
      </c>
      <c r="T87" s="450"/>
      <c r="U87" s="273">
        <f>SUM(U79:U86)</f>
        <v>-27</v>
      </c>
      <c r="V87" s="450"/>
      <c r="W87" s="273">
        <f>SUM(W79:W86)</f>
        <v>121276</v>
      </c>
      <c r="X87" s="450"/>
      <c r="Y87" s="273">
        <v>30024</v>
      </c>
      <c r="Z87" s="450"/>
      <c r="AA87" s="273">
        <v>3433</v>
      </c>
      <c r="AB87" s="450"/>
      <c r="AC87" s="273">
        <v>5122</v>
      </c>
      <c r="AD87" s="450"/>
      <c r="AE87" s="273">
        <v>8948</v>
      </c>
      <c r="AF87" s="450"/>
      <c r="AG87" s="273">
        <v>0</v>
      </c>
      <c r="AH87" s="450"/>
      <c r="AI87" s="273">
        <v>149786</v>
      </c>
      <c r="AJ87" s="450"/>
      <c r="AK87" s="273">
        <v>0</v>
      </c>
      <c r="AL87" s="418"/>
      <c r="AM87" s="418"/>
      <c r="AN87" s="418"/>
      <c r="AO87" s="418"/>
      <c r="AP87" s="418"/>
      <c r="AQ87" s="418"/>
      <c r="AR87" s="418"/>
      <c r="AS87" s="418"/>
      <c r="AT87" s="418"/>
      <c r="AU87" s="418"/>
      <c r="AV87" s="418"/>
    </row>
    <row r="88" spans="1:48" s="451" customFormat="1" ht="5.0999999999999996" hidden="1" customHeight="1" x14ac:dyDescent="0.2">
      <c r="B88" s="450"/>
      <c r="C88" s="452"/>
      <c r="D88" s="450"/>
      <c r="E88" s="366"/>
      <c r="F88" s="450"/>
      <c r="G88" s="366"/>
      <c r="H88" s="450"/>
      <c r="I88" s="366"/>
      <c r="J88" s="450"/>
      <c r="K88" s="366"/>
      <c r="L88" s="450"/>
      <c r="M88" s="366"/>
      <c r="N88" s="450"/>
      <c r="O88" s="366"/>
      <c r="P88" s="450"/>
      <c r="Q88" s="366"/>
      <c r="R88" s="450"/>
      <c r="S88" s="366"/>
      <c r="T88" s="450"/>
      <c r="U88" s="366"/>
      <c r="V88" s="450"/>
      <c r="W88" s="366"/>
      <c r="X88" s="450"/>
      <c r="Y88" s="450"/>
      <c r="Z88" s="450"/>
      <c r="AA88" s="450"/>
      <c r="AB88" s="450"/>
      <c r="AC88" s="450"/>
      <c r="AD88" s="450"/>
      <c r="AE88" s="450"/>
      <c r="AF88" s="450"/>
      <c r="AG88" s="450"/>
      <c r="AH88" s="450"/>
      <c r="AI88" s="450"/>
    </row>
    <row r="89" spans="1:48" s="439" customFormat="1" ht="10.5" customHeight="1" thickBot="1" x14ac:dyDescent="0.25">
      <c r="A89" s="417" t="s">
        <v>1494</v>
      </c>
      <c r="B89" s="518"/>
      <c r="C89" s="453">
        <f>+C77+C79</f>
        <v>0</v>
      </c>
      <c r="D89" s="518"/>
      <c r="E89" s="344">
        <f>+E87+E77</f>
        <v>0</v>
      </c>
      <c r="F89" s="518"/>
      <c r="G89" s="344">
        <f>+G87+G77</f>
        <v>37456</v>
      </c>
      <c r="H89" s="518"/>
      <c r="I89" s="344">
        <f>+I87+I77</f>
        <v>1063</v>
      </c>
      <c r="J89" s="518"/>
      <c r="K89" s="344">
        <f>+K87+K77</f>
        <v>1910</v>
      </c>
      <c r="L89" s="518"/>
      <c r="M89" s="344">
        <f>+M87+M77</f>
        <v>10018</v>
      </c>
      <c r="N89" s="518"/>
      <c r="O89" s="344">
        <f>+O87+O77</f>
        <v>18155</v>
      </c>
      <c r="P89" s="518"/>
      <c r="Q89" s="344">
        <f>+Q87+Q77</f>
        <v>947</v>
      </c>
      <c r="R89" s="518"/>
      <c r="S89" s="344">
        <f>+S87+S77</f>
        <v>91452</v>
      </c>
      <c r="T89" s="518"/>
      <c r="U89" s="344">
        <f>+U87+U77</f>
        <v>-507</v>
      </c>
      <c r="V89" s="518"/>
      <c r="W89" s="344">
        <f>+W87+W77</f>
        <v>160494</v>
      </c>
      <c r="X89" s="418"/>
      <c r="Y89" s="418"/>
      <c r="Z89" s="418"/>
      <c r="AA89" s="418"/>
      <c r="AB89" s="418"/>
      <c r="AC89" s="418"/>
      <c r="AD89" s="418"/>
      <c r="AE89" s="418"/>
      <c r="AF89" s="418"/>
      <c r="AG89" s="418"/>
      <c r="AH89" s="418"/>
      <c r="AI89" s="418"/>
    </row>
    <row r="90" spans="1:48" s="439" customFormat="1" ht="9.9499999999999993" customHeight="1" thickTop="1" x14ac:dyDescent="0.2">
      <c r="A90" s="418"/>
      <c r="B90" s="438"/>
      <c r="C90" s="438"/>
      <c r="D90" s="438"/>
      <c r="E90" s="438"/>
      <c r="F90" s="438"/>
      <c r="G90" s="438"/>
      <c r="H90" s="438"/>
      <c r="I90" s="438"/>
      <c r="J90" s="438"/>
      <c r="K90" s="438"/>
      <c r="L90" s="438"/>
      <c r="M90" s="438"/>
      <c r="N90" s="438"/>
      <c r="O90" s="438"/>
      <c r="P90" s="438"/>
      <c r="Q90" s="438"/>
      <c r="R90" s="438"/>
      <c r="S90" s="438"/>
      <c r="T90" s="438"/>
      <c r="U90" s="438"/>
      <c r="V90" s="438"/>
      <c r="W90" s="438"/>
      <c r="X90" s="418"/>
      <c r="Y90" s="418"/>
      <c r="Z90" s="418"/>
      <c r="AA90" s="418"/>
      <c r="AB90" s="418"/>
      <c r="AC90" s="418"/>
      <c r="AD90" s="418"/>
      <c r="AE90" s="418"/>
      <c r="AF90" s="418"/>
      <c r="AG90" s="418"/>
      <c r="AH90" s="418"/>
      <c r="AI90" s="418"/>
    </row>
    <row r="91" spans="1:48" s="439" customFormat="1" ht="9.9499999999999993" customHeight="1" x14ac:dyDescent="0.2">
      <c r="A91" s="418"/>
      <c r="B91" s="438"/>
      <c r="C91" s="438"/>
      <c r="D91" s="438"/>
      <c r="E91" s="438"/>
      <c r="F91" s="438"/>
      <c r="G91" s="438"/>
      <c r="H91" s="438"/>
      <c r="I91" s="438"/>
      <c r="J91" s="438"/>
      <c r="K91" s="438"/>
      <c r="L91" s="438"/>
      <c r="M91" s="438"/>
      <c r="N91" s="438"/>
      <c r="O91" s="438"/>
      <c r="P91" s="438"/>
      <c r="Q91" s="438"/>
      <c r="R91" s="438"/>
      <c r="S91" s="438"/>
      <c r="T91" s="438"/>
      <c r="U91" s="438"/>
      <c r="V91" s="438"/>
      <c r="W91" s="438"/>
      <c r="X91" s="418"/>
      <c r="Y91" s="418"/>
      <c r="Z91" s="418"/>
      <c r="AA91" s="418"/>
      <c r="AB91" s="418"/>
      <c r="AC91" s="418"/>
      <c r="AD91" s="418"/>
      <c r="AE91" s="418"/>
      <c r="AF91" s="418"/>
      <c r="AG91" s="418"/>
      <c r="AH91" s="418"/>
      <c r="AI91" s="418"/>
    </row>
    <row r="92" spans="1:48" x14ac:dyDescent="0.2">
      <c r="C92" s="518">
        <f>+C89-'CO BS'!C69</f>
        <v>0</v>
      </c>
      <c r="E92" s="518">
        <f>+E89-'CO BS'!E69</f>
        <v>0</v>
      </c>
      <c r="G92" s="518">
        <f>+G89-'CO BS'!G69</f>
        <v>0</v>
      </c>
      <c r="I92" s="518">
        <f>+I89-'CO BS'!I69</f>
        <v>0</v>
      </c>
      <c r="K92" s="518">
        <f>+K89-'CO BS'!K69</f>
        <v>0</v>
      </c>
      <c r="M92" s="518">
        <f>+M89-'CO BS'!M69</f>
        <v>0</v>
      </c>
      <c r="O92" s="518">
        <f>+O89-'CO BS'!O69</f>
        <v>0</v>
      </c>
      <c r="Q92" s="518">
        <f>+Q89-'CO BS'!Q69</f>
        <v>0</v>
      </c>
      <c r="S92" s="518">
        <f>+S89-'CO BS'!S69</f>
        <v>0</v>
      </c>
      <c r="U92" s="518">
        <f>+U89-'CO BS'!U69</f>
        <v>0</v>
      </c>
      <c r="W92" s="518">
        <f>+W89-'CO BS'!W69</f>
        <v>0</v>
      </c>
    </row>
    <row r="93" spans="1:48" s="439" customFormat="1" ht="12" x14ac:dyDescent="0.2">
      <c r="A93" s="418"/>
      <c r="B93" s="438"/>
      <c r="C93" s="438"/>
      <c r="D93" s="438"/>
      <c r="E93" s="438"/>
      <c r="F93" s="438"/>
      <c r="G93" s="438"/>
      <c r="H93" s="438"/>
      <c r="I93" s="438"/>
      <c r="J93" s="438"/>
      <c r="K93" s="438"/>
      <c r="L93" s="438"/>
      <c r="M93" s="438"/>
      <c r="N93" s="438"/>
      <c r="O93" s="438"/>
      <c r="P93" s="438"/>
      <c r="Q93" s="438"/>
      <c r="R93" s="438"/>
      <c r="S93" s="438"/>
      <c r="T93" s="438"/>
      <c r="U93" s="438"/>
      <c r="V93" s="438"/>
      <c r="W93" s="438"/>
      <c r="X93" s="418"/>
      <c r="Y93" s="418"/>
      <c r="Z93" s="418"/>
      <c r="AA93" s="418"/>
      <c r="AB93" s="418"/>
      <c r="AC93" s="418"/>
      <c r="AD93" s="418"/>
      <c r="AE93" s="418"/>
      <c r="AF93" s="418"/>
      <c r="AG93" s="418"/>
      <c r="AH93" s="418"/>
      <c r="AI93" s="418"/>
    </row>
    <row r="94" spans="1:48" s="439" customFormat="1" ht="12" x14ac:dyDescent="0.2">
      <c r="A94" s="418"/>
      <c r="B94" s="438"/>
      <c r="C94" s="438"/>
      <c r="D94" s="438"/>
      <c r="E94" s="438"/>
      <c r="F94" s="438"/>
      <c r="G94" s="438"/>
      <c r="H94" s="438"/>
      <c r="I94" s="438"/>
      <c r="J94" s="438"/>
      <c r="K94" s="438"/>
      <c r="L94" s="438"/>
      <c r="M94" s="438"/>
      <c r="N94" s="438"/>
      <c r="O94" s="438"/>
      <c r="P94" s="438"/>
      <c r="Q94" s="438"/>
      <c r="R94" s="438"/>
      <c r="S94" s="438"/>
      <c r="T94" s="438"/>
      <c r="U94" s="438"/>
      <c r="V94" s="438"/>
      <c r="W94" s="438"/>
      <c r="X94" s="418"/>
      <c r="Y94" s="418"/>
      <c r="Z94" s="418"/>
      <c r="AA94" s="418"/>
      <c r="AB94" s="418"/>
      <c r="AC94" s="418"/>
      <c r="AD94" s="418"/>
      <c r="AE94" s="418"/>
      <c r="AF94" s="418"/>
      <c r="AG94" s="418"/>
      <c r="AH94" s="418"/>
      <c r="AI94" s="418"/>
    </row>
    <row r="95" spans="1:48" s="439" customFormat="1" ht="12" x14ac:dyDescent="0.2">
      <c r="A95" s="418"/>
      <c r="B95" s="438"/>
      <c r="C95" s="438"/>
      <c r="D95" s="438"/>
      <c r="E95" s="438"/>
      <c r="F95" s="438"/>
      <c r="G95" s="438"/>
      <c r="H95" s="438"/>
      <c r="I95" s="438"/>
      <c r="J95" s="438"/>
      <c r="K95" s="438"/>
      <c r="L95" s="438"/>
      <c r="M95" s="438"/>
      <c r="N95" s="438"/>
      <c r="O95" s="438"/>
      <c r="P95" s="438"/>
      <c r="Q95" s="438"/>
      <c r="R95" s="438"/>
      <c r="S95" s="438"/>
      <c r="T95" s="438"/>
      <c r="U95" s="438"/>
      <c r="V95" s="438"/>
      <c r="W95" s="438"/>
      <c r="X95" s="418"/>
      <c r="Y95" s="418"/>
      <c r="Z95" s="418"/>
      <c r="AA95" s="418"/>
      <c r="AB95" s="418"/>
      <c r="AC95" s="418"/>
      <c r="AD95" s="418"/>
      <c r="AE95" s="418"/>
      <c r="AF95" s="418"/>
      <c r="AG95" s="418"/>
      <c r="AH95" s="418"/>
      <c r="AI95" s="418"/>
    </row>
    <row r="96" spans="1:48" s="439" customFormat="1" ht="12" x14ac:dyDescent="0.2">
      <c r="A96" s="418"/>
      <c r="B96" s="438"/>
      <c r="C96" s="438"/>
      <c r="D96" s="438"/>
      <c r="E96" s="438"/>
      <c r="F96" s="438"/>
      <c r="G96" s="438"/>
      <c r="H96" s="438"/>
      <c r="I96" s="438"/>
      <c r="J96" s="438"/>
      <c r="K96" s="438"/>
      <c r="L96" s="438"/>
      <c r="M96" s="438"/>
      <c r="N96" s="438"/>
      <c r="O96" s="438"/>
      <c r="P96" s="438"/>
      <c r="Q96" s="438"/>
      <c r="R96" s="438"/>
      <c r="S96" s="438"/>
      <c r="T96" s="438"/>
      <c r="U96" s="438"/>
      <c r="V96" s="438"/>
      <c r="W96" s="438"/>
      <c r="X96" s="418"/>
      <c r="Y96" s="418"/>
      <c r="Z96" s="418"/>
      <c r="AA96" s="418"/>
      <c r="AB96" s="418"/>
      <c r="AC96" s="418"/>
      <c r="AD96" s="418"/>
      <c r="AE96" s="418"/>
      <c r="AF96" s="418"/>
      <c r="AG96" s="418"/>
      <c r="AH96" s="418"/>
      <c r="AI96" s="418"/>
    </row>
    <row r="97" spans="1:35" s="439" customFormat="1" ht="12" x14ac:dyDescent="0.2">
      <c r="A97" s="418"/>
      <c r="B97" s="438"/>
      <c r="C97" s="438"/>
      <c r="D97" s="438"/>
      <c r="E97" s="438"/>
      <c r="F97" s="438"/>
      <c r="G97" s="438"/>
      <c r="H97" s="438"/>
      <c r="I97" s="438"/>
      <c r="J97" s="438"/>
      <c r="K97" s="438"/>
      <c r="L97" s="438"/>
      <c r="M97" s="438"/>
      <c r="N97" s="438"/>
      <c r="O97" s="438"/>
      <c r="P97" s="438"/>
      <c r="Q97" s="438"/>
      <c r="R97" s="438"/>
      <c r="S97" s="438"/>
      <c r="T97" s="438"/>
      <c r="U97" s="438"/>
      <c r="V97" s="438"/>
      <c r="W97" s="438"/>
      <c r="X97" s="418"/>
      <c r="Y97" s="418"/>
      <c r="Z97" s="418"/>
      <c r="AA97" s="418"/>
      <c r="AB97" s="418"/>
      <c r="AC97" s="418"/>
      <c r="AD97" s="418"/>
      <c r="AE97" s="418"/>
      <c r="AF97" s="418"/>
      <c r="AG97" s="418"/>
      <c r="AH97" s="418"/>
      <c r="AI97" s="418"/>
    </row>
    <row r="98" spans="1:35" s="439" customFormat="1" ht="12" x14ac:dyDescent="0.2">
      <c r="A98" s="418"/>
      <c r="B98" s="438"/>
      <c r="C98" s="438"/>
      <c r="D98" s="438"/>
      <c r="E98" s="438"/>
      <c r="F98" s="438"/>
      <c r="G98" s="438"/>
      <c r="H98" s="438"/>
      <c r="I98" s="438"/>
      <c r="J98" s="438"/>
      <c r="K98" s="438"/>
      <c r="L98" s="438"/>
      <c r="M98" s="438"/>
      <c r="N98" s="438"/>
      <c r="O98" s="438"/>
      <c r="P98" s="438"/>
      <c r="Q98" s="438"/>
      <c r="R98" s="438"/>
      <c r="S98" s="438"/>
      <c r="T98" s="438"/>
      <c r="U98" s="438"/>
      <c r="V98" s="438"/>
      <c r="W98" s="438"/>
      <c r="X98" s="418"/>
      <c r="Y98" s="418"/>
      <c r="Z98" s="418"/>
      <c r="AA98" s="418"/>
      <c r="AB98" s="418"/>
      <c r="AC98" s="418"/>
      <c r="AD98" s="418"/>
      <c r="AE98" s="418"/>
      <c r="AF98" s="418"/>
      <c r="AG98" s="418"/>
      <c r="AH98" s="418"/>
      <c r="AI98" s="418"/>
    </row>
    <row r="99" spans="1:35" s="439" customFormat="1" ht="12" x14ac:dyDescent="0.2">
      <c r="A99" s="418"/>
      <c r="B99" s="438"/>
      <c r="C99" s="438"/>
      <c r="D99" s="438"/>
      <c r="E99" s="438"/>
      <c r="F99" s="438"/>
      <c r="G99" s="438"/>
      <c r="H99" s="438"/>
      <c r="I99" s="438"/>
      <c r="J99" s="438"/>
      <c r="K99" s="438"/>
      <c r="L99" s="438"/>
      <c r="M99" s="438"/>
      <c r="N99" s="438"/>
      <c r="O99" s="438"/>
      <c r="P99" s="438"/>
      <c r="Q99" s="438"/>
      <c r="R99" s="438"/>
      <c r="S99" s="438"/>
      <c r="T99" s="438"/>
      <c r="U99" s="438"/>
      <c r="V99" s="438"/>
      <c r="W99" s="438"/>
      <c r="X99" s="418"/>
      <c r="Y99" s="418"/>
      <c r="Z99" s="418"/>
      <c r="AA99" s="418"/>
      <c r="AB99" s="418"/>
      <c r="AC99" s="418"/>
      <c r="AD99" s="418"/>
      <c r="AE99" s="418"/>
      <c r="AF99" s="418"/>
      <c r="AG99" s="418"/>
      <c r="AH99" s="418"/>
      <c r="AI99" s="418"/>
    </row>
    <row r="100" spans="1:35" s="439" customFormat="1" ht="12" x14ac:dyDescent="0.2">
      <c r="A100" s="418"/>
      <c r="B100" s="438"/>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18"/>
      <c r="Y100" s="418"/>
      <c r="Z100" s="418"/>
      <c r="AA100" s="418"/>
      <c r="AB100" s="418"/>
      <c r="AC100" s="418"/>
      <c r="AD100" s="418"/>
      <c r="AE100" s="418"/>
      <c r="AF100" s="418"/>
      <c r="AG100" s="418"/>
      <c r="AH100" s="418"/>
      <c r="AI100" s="418"/>
    </row>
    <row r="101" spans="1:35" s="439" customFormat="1" ht="12" x14ac:dyDescent="0.2">
      <c r="A101" s="418"/>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18"/>
      <c r="Y101" s="418"/>
      <c r="Z101" s="418"/>
      <c r="AA101" s="418"/>
      <c r="AB101" s="418"/>
      <c r="AC101" s="418"/>
      <c r="AD101" s="418"/>
      <c r="AE101" s="418"/>
      <c r="AF101" s="418"/>
      <c r="AG101" s="418"/>
      <c r="AH101" s="418"/>
      <c r="AI101" s="418"/>
    </row>
    <row r="102" spans="1:35" s="439" customFormat="1" ht="12" x14ac:dyDescent="0.2">
      <c r="A102" s="41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18"/>
      <c r="Y102" s="418"/>
      <c r="Z102" s="418"/>
      <c r="AA102" s="418"/>
      <c r="AB102" s="418"/>
      <c r="AC102" s="418"/>
      <c r="AD102" s="418"/>
      <c r="AE102" s="418"/>
      <c r="AF102" s="418"/>
      <c r="AG102" s="418"/>
      <c r="AH102" s="418"/>
      <c r="AI102" s="418"/>
    </row>
    <row r="103" spans="1:35" s="439" customFormat="1" ht="12" x14ac:dyDescent="0.2">
      <c r="A103" s="418"/>
      <c r="B103" s="438"/>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18"/>
      <c r="Y103" s="418"/>
      <c r="Z103" s="418"/>
      <c r="AA103" s="418"/>
      <c r="AB103" s="418"/>
      <c r="AC103" s="418"/>
      <c r="AD103" s="418"/>
      <c r="AE103" s="418"/>
      <c r="AF103" s="418"/>
      <c r="AG103" s="418"/>
      <c r="AH103" s="418"/>
      <c r="AI103" s="418"/>
    </row>
    <row r="104" spans="1:35" s="439" customFormat="1" ht="12" x14ac:dyDescent="0.2">
      <c r="A104" s="418"/>
      <c r="B104" s="438"/>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18"/>
      <c r="Y104" s="418"/>
      <c r="Z104" s="418"/>
      <c r="AA104" s="418"/>
      <c r="AB104" s="418"/>
      <c r="AC104" s="418"/>
      <c r="AD104" s="418"/>
      <c r="AE104" s="418"/>
      <c r="AF104" s="418"/>
      <c r="AG104" s="418"/>
      <c r="AH104" s="418"/>
      <c r="AI104" s="418"/>
    </row>
    <row r="105" spans="1:35" s="439" customFormat="1" ht="12" x14ac:dyDescent="0.2">
      <c r="A105" s="418"/>
      <c r="B105" s="438"/>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18"/>
      <c r="Y105" s="418"/>
      <c r="Z105" s="418"/>
      <c r="AA105" s="418"/>
      <c r="AB105" s="418"/>
      <c r="AC105" s="418"/>
      <c r="AD105" s="418"/>
      <c r="AE105" s="418"/>
      <c r="AF105" s="418"/>
      <c r="AG105" s="418"/>
      <c r="AH105" s="418"/>
      <c r="AI105" s="418"/>
    </row>
    <row r="143" s="202" customFormat="1" x14ac:dyDescent="0.2"/>
  </sheetData>
  <mergeCells count="2">
    <mergeCell ref="A1:W1"/>
    <mergeCell ref="A4:B4"/>
  </mergeCells>
  <phoneticPr fontId="9" type="noConversion"/>
  <printOptions horizontalCentered="1"/>
  <pageMargins left="0.5" right="0.5" top="0.5" bottom="0.625" header="0.5" footer="0.5"/>
  <pageSetup scale="8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tabColor theme="6" tint="0.39997558519241921"/>
    <pageSetUpPr fitToPage="1"/>
  </sheetPr>
  <dimension ref="A1:X122"/>
  <sheetViews>
    <sheetView view="pageBreakPreview" zoomScaleNormal="100" workbookViewId="0">
      <pane xSplit="1" ySplit="11" topLeftCell="F12" activePane="bottomRight" state="frozen"/>
      <selection activeCell="Z13" activeCellId="3" sqref="Z18 Z17 Z15 Z13"/>
      <selection pane="topRight" activeCell="Z13" activeCellId="3" sqref="Z18 Z17 Z15 Z13"/>
      <selection pane="bottomLeft" activeCell="Z13" activeCellId="3" sqref="Z18 Z17 Z15 Z13"/>
      <selection pane="bottomRight" activeCell="Z13" activeCellId="3" sqref="Z18 Z17 Z15 Z13"/>
    </sheetView>
  </sheetViews>
  <sheetFormatPr defaultColWidth="9.140625" defaultRowHeight="12.75" x14ac:dyDescent="0.2"/>
  <cols>
    <col min="1" max="1" width="36.140625" style="434" customWidth="1"/>
    <col min="2" max="2" width="1.5703125" style="437" hidden="1" customWidth="1"/>
    <col min="3" max="3" width="12.85546875" style="437" hidden="1" customWidth="1"/>
    <col min="4" max="4" width="1.5703125" style="437" hidden="1" customWidth="1"/>
    <col min="5" max="5" width="12.85546875" style="437" hidden="1" customWidth="1"/>
    <col min="6" max="6" width="1.5703125" style="437" customWidth="1"/>
    <col min="7" max="7" width="12.85546875" style="437" customWidth="1"/>
    <col min="8" max="8" width="1.5703125" style="437" customWidth="1"/>
    <col min="9" max="9" width="12.85546875" style="437" customWidth="1"/>
    <col min="10" max="10" width="1.5703125" style="437" hidden="1" customWidth="1"/>
    <col min="11" max="11" width="12.85546875" style="437" hidden="1" customWidth="1"/>
    <col min="12" max="12" width="1.5703125" style="437" customWidth="1"/>
    <col min="13" max="13" width="12.85546875" style="437" customWidth="1"/>
    <col min="14" max="14" width="1.5703125" style="437" customWidth="1"/>
    <col min="15" max="15" width="12.85546875" style="437" customWidth="1"/>
    <col min="16" max="16" width="1.5703125" style="437" customWidth="1"/>
    <col min="17" max="16384" width="9.140625" style="202"/>
  </cols>
  <sheetData>
    <row r="1" spans="1:16" s="544" customFormat="1" ht="16.5" customHeight="1" thickBot="1" x14ac:dyDescent="0.25">
      <c r="A1" s="1582" t="s">
        <v>1033</v>
      </c>
      <c r="B1" s="1582"/>
      <c r="C1" s="1582"/>
      <c r="D1" s="1582"/>
      <c r="E1" s="1582"/>
      <c r="F1" s="1582"/>
      <c r="G1" s="1582"/>
      <c r="H1" s="1582"/>
      <c r="I1" s="1582"/>
      <c r="J1" s="1582"/>
      <c r="K1" s="1582"/>
      <c r="L1" s="1582"/>
      <c r="M1" s="1582"/>
      <c r="N1" s="1582"/>
      <c r="O1" s="1582"/>
    </row>
    <row r="2" spans="1:16" s="250" customFormat="1" ht="15" customHeight="1" x14ac:dyDescent="0.2">
      <c r="A2" s="700" t="s">
        <v>461</v>
      </c>
    </row>
    <row r="3" spans="1:16" s="250" customFormat="1" ht="15" customHeight="1" x14ac:dyDescent="0.2">
      <c r="A3" s="700" t="s">
        <v>268</v>
      </c>
    </row>
    <row r="4" spans="1:16" s="212" customFormat="1" ht="12.95" customHeight="1" x14ac:dyDescent="0.2">
      <c r="A4" s="506" t="s">
        <v>1724</v>
      </c>
    </row>
    <row r="5" spans="1:16" s="212" customFormat="1" ht="12" customHeight="1" x14ac:dyDescent="0.2">
      <c r="A5" s="253" t="s">
        <v>972</v>
      </c>
    </row>
    <row r="6" spans="1:16" s="212" customFormat="1" ht="12" customHeight="1" x14ac:dyDescent="0.2">
      <c r="A6" s="253"/>
    </row>
    <row r="7" spans="1:16" ht="12.6" customHeight="1" x14ac:dyDescent="0.2">
      <c r="B7" s="212"/>
      <c r="C7" s="212"/>
      <c r="D7" s="212"/>
      <c r="E7" s="212"/>
      <c r="F7" s="212"/>
      <c r="G7" s="212"/>
      <c r="H7" s="212"/>
      <c r="I7" s="212"/>
      <c r="J7" s="212"/>
      <c r="K7" s="212"/>
      <c r="L7" s="212"/>
      <c r="N7" s="212"/>
      <c r="O7" s="443"/>
    </row>
    <row r="8" spans="1:16" s="198" customFormat="1" ht="12.6" customHeight="1" x14ac:dyDescent="0.2">
      <c r="A8" s="445"/>
      <c r="B8" s="443"/>
      <c r="C8" s="445" t="s">
        <v>363</v>
      </c>
      <c r="D8" s="443"/>
      <c r="E8" s="445"/>
      <c r="F8" s="443"/>
      <c r="G8" s="443"/>
      <c r="H8" s="443"/>
      <c r="I8" s="443" t="s">
        <v>246</v>
      </c>
      <c r="J8" s="443"/>
      <c r="K8" s="445" t="s">
        <v>224</v>
      </c>
      <c r="L8" s="443"/>
      <c r="M8" s="445"/>
      <c r="N8" s="443"/>
      <c r="O8" s="443" t="s">
        <v>671</v>
      </c>
      <c r="P8" s="443"/>
    </row>
    <row r="9" spans="1:16" s="198" customFormat="1" ht="12.6" customHeight="1" x14ac:dyDescent="0.2">
      <c r="A9" s="445"/>
      <c r="B9" s="445"/>
      <c r="C9" s="443" t="s">
        <v>364</v>
      </c>
      <c r="D9" s="445"/>
      <c r="E9" s="443"/>
      <c r="F9" s="445"/>
      <c r="G9" s="445"/>
      <c r="H9" s="445"/>
      <c r="I9" s="443" t="s">
        <v>845</v>
      </c>
      <c r="J9" s="445"/>
      <c r="K9" s="443" t="s">
        <v>439</v>
      </c>
      <c r="L9" s="445"/>
      <c r="M9" s="443" t="s">
        <v>1186</v>
      </c>
      <c r="N9" s="445"/>
      <c r="O9" s="443" t="s">
        <v>256</v>
      </c>
      <c r="P9" s="443"/>
    </row>
    <row r="10" spans="1:16" s="198" customFormat="1" ht="12.6" customHeight="1" x14ac:dyDescent="0.2">
      <c r="A10" s="445"/>
      <c r="B10" s="443"/>
      <c r="C10" s="443" t="s">
        <v>365</v>
      </c>
      <c r="D10" s="443"/>
      <c r="E10" s="443" t="s">
        <v>646</v>
      </c>
      <c r="F10" s="443"/>
      <c r="G10" s="443" t="s">
        <v>231</v>
      </c>
      <c r="H10" s="443"/>
      <c r="I10" s="443" t="s">
        <v>411</v>
      </c>
      <c r="J10" s="443"/>
      <c r="K10" s="443" t="s">
        <v>223</v>
      </c>
      <c r="L10" s="443"/>
      <c r="M10" s="443" t="s">
        <v>867</v>
      </c>
      <c r="N10" s="443"/>
      <c r="O10" s="443" t="s">
        <v>861</v>
      </c>
      <c r="P10" s="443"/>
    </row>
    <row r="11" spans="1:16" s="198" customFormat="1" ht="12.6" customHeight="1" x14ac:dyDescent="0.2">
      <c r="A11" s="445"/>
      <c r="B11" s="443"/>
      <c r="C11" s="446" t="s">
        <v>366</v>
      </c>
      <c r="D11" s="443"/>
      <c r="E11" s="446" t="s">
        <v>721</v>
      </c>
      <c r="F11" s="443"/>
      <c r="G11" s="446" t="s">
        <v>862</v>
      </c>
      <c r="H11" s="443"/>
      <c r="I11" s="446" t="s">
        <v>59</v>
      </c>
      <c r="J11" s="443"/>
      <c r="K11" s="446" t="s">
        <v>225</v>
      </c>
      <c r="L11" s="443"/>
      <c r="M11" s="446" t="s">
        <v>1001</v>
      </c>
      <c r="N11" s="443"/>
      <c r="O11" s="446" t="s">
        <v>862</v>
      </c>
      <c r="P11" s="443"/>
    </row>
    <row r="12" spans="1:16" s="439" customFormat="1" ht="9.9499999999999993" customHeight="1" x14ac:dyDescent="0.2">
      <c r="A12" s="417" t="s">
        <v>672</v>
      </c>
      <c r="B12" s="438"/>
      <c r="C12" s="438"/>
      <c r="D12" s="438"/>
      <c r="E12" s="438"/>
      <c r="F12" s="438"/>
      <c r="G12" s="438"/>
      <c r="H12" s="438"/>
      <c r="I12" s="438"/>
      <c r="J12" s="438"/>
      <c r="K12" s="438"/>
      <c r="L12" s="438"/>
      <c r="M12" s="438"/>
      <c r="N12" s="438"/>
      <c r="O12" s="438"/>
      <c r="P12" s="438"/>
    </row>
    <row r="13" spans="1:16" s="449" customFormat="1" ht="9.9499999999999993" customHeight="1" x14ac:dyDescent="0.2">
      <c r="A13" s="425" t="s">
        <v>673</v>
      </c>
      <c r="B13" s="339"/>
      <c r="C13" s="339">
        <f>+BSGFws!AS3</f>
        <v>0</v>
      </c>
      <c r="D13" s="339"/>
      <c r="E13" s="339">
        <f>+BSGFws!AY3</f>
        <v>0</v>
      </c>
      <c r="F13" s="339"/>
      <c r="G13" s="339">
        <f>+BSGFws!AT3</f>
        <v>0</v>
      </c>
      <c r="H13" s="339"/>
      <c r="I13" s="339">
        <f>+BSGFws!AU3</f>
        <v>0</v>
      </c>
      <c r="J13" s="339"/>
      <c r="K13" s="339">
        <f>+BSGFws!AV3</f>
        <v>0</v>
      </c>
      <c r="L13" s="339">
        <v>0</v>
      </c>
      <c r="M13" s="339">
        <f>+BSGFws!AW3</f>
        <v>74</v>
      </c>
      <c r="N13" s="339"/>
      <c r="O13" s="339">
        <f t="shared" ref="O13:O31" si="0">SUM(B13:M13)</f>
        <v>74</v>
      </c>
      <c r="P13" s="448"/>
    </row>
    <row r="14" spans="1:16" s="451" customFormat="1" ht="9.9499999999999993" customHeight="1" x14ac:dyDescent="0.2">
      <c r="A14" s="425" t="s">
        <v>674</v>
      </c>
      <c r="B14" s="450"/>
      <c r="C14" s="450">
        <f>+BSGFws!AS4</f>
        <v>0</v>
      </c>
      <c r="D14" s="450"/>
      <c r="E14" s="450">
        <f>+BSGFws!AY4</f>
        <v>0</v>
      </c>
      <c r="F14" s="450"/>
      <c r="G14" s="450">
        <f>+BSGFws!AT4</f>
        <v>0</v>
      </c>
      <c r="H14" s="450"/>
      <c r="I14" s="450">
        <f>+BSGFws!AU4</f>
        <v>0</v>
      </c>
      <c r="J14" s="450"/>
      <c r="K14" s="450">
        <f>+BSGFws!AV4</f>
        <v>0</v>
      </c>
      <c r="L14" s="450"/>
      <c r="M14" s="450">
        <f>+BSGFws!AW4</f>
        <v>251</v>
      </c>
      <c r="N14" s="450"/>
      <c r="O14" s="450">
        <f t="shared" si="0"/>
        <v>251</v>
      </c>
      <c r="P14" s="450"/>
    </row>
    <row r="15" spans="1:16" s="451" customFormat="1" ht="9.9499999999999993" customHeight="1" x14ac:dyDescent="0.2">
      <c r="A15" s="425" t="s">
        <v>252</v>
      </c>
      <c r="B15" s="450"/>
      <c r="C15" s="450">
        <f>+BSGFws!AS5</f>
        <v>0</v>
      </c>
      <c r="D15" s="450"/>
      <c r="E15" s="450">
        <f>+BSGFws!AY5</f>
        <v>0</v>
      </c>
      <c r="F15" s="450"/>
      <c r="G15" s="450">
        <f>+BSGFws!AT5</f>
        <v>0</v>
      </c>
      <c r="H15" s="450"/>
      <c r="I15" s="450">
        <f>+BSGFws!AU5</f>
        <v>0</v>
      </c>
      <c r="J15" s="450"/>
      <c r="K15" s="450">
        <f>+BSGFws!AV5</f>
        <v>0</v>
      </c>
      <c r="L15" s="450"/>
      <c r="M15" s="450">
        <f>+BSGFws!AW5</f>
        <v>2</v>
      </c>
      <c r="N15" s="450"/>
      <c r="O15" s="450">
        <f t="shared" si="0"/>
        <v>2</v>
      </c>
      <c r="P15" s="450"/>
    </row>
    <row r="16" spans="1:16" s="451" customFormat="1" ht="9.9499999999999993" hidden="1" customHeight="1" x14ac:dyDescent="0.2">
      <c r="A16" s="425" t="s">
        <v>763</v>
      </c>
      <c r="B16" s="450"/>
      <c r="C16" s="450">
        <f>+BSGFws!AS6</f>
        <v>0</v>
      </c>
      <c r="D16" s="450"/>
      <c r="E16" s="450">
        <f>+BSGFws!AY6</f>
        <v>0</v>
      </c>
      <c r="F16" s="450"/>
      <c r="G16" s="450">
        <f>+BSGFws!AT6</f>
        <v>0</v>
      </c>
      <c r="H16" s="450"/>
      <c r="I16" s="450">
        <f>+BSGFws!AU6</f>
        <v>0</v>
      </c>
      <c r="J16" s="450"/>
      <c r="K16" s="450">
        <f>+BSGFws!AV6</f>
        <v>0</v>
      </c>
      <c r="L16" s="450"/>
      <c r="M16" s="450">
        <f>+BSGFws!AW6</f>
        <v>0</v>
      </c>
      <c r="N16" s="450"/>
      <c r="O16" s="450">
        <f t="shared" si="0"/>
        <v>0</v>
      </c>
      <c r="P16" s="450"/>
    </row>
    <row r="17" spans="1:16" s="451" customFormat="1" ht="9.9499999999999993" hidden="1" customHeight="1" x14ac:dyDescent="0.2">
      <c r="A17" s="425" t="s">
        <v>683</v>
      </c>
      <c r="B17" s="450"/>
      <c r="C17" s="450">
        <f>+BSGFws!AS7</f>
        <v>0</v>
      </c>
      <c r="D17" s="450"/>
      <c r="E17" s="450">
        <f>+BSGFws!AY7</f>
        <v>0</v>
      </c>
      <c r="F17" s="450"/>
      <c r="G17" s="450">
        <f>+BSGFws!AT7</f>
        <v>0</v>
      </c>
      <c r="H17" s="450"/>
      <c r="I17" s="450">
        <f>+BSGFws!AU7</f>
        <v>0</v>
      </c>
      <c r="J17" s="450"/>
      <c r="K17" s="450">
        <f>+BSGFws!AV7</f>
        <v>0</v>
      </c>
      <c r="L17" s="450"/>
      <c r="M17" s="450">
        <f>+BSGFws!AW7</f>
        <v>0</v>
      </c>
      <c r="N17" s="450"/>
      <c r="O17" s="450">
        <f t="shared" si="0"/>
        <v>0</v>
      </c>
      <c r="P17" s="450"/>
    </row>
    <row r="18" spans="1:16" s="451" customFormat="1" ht="9.9499999999999993" hidden="1" customHeight="1" x14ac:dyDescent="0.2">
      <c r="A18" s="425" t="s">
        <v>840</v>
      </c>
      <c r="B18" s="450"/>
      <c r="C18" s="450">
        <f>+BSGFws!AS8</f>
        <v>0</v>
      </c>
      <c r="D18" s="450"/>
      <c r="E18" s="450">
        <f>+BSGFws!AY8</f>
        <v>0</v>
      </c>
      <c r="F18" s="450"/>
      <c r="G18" s="450">
        <f>+BSGFws!AT8</f>
        <v>0</v>
      </c>
      <c r="H18" s="450"/>
      <c r="I18" s="450">
        <f>+BSGFws!AU8</f>
        <v>0</v>
      </c>
      <c r="J18" s="450"/>
      <c r="K18" s="450">
        <f>+BSGFws!AV8</f>
        <v>0</v>
      </c>
      <c r="L18" s="450"/>
      <c r="M18" s="450">
        <f>+BSGFws!AW8</f>
        <v>0</v>
      </c>
      <c r="N18" s="450"/>
      <c r="O18" s="450">
        <f t="shared" si="0"/>
        <v>0</v>
      </c>
      <c r="P18" s="450"/>
    </row>
    <row r="19" spans="1:16" s="451" customFormat="1" ht="9.9499999999999993" hidden="1" customHeight="1" x14ac:dyDescent="0.2">
      <c r="A19" s="425" t="s">
        <v>1575</v>
      </c>
      <c r="B19" s="450"/>
      <c r="C19" s="450">
        <f>+BSGFws!AS9</f>
        <v>0</v>
      </c>
      <c r="D19" s="450"/>
      <c r="E19" s="450">
        <f>+BSGFws!AY9</f>
        <v>0</v>
      </c>
      <c r="F19" s="450"/>
      <c r="G19" s="450">
        <f>+BSGFws!AT9</f>
        <v>0</v>
      </c>
      <c r="H19" s="450"/>
      <c r="I19" s="450">
        <f>+BSGFws!AU9</f>
        <v>0</v>
      </c>
      <c r="J19" s="450"/>
      <c r="K19" s="450">
        <f>+BSGFws!AV9</f>
        <v>0</v>
      </c>
      <c r="L19" s="450"/>
      <c r="M19" s="450">
        <f>+BSGFws!AW9</f>
        <v>0</v>
      </c>
      <c r="N19" s="450"/>
      <c r="O19" s="450">
        <f t="shared" si="0"/>
        <v>0</v>
      </c>
      <c r="P19" s="450"/>
    </row>
    <row r="20" spans="1:16" s="451" customFormat="1" ht="9.9499999999999993" hidden="1" customHeight="1" x14ac:dyDescent="0.2">
      <c r="A20" s="425" t="s">
        <v>63</v>
      </c>
      <c r="B20" s="450"/>
      <c r="C20" s="450">
        <f>+BSGFws!AS10</f>
        <v>0</v>
      </c>
      <c r="D20" s="450"/>
      <c r="E20" s="450">
        <f>+BSGFws!AY10</f>
        <v>0</v>
      </c>
      <c r="F20" s="450"/>
      <c r="G20" s="450">
        <f>+BSGFws!AT10</f>
        <v>0</v>
      </c>
      <c r="H20" s="450"/>
      <c r="I20" s="450">
        <f>+BSGFws!AU10</f>
        <v>0</v>
      </c>
      <c r="J20" s="450"/>
      <c r="K20" s="450">
        <f>+BSGFws!AV10</f>
        <v>0</v>
      </c>
      <c r="L20" s="450"/>
      <c r="M20" s="450">
        <f>+BSGFws!AW10</f>
        <v>0</v>
      </c>
      <c r="N20" s="450"/>
      <c r="O20" s="450">
        <f t="shared" si="0"/>
        <v>0</v>
      </c>
      <c r="P20" s="450"/>
    </row>
    <row r="21" spans="1:16" s="451" customFormat="1" ht="9.9499999999999993" hidden="1" customHeight="1" x14ac:dyDescent="0.2">
      <c r="A21" s="425" t="s">
        <v>592</v>
      </c>
      <c r="B21" s="450"/>
      <c r="C21" s="450">
        <f>+BSGFws!AS11</f>
        <v>0</v>
      </c>
      <c r="D21" s="450"/>
      <c r="E21" s="450">
        <f>+BSGFws!AY11</f>
        <v>0</v>
      </c>
      <c r="F21" s="450"/>
      <c r="G21" s="450">
        <f>+BSGFws!AT11</f>
        <v>0</v>
      </c>
      <c r="H21" s="450"/>
      <c r="I21" s="450">
        <f>+BSGFws!AU11</f>
        <v>0</v>
      </c>
      <c r="J21" s="450"/>
      <c r="K21" s="450">
        <f>+BSGFws!AV11</f>
        <v>0</v>
      </c>
      <c r="L21" s="450"/>
      <c r="M21" s="450">
        <f>+BSGFws!AW11</f>
        <v>0</v>
      </c>
      <c r="N21" s="450"/>
      <c r="O21" s="450">
        <f t="shared" si="0"/>
        <v>0</v>
      </c>
      <c r="P21" s="450"/>
    </row>
    <row r="22" spans="1:16" s="451" customFormat="1" ht="9.9499999999999993" customHeight="1" x14ac:dyDescent="0.2">
      <c r="A22" s="425" t="s">
        <v>685</v>
      </c>
      <c r="B22" s="450"/>
      <c r="C22" s="450">
        <f>+BSGFws!AS12</f>
        <v>0</v>
      </c>
      <c r="D22" s="450"/>
      <c r="E22" s="450">
        <f>+BSGFws!AY12</f>
        <v>0</v>
      </c>
      <c r="F22" s="450"/>
      <c r="G22" s="450">
        <f>+BSGFws!AT12</f>
        <v>0</v>
      </c>
      <c r="H22" s="450"/>
      <c r="I22" s="450">
        <f>+BSGFws!AU12</f>
        <v>0</v>
      </c>
      <c r="J22" s="450"/>
      <c r="K22" s="450">
        <f>+BSGFws!AV12</f>
        <v>0</v>
      </c>
      <c r="L22" s="450"/>
      <c r="M22" s="450">
        <f>+BSGFws!AW12</f>
        <v>0</v>
      </c>
      <c r="N22" s="450"/>
      <c r="O22" s="450">
        <f t="shared" si="0"/>
        <v>0</v>
      </c>
      <c r="P22" s="450"/>
    </row>
    <row r="23" spans="1:16" s="451" customFormat="1" ht="9.9499999999999993" customHeight="1" x14ac:dyDescent="0.2">
      <c r="A23" s="426" t="s">
        <v>673</v>
      </c>
      <c r="B23" s="533"/>
      <c r="C23" s="450">
        <f>+BSGFws!AS13</f>
        <v>0</v>
      </c>
      <c r="D23" s="533"/>
      <c r="E23" s="450">
        <f>+BSGFws!AX13</f>
        <v>0</v>
      </c>
      <c r="F23" s="533"/>
      <c r="G23" s="533">
        <f>+BSGFws!AT13</f>
        <v>21995</v>
      </c>
      <c r="H23" s="533"/>
      <c r="I23" s="533">
        <f>+BSGFws!AU13</f>
        <v>25</v>
      </c>
      <c r="J23" s="533"/>
      <c r="K23" s="450">
        <f>+BSGFws!AV13</f>
        <v>0</v>
      </c>
      <c r="L23" s="533"/>
      <c r="M23" s="538">
        <f>+BSGFws!AW13</f>
        <v>10963</v>
      </c>
      <c r="N23" s="533"/>
      <c r="O23" s="533">
        <f t="shared" si="0"/>
        <v>32983</v>
      </c>
      <c r="P23" s="450"/>
    </row>
    <row r="24" spans="1:16" s="451" customFormat="1" ht="9.9499999999999993" customHeight="1" x14ac:dyDescent="0.2">
      <c r="A24" s="426" t="s">
        <v>674</v>
      </c>
      <c r="B24" s="450"/>
      <c r="C24" s="450">
        <f>+BSGFws!AS14</f>
        <v>0</v>
      </c>
      <c r="D24" s="450"/>
      <c r="E24" s="450">
        <f>+BSGFws!AX14</f>
        <v>0</v>
      </c>
      <c r="F24" s="450"/>
      <c r="G24" s="450">
        <f>+BSGFws!AT14</f>
        <v>0</v>
      </c>
      <c r="H24" s="450"/>
      <c r="I24" s="450">
        <f>+BSGFws!AU14</f>
        <v>84</v>
      </c>
      <c r="J24" s="450"/>
      <c r="K24" s="450">
        <f>+BSGFws!AV14</f>
        <v>0</v>
      </c>
      <c r="L24" s="450"/>
      <c r="M24" s="450">
        <f>+BSGFws!AW14</f>
        <v>45600</v>
      </c>
      <c r="N24" s="450"/>
      <c r="O24" s="450">
        <f t="shared" si="0"/>
        <v>45684</v>
      </c>
      <c r="P24" s="450"/>
    </row>
    <row r="25" spans="1:16" s="451" customFormat="1" ht="9.9499999999999993" customHeight="1" x14ac:dyDescent="0.2">
      <c r="A25" s="426" t="s">
        <v>252</v>
      </c>
      <c r="B25" s="450"/>
      <c r="C25" s="450">
        <f>+BSGFws!AS15</f>
        <v>0</v>
      </c>
      <c r="D25" s="450"/>
      <c r="E25" s="450">
        <f>+BSGFws!AX15</f>
        <v>0</v>
      </c>
      <c r="F25" s="450"/>
      <c r="G25" s="450">
        <f>+BSGFws!AT15</f>
        <v>430</v>
      </c>
      <c r="H25" s="450"/>
      <c r="I25" s="450">
        <f>+BSGFws!AU15</f>
        <v>1</v>
      </c>
      <c r="J25" s="450"/>
      <c r="K25" s="450">
        <f>+BSGFws!AV15</f>
        <v>0</v>
      </c>
      <c r="L25" s="450"/>
      <c r="M25" s="450">
        <f>+BSGFws!AW15</f>
        <v>281</v>
      </c>
      <c r="N25" s="450"/>
      <c r="O25" s="450">
        <f t="shared" si="0"/>
        <v>712</v>
      </c>
      <c r="P25" s="450"/>
    </row>
    <row r="26" spans="1:16" s="451" customFormat="1" ht="9.9499999999999993" hidden="1" customHeight="1" x14ac:dyDescent="0.2">
      <c r="A26" s="426" t="s">
        <v>763</v>
      </c>
      <c r="B26" s="450"/>
      <c r="C26" s="450">
        <f>+BSGFws!AS16</f>
        <v>0</v>
      </c>
      <c r="D26" s="450"/>
      <c r="E26" s="450">
        <f>+BSGFws!AX16</f>
        <v>0</v>
      </c>
      <c r="F26" s="450"/>
      <c r="G26" s="450">
        <f>+BSGFws!AT16</f>
        <v>0</v>
      </c>
      <c r="H26" s="450"/>
      <c r="I26" s="450">
        <f>+BSGFws!AU16</f>
        <v>0</v>
      </c>
      <c r="J26" s="450"/>
      <c r="K26" s="450">
        <f>+BSGFws!AV16</f>
        <v>0</v>
      </c>
      <c r="L26" s="450"/>
      <c r="M26" s="450">
        <f>+BSGFws!AW16</f>
        <v>0</v>
      </c>
      <c r="N26" s="450"/>
      <c r="O26" s="450">
        <f t="shared" si="0"/>
        <v>0</v>
      </c>
      <c r="P26" s="450"/>
    </row>
    <row r="27" spans="1:16" s="451" customFormat="1" ht="9.9499999999999993" hidden="1" customHeight="1" x14ac:dyDescent="0.2">
      <c r="A27" s="426" t="s">
        <v>683</v>
      </c>
      <c r="B27" s="450"/>
      <c r="C27" s="450">
        <f>+BSGFws!AS17</f>
        <v>0</v>
      </c>
      <c r="D27" s="450"/>
      <c r="E27" s="450">
        <f>+BSGFws!AX17</f>
        <v>0</v>
      </c>
      <c r="F27" s="450"/>
      <c r="G27" s="450">
        <f>+BSGFws!AT17</f>
        <v>0</v>
      </c>
      <c r="H27" s="450"/>
      <c r="I27" s="450">
        <f>+BSGFws!AU17</f>
        <v>0</v>
      </c>
      <c r="J27" s="450"/>
      <c r="K27" s="450">
        <f>+BSGFws!AV17</f>
        <v>0</v>
      </c>
      <c r="L27" s="450"/>
      <c r="M27" s="450">
        <f>+BSGFws!AW17</f>
        <v>0</v>
      </c>
      <c r="N27" s="450"/>
      <c r="O27" s="450">
        <f t="shared" si="0"/>
        <v>0</v>
      </c>
      <c r="P27" s="450"/>
    </row>
    <row r="28" spans="1:16" s="451" customFormat="1" ht="9.9499999999999993" hidden="1" customHeight="1" x14ac:dyDescent="0.2">
      <c r="A28" s="426" t="s">
        <v>840</v>
      </c>
      <c r="B28" s="450"/>
      <c r="C28" s="450">
        <f>+BSGFws!AS18</f>
        <v>0</v>
      </c>
      <c r="D28" s="450"/>
      <c r="E28" s="450">
        <f>+BSGFws!AX18</f>
        <v>0</v>
      </c>
      <c r="F28" s="450"/>
      <c r="G28" s="450">
        <f>+BSGFws!AT18</f>
        <v>0</v>
      </c>
      <c r="H28" s="450"/>
      <c r="I28" s="450">
        <f>+BSGFws!AU18</f>
        <v>0</v>
      </c>
      <c r="J28" s="450"/>
      <c r="K28" s="450">
        <f>+BSGFws!AV18</f>
        <v>0</v>
      </c>
      <c r="L28" s="450"/>
      <c r="M28" s="450">
        <f>+BSGFws!AW18</f>
        <v>0</v>
      </c>
      <c r="N28" s="450"/>
      <c r="O28" s="450">
        <f t="shared" si="0"/>
        <v>0</v>
      </c>
      <c r="P28" s="450"/>
    </row>
    <row r="29" spans="1:16" s="451" customFormat="1" ht="9.9499999999999993" hidden="1" customHeight="1" x14ac:dyDescent="0.2">
      <c r="A29" s="426" t="s">
        <v>1575</v>
      </c>
      <c r="B29" s="450"/>
      <c r="C29" s="450">
        <f>+BSGFws!AS19</f>
        <v>0</v>
      </c>
      <c r="D29" s="450"/>
      <c r="E29" s="450">
        <f>+BSGFws!AX19</f>
        <v>0</v>
      </c>
      <c r="F29" s="450"/>
      <c r="G29" s="450">
        <f>+BSGFws!AT19</f>
        <v>0</v>
      </c>
      <c r="H29" s="450"/>
      <c r="I29" s="450">
        <f>+BSGFws!AU19</f>
        <v>0</v>
      </c>
      <c r="J29" s="450"/>
      <c r="K29" s="450">
        <f>+BSGFws!AV19</f>
        <v>0</v>
      </c>
      <c r="L29" s="450"/>
      <c r="M29" s="450">
        <f>+BSGFws!AW19</f>
        <v>0</v>
      </c>
      <c r="N29" s="450"/>
      <c r="O29" s="450">
        <f t="shared" si="0"/>
        <v>0</v>
      </c>
      <c r="P29" s="450"/>
    </row>
    <row r="30" spans="1:16" s="451" customFormat="1" ht="9.9499999999999993" hidden="1" customHeight="1" x14ac:dyDescent="0.2">
      <c r="A30" s="426" t="s">
        <v>63</v>
      </c>
      <c r="B30" s="450"/>
      <c r="C30" s="450">
        <f>+BSGFws!AS20</f>
        <v>0</v>
      </c>
      <c r="D30" s="450"/>
      <c r="E30" s="450">
        <f>+BSGFws!AX20</f>
        <v>0</v>
      </c>
      <c r="F30" s="450"/>
      <c r="G30" s="450">
        <f>+BSGFws!AT20</f>
        <v>0</v>
      </c>
      <c r="H30" s="450"/>
      <c r="I30" s="450">
        <f>+BSGFws!AU20</f>
        <v>0</v>
      </c>
      <c r="J30" s="450"/>
      <c r="K30" s="450">
        <f>+BSGFws!AV20</f>
        <v>0</v>
      </c>
      <c r="L30" s="450"/>
      <c r="M30" s="450">
        <f>+BSGFws!AW20</f>
        <v>0</v>
      </c>
      <c r="N30" s="450"/>
      <c r="O30" s="450">
        <f t="shared" si="0"/>
        <v>0</v>
      </c>
      <c r="P30" s="450"/>
    </row>
    <row r="31" spans="1:16" s="451" customFormat="1" ht="9.9499999999999993" customHeight="1" x14ac:dyDescent="0.2">
      <c r="A31" s="426" t="s">
        <v>1216</v>
      </c>
      <c r="B31" s="450"/>
      <c r="C31" s="450">
        <f>+BSGFws!AS21</f>
        <v>0</v>
      </c>
      <c r="D31" s="450"/>
      <c r="E31" s="450">
        <f>+BSGFws!AX21</f>
        <v>0</v>
      </c>
      <c r="F31" s="450"/>
      <c r="G31" s="450">
        <f>+BSGFws!AT21</f>
        <v>75</v>
      </c>
      <c r="H31" s="450"/>
      <c r="I31" s="450">
        <f>+BSGFws!AU21</f>
        <v>0</v>
      </c>
      <c r="J31" s="450"/>
      <c r="K31" s="450">
        <f>+BSGFws!AV21</f>
        <v>0</v>
      </c>
      <c r="L31" s="450"/>
      <c r="M31" s="450">
        <f>+BSGFws!AW21</f>
        <v>0</v>
      </c>
      <c r="N31" s="450"/>
      <c r="O31" s="450">
        <f t="shared" si="0"/>
        <v>75</v>
      </c>
      <c r="P31" s="450"/>
    </row>
    <row r="32" spans="1:16" s="451" customFormat="1" ht="5.0999999999999996" customHeight="1" x14ac:dyDescent="0.2">
      <c r="A32" s="418"/>
      <c r="B32" s="450"/>
      <c r="C32" s="452"/>
      <c r="D32" s="450"/>
      <c r="E32" s="452"/>
      <c r="F32" s="450"/>
      <c r="G32" s="452"/>
      <c r="H32" s="450"/>
      <c r="I32" s="452"/>
      <c r="J32" s="450"/>
      <c r="K32" s="452"/>
      <c r="L32" s="450"/>
      <c r="M32" s="452"/>
      <c r="N32" s="450"/>
      <c r="O32" s="452"/>
      <c r="P32" s="450"/>
    </row>
    <row r="33" spans="1:16" s="451" customFormat="1" ht="10.5" customHeight="1" thickBot="1" x14ac:dyDescent="0.25">
      <c r="A33" s="417" t="s">
        <v>687</v>
      </c>
      <c r="B33" s="450"/>
      <c r="C33" s="344">
        <f>SUM(C13:C31)</f>
        <v>0</v>
      </c>
      <c r="D33" s="450"/>
      <c r="E33" s="460">
        <f>SUM(E13:E31)</f>
        <v>0</v>
      </c>
      <c r="F33" s="450"/>
      <c r="G33" s="460">
        <f>SUM(G13:G31)</f>
        <v>22500</v>
      </c>
      <c r="H33" s="450"/>
      <c r="I33" s="460">
        <f>SUM(I13:I31)</f>
        <v>110</v>
      </c>
      <c r="J33" s="450"/>
      <c r="K33" s="1366">
        <f>SUM(K13:K31)</f>
        <v>0</v>
      </c>
      <c r="L33" s="450"/>
      <c r="M33" s="460">
        <f>SUM(M13:M31)</f>
        <v>57171</v>
      </c>
      <c r="N33" s="450"/>
      <c r="O33" s="460">
        <f>SUM(O13:O31)</f>
        <v>79781</v>
      </c>
      <c r="P33" s="450"/>
    </row>
    <row r="34" spans="1:16" s="451" customFormat="1" ht="5.0999999999999996" customHeight="1" thickTop="1" x14ac:dyDescent="0.2">
      <c r="A34" s="418"/>
      <c r="B34" s="450"/>
      <c r="C34" s="450"/>
      <c r="D34" s="450"/>
      <c r="E34" s="450"/>
      <c r="F34" s="450"/>
      <c r="G34" s="450"/>
      <c r="H34" s="450"/>
      <c r="I34" s="450"/>
      <c r="J34" s="450"/>
      <c r="K34" s="450"/>
      <c r="L34" s="450"/>
      <c r="M34" s="450"/>
      <c r="N34" s="450"/>
      <c r="O34" s="450"/>
      <c r="P34" s="450"/>
    </row>
    <row r="35" spans="1:16" s="451" customFormat="1" ht="24" x14ac:dyDescent="0.2">
      <c r="A35" s="1241" t="s">
        <v>1699</v>
      </c>
      <c r="B35" s="450"/>
      <c r="C35" s="450"/>
      <c r="D35" s="450"/>
      <c r="E35" s="450"/>
      <c r="F35" s="450"/>
      <c r="G35" s="450"/>
      <c r="H35" s="450"/>
      <c r="I35" s="450"/>
      <c r="J35" s="450"/>
      <c r="K35" s="450"/>
      <c r="L35" s="450"/>
      <c r="M35" s="450"/>
      <c r="N35" s="450"/>
      <c r="O35" s="450"/>
      <c r="P35" s="450"/>
    </row>
    <row r="36" spans="1:16" s="451" customFormat="1" ht="9.9499999999999993" customHeight="1" x14ac:dyDescent="0.2">
      <c r="A36" s="428" t="s">
        <v>751</v>
      </c>
      <c r="B36" s="450"/>
      <c r="C36" s="461"/>
      <c r="D36" s="450"/>
      <c r="E36" s="461"/>
      <c r="F36" s="450"/>
      <c r="G36" s="461"/>
      <c r="H36" s="450"/>
      <c r="I36" s="461"/>
      <c r="J36" s="450"/>
      <c r="K36" s="461"/>
      <c r="L36" s="450"/>
      <c r="M36" s="461"/>
      <c r="N36" s="450"/>
      <c r="O36" s="461"/>
      <c r="P36" s="450"/>
    </row>
    <row r="37" spans="1:16" s="451" customFormat="1" ht="9.9499999999999993" hidden="1" customHeight="1" x14ac:dyDescent="0.2">
      <c r="A37" s="426" t="s">
        <v>688</v>
      </c>
      <c r="B37" s="450"/>
      <c r="C37" s="450">
        <f>+BSGFws!AS28</f>
        <v>0</v>
      </c>
      <c r="D37" s="450"/>
      <c r="E37" s="450">
        <f>+BSGFws!AX28</f>
        <v>0</v>
      </c>
      <c r="F37" s="450"/>
      <c r="G37" s="450">
        <f>+BSGFws!AT28</f>
        <v>0</v>
      </c>
      <c r="H37" s="450"/>
      <c r="I37" s="450">
        <f>+BSGFws!AU28</f>
        <v>0</v>
      </c>
      <c r="J37" s="450"/>
      <c r="K37" s="450">
        <f>+BSGFws!AV28</f>
        <v>0</v>
      </c>
      <c r="L37" s="450"/>
      <c r="M37" s="450">
        <f>+BSGFws!AW28</f>
        <v>0</v>
      </c>
      <c r="N37" s="450"/>
      <c r="O37" s="450">
        <f t="shared" ref="O37:O53" si="1">SUM(B37:M37)</f>
        <v>0</v>
      </c>
      <c r="P37" s="450"/>
    </row>
    <row r="38" spans="1:16" s="451" customFormat="1" ht="9.9499999999999993" hidden="1" customHeight="1" x14ac:dyDescent="0.2">
      <c r="A38" s="426" t="s">
        <v>847</v>
      </c>
      <c r="B38" s="450"/>
      <c r="C38" s="450">
        <f>+BSGFws!AS29</f>
        <v>0</v>
      </c>
      <c r="D38" s="450"/>
      <c r="E38" s="450">
        <f>+BSGFws!AX29</f>
        <v>0</v>
      </c>
      <c r="F38" s="450"/>
      <c r="G38" s="450">
        <f>+BSGFws!AT29</f>
        <v>0</v>
      </c>
      <c r="H38" s="450"/>
      <c r="I38" s="450">
        <f>+BSGFws!AU29</f>
        <v>0</v>
      </c>
      <c r="J38" s="450"/>
      <c r="K38" s="450">
        <f>+BSGFws!AV29</f>
        <v>0</v>
      </c>
      <c r="L38" s="450"/>
      <c r="M38" s="450">
        <f>+BSGFws!AW29</f>
        <v>0</v>
      </c>
      <c r="N38" s="450"/>
      <c r="O38" s="450">
        <f t="shared" si="1"/>
        <v>0</v>
      </c>
      <c r="P38" s="450"/>
    </row>
    <row r="39" spans="1:16" s="451" customFormat="1" ht="9.9499999999999993" hidden="1" customHeight="1" x14ac:dyDescent="0.2">
      <c r="A39" s="426" t="s">
        <v>690</v>
      </c>
      <c r="B39" s="450"/>
      <c r="C39" s="450">
        <f>+BSGFws!AS30</f>
        <v>0</v>
      </c>
      <c r="D39" s="450"/>
      <c r="E39" s="450">
        <f>+BSGFws!AX30</f>
        <v>0</v>
      </c>
      <c r="F39" s="450"/>
      <c r="G39" s="450">
        <f>+BSGFws!AT30</f>
        <v>0</v>
      </c>
      <c r="H39" s="450"/>
      <c r="I39" s="450">
        <f>+BSGFws!AU30</f>
        <v>0</v>
      </c>
      <c r="J39" s="450"/>
      <c r="K39" s="450">
        <f>+BSGFws!AV30</f>
        <v>0</v>
      </c>
      <c r="L39" s="450"/>
      <c r="M39" s="450">
        <f>+BSGFws!AW30</f>
        <v>0</v>
      </c>
      <c r="N39" s="450"/>
      <c r="O39" s="450">
        <f t="shared" si="1"/>
        <v>0</v>
      </c>
      <c r="P39" s="450"/>
    </row>
    <row r="40" spans="1:16" s="451" customFormat="1" ht="9.9499999999999993" hidden="1" customHeight="1" x14ac:dyDescent="0.2">
      <c r="A40" s="426" t="s">
        <v>691</v>
      </c>
      <c r="B40" s="450"/>
      <c r="C40" s="450">
        <f>+BSGFws!AS31</f>
        <v>0</v>
      </c>
      <c r="D40" s="450"/>
      <c r="E40" s="450">
        <f>+BSGFws!AX31</f>
        <v>0</v>
      </c>
      <c r="F40" s="450"/>
      <c r="G40" s="450">
        <f>+BSGFws!AT31</f>
        <v>0</v>
      </c>
      <c r="H40" s="450"/>
      <c r="I40" s="450">
        <f>+BSGFws!AU31</f>
        <v>0</v>
      </c>
      <c r="J40" s="450"/>
      <c r="K40" s="450">
        <f>+BSGFws!AV31</f>
        <v>0</v>
      </c>
      <c r="L40" s="450"/>
      <c r="M40" s="450">
        <f>+BSGFws!AW31</f>
        <v>0</v>
      </c>
      <c r="N40" s="450"/>
      <c r="O40" s="450">
        <f t="shared" si="1"/>
        <v>0</v>
      </c>
      <c r="P40" s="450"/>
    </row>
    <row r="41" spans="1:16" s="451" customFormat="1" ht="9.9499999999999993" hidden="1" customHeight="1" x14ac:dyDescent="0.2">
      <c r="A41" s="426" t="s">
        <v>203</v>
      </c>
      <c r="B41" s="450"/>
      <c r="C41" s="450">
        <f>+BSGFws!AS32</f>
        <v>0</v>
      </c>
      <c r="D41" s="450"/>
      <c r="E41" s="450">
        <f>+BSGFws!AX32</f>
        <v>0</v>
      </c>
      <c r="F41" s="450"/>
      <c r="G41" s="450">
        <f>+BSGFws!AT32</f>
        <v>0</v>
      </c>
      <c r="H41" s="450"/>
      <c r="I41" s="450">
        <f>+BSGFws!AU32</f>
        <v>0</v>
      </c>
      <c r="J41" s="450"/>
      <c r="K41" s="450">
        <f>+BSGFws!AV32</f>
        <v>0</v>
      </c>
      <c r="L41" s="450"/>
      <c r="M41" s="450">
        <f>+BSGFws!AW32</f>
        <v>0</v>
      </c>
      <c r="N41" s="450"/>
      <c r="O41" s="450">
        <f t="shared" si="1"/>
        <v>0</v>
      </c>
      <c r="P41" s="450"/>
    </row>
    <row r="42" spans="1:16" s="451" customFormat="1" ht="9.9499999999999993" hidden="1" customHeight="1" x14ac:dyDescent="0.2">
      <c r="A42" s="426" t="s">
        <v>848</v>
      </c>
      <c r="B42" s="450"/>
      <c r="C42" s="450">
        <f>+BSGFws!AS33</f>
        <v>0</v>
      </c>
      <c r="D42" s="450"/>
      <c r="E42" s="450">
        <f>+BSGFws!AX33</f>
        <v>0</v>
      </c>
      <c r="F42" s="450"/>
      <c r="G42" s="450">
        <f>+BSGFws!AT33</f>
        <v>0</v>
      </c>
      <c r="H42" s="450"/>
      <c r="I42" s="450">
        <f>+BSGFws!AU33</f>
        <v>0</v>
      </c>
      <c r="J42" s="450"/>
      <c r="K42" s="450">
        <f>+BSGFws!AV33</f>
        <v>0</v>
      </c>
      <c r="L42" s="450"/>
      <c r="M42" s="450">
        <f>+BSGFws!AW33</f>
        <v>0</v>
      </c>
      <c r="N42" s="450"/>
      <c r="O42" s="450">
        <f t="shared" si="1"/>
        <v>0</v>
      </c>
      <c r="P42" s="450"/>
    </row>
    <row r="43" spans="1:16" s="451" customFormat="1" ht="9.9499999999999993" hidden="1" customHeight="1" x14ac:dyDescent="0.2">
      <c r="A43" s="426" t="s">
        <v>604</v>
      </c>
      <c r="B43" s="450"/>
      <c r="C43" s="450">
        <f>+BSGFws!AS34</f>
        <v>0</v>
      </c>
      <c r="D43" s="450"/>
      <c r="E43" s="450">
        <f>+BSGFws!AX34</f>
        <v>0</v>
      </c>
      <c r="F43" s="450"/>
      <c r="G43" s="450">
        <f>+BSGFws!AT34</f>
        <v>0</v>
      </c>
      <c r="H43" s="450"/>
      <c r="I43" s="450">
        <f>+BSGFws!AU34</f>
        <v>0</v>
      </c>
      <c r="J43" s="450"/>
      <c r="K43" s="450">
        <f>+BSGFws!AV34</f>
        <v>0</v>
      </c>
      <c r="L43" s="450"/>
      <c r="M43" s="450">
        <f>+BSGFws!AW34</f>
        <v>0</v>
      </c>
      <c r="N43" s="450"/>
      <c r="O43" s="450">
        <f t="shared" si="1"/>
        <v>0</v>
      </c>
      <c r="P43" s="450"/>
    </row>
    <row r="44" spans="1:16" s="451" customFormat="1" ht="9.9499999999999993" hidden="1" customHeight="1" x14ac:dyDescent="0.2">
      <c r="A44" s="426" t="s">
        <v>593</v>
      </c>
      <c r="B44" s="450"/>
      <c r="C44" s="450">
        <f>+BSGFws!AS35</f>
        <v>0</v>
      </c>
      <c r="D44" s="450"/>
      <c r="E44" s="450">
        <f>+BSGFws!AX35</f>
        <v>0</v>
      </c>
      <c r="F44" s="450"/>
      <c r="G44" s="450">
        <f>+BSGFws!AT35</f>
        <v>0</v>
      </c>
      <c r="H44" s="450"/>
      <c r="I44" s="450">
        <f>+BSGFws!AU35</f>
        <v>0</v>
      </c>
      <c r="J44" s="450"/>
      <c r="K44" s="450">
        <f>+BSGFws!AV35</f>
        <v>0</v>
      </c>
      <c r="L44" s="450"/>
      <c r="M44" s="450">
        <f>+BSGFws!AW35</f>
        <v>0</v>
      </c>
      <c r="N44" s="450"/>
      <c r="O44" s="450">
        <f t="shared" si="1"/>
        <v>0</v>
      </c>
      <c r="P44" s="450"/>
    </row>
    <row r="45" spans="1:16" s="451" customFormat="1" ht="9.9499999999999993" customHeight="1" x14ac:dyDescent="0.2">
      <c r="A45" s="426" t="s">
        <v>1304</v>
      </c>
      <c r="B45" s="450"/>
      <c r="C45" s="450">
        <f>+BSGFws!AS36</f>
        <v>0</v>
      </c>
      <c r="D45" s="450"/>
      <c r="E45" s="450">
        <f>+BSGFws!AX36</f>
        <v>0</v>
      </c>
      <c r="F45" s="450"/>
      <c r="G45" s="450">
        <f>+BSGFws!AT36</f>
        <v>0</v>
      </c>
      <c r="H45" s="450"/>
      <c r="I45" s="450">
        <f>+BSGFws!AU36</f>
        <v>0</v>
      </c>
      <c r="J45" s="450"/>
      <c r="K45" s="450">
        <f>+BSGFws!AV36</f>
        <v>0</v>
      </c>
      <c r="L45" s="450"/>
      <c r="M45" s="450">
        <f>+BSGFws!AW36</f>
        <v>0</v>
      </c>
      <c r="N45" s="450"/>
      <c r="O45" s="450">
        <f t="shared" si="1"/>
        <v>0</v>
      </c>
      <c r="P45" s="450"/>
    </row>
    <row r="46" spans="1:16" s="1005" customFormat="1" ht="9.9499999999999993" customHeight="1" x14ac:dyDescent="0.2">
      <c r="A46" s="427" t="s">
        <v>688</v>
      </c>
      <c r="B46" s="339"/>
      <c r="C46" s="339">
        <f>+BSGFws!AS37</f>
        <v>0</v>
      </c>
      <c r="D46" s="339"/>
      <c r="E46" s="339">
        <f>+BSGFws!AX37</f>
        <v>0</v>
      </c>
      <c r="F46" s="339"/>
      <c r="G46" s="339">
        <f>+BSGFws!AT37</f>
        <v>17544</v>
      </c>
      <c r="H46" s="339"/>
      <c r="I46" s="339">
        <f>+BSGFws!AU37</f>
        <v>0</v>
      </c>
      <c r="J46" s="339"/>
      <c r="K46" s="339">
        <f>+BSGFws!AV37</f>
        <v>0</v>
      </c>
      <c r="L46" s="339"/>
      <c r="M46" s="339">
        <f>+BSGFws!AW37</f>
        <v>0</v>
      </c>
      <c r="N46" s="339"/>
      <c r="O46" s="339">
        <f t="shared" si="1"/>
        <v>17544</v>
      </c>
      <c r="P46" s="346"/>
    </row>
    <row r="47" spans="1:16" s="451" customFormat="1" ht="9.9499999999999993" customHeight="1" x14ac:dyDescent="0.2">
      <c r="A47" s="427" t="s">
        <v>847</v>
      </c>
      <c r="B47" s="450"/>
      <c r="C47" s="450">
        <f>+BSGFws!AS38</f>
        <v>0</v>
      </c>
      <c r="D47" s="450"/>
      <c r="E47" s="450">
        <f>+BSGFws!AX38</f>
        <v>0</v>
      </c>
      <c r="F47" s="450"/>
      <c r="G47" s="450">
        <f>+BSGFws!AT38</f>
        <v>10681</v>
      </c>
      <c r="H47" s="450"/>
      <c r="I47" s="450">
        <f>+BSGFws!AU38</f>
        <v>0</v>
      </c>
      <c r="J47" s="450"/>
      <c r="K47" s="450">
        <f>+BSGFws!AV38</f>
        <v>0</v>
      </c>
      <c r="L47" s="450"/>
      <c r="M47" s="450">
        <f>+BSGFws!AW38</f>
        <v>44</v>
      </c>
      <c r="N47" s="450"/>
      <c r="O47" s="450">
        <f t="shared" si="1"/>
        <v>10725</v>
      </c>
      <c r="P47" s="450"/>
    </row>
    <row r="48" spans="1:16" s="451" customFormat="1" ht="9.9499999999999993" customHeight="1" x14ac:dyDescent="0.2">
      <c r="A48" s="427" t="s">
        <v>690</v>
      </c>
      <c r="B48" s="450"/>
      <c r="C48" s="450">
        <f>+BSGFws!AS39</f>
        <v>0</v>
      </c>
      <c r="D48" s="450"/>
      <c r="E48" s="450">
        <f>+BSGFws!AX39</f>
        <v>0</v>
      </c>
      <c r="F48" s="450"/>
      <c r="G48" s="450">
        <f>+BSGFws!AT39</f>
        <v>2</v>
      </c>
      <c r="H48" s="450"/>
      <c r="I48" s="450">
        <f>+BSGFws!AU39</f>
        <v>0</v>
      </c>
      <c r="J48" s="450"/>
      <c r="K48" s="450">
        <f>+BSGFws!AV39</f>
        <v>0</v>
      </c>
      <c r="L48" s="450"/>
      <c r="M48" s="450">
        <f>+BSGFws!AW39</f>
        <v>0</v>
      </c>
      <c r="N48" s="450"/>
      <c r="O48" s="450">
        <f t="shared" si="1"/>
        <v>2</v>
      </c>
      <c r="P48" s="450"/>
    </row>
    <row r="49" spans="1:16" s="451" customFormat="1" ht="9.9499999999999993" hidden="1" customHeight="1" x14ac:dyDescent="0.2">
      <c r="A49" s="427" t="s">
        <v>691</v>
      </c>
      <c r="B49" s="450"/>
      <c r="C49" s="450">
        <f>+BSGFws!AS40</f>
        <v>0</v>
      </c>
      <c r="D49" s="450"/>
      <c r="E49" s="450">
        <f>+BSGFws!AX40</f>
        <v>0</v>
      </c>
      <c r="F49" s="450"/>
      <c r="G49" s="450">
        <f>+BSGFws!AT40</f>
        <v>0</v>
      </c>
      <c r="H49" s="450"/>
      <c r="I49" s="450">
        <f>+BSGFws!AU40</f>
        <v>0</v>
      </c>
      <c r="J49" s="450"/>
      <c r="K49" s="450">
        <f>+BSGFws!AV40</f>
        <v>0</v>
      </c>
      <c r="L49" s="450"/>
      <c r="M49" s="450">
        <f>+BSGFws!AW40</f>
        <v>0</v>
      </c>
      <c r="N49" s="450"/>
      <c r="O49" s="450">
        <f t="shared" si="1"/>
        <v>0</v>
      </c>
      <c r="P49" s="450"/>
    </row>
    <row r="50" spans="1:16" s="451" customFormat="1" ht="9.9499999999999993" customHeight="1" x14ac:dyDescent="0.2">
      <c r="A50" s="427" t="s">
        <v>692</v>
      </c>
      <c r="B50" s="450"/>
      <c r="C50" s="450">
        <f>+BSGFws!AS41</f>
        <v>0</v>
      </c>
      <c r="D50" s="450"/>
      <c r="E50" s="450">
        <f>+BSGFws!AX41</f>
        <v>0</v>
      </c>
      <c r="F50" s="450"/>
      <c r="G50" s="450">
        <f>+BSGFws!AT41</f>
        <v>4209</v>
      </c>
      <c r="H50" s="450"/>
      <c r="I50" s="450">
        <f>+BSGFws!AU41</f>
        <v>0</v>
      </c>
      <c r="J50" s="450"/>
      <c r="K50" s="450">
        <f>+BSGFws!AV41</f>
        <v>0</v>
      </c>
      <c r="L50" s="450"/>
      <c r="M50" s="450">
        <f>+BSGFws!AW41</f>
        <v>0</v>
      </c>
      <c r="N50" s="450"/>
      <c r="O50" s="450">
        <f t="shared" si="1"/>
        <v>4209</v>
      </c>
      <c r="P50" s="450"/>
    </row>
    <row r="51" spans="1:16" s="451" customFormat="1" ht="9.9499999999999993" hidden="1" customHeight="1" x14ac:dyDescent="0.2">
      <c r="A51" s="427" t="s">
        <v>848</v>
      </c>
      <c r="B51" s="450"/>
      <c r="C51" s="450">
        <f>+BSGFws!AS42</f>
        <v>0</v>
      </c>
      <c r="D51" s="450"/>
      <c r="E51" s="450">
        <f>+BSGFws!AX42</f>
        <v>0</v>
      </c>
      <c r="F51" s="450"/>
      <c r="G51" s="450">
        <f>+BSGFws!AT42</f>
        <v>0</v>
      </c>
      <c r="H51" s="450"/>
      <c r="I51" s="450">
        <f>+BSGFws!AU42</f>
        <v>0</v>
      </c>
      <c r="J51" s="450"/>
      <c r="K51" s="450">
        <f>+BSGFws!AV42</f>
        <v>0</v>
      </c>
      <c r="L51" s="450"/>
      <c r="M51" s="450">
        <f>+BSGFws!AW42</f>
        <v>0</v>
      </c>
      <c r="N51" s="450"/>
      <c r="O51" s="450">
        <f t="shared" si="1"/>
        <v>0</v>
      </c>
      <c r="P51" s="450"/>
    </row>
    <row r="52" spans="1:16" s="451" customFormat="1" ht="9.9499999999999993" customHeight="1" x14ac:dyDescent="0.2">
      <c r="A52" s="427" t="s">
        <v>604</v>
      </c>
      <c r="B52" s="450"/>
      <c r="C52" s="450">
        <f>+BSGFws!AS43</f>
        <v>0</v>
      </c>
      <c r="D52" s="450"/>
      <c r="E52" s="450">
        <f>+BSGFws!AX43</f>
        <v>0</v>
      </c>
      <c r="F52" s="450"/>
      <c r="G52" s="450">
        <f>+BSGFws!AT43</f>
        <v>41</v>
      </c>
      <c r="H52" s="450"/>
      <c r="I52" s="450">
        <f>+BSGFws!AU43</f>
        <v>0</v>
      </c>
      <c r="J52" s="450"/>
      <c r="K52" s="450">
        <f>+BSGFws!AV43</f>
        <v>0</v>
      </c>
      <c r="L52" s="450"/>
      <c r="M52" s="450">
        <f>+BSGFws!AW43</f>
        <v>0</v>
      </c>
      <c r="N52" s="450"/>
      <c r="O52" s="450">
        <f t="shared" si="1"/>
        <v>41</v>
      </c>
      <c r="P52" s="450"/>
    </row>
    <row r="53" spans="1:16" s="451" customFormat="1" ht="9.9499999999999993" hidden="1" customHeight="1" x14ac:dyDescent="0.2">
      <c r="A53" s="427" t="s">
        <v>593</v>
      </c>
      <c r="B53" s="450"/>
      <c r="C53" s="450">
        <f>+BSGFws!AS44</f>
        <v>0</v>
      </c>
      <c r="D53" s="450"/>
      <c r="E53" s="450">
        <f>+BSGFws!AX44</f>
        <v>0</v>
      </c>
      <c r="F53" s="450"/>
      <c r="G53" s="450">
        <f>+BSGFws!AT44</f>
        <v>0</v>
      </c>
      <c r="H53" s="450"/>
      <c r="I53" s="450">
        <f>+BSGFws!AU44</f>
        <v>0</v>
      </c>
      <c r="J53" s="450"/>
      <c r="K53" s="450">
        <f>+BSGFws!AV44</f>
        <v>0</v>
      </c>
      <c r="L53" s="450"/>
      <c r="M53" s="450">
        <f>+BSGFws!AW44</f>
        <v>0</v>
      </c>
      <c r="N53" s="450"/>
      <c r="O53" s="450">
        <f t="shared" si="1"/>
        <v>0</v>
      </c>
      <c r="P53" s="450"/>
    </row>
    <row r="54" spans="1:16" s="451" customFormat="1" ht="5.0999999999999996" customHeight="1" x14ac:dyDescent="0.2">
      <c r="A54" s="418"/>
      <c r="B54" s="450"/>
      <c r="C54" s="452"/>
      <c r="D54" s="450"/>
      <c r="E54" s="452"/>
      <c r="F54" s="450"/>
      <c r="G54" s="452"/>
      <c r="H54" s="450"/>
      <c r="I54" s="452"/>
      <c r="J54" s="450"/>
      <c r="K54" s="452"/>
      <c r="L54" s="450"/>
      <c r="M54" s="452"/>
      <c r="N54" s="450"/>
      <c r="O54" s="452"/>
      <c r="P54" s="450"/>
    </row>
    <row r="55" spans="1:16" s="451" customFormat="1" ht="9.9499999999999993" customHeight="1" x14ac:dyDescent="0.2">
      <c r="A55" s="428" t="s">
        <v>702</v>
      </c>
      <c r="B55" s="450"/>
      <c r="C55" s="455">
        <f>SUM(C37:C53)</f>
        <v>0</v>
      </c>
      <c r="D55" s="450"/>
      <c r="E55" s="455">
        <f>SUM(E37:E53)</f>
        <v>0</v>
      </c>
      <c r="F55" s="450"/>
      <c r="G55" s="455">
        <f>SUM(G37:G53)</f>
        <v>32477</v>
      </c>
      <c r="H55" s="450"/>
      <c r="I55" s="455">
        <f>SUM(I37:I53)</f>
        <v>0</v>
      </c>
      <c r="J55" s="450"/>
      <c r="K55" s="455">
        <f>SUM(K37:K53)</f>
        <v>0</v>
      </c>
      <c r="L55" s="450"/>
      <c r="M55" s="455">
        <f>SUM(M37:M53)</f>
        <v>44</v>
      </c>
      <c r="N55" s="450"/>
      <c r="O55" s="455">
        <f>SUM(O37:O53)</f>
        <v>32521</v>
      </c>
      <c r="P55" s="450"/>
    </row>
    <row r="56" spans="1:16" s="253" customFormat="1" ht="4.5" customHeight="1" x14ac:dyDescent="0.2">
      <c r="A56" s="417"/>
      <c r="B56" s="339"/>
      <c r="C56" s="202"/>
      <c r="D56" s="339"/>
      <c r="E56" s="202"/>
      <c r="F56" s="339"/>
      <c r="G56" s="202"/>
      <c r="H56" s="339"/>
      <c r="I56" s="202"/>
      <c r="J56" s="339"/>
      <c r="K56" s="202"/>
      <c r="L56" s="339"/>
      <c r="M56" s="202"/>
      <c r="N56" s="339"/>
    </row>
    <row r="57" spans="1:16" s="253" customFormat="1" ht="9.9499999999999993" hidden="1" customHeight="1" x14ac:dyDescent="0.2">
      <c r="A57" s="417"/>
      <c r="B57" s="339"/>
      <c r="C57" s="202"/>
      <c r="D57" s="339"/>
      <c r="E57" s="202"/>
      <c r="F57" s="339"/>
      <c r="G57" s="202"/>
      <c r="H57" s="339"/>
      <c r="I57" s="202"/>
      <c r="J57" s="339"/>
      <c r="K57" s="202"/>
      <c r="L57" s="339"/>
      <c r="M57" s="202"/>
      <c r="N57" s="339"/>
    </row>
    <row r="58" spans="1:16" s="450" customFormat="1" ht="9.9499999999999993" customHeight="1" x14ac:dyDescent="0.2">
      <c r="A58" s="1116" t="s">
        <v>1206</v>
      </c>
      <c r="G58" s="450">
        <f>BSGFws!AT47</f>
        <v>278</v>
      </c>
      <c r="O58" s="450">
        <f>SUM(B58:M58)</f>
        <v>278</v>
      </c>
    </row>
    <row r="59" spans="1:16" s="253" customFormat="1" ht="4.5" customHeight="1" x14ac:dyDescent="0.2">
      <c r="A59" s="417"/>
      <c r="B59" s="339"/>
      <c r="C59" s="1084"/>
      <c r="D59" s="339"/>
      <c r="E59" s="1084"/>
      <c r="F59" s="339"/>
      <c r="G59" s="1084"/>
      <c r="H59" s="339"/>
      <c r="I59" s="1084"/>
      <c r="J59" s="339"/>
      <c r="K59" s="1084"/>
      <c r="L59" s="339"/>
      <c r="M59" s="1084"/>
      <c r="N59" s="339"/>
      <c r="O59" s="1084"/>
    </row>
    <row r="60" spans="1:16" s="253" customFormat="1" ht="9.9499999999999993" hidden="1" customHeight="1" x14ac:dyDescent="0.2">
      <c r="A60" s="417"/>
      <c r="B60" s="339"/>
      <c r="C60" s="202"/>
      <c r="D60" s="339"/>
      <c r="E60" s="202"/>
      <c r="F60" s="339"/>
      <c r="G60" s="202"/>
      <c r="H60" s="339"/>
      <c r="I60" s="202"/>
      <c r="J60" s="339"/>
      <c r="K60" s="202"/>
      <c r="L60" s="339"/>
      <c r="M60" s="202"/>
      <c r="N60" s="339"/>
    </row>
    <row r="61" spans="1:16" s="451" customFormat="1" ht="9.9499999999999993" customHeight="1" x14ac:dyDescent="0.2">
      <c r="A61" s="428" t="s">
        <v>1480</v>
      </c>
      <c r="B61" s="450"/>
      <c r="C61" s="450"/>
      <c r="D61" s="450"/>
      <c r="E61" s="450"/>
      <c r="F61" s="450"/>
      <c r="G61" s="450"/>
      <c r="H61" s="450"/>
      <c r="I61" s="450"/>
      <c r="J61" s="450"/>
      <c r="K61" s="450"/>
      <c r="L61" s="450"/>
      <c r="M61" s="450"/>
      <c r="N61" s="450"/>
      <c r="O61" s="450"/>
      <c r="P61" s="450"/>
    </row>
    <row r="62" spans="1:16" s="451" customFormat="1" ht="9.9499999999999993" hidden="1" customHeight="1" x14ac:dyDescent="0.2">
      <c r="A62" s="776" t="s">
        <v>392</v>
      </c>
      <c r="B62" s="450"/>
      <c r="C62" s="450">
        <f>+BSGFws!AS50</f>
        <v>0</v>
      </c>
      <c r="D62" s="450"/>
      <c r="E62" s="450">
        <f>+BSGFws!AX50</f>
        <v>0</v>
      </c>
      <c r="F62" s="450"/>
      <c r="G62" s="450">
        <f>+BSGFws!AT50</f>
        <v>0</v>
      </c>
      <c r="H62" s="450"/>
      <c r="I62" s="450">
        <f>+BSGFws!AU50</f>
        <v>0</v>
      </c>
      <c r="J62" s="450"/>
      <c r="K62" s="450">
        <f>+BSGFws!AV50</f>
        <v>0</v>
      </c>
      <c r="L62" s="450"/>
      <c r="M62" s="450">
        <f>+BSGFws!AW50</f>
        <v>0</v>
      </c>
      <c r="N62" s="450"/>
      <c r="O62" s="450">
        <f>SUM(B62:M62)</f>
        <v>0</v>
      </c>
      <c r="P62" s="450"/>
    </row>
    <row r="63" spans="1:16" s="451" customFormat="1" ht="9.9499999999999993" customHeight="1" x14ac:dyDescent="0.2">
      <c r="A63" s="776" t="s">
        <v>789</v>
      </c>
      <c r="B63" s="450"/>
      <c r="C63" s="450">
        <f>+BSGFws!AS51</f>
        <v>0</v>
      </c>
      <c r="D63" s="450"/>
      <c r="E63" s="450">
        <f>+BSGFws!AX51</f>
        <v>0</v>
      </c>
      <c r="F63" s="450"/>
      <c r="G63" s="450">
        <f>+BSGFws!AT51</f>
        <v>0</v>
      </c>
      <c r="H63" s="450"/>
      <c r="I63" s="450">
        <f>+BSGFws!AU51</f>
        <v>110</v>
      </c>
      <c r="J63" s="450"/>
      <c r="K63" s="450">
        <f>+BSGFws!AV51</f>
        <v>0</v>
      </c>
      <c r="L63" s="450"/>
      <c r="M63" s="450">
        <f>+BSGFws!AW51</f>
        <v>56800</v>
      </c>
      <c r="N63" s="450"/>
      <c r="O63" s="450">
        <f>SUM(B63:M63)</f>
        <v>56910</v>
      </c>
      <c r="P63" s="450"/>
    </row>
    <row r="64" spans="1:16" s="451" customFormat="1" ht="9.9499999999999993" customHeight="1" x14ac:dyDescent="0.2">
      <c r="A64" s="776" t="s">
        <v>393</v>
      </c>
      <c r="B64" s="450"/>
      <c r="C64" s="450">
        <f>+BSGFws!AS52</f>
        <v>0</v>
      </c>
      <c r="D64" s="450"/>
      <c r="E64" s="450">
        <f>+BSGFws!AX52</f>
        <v>0</v>
      </c>
      <c r="F64" s="450"/>
      <c r="G64" s="450">
        <f>+BSGFws!AT52</f>
        <v>0</v>
      </c>
      <c r="H64" s="450"/>
      <c r="I64" s="450">
        <f>+BSGFws!AU52</f>
        <v>0</v>
      </c>
      <c r="J64" s="450"/>
      <c r="K64" s="450">
        <f>+BSGFws!AV52</f>
        <v>0</v>
      </c>
      <c r="L64" s="450"/>
      <c r="M64" s="450">
        <f>+BSGFws!AW52</f>
        <v>327</v>
      </c>
      <c r="N64" s="450"/>
      <c r="O64" s="450">
        <f>SUM(B64:M64)</f>
        <v>327</v>
      </c>
      <c r="P64" s="450"/>
    </row>
    <row r="65" spans="1:24" s="451" customFormat="1" ht="9.9499999999999993" hidden="1" customHeight="1" x14ac:dyDescent="0.2">
      <c r="A65" s="776" t="s">
        <v>394</v>
      </c>
      <c r="B65" s="450"/>
      <c r="C65" s="450">
        <f>+BSGFws!AS54</f>
        <v>0</v>
      </c>
      <c r="D65" s="450"/>
      <c r="E65" s="450">
        <f>BSGFws!AX53</f>
        <v>0</v>
      </c>
      <c r="F65" s="450"/>
      <c r="G65" s="450"/>
      <c r="H65" s="450"/>
      <c r="I65" s="450">
        <f>+BSGFws!AU54</f>
        <v>0</v>
      </c>
      <c r="J65" s="450"/>
      <c r="K65" s="450">
        <f>+BSGFws!AV54</f>
        <v>0</v>
      </c>
      <c r="L65" s="450"/>
      <c r="M65" s="450">
        <f>+BSGFws!AW54</f>
        <v>0</v>
      </c>
      <c r="N65" s="450"/>
      <c r="O65" s="450">
        <f>SUM(B65:M65)</f>
        <v>0</v>
      </c>
      <c r="P65" s="450"/>
    </row>
    <row r="66" spans="1:24" s="451" customFormat="1" ht="9.9499999999999993" customHeight="1" x14ac:dyDescent="0.2">
      <c r="A66" s="776" t="s">
        <v>395</v>
      </c>
      <c r="C66" s="450">
        <f>BSGFws!AS54</f>
        <v>0</v>
      </c>
      <c r="E66" s="450">
        <f>BSGFws!AX54</f>
        <v>0</v>
      </c>
      <c r="G66" s="450">
        <f>BSGFws!AT54</f>
        <v>-10255</v>
      </c>
      <c r="H66" s="450"/>
      <c r="I66" s="450">
        <f>BSGFws!AV54</f>
        <v>0</v>
      </c>
      <c r="N66" s="450"/>
      <c r="O66" s="450">
        <f>SUM(B66:L66)</f>
        <v>-10255</v>
      </c>
      <c r="P66" s="450"/>
    </row>
    <row r="67" spans="1:24" s="451" customFormat="1" ht="5.0999999999999996" customHeight="1" x14ac:dyDescent="0.2">
      <c r="A67" s="418"/>
      <c r="B67" s="450"/>
      <c r="C67" s="452"/>
      <c r="D67" s="450"/>
      <c r="E67" s="452"/>
      <c r="F67" s="450"/>
      <c r="G67" s="452"/>
      <c r="H67" s="450"/>
      <c r="I67" s="452"/>
      <c r="J67" s="450"/>
      <c r="K67" s="452"/>
      <c r="L67" s="450"/>
      <c r="M67" s="452"/>
      <c r="N67" s="450"/>
      <c r="O67" s="452"/>
      <c r="P67" s="450"/>
    </row>
    <row r="68" spans="1:24" s="451" customFormat="1" ht="9.9499999999999993" customHeight="1" x14ac:dyDescent="0.2">
      <c r="A68" s="428" t="s">
        <v>1479</v>
      </c>
      <c r="B68" s="450"/>
      <c r="C68" s="455">
        <f>SUM(C62:C67)</f>
        <v>0</v>
      </c>
      <c r="D68" s="450"/>
      <c r="E68" s="455">
        <f>SUM(E62:E67)</f>
        <v>0</v>
      </c>
      <c r="F68" s="450"/>
      <c r="G68" s="455">
        <f>SUM(G62:G67)</f>
        <v>-10255</v>
      </c>
      <c r="H68" s="450"/>
      <c r="I68" s="455">
        <f>SUM(I62:I67)</f>
        <v>110</v>
      </c>
      <c r="J68" s="450"/>
      <c r="K68" s="455">
        <f>SUM(K62:K67)</f>
        <v>0</v>
      </c>
      <c r="L68" s="450"/>
      <c r="M68" s="455">
        <f>SUM(M62:M67)</f>
        <v>57127</v>
      </c>
      <c r="N68" s="450"/>
      <c r="O68" s="455">
        <f>SUM(O62:O67)</f>
        <v>46982</v>
      </c>
      <c r="P68" s="450"/>
    </row>
    <row r="69" spans="1:24" s="451" customFormat="1" ht="5.0999999999999996" customHeight="1" x14ac:dyDescent="0.2">
      <c r="A69" s="418"/>
      <c r="B69" s="450"/>
      <c r="C69" s="452"/>
      <c r="D69" s="450"/>
      <c r="E69" s="452"/>
      <c r="F69" s="450"/>
      <c r="G69" s="452"/>
      <c r="H69" s="450"/>
      <c r="I69" s="452"/>
      <c r="J69" s="450"/>
      <c r="K69" s="452"/>
      <c r="L69" s="450"/>
      <c r="M69" s="452"/>
      <c r="N69" s="450"/>
      <c r="O69" s="452"/>
      <c r="P69" s="450"/>
    </row>
    <row r="70" spans="1:24" s="449" customFormat="1" ht="24.75" thickBot="1" x14ac:dyDescent="0.25">
      <c r="A70" s="1241" t="s">
        <v>1753</v>
      </c>
      <c r="C70" s="1366">
        <f>+C68+C55+C58</f>
        <v>0</v>
      </c>
      <c r="E70" s="1366">
        <f>+E68+E55+E58</f>
        <v>0</v>
      </c>
      <c r="G70" s="1366">
        <f>+G68+G55+G58</f>
        <v>22500</v>
      </c>
      <c r="I70" s="1366">
        <f>+I68+I55+I58</f>
        <v>110</v>
      </c>
      <c r="K70" s="1366">
        <f>+K68+K55+K58</f>
        <v>0</v>
      </c>
      <c r="M70" s="1366">
        <f>+M68+M55+M58</f>
        <v>57171</v>
      </c>
      <c r="O70" s="1366">
        <f>+O68+O55+O58</f>
        <v>79781</v>
      </c>
    </row>
    <row r="71" spans="1:24" s="439" customFormat="1" ht="9.9499999999999993" customHeight="1" thickTop="1" x14ac:dyDescent="0.2">
      <c r="A71" s="418"/>
      <c r="B71" s="438"/>
      <c r="C71" s="438"/>
      <c r="D71" s="438"/>
      <c r="E71" s="438"/>
      <c r="F71" s="438"/>
      <c r="G71" s="438"/>
      <c r="H71" s="438"/>
      <c r="I71" s="438"/>
      <c r="J71" s="438"/>
      <c r="K71" s="438"/>
      <c r="L71" s="438"/>
      <c r="M71" s="438"/>
      <c r="N71" s="438"/>
      <c r="O71" s="438"/>
      <c r="P71" s="438"/>
    </row>
    <row r="72" spans="1:24" s="439" customFormat="1" ht="9.9499999999999993" customHeight="1" x14ac:dyDescent="0.2">
      <c r="A72" s="418"/>
      <c r="B72" s="438"/>
      <c r="C72" s="438"/>
      <c r="D72" s="438"/>
      <c r="E72" s="438"/>
      <c r="F72" s="438"/>
      <c r="G72" s="438"/>
      <c r="H72" s="438"/>
      <c r="I72" s="438"/>
      <c r="J72" s="438"/>
      <c r="K72" s="438"/>
      <c r="L72" s="438"/>
      <c r="M72" s="438"/>
      <c r="N72" s="438"/>
      <c r="O72" s="438"/>
      <c r="P72" s="438"/>
    </row>
    <row r="73" spans="1:24" s="442" customFormat="1" ht="9.9499999999999993" customHeight="1" x14ac:dyDescent="0.2">
      <c r="A73" s="440"/>
      <c r="B73" s="440"/>
      <c r="C73" s="518">
        <f>C33-C70</f>
        <v>0</v>
      </c>
      <c r="D73" s="440"/>
      <c r="E73" s="518">
        <f>E33-E70</f>
        <v>0</v>
      </c>
      <c r="F73" s="440"/>
      <c r="G73" s="518">
        <f>G33-G70</f>
        <v>0</v>
      </c>
      <c r="H73" s="440"/>
      <c r="I73" s="518">
        <f>I33-I70</f>
        <v>0</v>
      </c>
      <c r="J73" s="440"/>
      <c r="K73" s="518">
        <f>K33-K70</f>
        <v>0</v>
      </c>
      <c r="L73" s="440"/>
      <c r="M73" s="518">
        <f>M33-M70</f>
        <v>0</v>
      </c>
      <c r="N73" s="440"/>
      <c r="O73" s="518">
        <f>O33-O70</f>
        <v>0</v>
      </c>
      <c r="P73" s="440"/>
      <c r="Q73" s="441"/>
      <c r="R73" s="441"/>
      <c r="S73" s="441"/>
      <c r="T73" s="441"/>
      <c r="U73" s="441"/>
      <c r="V73" s="441"/>
      <c r="W73" s="441"/>
      <c r="X73" s="441"/>
    </row>
    <row r="74" spans="1:24" s="439" customFormat="1" ht="9.9499999999999993" customHeight="1" x14ac:dyDescent="0.2">
      <c r="A74" s="418"/>
      <c r="B74" s="438"/>
      <c r="C74" s="438"/>
      <c r="D74" s="438"/>
      <c r="E74" s="438"/>
      <c r="F74" s="438"/>
      <c r="G74" s="438"/>
      <c r="H74" s="438"/>
      <c r="I74" s="438"/>
      <c r="J74" s="438"/>
      <c r="K74" s="438"/>
      <c r="L74" s="438"/>
      <c r="M74" s="438"/>
      <c r="N74" s="438"/>
      <c r="O74" s="438"/>
      <c r="P74" s="438"/>
    </row>
    <row r="75" spans="1:24" ht="9.9499999999999993" customHeight="1" x14ac:dyDescent="0.2">
      <c r="B75" s="434"/>
      <c r="D75" s="434"/>
      <c r="F75" s="434"/>
      <c r="H75" s="434"/>
      <c r="J75" s="434"/>
      <c r="L75" s="434"/>
      <c r="N75" s="434"/>
    </row>
    <row r="76" spans="1:24" ht="9.9499999999999993" customHeight="1" x14ac:dyDescent="0.2"/>
    <row r="77" spans="1:24" ht="9.9499999999999993" customHeight="1" x14ac:dyDescent="0.2"/>
    <row r="122" spans="5:5" x14ac:dyDescent="0.2">
      <c r="E122" s="437">
        <v>21</v>
      </c>
    </row>
  </sheetData>
  <mergeCells count="1">
    <mergeCell ref="A1:O1"/>
  </mergeCells>
  <phoneticPr fontId="9" type="noConversion"/>
  <printOptions horizontalCentered="1"/>
  <pageMargins left="0.5" right="0.5" top="0.5" bottom="0.625"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tabColor theme="6" tint="0.39997558519241921"/>
    <pageSetUpPr fitToPage="1"/>
  </sheetPr>
  <dimension ref="A1:AT143"/>
  <sheetViews>
    <sheetView view="pageBreakPreview" zoomScaleNormal="100" workbookViewId="0">
      <pane xSplit="1" ySplit="11" topLeftCell="B12" activePane="bottomRight" state="frozen"/>
      <selection activeCell="Z13" activeCellId="3" sqref="Z18 Z17 Z15 Z13"/>
      <selection pane="topRight" activeCell="Z13" activeCellId="3" sqref="Z18 Z17 Z15 Z13"/>
      <selection pane="bottomLeft" activeCell="Z13" activeCellId="3" sqref="Z18 Z17 Z15 Z13"/>
      <selection pane="bottomRight" activeCell="Z13" activeCellId="3" sqref="Z18 Z17 Z15 Z13"/>
    </sheetView>
  </sheetViews>
  <sheetFormatPr defaultColWidth="9.140625" defaultRowHeight="12.75" x14ac:dyDescent="0.2"/>
  <cols>
    <col min="1" max="1" width="34.42578125" style="434" customWidth="1"/>
    <col min="2" max="2" width="1.5703125" style="437" customWidth="1"/>
    <col min="3" max="3" width="12.85546875" style="437" hidden="1" customWidth="1"/>
    <col min="4" max="4" width="1.5703125" style="437" hidden="1" customWidth="1"/>
    <col min="5" max="5" width="12.85546875" style="437" hidden="1" customWidth="1"/>
    <col min="6" max="6" width="1.5703125" style="437" hidden="1" customWidth="1"/>
    <col min="7" max="7" width="12.85546875" style="437" customWidth="1"/>
    <col min="8" max="8" width="1.5703125" style="437" customWidth="1"/>
    <col min="9" max="9" width="12.85546875" style="437" customWidth="1"/>
    <col min="10" max="10" width="1.5703125" style="437" customWidth="1"/>
    <col min="11" max="11" width="12.85546875" style="437" hidden="1" customWidth="1"/>
    <col min="12" max="12" width="1.5703125" style="437" hidden="1" customWidth="1"/>
    <col min="13" max="13" width="12.85546875" style="437" customWidth="1"/>
    <col min="14" max="14" width="1.5703125" style="437" customWidth="1"/>
    <col min="15" max="15" width="12.85546875" style="437" customWidth="1"/>
    <col min="16" max="27" width="9.140625" style="434"/>
    <col min="28" max="16384" width="9.140625" style="202"/>
  </cols>
  <sheetData>
    <row r="1" spans="1:27" s="544" customFormat="1" ht="16.5" customHeight="1" thickBot="1" x14ac:dyDescent="0.25">
      <c r="A1" s="1582" t="s">
        <v>1033</v>
      </c>
      <c r="B1" s="1582"/>
      <c r="C1" s="1582"/>
      <c r="D1" s="1582"/>
      <c r="E1" s="1582"/>
      <c r="F1" s="1582"/>
      <c r="G1" s="1582"/>
      <c r="H1" s="1582"/>
      <c r="I1" s="1582"/>
      <c r="J1" s="1582"/>
      <c r="K1" s="1582"/>
      <c r="L1" s="1582"/>
      <c r="M1" s="1582"/>
      <c r="N1" s="1582"/>
      <c r="O1" s="1582"/>
    </row>
    <row r="2" spans="1:27" s="715" customFormat="1" ht="15" customHeight="1" x14ac:dyDescent="0.2">
      <c r="A2" s="700" t="s">
        <v>32</v>
      </c>
      <c r="B2" s="714"/>
      <c r="C2" s="716"/>
      <c r="D2" s="714"/>
      <c r="E2" s="716"/>
      <c r="F2" s="714"/>
      <c r="G2" s="716"/>
      <c r="H2" s="714"/>
      <c r="I2" s="716"/>
      <c r="J2" s="714"/>
      <c r="K2" s="716"/>
      <c r="L2" s="714"/>
      <c r="M2" s="714"/>
      <c r="N2" s="714"/>
      <c r="O2" s="714"/>
    </row>
    <row r="3" spans="1:27" s="715" customFormat="1" ht="15" customHeight="1" x14ac:dyDescent="0.2">
      <c r="A3" s="700" t="s">
        <v>268</v>
      </c>
      <c r="B3" s="714"/>
      <c r="C3" s="716"/>
      <c r="D3" s="714"/>
      <c r="E3" s="716"/>
      <c r="F3" s="714"/>
      <c r="G3" s="716"/>
      <c r="H3" s="714"/>
      <c r="I3" s="716"/>
      <c r="J3" s="714"/>
      <c r="K3" s="716"/>
      <c r="L3" s="714"/>
      <c r="M3" s="714"/>
      <c r="N3" s="714"/>
      <c r="O3" s="714"/>
    </row>
    <row r="4" spans="1:27" s="434" customFormat="1" ht="12.95" customHeight="1" x14ac:dyDescent="0.2">
      <c r="A4" s="1579" t="s">
        <v>1725</v>
      </c>
      <c r="B4" s="1579"/>
      <c r="C4" s="1579"/>
      <c r="D4" s="1579"/>
      <c r="E4" s="1579"/>
      <c r="F4" s="432"/>
      <c r="G4" s="432"/>
      <c r="H4" s="432"/>
      <c r="I4" s="432"/>
      <c r="J4" s="432"/>
      <c r="K4" s="432"/>
      <c r="L4" s="432"/>
      <c r="M4" s="437"/>
      <c r="N4" s="432"/>
      <c r="O4" s="437"/>
    </row>
    <row r="5" spans="1:27" s="247" customFormat="1" ht="12" customHeight="1" x14ac:dyDescent="0.2">
      <c r="A5" s="253" t="s">
        <v>972</v>
      </c>
      <c r="B5" s="433"/>
      <c r="D5" s="433"/>
      <c r="F5" s="433"/>
      <c r="H5" s="433"/>
      <c r="J5" s="433"/>
      <c r="L5" s="433"/>
      <c r="N5" s="433"/>
    </row>
    <row r="6" spans="1:27" s="247" customFormat="1" ht="12" customHeight="1" x14ac:dyDescent="0.2">
      <c r="A6" s="253"/>
      <c r="B6" s="433"/>
      <c r="D6" s="433"/>
      <c r="F6" s="433"/>
      <c r="H6" s="433"/>
      <c r="J6" s="433"/>
      <c r="L6" s="433"/>
      <c r="N6" s="433"/>
    </row>
    <row r="7" spans="1:27" ht="12.6" customHeight="1" x14ac:dyDescent="0.2">
      <c r="B7" s="433"/>
      <c r="C7" s="212"/>
      <c r="D7" s="433"/>
      <c r="E7" s="212"/>
      <c r="F7" s="433"/>
      <c r="G7" s="212"/>
      <c r="H7" s="433"/>
      <c r="I7" s="212"/>
      <c r="J7" s="433"/>
      <c r="K7" s="212"/>
      <c r="L7" s="433"/>
      <c r="N7" s="433"/>
    </row>
    <row r="8" spans="1:27" s="198" customFormat="1" ht="12.6" customHeight="1" x14ac:dyDescent="0.2">
      <c r="A8" s="445"/>
      <c r="B8" s="433"/>
      <c r="C8" s="445" t="s">
        <v>363</v>
      </c>
      <c r="D8" s="433"/>
      <c r="E8" s="445"/>
      <c r="F8" s="433"/>
      <c r="G8" s="443"/>
      <c r="H8" s="433"/>
      <c r="I8" s="443" t="s">
        <v>246</v>
      </c>
      <c r="J8" s="433"/>
      <c r="K8" s="445" t="s">
        <v>224</v>
      </c>
      <c r="L8" s="433"/>
      <c r="M8" s="445"/>
      <c r="N8" s="433"/>
      <c r="O8" s="443" t="s">
        <v>671</v>
      </c>
      <c r="P8" s="445"/>
      <c r="Q8" s="445"/>
      <c r="R8" s="445"/>
      <c r="S8" s="445"/>
      <c r="T8" s="445"/>
      <c r="U8" s="445"/>
      <c r="V8" s="445"/>
      <c r="W8" s="445"/>
      <c r="X8" s="445"/>
      <c r="Y8" s="445"/>
      <c r="Z8" s="445"/>
      <c r="AA8" s="445"/>
    </row>
    <row r="9" spans="1:27" s="198" customFormat="1" ht="12.6" customHeight="1" x14ac:dyDescent="0.2">
      <c r="A9" s="445"/>
      <c r="C9" s="443" t="s">
        <v>364</v>
      </c>
      <c r="E9" s="443"/>
      <c r="G9" s="445"/>
      <c r="I9" s="443" t="s">
        <v>845</v>
      </c>
      <c r="K9" s="443" t="s">
        <v>439</v>
      </c>
      <c r="M9" s="443" t="s">
        <v>1186</v>
      </c>
      <c r="O9" s="443" t="s">
        <v>256</v>
      </c>
      <c r="P9" s="445"/>
      <c r="Q9" s="445"/>
      <c r="R9" s="445"/>
      <c r="S9" s="445"/>
      <c r="T9" s="445"/>
      <c r="U9" s="445"/>
      <c r="V9" s="445"/>
      <c r="W9" s="445"/>
      <c r="X9" s="445"/>
      <c r="Y9" s="445"/>
      <c r="Z9" s="445"/>
      <c r="AA9" s="445"/>
    </row>
    <row r="10" spans="1:27" s="198" customFormat="1" ht="12.6" customHeight="1" x14ac:dyDescent="0.2">
      <c r="A10" s="445"/>
      <c r="C10" s="443" t="s">
        <v>365</v>
      </c>
      <c r="E10" s="443" t="s">
        <v>646</v>
      </c>
      <c r="G10" s="443" t="s">
        <v>231</v>
      </c>
      <c r="I10" s="443" t="s">
        <v>411</v>
      </c>
      <c r="K10" s="443" t="s">
        <v>412</v>
      </c>
      <c r="M10" s="443" t="s">
        <v>867</v>
      </c>
      <c r="O10" s="443" t="s">
        <v>861</v>
      </c>
      <c r="P10" s="445"/>
      <c r="Q10" s="445"/>
      <c r="R10" s="445"/>
      <c r="S10" s="445"/>
      <c r="T10" s="445"/>
      <c r="U10" s="445"/>
      <c r="V10" s="445"/>
      <c r="W10" s="445"/>
      <c r="X10" s="445"/>
      <c r="Y10" s="445"/>
      <c r="Z10" s="445"/>
      <c r="AA10" s="445"/>
    </row>
    <row r="11" spans="1:27" s="198" customFormat="1" ht="12.6" customHeight="1" x14ac:dyDescent="0.2">
      <c r="A11" s="445"/>
      <c r="C11" s="446" t="s">
        <v>366</v>
      </c>
      <c r="E11" s="446" t="s">
        <v>721</v>
      </c>
      <c r="G11" s="446" t="s">
        <v>862</v>
      </c>
      <c r="I11" s="446" t="s">
        <v>59</v>
      </c>
      <c r="K11" s="446" t="s">
        <v>225</v>
      </c>
      <c r="M11" s="446" t="s">
        <v>1001</v>
      </c>
      <c r="O11" s="446" t="s">
        <v>862</v>
      </c>
      <c r="P11" s="445"/>
      <c r="Q11" s="445"/>
      <c r="R11" s="445"/>
      <c r="S11" s="445"/>
      <c r="T11" s="445"/>
      <c r="U11" s="445"/>
      <c r="V11" s="445"/>
      <c r="W11" s="445"/>
      <c r="X11" s="445"/>
      <c r="Y11" s="445"/>
      <c r="Z11" s="445"/>
      <c r="AA11" s="445"/>
    </row>
    <row r="12" spans="1:27" s="439" customFormat="1" ht="9.75" customHeight="1" x14ac:dyDescent="0.2">
      <c r="A12" s="417" t="s">
        <v>868</v>
      </c>
      <c r="B12" s="198"/>
      <c r="C12" s="438"/>
      <c r="D12" s="198"/>
      <c r="E12" s="438"/>
      <c r="F12" s="198"/>
      <c r="G12" s="438"/>
      <c r="H12" s="198"/>
      <c r="I12" s="438"/>
      <c r="J12" s="198"/>
      <c r="K12" s="438"/>
      <c r="L12" s="198"/>
      <c r="M12" s="438"/>
      <c r="N12" s="198"/>
      <c r="O12" s="438"/>
      <c r="P12" s="418"/>
      <c r="Q12" s="418"/>
      <c r="R12" s="418"/>
      <c r="S12" s="418"/>
      <c r="T12" s="418"/>
      <c r="U12" s="418"/>
      <c r="V12" s="418"/>
      <c r="W12" s="418"/>
      <c r="X12" s="418"/>
      <c r="Y12" s="418"/>
      <c r="Z12" s="418"/>
      <c r="AA12" s="418"/>
    </row>
    <row r="13" spans="1:27" s="439" customFormat="1" ht="9.9499999999999993" hidden="1" customHeight="1" x14ac:dyDescent="0.2">
      <c r="A13" s="428" t="s">
        <v>869</v>
      </c>
      <c r="B13" s="438"/>
      <c r="C13" s="438"/>
      <c r="D13" s="438"/>
      <c r="E13" s="438"/>
      <c r="F13" s="438"/>
      <c r="G13" s="438"/>
      <c r="H13" s="438"/>
      <c r="I13" s="438"/>
      <c r="J13" s="438"/>
      <c r="K13" s="438"/>
      <c r="L13" s="438"/>
      <c r="M13" s="438"/>
      <c r="N13" s="438"/>
      <c r="O13" s="438"/>
      <c r="P13" s="418"/>
      <c r="Q13" s="418"/>
      <c r="R13" s="418"/>
      <c r="S13" s="418"/>
      <c r="T13" s="418"/>
      <c r="U13" s="418"/>
      <c r="V13" s="418"/>
      <c r="W13" s="418"/>
      <c r="X13" s="418"/>
      <c r="Y13" s="418"/>
      <c r="Z13" s="418"/>
      <c r="AA13" s="418"/>
    </row>
    <row r="14" spans="1:27" s="449" customFormat="1" ht="9.9499999999999993" hidden="1" customHeight="1" x14ac:dyDescent="0.2">
      <c r="A14" s="426" t="s">
        <v>829</v>
      </c>
      <c r="B14" s="438"/>
      <c r="C14" s="450">
        <f>+SORECGFws!AS5</f>
        <v>0</v>
      </c>
      <c r="D14" s="438"/>
      <c r="E14" s="450">
        <f>+SORECGFws!AY5</f>
        <v>0</v>
      </c>
      <c r="F14" s="438"/>
      <c r="G14" s="450">
        <f>+SORECGFws!AT5</f>
        <v>0</v>
      </c>
      <c r="H14" s="438"/>
      <c r="I14" s="450">
        <f>+SORECGFws!AU5</f>
        <v>0</v>
      </c>
      <c r="J14" s="438"/>
      <c r="K14" s="450">
        <f>+SORECGFws!AV5</f>
        <v>0</v>
      </c>
      <c r="L14" s="438"/>
      <c r="M14" s="450">
        <f>+SORECGFws!AW5</f>
        <v>0</v>
      </c>
      <c r="N14" s="438"/>
      <c r="O14" s="450">
        <f t="shared" ref="O14:O27" si="0">SUM(B14:M14)</f>
        <v>0</v>
      </c>
      <c r="P14" s="448"/>
      <c r="Q14" s="448"/>
      <c r="R14" s="448"/>
      <c r="S14" s="448"/>
      <c r="T14" s="448"/>
      <c r="U14" s="448"/>
      <c r="V14" s="448"/>
      <c r="W14" s="448"/>
      <c r="X14" s="448"/>
      <c r="Y14" s="448"/>
      <c r="Z14" s="448"/>
      <c r="AA14" s="448"/>
    </row>
    <row r="15" spans="1:27" s="451" customFormat="1" ht="9.9499999999999993" hidden="1" customHeight="1" x14ac:dyDescent="0.2">
      <c r="A15" s="426" t="s">
        <v>830</v>
      </c>
      <c r="B15" s="447"/>
      <c r="C15" s="450">
        <f>+SORECGFws!AS6</f>
        <v>0</v>
      </c>
      <c r="D15" s="447"/>
      <c r="E15" s="450">
        <f>+SORECGFws!AY6</f>
        <v>0</v>
      </c>
      <c r="F15" s="447"/>
      <c r="G15" s="450">
        <f>+SORECGFws!AT6</f>
        <v>0</v>
      </c>
      <c r="H15" s="447"/>
      <c r="I15" s="450">
        <f>+SORECGFws!AU6</f>
        <v>0</v>
      </c>
      <c r="J15" s="447"/>
      <c r="K15" s="450">
        <f>+SORECGFws!AV6</f>
        <v>0</v>
      </c>
      <c r="L15" s="447"/>
      <c r="M15" s="450">
        <f>+SORECGFws!AW6</f>
        <v>0</v>
      </c>
      <c r="N15" s="447"/>
      <c r="O15" s="450">
        <f t="shared" si="0"/>
        <v>0</v>
      </c>
      <c r="P15" s="450"/>
      <c r="Q15" s="450"/>
      <c r="R15" s="450"/>
      <c r="S15" s="450"/>
      <c r="T15" s="450"/>
      <c r="U15" s="450"/>
      <c r="V15" s="450"/>
      <c r="W15" s="450"/>
      <c r="X15" s="450"/>
      <c r="Y15" s="450"/>
      <c r="Z15" s="450"/>
      <c r="AA15" s="450"/>
    </row>
    <row r="16" spans="1:27" s="451" customFormat="1" ht="9.9499999999999993" hidden="1" customHeight="1" x14ac:dyDescent="0.2">
      <c r="A16" s="426" t="s">
        <v>831</v>
      </c>
      <c r="B16" s="450"/>
      <c r="C16" s="450">
        <f>+SORECGFws!AS7</f>
        <v>0</v>
      </c>
      <c r="D16" s="450"/>
      <c r="E16" s="450">
        <f>+SORECGFws!AY7</f>
        <v>0</v>
      </c>
      <c r="F16" s="450"/>
      <c r="G16" s="450">
        <f>+SORECGFws!AT7</f>
        <v>0</v>
      </c>
      <c r="H16" s="450"/>
      <c r="I16" s="450">
        <f>+SORECGFws!AU7</f>
        <v>0</v>
      </c>
      <c r="J16" s="450"/>
      <c r="K16" s="450">
        <f>+SORECGFws!AV7</f>
        <v>0</v>
      </c>
      <c r="L16" s="450"/>
      <c r="M16" s="450">
        <f>+SORECGFws!AW7</f>
        <v>0</v>
      </c>
      <c r="N16" s="450"/>
      <c r="O16" s="450">
        <f t="shared" si="0"/>
        <v>0</v>
      </c>
      <c r="P16" s="450"/>
      <c r="Q16" s="450"/>
      <c r="R16" s="450"/>
      <c r="S16" s="450"/>
      <c r="T16" s="450"/>
      <c r="U16" s="450"/>
      <c r="V16" s="450"/>
      <c r="W16" s="450"/>
      <c r="X16" s="450"/>
      <c r="Y16" s="450"/>
      <c r="Z16" s="450"/>
      <c r="AA16" s="450"/>
    </row>
    <row r="17" spans="1:27" s="451" customFormat="1" ht="9.9499999999999993" hidden="1" customHeight="1" x14ac:dyDescent="0.2">
      <c r="A17" s="426" t="s">
        <v>827</v>
      </c>
      <c r="B17" s="450"/>
      <c r="C17" s="450">
        <f>+SORECGFws!AS8</f>
        <v>0</v>
      </c>
      <c r="D17" s="450"/>
      <c r="E17" s="450">
        <f>+SORECGFws!AY8</f>
        <v>0</v>
      </c>
      <c r="F17" s="450"/>
      <c r="G17" s="450">
        <f>+SORECGFws!AT8</f>
        <v>0</v>
      </c>
      <c r="H17" s="450"/>
      <c r="I17" s="450">
        <f>+SORECGFws!AU8</f>
        <v>0</v>
      </c>
      <c r="J17" s="450"/>
      <c r="K17" s="450">
        <f>+SORECGFws!AV8</f>
        <v>0</v>
      </c>
      <c r="L17" s="450"/>
      <c r="M17" s="450">
        <f>+SORECGFws!AW8</f>
        <v>0</v>
      </c>
      <c r="N17" s="450"/>
      <c r="O17" s="450">
        <f t="shared" si="0"/>
        <v>0</v>
      </c>
      <c r="P17" s="450"/>
      <c r="Q17" s="450"/>
      <c r="R17" s="450"/>
      <c r="S17" s="450"/>
      <c r="T17" s="450"/>
      <c r="U17" s="450"/>
      <c r="V17" s="450"/>
      <c r="W17" s="450"/>
      <c r="X17" s="450"/>
      <c r="Y17" s="450"/>
      <c r="Z17" s="450"/>
      <c r="AA17" s="450"/>
    </row>
    <row r="18" spans="1:27" s="451" customFormat="1" ht="9.9499999999999993" hidden="1" customHeight="1" x14ac:dyDescent="0.2">
      <c r="A18" s="426" t="s">
        <v>832</v>
      </c>
      <c r="B18" s="450"/>
      <c r="C18" s="450">
        <f>+SORECGFws!AS9</f>
        <v>0</v>
      </c>
      <c r="D18" s="450"/>
      <c r="E18" s="450">
        <f>+SORECGFws!AY9</f>
        <v>0</v>
      </c>
      <c r="F18" s="450"/>
      <c r="G18" s="450">
        <f>+SORECGFws!AT9</f>
        <v>0</v>
      </c>
      <c r="H18" s="450"/>
      <c r="I18" s="450">
        <f>+SORECGFws!AU9</f>
        <v>0</v>
      </c>
      <c r="J18" s="450"/>
      <c r="K18" s="450">
        <f>+SORECGFws!AV9</f>
        <v>0</v>
      </c>
      <c r="L18" s="450"/>
      <c r="M18" s="450">
        <f>+SORECGFws!AW9</f>
        <v>0</v>
      </c>
      <c r="N18" s="450"/>
      <c r="O18" s="450">
        <f t="shared" si="0"/>
        <v>0</v>
      </c>
      <c r="P18" s="450"/>
      <c r="Q18" s="450"/>
      <c r="R18" s="450"/>
      <c r="S18" s="450"/>
      <c r="T18" s="450"/>
      <c r="U18" s="450"/>
      <c r="V18" s="450"/>
      <c r="W18" s="450"/>
      <c r="X18" s="450"/>
      <c r="Y18" s="450"/>
      <c r="Z18" s="450"/>
      <c r="AA18" s="450"/>
    </row>
    <row r="19" spans="1:27" s="451" customFormat="1" ht="9.9499999999999993" hidden="1" customHeight="1" x14ac:dyDescent="0.2">
      <c r="A19" s="426" t="s">
        <v>944</v>
      </c>
      <c r="B19" s="447"/>
      <c r="C19" s="450">
        <f>+SORECGFws!AS10</f>
        <v>0</v>
      </c>
      <c r="D19" s="447"/>
      <c r="E19" s="450">
        <f>+SORECGFws!AY10</f>
        <v>0</v>
      </c>
      <c r="F19" s="447"/>
      <c r="G19" s="450">
        <f>+SORECGFws!AT10</f>
        <v>0</v>
      </c>
      <c r="H19" s="447"/>
      <c r="I19" s="450">
        <f>+SORECGFws!AU10</f>
        <v>0</v>
      </c>
      <c r="J19" s="447"/>
      <c r="K19" s="450">
        <f>+SORECGFws!AV10</f>
        <v>0</v>
      </c>
      <c r="L19" s="447"/>
      <c r="M19" s="450">
        <f>+SORECGFws!AW10</f>
        <v>0</v>
      </c>
      <c r="N19" s="447"/>
      <c r="O19" s="450">
        <f t="shared" si="0"/>
        <v>0</v>
      </c>
      <c r="P19" s="450"/>
      <c r="Q19" s="450"/>
      <c r="R19" s="450"/>
      <c r="S19" s="450"/>
      <c r="T19" s="450"/>
      <c r="U19" s="450"/>
      <c r="V19" s="450"/>
      <c r="W19" s="450"/>
      <c r="X19" s="450"/>
      <c r="Y19" s="450"/>
      <c r="Z19" s="450"/>
      <c r="AA19" s="450"/>
    </row>
    <row r="20" spans="1:27" s="451" customFormat="1" ht="9.9499999999999993" hidden="1" customHeight="1" x14ac:dyDescent="0.2">
      <c r="A20" s="425" t="s">
        <v>945</v>
      </c>
      <c r="B20" s="447"/>
      <c r="C20" s="450">
        <f>+SORECGFws!AS11</f>
        <v>0</v>
      </c>
      <c r="D20" s="447"/>
      <c r="E20" s="450">
        <f>+SORECGFws!AY11</f>
        <v>0</v>
      </c>
      <c r="F20" s="447"/>
      <c r="G20" s="450">
        <f>+SORECGFws!AT11</f>
        <v>0</v>
      </c>
      <c r="H20" s="447"/>
      <c r="I20" s="450">
        <f>+SORECGFws!AU11</f>
        <v>0</v>
      </c>
      <c r="J20" s="447"/>
      <c r="K20" s="450">
        <f>+SORECGFws!AV11</f>
        <v>0</v>
      </c>
      <c r="L20" s="447"/>
      <c r="M20" s="450">
        <f>+SORECGFws!AW11</f>
        <v>0</v>
      </c>
      <c r="N20" s="447"/>
      <c r="O20" s="450">
        <f t="shared" si="0"/>
        <v>0</v>
      </c>
      <c r="P20" s="450"/>
      <c r="Q20" s="450"/>
      <c r="R20" s="450"/>
      <c r="S20" s="450"/>
      <c r="T20" s="450"/>
      <c r="U20" s="450"/>
      <c r="V20" s="450"/>
      <c r="W20" s="450"/>
      <c r="X20" s="450"/>
      <c r="Y20" s="450"/>
      <c r="Z20" s="450"/>
      <c r="AA20" s="450"/>
    </row>
    <row r="21" spans="1:27" s="451" customFormat="1" ht="9.9499999999999993" customHeight="1" x14ac:dyDescent="0.2">
      <c r="A21" s="425" t="s">
        <v>946</v>
      </c>
      <c r="B21" s="339"/>
      <c r="C21" s="339">
        <f>+SORECGFws!AS12</f>
        <v>0</v>
      </c>
      <c r="D21" s="339"/>
      <c r="E21" s="339">
        <f>+SORECGFws!AX12</f>
        <v>0</v>
      </c>
      <c r="F21" s="339"/>
      <c r="G21" s="339">
        <f>+SORECGFws!AT12</f>
        <v>7940</v>
      </c>
      <c r="H21" s="339"/>
      <c r="I21" s="339">
        <f>+SORECGFws!AU12</f>
        <v>0</v>
      </c>
      <c r="J21" s="339"/>
      <c r="K21" s="339">
        <f>+SORECGFws!AV12</f>
        <v>0</v>
      </c>
      <c r="L21" s="339"/>
      <c r="M21" s="339">
        <f>+SORECGFws!AW12</f>
        <v>0</v>
      </c>
      <c r="N21" s="339"/>
      <c r="O21" s="339">
        <f t="shared" si="0"/>
        <v>7940</v>
      </c>
      <c r="P21" s="450"/>
      <c r="Q21" s="450"/>
      <c r="R21" s="450"/>
      <c r="S21" s="450"/>
      <c r="T21" s="450"/>
      <c r="U21" s="450"/>
      <c r="V21" s="450"/>
      <c r="W21" s="450"/>
      <c r="X21" s="450"/>
      <c r="Y21" s="450"/>
      <c r="Z21" s="450"/>
      <c r="AA21" s="450"/>
    </row>
    <row r="22" spans="1:27" s="451" customFormat="1" ht="9.9499999999999993" hidden="1" customHeight="1" x14ac:dyDescent="0.2">
      <c r="A22" s="425" t="s">
        <v>947</v>
      </c>
      <c r="B22" s="447"/>
      <c r="C22" s="450">
        <f>+SORECGFws!AS13</f>
        <v>0</v>
      </c>
      <c r="D22" s="447"/>
      <c r="E22" s="450">
        <f>+SORECGFws!AX13</f>
        <v>0</v>
      </c>
      <c r="F22" s="447"/>
      <c r="G22" s="450">
        <f>+SORECGFws!AT13</f>
        <v>0</v>
      </c>
      <c r="H22" s="447"/>
      <c r="I22" s="450">
        <f>+SORECGFws!AU13</f>
        <v>0</v>
      </c>
      <c r="J22" s="447"/>
      <c r="K22" s="450">
        <f>+SORECGFws!AV13</f>
        <v>0</v>
      </c>
      <c r="L22" s="447"/>
      <c r="M22" s="450">
        <f>+SORECGFws!AW13</f>
        <v>0</v>
      </c>
      <c r="N22" s="447"/>
      <c r="O22" s="450">
        <f t="shared" si="0"/>
        <v>0</v>
      </c>
      <c r="P22" s="450"/>
      <c r="Q22" s="450"/>
      <c r="R22" s="450"/>
      <c r="S22" s="450"/>
      <c r="T22" s="450"/>
      <c r="U22" s="450"/>
      <c r="V22" s="450"/>
      <c r="W22" s="450"/>
      <c r="X22" s="450"/>
      <c r="Y22" s="450"/>
      <c r="Z22" s="450"/>
      <c r="AA22" s="450"/>
    </row>
    <row r="23" spans="1:27" s="451" customFormat="1" ht="9.9499999999999993" hidden="1" customHeight="1" x14ac:dyDescent="0.2">
      <c r="A23" s="425" t="s">
        <v>948</v>
      </c>
      <c r="B23" s="450"/>
      <c r="C23" s="450">
        <f>+SORECGFws!AS14</f>
        <v>0</v>
      </c>
      <c r="D23" s="450"/>
      <c r="E23" s="450">
        <f>+SORECGFws!AX14</f>
        <v>0</v>
      </c>
      <c r="F23" s="450"/>
      <c r="G23" s="450">
        <f>+SORECGFws!AT14</f>
        <v>0</v>
      </c>
      <c r="H23" s="450"/>
      <c r="I23" s="450">
        <f>+SORECGFws!AU14</f>
        <v>0</v>
      </c>
      <c r="J23" s="450"/>
      <c r="K23" s="450">
        <f>+SORECGFws!AV14</f>
        <v>0</v>
      </c>
      <c r="L23" s="450"/>
      <c r="M23" s="450">
        <f>+SORECGFws!AW14</f>
        <v>0</v>
      </c>
      <c r="N23" s="450"/>
      <c r="O23" s="450">
        <f t="shared" si="0"/>
        <v>0</v>
      </c>
      <c r="P23" s="450"/>
      <c r="Q23" s="450"/>
      <c r="R23" s="450"/>
      <c r="S23" s="450"/>
      <c r="T23" s="450"/>
      <c r="U23" s="450"/>
      <c r="V23" s="450"/>
      <c r="W23" s="450"/>
      <c r="X23" s="450"/>
      <c r="Y23" s="450"/>
      <c r="Z23" s="450"/>
      <c r="AA23" s="450"/>
    </row>
    <row r="24" spans="1:27" s="451" customFormat="1" ht="9.9499999999999993" hidden="1" customHeight="1" x14ac:dyDescent="0.2">
      <c r="A24" s="425" t="s">
        <v>16</v>
      </c>
      <c r="B24" s="450"/>
      <c r="C24" s="450">
        <f>+SORECGFws!AS15</f>
        <v>0</v>
      </c>
      <c r="D24" s="450"/>
      <c r="E24" s="450">
        <f>+SORECGFws!AX15</f>
        <v>0</v>
      </c>
      <c r="F24" s="450"/>
      <c r="G24" s="450">
        <f>+SORECGFws!AT15</f>
        <v>0</v>
      </c>
      <c r="H24" s="450"/>
      <c r="I24" s="450">
        <f>+SORECGFws!AU15</f>
        <v>0</v>
      </c>
      <c r="J24" s="450"/>
      <c r="K24" s="450">
        <f>+SORECGFws!AV15</f>
        <v>0</v>
      </c>
      <c r="L24" s="450"/>
      <c r="M24" s="450">
        <f>+SORECGFws!AW15</f>
        <v>0</v>
      </c>
      <c r="N24" s="450"/>
      <c r="O24" s="450">
        <f t="shared" si="0"/>
        <v>0</v>
      </c>
      <c r="P24" s="450"/>
      <c r="Q24" s="450"/>
      <c r="R24" s="450"/>
      <c r="S24" s="450"/>
      <c r="T24" s="450"/>
      <c r="U24" s="450"/>
      <c r="V24" s="450"/>
      <c r="W24" s="450"/>
      <c r="X24" s="450"/>
      <c r="Y24" s="450"/>
      <c r="Z24" s="450"/>
      <c r="AA24" s="450"/>
    </row>
    <row r="25" spans="1:27" s="451" customFormat="1" ht="9.9499999999999993" hidden="1" customHeight="1" x14ac:dyDescent="0.2">
      <c r="A25" s="425" t="s">
        <v>775</v>
      </c>
      <c r="B25" s="450"/>
      <c r="C25" s="450">
        <f>+SORECGFws!AS16</f>
        <v>0</v>
      </c>
      <c r="D25" s="450"/>
      <c r="E25" s="450">
        <f>+SORECGFws!AX16</f>
        <v>0</v>
      </c>
      <c r="F25" s="450"/>
      <c r="G25" s="450">
        <f>+SORECGFws!AT16</f>
        <v>0</v>
      </c>
      <c r="H25" s="450"/>
      <c r="I25" s="450">
        <f>+SORECGFws!AU16</f>
        <v>0</v>
      </c>
      <c r="J25" s="450"/>
      <c r="K25" s="450">
        <f>+SORECGFws!AV16</f>
        <v>0</v>
      </c>
      <c r="L25" s="450"/>
      <c r="M25" s="450">
        <f>+SORECGFws!AW16</f>
        <v>0</v>
      </c>
      <c r="N25" s="450"/>
      <c r="O25" s="450">
        <f t="shared" si="0"/>
        <v>0</v>
      </c>
      <c r="P25" s="450"/>
      <c r="Q25" s="450"/>
      <c r="R25" s="450"/>
      <c r="S25" s="450"/>
      <c r="T25" s="450"/>
      <c r="U25" s="450"/>
      <c r="V25" s="450"/>
      <c r="W25" s="450"/>
      <c r="X25" s="450"/>
      <c r="Y25" s="450"/>
      <c r="Z25" s="450"/>
      <c r="AA25" s="450"/>
    </row>
    <row r="26" spans="1:27" s="451" customFormat="1" ht="9.9499999999999993" customHeight="1" x14ac:dyDescent="0.2">
      <c r="A26" s="425" t="s">
        <v>1664</v>
      </c>
      <c r="B26" s="450"/>
      <c r="C26" s="450">
        <f>+SORECGFws!AS17</f>
        <v>0</v>
      </c>
      <c r="D26" s="450"/>
      <c r="E26" s="450">
        <f>+SORECGFws!AX17</f>
        <v>0</v>
      </c>
      <c r="F26" s="450"/>
      <c r="G26" s="450">
        <f>+SORECGFws!AT17</f>
        <v>0</v>
      </c>
      <c r="H26" s="450"/>
      <c r="I26" s="450">
        <f>+SORECGFws!AU17</f>
        <v>17</v>
      </c>
      <c r="J26" s="450"/>
      <c r="K26" s="450">
        <f>+SORECGFws!AV17</f>
        <v>0</v>
      </c>
      <c r="L26" s="450"/>
      <c r="M26" s="450">
        <f>+SORECGFws!AW17</f>
        <v>2376</v>
      </c>
      <c r="N26" s="450"/>
      <c r="O26" s="450">
        <f t="shared" si="0"/>
        <v>2393</v>
      </c>
      <c r="P26" s="450"/>
      <c r="Q26" s="450"/>
      <c r="R26" s="450"/>
      <c r="S26" s="450"/>
      <c r="T26" s="450"/>
      <c r="U26" s="450"/>
      <c r="V26" s="450"/>
      <c r="W26" s="450"/>
      <c r="X26" s="450"/>
      <c r="Y26" s="450"/>
      <c r="Z26" s="450"/>
      <c r="AA26" s="450"/>
    </row>
    <row r="27" spans="1:27" s="451" customFormat="1" ht="9.9499999999999993" hidden="1" customHeight="1" x14ac:dyDescent="0.2">
      <c r="A27" s="425" t="s">
        <v>766</v>
      </c>
      <c r="B27" s="450"/>
      <c r="C27" s="450">
        <f>+SORECGFws!AS18</f>
        <v>0</v>
      </c>
      <c r="D27" s="450"/>
      <c r="E27" s="450">
        <f>+SORECGFws!AX18</f>
        <v>0</v>
      </c>
      <c r="F27" s="450"/>
      <c r="G27" s="450">
        <f>+SORECGFws!AT18</f>
        <v>0</v>
      </c>
      <c r="H27" s="450"/>
      <c r="I27" s="450">
        <f>+SORECGFws!AU18</f>
        <v>0</v>
      </c>
      <c r="J27" s="450"/>
      <c r="K27" s="450">
        <f>+SORECGFws!AV18</f>
        <v>0</v>
      </c>
      <c r="L27" s="450"/>
      <c r="M27" s="450">
        <f>+SORECGFws!AW18</f>
        <v>0</v>
      </c>
      <c r="N27" s="450"/>
      <c r="O27" s="450">
        <f t="shared" si="0"/>
        <v>0</v>
      </c>
      <c r="P27" s="450"/>
      <c r="Q27" s="450"/>
      <c r="R27" s="450"/>
      <c r="S27" s="450"/>
      <c r="T27" s="450"/>
      <c r="U27" s="450"/>
      <c r="V27" s="450"/>
      <c r="W27" s="450"/>
      <c r="X27" s="450"/>
      <c r="Y27" s="450"/>
      <c r="Z27" s="450"/>
      <c r="AA27" s="450"/>
    </row>
    <row r="28" spans="1:27" s="451" customFormat="1" ht="5.0999999999999996" customHeight="1" x14ac:dyDescent="0.2">
      <c r="B28" s="450"/>
      <c r="C28" s="452"/>
      <c r="D28" s="450"/>
      <c r="E28" s="452"/>
      <c r="F28" s="450"/>
      <c r="G28" s="452"/>
      <c r="H28" s="450"/>
      <c r="I28" s="452"/>
      <c r="J28" s="450"/>
      <c r="K28" s="452"/>
      <c r="L28" s="450"/>
      <c r="M28" s="452"/>
      <c r="N28" s="450"/>
      <c r="O28" s="452"/>
      <c r="P28" s="450"/>
      <c r="Q28" s="450"/>
      <c r="R28" s="450"/>
      <c r="S28" s="450"/>
      <c r="T28" s="450"/>
      <c r="U28" s="450"/>
      <c r="V28" s="450"/>
      <c r="W28" s="450"/>
      <c r="X28" s="450"/>
      <c r="Y28" s="450"/>
      <c r="Z28" s="450"/>
      <c r="AA28" s="450"/>
    </row>
    <row r="29" spans="1:27" s="451" customFormat="1" ht="11.1" customHeight="1" x14ac:dyDescent="0.2">
      <c r="A29" s="417" t="s">
        <v>950</v>
      </c>
      <c r="B29" s="450"/>
      <c r="C29" s="455">
        <f>SUM(C14:C27)</f>
        <v>0</v>
      </c>
      <c r="D29" s="450"/>
      <c r="E29" s="455">
        <f>SUM(E14:E27)</f>
        <v>0</v>
      </c>
      <c r="F29" s="450"/>
      <c r="G29" s="455">
        <f>SUM(G14:G27)</f>
        <v>7940</v>
      </c>
      <c r="H29" s="450"/>
      <c r="I29" s="455">
        <f>SUM(I14:I27)</f>
        <v>17</v>
      </c>
      <c r="J29" s="450"/>
      <c r="K29" s="455">
        <f>SUM(K14:K27)</f>
        <v>0</v>
      </c>
      <c r="L29" s="450"/>
      <c r="M29" s="455">
        <f>SUM(M14:M27)</f>
        <v>2376</v>
      </c>
      <c r="N29" s="450"/>
      <c r="O29" s="455">
        <f>SUM(O14:O27)</f>
        <v>10333</v>
      </c>
      <c r="P29" s="450"/>
      <c r="Q29" s="450"/>
      <c r="R29" s="450"/>
      <c r="S29" s="450"/>
      <c r="T29" s="450"/>
      <c r="U29" s="450"/>
      <c r="V29" s="450"/>
      <c r="W29" s="450"/>
      <c r="X29" s="450"/>
      <c r="Y29" s="450"/>
      <c r="Z29" s="450"/>
      <c r="AA29" s="450"/>
    </row>
    <row r="30" spans="1:27" s="451" customFormat="1" ht="5.0999999999999996" customHeight="1" x14ac:dyDescent="0.2">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row>
    <row r="31" spans="1:27" s="451" customFormat="1" ht="9.9499999999999993" customHeight="1" x14ac:dyDescent="0.2">
      <c r="A31" s="417" t="s">
        <v>590</v>
      </c>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row>
    <row r="32" spans="1:27" s="451" customFormat="1" ht="9.9499999999999993" hidden="1" customHeight="1" x14ac:dyDescent="0.2">
      <c r="A32" s="425" t="s">
        <v>952</v>
      </c>
      <c r="B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row>
    <row r="33" spans="1:27" s="451" customFormat="1" ht="9.9499999999999993" hidden="1" customHeight="1" x14ac:dyDescent="0.2">
      <c r="A33" s="426" t="s">
        <v>953</v>
      </c>
      <c r="B33" s="450"/>
      <c r="C33" s="450">
        <f>+SORECGFws!AS23</f>
        <v>0</v>
      </c>
      <c r="D33" s="450"/>
      <c r="E33" s="450">
        <f>+SORECGFws!AX23</f>
        <v>0</v>
      </c>
      <c r="F33" s="450"/>
      <c r="G33" s="450">
        <f>+SORECGFws!AT23</f>
        <v>0</v>
      </c>
      <c r="H33" s="450"/>
      <c r="I33" s="450">
        <f>+SORECGFws!AU23</f>
        <v>0</v>
      </c>
      <c r="J33" s="450"/>
      <c r="K33" s="450">
        <f>+SORECGFws!AV23</f>
        <v>0</v>
      </c>
      <c r="L33" s="450"/>
      <c r="M33" s="450">
        <f>+SORECGFws!AW23</f>
        <v>0</v>
      </c>
      <c r="N33" s="450"/>
      <c r="O33" s="450">
        <f t="shared" ref="O33:O56" si="1">SUM(B33:M33)</f>
        <v>0</v>
      </c>
      <c r="P33" s="450"/>
      <c r="Q33" s="450"/>
      <c r="R33" s="450"/>
      <c r="S33" s="450"/>
      <c r="T33" s="450"/>
      <c r="U33" s="450"/>
      <c r="V33" s="450"/>
      <c r="W33" s="450"/>
      <c r="X33" s="450"/>
      <c r="Y33" s="450"/>
      <c r="Z33" s="450"/>
      <c r="AA33" s="450"/>
    </row>
    <row r="34" spans="1:27" s="451" customFormat="1" ht="9.9499999999999993" hidden="1" customHeight="1" x14ac:dyDescent="0.2">
      <c r="A34" s="426" t="s">
        <v>954</v>
      </c>
      <c r="B34" s="450"/>
      <c r="C34" s="450">
        <f>+SORECGFws!AS24</f>
        <v>0</v>
      </c>
      <c r="D34" s="450"/>
      <c r="E34" s="450">
        <f>+SORECGFws!AX24</f>
        <v>0</v>
      </c>
      <c r="F34" s="450"/>
      <c r="G34" s="450">
        <f>+SORECGFws!AT24</f>
        <v>0</v>
      </c>
      <c r="H34" s="450"/>
      <c r="I34" s="450">
        <f>+SORECGFws!AU24</f>
        <v>0</v>
      </c>
      <c r="J34" s="450"/>
      <c r="K34" s="450">
        <f>+SORECGFws!AV24</f>
        <v>0</v>
      </c>
      <c r="L34" s="450"/>
      <c r="M34" s="450">
        <f>+SORECGFws!AW24</f>
        <v>0</v>
      </c>
      <c r="N34" s="450"/>
      <c r="O34" s="450">
        <f t="shared" si="1"/>
        <v>0</v>
      </c>
      <c r="P34" s="450"/>
      <c r="Q34" s="450"/>
      <c r="R34" s="450"/>
      <c r="S34" s="450"/>
      <c r="T34" s="450"/>
      <c r="U34" s="450"/>
      <c r="V34" s="450"/>
      <c r="W34" s="450"/>
      <c r="X34" s="450"/>
      <c r="Y34" s="450"/>
      <c r="Z34" s="450"/>
      <c r="AA34" s="450"/>
    </row>
    <row r="35" spans="1:27" s="451" customFormat="1" ht="9.9499999999999993" hidden="1" customHeight="1" x14ac:dyDescent="0.2">
      <c r="A35" s="426" t="s">
        <v>955</v>
      </c>
      <c r="B35" s="450"/>
      <c r="C35" s="450">
        <f>+SORECGFws!AS25</f>
        <v>0</v>
      </c>
      <c r="D35" s="450"/>
      <c r="E35" s="450">
        <f>+SORECGFws!AX25</f>
        <v>0</v>
      </c>
      <c r="F35" s="450"/>
      <c r="G35" s="450">
        <f>+SORECGFws!AT25</f>
        <v>0</v>
      </c>
      <c r="H35" s="450"/>
      <c r="I35" s="450">
        <f>+SORECGFws!AU25</f>
        <v>0</v>
      </c>
      <c r="J35" s="450"/>
      <c r="K35" s="450">
        <f>+SORECGFws!AV25</f>
        <v>0</v>
      </c>
      <c r="L35" s="450"/>
      <c r="M35" s="450">
        <f>+SORECGFws!AW25</f>
        <v>0</v>
      </c>
      <c r="N35" s="450"/>
      <c r="O35" s="450">
        <f t="shared" si="1"/>
        <v>0</v>
      </c>
      <c r="P35" s="450"/>
      <c r="Q35" s="450"/>
      <c r="R35" s="450"/>
      <c r="S35" s="450"/>
      <c r="T35" s="450"/>
      <c r="U35" s="450"/>
      <c r="V35" s="450"/>
      <c r="W35" s="450"/>
      <c r="X35" s="450"/>
      <c r="Y35" s="450"/>
      <c r="Z35" s="450"/>
      <c r="AA35" s="450"/>
    </row>
    <row r="36" spans="1:27" s="451" customFormat="1" ht="9.9499999999999993" hidden="1" customHeight="1" x14ac:dyDescent="0.2">
      <c r="A36" s="426" t="s">
        <v>956</v>
      </c>
      <c r="B36" s="450"/>
      <c r="C36" s="450">
        <f>+SORECGFws!AS26</f>
        <v>0</v>
      </c>
      <c r="D36" s="450"/>
      <c r="E36" s="450">
        <f>+SORECGFws!AX26</f>
        <v>0</v>
      </c>
      <c r="F36" s="450"/>
      <c r="G36" s="450">
        <f>+SORECGFws!AT26</f>
        <v>0</v>
      </c>
      <c r="H36" s="450"/>
      <c r="I36" s="450">
        <f>+SORECGFws!AU26</f>
        <v>0</v>
      </c>
      <c r="J36" s="450"/>
      <c r="K36" s="450">
        <f>+SORECGFws!AV26</f>
        <v>0</v>
      </c>
      <c r="L36" s="450"/>
      <c r="M36" s="450">
        <f>+SORECGFws!AW26</f>
        <v>0</v>
      </c>
      <c r="N36" s="450"/>
      <c r="O36" s="450">
        <f t="shared" si="1"/>
        <v>0</v>
      </c>
      <c r="P36" s="450"/>
      <c r="Q36" s="450"/>
      <c r="R36" s="450"/>
      <c r="S36" s="450"/>
      <c r="T36" s="450"/>
      <c r="U36" s="450"/>
      <c r="V36" s="450"/>
      <c r="W36" s="450"/>
      <c r="X36" s="450"/>
      <c r="Y36" s="450"/>
      <c r="Z36" s="450"/>
      <c r="AA36" s="450"/>
    </row>
    <row r="37" spans="1:27" s="451" customFormat="1" ht="9.9499999999999993" hidden="1" customHeight="1" x14ac:dyDescent="0.2">
      <c r="A37" s="426" t="s">
        <v>958</v>
      </c>
      <c r="B37" s="450"/>
      <c r="C37" s="450">
        <f>+SORECGFws!AS27</f>
        <v>0</v>
      </c>
      <c r="D37" s="450"/>
      <c r="E37" s="450">
        <f>+SORECGFws!AX27</f>
        <v>0</v>
      </c>
      <c r="F37" s="450"/>
      <c r="G37" s="450">
        <f>+SORECGFws!AT27</f>
        <v>0</v>
      </c>
      <c r="H37" s="450"/>
      <c r="I37" s="450">
        <f>+SORECGFws!AU27</f>
        <v>0</v>
      </c>
      <c r="J37" s="450"/>
      <c r="K37" s="450">
        <f>+SORECGFws!AV27</f>
        <v>0</v>
      </c>
      <c r="L37" s="450"/>
      <c r="M37" s="450">
        <f>+SORECGFws!AW27</f>
        <v>0</v>
      </c>
      <c r="N37" s="450"/>
      <c r="O37" s="450">
        <f t="shared" si="1"/>
        <v>0</v>
      </c>
      <c r="P37" s="450"/>
      <c r="Q37" s="450"/>
      <c r="R37" s="450"/>
      <c r="S37" s="450"/>
      <c r="T37" s="450"/>
      <c r="U37" s="450"/>
      <c r="V37" s="450"/>
      <c r="W37" s="450"/>
      <c r="X37" s="450"/>
      <c r="Y37" s="450"/>
      <c r="Z37" s="450"/>
      <c r="AA37" s="450"/>
    </row>
    <row r="38" spans="1:27" s="451" customFormat="1" ht="9.9499999999999993" hidden="1" customHeight="1" x14ac:dyDescent="0.2">
      <c r="A38" s="426" t="s">
        <v>959</v>
      </c>
      <c r="B38" s="450"/>
      <c r="C38" s="450">
        <f>+SORECGFws!AS28</f>
        <v>0</v>
      </c>
      <c r="D38" s="450"/>
      <c r="E38" s="450">
        <f>+SORECGFws!AX28</f>
        <v>0</v>
      </c>
      <c r="F38" s="450"/>
      <c r="G38" s="450">
        <f>+SORECGFws!AT28</f>
        <v>0</v>
      </c>
      <c r="H38" s="450"/>
      <c r="I38" s="450">
        <f>+SORECGFws!AU28</f>
        <v>0</v>
      </c>
      <c r="J38" s="450"/>
      <c r="K38" s="450">
        <f>+SORECGFws!AV28</f>
        <v>0</v>
      </c>
      <c r="L38" s="450"/>
      <c r="M38" s="450">
        <f>+SORECGFws!AW28</f>
        <v>0</v>
      </c>
      <c r="N38" s="450"/>
      <c r="O38" s="450">
        <f t="shared" si="1"/>
        <v>0</v>
      </c>
      <c r="P38" s="450"/>
      <c r="Q38" s="450"/>
      <c r="R38" s="450"/>
      <c r="S38" s="450"/>
      <c r="T38" s="450"/>
      <c r="U38" s="450"/>
      <c r="V38" s="450"/>
      <c r="W38" s="450"/>
      <c r="X38" s="450"/>
      <c r="Y38" s="450"/>
      <c r="Z38" s="450"/>
      <c r="AA38" s="450"/>
    </row>
    <row r="39" spans="1:27" s="451" customFormat="1" ht="9.9499999999999993" hidden="1" customHeight="1" x14ac:dyDescent="0.2">
      <c r="A39" s="426" t="s">
        <v>961</v>
      </c>
      <c r="B39" s="450"/>
      <c r="C39" s="450">
        <f>+SORECGFws!AS29</f>
        <v>0</v>
      </c>
      <c r="D39" s="450"/>
      <c r="E39" s="450">
        <f>+SORECGFws!AX29</f>
        <v>0</v>
      </c>
      <c r="F39" s="450"/>
      <c r="G39" s="450">
        <f>+SORECGFws!AT29</f>
        <v>0</v>
      </c>
      <c r="H39" s="450"/>
      <c r="I39" s="450">
        <f>+SORECGFws!AU29</f>
        <v>0</v>
      </c>
      <c r="J39" s="450"/>
      <c r="K39" s="450">
        <f>+SORECGFws!AV29</f>
        <v>0</v>
      </c>
      <c r="L39" s="450"/>
      <c r="M39" s="450">
        <f>+SORECGFws!AW29</f>
        <v>0</v>
      </c>
      <c r="N39" s="450"/>
      <c r="O39" s="450">
        <f t="shared" si="1"/>
        <v>0</v>
      </c>
      <c r="P39" s="450"/>
      <c r="Q39" s="450"/>
      <c r="R39" s="450"/>
      <c r="S39" s="450"/>
      <c r="T39" s="450"/>
      <c r="U39" s="450"/>
      <c r="V39" s="450"/>
      <c r="W39" s="450"/>
      <c r="X39" s="450"/>
      <c r="Y39" s="450"/>
      <c r="Z39" s="450"/>
      <c r="AA39" s="450"/>
    </row>
    <row r="40" spans="1:27" s="451" customFormat="1" ht="9.9499999999999993" hidden="1" customHeight="1" x14ac:dyDescent="0.2">
      <c r="A40" s="426" t="s">
        <v>960</v>
      </c>
      <c r="B40" s="450"/>
      <c r="C40" s="450">
        <f>+SORECGFws!AS30</f>
        <v>0</v>
      </c>
      <c r="D40" s="450"/>
      <c r="E40" s="450">
        <f>+SORECGFws!AX30</f>
        <v>0</v>
      </c>
      <c r="F40" s="450"/>
      <c r="G40" s="450">
        <f>+SORECGFws!AT30</f>
        <v>0</v>
      </c>
      <c r="H40" s="450"/>
      <c r="I40" s="450">
        <f>+SORECGFws!AU30</f>
        <v>0</v>
      </c>
      <c r="J40" s="450"/>
      <c r="K40" s="450">
        <f>+SORECGFws!AV30</f>
        <v>0</v>
      </c>
      <c r="L40" s="450"/>
      <c r="M40" s="450">
        <f>+SORECGFws!AW30</f>
        <v>0</v>
      </c>
      <c r="N40" s="450"/>
      <c r="O40" s="450">
        <f t="shared" si="1"/>
        <v>0</v>
      </c>
      <c r="P40" s="450"/>
      <c r="Q40" s="450"/>
      <c r="R40" s="450"/>
      <c r="S40" s="450"/>
      <c r="T40" s="450"/>
      <c r="U40" s="450"/>
      <c r="V40" s="450"/>
      <c r="W40" s="450"/>
      <c r="X40" s="450"/>
      <c r="Y40" s="450"/>
      <c r="Z40" s="450"/>
      <c r="AA40" s="450"/>
    </row>
    <row r="41" spans="1:27" s="451" customFormat="1" ht="9.9499999999999993" hidden="1" customHeight="1" x14ac:dyDescent="0.2">
      <c r="A41" s="426" t="s">
        <v>963</v>
      </c>
      <c r="B41" s="450"/>
      <c r="C41" s="450">
        <f>+SORECGFws!AS31</f>
        <v>0</v>
      </c>
      <c r="D41" s="450"/>
      <c r="E41" s="450">
        <f>+SORECGFws!AX31</f>
        <v>0</v>
      </c>
      <c r="F41" s="450"/>
      <c r="G41" s="450">
        <f>+SORECGFws!AT31</f>
        <v>0</v>
      </c>
      <c r="H41" s="450"/>
      <c r="I41" s="450">
        <f>+SORECGFws!AU31</f>
        <v>0</v>
      </c>
      <c r="J41" s="450"/>
      <c r="K41" s="450">
        <f>+SORECGFws!AV31</f>
        <v>0</v>
      </c>
      <c r="L41" s="450"/>
      <c r="M41" s="450">
        <f>+SORECGFws!AW31</f>
        <v>0</v>
      </c>
      <c r="N41" s="450"/>
      <c r="O41" s="450">
        <f t="shared" si="1"/>
        <v>0</v>
      </c>
      <c r="P41" s="450"/>
      <c r="Q41" s="450"/>
      <c r="R41" s="450"/>
      <c r="S41" s="450"/>
      <c r="T41" s="450"/>
      <c r="U41" s="450"/>
      <c r="V41" s="450"/>
      <c r="W41" s="450"/>
      <c r="X41" s="450"/>
      <c r="Y41" s="450"/>
      <c r="Z41" s="450"/>
      <c r="AA41" s="450"/>
    </row>
    <row r="42" spans="1:27" s="451" customFormat="1" ht="9.9499999999999993" hidden="1" customHeight="1" x14ac:dyDescent="0.2">
      <c r="A42" s="426" t="s">
        <v>1191</v>
      </c>
      <c r="B42" s="450"/>
      <c r="C42" s="450">
        <f>+SORECGFws!AS32</f>
        <v>0</v>
      </c>
      <c r="D42" s="450"/>
      <c r="E42" s="450">
        <f>+SORECGFws!AX32</f>
        <v>0</v>
      </c>
      <c r="F42" s="450"/>
      <c r="G42" s="450">
        <f>+SORECGFws!AT32</f>
        <v>0</v>
      </c>
      <c r="H42" s="450"/>
      <c r="I42" s="450">
        <f>+SORECGFws!AU32</f>
        <v>0</v>
      </c>
      <c r="J42" s="450"/>
      <c r="K42" s="450">
        <f>+SORECGFws!AV32</f>
        <v>0</v>
      </c>
      <c r="L42" s="450"/>
      <c r="M42" s="450">
        <f>+SORECGFws!AW32</f>
        <v>0</v>
      </c>
      <c r="N42" s="450"/>
      <c r="O42" s="450">
        <f t="shared" si="1"/>
        <v>0</v>
      </c>
      <c r="P42" s="450"/>
      <c r="Q42" s="450"/>
      <c r="R42" s="450"/>
      <c r="S42" s="450"/>
      <c r="T42" s="450"/>
      <c r="U42" s="450"/>
      <c r="V42" s="450"/>
      <c r="W42" s="450"/>
      <c r="X42" s="450"/>
      <c r="Y42" s="450"/>
      <c r="Z42" s="450"/>
      <c r="AA42" s="450"/>
    </row>
    <row r="43" spans="1:27" s="451" customFormat="1" ht="9.9499999999999993" hidden="1" customHeight="1" x14ac:dyDescent="0.2">
      <c r="A43" s="426" t="s">
        <v>964</v>
      </c>
      <c r="B43" s="450"/>
      <c r="C43" s="450">
        <f>+SORECGFws!AS33</f>
        <v>0</v>
      </c>
      <c r="D43" s="450"/>
      <c r="E43" s="450">
        <f>+SORECGFws!AX33</f>
        <v>0</v>
      </c>
      <c r="F43" s="450"/>
      <c r="G43" s="450">
        <f>+SORECGFws!AT33</f>
        <v>0</v>
      </c>
      <c r="H43" s="450"/>
      <c r="I43" s="450">
        <f>+SORECGFws!AU33</f>
        <v>0</v>
      </c>
      <c r="J43" s="450"/>
      <c r="K43" s="450">
        <f>+SORECGFws!AV33</f>
        <v>0</v>
      </c>
      <c r="L43" s="450"/>
      <c r="M43" s="450">
        <f>+SORECGFws!AW33</f>
        <v>0</v>
      </c>
      <c r="N43" s="450"/>
      <c r="O43" s="450">
        <f t="shared" si="1"/>
        <v>0</v>
      </c>
      <c r="P43" s="450"/>
      <c r="Q43" s="450"/>
      <c r="R43" s="450"/>
      <c r="S43" s="450"/>
      <c r="T43" s="450"/>
      <c r="U43" s="450"/>
      <c r="V43" s="450"/>
      <c r="W43" s="450"/>
      <c r="X43" s="450"/>
      <c r="Y43" s="450"/>
      <c r="Z43" s="450"/>
      <c r="AA43" s="450"/>
    </row>
    <row r="44" spans="1:27" s="451" customFormat="1" ht="9.9499999999999993" hidden="1" customHeight="1" x14ac:dyDescent="0.2">
      <c r="A44" s="426" t="s">
        <v>1414</v>
      </c>
      <c r="B44" s="450"/>
      <c r="C44" s="450">
        <f>+SORECGFws!AS34</f>
        <v>0</v>
      </c>
      <c r="D44" s="450"/>
      <c r="E44" s="450">
        <f>+SORECGFws!AX34</f>
        <v>0</v>
      </c>
      <c r="F44" s="450"/>
      <c r="G44" s="450">
        <f>+SORECGFws!AT34</f>
        <v>0</v>
      </c>
      <c r="H44" s="450"/>
      <c r="I44" s="450">
        <f>+SORECGFws!AU34</f>
        <v>0</v>
      </c>
      <c r="J44" s="450"/>
      <c r="K44" s="450">
        <f>+SORECGFws!AV34</f>
        <v>0</v>
      </c>
      <c r="L44" s="450"/>
      <c r="M44" s="450">
        <f>+SORECGFws!AW34</f>
        <v>0</v>
      </c>
      <c r="N44" s="450"/>
      <c r="O44" s="450">
        <f t="shared" si="1"/>
        <v>0</v>
      </c>
      <c r="P44" s="450"/>
      <c r="Q44" s="450"/>
      <c r="R44" s="450"/>
      <c r="S44" s="450"/>
      <c r="T44" s="450"/>
      <c r="U44" s="450"/>
      <c r="V44" s="450"/>
      <c r="W44" s="450"/>
      <c r="X44" s="450"/>
      <c r="Y44" s="450"/>
      <c r="Z44" s="450"/>
      <c r="AA44" s="450"/>
    </row>
    <row r="45" spans="1:27" s="451" customFormat="1" ht="9.9499999999999993" customHeight="1" x14ac:dyDescent="0.2">
      <c r="A45" s="425" t="s">
        <v>888</v>
      </c>
      <c r="B45" s="450"/>
      <c r="C45" s="450">
        <f>+SORECGFws!AS35</f>
        <v>0</v>
      </c>
      <c r="D45" s="450"/>
      <c r="E45" s="450">
        <f>+SORECGFws!AX35</f>
        <v>0</v>
      </c>
      <c r="F45" s="450"/>
      <c r="G45" s="450">
        <f>+SORECGFws!AT35</f>
        <v>240432</v>
      </c>
      <c r="H45" s="450"/>
      <c r="I45" s="450">
        <f>+SORECGFws!AU35</f>
        <v>0</v>
      </c>
      <c r="J45" s="450"/>
      <c r="K45" s="450">
        <f>+SORECGFws!AV35</f>
        <v>0</v>
      </c>
      <c r="L45" s="450"/>
      <c r="M45" s="450">
        <f>+SORECGFws!AW35</f>
        <v>0</v>
      </c>
      <c r="N45" s="450"/>
      <c r="O45" s="450">
        <f t="shared" si="1"/>
        <v>240432</v>
      </c>
      <c r="P45" s="450"/>
      <c r="Q45" s="450"/>
      <c r="R45" s="450"/>
      <c r="S45" s="450"/>
      <c r="T45" s="450"/>
      <c r="U45" s="450"/>
      <c r="V45" s="450"/>
      <c r="W45" s="450"/>
      <c r="X45" s="450"/>
      <c r="Y45" s="450"/>
      <c r="Z45" s="450"/>
      <c r="AA45" s="450"/>
    </row>
    <row r="46" spans="1:27" s="451" customFormat="1" ht="9.9499999999999993" customHeight="1" x14ac:dyDescent="0.2">
      <c r="A46" s="425" t="s">
        <v>965</v>
      </c>
      <c r="B46" s="450"/>
      <c r="C46" s="450">
        <f>+SORECGFws!AS36</f>
        <v>0</v>
      </c>
      <c r="D46" s="450"/>
      <c r="E46" s="450">
        <f>+SORECGFws!AX36</f>
        <v>0</v>
      </c>
      <c r="F46" s="450"/>
      <c r="G46" s="450">
        <f>+SORECGFws!AT36</f>
        <v>0</v>
      </c>
      <c r="H46" s="450"/>
      <c r="I46" s="450">
        <f>+SORECGFws!AU36</f>
        <v>0</v>
      </c>
      <c r="J46" s="450"/>
      <c r="K46" s="450">
        <f>+SORECGFws!AV36</f>
        <v>0</v>
      </c>
      <c r="L46" s="450"/>
      <c r="M46" s="450">
        <f>+SORECGFws!AW36</f>
        <v>0</v>
      </c>
      <c r="N46" s="450"/>
      <c r="O46" s="450">
        <f t="shared" si="1"/>
        <v>0</v>
      </c>
      <c r="P46" s="450"/>
      <c r="Q46" s="450"/>
      <c r="R46" s="450"/>
      <c r="S46" s="450"/>
      <c r="T46" s="450"/>
      <c r="U46" s="450"/>
      <c r="V46" s="450"/>
      <c r="W46" s="450"/>
      <c r="X46" s="450"/>
      <c r="Y46" s="450"/>
      <c r="Z46" s="450"/>
      <c r="AA46" s="450"/>
    </row>
    <row r="47" spans="1:27" s="451" customFormat="1" ht="9.9499999999999993" hidden="1" customHeight="1" x14ac:dyDescent="0.2">
      <c r="A47" s="426" t="s">
        <v>966</v>
      </c>
      <c r="B47" s="450"/>
      <c r="C47" s="450">
        <f>+SORECGFws!AS37</f>
        <v>0</v>
      </c>
      <c r="D47" s="450"/>
      <c r="E47" s="450">
        <f>+SORECGFws!AX37</f>
        <v>0</v>
      </c>
      <c r="F47" s="450"/>
      <c r="G47" s="450">
        <f>+SORECGFws!AT37</f>
        <v>0</v>
      </c>
      <c r="H47" s="450"/>
      <c r="I47" s="450">
        <f>+SORECGFws!AU37</f>
        <v>0</v>
      </c>
      <c r="J47" s="450"/>
      <c r="K47" s="450">
        <f>+SORECGFws!AV37</f>
        <v>0</v>
      </c>
      <c r="L47" s="450"/>
      <c r="M47" s="450">
        <f>+SORECGFws!AW37</f>
        <v>0</v>
      </c>
      <c r="N47" s="450"/>
      <c r="O47" s="450">
        <f t="shared" si="1"/>
        <v>0</v>
      </c>
      <c r="P47" s="450"/>
      <c r="Q47" s="450"/>
      <c r="R47" s="450"/>
      <c r="S47" s="450"/>
      <c r="T47" s="450"/>
      <c r="U47" s="450"/>
      <c r="V47" s="450"/>
      <c r="W47" s="450"/>
      <c r="X47" s="450"/>
      <c r="Y47" s="450"/>
      <c r="Z47" s="450"/>
      <c r="AA47" s="450"/>
    </row>
    <row r="48" spans="1:27" s="451" customFormat="1" ht="9.9499999999999993" hidden="1" customHeight="1" x14ac:dyDescent="0.2">
      <c r="A48" s="426" t="s">
        <v>949</v>
      </c>
      <c r="B48" s="450"/>
      <c r="C48" s="450">
        <f>+SORECGFws!AS38</f>
        <v>0</v>
      </c>
      <c r="D48" s="450"/>
      <c r="E48" s="450">
        <f>+SORECGFws!AX38</f>
        <v>0</v>
      </c>
      <c r="F48" s="450"/>
      <c r="G48" s="450">
        <f>+SORECGFws!AT38</f>
        <v>0</v>
      </c>
      <c r="H48" s="450"/>
      <c r="I48" s="450">
        <f>+SORECGFws!AU38</f>
        <v>0</v>
      </c>
      <c r="J48" s="450"/>
      <c r="K48" s="450">
        <f>+SORECGFws!AV38</f>
        <v>0</v>
      </c>
      <c r="L48" s="450"/>
      <c r="M48" s="450">
        <f>+SORECGFws!AW38</f>
        <v>0</v>
      </c>
      <c r="N48" s="450"/>
      <c r="O48" s="450">
        <f t="shared" si="1"/>
        <v>0</v>
      </c>
      <c r="P48" s="450"/>
      <c r="Q48" s="450"/>
      <c r="R48" s="450"/>
      <c r="S48" s="450"/>
      <c r="T48" s="450"/>
      <c r="U48" s="450"/>
      <c r="V48" s="450"/>
      <c r="W48" s="450"/>
      <c r="X48" s="450"/>
      <c r="Y48" s="450"/>
      <c r="Z48" s="450"/>
      <c r="AA48" s="450"/>
    </row>
    <row r="49" spans="1:27" s="451" customFormat="1" ht="9.9499999999999993" customHeight="1" x14ac:dyDescent="0.2">
      <c r="A49" s="426" t="s">
        <v>91</v>
      </c>
      <c r="B49" s="450"/>
      <c r="C49" s="450">
        <f>+SORECGFws!AS39</f>
        <v>0</v>
      </c>
      <c r="D49" s="450"/>
      <c r="E49" s="450">
        <f>+SORECGFws!AX39</f>
        <v>0</v>
      </c>
      <c r="F49" s="450"/>
      <c r="G49" s="450">
        <f>+SORECGFws!AT39</f>
        <v>0</v>
      </c>
      <c r="H49" s="450"/>
      <c r="I49" s="450">
        <f>+SORECGFws!AU39</f>
        <v>0</v>
      </c>
      <c r="J49" s="450"/>
      <c r="K49" s="450">
        <f>+SORECGFws!AV39</f>
        <v>0</v>
      </c>
      <c r="L49" s="450"/>
      <c r="M49" s="450">
        <f>+SORECGFws!AW39</f>
        <v>44</v>
      </c>
      <c r="N49" s="450"/>
      <c r="O49" s="450">
        <f t="shared" si="1"/>
        <v>44</v>
      </c>
      <c r="P49" s="450"/>
      <c r="Q49" s="450"/>
      <c r="R49" s="450"/>
      <c r="S49" s="450"/>
      <c r="T49" s="450"/>
      <c r="U49" s="450"/>
      <c r="V49" s="450"/>
      <c r="W49" s="450"/>
      <c r="X49" s="450"/>
      <c r="Y49" s="450"/>
      <c r="Z49" s="450"/>
      <c r="AA49" s="450"/>
    </row>
    <row r="50" spans="1:27" s="451" customFormat="1" ht="9.9499999999999993" customHeight="1" x14ac:dyDescent="0.2">
      <c r="A50" s="426" t="s">
        <v>968</v>
      </c>
      <c r="B50" s="450"/>
      <c r="C50" s="450">
        <f>+SORECGFws!AS40</f>
        <v>0</v>
      </c>
      <c r="D50" s="450"/>
      <c r="E50" s="450">
        <f>+SORECGFws!AX40</f>
        <v>0</v>
      </c>
      <c r="F50" s="450"/>
      <c r="G50" s="450">
        <f>+SORECGFws!AT40</f>
        <v>0</v>
      </c>
      <c r="H50" s="450"/>
      <c r="I50" s="450">
        <f>+SORECGFws!AU40</f>
        <v>0</v>
      </c>
      <c r="J50" s="450"/>
      <c r="K50" s="450">
        <f>+SORECGFws!AV40</f>
        <v>0</v>
      </c>
      <c r="L50" s="450"/>
      <c r="M50" s="450">
        <f>+SORECGFws!AW40</f>
        <v>312</v>
      </c>
      <c r="N50" s="450"/>
      <c r="O50" s="450">
        <f t="shared" si="1"/>
        <v>312</v>
      </c>
      <c r="P50" s="450"/>
      <c r="Q50" s="450"/>
      <c r="R50" s="450"/>
      <c r="S50" s="450"/>
      <c r="T50" s="450"/>
      <c r="U50" s="450"/>
      <c r="V50" s="450"/>
      <c r="W50" s="450"/>
      <c r="X50" s="450"/>
      <c r="Y50" s="450"/>
      <c r="Z50" s="450"/>
      <c r="AA50" s="450"/>
    </row>
    <row r="51" spans="1:27" s="451" customFormat="1" ht="9.9499999999999993" hidden="1" customHeight="1" x14ac:dyDescent="0.2">
      <c r="A51" s="425" t="s">
        <v>1595</v>
      </c>
      <c r="B51" s="450"/>
      <c r="C51" s="450"/>
      <c r="D51" s="450"/>
      <c r="E51" s="450"/>
      <c r="F51" s="450"/>
      <c r="G51" s="450"/>
      <c r="H51" s="450"/>
      <c r="I51" s="450"/>
      <c r="J51" s="450"/>
      <c r="K51" s="450"/>
      <c r="L51" s="450"/>
      <c r="M51" s="450"/>
      <c r="N51" s="450"/>
      <c r="O51" s="450">
        <f t="shared" si="1"/>
        <v>0</v>
      </c>
      <c r="P51" s="450"/>
      <c r="Q51" s="450"/>
      <c r="R51" s="450"/>
      <c r="S51" s="450"/>
      <c r="T51" s="450"/>
      <c r="U51" s="450"/>
      <c r="V51" s="450"/>
      <c r="W51" s="450"/>
      <c r="X51" s="450"/>
      <c r="Y51" s="450"/>
      <c r="Z51" s="450"/>
      <c r="AA51" s="450"/>
    </row>
    <row r="52" spans="1:27" s="451" customFormat="1" ht="9.9499999999999993" hidden="1" customHeight="1" x14ac:dyDescent="0.2">
      <c r="A52" s="426" t="s">
        <v>966</v>
      </c>
      <c r="B52" s="450"/>
      <c r="C52" s="450"/>
      <c r="D52" s="450"/>
      <c r="E52" s="450"/>
      <c r="F52" s="450"/>
      <c r="G52" s="450">
        <f>+SORECGFws!AT42</f>
        <v>0</v>
      </c>
      <c r="H52" s="450"/>
      <c r="I52" s="450">
        <f>+SORECGFws!AU42</f>
        <v>0</v>
      </c>
      <c r="J52" s="450"/>
      <c r="K52" s="450">
        <f>+SORECGFws!AV42</f>
        <v>0</v>
      </c>
      <c r="L52" s="450"/>
      <c r="M52" s="450">
        <f>+SORECGFws!AW42</f>
        <v>0</v>
      </c>
      <c r="N52" s="450"/>
      <c r="O52" s="450">
        <f t="shared" si="1"/>
        <v>0</v>
      </c>
      <c r="P52" s="450"/>
      <c r="Q52" s="450"/>
      <c r="R52" s="450"/>
      <c r="S52" s="450"/>
      <c r="T52" s="450"/>
      <c r="U52" s="450"/>
      <c r="V52" s="450"/>
      <c r="W52" s="450"/>
      <c r="X52" s="450"/>
      <c r="Y52" s="450"/>
      <c r="Z52" s="450"/>
      <c r="AA52" s="450"/>
    </row>
    <row r="53" spans="1:27" s="451" customFormat="1" ht="9.9499999999999993" hidden="1" customHeight="1" x14ac:dyDescent="0.2">
      <c r="A53" s="426" t="s">
        <v>949</v>
      </c>
      <c r="B53" s="450"/>
      <c r="C53" s="450"/>
      <c r="D53" s="450"/>
      <c r="E53" s="450"/>
      <c r="F53" s="450"/>
      <c r="G53" s="450">
        <f>+SORECGFws!AT43</f>
        <v>0</v>
      </c>
      <c r="H53" s="450"/>
      <c r="I53" s="450">
        <f>+SORECGFws!AU43</f>
        <v>0</v>
      </c>
      <c r="J53" s="450"/>
      <c r="K53" s="450">
        <f>+SORECGFws!AV43</f>
        <v>0</v>
      </c>
      <c r="L53" s="450"/>
      <c r="M53" s="450">
        <f>+SORECGFws!AW43</f>
        <v>0</v>
      </c>
      <c r="N53" s="450"/>
      <c r="O53" s="450">
        <f t="shared" si="1"/>
        <v>0</v>
      </c>
      <c r="P53" s="450"/>
      <c r="Q53" s="450"/>
      <c r="R53" s="450"/>
      <c r="S53" s="450"/>
      <c r="T53" s="450"/>
      <c r="U53" s="450"/>
      <c r="V53" s="450"/>
      <c r="W53" s="450"/>
      <c r="X53" s="450"/>
      <c r="Y53" s="450"/>
      <c r="Z53" s="450"/>
      <c r="AA53" s="450"/>
    </row>
    <row r="54" spans="1:27" s="451" customFormat="1" ht="9.9499999999999993" hidden="1" customHeight="1" x14ac:dyDescent="0.2">
      <c r="A54" s="425" t="s">
        <v>1641</v>
      </c>
      <c r="B54" s="450"/>
      <c r="C54" s="450"/>
      <c r="D54" s="450"/>
      <c r="E54" s="450"/>
      <c r="F54" s="450"/>
      <c r="G54" s="450"/>
      <c r="H54" s="450"/>
      <c r="I54" s="450"/>
      <c r="J54" s="450"/>
      <c r="K54" s="450"/>
      <c r="L54" s="450"/>
      <c r="M54" s="450"/>
      <c r="N54" s="450"/>
      <c r="O54" s="450">
        <f t="shared" si="1"/>
        <v>0</v>
      </c>
      <c r="P54" s="450"/>
      <c r="Q54" s="450"/>
      <c r="R54" s="450"/>
      <c r="S54" s="450"/>
      <c r="T54" s="450"/>
      <c r="U54" s="450"/>
      <c r="V54" s="450"/>
      <c r="W54" s="450"/>
      <c r="X54" s="450"/>
      <c r="Y54" s="450"/>
      <c r="Z54" s="450"/>
      <c r="AA54" s="450"/>
    </row>
    <row r="55" spans="1:27" s="451" customFormat="1" ht="9.9499999999999993" hidden="1" customHeight="1" x14ac:dyDescent="0.2">
      <c r="A55" s="426" t="s">
        <v>966</v>
      </c>
      <c r="B55" s="450"/>
      <c r="C55" s="450"/>
      <c r="D55" s="450"/>
      <c r="E55" s="450"/>
      <c r="F55" s="450"/>
      <c r="G55" s="450">
        <f>SORECGFws!AT45</f>
        <v>0</v>
      </c>
      <c r="H55" s="450"/>
      <c r="I55" s="450">
        <f>SORECGFws!AU45</f>
        <v>0</v>
      </c>
      <c r="J55" s="450"/>
      <c r="K55" s="450"/>
      <c r="L55" s="450"/>
      <c r="M55" s="450">
        <f>SORECGFws!AW45</f>
        <v>0</v>
      </c>
      <c r="N55" s="450"/>
      <c r="O55" s="450">
        <f t="shared" si="1"/>
        <v>0</v>
      </c>
      <c r="P55" s="450"/>
      <c r="Q55" s="450"/>
      <c r="R55" s="450"/>
      <c r="S55" s="450"/>
      <c r="T55" s="450"/>
      <c r="U55" s="450"/>
      <c r="V55" s="450"/>
      <c r="W55" s="450"/>
      <c r="X55" s="450"/>
      <c r="Y55" s="450"/>
      <c r="Z55" s="450"/>
      <c r="AA55" s="450"/>
    </row>
    <row r="56" spans="1:27" s="451" customFormat="1" ht="9.9499999999999993" hidden="1" customHeight="1" x14ac:dyDescent="0.2">
      <c r="A56" s="426" t="s">
        <v>949</v>
      </c>
      <c r="B56" s="450"/>
      <c r="C56" s="450"/>
      <c r="D56" s="450"/>
      <c r="E56" s="450"/>
      <c r="F56" s="450"/>
      <c r="G56" s="450">
        <f>SORECGFws!AT46</f>
        <v>0</v>
      </c>
      <c r="H56" s="450"/>
      <c r="I56" s="450">
        <f>SORECGFws!AU46</f>
        <v>0</v>
      </c>
      <c r="J56" s="450"/>
      <c r="K56" s="450"/>
      <c r="L56" s="450"/>
      <c r="M56" s="450">
        <f>SORECGFws!AW46</f>
        <v>0</v>
      </c>
      <c r="N56" s="450"/>
      <c r="O56" s="450">
        <f t="shared" si="1"/>
        <v>0</v>
      </c>
      <c r="P56" s="450"/>
      <c r="Q56" s="450"/>
      <c r="R56" s="450"/>
      <c r="S56" s="450"/>
      <c r="T56" s="450"/>
      <c r="U56" s="450"/>
      <c r="V56" s="450"/>
      <c r="W56" s="450"/>
      <c r="X56" s="450"/>
      <c r="Y56" s="450"/>
      <c r="Z56" s="450"/>
      <c r="AA56" s="450"/>
    </row>
    <row r="57" spans="1:27" s="451" customFormat="1" ht="5.0999999999999996" customHeight="1" x14ac:dyDescent="0.2">
      <c r="B57" s="450"/>
      <c r="C57" s="452"/>
      <c r="D57" s="450"/>
      <c r="E57" s="452"/>
      <c r="F57" s="450"/>
      <c r="G57" s="452"/>
      <c r="H57" s="450"/>
      <c r="I57" s="452"/>
      <c r="J57" s="450"/>
      <c r="K57" s="452"/>
      <c r="L57" s="450"/>
      <c r="M57" s="452"/>
      <c r="N57" s="450"/>
      <c r="O57" s="452"/>
      <c r="P57" s="450"/>
      <c r="Q57" s="450"/>
      <c r="R57" s="450"/>
      <c r="S57" s="450"/>
      <c r="T57" s="450"/>
      <c r="U57" s="450"/>
      <c r="V57" s="450"/>
      <c r="W57" s="450"/>
      <c r="X57" s="450"/>
      <c r="Y57" s="450"/>
      <c r="Z57" s="450"/>
      <c r="AA57" s="450"/>
    </row>
    <row r="58" spans="1:27" s="451" customFormat="1" ht="11.1" customHeight="1" x14ac:dyDescent="0.2">
      <c r="A58" s="417" t="s">
        <v>970</v>
      </c>
      <c r="B58" s="450"/>
      <c r="C58" s="455">
        <f>SUM(C33:C50)</f>
        <v>0</v>
      </c>
      <c r="D58" s="450"/>
      <c r="E58" s="455">
        <f>SUM(E33:E50)</f>
        <v>0</v>
      </c>
      <c r="F58" s="450"/>
      <c r="G58" s="455">
        <f>SUM(G33:G56)</f>
        <v>240432</v>
      </c>
      <c r="H58" s="450"/>
      <c r="I58" s="455">
        <f t="shared" ref="I58" si="2">SUM(I33:I56)</f>
        <v>0</v>
      </c>
      <c r="J58" s="450"/>
      <c r="K58" s="455">
        <f t="shared" ref="K58" si="3">SUM(K33:K56)</f>
        <v>0</v>
      </c>
      <c r="L58" s="450"/>
      <c r="M58" s="455">
        <f t="shared" ref="M58" si="4">SUM(M33:M56)</f>
        <v>356</v>
      </c>
      <c r="N58" s="450"/>
      <c r="O58" s="455">
        <f t="shared" ref="O58" si="5">SUM(O33:O56)</f>
        <v>240788</v>
      </c>
      <c r="P58" s="450"/>
      <c r="Q58" s="450"/>
      <c r="R58" s="450"/>
      <c r="S58" s="450"/>
      <c r="T58" s="450"/>
      <c r="U58" s="450"/>
      <c r="V58" s="450"/>
      <c r="W58" s="450"/>
      <c r="X58" s="450"/>
      <c r="Y58" s="450"/>
      <c r="Z58" s="450"/>
      <c r="AA58" s="450"/>
    </row>
    <row r="59" spans="1:27" s="451" customFormat="1" ht="5.0999999999999996" customHeight="1" x14ac:dyDescent="0.2">
      <c r="B59" s="450"/>
      <c r="C59" s="450"/>
      <c r="D59" s="450"/>
      <c r="E59" s="450"/>
      <c r="F59" s="450"/>
      <c r="G59" s="450"/>
      <c r="H59" s="450"/>
      <c r="I59" s="450"/>
      <c r="J59" s="450"/>
      <c r="K59" s="450"/>
      <c r="L59" s="450"/>
      <c r="M59" s="450"/>
      <c r="N59" s="450"/>
      <c r="O59" s="450"/>
      <c r="P59" s="450"/>
      <c r="Q59" s="450"/>
      <c r="R59" s="450"/>
      <c r="S59" s="450"/>
      <c r="T59" s="450"/>
      <c r="U59" s="450"/>
      <c r="V59" s="450"/>
      <c r="W59" s="450"/>
      <c r="X59" s="450"/>
      <c r="Y59" s="450"/>
      <c r="Z59" s="450"/>
      <c r="AA59" s="450"/>
    </row>
    <row r="60" spans="1:27" s="451" customFormat="1" ht="9.9499999999999993" customHeight="1" x14ac:dyDescent="0.2">
      <c r="A60" s="417" t="s">
        <v>971</v>
      </c>
      <c r="B60" s="450"/>
      <c r="C60" s="450"/>
      <c r="D60" s="450"/>
      <c r="E60" s="450"/>
      <c r="F60" s="450"/>
      <c r="G60" s="450"/>
      <c r="H60" s="450"/>
      <c r="I60" s="450"/>
      <c r="J60" s="450"/>
      <c r="K60" s="450"/>
      <c r="L60" s="450"/>
      <c r="M60" s="450"/>
      <c r="N60" s="450"/>
      <c r="O60" s="450"/>
      <c r="P60" s="450"/>
      <c r="Q60" s="450"/>
      <c r="R60" s="450"/>
      <c r="S60" s="450"/>
      <c r="T60" s="450"/>
      <c r="U60" s="450"/>
      <c r="V60" s="450"/>
      <c r="W60" s="450"/>
      <c r="X60" s="450"/>
      <c r="Y60" s="450"/>
      <c r="Z60" s="450"/>
      <c r="AA60" s="450"/>
    </row>
    <row r="61" spans="1:27" s="451" customFormat="1" ht="9.9499999999999993" customHeight="1" x14ac:dyDescent="0.2">
      <c r="A61" s="428" t="s">
        <v>20</v>
      </c>
      <c r="B61" s="450"/>
      <c r="C61" s="455">
        <f>+C29-C58</f>
        <v>0</v>
      </c>
      <c r="D61" s="450"/>
      <c r="E61" s="455">
        <f>+E29-E58</f>
        <v>0</v>
      </c>
      <c r="F61" s="450"/>
      <c r="G61" s="455">
        <f>+G29-G58</f>
        <v>-232492</v>
      </c>
      <c r="H61" s="450"/>
      <c r="I61" s="455">
        <f>+I29-I58</f>
        <v>17</v>
      </c>
      <c r="J61" s="450"/>
      <c r="K61" s="455">
        <f>+K29-K58</f>
        <v>0</v>
      </c>
      <c r="L61" s="450"/>
      <c r="M61" s="455">
        <f>+M29-M58</f>
        <v>2020</v>
      </c>
      <c r="N61" s="450"/>
      <c r="O61" s="455">
        <f>+O29-O58</f>
        <v>-230455</v>
      </c>
      <c r="P61" s="450"/>
      <c r="Q61" s="450"/>
      <c r="R61" s="450"/>
      <c r="S61" s="450"/>
      <c r="T61" s="450"/>
      <c r="U61" s="450"/>
      <c r="V61" s="450"/>
      <c r="W61" s="450"/>
      <c r="X61" s="450"/>
      <c r="Y61" s="450"/>
      <c r="Z61" s="450"/>
      <c r="AA61" s="450"/>
    </row>
    <row r="62" spans="1:27" s="451" customFormat="1" ht="5.0999999999999996" customHeight="1" x14ac:dyDescent="0.2">
      <c r="B62" s="450"/>
      <c r="C62" s="450"/>
      <c r="D62" s="450"/>
      <c r="E62" s="450"/>
      <c r="F62" s="450"/>
      <c r="G62" s="450"/>
      <c r="H62" s="450"/>
      <c r="I62" s="450"/>
      <c r="J62" s="450"/>
      <c r="K62" s="450"/>
      <c r="L62" s="450"/>
      <c r="M62" s="450"/>
      <c r="N62" s="450"/>
      <c r="O62" s="450"/>
      <c r="P62" s="450"/>
      <c r="Q62" s="450"/>
      <c r="R62" s="450"/>
      <c r="S62" s="450"/>
      <c r="T62" s="450"/>
      <c r="U62" s="450"/>
      <c r="V62" s="450"/>
      <c r="W62" s="450"/>
      <c r="X62" s="450"/>
      <c r="Y62" s="450"/>
      <c r="Z62" s="450"/>
      <c r="AA62" s="450"/>
    </row>
    <row r="63" spans="1:27" s="451" customFormat="1" ht="9.9499999999999993" customHeight="1" x14ac:dyDescent="0.2">
      <c r="A63" s="417" t="s">
        <v>34</v>
      </c>
      <c r="B63" s="450"/>
      <c r="C63" s="450"/>
      <c r="D63" s="450"/>
      <c r="E63" s="450"/>
      <c r="F63" s="450"/>
      <c r="G63" s="450"/>
      <c r="H63" s="450"/>
      <c r="I63" s="450"/>
      <c r="J63" s="450"/>
      <c r="K63" s="450"/>
      <c r="L63" s="450"/>
      <c r="M63" s="450"/>
      <c r="N63" s="450"/>
      <c r="O63" s="450"/>
      <c r="P63" s="450"/>
      <c r="Q63" s="450"/>
      <c r="R63" s="450"/>
      <c r="S63" s="450"/>
      <c r="T63" s="450"/>
      <c r="U63" s="450"/>
      <c r="V63" s="450"/>
      <c r="W63" s="450"/>
      <c r="X63" s="450"/>
      <c r="Y63" s="450"/>
      <c r="Z63" s="450"/>
      <c r="AA63" s="450"/>
    </row>
    <row r="64" spans="1:27" s="451" customFormat="1" ht="9.9499999999999993" customHeight="1" x14ac:dyDescent="0.2">
      <c r="A64" s="425" t="s">
        <v>667</v>
      </c>
      <c r="B64" s="450"/>
      <c r="C64" s="450">
        <f>+SORECGFws!AS53</f>
        <v>0</v>
      </c>
      <c r="D64" s="450"/>
      <c r="E64" s="450">
        <f>+SORECGFws!AX53</f>
        <v>0</v>
      </c>
      <c r="F64" s="450"/>
      <c r="G64" s="450">
        <f>+SORECGFws!AT53</f>
        <v>0</v>
      </c>
      <c r="H64" s="450"/>
      <c r="I64" s="450">
        <f>+SORECGFws!AU53</f>
        <v>0</v>
      </c>
      <c r="J64" s="450"/>
      <c r="K64" s="450">
        <f>+SORECGFws!AV53</f>
        <v>0</v>
      </c>
      <c r="L64" s="450"/>
      <c r="M64" s="450">
        <f>+SORECGFws!AW53</f>
        <v>55100</v>
      </c>
      <c r="N64" s="450"/>
      <c r="O64" s="450">
        <f t="shared" ref="O64:O73" si="6">SUM(B64:M64)</f>
        <v>55100</v>
      </c>
      <c r="P64" s="450"/>
      <c r="Q64" s="450"/>
      <c r="R64" s="450"/>
      <c r="S64" s="450"/>
      <c r="T64" s="450"/>
      <c r="U64" s="450"/>
      <c r="V64" s="450"/>
      <c r="W64" s="450"/>
      <c r="X64" s="450"/>
      <c r="Y64" s="450"/>
      <c r="Z64" s="450"/>
      <c r="AA64" s="450"/>
    </row>
    <row r="65" spans="1:46" s="451" customFormat="1" ht="9.9499999999999993" hidden="1" customHeight="1" x14ac:dyDescent="0.2">
      <c r="A65" s="425" t="s">
        <v>1235</v>
      </c>
      <c r="B65" s="450"/>
      <c r="C65" s="450">
        <f>+SORECGFws!AS54</f>
        <v>0</v>
      </c>
      <c r="D65" s="450"/>
      <c r="E65" s="450">
        <f>+SORECGFws!AX54</f>
        <v>0</v>
      </c>
      <c r="F65" s="450"/>
      <c r="G65" s="450">
        <f>+SORECGFws!AT54</f>
        <v>0</v>
      </c>
      <c r="H65" s="450"/>
      <c r="I65" s="450">
        <f>+SORECGFws!AU54</f>
        <v>0</v>
      </c>
      <c r="J65" s="450"/>
      <c r="K65" s="450">
        <f>+SORECGFws!AV54</f>
        <v>0</v>
      </c>
      <c r="L65" s="450"/>
      <c r="M65" s="450">
        <f>+SORECGFws!AW54</f>
        <v>0</v>
      </c>
      <c r="N65" s="450"/>
      <c r="O65" s="450">
        <f t="shared" si="6"/>
        <v>0</v>
      </c>
      <c r="P65" s="450"/>
      <c r="Q65" s="450"/>
      <c r="R65" s="450"/>
      <c r="S65" s="450"/>
      <c r="T65" s="450"/>
      <c r="U65" s="450"/>
      <c r="V65" s="450"/>
      <c r="W65" s="450"/>
      <c r="X65" s="450"/>
      <c r="Y65" s="450"/>
      <c r="Z65" s="450"/>
      <c r="AA65" s="450"/>
    </row>
    <row r="66" spans="1:46" s="451" customFormat="1" ht="9.9499999999999993" hidden="1" customHeight="1" x14ac:dyDescent="0.2">
      <c r="A66" s="425" t="s">
        <v>973</v>
      </c>
      <c r="B66" s="450"/>
      <c r="C66" s="450">
        <f>+SORECGFws!AS55</f>
        <v>0</v>
      </c>
      <c r="D66" s="450"/>
      <c r="E66" s="450">
        <f>+SORECGFws!AX55</f>
        <v>0</v>
      </c>
      <c r="F66" s="450"/>
      <c r="G66" s="450">
        <f>+SORECGFws!AT55</f>
        <v>0</v>
      </c>
      <c r="H66" s="450"/>
      <c r="I66" s="450">
        <f>+SORECGFws!AU55</f>
        <v>0</v>
      </c>
      <c r="J66" s="450"/>
      <c r="K66" s="450">
        <f>+SORECGFws!AV55</f>
        <v>0</v>
      </c>
      <c r="L66" s="450"/>
      <c r="M66" s="450">
        <f>+SORECGFws!AW55</f>
        <v>0</v>
      </c>
      <c r="N66" s="450"/>
      <c r="O66" s="450">
        <f t="shared" si="6"/>
        <v>0</v>
      </c>
      <c r="P66" s="450"/>
      <c r="Q66" s="450"/>
      <c r="R66" s="450"/>
      <c r="S66" s="450"/>
      <c r="T66" s="450"/>
      <c r="U66" s="450"/>
      <c r="V66" s="450"/>
      <c r="W66" s="450"/>
      <c r="X66" s="450"/>
      <c r="Y66" s="450"/>
      <c r="Z66" s="450"/>
      <c r="AA66" s="450"/>
    </row>
    <row r="67" spans="1:46" s="451" customFormat="1" ht="9.9499999999999993" hidden="1" customHeight="1" x14ac:dyDescent="0.2">
      <c r="A67" s="425" t="s">
        <v>666</v>
      </c>
      <c r="B67" s="450"/>
      <c r="C67" s="450">
        <f>+SORECGFws!AS56</f>
        <v>0</v>
      </c>
      <c r="D67" s="450"/>
      <c r="E67" s="450">
        <f>+SORECGFws!AX56</f>
        <v>0</v>
      </c>
      <c r="F67" s="450"/>
      <c r="G67" s="450">
        <f>+SORECGFws!AT56</f>
        <v>0</v>
      </c>
      <c r="H67" s="450"/>
      <c r="I67" s="450">
        <f>+SORECGFws!AU56</f>
        <v>0</v>
      </c>
      <c r="J67" s="450"/>
      <c r="K67" s="450">
        <f>+SORECGFws!AV56</f>
        <v>0</v>
      </c>
      <c r="L67" s="450"/>
      <c r="M67" s="450">
        <f>+SORECGFws!AW56</f>
        <v>0</v>
      </c>
      <c r="N67" s="450"/>
      <c r="O67" s="450">
        <f t="shared" si="6"/>
        <v>0</v>
      </c>
      <c r="P67" s="450"/>
      <c r="Q67" s="450"/>
      <c r="R67" s="450"/>
      <c r="S67" s="450"/>
      <c r="T67" s="450"/>
      <c r="U67" s="450"/>
      <c r="V67" s="450"/>
      <c r="W67" s="450"/>
      <c r="X67" s="450"/>
      <c r="Y67" s="450"/>
      <c r="Z67" s="450"/>
      <c r="AA67" s="450"/>
    </row>
    <row r="68" spans="1:46" s="451" customFormat="1" ht="9.9499999999999993" hidden="1" customHeight="1" x14ac:dyDescent="0.2">
      <c r="A68" s="425" t="s">
        <v>1581</v>
      </c>
      <c r="B68" s="450"/>
      <c r="C68" s="450">
        <f>+SORECGFws!AS57</f>
        <v>0</v>
      </c>
      <c r="D68" s="450"/>
      <c r="E68" s="450">
        <f>+SORECGFws!AX57</f>
        <v>0</v>
      </c>
      <c r="F68" s="450"/>
      <c r="G68" s="450">
        <f>+SORECGFws!AT57</f>
        <v>0</v>
      </c>
      <c r="H68" s="450"/>
      <c r="I68" s="450">
        <f>+SORECGFws!AU57</f>
        <v>0</v>
      </c>
      <c r="J68" s="450"/>
      <c r="K68" s="450">
        <f>+SORECGFws!AV57</f>
        <v>0</v>
      </c>
      <c r="L68" s="450"/>
      <c r="M68" s="450">
        <f>+SORECGFws!AW57</f>
        <v>0</v>
      </c>
      <c r="N68" s="450"/>
      <c r="O68" s="450">
        <f t="shared" ref="O68" si="7">SUM(B68:M68)</f>
        <v>0</v>
      </c>
      <c r="P68" s="450"/>
      <c r="Q68" s="450"/>
      <c r="R68" s="450"/>
      <c r="S68" s="450"/>
      <c r="T68" s="450"/>
      <c r="U68" s="450"/>
      <c r="V68" s="450"/>
      <c r="W68" s="450"/>
      <c r="X68" s="450"/>
      <c r="Y68" s="450"/>
      <c r="Z68" s="450"/>
      <c r="AA68" s="450"/>
    </row>
    <row r="69" spans="1:46" s="451" customFormat="1" ht="9.9499999999999993" hidden="1" customHeight="1" x14ac:dyDescent="0.2">
      <c r="A69" s="425" t="s">
        <v>1642</v>
      </c>
      <c r="B69" s="450"/>
      <c r="C69" s="450"/>
      <c r="D69" s="450"/>
      <c r="E69" s="450"/>
      <c r="F69" s="450"/>
      <c r="G69" s="450">
        <f>+SORECGFws!AT58</f>
        <v>0</v>
      </c>
      <c r="H69" s="450"/>
      <c r="I69" s="450">
        <f>+SORECGFws!AU58</f>
        <v>0</v>
      </c>
      <c r="J69" s="450"/>
      <c r="K69" s="450">
        <f>+SORECGFws!AV58</f>
        <v>0</v>
      </c>
      <c r="L69" s="450"/>
      <c r="M69" s="450">
        <f>+SORECGFws!AW58</f>
        <v>0</v>
      </c>
      <c r="N69" s="450"/>
      <c r="O69" s="450">
        <f t="shared" ref="O69" si="8">SUM(B69:M69)</f>
        <v>0</v>
      </c>
      <c r="P69" s="450"/>
      <c r="Q69" s="450"/>
      <c r="R69" s="450"/>
      <c r="S69" s="450"/>
      <c r="T69" s="450"/>
      <c r="U69" s="450"/>
      <c r="V69" s="450"/>
      <c r="W69" s="450"/>
      <c r="X69" s="450"/>
      <c r="Y69" s="450"/>
      <c r="Z69" s="450"/>
      <c r="AA69" s="450"/>
    </row>
    <row r="70" spans="1:46" s="451" customFormat="1" ht="9.9499999999999993" hidden="1" customHeight="1" x14ac:dyDescent="0.2">
      <c r="A70" s="425" t="s">
        <v>668</v>
      </c>
      <c r="B70" s="450"/>
      <c r="C70" s="450">
        <f>+SORECGFws!AS59</f>
        <v>0</v>
      </c>
      <c r="D70" s="450"/>
      <c r="E70" s="450">
        <f>+SORECGFws!AX59</f>
        <v>0</v>
      </c>
      <c r="F70" s="450"/>
      <c r="G70" s="450">
        <f>+SORECGFws!AT59</f>
        <v>0</v>
      </c>
      <c r="H70" s="450"/>
      <c r="I70" s="450">
        <f>+SORECGFws!AU59</f>
        <v>0</v>
      </c>
      <c r="J70" s="450"/>
      <c r="K70" s="450">
        <f>+SORECGFws!AV59</f>
        <v>0</v>
      </c>
      <c r="L70" s="450"/>
      <c r="M70" s="450">
        <f>+SORECGFws!AW59</f>
        <v>0</v>
      </c>
      <c r="N70" s="450"/>
      <c r="O70" s="450">
        <f t="shared" si="6"/>
        <v>0</v>
      </c>
      <c r="P70" s="450"/>
      <c r="Q70" s="450"/>
      <c r="R70" s="450"/>
      <c r="S70" s="450"/>
      <c r="T70" s="450"/>
      <c r="U70" s="450"/>
      <c r="V70" s="450"/>
      <c r="W70" s="450"/>
      <c r="X70" s="450"/>
      <c r="Y70" s="450"/>
      <c r="Z70" s="450"/>
      <c r="AA70" s="450"/>
    </row>
    <row r="71" spans="1:46" s="451" customFormat="1" ht="9.9499999999999993" customHeight="1" x14ac:dyDescent="0.2">
      <c r="A71" s="425" t="s">
        <v>1134</v>
      </c>
      <c r="B71" s="450"/>
      <c r="C71" s="450">
        <f>+SORECGFws!AS60</f>
        <v>0</v>
      </c>
      <c r="D71" s="450"/>
      <c r="E71" s="450">
        <f>+SORECGFws!AX60</f>
        <v>0</v>
      </c>
      <c r="F71" s="450"/>
      <c r="G71" s="450">
        <f>+SORECGFws!AT60</f>
        <v>0</v>
      </c>
      <c r="H71" s="450"/>
      <c r="I71" s="450">
        <f>+SORECGFws!AU60</f>
        <v>0</v>
      </c>
      <c r="J71" s="450"/>
      <c r="K71" s="450">
        <f>+SORECGFws!AV60</f>
        <v>0</v>
      </c>
      <c r="L71" s="450"/>
      <c r="M71" s="450">
        <f>+SORECGFws!AW60</f>
        <v>1672</v>
      </c>
      <c r="N71" s="450"/>
      <c r="O71" s="450">
        <f t="shared" si="6"/>
        <v>1672</v>
      </c>
      <c r="P71" s="450"/>
      <c r="Q71" s="450"/>
      <c r="R71" s="450"/>
      <c r="S71" s="450"/>
      <c r="T71" s="450"/>
      <c r="U71" s="450"/>
      <c r="V71" s="450"/>
      <c r="W71" s="450"/>
      <c r="X71" s="450"/>
      <c r="Y71" s="450"/>
      <c r="Z71" s="450"/>
      <c r="AA71" s="450"/>
    </row>
    <row r="72" spans="1:46" s="451" customFormat="1" ht="9.9499999999999993" customHeight="1" x14ac:dyDescent="0.2">
      <c r="A72" s="425" t="s">
        <v>21</v>
      </c>
      <c r="B72" s="450"/>
      <c r="C72" s="450">
        <f>+SORECGFws!AS61</f>
        <v>0</v>
      </c>
      <c r="D72" s="450"/>
      <c r="E72" s="450">
        <f>+SORECGFws!AX61</f>
        <v>0</v>
      </c>
      <c r="F72" s="450"/>
      <c r="G72" s="450">
        <f>+SORECGFws!AT61</f>
        <v>222305</v>
      </c>
      <c r="H72" s="450"/>
      <c r="I72" s="450">
        <f>+SORECGFws!AU61</f>
        <v>0</v>
      </c>
      <c r="J72" s="450"/>
      <c r="K72" s="450">
        <f>+SORECGFws!AV61</f>
        <v>0</v>
      </c>
      <c r="L72" s="450"/>
      <c r="M72" s="450">
        <f>+SORECGFws!AW61</f>
        <v>0</v>
      </c>
      <c r="N72" s="450"/>
      <c r="O72" s="450">
        <f t="shared" si="6"/>
        <v>222305</v>
      </c>
      <c r="P72" s="450"/>
      <c r="Q72" s="450"/>
      <c r="R72" s="450"/>
      <c r="S72" s="450"/>
      <c r="T72" s="450"/>
      <c r="U72" s="450"/>
      <c r="V72" s="450"/>
      <c r="W72" s="450"/>
      <c r="X72" s="450"/>
      <c r="Y72" s="450"/>
      <c r="Z72" s="450"/>
      <c r="AA72" s="450"/>
    </row>
    <row r="73" spans="1:46" s="451" customFormat="1" ht="9.9499999999999993" customHeight="1" x14ac:dyDescent="0.2">
      <c r="A73" s="425" t="s">
        <v>22</v>
      </c>
      <c r="B73" s="450"/>
      <c r="C73" s="450">
        <f>+SORECGFws!AS62</f>
        <v>0</v>
      </c>
      <c r="D73" s="450"/>
      <c r="E73" s="450">
        <f>+SORECGFws!AX62</f>
        <v>0</v>
      </c>
      <c r="F73" s="450"/>
      <c r="G73" s="450">
        <f>+SORECGFws!AT62</f>
        <v>-175</v>
      </c>
      <c r="H73" s="450"/>
      <c r="I73" s="450">
        <f>+SORECGFws!AU62</f>
        <v>-204</v>
      </c>
      <c r="J73" s="450"/>
      <c r="K73" s="450">
        <f>+SORECGFws!AV62</f>
        <v>0</v>
      </c>
      <c r="L73" s="450"/>
      <c r="M73" s="450">
        <f>+SORECGFws!AW62</f>
        <v>-48808</v>
      </c>
      <c r="N73" s="450"/>
      <c r="O73" s="450">
        <f t="shared" si="6"/>
        <v>-49187</v>
      </c>
      <c r="P73" s="450"/>
      <c r="Q73" s="450"/>
      <c r="R73" s="450"/>
      <c r="S73" s="450"/>
      <c r="T73" s="450"/>
      <c r="U73" s="450"/>
      <c r="V73" s="450"/>
      <c r="W73" s="450"/>
      <c r="X73" s="450"/>
      <c r="Y73" s="450"/>
      <c r="Z73" s="450"/>
      <c r="AA73" s="450"/>
    </row>
    <row r="74" spans="1:46" s="451" customFormat="1" ht="5.0999999999999996" customHeight="1" x14ac:dyDescent="0.2">
      <c r="B74" s="450"/>
      <c r="C74" s="452"/>
      <c r="D74" s="450"/>
      <c r="E74" s="452"/>
      <c r="F74" s="450"/>
      <c r="G74" s="452"/>
      <c r="H74" s="450"/>
      <c r="I74" s="452"/>
      <c r="J74" s="450"/>
      <c r="K74" s="452"/>
      <c r="L74" s="450"/>
      <c r="M74" s="452"/>
      <c r="N74" s="450"/>
      <c r="O74" s="452"/>
      <c r="P74" s="450"/>
      <c r="Q74" s="450"/>
      <c r="R74" s="450"/>
      <c r="S74" s="450"/>
      <c r="T74" s="450"/>
      <c r="U74" s="450"/>
      <c r="V74" s="450"/>
      <c r="W74" s="450"/>
      <c r="X74" s="450"/>
      <c r="Y74" s="450"/>
      <c r="Z74" s="450"/>
      <c r="AA74" s="450"/>
    </row>
    <row r="75" spans="1:46" s="451" customFormat="1" ht="11.1" customHeight="1" x14ac:dyDescent="0.2">
      <c r="A75" s="417" t="s">
        <v>1334</v>
      </c>
      <c r="B75" s="450"/>
      <c r="C75" s="455">
        <f>SUM(C64:C73)</f>
        <v>0</v>
      </c>
      <c r="D75" s="450"/>
      <c r="E75" s="455">
        <f>SUM(E64:E73)</f>
        <v>0</v>
      </c>
      <c r="F75" s="450"/>
      <c r="G75" s="455">
        <f>SUM(G64:G73)</f>
        <v>222130</v>
      </c>
      <c r="H75" s="450"/>
      <c r="I75" s="455">
        <f>SUM(I64:I73)</f>
        <v>-204</v>
      </c>
      <c r="J75" s="450"/>
      <c r="K75" s="455">
        <f>SUM(K64:K73)</f>
        <v>0</v>
      </c>
      <c r="L75" s="450"/>
      <c r="M75" s="455">
        <f>SUM(M64:M73)</f>
        <v>7964</v>
      </c>
      <c r="N75" s="450"/>
      <c r="O75" s="455">
        <f>SUM(O64:O73)</f>
        <v>229890</v>
      </c>
      <c r="P75" s="450"/>
      <c r="Q75" s="450"/>
      <c r="R75" s="450"/>
      <c r="S75" s="450"/>
      <c r="T75" s="450"/>
      <c r="U75" s="450"/>
      <c r="V75" s="450"/>
      <c r="W75" s="450"/>
      <c r="X75" s="450"/>
      <c r="Y75" s="450"/>
      <c r="Z75" s="450"/>
      <c r="AA75" s="450"/>
    </row>
    <row r="76" spans="1:46" s="451" customFormat="1" ht="5.0999999999999996" customHeight="1" x14ac:dyDescent="0.2">
      <c r="B76" s="450"/>
      <c r="C76" s="450"/>
      <c r="D76" s="450"/>
      <c r="E76" s="450"/>
      <c r="F76" s="450"/>
      <c r="G76" s="450"/>
      <c r="H76" s="450"/>
      <c r="I76" s="450"/>
      <c r="J76" s="450"/>
      <c r="K76" s="450"/>
      <c r="L76" s="450"/>
      <c r="M76" s="450"/>
      <c r="N76" s="450"/>
      <c r="O76" s="450"/>
      <c r="P76" s="450"/>
      <c r="Q76" s="450"/>
      <c r="R76" s="450"/>
      <c r="S76" s="450"/>
      <c r="T76" s="450"/>
      <c r="U76" s="450"/>
      <c r="V76" s="450"/>
      <c r="W76" s="450"/>
      <c r="X76" s="450"/>
      <c r="Y76" s="450"/>
      <c r="Z76" s="450"/>
      <c r="AA76" s="450"/>
    </row>
    <row r="77" spans="1:46" s="439" customFormat="1" ht="9.9499999999999993" customHeight="1" x14ac:dyDescent="0.2">
      <c r="A77" s="417" t="s">
        <v>989</v>
      </c>
      <c r="B77" s="450"/>
      <c r="C77" s="450">
        <f>+C61+C75</f>
        <v>0</v>
      </c>
      <c r="D77" s="450"/>
      <c r="E77" s="450">
        <f>+E61+E75</f>
        <v>0</v>
      </c>
      <c r="F77" s="450"/>
      <c r="G77" s="450">
        <f>+G61+G75</f>
        <v>-10362</v>
      </c>
      <c r="H77" s="450"/>
      <c r="I77" s="450">
        <f>+I61+I75</f>
        <v>-187</v>
      </c>
      <c r="J77" s="450"/>
      <c r="K77" s="450">
        <f>+K61+K75</f>
        <v>0</v>
      </c>
      <c r="L77" s="450"/>
      <c r="M77" s="450">
        <f>+M61+M75</f>
        <v>9984</v>
      </c>
      <c r="N77" s="450"/>
      <c r="O77" s="450">
        <f>+O61+O75</f>
        <v>-565</v>
      </c>
      <c r="P77" s="418"/>
      <c r="Q77" s="418"/>
      <c r="R77" s="418"/>
      <c r="S77" s="418"/>
      <c r="T77" s="418"/>
      <c r="U77" s="418"/>
      <c r="V77" s="418"/>
      <c r="W77" s="418"/>
      <c r="X77" s="418"/>
      <c r="Y77" s="418"/>
      <c r="Z77" s="418"/>
      <c r="AA77" s="418"/>
    </row>
    <row r="78" spans="1:46" s="439" customFormat="1" ht="5.0999999999999996" customHeight="1" x14ac:dyDescent="0.2">
      <c r="A78" s="451"/>
      <c r="B78" s="450"/>
      <c r="C78" s="450"/>
      <c r="D78" s="450"/>
      <c r="E78" s="450"/>
      <c r="F78" s="450"/>
      <c r="G78" s="450"/>
      <c r="H78" s="450"/>
      <c r="I78" s="450"/>
      <c r="J78" s="450"/>
      <c r="K78" s="450"/>
      <c r="L78" s="450"/>
      <c r="M78" s="450"/>
      <c r="N78" s="450"/>
      <c r="O78" s="450"/>
      <c r="P78" s="418"/>
      <c r="Q78" s="418"/>
      <c r="R78" s="418"/>
      <c r="S78" s="418"/>
      <c r="T78" s="418"/>
      <c r="U78" s="418"/>
      <c r="V78" s="418"/>
      <c r="W78" s="418"/>
      <c r="X78" s="418"/>
      <c r="Y78" s="418"/>
      <c r="Z78" s="418"/>
      <c r="AA78" s="418"/>
    </row>
    <row r="79" spans="1:46" s="439" customFormat="1" ht="11.1" customHeight="1" x14ac:dyDescent="0.2">
      <c r="A79" s="418" t="s">
        <v>1768</v>
      </c>
      <c r="B79" s="450"/>
      <c r="C79" s="455">
        <v>0</v>
      </c>
      <c r="D79" s="450"/>
      <c r="E79" s="455">
        <v>0</v>
      </c>
      <c r="F79" s="450"/>
      <c r="G79" s="455">
        <v>107</v>
      </c>
      <c r="H79" s="450"/>
      <c r="I79" s="455">
        <v>297</v>
      </c>
      <c r="J79" s="450"/>
      <c r="K79" s="455">
        <v>0</v>
      </c>
      <c r="L79" s="450"/>
      <c r="M79" s="455">
        <v>47143</v>
      </c>
      <c r="N79" s="450"/>
      <c r="O79" s="455">
        <f>SUM(B79:M79)</f>
        <v>47547</v>
      </c>
      <c r="P79" s="418"/>
      <c r="Q79" s="418"/>
      <c r="R79" s="418"/>
      <c r="S79" s="418"/>
      <c r="T79" s="418"/>
      <c r="U79" s="418"/>
      <c r="V79" s="418"/>
      <c r="W79" s="418"/>
      <c r="X79" s="418"/>
      <c r="Y79" s="418"/>
      <c r="Z79" s="418"/>
      <c r="AA79" s="418"/>
    </row>
    <row r="80" spans="1:46" s="439" customFormat="1" ht="5.0999999999999996" customHeight="1" x14ac:dyDescent="0.2">
      <c r="A80" s="418"/>
      <c r="B80" s="450"/>
      <c r="C80" s="452"/>
      <c r="D80" s="450"/>
      <c r="E80" s="452"/>
      <c r="F80" s="450"/>
      <c r="G80" s="452"/>
      <c r="H80" s="450"/>
      <c r="I80" s="452"/>
      <c r="J80" s="450"/>
      <c r="K80" s="452"/>
      <c r="L80" s="450"/>
      <c r="M80" s="452"/>
      <c r="N80" s="450"/>
      <c r="O80" s="452"/>
      <c r="P80" s="450"/>
      <c r="Q80" s="452"/>
      <c r="R80" s="450"/>
      <c r="S80" s="452"/>
      <c r="T80" s="450"/>
      <c r="U80" s="452"/>
      <c r="V80" s="450"/>
      <c r="W80" s="452"/>
      <c r="X80" s="450"/>
      <c r="Y80" s="452"/>
      <c r="Z80" s="450"/>
      <c r="AA80" s="452"/>
      <c r="AB80" s="450"/>
      <c r="AC80" s="452"/>
      <c r="AD80" s="450"/>
      <c r="AE80" s="452"/>
      <c r="AF80" s="450"/>
      <c r="AG80" s="452"/>
      <c r="AH80" s="450"/>
      <c r="AI80" s="450"/>
      <c r="AJ80" s="418"/>
      <c r="AK80" s="418"/>
      <c r="AL80" s="418"/>
      <c r="AM80" s="418"/>
      <c r="AN80" s="418"/>
      <c r="AO80" s="418"/>
      <c r="AP80" s="418"/>
      <c r="AQ80" s="418"/>
      <c r="AR80" s="418"/>
      <c r="AS80" s="418"/>
      <c r="AT80" s="418"/>
    </row>
    <row r="81" spans="1:46" s="439" customFormat="1" ht="11.1" hidden="1" customHeight="1" x14ac:dyDescent="0.2">
      <c r="A81" s="418" t="s">
        <v>1715</v>
      </c>
      <c r="B81" s="450"/>
      <c r="C81" s="450"/>
      <c r="D81" s="450"/>
      <c r="E81" s="450"/>
      <c r="F81" s="450"/>
      <c r="G81" s="450"/>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0"/>
      <c r="AF81" s="450"/>
      <c r="AG81" s="450"/>
      <c r="AH81" s="450"/>
      <c r="AI81" s="450"/>
      <c r="AJ81" s="418"/>
      <c r="AK81" s="418"/>
      <c r="AL81" s="418"/>
      <c r="AM81" s="418"/>
      <c r="AN81" s="418"/>
      <c r="AO81" s="418"/>
      <c r="AP81" s="418"/>
      <c r="AQ81" s="418"/>
      <c r="AR81" s="418"/>
      <c r="AS81" s="418"/>
      <c r="AT81" s="418"/>
    </row>
    <row r="82" spans="1:46" s="439" customFormat="1" ht="5.0999999999999996" hidden="1" customHeight="1" x14ac:dyDescent="0.2">
      <c r="A82" s="418"/>
      <c r="B82" s="450"/>
      <c r="C82" s="450"/>
      <c r="D82" s="450"/>
      <c r="E82" s="45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0"/>
      <c r="AF82" s="450"/>
      <c r="AG82" s="450"/>
      <c r="AH82" s="450"/>
      <c r="AI82" s="450"/>
      <c r="AJ82" s="418"/>
      <c r="AK82" s="418"/>
      <c r="AL82" s="418"/>
      <c r="AM82" s="418"/>
      <c r="AN82" s="418"/>
      <c r="AO82" s="418"/>
      <c r="AP82" s="418"/>
      <c r="AQ82" s="418"/>
      <c r="AR82" s="418"/>
      <c r="AS82" s="418"/>
      <c r="AT82" s="418"/>
    </row>
    <row r="83" spans="1:46" s="439" customFormat="1" ht="11.1" hidden="1" customHeight="1" x14ac:dyDescent="0.2">
      <c r="A83" s="418" t="s">
        <v>1716</v>
      </c>
      <c r="B83" s="450"/>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450"/>
      <c r="AD83" s="450"/>
      <c r="AE83" s="450"/>
      <c r="AF83" s="450"/>
      <c r="AG83" s="450"/>
      <c r="AH83" s="450"/>
      <c r="AI83" s="450"/>
      <c r="AJ83" s="418"/>
      <c r="AK83" s="418"/>
      <c r="AL83" s="418"/>
      <c r="AM83" s="418"/>
      <c r="AN83" s="418"/>
      <c r="AO83" s="418"/>
      <c r="AP83" s="418"/>
      <c r="AQ83" s="418"/>
      <c r="AR83" s="418"/>
      <c r="AS83" s="418"/>
      <c r="AT83" s="418"/>
    </row>
    <row r="84" spans="1:46" s="439" customFormat="1" ht="5.0999999999999996" hidden="1" customHeight="1" x14ac:dyDescent="0.2">
      <c r="A84" s="418"/>
      <c r="B84" s="450"/>
      <c r="C84" s="450"/>
      <c r="D84" s="450"/>
      <c r="E84" s="450"/>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450"/>
      <c r="AD84" s="450"/>
      <c r="AE84" s="450"/>
      <c r="AF84" s="450"/>
      <c r="AG84" s="450"/>
      <c r="AH84" s="450"/>
      <c r="AI84" s="450"/>
      <c r="AJ84" s="418"/>
      <c r="AK84" s="418"/>
      <c r="AL84" s="418"/>
      <c r="AM84" s="418"/>
      <c r="AN84" s="418"/>
      <c r="AO84" s="418"/>
      <c r="AP84" s="418"/>
      <c r="AQ84" s="418"/>
      <c r="AR84" s="418"/>
      <c r="AS84" s="418"/>
      <c r="AT84" s="418"/>
    </row>
    <row r="85" spans="1:46" s="439" customFormat="1" ht="11.1" hidden="1" customHeight="1" x14ac:dyDescent="0.2">
      <c r="A85" s="418" t="s">
        <v>1717</v>
      </c>
      <c r="B85" s="450"/>
      <c r="C85" s="450"/>
      <c r="D85" s="450"/>
      <c r="E85" s="450"/>
      <c r="F85" s="450"/>
      <c r="G85" s="450"/>
      <c r="H85" s="450"/>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18"/>
      <c r="AK85" s="418"/>
      <c r="AL85" s="418"/>
      <c r="AM85" s="418"/>
      <c r="AN85" s="418"/>
      <c r="AO85" s="418"/>
      <c r="AP85" s="418"/>
      <c r="AQ85" s="418"/>
      <c r="AR85" s="418"/>
      <c r="AS85" s="418"/>
      <c r="AT85" s="418"/>
    </row>
    <row r="86" spans="1:46" s="439" customFormat="1" ht="5.0999999999999996" hidden="1" customHeight="1" x14ac:dyDescent="0.2">
      <c r="A86" s="418"/>
      <c r="B86" s="450"/>
      <c r="C86" s="450"/>
      <c r="D86" s="450"/>
      <c r="E86" s="450"/>
      <c r="F86" s="450"/>
      <c r="G86" s="450"/>
      <c r="H86" s="450"/>
      <c r="I86" s="450"/>
      <c r="J86" s="450"/>
      <c r="K86" s="450"/>
      <c r="L86" s="450"/>
      <c r="M86" s="450"/>
      <c r="N86" s="450"/>
      <c r="O86" s="450"/>
      <c r="P86" s="450"/>
      <c r="Q86" s="450"/>
      <c r="R86" s="450"/>
      <c r="S86" s="450"/>
      <c r="T86" s="450"/>
      <c r="U86" s="450"/>
      <c r="V86" s="450"/>
      <c r="W86" s="450"/>
      <c r="X86" s="450"/>
      <c r="Y86" s="450"/>
      <c r="Z86" s="450"/>
      <c r="AA86" s="450"/>
      <c r="AB86" s="450"/>
      <c r="AC86" s="450"/>
      <c r="AD86" s="450"/>
      <c r="AE86" s="450"/>
      <c r="AF86" s="450"/>
      <c r="AG86" s="450"/>
      <c r="AH86" s="450"/>
      <c r="AI86" s="450"/>
      <c r="AJ86" s="418"/>
      <c r="AK86" s="418"/>
      <c r="AL86" s="418"/>
      <c r="AM86" s="418"/>
      <c r="AN86" s="418"/>
      <c r="AO86" s="418"/>
      <c r="AP86" s="418"/>
      <c r="AQ86" s="418"/>
      <c r="AR86" s="418"/>
      <c r="AS86" s="418"/>
      <c r="AT86" s="418"/>
    </row>
    <row r="87" spans="1:46" s="439" customFormat="1" ht="11.1" hidden="1" customHeight="1" x14ac:dyDescent="0.2">
      <c r="A87" s="425" t="s">
        <v>1720</v>
      </c>
      <c r="B87" s="450"/>
      <c r="C87" s="273">
        <v>332698</v>
      </c>
      <c r="D87" s="450"/>
      <c r="E87" s="273">
        <v>39298</v>
      </c>
      <c r="F87" s="450"/>
      <c r="G87" s="273">
        <f>SUM(G79:G86)</f>
        <v>107</v>
      </c>
      <c r="H87" s="450"/>
      <c r="I87" s="273">
        <f>SUM(I79:I86)</f>
        <v>297</v>
      </c>
      <c r="J87" s="450"/>
      <c r="K87" s="273">
        <v>8523</v>
      </c>
      <c r="L87" s="450"/>
      <c r="M87" s="273">
        <f>SUM(M79:M86)</f>
        <v>47143</v>
      </c>
      <c r="N87" s="450"/>
      <c r="O87" s="273">
        <f>SUM(O79:O86)</f>
        <v>47547</v>
      </c>
      <c r="P87" s="450"/>
      <c r="Q87" s="273">
        <v>0</v>
      </c>
      <c r="R87" s="450"/>
      <c r="S87" s="273">
        <v>-2957</v>
      </c>
      <c r="T87" s="450"/>
      <c r="U87" s="273">
        <v>143906</v>
      </c>
      <c r="V87" s="450"/>
      <c r="W87" s="273">
        <v>30024</v>
      </c>
      <c r="X87" s="450"/>
      <c r="Y87" s="273">
        <v>3433</v>
      </c>
      <c r="Z87" s="450"/>
      <c r="AA87" s="273">
        <v>5122</v>
      </c>
      <c r="AB87" s="450"/>
      <c r="AC87" s="273">
        <v>8948</v>
      </c>
      <c r="AD87" s="450"/>
      <c r="AE87" s="273">
        <v>0</v>
      </c>
      <c r="AF87" s="450"/>
      <c r="AG87" s="273">
        <v>149786</v>
      </c>
      <c r="AH87" s="450"/>
      <c r="AI87" s="273">
        <v>0</v>
      </c>
      <c r="AJ87" s="418"/>
      <c r="AK87" s="418"/>
      <c r="AL87" s="418"/>
      <c r="AM87" s="418"/>
      <c r="AN87" s="418"/>
      <c r="AO87" s="418"/>
      <c r="AP87" s="418"/>
      <c r="AQ87" s="418"/>
      <c r="AR87" s="418"/>
      <c r="AS87" s="418"/>
      <c r="AT87" s="418"/>
    </row>
    <row r="88" spans="1:46" s="439" customFormat="1" ht="5.0999999999999996" hidden="1" customHeight="1" x14ac:dyDescent="0.2">
      <c r="A88" s="451"/>
      <c r="B88" s="450"/>
      <c r="C88" s="450"/>
      <c r="D88" s="450"/>
      <c r="E88" s="450"/>
      <c r="F88" s="450"/>
      <c r="G88" s="366"/>
      <c r="H88" s="450"/>
      <c r="I88" s="366"/>
      <c r="J88" s="450"/>
      <c r="K88" s="450"/>
      <c r="L88" s="450"/>
      <c r="M88" s="366"/>
      <c r="N88" s="450"/>
      <c r="O88" s="366"/>
      <c r="P88" s="418"/>
      <c r="Q88" s="418"/>
      <c r="R88" s="418"/>
      <c r="S88" s="418"/>
      <c r="T88" s="418"/>
      <c r="U88" s="418"/>
      <c r="V88" s="418"/>
      <c r="W88" s="418"/>
      <c r="X88" s="418"/>
      <c r="Y88" s="418"/>
      <c r="Z88" s="418"/>
      <c r="AA88" s="418"/>
    </row>
    <row r="89" spans="1:46" s="439" customFormat="1" ht="11.1" customHeight="1" thickBot="1" x14ac:dyDescent="0.25">
      <c r="A89" s="417" t="s">
        <v>1494</v>
      </c>
      <c r="B89" s="450"/>
      <c r="C89" s="453">
        <f>SUM(C77+C79)</f>
        <v>0</v>
      </c>
      <c r="D89" s="450"/>
      <c r="E89" s="453">
        <f>SUM(E77+E79)</f>
        <v>0</v>
      </c>
      <c r="F89" s="450"/>
      <c r="G89" s="344">
        <f>+G87+G77</f>
        <v>-10255</v>
      </c>
      <c r="H89" s="450"/>
      <c r="I89" s="344">
        <f>+I87+I77</f>
        <v>110</v>
      </c>
      <c r="J89" s="450"/>
      <c r="K89" s="453">
        <f>SUM(K77+K79)</f>
        <v>0</v>
      </c>
      <c r="L89" s="450"/>
      <c r="M89" s="344">
        <f>+M87+M77</f>
        <v>57127</v>
      </c>
      <c r="N89" s="450"/>
      <c r="O89" s="344">
        <f>+O87+O77</f>
        <v>46982</v>
      </c>
      <c r="P89" s="418"/>
      <c r="Q89" s="418"/>
      <c r="R89" s="418"/>
      <c r="S89" s="418"/>
      <c r="T89" s="418"/>
      <c r="U89" s="418"/>
      <c r="V89" s="418"/>
      <c r="W89" s="418"/>
      <c r="X89" s="418"/>
      <c r="Y89" s="418"/>
      <c r="Z89" s="418"/>
      <c r="AA89" s="418"/>
    </row>
    <row r="90" spans="1:46" s="439" customFormat="1" ht="5.0999999999999996" customHeight="1" thickTop="1" x14ac:dyDescent="0.2">
      <c r="A90" s="418"/>
      <c r="B90" s="518"/>
      <c r="C90" s="438"/>
      <c r="D90" s="518"/>
      <c r="E90" s="438"/>
      <c r="F90" s="518"/>
      <c r="G90" s="438"/>
      <c r="H90" s="518"/>
      <c r="I90" s="438"/>
      <c r="J90" s="518"/>
      <c r="K90" s="438"/>
      <c r="L90" s="518"/>
      <c r="M90" s="438"/>
      <c r="N90" s="518"/>
      <c r="O90" s="438"/>
      <c r="P90" s="418"/>
      <c r="Q90" s="418"/>
      <c r="R90" s="418"/>
      <c r="S90" s="418"/>
      <c r="T90" s="418"/>
      <c r="U90" s="418"/>
      <c r="V90" s="418"/>
      <c r="W90" s="418"/>
      <c r="X90" s="418"/>
      <c r="Y90" s="418"/>
      <c r="Z90" s="418"/>
      <c r="AA90" s="418"/>
    </row>
    <row r="91" spans="1:46" s="439" customFormat="1" ht="9.9499999999999993" customHeight="1" x14ac:dyDescent="0.2">
      <c r="A91" s="418"/>
      <c r="B91" s="438"/>
      <c r="C91" s="438"/>
      <c r="D91" s="438"/>
      <c r="E91" s="438"/>
      <c r="F91" s="438"/>
      <c r="G91" s="438"/>
      <c r="H91" s="438"/>
      <c r="I91" s="438"/>
      <c r="J91" s="438"/>
      <c r="K91" s="438"/>
      <c r="L91" s="438"/>
      <c r="M91" s="438"/>
      <c r="N91" s="438"/>
      <c r="O91" s="438"/>
      <c r="P91" s="418"/>
      <c r="Q91" s="418"/>
      <c r="R91" s="418"/>
      <c r="S91" s="418"/>
      <c r="T91" s="418"/>
      <c r="U91" s="418"/>
      <c r="V91" s="418"/>
      <c r="W91" s="418"/>
      <c r="X91" s="418"/>
      <c r="Y91" s="418"/>
      <c r="Z91" s="418"/>
      <c r="AA91" s="418"/>
    </row>
    <row r="92" spans="1:46" s="439" customFormat="1" ht="9.9499999999999993" customHeight="1" x14ac:dyDescent="0.2">
      <c r="A92" s="418"/>
      <c r="B92" s="438"/>
      <c r="C92" s="518">
        <f>+C89-'Capital BS'!C68</f>
        <v>0</v>
      </c>
      <c r="D92" s="438"/>
      <c r="E92" s="518">
        <f>+E89-'Capital BS'!E68</f>
        <v>0</v>
      </c>
      <c r="F92" s="438"/>
      <c r="G92" s="518">
        <f>+G89-'Capital BS'!G68</f>
        <v>0</v>
      </c>
      <c r="H92" s="438"/>
      <c r="I92" s="518">
        <f>+I89-'Capital BS'!I68</f>
        <v>0</v>
      </c>
      <c r="J92" s="438"/>
      <c r="K92" s="518">
        <f>+K89-'Capital BS'!K68</f>
        <v>0</v>
      </c>
      <c r="L92" s="438"/>
      <c r="M92" s="518">
        <f>+M89-'Capital BS'!M68</f>
        <v>0</v>
      </c>
      <c r="N92" s="438"/>
      <c r="O92" s="518">
        <f>+O89-'Capital BS'!O68</f>
        <v>0</v>
      </c>
      <c r="P92" s="418"/>
      <c r="Q92" s="418"/>
      <c r="R92" s="418"/>
      <c r="S92" s="418"/>
      <c r="T92" s="418"/>
      <c r="U92" s="418"/>
      <c r="V92" s="418"/>
      <c r="W92" s="418"/>
      <c r="X92" s="418"/>
      <c r="Y92" s="418"/>
      <c r="Z92" s="418"/>
      <c r="AA92" s="418"/>
    </row>
    <row r="93" spans="1:46" s="439" customFormat="1" x14ac:dyDescent="0.2">
      <c r="A93" s="418"/>
      <c r="B93" s="437"/>
      <c r="C93" s="438"/>
      <c r="D93" s="437"/>
      <c r="E93" s="438"/>
      <c r="F93" s="437"/>
      <c r="G93" s="438"/>
      <c r="H93" s="437"/>
      <c r="I93" s="438"/>
      <c r="J93" s="437"/>
      <c r="K93" s="438"/>
      <c r="L93" s="437"/>
      <c r="M93" s="438"/>
      <c r="N93" s="437"/>
      <c r="O93" s="438"/>
      <c r="P93" s="418"/>
      <c r="Q93" s="418"/>
      <c r="R93" s="418"/>
      <c r="S93" s="418"/>
      <c r="T93" s="418"/>
      <c r="U93" s="418"/>
      <c r="V93" s="418"/>
      <c r="W93" s="418"/>
      <c r="X93" s="418"/>
      <c r="Y93" s="418"/>
      <c r="Z93" s="418"/>
      <c r="AA93" s="418"/>
    </row>
    <row r="94" spans="1:46" s="439" customFormat="1" ht="12" x14ac:dyDescent="0.2">
      <c r="A94" s="418"/>
      <c r="B94" s="438"/>
      <c r="C94" s="438"/>
      <c r="D94" s="438"/>
      <c r="E94" s="438"/>
      <c r="F94" s="438"/>
      <c r="G94" s="438"/>
      <c r="H94" s="438"/>
      <c r="I94" s="438"/>
      <c r="J94" s="438"/>
      <c r="K94" s="438"/>
      <c r="L94" s="438"/>
      <c r="M94" s="438"/>
      <c r="N94" s="438"/>
      <c r="O94" s="438"/>
      <c r="P94" s="418"/>
      <c r="Q94" s="418"/>
      <c r="R94" s="418"/>
      <c r="S94" s="418"/>
      <c r="T94" s="418"/>
      <c r="U94" s="418"/>
      <c r="V94" s="418"/>
      <c r="W94" s="418"/>
      <c r="X94" s="418"/>
      <c r="Y94" s="418"/>
      <c r="Z94" s="418"/>
      <c r="AA94" s="418"/>
    </row>
    <row r="95" spans="1:46" s="439" customFormat="1" ht="12" x14ac:dyDescent="0.2">
      <c r="A95" s="418"/>
      <c r="B95" s="438"/>
      <c r="C95" s="438"/>
      <c r="D95" s="438"/>
      <c r="E95" s="438"/>
      <c r="F95" s="438"/>
      <c r="G95" s="438"/>
      <c r="H95" s="438"/>
      <c r="I95" s="438"/>
      <c r="J95" s="438"/>
      <c r="K95" s="438"/>
      <c r="L95" s="438"/>
      <c r="M95" s="438"/>
      <c r="N95" s="438"/>
      <c r="O95" s="438"/>
      <c r="P95" s="418"/>
      <c r="Q95" s="418"/>
      <c r="R95" s="418"/>
      <c r="S95" s="418"/>
      <c r="T95" s="418"/>
      <c r="U95" s="418"/>
      <c r="V95" s="418"/>
      <c r="W95" s="418"/>
      <c r="X95" s="418"/>
      <c r="Y95" s="418"/>
      <c r="Z95" s="418"/>
      <c r="AA95" s="418"/>
    </row>
    <row r="96" spans="1:46" s="439" customFormat="1" ht="12" x14ac:dyDescent="0.2">
      <c r="A96" s="418"/>
      <c r="B96" s="438"/>
      <c r="C96" s="438"/>
      <c r="D96" s="438"/>
      <c r="E96" s="438"/>
      <c r="F96" s="438"/>
      <c r="G96" s="438"/>
      <c r="H96" s="438"/>
      <c r="I96" s="438"/>
      <c r="J96" s="438"/>
      <c r="K96" s="438"/>
      <c r="L96" s="438"/>
      <c r="M96" s="438"/>
      <c r="N96" s="438"/>
      <c r="O96" s="438"/>
      <c r="P96" s="418"/>
      <c r="Q96" s="418"/>
      <c r="R96" s="418"/>
      <c r="S96" s="418"/>
      <c r="T96" s="418"/>
      <c r="U96" s="418"/>
      <c r="V96" s="418"/>
      <c r="W96" s="418"/>
      <c r="X96" s="418"/>
      <c r="Y96" s="418"/>
      <c r="Z96" s="418"/>
      <c r="AA96" s="418"/>
    </row>
    <row r="97" spans="1:27" s="439" customFormat="1" ht="12" x14ac:dyDescent="0.2">
      <c r="A97" s="418"/>
      <c r="B97" s="438"/>
      <c r="C97" s="438"/>
      <c r="D97" s="438"/>
      <c r="E97" s="438"/>
      <c r="F97" s="438"/>
      <c r="G97" s="438"/>
      <c r="H97" s="438"/>
      <c r="I97" s="438"/>
      <c r="J97" s="438"/>
      <c r="K97" s="438"/>
      <c r="L97" s="438"/>
      <c r="M97" s="438"/>
      <c r="N97" s="438"/>
      <c r="O97" s="438"/>
      <c r="P97" s="418"/>
      <c r="Q97" s="418"/>
      <c r="R97" s="418"/>
      <c r="S97" s="418"/>
      <c r="T97" s="418"/>
      <c r="U97" s="418"/>
      <c r="V97" s="418"/>
      <c r="W97" s="418"/>
      <c r="X97" s="418"/>
      <c r="Y97" s="418"/>
      <c r="Z97" s="418"/>
      <c r="AA97" s="418"/>
    </row>
    <row r="98" spans="1:27" s="439" customFormat="1" ht="12" x14ac:dyDescent="0.2">
      <c r="A98" s="418"/>
      <c r="B98" s="438"/>
      <c r="C98" s="438"/>
      <c r="D98" s="438"/>
      <c r="E98" s="438"/>
      <c r="F98" s="438"/>
      <c r="G98" s="438"/>
      <c r="H98" s="438"/>
      <c r="I98" s="438"/>
      <c r="J98" s="438"/>
      <c r="K98" s="438"/>
      <c r="L98" s="438"/>
      <c r="M98" s="438"/>
      <c r="N98" s="438"/>
      <c r="O98" s="438"/>
      <c r="P98" s="418"/>
      <c r="Q98" s="418"/>
      <c r="R98" s="418"/>
      <c r="S98" s="418"/>
      <c r="T98" s="418"/>
      <c r="U98" s="418"/>
      <c r="V98" s="418"/>
      <c r="W98" s="418"/>
      <c r="X98" s="418"/>
      <c r="Y98" s="418"/>
      <c r="Z98" s="418"/>
      <c r="AA98" s="418"/>
    </row>
    <row r="99" spans="1:27" s="439" customFormat="1" ht="12" x14ac:dyDescent="0.2">
      <c r="A99" s="418"/>
      <c r="B99" s="438"/>
      <c r="C99" s="438"/>
      <c r="D99" s="438"/>
      <c r="E99" s="438"/>
      <c r="F99" s="438"/>
      <c r="G99" s="438"/>
      <c r="H99" s="438"/>
      <c r="I99" s="438"/>
      <c r="J99" s="438"/>
      <c r="K99" s="438"/>
      <c r="L99" s="438"/>
      <c r="M99" s="438"/>
      <c r="N99" s="438"/>
      <c r="O99" s="438"/>
      <c r="P99" s="418"/>
      <c r="Q99" s="418"/>
      <c r="R99" s="418"/>
      <c r="S99" s="418"/>
      <c r="T99" s="418"/>
      <c r="U99" s="418"/>
      <c r="V99" s="418"/>
      <c r="W99" s="418"/>
      <c r="X99" s="418"/>
      <c r="Y99" s="418"/>
      <c r="Z99" s="418"/>
      <c r="AA99" s="418"/>
    </row>
    <row r="100" spans="1:27" s="439" customFormat="1" ht="12" x14ac:dyDescent="0.2">
      <c r="A100" s="418"/>
      <c r="B100" s="438"/>
      <c r="C100" s="438"/>
      <c r="D100" s="438"/>
      <c r="E100" s="438"/>
      <c r="F100" s="438"/>
      <c r="G100" s="438"/>
      <c r="H100" s="438"/>
      <c r="I100" s="438"/>
      <c r="J100" s="438"/>
      <c r="K100" s="438"/>
      <c r="L100" s="438"/>
      <c r="M100" s="438"/>
      <c r="N100" s="438"/>
      <c r="O100" s="438"/>
      <c r="P100" s="418"/>
      <c r="Q100" s="418"/>
      <c r="R100" s="418"/>
      <c r="S100" s="418"/>
      <c r="T100" s="418"/>
      <c r="U100" s="418"/>
      <c r="V100" s="418"/>
      <c r="W100" s="418"/>
      <c r="X100" s="418"/>
      <c r="Y100" s="418"/>
      <c r="Z100" s="418"/>
      <c r="AA100" s="418"/>
    </row>
    <row r="101" spans="1:27" s="439" customFormat="1" ht="12" x14ac:dyDescent="0.2">
      <c r="A101" s="418"/>
      <c r="B101" s="438"/>
      <c r="C101" s="438"/>
      <c r="D101" s="438"/>
      <c r="E101" s="438"/>
      <c r="F101" s="438"/>
      <c r="G101" s="438"/>
      <c r="H101" s="438"/>
      <c r="I101" s="438"/>
      <c r="J101" s="438"/>
      <c r="K101" s="438"/>
      <c r="L101" s="438"/>
      <c r="M101" s="438"/>
      <c r="N101" s="438"/>
      <c r="O101" s="438"/>
      <c r="P101" s="418"/>
      <c r="Q101" s="418"/>
      <c r="R101" s="418"/>
      <c r="S101" s="418"/>
      <c r="T101" s="418"/>
      <c r="U101" s="418"/>
      <c r="V101" s="418"/>
      <c r="W101" s="418"/>
      <c r="X101" s="418"/>
      <c r="Y101" s="418"/>
      <c r="Z101" s="418"/>
      <c r="AA101" s="418"/>
    </row>
    <row r="102" spans="1:27" s="439" customFormat="1" ht="12" x14ac:dyDescent="0.2">
      <c r="A102" s="418"/>
      <c r="B102" s="438"/>
      <c r="C102" s="438"/>
      <c r="D102" s="438"/>
      <c r="E102" s="438"/>
      <c r="F102" s="438"/>
      <c r="G102" s="438"/>
      <c r="H102" s="438"/>
      <c r="I102" s="438"/>
      <c r="J102" s="438"/>
      <c r="K102" s="438"/>
      <c r="L102" s="438"/>
      <c r="M102" s="438"/>
      <c r="N102" s="438"/>
      <c r="O102" s="438"/>
      <c r="P102" s="418"/>
      <c r="Q102" s="418"/>
      <c r="R102" s="418"/>
      <c r="S102" s="418"/>
      <c r="T102" s="418"/>
      <c r="U102" s="418"/>
      <c r="V102" s="418"/>
      <c r="W102" s="418"/>
      <c r="X102" s="418"/>
      <c r="Y102" s="418"/>
      <c r="Z102" s="418"/>
      <c r="AA102" s="418"/>
    </row>
    <row r="103" spans="1:27" s="439" customFormat="1" ht="12" x14ac:dyDescent="0.2">
      <c r="A103" s="418"/>
      <c r="B103" s="438"/>
      <c r="C103" s="438"/>
      <c r="D103" s="438"/>
      <c r="E103" s="438"/>
      <c r="F103" s="438"/>
      <c r="G103" s="438"/>
      <c r="H103" s="438"/>
      <c r="I103" s="438"/>
      <c r="J103" s="438"/>
      <c r="K103" s="438"/>
      <c r="L103" s="438"/>
      <c r="M103" s="438"/>
      <c r="N103" s="438"/>
      <c r="O103" s="438"/>
      <c r="P103" s="418"/>
      <c r="Q103" s="418"/>
      <c r="R103" s="418"/>
      <c r="S103" s="418"/>
      <c r="T103" s="418"/>
      <c r="U103" s="418"/>
      <c r="V103" s="418"/>
      <c r="W103" s="418"/>
      <c r="X103" s="418"/>
      <c r="Y103" s="418"/>
      <c r="Z103" s="418"/>
      <c r="AA103" s="418"/>
    </row>
    <row r="104" spans="1:27" s="439" customFormat="1" ht="12" x14ac:dyDescent="0.2">
      <c r="A104" s="418"/>
      <c r="B104" s="438"/>
      <c r="C104" s="438"/>
      <c r="D104" s="438"/>
      <c r="E104" s="438"/>
      <c r="F104" s="438"/>
      <c r="G104" s="438"/>
      <c r="H104" s="438"/>
      <c r="I104" s="438"/>
      <c r="J104" s="438"/>
      <c r="K104" s="438"/>
      <c r="L104" s="438"/>
      <c r="M104" s="438"/>
      <c r="N104" s="438"/>
      <c r="O104" s="438"/>
      <c r="P104" s="418"/>
      <c r="Q104" s="418"/>
      <c r="R104" s="418"/>
      <c r="S104" s="418"/>
      <c r="T104" s="418"/>
      <c r="U104" s="418"/>
      <c r="V104" s="418"/>
      <c r="W104" s="418"/>
      <c r="X104" s="418"/>
      <c r="Y104" s="418"/>
      <c r="Z104" s="418"/>
      <c r="AA104" s="418"/>
    </row>
    <row r="105" spans="1:27" s="439" customFormat="1" ht="12" x14ac:dyDescent="0.2">
      <c r="A105" s="418"/>
      <c r="B105" s="438"/>
      <c r="C105" s="438"/>
      <c r="D105" s="438"/>
      <c r="E105" s="438"/>
      <c r="F105" s="438"/>
      <c r="G105" s="438"/>
      <c r="H105" s="438"/>
      <c r="I105" s="438"/>
      <c r="J105" s="438"/>
      <c r="K105" s="438"/>
      <c r="L105" s="438"/>
      <c r="M105" s="438"/>
      <c r="N105" s="438"/>
      <c r="O105" s="438"/>
      <c r="P105" s="418"/>
      <c r="Q105" s="418"/>
      <c r="R105" s="418"/>
      <c r="S105" s="418"/>
      <c r="T105" s="418"/>
      <c r="U105" s="418"/>
      <c r="V105" s="418"/>
      <c r="W105" s="418"/>
      <c r="X105" s="418"/>
      <c r="Y105" s="418"/>
      <c r="Z105" s="418"/>
      <c r="AA105" s="418"/>
    </row>
    <row r="106" spans="1:27" s="439" customFormat="1" ht="12" x14ac:dyDescent="0.2">
      <c r="A106" s="418"/>
      <c r="B106" s="438"/>
      <c r="C106" s="438"/>
      <c r="D106" s="438"/>
      <c r="E106" s="438"/>
      <c r="F106" s="438"/>
      <c r="G106" s="438"/>
      <c r="H106" s="438"/>
      <c r="I106" s="438"/>
      <c r="J106" s="438"/>
      <c r="K106" s="438"/>
      <c r="L106" s="438"/>
      <c r="M106" s="438"/>
      <c r="N106" s="438"/>
      <c r="O106" s="438"/>
      <c r="P106" s="418"/>
      <c r="Q106" s="418"/>
      <c r="R106" s="418"/>
      <c r="S106" s="418"/>
      <c r="T106" s="418"/>
      <c r="U106" s="418"/>
      <c r="V106" s="418"/>
      <c r="W106" s="418"/>
      <c r="X106" s="418"/>
      <c r="Y106" s="418"/>
      <c r="Z106" s="418"/>
      <c r="AA106" s="418"/>
    </row>
    <row r="107" spans="1:27" s="439" customFormat="1" x14ac:dyDescent="0.2">
      <c r="A107" s="418"/>
      <c r="B107" s="437"/>
      <c r="C107" s="438"/>
      <c r="D107" s="437"/>
      <c r="E107" s="438"/>
      <c r="F107" s="437"/>
      <c r="G107" s="438"/>
      <c r="H107" s="437"/>
      <c r="I107" s="438"/>
      <c r="J107" s="437"/>
      <c r="K107" s="438"/>
      <c r="L107" s="437"/>
      <c r="M107" s="438"/>
      <c r="N107" s="437"/>
      <c r="O107" s="438"/>
      <c r="P107" s="418"/>
      <c r="Q107" s="418"/>
      <c r="R107" s="418"/>
      <c r="S107" s="418"/>
      <c r="T107" s="418"/>
      <c r="U107" s="418"/>
      <c r="V107" s="418"/>
      <c r="W107" s="418"/>
      <c r="X107" s="418"/>
      <c r="Y107" s="418"/>
      <c r="Z107" s="418"/>
      <c r="AA107" s="418"/>
    </row>
    <row r="108" spans="1:27" s="439" customFormat="1" x14ac:dyDescent="0.2">
      <c r="A108" s="418"/>
      <c r="B108" s="437"/>
      <c r="C108" s="438"/>
      <c r="D108" s="437"/>
      <c r="E108" s="438"/>
      <c r="F108" s="437"/>
      <c r="G108" s="438"/>
      <c r="H108" s="437"/>
      <c r="I108" s="438"/>
      <c r="J108" s="437"/>
      <c r="K108" s="438"/>
      <c r="L108" s="437"/>
      <c r="M108" s="438"/>
      <c r="N108" s="437"/>
      <c r="O108" s="438"/>
      <c r="P108" s="418"/>
      <c r="Q108" s="418"/>
      <c r="R108" s="418"/>
      <c r="S108" s="418"/>
      <c r="T108" s="418"/>
      <c r="U108" s="418"/>
      <c r="V108" s="418"/>
      <c r="W108" s="418"/>
      <c r="X108" s="418"/>
      <c r="Y108" s="418"/>
      <c r="Z108" s="418"/>
      <c r="AA108" s="418"/>
    </row>
    <row r="109" spans="1:27" s="439" customFormat="1" x14ac:dyDescent="0.2">
      <c r="A109" s="418"/>
      <c r="B109" s="437"/>
      <c r="C109" s="438"/>
      <c r="D109" s="437"/>
      <c r="E109" s="438"/>
      <c r="F109" s="437"/>
      <c r="G109" s="438"/>
      <c r="H109" s="437"/>
      <c r="I109" s="438"/>
      <c r="J109" s="437"/>
      <c r="K109" s="438"/>
      <c r="L109" s="437"/>
      <c r="M109" s="438"/>
      <c r="N109" s="437"/>
      <c r="O109" s="438"/>
      <c r="P109" s="418"/>
      <c r="Q109" s="418"/>
      <c r="R109" s="418"/>
      <c r="S109" s="418"/>
      <c r="T109" s="418"/>
      <c r="U109" s="418"/>
      <c r="V109" s="418"/>
      <c r="W109" s="418"/>
      <c r="X109" s="418"/>
      <c r="Y109" s="418"/>
      <c r="Z109" s="418"/>
      <c r="AA109" s="418"/>
    </row>
    <row r="110" spans="1:27" s="439" customFormat="1" x14ac:dyDescent="0.2">
      <c r="A110" s="418"/>
      <c r="B110" s="437"/>
      <c r="C110" s="438"/>
      <c r="D110" s="437"/>
      <c r="E110" s="438"/>
      <c r="F110" s="437"/>
      <c r="G110" s="438"/>
      <c r="H110" s="437"/>
      <c r="I110" s="438"/>
      <c r="J110" s="437"/>
      <c r="K110" s="438"/>
      <c r="L110" s="437"/>
      <c r="M110" s="438"/>
      <c r="N110" s="437"/>
      <c r="O110" s="438"/>
      <c r="P110" s="418"/>
      <c r="Q110" s="418"/>
      <c r="R110" s="418"/>
      <c r="S110" s="418"/>
      <c r="T110" s="418"/>
      <c r="U110" s="418"/>
      <c r="V110" s="418"/>
      <c r="W110" s="418"/>
      <c r="X110" s="418"/>
      <c r="Y110" s="418"/>
      <c r="Z110" s="418"/>
      <c r="AA110" s="418"/>
    </row>
    <row r="143" spans="5:5" s="202" customFormat="1" x14ac:dyDescent="0.2">
      <c r="E143" s="437">
        <v>21</v>
      </c>
    </row>
  </sheetData>
  <mergeCells count="2">
    <mergeCell ref="A1:O1"/>
    <mergeCell ref="A4:E4"/>
  </mergeCells>
  <phoneticPr fontId="9" type="noConversion"/>
  <printOptions horizontalCentered="1"/>
  <pageMargins left="0.5" right="0.5" top="0.5" bottom="0.625"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tabColor theme="6" tint="0.39997558519241921"/>
    <pageSetUpPr fitToPage="1"/>
  </sheetPr>
  <dimension ref="A1:P121"/>
  <sheetViews>
    <sheetView view="pageBreakPreview" zoomScale="120" zoomScaleNormal="100" zoomScaleSheetLayoutView="120" workbookViewId="0">
      <selection activeCell="Z13" activeCellId="3" sqref="Z18 Z17 Z15 Z13"/>
    </sheetView>
  </sheetViews>
  <sheetFormatPr defaultColWidth="9.140625" defaultRowHeight="12.75" x14ac:dyDescent="0.2"/>
  <cols>
    <col min="1" max="1" width="34" style="434" customWidth="1"/>
    <col min="2" max="2" width="1.5703125" style="434" customWidth="1"/>
    <col min="3" max="3" width="11.5703125" style="437" customWidth="1"/>
    <col min="4" max="4" width="1.5703125" style="434" hidden="1" customWidth="1"/>
    <col min="5" max="5" width="11.5703125" style="437" hidden="1" customWidth="1"/>
    <col min="6" max="6" width="1.5703125" style="434" customWidth="1"/>
    <col min="7" max="7" width="11.5703125" style="437" customWidth="1"/>
    <col min="8" max="8" width="1.5703125" style="434" customWidth="1"/>
    <col min="9" max="9" width="11.5703125" style="437" customWidth="1"/>
    <col min="10" max="10" width="1.5703125" style="434" customWidth="1"/>
    <col min="11" max="11" width="11.5703125" style="437" customWidth="1"/>
    <col min="12" max="12" width="1.5703125" style="434" customWidth="1"/>
    <col min="13" max="13" width="11.5703125" style="437" customWidth="1"/>
    <col min="14" max="14" width="1.5703125" style="434" customWidth="1"/>
    <col min="15" max="15" width="11.5703125" style="437" customWidth="1"/>
    <col min="16" max="16" width="3.140625" style="202" customWidth="1"/>
    <col min="17" max="16384" width="9.140625" style="202"/>
  </cols>
  <sheetData>
    <row r="1" spans="1:16" s="247" customFormat="1" ht="16.5" customHeight="1" thickBot="1" x14ac:dyDescent="0.25">
      <c r="A1" s="1582" t="s">
        <v>1033</v>
      </c>
      <c r="B1" s="1582"/>
      <c r="C1" s="1582"/>
      <c r="D1" s="1582"/>
      <c r="E1" s="1582"/>
      <c r="F1" s="1582"/>
      <c r="G1" s="1582"/>
      <c r="H1" s="1582"/>
      <c r="I1" s="1582"/>
      <c r="J1" s="1582"/>
      <c r="K1" s="1582"/>
      <c r="L1" s="1582"/>
      <c r="M1" s="1582"/>
      <c r="N1" s="1582"/>
      <c r="O1" s="1582"/>
      <c r="P1" s="246"/>
    </row>
    <row r="2" spans="1:16" s="247" customFormat="1" ht="15" customHeight="1" x14ac:dyDescent="0.2">
      <c r="A2" s="700" t="s">
        <v>461</v>
      </c>
      <c r="C2" s="464"/>
      <c r="E2" s="464"/>
      <c r="G2" s="464"/>
      <c r="I2" s="464"/>
      <c r="K2" s="464"/>
      <c r="M2" s="464"/>
      <c r="O2" s="464"/>
      <c r="P2" s="246"/>
    </row>
    <row r="3" spans="1:16" s="247" customFormat="1" ht="15" customHeight="1" x14ac:dyDescent="0.2">
      <c r="A3" s="700" t="s">
        <v>230</v>
      </c>
      <c r="C3" s="464"/>
      <c r="E3" s="464"/>
      <c r="G3" s="464"/>
      <c r="I3" s="464"/>
      <c r="K3" s="464"/>
      <c r="M3" s="464"/>
      <c r="O3" s="464"/>
      <c r="P3" s="246"/>
    </row>
    <row r="4" spans="1:16" s="247" customFormat="1" ht="12.95" customHeight="1" x14ac:dyDescent="0.2">
      <c r="A4" s="506" t="s">
        <v>1724</v>
      </c>
      <c r="C4" s="312"/>
      <c r="E4" s="312"/>
      <c r="G4" s="312"/>
      <c r="I4" s="312"/>
      <c r="K4" s="312"/>
      <c r="M4" s="312"/>
      <c r="O4" s="312"/>
      <c r="P4" s="246"/>
    </row>
    <row r="5" spans="1:16" s="247" customFormat="1" ht="12" customHeight="1" x14ac:dyDescent="0.2">
      <c r="A5" s="253" t="s">
        <v>972</v>
      </c>
      <c r="C5" s="312"/>
      <c r="E5" s="312"/>
      <c r="G5" s="312"/>
      <c r="I5" s="312"/>
      <c r="K5" s="312"/>
      <c r="M5" s="312"/>
      <c r="O5" s="312"/>
      <c r="P5" s="246"/>
    </row>
    <row r="6" spans="1:16" s="314" customFormat="1" ht="12.6" customHeight="1" x14ac:dyDescent="0.2">
      <c r="A6" s="394"/>
      <c r="B6" s="247"/>
      <c r="C6" s="465"/>
      <c r="D6" s="247"/>
      <c r="E6" s="465"/>
      <c r="F6" s="247"/>
      <c r="G6" s="465"/>
      <c r="H6" s="247"/>
      <c r="I6" s="465"/>
      <c r="J6" s="247"/>
      <c r="K6" s="465"/>
      <c r="L6" s="247"/>
      <c r="M6" s="465"/>
      <c r="N6" s="247"/>
      <c r="O6" s="465"/>
      <c r="P6" s="466"/>
    </row>
    <row r="7" spans="1:16" s="470" customFormat="1" ht="12.6" customHeight="1" x14ac:dyDescent="0.2">
      <c r="A7" s="310"/>
      <c r="B7" s="467"/>
      <c r="C7" s="467" t="s">
        <v>319</v>
      </c>
      <c r="D7" s="467"/>
      <c r="E7" s="467"/>
      <c r="F7" s="467"/>
      <c r="G7" s="467"/>
      <c r="H7" s="467"/>
      <c r="I7" s="467"/>
      <c r="J7" s="467"/>
      <c r="K7" s="467"/>
      <c r="L7" s="467"/>
      <c r="M7" s="467" t="s">
        <v>1411</v>
      </c>
      <c r="N7" s="467"/>
      <c r="O7" s="468"/>
      <c r="P7" s="469"/>
    </row>
    <row r="8" spans="1:16" s="470" customFormat="1" ht="12.6" customHeight="1" x14ac:dyDescent="0.2">
      <c r="A8" s="310"/>
      <c r="B8" s="467"/>
      <c r="C8" s="467" t="s">
        <v>320</v>
      </c>
      <c r="D8" s="467"/>
      <c r="E8" s="467" t="s">
        <v>437</v>
      </c>
      <c r="F8" s="467"/>
      <c r="G8" s="310"/>
      <c r="H8" s="467"/>
      <c r="I8" s="467" t="s">
        <v>323</v>
      </c>
      <c r="J8" s="467"/>
      <c r="K8" s="467" t="s">
        <v>987</v>
      </c>
      <c r="L8" s="467"/>
      <c r="M8" s="467" t="s">
        <v>1409</v>
      </c>
      <c r="N8" s="467"/>
      <c r="O8" s="467" t="s">
        <v>671</v>
      </c>
      <c r="P8" s="469"/>
    </row>
    <row r="9" spans="1:16" s="470" customFormat="1" ht="12.6" customHeight="1" x14ac:dyDescent="0.2">
      <c r="A9" s="310"/>
      <c r="B9" s="467"/>
      <c r="C9" s="467" t="s">
        <v>172</v>
      </c>
      <c r="D9" s="467"/>
      <c r="E9" s="467" t="s">
        <v>322</v>
      </c>
      <c r="F9" s="467"/>
      <c r="G9" s="310" t="s">
        <v>745</v>
      </c>
      <c r="H9" s="467"/>
      <c r="I9" s="467" t="s">
        <v>324</v>
      </c>
      <c r="J9" s="467"/>
      <c r="K9" s="467" t="s">
        <v>632</v>
      </c>
      <c r="L9" s="467"/>
      <c r="M9" s="467" t="s">
        <v>1410</v>
      </c>
      <c r="N9" s="467"/>
      <c r="O9" s="467" t="s">
        <v>863</v>
      </c>
      <c r="P9" s="469"/>
    </row>
    <row r="10" spans="1:16" s="470" customFormat="1" ht="12.6" customHeight="1" x14ac:dyDescent="0.2">
      <c r="A10" s="310"/>
      <c r="B10" s="467"/>
      <c r="C10" s="471" t="s">
        <v>321</v>
      </c>
      <c r="D10" s="467"/>
      <c r="E10" s="471" t="s">
        <v>219</v>
      </c>
      <c r="F10" s="467"/>
      <c r="G10" s="574" t="s">
        <v>746</v>
      </c>
      <c r="H10" s="467"/>
      <c r="I10" s="471" t="s">
        <v>321</v>
      </c>
      <c r="J10" s="467"/>
      <c r="K10" s="471" t="s">
        <v>321</v>
      </c>
      <c r="L10" s="467"/>
      <c r="M10" s="471" t="s">
        <v>321</v>
      </c>
      <c r="N10" s="467"/>
      <c r="O10" s="471" t="s">
        <v>864</v>
      </c>
      <c r="P10" s="469"/>
    </row>
    <row r="11" spans="1:16" s="439" customFormat="1" ht="9.75" customHeight="1" x14ac:dyDescent="0.2">
      <c r="A11" s="417" t="s">
        <v>672</v>
      </c>
      <c r="B11" s="438"/>
      <c r="C11" s="438"/>
      <c r="D11" s="438"/>
      <c r="E11" s="438"/>
      <c r="F11" s="438"/>
      <c r="G11" s="438"/>
      <c r="H11" s="438"/>
      <c r="I11" s="438"/>
      <c r="J11" s="438"/>
      <c r="K11" s="438"/>
      <c r="L11" s="438"/>
      <c r="M11" s="438"/>
      <c r="N11" s="438"/>
      <c r="O11" s="438"/>
    </row>
    <row r="12" spans="1:16" s="418" customFormat="1" ht="9.9499999999999993" hidden="1" customHeight="1" x14ac:dyDescent="0.2">
      <c r="A12" s="425" t="s">
        <v>673</v>
      </c>
      <c r="B12" s="438"/>
      <c r="C12" s="543">
        <f>+BSGFws!AY3</f>
        <v>0</v>
      </c>
      <c r="D12" s="438"/>
      <c r="E12" s="454"/>
      <c r="F12" s="438"/>
      <c r="G12" s="543">
        <f>+BSGFws!AZ3</f>
        <v>0</v>
      </c>
      <c r="H12" s="438"/>
      <c r="I12" s="543">
        <f>+BSGFws!BA3</f>
        <v>0</v>
      </c>
      <c r="J12" s="438"/>
      <c r="K12" s="543">
        <f>+BSGFws!BB3</f>
        <v>0</v>
      </c>
      <c r="L12" s="438"/>
      <c r="M12" s="543">
        <f>+BSGFws!BC3</f>
        <v>0</v>
      </c>
      <c r="N12" s="438"/>
      <c r="O12" s="454">
        <f>SUM(C12:M12)</f>
        <v>0</v>
      </c>
    </row>
    <row r="13" spans="1:16" s="439" customFormat="1" ht="9.9499999999999993" hidden="1" customHeight="1" x14ac:dyDescent="0.2">
      <c r="A13" s="425" t="s">
        <v>674</v>
      </c>
      <c r="B13" s="448"/>
      <c r="C13" s="450">
        <f>+BSGFws!AY4</f>
        <v>0</v>
      </c>
      <c r="D13" s="448"/>
      <c r="E13" s="450"/>
      <c r="F13" s="448"/>
      <c r="G13" s="450">
        <f>+BSGFws!AZ4</f>
        <v>0</v>
      </c>
      <c r="H13" s="448"/>
      <c r="I13" s="450">
        <f>+BSGFws!BA4</f>
        <v>0</v>
      </c>
      <c r="J13" s="448"/>
      <c r="K13" s="450">
        <f>+BSGFws!BB4</f>
        <v>0</v>
      </c>
      <c r="L13" s="448"/>
      <c r="M13" s="450">
        <f>+BSGFws!BC4</f>
        <v>0</v>
      </c>
      <c r="N13" s="448"/>
      <c r="O13" s="450">
        <f t="shared" ref="O13:O29" si="0">SUM(C13:M13)</f>
        <v>0</v>
      </c>
    </row>
    <row r="14" spans="1:16" s="439" customFormat="1" ht="9.9499999999999993" hidden="1" customHeight="1" x14ac:dyDescent="0.2">
      <c r="A14" s="425" t="s">
        <v>675</v>
      </c>
      <c r="B14" s="448"/>
      <c r="C14" s="450">
        <f>+BSGFws!AY5</f>
        <v>0</v>
      </c>
      <c r="D14" s="448"/>
      <c r="E14" s="450"/>
      <c r="F14" s="448"/>
      <c r="G14" s="450">
        <f>+BSGFws!AZ5</f>
        <v>0</v>
      </c>
      <c r="H14" s="448"/>
      <c r="I14" s="450">
        <f>+BSGFws!BA5</f>
        <v>0</v>
      </c>
      <c r="J14" s="448"/>
      <c r="K14" s="450">
        <f>+BSGFws!BB5</f>
        <v>0</v>
      </c>
      <c r="L14" s="448"/>
      <c r="M14" s="450">
        <f>+BSGFws!BC5</f>
        <v>0</v>
      </c>
      <c r="N14" s="448"/>
      <c r="O14" s="450">
        <f t="shared" si="0"/>
        <v>0</v>
      </c>
    </row>
    <row r="15" spans="1:16" s="439" customFormat="1" ht="9.9499999999999993" hidden="1" customHeight="1" x14ac:dyDescent="0.2">
      <c r="A15" s="425" t="s">
        <v>763</v>
      </c>
      <c r="B15" s="448"/>
      <c r="C15" s="450">
        <f>+BSGFws!AY6</f>
        <v>0</v>
      </c>
      <c r="D15" s="448"/>
      <c r="E15" s="450"/>
      <c r="F15" s="448"/>
      <c r="G15" s="450">
        <f>+BSGFws!AZ6</f>
        <v>0</v>
      </c>
      <c r="H15" s="448"/>
      <c r="I15" s="450">
        <f>+BSGFws!BA6</f>
        <v>0</v>
      </c>
      <c r="J15" s="448"/>
      <c r="K15" s="450">
        <f>+BSGFws!BB6</f>
        <v>0</v>
      </c>
      <c r="L15" s="448"/>
      <c r="M15" s="450">
        <f>+BSGFws!BC6</f>
        <v>0</v>
      </c>
      <c r="N15" s="448"/>
      <c r="O15" s="450">
        <f t="shared" si="0"/>
        <v>0</v>
      </c>
    </row>
    <row r="16" spans="1:16" s="439" customFormat="1" ht="9.9499999999999993" hidden="1" customHeight="1" x14ac:dyDescent="0.2">
      <c r="A16" s="425" t="s">
        <v>683</v>
      </c>
      <c r="B16" s="448"/>
      <c r="C16" s="450">
        <f>+BSGFws!AY7</f>
        <v>0</v>
      </c>
      <c r="D16" s="448"/>
      <c r="E16" s="450"/>
      <c r="F16" s="448"/>
      <c r="G16" s="450">
        <f>+BSGFws!AZ7</f>
        <v>0</v>
      </c>
      <c r="H16" s="448"/>
      <c r="I16" s="450">
        <f>+BSGFws!BA7</f>
        <v>0</v>
      </c>
      <c r="J16" s="448"/>
      <c r="K16" s="450">
        <f>+BSGFws!BB7</f>
        <v>0</v>
      </c>
      <c r="L16" s="448"/>
      <c r="M16" s="450">
        <f>+BSGFws!BC7</f>
        <v>0</v>
      </c>
      <c r="N16" s="448"/>
      <c r="O16" s="450">
        <f t="shared" si="0"/>
        <v>0</v>
      </c>
    </row>
    <row r="17" spans="1:15" s="439" customFormat="1" ht="9.9499999999999993" hidden="1" customHeight="1" x14ac:dyDescent="0.2">
      <c r="A17" s="425" t="s">
        <v>840</v>
      </c>
      <c r="B17" s="448"/>
      <c r="C17" s="450">
        <f>+BSGFws!AY8</f>
        <v>0</v>
      </c>
      <c r="D17" s="448"/>
      <c r="E17" s="450"/>
      <c r="F17" s="448"/>
      <c r="G17" s="450">
        <f>+BSGFws!AZ8</f>
        <v>0</v>
      </c>
      <c r="H17" s="448"/>
      <c r="I17" s="450">
        <f>+BSGFws!BA8</f>
        <v>0</v>
      </c>
      <c r="J17" s="448"/>
      <c r="K17" s="450">
        <f>+BSGFws!BB8</f>
        <v>0</v>
      </c>
      <c r="L17" s="448"/>
      <c r="M17" s="450">
        <f>+BSGFws!BC8</f>
        <v>0</v>
      </c>
      <c r="N17" s="448"/>
      <c r="O17" s="450">
        <f t="shared" si="0"/>
        <v>0</v>
      </c>
    </row>
    <row r="18" spans="1:15" s="439" customFormat="1" ht="9.9499999999999993" hidden="1" customHeight="1" x14ac:dyDescent="0.2">
      <c r="A18" s="425" t="s">
        <v>63</v>
      </c>
      <c r="B18" s="448"/>
      <c r="C18" s="450">
        <f>+BSGFws!AY10</f>
        <v>0</v>
      </c>
      <c r="D18" s="448"/>
      <c r="E18" s="450"/>
      <c r="F18" s="448"/>
      <c r="G18" s="450">
        <f>+BSGFws!AZ10</f>
        <v>0</v>
      </c>
      <c r="H18" s="448"/>
      <c r="I18" s="450">
        <f>+BSGFws!BA10</f>
        <v>0</v>
      </c>
      <c r="J18" s="448"/>
      <c r="K18" s="450">
        <f>+BSGFws!BB10</f>
        <v>0</v>
      </c>
      <c r="L18" s="448"/>
      <c r="M18" s="450">
        <f>+BSGFws!BC10</f>
        <v>0</v>
      </c>
      <c r="N18" s="448"/>
      <c r="O18" s="450">
        <f t="shared" si="0"/>
        <v>0</v>
      </c>
    </row>
    <row r="19" spans="1:15" s="439" customFormat="1" ht="9.9499999999999993" hidden="1" customHeight="1" x14ac:dyDescent="0.2">
      <c r="A19" s="425" t="s">
        <v>592</v>
      </c>
      <c r="B19" s="448"/>
      <c r="C19" s="450">
        <f>+BSGFws!AY11</f>
        <v>0</v>
      </c>
      <c r="D19" s="448"/>
      <c r="E19" s="450"/>
      <c r="F19" s="448"/>
      <c r="G19" s="450">
        <f>+BSGFws!AZ11</f>
        <v>0</v>
      </c>
      <c r="H19" s="448"/>
      <c r="I19" s="450">
        <f>+BSGFws!BA11</f>
        <v>0</v>
      </c>
      <c r="J19" s="448"/>
      <c r="K19" s="450">
        <f>+BSGFws!BB11</f>
        <v>0</v>
      </c>
      <c r="L19" s="448"/>
      <c r="M19" s="450">
        <f>+BSGFws!BC11</f>
        <v>0</v>
      </c>
      <c r="N19" s="448"/>
      <c r="O19" s="450">
        <f t="shared" si="0"/>
        <v>0</v>
      </c>
    </row>
    <row r="20" spans="1:15" s="439" customFormat="1" ht="9.9499999999999993" customHeight="1" x14ac:dyDescent="0.2">
      <c r="A20" s="425" t="s">
        <v>685</v>
      </c>
      <c r="B20" s="448"/>
      <c r="C20" s="450">
        <f>+BSGFws!AY12</f>
        <v>0</v>
      </c>
      <c r="D20" s="448"/>
      <c r="E20" s="450"/>
      <c r="F20" s="448"/>
      <c r="G20" s="450">
        <f>+BSGFws!AZ12</f>
        <v>0</v>
      </c>
      <c r="H20" s="448"/>
      <c r="I20" s="450">
        <f>+BSGFws!BA12</f>
        <v>0</v>
      </c>
      <c r="J20" s="448"/>
      <c r="K20" s="450">
        <f>+BSGFws!BB12</f>
        <v>0</v>
      </c>
      <c r="L20" s="448"/>
      <c r="M20" s="450">
        <f>+BSGFws!BC12</f>
        <v>0</v>
      </c>
      <c r="N20" s="448"/>
      <c r="O20" s="450">
        <f t="shared" si="0"/>
        <v>0</v>
      </c>
    </row>
    <row r="21" spans="1:15" s="439" customFormat="1" ht="9.9499999999999993" customHeight="1" x14ac:dyDescent="0.2">
      <c r="A21" s="426" t="s">
        <v>673</v>
      </c>
      <c r="B21" s="448"/>
      <c r="C21" s="454">
        <f>+BSGFws!AY13</f>
        <v>84</v>
      </c>
      <c r="D21" s="454"/>
      <c r="E21" s="454"/>
      <c r="F21" s="454"/>
      <c r="G21" s="454">
        <f>+BSGFws!AZ13</f>
        <v>1185</v>
      </c>
      <c r="H21" s="454"/>
      <c r="I21" s="454">
        <f>+BSGFws!BA13</f>
        <v>75</v>
      </c>
      <c r="J21" s="454"/>
      <c r="K21" s="454">
        <f>+BSGFws!BB13</f>
        <v>123</v>
      </c>
      <c r="L21" s="454"/>
      <c r="M21" s="454">
        <f>+BSGFws!BC13</f>
        <v>309</v>
      </c>
      <c r="N21" s="454"/>
      <c r="O21" s="454">
        <f t="shared" si="0"/>
        <v>1776</v>
      </c>
    </row>
    <row r="22" spans="1:15" s="439" customFormat="1" ht="9.9499999999999993" customHeight="1" x14ac:dyDescent="0.2">
      <c r="A22" s="426" t="s">
        <v>674</v>
      </c>
      <c r="B22" s="448"/>
      <c r="C22" s="450">
        <f>+BSGFws!AY14</f>
        <v>284</v>
      </c>
      <c r="D22" s="448"/>
      <c r="E22" s="450"/>
      <c r="F22" s="448"/>
      <c r="G22" s="450">
        <f>+BSGFws!AZ14</f>
        <v>4023</v>
      </c>
      <c r="H22" s="448"/>
      <c r="I22" s="450">
        <f>+BSGFws!BA14</f>
        <v>253</v>
      </c>
      <c r="J22" s="448"/>
      <c r="K22" s="450">
        <f>+BSGFws!BB14</f>
        <v>417</v>
      </c>
      <c r="L22" s="448"/>
      <c r="M22" s="450">
        <f>+BSGFws!BC14</f>
        <v>1048</v>
      </c>
      <c r="N22" s="448"/>
      <c r="O22" s="450">
        <f t="shared" si="0"/>
        <v>6025</v>
      </c>
    </row>
    <row r="23" spans="1:15" s="439" customFormat="1" ht="9.9499999999999993" customHeight="1" x14ac:dyDescent="0.2">
      <c r="A23" s="426" t="s">
        <v>252</v>
      </c>
      <c r="B23" s="448"/>
      <c r="C23" s="450">
        <f>+BSGFws!AY15</f>
        <v>2</v>
      </c>
      <c r="D23" s="448"/>
      <c r="E23" s="450"/>
      <c r="F23" s="448"/>
      <c r="G23" s="450">
        <f>+BSGFws!AZ15</f>
        <v>208</v>
      </c>
      <c r="H23" s="448"/>
      <c r="I23" s="450">
        <f>+BSGFws!BA15</f>
        <v>1</v>
      </c>
      <c r="J23" s="448"/>
      <c r="K23" s="450">
        <f>+BSGFws!BB15</f>
        <v>3</v>
      </c>
      <c r="L23" s="448"/>
      <c r="M23" s="450">
        <f>+BSGFws!BC15</f>
        <v>10</v>
      </c>
      <c r="N23" s="448"/>
      <c r="O23" s="450">
        <f>SUM(C23:M23)</f>
        <v>224</v>
      </c>
    </row>
    <row r="24" spans="1:15" s="439" customFormat="1" ht="9.9499999999999993" hidden="1" customHeight="1" x14ac:dyDescent="0.2">
      <c r="A24" s="426" t="s">
        <v>763</v>
      </c>
      <c r="B24" s="448"/>
      <c r="C24" s="450">
        <f>+BSGFws!AY16</f>
        <v>0</v>
      </c>
      <c r="D24" s="448"/>
      <c r="E24" s="450">
        <f>+BSGFws!V16</f>
        <v>0</v>
      </c>
      <c r="F24" s="448"/>
      <c r="G24" s="450">
        <f>+BSGFws!AZ16</f>
        <v>0</v>
      </c>
      <c r="H24" s="448"/>
      <c r="I24" s="450">
        <f>+BSGFws!BA16</f>
        <v>0</v>
      </c>
      <c r="J24" s="448"/>
      <c r="K24" s="450">
        <f>+BSGFws!BB16</f>
        <v>0</v>
      </c>
      <c r="L24" s="448"/>
      <c r="M24" s="450">
        <f>+BSGFws!BC16</f>
        <v>0</v>
      </c>
      <c r="N24" s="448"/>
      <c r="O24" s="450">
        <f t="shared" ref="O24:O28" si="1">SUM(C24:M24)</f>
        <v>0</v>
      </c>
    </row>
    <row r="25" spans="1:15" s="439" customFormat="1" ht="9.9499999999999993" hidden="1" customHeight="1" x14ac:dyDescent="0.2">
      <c r="A25" s="426" t="s">
        <v>683</v>
      </c>
      <c r="B25" s="450"/>
      <c r="C25" s="450">
        <f>+BSGFws!AY17</f>
        <v>0</v>
      </c>
      <c r="D25" s="450"/>
      <c r="E25" s="450">
        <f>+BSGFws!V17</f>
        <v>0</v>
      </c>
      <c r="F25" s="450"/>
      <c r="G25" s="450">
        <f>+BSGFws!AZ17</f>
        <v>0</v>
      </c>
      <c r="H25" s="450"/>
      <c r="I25" s="450">
        <f>+BSGFws!BA17</f>
        <v>0</v>
      </c>
      <c r="J25" s="450"/>
      <c r="K25" s="450">
        <f>+BSGFws!BB17</f>
        <v>0</v>
      </c>
      <c r="L25" s="450"/>
      <c r="M25" s="450">
        <f>+BSGFws!BC17</f>
        <v>0</v>
      </c>
      <c r="N25" s="450"/>
      <c r="O25" s="450">
        <f t="shared" si="1"/>
        <v>0</v>
      </c>
    </row>
    <row r="26" spans="1:15" s="439" customFormat="1" ht="9.9499999999999993" hidden="1" customHeight="1" x14ac:dyDescent="0.2">
      <c r="A26" s="426" t="s">
        <v>840</v>
      </c>
      <c r="B26" s="450"/>
      <c r="C26" s="450">
        <f>+BSGFws!AY18</f>
        <v>0</v>
      </c>
      <c r="D26" s="450"/>
      <c r="E26" s="450">
        <f>+BSGFws!V18</f>
        <v>0</v>
      </c>
      <c r="F26" s="450"/>
      <c r="G26" s="450">
        <f>+BSGFws!AZ18</f>
        <v>0</v>
      </c>
      <c r="H26" s="450"/>
      <c r="I26" s="450">
        <f>+BSGFws!BA18</f>
        <v>0</v>
      </c>
      <c r="J26" s="450"/>
      <c r="K26" s="450">
        <f>+BSGFws!BB18</f>
        <v>0</v>
      </c>
      <c r="L26" s="450"/>
      <c r="M26" s="450">
        <f>+BSGFws!BC18</f>
        <v>0</v>
      </c>
      <c r="N26" s="450"/>
      <c r="O26" s="450">
        <f t="shared" si="1"/>
        <v>0</v>
      </c>
    </row>
    <row r="27" spans="1:15" s="439" customFormat="1" ht="9.9499999999999993" hidden="1" customHeight="1" x14ac:dyDescent="0.2">
      <c r="A27" s="426" t="s">
        <v>1575</v>
      </c>
      <c r="B27" s="450"/>
      <c r="C27" s="450">
        <f>+BSGFws!AY19</f>
        <v>0</v>
      </c>
      <c r="D27" s="450"/>
      <c r="E27" s="450">
        <f>+BSGFws!V19</f>
        <v>0</v>
      </c>
      <c r="F27" s="450"/>
      <c r="G27" s="450">
        <f>+BSGFws!AZ19</f>
        <v>0</v>
      </c>
      <c r="H27" s="450"/>
      <c r="I27" s="450">
        <f>+BSGFws!BA19</f>
        <v>0</v>
      </c>
      <c r="J27" s="450"/>
      <c r="K27" s="450">
        <f>+BSGFws!BB19</f>
        <v>0</v>
      </c>
      <c r="L27" s="450"/>
      <c r="M27" s="450">
        <f>+BSGFws!BC19</f>
        <v>0</v>
      </c>
      <c r="N27" s="450"/>
      <c r="O27" s="450">
        <f t="shared" si="1"/>
        <v>0</v>
      </c>
    </row>
    <row r="28" spans="1:15" s="439" customFormat="1" ht="9.9499999999999993" hidden="1" customHeight="1" x14ac:dyDescent="0.2">
      <c r="A28" s="426" t="s">
        <v>63</v>
      </c>
      <c r="B28" s="450"/>
      <c r="C28" s="450">
        <f>+BSGFws!AY20</f>
        <v>0</v>
      </c>
      <c r="D28" s="450"/>
      <c r="E28" s="450">
        <f>+BSGFws!V20</f>
        <v>0</v>
      </c>
      <c r="F28" s="450"/>
      <c r="G28" s="450">
        <f>+BSGFws!AZ20</f>
        <v>0</v>
      </c>
      <c r="H28" s="450"/>
      <c r="I28" s="450">
        <f>+BSGFws!BA20</f>
        <v>0</v>
      </c>
      <c r="J28" s="450"/>
      <c r="K28" s="450">
        <f>+BSGFws!BB20</f>
        <v>0</v>
      </c>
      <c r="L28" s="450"/>
      <c r="M28" s="450">
        <f>+BSGFws!BC20</f>
        <v>0</v>
      </c>
      <c r="N28" s="450"/>
      <c r="O28" s="450">
        <f t="shared" si="1"/>
        <v>0</v>
      </c>
    </row>
    <row r="29" spans="1:15" s="439" customFormat="1" ht="9.9499999999999993" hidden="1" customHeight="1" x14ac:dyDescent="0.2">
      <c r="A29" s="426" t="s">
        <v>592</v>
      </c>
      <c r="B29" s="438"/>
      <c r="C29" s="450">
        <f>+BSGFws!AY21</f>
        <v>0</v>
      </c>
      <c r="D29" s="438"/>
      <c r="E29" s="450">
        <f>+BSGFws!V21</f>
        <v>0</v>
      </c>
      <c r="F29" s="438"/>
      <c r="G29" s="450">
        <f>+BSGFws!AZ21</f>
        <v>0</v>
      </c>
      <c r="H29" s="438"/>
      <c r="I29" s="450">
        <f>+BSGFws!BA21</f>
        <v>0</v>
      </c>
      <c r="J29" s="438"/>
      <c r="K29" s="450">
        <f>+BSGFws!BB21</f>
        <v>0</v>
      </c>
      <c r="L29" s="438"/>
      <c r="M29" s="450">
        <f>+BSGFws!BC21</f>
        <v>0</v>
      </c>
      <c r="N29" s="438"/>
      <c r="O29" s="450">
        <f t="shared" si="0"/>
        <v>0</v>
      </c>
    </row>
    <row r="30" spans="1:15" s="439" customFormat="1" ht="5.0999999999999996" customHeight="1" x14ac:dyDescent="0.2">
      <c r="A30" s="418"/>
      <c r="B30" s="438"/>
      <c r="C30" s="1016"/>
      <c r="D30" s="438"/>
      <c r="E30" s="1016"/>
      <c r="F30" s="438"/>
      <c r="G30" s="1016"/>
      <c r="H30" s="438"/>
      <c r="I30" s="1016"/>
      <c r="J30" s="438"/>
      <c r="K30" s="1016"/>
      <c r="L30" s="438"/>
      <c r="M30" s="1016"/>
      <c r="N30" s="438"/>
      <c r="O30" s="1016"/>
    </row>
    <row r="31" spans="1:15" s="439" customFormat="1" ht="11.1" customHeight="1" thickBot="1" x14ac:dyDescent="0.25">
      <c r="A31" s="417" t="s">
        <v>687</v>
      </c>
      <c r="B31" s="438"/>
      <c r="C31" s="453">
        <f>SUM(C12:C29)</f>
        <v>370</v>
      </c>
      <c r="D31" s="438"/>
      <c r="E31" s="453">
        <f>SUM(E12:E29)</f>
        <v>0</v>
      </c>
      <c r="F31" s="438"/>
      <c r="G31" s="453">
        <f>SUM(G12:G29)</f>
        <v>5416</v>
      </c>
      <c r="H31" s="438"/>
      <c r="I31" s="453">
        <f>SUM(I12:I29)</f>
        <v>329</v>
      </c>
      <c r="J31" s="438"/>
      <c r="K31" s="453">
        <f>SUM(K12:K29)</f>
        <v>543</v>
      </c>
      <c r="L31" s="438"/>
      <c r="M31" s="453">
        <f>SUM(M12:M29)</f>
        <v>1367</v>
      </c>
      <c r="N31" s="438"/>
      <c r="O31" s="453">
        <f>SUM(O12:O29)</f>
        <v>8025</v>
      </c>
    </row>
    <row r="32" spans="1:15" s="439" customFormat="1" ht="5.0999999999999996" customHeight="1" thickTop="1" x14ac:dyDescent="0.2">
      <c r="A32" s="418"/>
      <c r="B32" s="438"/>
      <c r="C32" s="438"/>
      <c r="D32" s="438"/>
      <c r="E32" s="438"/>
      <c r="F32" s="438"/>
      <c r="G32" s="438"/>
      <c r="H32" s="438"/>
      <c r="I32" s="438"/>
      <c r="J32" s="438"/>
      <c r="K32" s="438"/>
      <c r="L32" s="438"/>
      <c r="M32" s="438"/>
      <c r="N32" s="438"/>
      <c r="O32" s="438"/>
    </row>
    <row r="33" spans="1:15" s="439" customFormat="1" ht="9.9499999999999993" customHeight="1" x14ac:dyDescent="0.2">
      <c r="A33" s="353" t="s">
        <v>31</v>
      </c>
      <c r="B33" s="438"/>
      <c r="C33" s="438"/>
      <c r="D33" s="438"/>
      <c r="E33" s="438"/>
      <c r="F33" s="438"/>
      <c r="G33" s="438"/>
      <c r="H33" s="438"/>
      <c r="I33" s="438"/>
      <c r="J33" s="438"/>
      <c r="K33" s="438"/>
      <c r="L33" s="438"/>
      <c r="M33" s="438"/>
      <c r="N33" s="438"/>
      <c r="O33" s="438"/>
    </row>
    <row r="34" spans="1:15" s="439" customFormat="1" ht="9.9499999999999993" customHeight="1" x14ac:dyDescent="0.2">
      <c r="A34" s="428" t="s">
        <v>751</v>
      </c>
      <c r="B34" s="438"/>
      <c r="C34" s="438"/>
      <c r="D34" s="438"/>
      <c r="E34" s="438"/>
      <c r="F34" s="438"/>
      <c r="G34" s="438"/>
      <c r="H34" s="438"/>
      <c r="I34" s="438"/>
      <c r="J34" s="438"/>
      <c r="K34" s="438"/>
      <c r="L34" s="438"/>
      <c r="M34" s="438"/>
      <c r="N34" s="438"/>
      <c r="O34" s="438"/>
    </row>
    <row r="35" spans="1:15" s="454" customFormat="1" ht="9.9499999999999993" hidden="1" customHeight="1" x14ac:dyDescent="0.2">
      <c r="A35" s="426" t="s">
        <v>688</v>
      </c>
      <c r="C35" s="454">
        <f>+BSGFws!AY28</f>
        <v>0</v>
      </c>
      <c r="G35" s="454">
        <f>+BSGFws!AZ28</f>
        <v>0</v>
      </c>
      <c r="I35" s="454">
        <f>+BSGFws!BA28</f>
        <v>0</v>
      </c>
      <c r="K35" s="454">
        <f>+BSGFws!BB28</f>
        <v>0</v>
      </c>
      <c r="M35" s="454">
        <f>+BSGFws!BC28</f>
        <v>0</v>
      </c>
      <c r="O35" s="454">
        <f t="shared" ref="O35:O51" si="2">SUM(C35:M35)</f>
        <v>0</v>
      </c>
    </row>
    <row r="36" spans="1:15" s="439" customFormat="1" ht="9.9499999999999993" hidden="1" customHeight="1" x14ac:dyDescent="0.2">
      <c r="A36" s="426" t="s">
        <v>847</v>
      </c>
      <c r="B36" s="448"/>
      <c r="C36" s="450">
        <f>+BSGFws!AY29</f>
        <v>0</v>
      </c>
      <c r="D36" s="448"/>
      <c r="E36" s="450"/>
      <c r="F36" s="448"/>
      <c r="G36" s="450">
        <f>+BSGFws!AZ29</f>
        <v>0</v>
      </c>
      <c r="H36" s="448"/>
      <c r="I36" s="450">
        <f>+BSGFws!BA29</f>
        <v>0</v>
      </c>
      <c r="J36" s="448"/>
      <c r="K36" s="450">
        <f>+BSGFws!BB29</f>
        <v>0</v>
      </c>
      <c r="L36" s="448"/>
      <c r="M36" s="450">
        <f>+BSGFws!BC29</f>
        <v>0</v>
      </c>
      <c r="N36" s="448"/>
      <c r="O36" s="450">
        <f t="shared" si="2"/>
        <v>0</v>
      </c>
    </row>
    <row r="37" spans="1:15" s="907" customFormat="1" ht="9.9499999999999993" hidden="1" customHeight="1" x14ac:dyDescent="0.2">
      <c r="A37" s="426" t="s">
        <v>690</v>
      </c>
      <c r="B37" s="454"/>
      <c r="C37" s="450">
        <f>+BSGFws!AY30</f>
        <v>0</v>
      </c>
      <c r="D37" s="454"/>
      <c r="E37" s="450"/>
      <c r="F37" s="454"/>
      <c r="G37" s="450">
        <f>+BSGFws!AZ30</f>
        <v>0</v>
      </c>
      <c r="H37" s="454"/>
      <c r="I37" s="450">
        <f>+BSGFws!BA30</f>
        <v>0</v>
      </c>
      <c r="J37" s="454"/>
      <c r="K37" s="450">
        <f>+BSGFws!BB30</f>
        <v>0</v>
      </c>
      <c r="L37" s="454"/>
      <c r="M37" s="450">
        <f>+BSGFws!BC30</f>
        <v>0</v>
      </c>
      <c r="N37" s="454"/>
      <c r="O37" s="450">
        <f t="shared" si="2"/>
        <v>0</v>
      </c>
    </row>
    <row r="38" spans="1:15" s="439" customFormat="1" ht="9.9499999999999993" hidden="1" customHeight="1" x14ac:dyDescent="0.2">
      <c r="A38" s="426" t="s">
        <v>691</v>
      </c>
      <c r="B38" s="450"/>
      <c r="C38" s="450">
        <f>+BSGFws!AY31</f>
        <v>0</v>
      </c>
      <c r="D38" s="450"/>
      <c r="E38" s="450"/>
      <c r="F38" s="450"/>
      <c r="G38" s="450">
        <f>+BSGFws!AZ31</f>
        <v>0</v>
      </c>
      <c r="H38" s="450"/>
      <c r="I38" s="450">
        <f>+BSGFws!BA31</f>
        <v>0</v>
      </c>
      <c r="J38" s="450"/>
      <c r="K38" s="450">
        <f>+BSGFws!BB31</f>
        <v>0</v>
      </c>
      <c r="L38" s="450"/>
      <c r="M38" s="450">
        <f>+BSGFws!BC31</f>
        <v>0</v>
      </c>
      <c r="N38" s="450"/>
      <c r="O38" s="450">
        <f t="shared" si="2"/>
        <v>0</v>
      </c>
    </row>
    <row r="39" spans="1:15" s="439" customFormat="1" ht="9.9499999999999993" hidden="1" customHeight="1" x14ac:dyDescent="0.2">
      <c r="A39" s="426" t="s">
        <v>203</v>
      </c>
      <c r="B39" s="450"/>
      <c r="C39" s="450">
        <f>+BSGFws!AY32</f>
        <v>0</v>
      </c>
      <c r="D39" s="450"/>
      <c r="E39" s="450"/>
      <c r="F39" s="450"/>
      <c r="G39" s="450">
        <f>+BSGFws!AZ32</f>
        <v>0</v>
      </c>
      <c r="H39" s="450"/>
      <c r="I39" s="450">
        <f>+BSGFws!BA32</f>
        <v>0</v>
      </c>
      <c r="J39" s="450"/>
      <c r="K39" s="450">
        <f>+BSGFws!BB32</f>
        <v>0</v>
      </c>
      <c r="L39" s="450"/>
      <c r="M39" s="450">
        <f>+BSGFws!BC32</f>
        <v>0</v>
      </c>
      <c r="N39" s="450"/>
      <c r="O39" s="450">
        <f t="shared" si="2"/>
        <v>0</v>
      </c>
    </row>
    <row r="40" spans="1:15" s="439" customFormat="1" ht="9.9499999999999993" hidden="1" customHeight="1" x14ac:dyDescent="0.2">
      <c r="A40" s="426" t="s">
        <v>848</v>
      </c>
      <c r="B40" s="450"/>
      <c r="C40" s="450">
        <f>+BSGFws!AY33</f>
        <v>0</v>
      </c>
      <c r="D40" s="450"/>
      <c r="E40" s="450"/>
      <c r="F40" s="450"/>
      <c r="G40" s="450">
        <f>+BSGFws!AZ33</f>
        <v>0</v>
      </c>
      <c r="H40" s="450"/>
      <c r="I40" s="450">
        <f>+BSGFws!BA33</f>
        <v>0</v>
      </c>
      <c r="J40" s="450"/>
      <c r="K40" s="450">
        <f>+BSGFws!BB33</f>
        <v>0</v>
      </c>
      <c r="L40" s="450"/>
      <c r="M40" s="450">
        <f>+BSGFws!BC33</f>
        <v>0</v>
      </c>
      <c r="N40" s="450"/>
      <c r="O40" s="450">
        <f t="shared" si="2"/>
        <v>0</v>
      </c>
    </row>
    <row r="41" spans="1:15" s="439" customFormat="1" ht="9.9499999999999993" hidden="1" customHeight="1" x14ac:dyDescent="0.2">
      <c r="A41" s="426" t="s">
        <v>604</v>
      </c>
      <c r="B41" s="450"/>
      <c r="C41" s="450">
        <f>+BSGFws!AY34</f>
        <v>0</v>
      </c>
      <c r="D41" s="450"/>
      <c r="E41" s="450"/>
      <c r="F41" s="450"/>
      <c r="G41" s="450">
        <f>+BSGFws!AZ34</f>
        <v>0</v>
      </c>
      <c r="H41" s="450"/>
      <c r="I41" s="450">
        <f>+BSGFws!BA34</f>
        <v>0</v>
      </c>
      <c r="J41" s="450"/>
      <c r="K41" s="450">
        <f>+BSGFws!BB34</f>
        <v>0</v>
      </c>
      <c r="L41" s="450"/>
      <c r="M41" s="450">
        <f>+BSGFws!BC34</f>
        <v>0</v>
      </c>
      <c r="N41" s="450"/>
      <c r="O41" s="450">
        <f t="shared" si="2"/>
        <v>0</v>
      </c>
    </row>
    <row r="42" spans="1:15" s="439" customFormat="1" ht="9.9499999999999993" hidden="1" customHeight="1" x14ac:dyDescent="0.2">
      <c r="A42" s="426" t="s">
        <v>593</v>
      </c>
      <c r="B42" s="450"/>
      <c r="C42" s="450">
        <f>+BSGFws!AY35</f>
        <v>0</v>
      </c>
      <c r="D42" s="450"/>
      <c r="E42" s="450"/>
      <c r="F42" s="450"/>
      <c r="G42" s="450">
        <f>+BSGFws!AZ35</f>
        <v>0</v>
      </c>
      <c r="H42" s="450"/>
      <c r="I42" s="450">
        <f>+BSGFws!BA35</f>
        <v>0</v>
      </c>
      <c r="J42" s="450"/>
      <c r="K42" s="450">
        <f>+BSGFws!BB35</f>
        <v>0</v>
      </c>
      <c r="L42" s="450"/>
      <c r="M42" s="450">
        <f>+BSGFws!BC35</f>
        <v>0</v>
      </c>
      <c r="N42" s="450"/>
      <c r="O42" s="450">
        <f t="shared" si="2"/>
        <v>0</v>
      </c>
    </row>
    <row r="43" spans="1:15" s="439" customFormat="1" ht="9.9499999999999993" customHeight="1" x14ac:dyDescent="0.2">
      <c r="A43" s="425" t="s">
        <v>1304</v>
      </c>
      <c r="B43" s="450"/>
      <c r="C43" s="450"/>
      <c r="D43" s="450"/>
      <c r="E43" s="450"/>
      <c r="F43" s="450"/>
      <c r="G43" s="450"/>
      <c r="H43" s="450"/>
      <c r="I43" s="450"/>
      <c r="J43" s="450"/>
      <c r="K43" s="450"/>
      <c r="L43" s="450"/>
      <c r="M43" s="450"/>
      <c r="N43" s="450"/>
      <c r="O43" s="450">
        <f t="shared" si="2"/>
        <v>0</v>
      </c>
    </row>
    <row r="44" spans="1:15" s="907" customFormat="1" ht="9.9499999999999993" hidden="1" customHeight="1" x14ac:dyDescent="0.2">
      <c r="A44" s="426" t="s">
        <v>688</v>
      </c>
      <c r="B44" s="454"/>
      <c r="C44" s="339">
        <f>+BSGFws!AY37</f>
        <v>0</v>
      </c>
      <c r="D44" s="339"/>
      <c r="E44" s="339"/>
      <c r="F44" s="339"/>
      <c r="G44" s="339">
        <f>+BSGFws!AZ37</f>
        <v>0</v>
      </c>
      <c r="H44" s="339"/>
      <c r="I44" s="339">
        <f>+BSGFws!BA37</f>
        <v>0</v>
      </c>
      <c r="J44" s="339"/>
      <c r="K44" s="339">
        <f>+BSGFws!BB37</f>
        <v>0</v>
      </c>
      <c r="L44" s="339"/>
      <c r="M44" s="339">
        <f>+BSGFws!BC37</f>
        <v>0</v>
      </c>
      <c r="N44" s="339"/>
      <c r="O44" s="339">
        <f t="shared" si="2"/>
        <v>0</v>
      </c>
    </row>
    <row r="45" spans="1:15" s="439" customFormat="1" ht="9.9499999999999993" customHeight="1" x14ac:dyDescent="0.2">
      <c r="A45" s="426" t="s">
        <v>847</v>
      </c>
      <c r="B45" s="450"/>
      <c r="C45" s="1379">
        <f>+BSGFws!AY38</f>
        <v>0</v>
      </c>
      <c r="D45" s="1379"/>
      <c r="E45" s="1379">
        <f>+BSGFws!V38</f>
        <v>0</v>
      </c>
      <c r="F45" s="1379"/>
      <c r="G45" s="1379">
        <f>+BSGFws!AZ38</f>
        <v>1</v>
      </c>
      <c r="H45" s="1379"/>
      <c r="I45" s="1379">
        <f>+BSGFws!BA38</f>
        <v>0</v>
      </c>
      <c r="J45" s="1379"/>
      <c r="K45" s="1379">
        <f>+BSGFws!BB38</f>
        <v>0</v>
      </c>
      <c r="L45" s="1379"/>
      <c r="M45" s="1379">
        <f>+BSGFws!BC38</f>
        <v>0</v>
      </c>
      <c r="N45" s="454"/>
      <c r="O45" s="1379">
        <f t="shared" si="2"/>
        <v>1</v>
      </c>
    </row>
    <row r="46" spans="1:15" s="439" customFormat="1" ht="9.9499999999999993" customHeight="1" x14ac:dyDescent="0.2">
      <c r="A46" s="426" t="s">
        <v>690</v>
      </c>
      <c r="B46" s="450"/>
      <c r="C46" s="450">
        <f>+BSGFws!AY39</f>
        <v>0</v>
      </c>
      <c r="D46" s="450"/>
      <c r="E46" s="450">
        <f>+BSGFws!V39</f>
        <v>0</v>
      </c>
      <c r="F46" s="450"/>
      <c r="G46" s="450">
        <f>+BSGFws!AZ39</f>
        <v>2</v>
      </c>
      <c r="H46" s="450"/>
      <c r="I46" s="450">
        <f>+BSGFws!BA39</f>
        <v>0</v>
      </c>
      <c r="J46" s="450"/>
      <c r="K46" s="450">
        <f>+BSGFws!BB39</f>
        <v>0</v>
      </c>
      <c r="L46" s="450"/>
      <c r="M46" s="450">
        <f>+BSGFws!BC39</f>
        <v>0</v>
      </c>
      <c r="N46" s="450"/>
      <c r="O46" s="450">
        <f t="shared" si="2"/>
        <v>2</v>
      </c>
    </row>
    <row r="47" spans="1:15" s="439" customFormat="1" ht="9.9499999999999993" hidden="1" customHeight="1" x14ac:dyDescent="0.2">
      <c r="A47" s="427" t="s">
        <v>691</v>
      </c>
      <c r="B47" s="450"/>
      <c r="C47" s="450">
        <f>+BSGFws!AY40</f>
        <v>0</v>
      </c>
      <c r="D47" s="450"/>
      <c r="E47" s="450">
        <f>+BSGFws!V40</f>
        <v>0</v>
      </c>
      <c r="F47" s="450"/>
      <c r="G47" s="450">
        <f>+BSGFws!AZ40</f>
        <v>0</v>
      </c>
      <c r="H47" s="450"/>
      <c r="I47" s="450">
        <f>+BSGFws!BA40</f>
        <v>0</v>
      </c>
      <c r="J47" s="450"/>
      <c r="K47" s="450">
        <f>+BSGFws!BB40</f>
        <v>0</v>
      </c>
      <c r="L47" s="450"/>
      <c r="M47" s="450">
        <f>+BSGFws!BC40</f>
        <v>0</v>
      </c>
      <c r="N47" s="450"/>
      <c r="O47" s="450">
        <f t="shared" si="2"/>
        <v>0</v>
      </c>
    </row>
    <row r="48" spans="1:15" s="439" customFormat="1" ht="9.9499999999999993" hidden="1" customHeight="1" x14ac:dyDescent="0.2">
      <c r="A48" s="427" t="s">
        <v>203</v>
      </c>
      <c r="B48" s="450"/>
      <c r="C48" s="450">
        <f>+BSGFws!AY41</f>
        <v>0</v>
      </c>
      <c r="D48" s="450"/>
      <c r="E48" s="450">
        <f>+BSGFws!V41</f>
        <v>0</v>
      </c>
      <c r="F48" s="450"/>
      <c r="G48" s="450">
        <f>+BSGFws!AZ41</f>
        <v>0</v>
      </c>
      <c r="H48" s="450"/>
      <c r="I48" s="450">
        <f>+BSGFws!BA41</f>
        <v>0</v>
      </c>
      <c r="J48" s="450"/>
      <c r="K48" s="450">
        <f>+BSGFws!BB41</f>
        <v>0</v>
      </c>
      <c r="L48" s="450"/>
      <c r="M48" s="450">
        <f>+BSGFws!BC41</f>
        <v>0</v>
      </c>
      <c r="N48" s="450"/>
      <c r="O48" s="450">
        <f t="shared" si="2"/>
        <v>0</v>
      </c>
    </row>
    <row r="49" spans="1:15" s="439" customFormat="1" ht="9.9499999999999993" hidden="1" customHeight="1" x14ac:dyDescent="0.2">
      <c r="A49" s="427" t="s">
        <v>848</v>
      </c>
      <c r="B49" s="450"/>
      <c r="C49" s="450">
        <f>+BSGFws!AY42</f>
        <v>0</v>
      </c>
      <c r="D49" s="450"/>
      <c r="E49" s="450">
        <f>+BSGFws!V42</f>
        <v>0</v>
      </c>
      <c r="F49" s="450"/>
      <c r="G49" s="450">
        <f>+BSGFws!AZ42</f>
        <v>0</v>
      </c>
      <c r="H49" s="450"/>
      <c r="I49" s="450">
        <f>+BSGFws!BA42</f>
        <v>0</v>
      </c>
      <c r="J49" s="450"/>
      <c r="K49" s="450">
        <f>+BSGFws!BB42</f>
        <v>0</v>
      </c>
      <c r="L49" s="450"/>
      <c r="M49" s="450">
        <f>+BSGFws!BC42</f>
        <v>0</v>
      </c>
      <c r="N49" s="450"/>
      <c r="O49" s="450">
        <f t="shared" si="2"/>
        <v>0</v>
      </c>
    </row>
    <row r="50" spans="1:15" s="439" customFormat="1" ht="9.9499999999999993" hidden="1" customHeight="1" x14ac:dyDescent="0.2">
      <c r="A50" s="427" t="s">
        <v>604</v>
      </c>
      <c r="B50" s="450"/>
      <c r="C50" s="450">
        <f>+BSGFws!AY43</f>
        <v>0</v>
      </c>
      <c r="D50" s="450"/>
      <c r="E50" s="450">
        <f>+BSGFws!V43</f>
        <v>0</v>
      </c>
      <c r="F50" s="450"/>
      <c r="G50" s="450">
        <f>+BSGFws!AZ43</f>
        <v>0</v>
      </c>
      <c r="H50" s="450"/>
      <c r="I50" s="450">
        <f>+BSGFws!BA43</f>
        <v>0</v>
      </c>
      <c r="J50" s="450"/>
      <c r="K50" s="450">
        <f>+BSGFws!BB43</f>
        <v>0</v>
      </c>
      <c r="L50" s="450"/>
      <c r="M50" s="450">
        <f>+BSGFws!BC43</f>
        <v>0</v>
      </c>
      <c r="N50" s="450"/>
      <c r="O50" s="450">
        <f t="shared" si="2"/>
        <v>0</v>
      </c>
    </row>
    <row r="51" spans="1:15" s="439" customFormat="1" ht="9.9499999999999993" hidden="1" customHeight="1" x14ac:dyDescent="0.2">
      <c r="A51" s="427" t="s">
        <v>593</v>
      </c>
      <c r="B51" s="450"/>
      <c r="C51" s="450">
        <f>+BSGFws!AY44</f>
        <v>0</v>
      </c>
      <c r="D51" s="450"/>
      <c r="E51" s="450">
        <f>+BSGFws!V44</f>
        <v>0</v>
      </c>
      <c r="F51" s="450"/>
      <c r="G51" s="450">
        <f>+BSGFws!AZ44</f>
        <v>0</v>
      </c>
      <c r="H51" s="450"/>
      <c r="I51" s="450">
        <f>+BSGFws!BA44</f>
        <v>0</v>
      </c>
      <c r="J51" s="450"/>
      <c r="K51" s="450">
        <f>+BSGFws!BB44</f>
        <v>0</v>
      </c>
      <c r="L51" s="450"/>
      <c r="M51" s="450">
        <f>+BSGFws!BC44</f>
        <v>0</v>
      </c>
      <c r="N51" s="450"/>
      <c r="O51" s="450">
        <f t="shared" si="2"/>
        <v>0</v>
      </c>
    </row>
    <row r="52" spans="1:15" s="439" customFormat="1" ht="5.0999999999999996" customHeight="1" x14ac:dyDescent="0.2">
      <c r="A52" s="418"/>
      <c r="B52" s="438"/>
      <c r="C52" s="1016"/>
      <c r="D52" s="438"/>
      <c r="E52" s="1016"/>
      <c r="F52" s="438"/>
      <c r="G52" s="1016"/>
      <c r="H52" s="438"/>
      <c r="I52" s="1016"/>
      <c r="J52" s="438"/>
      <c r="K52" s="1016"/>
      <c r="L52" s="438"/>
      <c r="M52" s="1016"/>
      <c r="N52" s="438"/>
      <c r="O52" s="1016"/>
    </row>
    <row r="53" spans="1:15" s="439" customFormat="1" ht="9.9499999999999993" customHeight="1" x14ac:dyDescent="0.2">
      <c r="A53" s="428" t="s">
        <v>702</v>
      </c>
      <c r="B53" s="438"/>
      <c r="C53" s="455">
        <f t="shared" ref="C53:O53" si="3">SUM(C35:C52)</f>
        <v>0</v>
      </c>
      <c r="D53" s="438"/>
      <c r="E53" s="455">
        <f t="shared" si="3"/>
        <v>0</v>
      </c>
      <c r="F53" s="438"/>
      <c r="G53" s="455">
        <f t="shared" si="3"/>
        <v>3</v>
      </c>
      <c r="H53" s="438"/>
      <c r="I53" s="455">
        <f t="shared" si="3"/>
        <v>0</v>
      </c>
      <c r="J53" s="438"/>
      <c r="K53" s="455">
        <f t="shared" si="3"/>
        <v>0</v>
      </c>
      <c r="L53" s="438"/>
      <c r="M53" s="455">
        <f>SUM(M35:M52)</f>
        <v>0</v>
      </c>
      <c r="N53" s="438"/>
      <c r="O53" s="455">
        <f t="shared" si="3"/>
        <v>3</v>
      </c>
    </row>
    <row r="54" spans="1:15" s="439" customFormat="1" ht="5.0999999999999996" customHeight="1" x14ac:dyDescent="0.2">
      <c r="A54" s="417"/>
      <c r="B54" s="438"/>
      <c r="C54" s="450"/>
      <c r="D54" s="438"/>
      <c r="E54" s="450"/>
      <c r="F54" s="438"/>
      <c r="G54" s="450"/>
      <c r="H54" s="438"/>
      <c r="I54" s="450"/>
      <c r="J54" s="438"/>
      <c r="K54" s="450"/>
      <c r="L54" s="438"/>
      <c r="M54" s="450"/>
      <c r="N54" s="438"/>
      <c r="O54" s="450"/>
    </row>
    <row r="55" spans="1:15" s="439" customFormat="1" ht="9.75" hidden="1" customHeight="1" x14ac:dyDescent="0.2">
      <c r="A55" s="417"/>
      <c r="B55" s="438"/>
      <c r="C55" s="450"/>
      <c r="D55" s="438"/>
      <c r="E55" s="450"/>
      <c r="F55" s="438"/>
      <c r="G55" s="450"/>
      <c r="H55" s="438"/>
      <c r="I55" s="450"/>
      <c r="J55" s="438"/>
      <c r="K55" s="450"/>
      <c r="L55" s="438"/>
      <c r="M55" s="450"/>
      <c r="N55" s="438"/>
      <c r="O55" s="450"/>
    </row>
    <row r="56" spans="1:15" s="439" customFormat="1" ht="9.9499999999999993" hidden="1" customHeight="1" x14ac:dyDescent="0.2">
      <c r="A56" s="428" t="s">
        <v>1206</v>
      </c>
      <c r="B56" s="438"/>
      <c r="C56" s="450"/>
      <c r="D56" s="438"/>
      <c r="E56" s="450"/>
      <c r="F56" s="438"/>
      <c r="G56" s="450"/>
      <c r="H56" s="438"/>
      <c r="I56" s="450"/>
      <c r="J56" s="438"/>
      <c r="K56" s="450"/>
      <c r="L56" s="438"/>
      <c r="M56" s="450"/>
      <c r="N56" s="438"/>
      <c r="O56" s="450">
        <f>SUM(C56:M56)</f>
        <v>0</v>
      </c>
    </row>
    <row r="57" spans="1:15" s="439" customFormat="1" ht="5.0999999999999996" hidden="1" customHeight="1" x14ac:dyDescent="0.2">
      <c r="A57" s="417"/>
      <c r="B57" s="438"/>
      <c r="C57" s="452"/>
      <c r="D57" s="438"/>
      <c r="E57" s="452"/>
      <c r="F57" s="438"/>
      <c r="G57" s="452"/>
      <c r="H57" s="438"/>
      <c r="I57" s="452"/>
      <c r="J57" s="438"/>
      <c r="K57" s="452"/>
      <c r="L57" s="438"/>
      <c r="M57" s="452"/>
      <c r="N57" s="438"/>
      <c r="O57" s="452"/>
    </row>
    <row r="58" spans="1:15" s="439" customFormat="1" ht="9.9499999999999993" hidden="1" customHeight="1" x14ac:dyDescent="0.2">
      <c r="A58" s="417"/>
      <c r="B58" s="438"/>
      <c r="C58" s="450"/>
      <c r="D58" s="438"/>
      <c r="E58" s="450"/>
      <c r="F58" s="438"/>
      <c r="G58" s="450"/>
      <c r="H58" s="438"/>
      <c r="I58" s="450"/>
      <c r="J58" s="438"/>
      <c r="K58" s="450"/>
      <c r="L58" s="438"/>
      <c r="M58" s="450"/>
      <c r="N58" s="438"/>
      <c r="O58" s="450"/>
    </row>
    <row r="59" spans="1:15" s="439" customFormat="1" ht="9.9499999999999993" customHeight="1" x14ac:dyDescent="0.2">
      <c r="A59" s="428" t="s">
        <v>849</v>
      </c>
      <c r="B59" s="438"/>
      <c r="C59" s="438"/>
      <c r="D59" s="438"/>
      <c r="E59" s="438"/>
      <c r="F59" s="438"/>
      <c r="G59" s="438"/>
      <c r="H59" s="438"/>
      <c r="I59" s="438"/>
      <c r="J59" s="438"/>
      <c r="K59" s="438"/>
      <c r="L59" s="438"/>
      <c r="M59" s="438"/>
      <c r="N59" s="438"/>
      <c r="O59" s="438"/>
    </row>
    <row r="60" spans="1:15" s="439" customFormat="1" ht="9.9499999999999993" customHeight="1" x14ac:dyDescent="0.2">
      <c r="A60" s="776" t="s">
        <v>392</v>
      </c>
      <c r="B60" s="438"/>
      <c r="C60" s="450">
        <f>BSGFws!AY50</f>
        <v>334</v>
      </c>
      <c r="D60" s="438"/>
      <c r="E60" s="450"/>
      <c r="F60" s="438"/>
      <c r="G60" s="450">
        <f>+BSGFws!AZ50</f>
        <v>4646</v>
      </c>
      <c r="H60" s="438"/>
      <c r="I60" s="450">
        <f>+BSGFws!BA50</f>
        <v>313</v>
      </c>
      <c r="J60" s="438"/>
      <c r="K60" s="450">
        <f>+BSGFws!BB50</f>
        <v>514</v>
      </c>
      <c r="L60" s="438"/>
      <c r="M60" s="450">
        <f>+BSGFws!BC50</f>
        <v>1104</v>
      </c>
      <c r="N60" s="438"/>
      <c r="O60" s="450">
        <f>SUM(C60:M60)</f>
        <v>6911</v>
      </c>
    </row>
    <row r="61" spans="1:15" s="439" customFormat="1" ht="9.9499999999999993" customHeight="1" x14ac:dyDescent="0.2">
      <c r="A61" s="776" t="s">
        <v>789</v>
      </c>
      <c r="B61" s="438"/>
      <c r="C61" s="450">
        <f>BSGFws!AY51</f>
        <v>36</v>
      </c>
      <c r="D61" s="438"/>
      <c r="E61" s="450"/>
      <c r="F61" s="438"/>
      <c r="G61" s="450">
        <f>+BSGFws!AZ51</f>
        <v>767</v>
      </c>
      <c r="H61" s="438"/>
      <c r="I61" s="450">
        <f>+BSGFws!BA51</f>
        <v>16</v>
      </c>
      <c r="J61" s="438"/>
      <c r="K61" s="450">
        <f>+BSGFws!BB51</f>
        <v>29</v>
      </c>
      <c r="L61" s="438"/>
      <c r="M61" s="450">
        <f>+BSGFws!BC51</f>
        <v>263</v>
      </c>
      <c r="N61" s="438"/>
      <c r="O61" s="450">
        <f>SUM(C61:M61)</f>
        <v>1111</v>
      </c>
    </row>
    <row r="62" spans="1:15" s="439" customFormat="1" ht="9.9499999999999993" hidden="1" customHeight="1" x14ac:dyDescent="0.2">
      <c r="A62" s="776" t="s">
        <v>393</v>
      </c>
      <c r="B62" s="438"/>
      <c r="C62" s="450">
        <f>BSGFws!AY52</f>
        <v>0</v>
      </c>
      <c r="D62" s="438"/>
      <c r="E62" s="450"/>
      <c r="F62" s="438"/>
      <c r="G62" s="450">
        <f>+BSGFws!AZ52</f>
        <v>0</v>
      </c>
      <c r="H62" s="438"/>
      <c r="I62" s="450">
        <f>+BSGFws!BA52</f>
        <v>0</v>
      </c>
      <c r="J62" s="438"/>
      <c r="K62" s="450">
        <f>+BSGFws!BB52</f>
        <v>0</v>
      </c>
      <c r="L62" s="438"/>
      <c r="M62" s="450">
        <f>+BSGFws!BC52</f>
        <v>0</v>
      </c>
      <c r="N62" s="438"/>
      <c r="O62" s="450">
        <f>SUM(C62:M62)</f>
        <v>0</v>
      </c>
    </row>
    <row r="63" spans="1:15" s="439" customFormat="1" ht="9.9499999999999993" hidden="1" customHeight="1" x14ac:dyDescent="0.2">
      <c r="A63" s="776" t="s">
        <v>394</v>
      </c>
      <c r="B63" s="438"/>
      <c r="C63" s="450">
        <f>BSGFws!AY52</f>
        <v>0</v>
      </c>
      <c r="D63" s="438"/>
      <c r="E63" s="450">
        <f>BSGFws!V53</f>
        <v>0</v>
      </c>
      <c r="F63" s="438"/>
      <c r="G63" s="450">
        <f>+BSGFws!AZ53</f>
        <v>0</v>
      </c>
      <c r="H63" s="438"/>
      <c r="I63" s="450">
        <f>+BSGFws!BA53</f>
        <v>0</v>
      </c>
      <c r="J63" s="438"/>
      <c r="K63" s="450">
        <f>+BSGFws!BB53</f>
        <v>0</v>
      </c>
      <c r="L63" s="438"/>
      <c r="M63" s="450">
        <f>+BSGFws!BC53</f>
        <v>0</v>
      </c>
      <c r="N63" s="438"/>
      <c r="O63" s="450">
        <f>SUM(C63:M63)</f>
        <v>0</v>
      </c>
    </row>
    <row r="64" spans="1:15" s="439" customFormat="1" ht="9.9499999999999993" hidden="1" customHeight="1" x14ac:dyDescent="0.2">
      <c r="A64" s="776" t="s">
        <v>395</v>
      </c>
      <c r="B64" s="438"/>
      <c r="C64" s="450">
        <f>+BSGFws!AY54</f>
        <v>0</v>
      </c>
      <c r="D64" s="438"/>
      <c r="E64" s="450">
        <f>BSGFws!V54</f>
        <v>0</v>
      </c>
      <c r="F64" s="438"/>
      <c r="G64" s="450">
        <f>+BSGFws!AZ54</f>
        <v>0</v>
      </c>
      <c r="H64" s="438"/>
      <c r="I64" s="450">
        <f>+BSGFws!BA54</f>
        <v>0</v>
      </c>
      <c r="J64" s="438"/>
      <c r="K64" s="450">
        <f>+BSGFws!BB54</f>
        <v>0</v>
      </c>
      <c r="L64" s="438"/>
      <c r="M64" s="450">
        <f>+BSGFws!BC54</f>
        <v>0</v>
      </c>
      <c r="N64" s="438"/>
      <c r="O64" s="450">
        <f>SUM(C64:M64)</f>
        <v>0</v>
      </c>
    </row>
    <row r="65" spans="1:15" s="439" customFormat="1" ht="5.0999999999999996" customHeight="1" x14ac:dyDescent="0.2">
      <c r="A65" s="418"/>
      <c r="B65" s="438"/>
      <c r="C65" s="1016"/>
      <c r="D65" s="438"/>
      <c r="E65" s="1016"/>
      <c r="F65" s="438"/>
      <c r="G65" s="1016"/>
      <c r="H65" s="438"/>
      <c r="I65" s="1016"/>
      <c r="J65" s="438"/>
      <c r="K65" s="1016"/>
      <c r="L65" s="438"/>
      <c r="M65" s="1016"/>
      <c r="N65" s="438"/>
      <c r="O65" s="1016"/>
    </row>
    <row r="66" spans="1:15" s="439" customFormat="1" ht="9.9499999999999993" customHeight="1" x14ac:dyDescent="0.2">
      <c r="A66" s="428" t="s">
        <v>855</v>
      </c>
      <c r="B66" s="448"/>
      <c r="C66" s="1017">
        <f>SUM(C60:C64)</f>
        <v>370</v>
      </c>
      <c r="D66" s="448"/>
      <c r="E66" s="1017">
        <f>SUM(E60:E64)</f>
        <v>0</v>
      </c>
      <c r="F66" s="448"/>
      <c r="G66" s="1017">
        <f>SUM(G60:G64)</f>
        <v>5413</v>
      </c>
      <c r="H66" s="448"/>
      <c r="I66" s="1017">
        <f>SUM(I60:I64)</f>
        <v>329</v>
      </c>
      <c r="J66" s="448"/>
      <c r="K66" s="1017">
        <f>SUM(K60:K64)</f>
        <v>543</v>
      </c>
      <c r="L66" s="448"/>
      <c r="M66" s="1017">
        <f>SUM(M60:M64)</f>
        <v>1367</v>
      </c>
      <c r="N66" s="448"/>
      <c r="O66" s="1017">
        <f>SUM(O60:O64)</f>
        <v>8022</v>
      </c>
    </row>
    <row r="67" spans="1:15" s="439" customFormat="1" ht="5.0999999999999996" customHeight="1" x14ac:dyDescent="0.2">
      <c r="A67" s="418"/>
      <c r="B67" s="438"/>
      <c r="C67" s="438"/>
      <c r="D67" s="438"/>
      <c r="E67" s="438"/>
      <c r="F67" s="438"/>
      <c r="G67" s="438"/>
      <c r="H67" s="438"/>
      <c r="I67" s="438"/>
      <c r="J67" s="438"/>
      <c r="K67" s="438"/>
      <c r="L67" s="438"/>
      <c r="M67" s="438"/>
      <c r="N67" s="438"/>
      <c r="O67" s="438"/>
    </row>
    <row r="68" spans="1:15" s="439" customFormat="1" ht="10.5" customHeight="1" thickBot="1" x14ac:dyDescent="0.25">
      <c r="A68" s="353" t="s">
        <v>1069</v>
      </c>
      <c r="B68" s="438"/>
      <c r="C68" s="453">
        <f>+C53+C66+C56</f>
        <v>370</v>
      </c>
      <c r="D68" s="438"/>
      <c r="E68" s="453">
        <f>+E53+E66+E56</f>
        <v>0</v>
      </c>
      <c r="F68" s="438"/>
      <c r="G68" s="453">
        <f>+G53+G66+G56</f>
        <v>5416</v>
      </c>
      <c r="H68" s="438"/>
      <c r="I68" s="453">
        <f>+I53+I66+I56</f>
        <v>329</v>
      </c>
      <c r="J68" s="438"/>
      <c r="K68" s="453">
        <f>+K53+K66+K56</f>
        <v>543</v>
      </c>
      <c r="L68" s="438"/>
      <c r="M68" s="453">
        <f>+M53+M66+M56</f>
        <v>1367</v>
      </c>
      <c r="N68" s="438"/>
      <c r="O68" s="453">
        <f>+O53+O66+O56</f>
        <v>8025</v>
      </c>
    </row>
    <row r="69" spans="1:15" s="439" customFormat="1" ht="9.9499999999999993" customHeight="1" thickTop="1" x14ac:dyDescent="0.2">
      <c r="A69" s="417"/>
      <c r="B69" s="438"/>
      <c r="C69" s="438"/>
      <c r="D69" s="438"/>
      <c r="E69" s="438"/>
      <c r="F69" s="438"/>
      <c r="G69" s="438"/>
      <c r="H69" s="438"/>
      <c r="I69" s="438"/>
      <c r="J69" s="438"/>
      <c r="K69" s="438"/>
      <c r="L69" s="438"/>
      <c r="M69" s="438"/>
      <c r="N69" s="438"/>
      <c r="O69" s="438"/>
    </row>
    <row r="70" spans="1:15" s="439" customFormat="1" ht="9.9499999999999993" customHeight="1" x14ac:dyDescent="0.2">
      <c r="A70" s="417"/>
      <c r="B70" s="438"/>
      <c r="C70" s="438"/>
      <c r="D70" s="438"/>
      <c r="E70" s="438"/>
      <c r="F70" s="438"/>
      <c r="G70" s="438"/>
      <c r="H70" s="438"/>
      <c r="I70" s="438"/>
      <c r="J70" s="438"/>
      <c r="K70" s="438"/>
      <c r="L70" s="438"/>
      <c r="M70" s="438"/>
      <c r="N70" s="438"/>
      <c r="O70" s="438"/>
    </row>
    <row r="71" spans="1:15" s="441" customFormat="1" ht="9.9499999999999993" customHeight="1" x14ac:dyDescent="0.2">
      <c r="A71" s="647" t="s">
        <v>298</v>
      </c>
      <c r="B71" s="440"/>
      <c r="C71" s="440">
        <f>+C31-C68</f>
        <v>0</v>
      </c>
      <c r="D71" s="440"/>
      <c r="E71" s="440">
        <f>+E31-E68</f>
        <v>0</v>
      </c>
      <c r="F71" s="440"/>
      <c r="G71" s="440">
        <f>+G31-G68</f>
        <v>0</v>
      </c>
      <c r="H71" s="440"/>
      <c r="I71" s="440">
        <f>+I31-I68</f>
        <v>0</v>
      </c>
      <c r="J71" s="440"/>
      <c r="K71" s="440">
        <f>+K31-K68</f>
        <v>0</v>
      </c>
      <c r="L71" s="440"/>
      <c r="M71" s="440">
        <f>+M31-M68</f>
        <v>0</v>
      </c>
      <c r="N71" s="440"/>
      <c r="O71" s="440">
        <f>+O31-O68</f>
        <v>0</v>
      </c>
    </row>
    <row r="121" spans="7:7" s="202" customFormat="1" x14ac:dyDescent="0.2">
      <c r="G121" s="437">
        <v>21</v>
      </c>
    </row>
  </sheetData>
  <mergeCells count="1">
    <mergeCell ref="A1:O1"/>
  </mergeCells>
  <phoneticPr fontId="9" type="noConversion"/>
  <printOptions horizontalCentered="1"/>
  <pageMargins left="0.5" right="0.5" top="0.5" bottom="0.625" header="0.5" footer="0.5"/>
  <pageSetup scale="84"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tabColor theme="6" tint="0.39997558519241921"/>
    <pageSetUpPr fitToPage="1"/>
  </sheetPr>
  <dimension ref="A1:AT166"/>
  <sheetViews>
    <sheetView view="pageBreakPreview" zoomScaleNormal="100" workbookViewId="0">
      <selection activeCell="Z13" activeCellId="3" sqref="Z18 Z17 Z15 Z13"/>
    </sheetView>
  </sheetViews>
  <sheetFormatPr defaultColWidth="9.140625" defaultRowHeight="12.75" x14ac:dyDescent="0.2"/>
  <cols>
    <col min="1" max="1" width="29.42578125" style="434" customWidth="1"/>
    <col min="2" max="2" width="1.5703125" style="434" customWidth="1"/>
    <col min="3" max="3" width="11.5703125" style="437" customWidth="1"/>
    <col min="4" max="4" width="1.5703125" style="434" hidden="1" customWidth="1"/>
    <col min="5" max="5" width="11.5703125" style="437" hidden="1" customWidth="1"/>
    <col min="6" max="6" width="1.5703125" style="434" customWidth="1"/>
    <col min="7" max="7" width="11.5703125" style="437" customWidth="1"/>
    <col min="8" max="8" width="1.5703125" style="434" customWidth="1"/>
    <col min="9" max="9" width="11.5703125" style="437" customWidth="1"/>
    <col min="10" max="10" width="1.5703125" style="434" customWidth="1"/>
    <col min="11" max="11" width="11.5703125" style="437" customWidth="1"/>
    <col min="12" max="12" width="1.5703125" style="434" customWidth="1"/>
    <col min="13" max="13" width="11.5703125" style="437" customWidth="1"/>
    <col min="14" max="14" width="1.5703125" style="434" customWidth="1"/>
    <col min="15" max="15" width="11.5703125" style="437" customWidth="1"/>
    <col min="16" max="16384" width="9.140625" style="202"/>
  </cols>
  <sheetData>
    <row r="1" spans="1:18" s="247" customFormat="1" ht="16.5" customHeight="1" thickBot="1" x14ac:dyDescent="0.25">
      <c r="A1" s="1582" t="s">
        <v>1033</v>
      </c>
      <c r="B1" s="1582"/>
      <c r="C1" s="1582"/>
      <c r="D1" s="1582"/>
      <c r="E1" s="1582"/>
      <c r="F1" s="1582"/>
      <c r="G1" s="1582"/>
      <c r="H1" s="1582"/>
      <c r="I1" s="1582"/>
      <c r="J1" s="1582"/>
      <c r="K1" s="1582"/>
      <c r="L1" s="1582"/>
      <c r="M1" s="1582"/>
      <c r="N1" s="1582"/>
      <c r="O1" s="1582"/>
      <c r="P1" s="246"/>
    </row>
    <row r="2" spans="1:18" s="531" customFormat="1" ht="15" customHeight="1" x14ac:dyDescent="0.2">
      <c r="A2" s="700" t="s">
        <v>32</v>
      </c>
      <c r="C2" s="722"/>
      <c r="E2" s="722"/>
      <c r="G2" s="722"/>
      <c r="I2" s="722"/>
      <c r="K2" s="722"/>
      <c r="M2" s="722"/>
      <c r="O2" s="722"/>
      <c r="P2" s="716"/>
    </row>
    <row r="3" spans="1:18" s="531" customFormat="1" ht="15" customHeight="1" x14ac:dyDescent="0.2">
      <c r="A3" s="700" t="s">
        <v>230</v>
      </c>
      <c r="C3" s="722"/>
      <c r="E3" s="722"/>
      <c r="G3" s="722"/>
      <c r="I3" s="722"/>
      <c r="K3" s="722"/>
      <c r="M3" s="722"/>
      <c r="O3" s="722"/>
      <c r="P3" s="716"/>
    </row>
    <row r="4" spans="1:18" s="247" customFormat="1" ht="12.95" customHeight="1" x14ac:dyDescent="0.2">
      <c r="A4" s="506" t="s">
        <v>1725</v>
      </c>
      <c r="C4" s="312"/>
      <c r="E4" s="312"/>
      <c r="G4" s="312"/>
      <c r="I4" s="312"/>
      <c r="K4" s="312"/>
      <c r="M4" s="312"/>
      <c r="O4" s="312"/>
      <c r="P4" s="246"/>
    </row>
    <row r="5" spans="1:18" s="247" customFormat="1" ht="12" customHeight="1" x14ac:dyDescent="0.2">
      <c r="A5" s="253" t="s">
        <v>972</v>
      </c>
      <c r="B5" s="433"/>
      <c r="C5" s="312"/>
      <c r="D5" s="433"/>
      <c r="E5" s="312"/>
      <c r="F5" s="433"/>
      <c r="G5" s="312"/>
      <c r="H5" s="433"/>
      <c r="I5" s="246"/>
      <c r="J5" s="433"/>
      <c r="K5" s="246"/>
      <c r="L5" s="433"/>
      <c r="M5" s="246"/>
      <c r="N5" s="433"/>
    </row>
    <row r="6" spans="1:18" s="314" customFormat="1" ht="12.6" customHeight="1" x14ac:dyDescent="0.2">
      <c r="A6" s="394"/>
      <c r="B6" s="247"/>
      <c r="C6" s="465"/>
      <c r="D6" s="247"/>
      <c r="E6" s="465"/>
      <c r="F6" s="247"/>
      <c r="G6" s="465"/>
      <c r="H6" s="247"/>
      <c r="I6" s="465"/>
      <c r="J6" s="247"/>
      <c r="K6" s="465"/>
      <c r="L6" s="247"/>
      <c r="M6" s="465"/>
      <c r="N6" s="247"/>
      <c r="O6" s="465"/>
      <c r="P6" s="466"/>
    </row>
    <row r="7" spans="1:18" s="470" customFormat="1" ht="12.6" customHeight="1" x14ac:dyDescent="0.2">
      <c r="A7" s="310"/>
      <c r="B7" s="467"/>
      <c r="C7" s="467" t="s">
        <v>319</v>
      </c>
      <c r="D7" s="467"/>
      <c r="E7" s="467"/>
      <c r="F7" s="467"/>
      <c r="G7" s="467"/>
      <c r="H7" s="467"/>
      <c r="I7" s="467"/>
      <c r="J7" s="467"/>
      <c r="K7" s="467"/>
      <c r="L7" s="467"/>
      <c r="M7" s="467" t="s">
        <v>1411</v>
      </c>
      <c r="N7" s="467"/>
      <c r="O7" s="468"/>
      <c r="P7" s="469"/>
    </row>
    <row r="8" spans="1:18" s="470" customFormat="1" ht="12.6" customHeight="1" x14ac:dyDescent="0.2">
      <c r="A8" s="310"/>
      <c r="B8" s="467"/>
      <c r="C8" s="467" t="s">
        <v>320</v>
      </c>
      <c r="D8" s="467"/>
      <c r="E8" s="467" t="s">
        <v>437</v>
      </c>
      <c r="F8" s="467"/>
      <c r="G8" s="310"/>
      <c r="H8" s="467"/>
      <c r="I8" s="467" t="s">
        <v>323</v>
      </c>
      <c r="J8" s="467"/>
      <c r="K8" s="467" t="s">
        <v>987</v>
      </c>
      <c r="L8" s="467"/>
      <c r="M8" s="467" t="s">
        <v>1409</v>
      </c>
      <c r="N8" s="467"/>
      <c r="O8" s="467" t="s">
        <v>671</v>
      </c>
      <c r="P8" s="469"/>
    </row>
    <row r="9" spans="1:18" s="470" customFormat="1" ht="12.6" customHeight="1" x14ac:dyDescent="0.2">
      <c r="A9" s="310"/>
      <c r="B9" s="467"/>
      <c r="C9" s="467" t="s">
        <v>172</v>
      </c>
      <c r="D9" s="467"/>
      <c r="E9" s="467" t="s">
        <v>322</v>
      </c>
      <c r="F9" s="467"/>
      <c r="G9" s="310" t="s">
        <v>745</v>
      </c>
      <c r="H9" s="467"/>
      <c r="I9" s="467" t="s">
        <v>324</v>
      </c>
      <c r="J9" s="467"/>
      <c r="K9" s="467" t="s">
        <v>632</v>
      </c>
      <c r="L9" s="467"/>
      <c r="M9" s="467" t="s">
        <v>1410</v>
      </c>
      <c r="N9" s="467"/>
      <c r="O9" s="467" t="s">
        <v>863</v>
      </c>
      <c r="P9" s="469"/>
    </row>
    <row r="10" spans="1:18" s="470" customFormat="1" ht="12.6" customHeight="1" x14ac:dyDescent="0.2">
      <c r="A10" s="310"/>
      <c r="B10" s="467"/>
      <c r="C10" s="471" t="s">
        <v>321</v>
      </c>
      <c r="D10" s="467"/>
      <c r="E10" s="471" t="s">
        <v>219</v>
      </c>
      <c r="F10" s="467"/>
      <c r="G10" s="574" t="s">
        <v>746</v>
      </c>
      <c r="H10" s="467"/>
      <c r="I10" s="471" t="s">
        <v>321</v>
      </c>
      <c r="J10" s="467"/>
      <c r="K10" s="471" t="s">
        <v>321</v>
      </c>
      <c r="L10" s="467"/>
      <c r="M10" s="471" t="s">
        <v>321</v>
      </c>
      <c r="N10" s="467"/>
      <c r="O10" s="471" t="s">
        <v>864</v>
      </c>
      <c r="P10" s="469"/>
    </row>
    <row r="11" spans="1:18" s="439" customFormat="1" ht="9.9499999999999993" customHeight="1" x14ac:dyDescent="0.2">
      <c r="A11" s="417" t="s">
        <v>868</v>
      </c>
      <c r="B11" s="438"/>
      <c r="C11" s="438"/>
      <c r="D11" s="438"/>
      <c r="E11" s="438"/>
      <c r="F11" s="438"/>
      <c r="G11" s="438"/>
      <c r="H11" s="438"/>
      <c r="I11" s="438"/>
      <c r="J11" s="438"/>
      <c r="K11" s="438"/>
      <c r="L11" s="438"/>
      <c r="M11" s="438"/>
      <c r="N11" s="438"/>
      <c r="O11" s="438"/>
    </row>
    <row r="12" spans="1:18" s="439" customFormat="1" ht="9.9499999999999993" hidden="1" customHeight="1" x14ac:dyDescent="0.2">
      <c r="A12" s="428" t="s">
        <v>869</v>
      </c>
      <c r="B12" s="448"/>
      <c r="C12" s="450">
        <f>+SORECGFws!AY5</f>
        <v>0</v>
      </c>
      <c r="D12" s="448"/>
      <c r="E12" s="450">
        <f>+SORECGFws!V5</f>
        <v>0</v>
      </c>
      <c r="F12" s="448"/>
      <c r="G12" s="450">
        <f>+SORECGFws!AZ5</f>
        <v>0</v>
      </c>
      <c r="H12" s="448"/>
      <c r="I12" s="450">
        <f>+SORECGFws!BA5</f>
        <v>0</v>
      </c>
      <c r="J12" s="448"/>
      <c r="K12" s="450">
        <f>+SORECGFws!BB5</f>
        <v>0</v>
      </c>
      <c r="L12" s="448"/>
      <c r="M12" s="450">
        <f>+SORECGFws!BD5</f>
        <v>0</v>
      </c>
      <c r="N12" s="448"/>
      <c r="O12" s="450">
        <f>SUM(C12:K12)</f>
        <v>0</v>
      </c>
    </row>
    <row r="13" spans="1:18" s="439" customFormat="1" ht="9.9499999999999993" hidden="1" customHeight="1" x14ac:dyDescent="0.2">
      <c r="A13" s="426" t="s">
        <v>829</v>
      </c>
      <c r="B13" s="448"/>
      <c r="C13" s="450">
        <f>+SORECGFws!AY5</f>
        <v>0</v>
      </c>
      <c r="D13" s="448"/>
      <c r="E13" s="450">
        <f>+SORECGFws!V5</f>
        <v>0</v>
      </c>
      <c r="F13" s="448"/>
      <c r="G13" s="450">
        <f>+SORECGFws!AZ5</f>
        <v>0</v>
      </c>
      <c r="H13" s="448"/>
      <c r="I13" s="450">
        <f>+SORECGFws!BA5</f>
        <v>0</v>
      </c>
      <c r="J13" s="448"/>
      <c r="K13" s="450">
        <f>+SORECGFws!BB5</f>
        <v>0</v>
      </c>
      <c r="L13" s="448"/>
      <c r="M13" s="450">
        <f>+SORECGFws!BD5</f>
        <v>0</v>
      </c>
      <c r="N13" s="448"/>
      <c r="O13" s="450">
        <f>SUM(C13:K13)</f>
        <v>0</v>
      </c>
      <c r="R13" s="439">
        <v>0</v>
      </c>
    </row>
    <row r="14" spans="1:18" s="439" customFormat="1" ht="9.9499999999999993" hidden="1" customHeight="1" x14ac:dyDescent="0.2">
      <c r="A14" s="426" t="s">
        <v>830</v>
      </c>
      <c r="B14" s="448"/>
      <c r="C14" s="450">
        <f>+SORECGFws!AY6</f>
        <v>0</v>
      </c>
      <c r="D14" s="448"/>
      <c r="E14" s="450">
        <f>+SORECGFws!V6</f>
        <v>0</v>
      </c>
      <c r="F14" s="448"/>
      <c r="G14" s="450">
        <f>+SORECGFws!AZ6</f>
        <v>0</v>
      </c>
      <c r="H14" s="448"/>
      <c r="I14" s="450">
        <f>+SORECGFws!BA6</f>
        <v>0</v>
      </c>
      <c r="J14" s="448"/>
      <c r="K14" s="450">
        <f>+SORECGFws!BB6</f>
        <v>0</v>
      </c>
      <c r="L14" s="448"/>
      <c r="M14" s="450">
        <f>+SORECGFws!BD6</f>
        <v>0</v>
      </c>
      <c r="N14" s="448"/>
      <c r="O14" s="450">
        <f t="shared" ref="O14:O21" si="0">SUM(C14:K14)</f>
        <v>0</v>
      </c>
    </row>
    <row r="15" spans="1:18" s="439" customFormat="1" ht="9.9499999999999993" hidden="1" customHeight="1" x14ac:dyDescent="0.2">
      <c r="A15" s="426" t="s">
        <v>831</v>
      </c>
      <c r="B15" s="448"/>
      <c r="C15" s="450">
        <f>+SORECGFws!AY7</f>
        <v>0</v>
      </c>
      <c r="D15" s="448"/>
      <c r="E15" s="450">
        <f>+SORECGFws!V7</f>
        <v>0</v>
      </c>
      <c r="F15" s="448"/>
      <c r="G15" s="450">
        <f>+SORECGFws!AZ7</f>
        <v>0</v>
      </c>
      <c r="H15" s="448"/>
      <c r="I15" s="450">
        <f>+SORECGFws!BA7</f>
        <v>0</v>
      </c>
      <c r="J15" s="448"/>
      <c r="K15" s="450">
        <f>+SORECGFws!BB7</f>
        <v>0</v>
      </c>
      <c r="L15" s="448"/>
      <c r="M15" s="450">
        <f>+SORECGFws!BD7</f>
        <v>0</v>
      </c>
      <c r="N15" s="448"/>
      <c r="O15" s="450">
        <f t="shared" si="0"/>
        <v>0</v>
      </c>
    </row>
    <row r="16" spans="1:18" s="439" customFormat="1" ht="9.9499999999999993" hidden="1" customHeight="1" x14ac:dyDescent="0.2">
      <c r="A16" s="426" t="s">
        <v>827</v>
      </c>
      <c r="B16" s="448"/>
      <c r="C16" s="450">
        <f>+SORECGFws!AY8</f>
        <v>0</v>
      </c>
      <c r="D16" s="448"/>
      <c r="E16" s="450">
        <f>+SORECGFws!V8</f>
        <v>0</v>
      </c>
      <c r="F16" s="448"/>
      <c r="G16" s="450">
        <f>+SORECGFws!AZ8</f>
        <v>0</v>
      </c>
      <c r="H16" s="448"/>
      <c r="I16" s="450">
        <f>+SORECGFws!BA8</f>
        <v>0</v>
      </c>
      <c r="J16" s="448"/>
      <c r="K16" s="450">
        <f>+SORECGFws!BB8</f>
        <v>0</v>
      </c>
      <c r="L16" s="448"/>
      <c r="M16" s="450">
        <f>+SORECGFws!BD8</f>
        <v>0</v>
      </c>
      <c r="N16" s="448"/>
      <c r="O16" s="450">
        <f t="shared" si="0"/>
        <v>0</v>
      </c>
    </row>
    <row r="17" spans="1:15" s="439" customFormat="1" ht="9.9499999999999993" hidden="1" customHeight="1" x14ac:dyDescent="0.2">
      <c r="A17" s="426" t="s">
        <v>832</v>
      </c>
      <c r="B17" s="448"/>
      <c r="C17" s="450">
        <f>+SORECGFws!AY9</f>
        <v>0</v>
      </c>
      <c r="D17" s="448"/>
      <c r="E17" s="450">
        <f>+SORECGFws!V9</f>
        <v>0</v>
      </c>
      <c r="F17" s="448"/>
      <c r="G17" s="450">
        <f>+SORECGFws!AZ9</f>
        <v>0</v>
      </c>
      <c r="H17" s="448"/>
      <c r="I17" s="450">
        <f>+SORECGFws!BA9</f>
        <v>0</v>
      </c>
      <c r="J17" s="448"/>
      <c r="K17" s="450">
        <f>+SORECGFws!BB9</f>
        <v>0</v>
      </c>
      <c r="L17" s="448"/>
      <c r="M17" s="450">
        <f>+SORECGFws!BD9</f>
        <v>0</v>
      </c>
      <c r="N17" s="448"/>
      <c r="O17" s="450">
        <f t="shared" si="0"/>
        <v>0</v>
      </c>
    </row>
    <row r="18" spans="1:15" s="439" customFormat="1" ht="9.9499999999999993" hidden="1" customHeight="1" x14ac:dyDescent="0.2">
      <c r="A18" s="426" t="s">
        <v>944</v>
      </c>
      <c r="B18" s="448"/>
      <c r="C18" s="450">
        <f>+SORECGFws!AY10</f>
        <v>0</v>
      </c>
      <c r="D18" s="448"/>
      <c r="E18" s="450">
        <f>+SORECGFws!V10</f>
        <v>0</v>
      </c>
      <c r="F18" s="448"/>
      <c r="G18" s="450">
        <f>+SORECGFws!AZ10</f>
        <v>0</v>
      </c>
      <c r="H18" s="448"/>
      <c r="I18" s="450">
        <f>+SORECGFws!BA10</f>
        <v>0</v>
      </c>
      <c r="J18" s="448"/>
      <c r="K18" s="450">
        <f>+SORECGFws!BB10</f>
        <v>0</v>
      </c>
      <c r="L18" s="448"/>
      <c r="M18" s="450">
        <f>+SORECGFws!BD10</f>
        <v>0</v>
      </c>
      <c r="N18" s="448"/>
      <c r="O18" s="450">
        <f t="shared" si="0"/>
        <v>0</v>
      </c>
    </row>
    <row r="19" spans="1:15" s="439" customFormat="1" ht="9.9499999999999993" hidden="1" customHeight="1" x14ac:dyDescent="0.2">
      <c r="A19" s="425" t="s">
        <v>945</v>
      </c>
      <c r="B19" s="448"/>
      <c r="C19" s="450">
        <f>+SORECGFws!AY11</f>
        <v>0</v>
      </c>
      <c r="D19" s="448"/>
      <c r="E19" s="450">
        <f>+SORECGFws!V11</f>
        <v>0</v>
      </c>
      <c r="F19" s="448"/>
      <c r="G19" s="450">
        <f>+SORECGFws!AZ11</f>
        <v>0</v>
      </c>
      <c r="H19" s="448"/>
      <c r="I19" s="450">
        <f>+SORECGFws!BA11</f>
        <v>0</v>
      </c>
      <c r="J19" s="448"/>
      <c r="K19" s="450">
        <f>+SORECGFws!BB11</f>
        <v>0</v>
      </c>
      <c r="L19" s="448"/>
      <c r="M19" s="450">
        <f>+SORECGFws!BD11</f>
        <v>0</v>
      </c>
      <c r="N19" s="448"/>
      <c r="O19" s="450">
        <f t="shared" si="0"/>
        <v>0</v>
      </c>
    </row>
    <row r="20" spans="1:15" s="439" customFormat="1" ht="9.9499999999999993" hidden="1" customHeight="1" x14ac:dyDescent="0.2">
      <c r="A20" s="425" t="s">
        <v>946</v>
      </c>
      <c r="B20" s="448"/>
      <c r="C20" s="450">
        <f>+SORECGFws!AY12</f>
        <v>0</v>
      </c>
      <c r="D20" s="448"/>
      <c r="E20" s="450">
        <f>+SORECGFws!V12</f>
        <v>0</v>
      </c>
      <c r="F20" s="448"/>
      <c r="G20" s="450">
        <f>+SORECGFws!AZ12</f>
        <v>0</v>
      </c>
      <c r="H20" s="448"/>
      <c r="I20" s="450">
        <f>+SORECGFws!BA12</f>
        <v>0</v>
      </c>
      <c r="J20" s="448"/>
      <c r="K20" s="450">
        <f>+SORECGFws!BB12</f>
        <v>0</v>
      </c>
      <c r="L20" s="448"/>
      <c r="M20" s="450">
        <f>+SORECGFws!BD12</f>
        <v>0</v>
      </c>
      <c r="N20" s="448"/>
      <c r="O20" s="450">
        <f t="shared" si="0"/>
        <v>0</v>
      </c>
    </row>
    <row r="21" spans="1:15" s="439" customFormat="1" ht="9.9499999999999993" hidden="1" customHeight="1" x14ac:dyDescent="0.2">
      <c r="A21" s="425" t="s">
        <v>947</v>
      </c>
      <c r="B21" s="448"/>
      <c r="C21" s="450">
        <f>+SORECGFws!AY13</f>
        <v>0</v>
      </c>
      <c r="D21" s="448"/>
      <c r="E21" s="450">
        <f>+SORECGFws!V13</f>
        <v>0</v>
      </c>
      <c r="F21" s="448"/>
      <c r="G21" s="450">
        <f>+SORECGFws!AZ13</f>
        <v>0</v>
      </c>
      <c r="H21" s="448"/>
      <c r="I21" s="450">
        <f>+SORECGFws!BA13</f>
        <v>0</v>
      </c>
      <c r="J21" s="448"/>
      <c r="K21" s="450">
        <f>+SORECGFws!BB13</f>
        <v>0</v>
      </c>
      <c r="L21" s="448"/>
      <c r="M21" s="450">
        <f>+SORECGFws!BD13</f>
        <v>0</v>
      </c>
      <c r="N21" s="448"/>
      <c r="O21" s="450">
        <f t="shared" si="0"/>
        <v>0</v>
      </c>
    </row>
    <row r="22" spans="1:15" s="439" customFormat="1" ht="9.9499999999999993" customHeight="1" x14ac:dyDescent="0.2">
      <c r="A22" s="425" t="s">
        <v>948</v>
      </c>
      <c r="B22" s="448"/>
      <c r="C22" s="339">
        <f>+SORECGFws!AY14</f>
        <v>0</v>
      </c>
      <c r="D22" s="339"/>
      <c r="E22" s="339"/>
      <c r="F22" s="339"/>
      <c r="G22" s="339">
        <f>+SORECGFws!AZ14</f>
        <v>380</v>
      </c>
      <c r="H22" s="339"/>
      <c r="I22" s="339">
        <f>+SORECGFws!BA14</f>
        <v>0</v>
      </c>
      <c r="J22" s="339"/>
      <c r="K22" s="339">
        <f>+SORECGFws!BB14</f>
        <v>0</v>
      </c>
      <c r="L22" s="339"/>
      <c r="M22" s="339">
        <f>+SORECGFws!BC14</f>
        <v>0</v>
      </c>
      <c r="N22" s="339"/>
      <c r="O22" s="339">
        <f>SUM(C22:M22)</f>
        <v>380</v>
      </c>
    </row>
    <row r="23" spans="1:15" s="439" customFormat="1" ht="9.9499999999999993" hidden="1" customHeight="1" x14ac:dyDescent="0.2">
      <c r="A23" s="425" t="s">
        <v>16</v>
      </c>
      <c r="B23" s="448"/>
      <c r="C23" s="450">
        <f>+SORECGFws!AY15</f>
        <v>0</v>
      </c>
      <c r="D23" s="448"/>
      <c r="E23" s="450"/>
      <c r="F23" s="448"/>
      <c r="G23" s="450">
        <f>+SORECGFws!AZ15</f>
        <v>0</v>
      </c>
      <c r="H23" s="448"/>
      <c r="I23" s="450">
        <f>+SORECGFws!BA15</f>
        <v>0</v>
      </c>
      <c r="J23" s="448"/>
      <c r="K23" s="450">
        <f>+SORECGFws!BB15</f>
        <v>0</v>
      </c>
      <c r="L23" s="448"/>
      <c r="M23" s="450">
        <f>+SORECGFws!BC15</f>
        <v>0</v>
      </c>
      <c r="N23" s="448"/>
      <c r="O23" s="450">
        <f>SUM(C23:K23)</f>
        <v>0</v>
      </c>
    </row>
    <row r="24" spans="1:15" s="439" customFormat="1" ht="9.9499999999999993" hidden="1" customHeight="1" x14ac:dyDescent="0.2">
      <c r="A24" s="425" t="s">
        <v>775</v>
      </c>
      <c r="B24" s="448"/>
      <c r="C24" s="450">
        <f>+SORECGFws!AY16</f>
        <v>0</v>
      </c>
      <c r="D24" s="448"/>
      <c r="E24" s="450"/>
      <c r="F24" s="448"/>
      <c r="G24" s="450">
        <f>+SORECGFws!AZ16</f>
        <v>0</v>
      </c>
      <c r="H24" s="448"/>
      <c r="I24" s="450">
        <f>+SORECGFws!BA16</f>
        <v>0</v>
      </c>
      <c r="J24" s="448"/>
      <c r="K24" s="450">
        <f>+SORECGFws!BB16</f>
        <v>0</v>
      </c>
      <c r="L24" s="448"/>
      <c r="M24" s="450">
        <f>+SORECGFws!BC16</f>
        <v>0</v>
      </c>
      <c r="N24" s="448"/>
      <c r="O24" s="450">
        <f>SUM(C24:K24)</f>
        <v>0</v>
      </c>
    </row>
    <row r="25" spans="1:15" s="439" customFormat="1" ht="9.9499999999999993" customHeight="1" x14ac:dyDescent="0.2">
      <c r="A25" s="425" t="s">
        <v>1664</v>
      </c>
      <c r="B25" s="448"/>
      <c r="C25" s="450">
        <f>+SORECGFws!AY17</f>
        <v>21</v>
      </c>
      <c r="D25" s="448"/>
      <c r="E25" s="450"/>
      <c r="F25" s="448"/>
      <c r="G25" s="450">
        <f>+SORECGFws!AZ17</f>
        <v>301</v>
      </c>
      <c r="H25" s="448"/>
      <c r="I25" s="450">
        <f>+SORECGFws!BA17</f>
        <v>19</v>
      </c>
      <c r="J25" s="448"/>
      <c r="K25" s="450">
        <f>+SORECGFws!BB17</f>
        <v>31</v>
      </c>
      <c r="L25" s="448"/>
      <c r="M25" s="450">
        <f>+SORECGFws!BC17</f>
        <v>78</v>
      </c>
      <c r="N25" s="448"/>
      <c r="O25" s="450">
        <f>SUM(C25:M25)</f>
        <v>450</v>
      </c>
    </row>
    <row r="26" spans="1:15" s="439" customFormat="1" ht="9.9499999999999993" hidden="1" customHeight="1" x14ac:dyDescent="0.2">
      <c r="A26" s="425" t="s">
        <v>766</v>
      </c>
      <c r="B26" s="448"/>
      <c r="C26" s="450">
        <f>+SORECGFws!AY18</f>
        <v>0</v>
      </c>
      <c r="D26" s="448"/>
      <c r="E26" s="450"/>
      <c r="F26" s="448"/>
      <c r="G26" s="450">
        <f>+SORECGFws!AZ18</f>
        <v>0</v>
      </c>
      <c r="H26" s="448"/>
      <c r="I26" s="450">
        <f>+SORECGFws!BA18</f>
        <v>0</v>
      </c>
      <c r="J26" s="448"/>
      <c r="K26" s="450">
        <f>+SORECGFws!BB18</f>
        <v>0</v>
      </c>
      <c r="L26" s="448"/>
      <c r="M26" s="450">
        <f>+SORECGFws!BC18</f>
        <v>0</v>
      </c>
      <c r="N26" s="448"/>
      <c r="O26" s="450">
        <f>SUM(C26:M26)</f>
        <v>0</v>
      </c>
    </row>
    <row r="27" spans="1:15" s="439" customFormat="1" ht="5.0999999999999996" customHeight="1" x14ac:dyDescent="0.2">
      <c r="B27" s="952"/>
      <c r="C27" s="982"/>
      <c r="D27" s="952"/>
      <c r="E27" s="982"/>
      <c r="F27" s="952"/>
      <c r="G27" s="982"/>
      <c r="H27" s="952"/>
      <c r="I27" s="982"/>
      <c r="J27" s="952"/>
      <c r="K27" s="982"/>
      <c r="L27" s="952"/>
      <c r="M27" s="982"/>
      <c r="N27" s="952"/>
      <c r="O27" s="982"/>
    </row>
    <row r="28" spans="1:15" s="439" customFormat="1" ht="11.1" customHeight="1" x14ac:dyDescent="0.2">
      <c r="A28" s="417" t="s">
        <v>950</v>
      </c>
      <c r="B28" s="952"/>
      <c r="C28" s="455">
        <f>SUM(C12:C26)</f>
        <v>21</v>
      </c>
      <c r="D28" s="952"/>
      <c r="E28" s="455"/>
      <c r="F28" s="952"/>
      <c r="G28" s="455">
        <f>SUM(G12:G26)</f>
        <v>681</v>
      </c>
      <c r="H28" s="952"/>
      <c r="I28" s="455">
        <f>SUM(I12:I26)</f>
        <v>19</v>
      </c>
      <c r="J28" s="952"/>
      <c r="K28" s="455">
        <f>SUM(K12:K26)</f>
        <v>31</v>
      </c>
      <c r="L28" s="952"/>
      <c r="M28" s="455">
        <f>SUM(M12:M26)</f>
        <v>78</v>
      </c>
      <c r="N28" s="952"/>
      <c r="O28" s="1015">
        <f>SUM(C28:M28)</f>
        <v>830</v>
      </c>
    </row>
    <row r="29" spans="1:15" s="439" customFormat="1" ht="5.0999999999999996" customHeight="1" x14ac:dyDescent="0.2">
      <c r="A29" s="451"/>
      <c r="B29" s="952"/>
      <c r="C29" s="952"/>
      <c r="D29" s="952"/>
      <c r="E29" s="952"/>
      <c r="F29" s="952"/>
      <c r="G29" s="952"/>
      <c r="H29" s="952"/>
      <c r="I29" s="952"/>
      <c r="J29" s="952"/>
      <c r="K29" s="952"/>
      <c r="L29" s="952"/>
      <c r="M29" s="952"/>
      <c r="N29" s="952"/>
      <c r="O29" s="952"/>
    </row>
    <row r="30" spans="1:15" s="439" customFormat="1" ht="9.9499999999999993" customHeight="1" x14ac:dyDescent="0.2">
      <c r="A30" s="417" t="s">
        <v>590</v>
      </c>
      <c r="B30" s="952"/>
      <c r="C30" s="952"/>
      <c r="D30" s="952"/>
      <c r="E30" s="952"/>
      <c r="F30" s="952"/>
      <c r="G30" s="952"/>
      <c r="H30" s="952"/>
      <c r="I30" s="952"/>
      <c r="J30" s="952"/>
      <c r="K30" s="952"/>
      <c r="L30" s="952"/>
      <c r="M30" s="952"/>
      <c r="N30" s="952"/>
      <c r="O30" s="952"/>
    </row>
    <row r="31" spans="1:15" s="439" customFormat="1" ht="9.9499999999999993" hidden="1" customHeight="1" x14ac:dyDescent="0.2">
      <c r="A31" s="425" t="s">
        <v>952</v>
      </c>
      <c r="B31" s="952"/>
      <c r="C31" s="952"/>
      <c r="D31" s="952"/>
      <c r="E31" s="952"/>
      <c r="F31" s="952"/>
      <c r="G31" s="952"/>
      <c r="H31" s="952"/>
      <c r="I31" s="952"/>
      <c r="J31" s="952"/>
      <c r="K31" s="952"/>
      <c r="L31" s="952"/>
      <c r="M31" s="952"/>
      <c r="N31" s="952"/>
      <c r="O31" s="450">
        <f t="shared" ref="O31:O55" si="1">SUM(C31:M31)</f>
        <v>0</v>
      </c>
    </row>
    <row r="32" spans="1:15" s="439" customFormat="1" ht="9.9499999999999993" hidden="1" customHeight="1" x14ac:dyDescent="0.2">
      <c r="A32" s="426" t="s">
        <v>953</v>
      </c>
      <c r="B32" s="952"/>
      <c r="C32" s="450">
        <f>+SORECGFws!AY23</f>
        <v>0</v>
      </c>
      <c r="D32" s="952"/>
      <c r="E32" s="450"/>
      <c r="F32" s="952"/>
      <c r="G32" s="450">
        <f>+SORECGFws!AZ23</f>
        <v>0</v>
      </c>
      <c r="H32" s="952"/>
      <c r="I32" s="450">
        <f>+SORECGFws!BA23</f>
        <v>0</v>
      </c>
      <c r="J32" s="952"/>
      <c r="K32" s="450">
        <f>+SORECGFws!BB23</f>
        <v>0</v>
      </c>
      <c r="L32" s="952"/>
      <c r="M32" s="450">
        <f>+SORECGFws!BC23</f>
        <v>0</v>
      </c>
      <c r="N32" s="952"/>
      <c r="O32" s="450">
        <f t="shared" si="1"/>
        <v>0</v>
      </c>
    </row>
    <row r="33" spans="1:15" s="439" customFormat="1" ht="9.9499999999999993" hidden="1" customHeight="1" x14ac:dyDescent="0.2">
      <c r="A33" s="426" t="s">
        <v>954</v>
      </c>
      <c r="B33" s="952"/>
      <c r="C33" s="450">
        <f>+SORECGFws!AY24</f>
        <v>0</v>
      </c>
      <c r="D33" s="952"/>
      <c r="E33" s="450"/>
      <c r="F33" s="952"/>
      <c r="G33" s="450">
        <f>+SORECGFws!AZ24</f>
        <v>0</v>
      </c>
      <c r="H33" s="952"/>
      <c r="I33" s="450">
        <f>+SORECGFws!BA24</f>
        <v>0</v>
      </c>
      <c r="J33" s="952"/>
      <c r="K33" s="450">
        <f>+SORECGFws!BB24</f>
        <v>0</v>
      </c>
      <c r="L33" s="952"/>
      <c r="M33" s="450">
        <f>+SORECGFws!BC24</f>
        <v>0</v>
      </c>
      <c r="N33" s="952"/>
      <c r="O33" s="450">
        <f t="shared" si="1"/>
        <v>0</v>
      </c>
    </row>
    <row r="34" spans="1:15" s="439" customFormat="1" ht="9.9499999999999993" hidden="1" customHeight="1" x14ac:dyDescent="0.2">
      <c r="A34" s="426" t="s">
        <v>955</v>
      </c>
      <c r="B34" s="952"/>
      <c r="C34" s="450">
        <f>+SORECGFws!AY25</f>
        <v>0</v>
      </c>
      <c r="D34" s="952"/>
      <c r="E34" s="450"/>
      <c r="F34" s="952"/>
      <c r="G34" s="450">
        <f>+SORECGFws!AZ25</f>
        <v>0</v>
      </c>
      <c r="H34" s="952"/>
      <c r="I34" s="450">
        <f>+SORECGFws!BA25</f>
        <v>0</v>
      </c>
      <c r="J34" s="952"/>
      <c r="K34" s="450">
        <f>+SORECGFws!BB25</f>
        <v>0</v>
      </c>
      <c r="L34" s="952"/>
      <c r="M34" s="450">
        <f>+SORECGFws!BC25</f>
        <v>0</v>
      </c>
      <c r="N34" s="952"/>
      <c r="O34" s="450">
        <f t="shared" si="1"/>
        <v>0</v>
      </c>
    </row>
    <row r="35" spans="1:15" s="439" customFormat="1" ht="9.9499999999999993" hidden="1" customHeight="1" x14ac:dyDescent="0.2">
      <c r="A35" s="426" t="s">
        <v>956</v>
      </c>
      <c r="B35" s="952"/>
      <c r="C35" s="450">
        <f>+SORECGFws!AY26</f>
        <v>0</v>
      </c>
      <c r="D35" s="952"/>
      <c r="E35" s="450"/>
      <c r="F35" s="952"/>
      <c r="G35" s="450">
        <f>+SORECGFws!AZ26</f>
        <v>0</v>
      </c>
      <c r="H35" s="952"/>
      <c r="I35" s="450">
        <f>+SORECGFws!BA26</f>
        <v>0</v>
      </c>
      <c r="J35" s="952"/>
      <c r="K35" s="450">
        <f>+SORECGFws!BB26</f>
        <v>0</v>
      </c>
      <c r="L35" s="952"/>
      <c r="M35" s="450">
        <f>+SORECGFws!BC26</f>
        <v>0</v>
      </c>
      <c r="N35" s="952"/>
      <c r="O35" s="450">
        <f t="shared" si="1"/>
        <v>0</v>
      </c>
    </row>
    <row r="36" spans="1:15" s="439" customFormat="1" ht="9.9499999999999993" hidden="1" customHeight="1" x14ac:dyDescent="0.2">
      <c r="A36" s="426" t="s">
        <v>958</v>
      </c>
      <c r="B36" s="952"/>
      <c r="C36" s="450">
        <f>+SORECGFws!AY27</f>
        <v>0</v>
      </c>
      <c r="D36" s="952"/>
      <c r="E36" s="450"/>
      <c r="F36" s="952"/>
      <c r="G36" s="450">
        <f>+SORECGFws!AZ27</f>
        <v>0</v>
      </c>
      <c r="H36" s="952"/>
      <c r="I36" s="450"/>
      <c r="J36" s="952"/>
      <c r="K36" s="450">
        <f>+SORECGFws!BB27</f>
        <v>0</v>
      </c>
      <c r="L36" s="952"/>
      <c r="M36" s="450">
        <f>+SORECGFws!BC27</f>
        <v>0</v>
      </c>
      <c r="N36" s="952"/>
      <c r="O36" s="450">
        <f t="shared" si="1"/>
        <v>0</v>
      </c>
    </row>
    <row r="37" spans="1:15" s="439" customFormat="1" ht="9.9499999999999993" hidden="1" customHeight="1" x14ac:dyDescent="0.2">
      <c r="A37" s="426" t="s">
        <v>959</v>
      </c>
      <c r="B37" s="952"/>
      <c r="C37" s="450">
        <f>+SORECGFws!AY28</f>
        <v>0</v>
      </c>
      <c r="D37" s="952"/>
      <c r="E37" s="450"/>
      <c r="F37" s="952"/>
      <c r="G37" s="450">
        <f>+SORECGFws!AZ28</f>
        <v>0</v>
      </c>
      <c r="H37" s="952"/>
      <c r="I37" s="450">
        <f>+SORECGFws!BA28</f>
        <v>0</v>
      </c>
      <c r="J37" s="952"/>
      <c r="K37" s="450">
        <f>+SORECGFws!BB28</f>
        <v>0</v>
      </c>
      <c r="L37" s="952"/>
      <c r="M37" s="450">
        <f>+SORECGFws!BC28</f>
        <v>0</v>
      </c>
      <c r="N37" s="952"/>
      <c r="O37" s="450">
        <f t="shared" si="1"/>
        <v>0</v>
      </c>
    </row>
    <row r="38" spans="1:15" s="439" customFormat="1" ht="9.9499999999999993" customHeight="1" x14ac:dyDescent="0.2">
      <c r="A38" s="426" t="s">
        <v>961</v>
      </c>
      <c r="B38" s="952"/>
      <c r="C38" s="450">
        <f>+SORECGFws!AY29</f>
        <v>9</v>
      </c>
      <c r="D38" s="952"/>
      <c r="E38" s="450"/>
      <c r="F38" s="952"/>
      <c r="G38" s="450">
        <f>+SORECGFws!AZ29</f>
        <v>442</v>
      </c>
      <c r="H38" s="952"/>
      <c r="I38" s="450">
        <f>+SORECGFws!BA29</f>
        <v>10</v>
      </c>
      <c r="J38" s="952"/>
      <c r="K38" s="450">
        <f>+SORECGFws!BB29</f>
        <v>16</v>
      </c>
      <c r="L38" s="952"/>
      <c r="M38" s="450">
        <f>+SORECGFws!BC29</f>
        <v>0</v>
      </c>
      <c r="N38" s="952"/>
      <c r="O38" s="450">
        <f t="shared" si="1"/>
        <v>477</v>
      </c>
    </row>
    <row r="39" spans="1:15" s="439" customFormat="1" ht="9.9499999999999993" hidden="1" customHeight="1" x14ac:dyDescent="0.2">
      <c r="A39" s="426" t="s">
        <v>960</v>
      </c>
      <c r="B39" s="952"/>
      <c r="C39" s="450">
        <f>+SORECGFws!AY30</f>
        <v>0</v>
      </c>
      <c r="D39" s="952"/>
      <c r="E39" s="450"/>
      <c r="F39" s="952"/>
      <c r="G39" s="450">
        <f>+SORECGFws!AZ30</f>
        <v>0</v>
      </c>
      <c r="H39" s="952"/>
      <c r="I39" s="450">
        <f>+SORECGFws!BA30</f>
        <v>0</v>
      </c>
      <c r="J39" s="952"/>
      <c r="K39" s="450">
        <f>+SORECGFws!BB30</f>
        <v>0</v>
      </c>
      <c r="L39" s="952"/>
      <c r="M39" s="450">
        <f>+SORECGFws!BC30</f>
        <v>0</v>
      </c>
      <c r="N39" s="952"/>
      <c r="O39" s="450">
        <f t="shared" si="1"/>
        <v>0</v>
      </c>
    </row>
    <row r="40" spans="1:15" s="439" customFormat="1" ht="9.9499999999999993" hidden="1" customHeight="1" x14ac:dyDescent="0.2">
      <c r="A40" s="426" t="s">
        <v>963</v>
      </c>
      <c r="B40" s="952"/>
      <c r="C40" s="450">
        <f>+SORECGFws!AY31</f>
        <v>0</v>
      </c>
      <c r="D40" s="952"/>
      <c r="E40" s="450"/>
      <c r="F40" s="952"/>
      <c r="G40" s="450">
        <f>+SORECGFws!AZ31</f>
        <v>0</v>
      </c>
      <c r="H40" s="952"/>
      <c r="I40" s="450">
        <f>+SORECGFws!BA31</f>
        <v>0</v>
      </c>
      <c r="J40" s="952"/>
      <c r="K40" s="450">
        <f>+SORECGFws!BB31</f>
        <v>0</v>
      </c>
      <c r="L40" s="952"/>
      <c r="M40" s="450">
        <f>+SORECGFws!BC31</f>
        <v>0</v>
      </c>
      <c r="N40" s="952"/>
      <c r="O40" s="450">
        <f t="shared" si="1"/>
        <v>0</v>
      </c>
    </row>
    <row r="41" spans="1:15" s="439" customFormat="1" ht="9.9499999999999993" hidden="1" customHeight="1" x14ac:dyDescent="0.2">
      <c r="A41" s="426" t="s">
        <v>1191</v>
      </c>
      <c r="B41" s="952"/>
      <c r="C41" s="450">
        <f>+SORECGFws!AY32</f>
        <v>0</v>
      </c>
      <c r="D41" s="952"/>
      <c r="E41" s="450"/>
      <c r="F41" s="952"/>
      <c r="G41" s="450">
        <f>+SORECGFws!AZ32</f>
        <v>0</v>
      </c>
      <c r="H41" s="952"/>
      <c r="I41" s="450">
        <f>+SORECGFws!BA32</f>
        <v>0</v>
      </c>
      <c r="J41" s="952"/>
      <c r="K41" s="450">
        <f>+SORECGFws!BB32</f>
        <v>0</v>
      </c>
      <c r="L41" s="952"/>
      <c r="M41" s="450">
        <f>+SORECGFws!BC32</f>
        <v>0</v>
      </c>
      <c r="N41" s="952"/>
      <c r="O41" s="450">
        <f t="shared" si="1"/>
        <v>0</v>
      </c>
    </row>
    <row r="42" spans="1:15" s="439" customFormat="1" ht="9.9499999999999993" hidden="1" customHeight="1" x14ac:dyDescent="0.2">
      <c r="A42" s="426" t="s">
        <v>964</v>
      </c>
      <c r="B42" s="450"/>
      <c r="C42" s="450">
        <f>+SORECGFws!AY33</f>
        <v>0</v>
      </c>
      <c r="D42" s="450"/>
      <c r="E42" s="450"/>
      <c r="F42" s="450"/>
      <c r="G42" s="450">
        <f>+SORECGFws!AZ33</f>
        <v>0</v>
      </c>
      <c r="H42" s="450"/>
      <c r="I42" s="450">
        <f>+SORECGFws!BA33</f>
        <v>0</v>
      </c>
      <c r="J42" s="450"/>
      <c r="K42" s="450">
        <f>+SORECGFws!BB33</f>
        <v>0</v>
      </c>
      <c r="L42" s="450"/>
      <c r="M42" s="450">
        <f>+SORECGFws!BC33</f>
        <v>0</v>
      </c>
      <c r="N42" s="450"/>
      <c r="O42" s="450">
        <f t="shared" si="1"/>
        <v>0</v>
      </c>
    </row>
    <row r="43" spans="1:15" s="439" customFormat="1" ht="9.9499999999999993" hidden="1" customHeight="1" x14ac:dyDescent="0.2">
      <c r="A43" s="426" t="s">
        <v>1414</v>
      </c>
      <c r="B43" s="450"/>
      <c r="C43" s="450">
        <f>+SORECGFws!AY34</f>
        <v>0</v>
      </c>
      <c r="D43" s="450"/>
      <c r="E43" s="450"/>
      <c r="F43" s="450"/>
      <c r="G43" s="450">
        <f>+SORECGFws!AZ34</f>
        <v>0</v>
      </c>
      <c r="H43" s="450"/>
      <c r="I43" s="450">
        <f>+SORECGFws!BA34</f>
        <v>0</v>
      </c>
      <c r="J43" s="450"/>
      <c r="K43" s="450">
        <f>+SORECGFws!BB34</f>
        <v>0</v>
      </c>
      <c r="L43" s="450"/>
      <c r="M43" s="450">
        <f>+SORECGFws!BC34</f>
        <v>0</v>
      </c>
      <c r="N43" s="450"/>
      <c r="O43" s="450">
        <f t="shared" si="1"/>
        <v>0</v>
      </c>
    </row>
    <row r="44" spans="1:15" s="439" customFormat="1" ht="9.9499999999999993" hidden="1" customHeight="1" x14ac:dyDescent="0.2">
      <c r="A44" s="426" t="s">
        <v>706</v>
      </c>
      <c r="B44" s="450"/>
      <c r="C44" s="450">
        <f>+SORECGFws!AY35</f>
        <v>0</v>
      </c>
      <c r="D44" s="450"/>
      <c r="E44" s="450"/>
      <c r="F44" s="450"/>
      <c r="G44" s="450">
        <f>+SORECGFws!AZ35</f>
        <v>0</v>
      </c>
      <c r="H44" s="450"/>
      <c r="I44" s="450">
        <f>+SORECGFws!BA35</f>
        <v>0</v>
      </c>
      <c r="J44" s="450"/>
      <c r="K44" s="450">
        <f>+SORECGFws!BB35</f>
        <v>0</v>
      </c>
      <c r="L44" s="450"/>
      <c r="M44" s="450">
        <f>+SORECGFws!BC35</f>
        <v>0</v>
      </c>
      <c r="N44" s="450"/>
      <c r="O44" s="450">
        <f t="shared" si="1"/>
        <v>0</v>
      </c>
    </row>
    <row r="45" spans="1:15" s="439" customFormat="1" ht="9.9499999999999993" hidden="1" customHeight="1" x14ac:dyDescent="0.2">
      <c r="A45" s="425" t="s">
        <v>965</v>
      </c>
      <c r="B45" s="450"/>
      <c r="C45" s="450">
        <f>+SORECGFws!AY36</f>
        <v>0</v>
      </c>
      <c r="D45" s="450"/>
      <c r="E45" s="450"/>
      <c r="F45" s="450"/>
      <c r="G45" s="450">
        <f>+SORECGFws!AZ36</f>
        <v>0</v>
      </c>
      <c r="H45" s="450"/>
      <c r="I45" s="450">
        <f>+SORECGFws!BA36</f>
        <v>0</v>
      </c>
      <c r="J45" s="450"/>
      <c r="K45" s="450">
        <f>+SORECGFws!BB36</f>
        <v>0</v>
      </c>
      <c r="L45" s="450"/>
      <c r="M45" s="450">
        <f>+SORECGFws!BC36</f>
        <v>0</v>
      </c>
      <c r="N45" s="450"/>
      <c r="O45" s="450">
        <f t="shared" si="1"/>
        <v>0</v>
      </c>
    </row>
    <row r="46" spans="1:15" s="439" customFormat="1" ht="9.9499999999999993" hidden="1" customHeight="1" x14ac:dyDescent="0.2">
      <c r="A46" s="426" t="s">
        <v>966</v>
      </c>
      <c r="B46" s="450"/>
      <c r="C46" s="450">
        <f>+SORECGFws!AY37</f>
        <v>0</v>
      </c>
      <c r="D46" s="450"/>
      <c r="E46" s="450"/>
      <c r="F46" s="450"/>
      <c r="G46" s="450">
        <f>+SORECGFws!AZ37</f>
        <v>0</v>
      </c>
      <c r="H46" s="450"/>
      <c r="I46" s="450">
        <f>+SORECGFws!BA37</f>
        <v>0</v>
      </c>
      <c r="J46" s="450"/>
      <c r="K46" s="450">
        <f>+SORECGFws!BB37</f>
        <v>0</v>
      </c>
      <c r="L46" s="450"/>
      <c r="M46" s="450">
        <f>+SORECGFws!BC37</f>
        <v>0</v>
      </c>
      <c r="N46" s="450"/>
      <c r="O46" s="450">
        <f t="shared" si="1"/>
        <v>0</v>
      </c>
    </row>
    <row r="47" spans="1:15" s="439" customFormat="1" ht="9.9499999999999993" hidden="1" customHeight="1" x14ac:dyDescent="0.2">
      <c r="A47" s="426" t="s">
        <v>949</v>
      </c>
      <c r="B47" s="450"/>
      <c r="C47" s="450">
        <f>+SORECGFws!AY38</f>
        <v>0</v>
      </c>
      <c r="D47" s="450"/>
      <c r="E47" s="450"/>
      <c r="F47" s="450"/>
      <c r="G47" s="450">
        <f>+SORECGFws!AZ38</f>
        <v>0</v>
      </c>
      <c r="H47" s="450"/>
      <c r="I47" s="450">
        <f>+SORECGFws!BA38</f>
        <v>0</v>
      </c>
      <c r="J47" s="450"/>
      <c r="K47" s="450">
        <f>+SORECGFws!BB38</f>
        <v>0</v>
      </c>
      <c r="L47" s="450"/>
      <c r="M47" s="450">
        <f>+SORECGFws!BC38</f>
        <v>0</v>
      </c>
      <c r="N47" s="450"/>
      <c r="O47" s="450">
        <f t="shared" si="1"/>
        <v>0</v>
      </c>
    </row>
    <row r="48" spans="1:15" s="439" customFormat="1" ht="9.9499999999999993" hidden="1" customHeight="1" x14ac:dyDescent="0.2">
      <c r="A48" s="426" t="s">
        <v>91</v>
      </c>
      <c r="B48" s="450"/>
      <c r="C48" s="450">
        <f>+SORECGFws!AY39</f>
        <v>0</v>
      </c>
      <c r="D48" s="450"/>
      <c r="E48" s="450"/>
      <c r="F48" s="450"/>
      <c r="G48" s="450">
        <f>+SORECGFws!AZ39</f>
        <v>0</v>
      </c>
      <c r="H48" s="450"/>
      <c r="I48" s="450">
        <f>+SORECGFws!BA39</f>
        <v>0</v>
      </c>
      <c r="J48" s="450"/>
      <c r="K48" s="450">
        <f>+SORECGFws!BB39</f>
        <v>0</v>
      </c>
      <c r="L48" s="450"/>
      <c r="M48" s="450">
        <f>+SORECGFws!BC39</f>
        <v>0</v>
      </c>
      <c r="N48" s="450"/>
      <c r="O48" s="450">
        <f t="shared" si="1"/>
        <v>0</v>
      </c>
    </row>
    <row r="49" spans="1:15" s="439" customFormat="1" ht="9.9499999999999993" hidden="1" customHeight="1" x14ac:dyDescent="0.2">
      <c r="A49" s="426" t="s">
        <v>968</v>
      </c>
      <c r="B49" s="450"/>
      <c r="C49" s="450">
        <f>+SORECGFws!AY40</f>
        <v>0</v>
      </c>
      <c r="D49" s="450"/>
      <c r="E49" s="450"/>
      <c r="F49" s="450"/>
      <c r="G49" s="450">
        <f>+SORECGFws!AZ40</f>
        <v>0</v>
      </c>
      <c r="H49" s="450"/>
      <c r="I49" s="450">
        <f>+SORECGFws!BA40</f>
        <v>0</v>
      </c>
      <c r="J49" s="450"/>
      <c r="K49" s="450">
        <f>+SORECGFws!BB40</f>
        <v>0</v>
      </c>
      <c r="L49" s="450"/>
      <c r="M49" s="450">
        <f>+SORECGFws!BC40</f>
        <v>0</v>
      </c>
      <c r="N49" s="450"/>
      <c r="O49" s="450">
        <f t="shared" si="1"/>
        <v>0</v>
      </c>
    </row>
    <row r="50" spans="1:15" s="439" customFormat="1" ht="9.9499999999999993" hidden="1" customHeight="1" x14ac:dyDescent="0.2">
      <c r="A50" s="425" t="s">
        <v>1595</v>
      </c>
      <c r="B50" s="450"/>
      <c r="C50" s="450"/>
      <c r="D50" s="450"/>
      <c r="E50" s="450"/>
      <c r="F50" s="450"/>
      <c r="G50" s="450"/>
      <c r="H50" s="450"/>
      <c r="I50" s="450"/>
      <c r="J50" s="450"/>
      <c r="K50" s="450"/>
      <c r="L50" s="450"/>
      <c r="M50" s="450"/>
      <c r="N50" s="450"/>
      <c r="O50" s="450"/>
    </row>
    <row r="51" spans="1:15" s="439" customFormat="1" ht="9.9499999999999993" hidden="1" customHeight="1" x14ac:dyDescent="0.2">
      <c r="A51" s="426" t="s">
        <v>966</v>
      </c>
      <c r="B51" s="450"/>
      <c r="C51" s="450">
        <f>+SORECGFws!AY42</f>
        <v>0</v>
      </c>
      <c r="D51" s="450"/>
      <c r="E51" s="450"/>
      <c r="F51" s="450"/>
      <c r="G51" s="450">
        <f>+SORECGFws!AZ42</f>
        <v>0</v>
      </c>
      <c r="H51" s="450"/>
      <c r="I51" s="450">
        <f>+SORECGFws!BA42</f>
        <v>0</v>
      </c>
      <c r="J51" s="450"/>
      <c r="K51" s="450">
        <f>+SORECGFws!BB42</f>
        <v>0</v>
      </c>
      <c r="L51" s="450"/>
      <c r="M51" s="450">
        <f>+SORECGFws!BC42</f>
        <v>0</v>
      </c>
      <c r="N51" s="450"/>
      <c r="O51" s="450">
        <f t="shared" si="1"/>
        <v>0</v>
      </c>
    </row>
    <row r="52" spans="1:15" s="439" customFormat="1" ht="9.9499999999999993" hidden="1" customHeight="1" x14ac:dyDescent="0.2">
      <c r="A52" s="426" t="s">
        <v>949</v>
      </c>
      <c r="B52" s="450"/>
      <c r="C52" s="450">
        <f>+SORECGFws!AY43</f>
        <v>0</v>
      </c>
      <c r="D52" s="450"/>
      <c r="E52" s="450"/>
      <c r="F52" s="450"/>
      <c r="G52" s="450">
        <f>+SORECGFws!AZ43</f>
        <v>0</v>
      </c>
      <c r="H52" s="450"/>
      <c r="I52" s="450">
        <f>+SORECGFws!BA43</f>
        <v>0</v>
      </c>
      <c r="J52" s="450"/>
      <c r="K52" s="450">
        <f>+SORECGFws!BB43</f>
        <v>0</v>
      </c>
      <c r="L52" s="450"/>
      <c r="M52" s="450">
        <f>+SORECGFws!BC43</f>
        <v>0</v>
      </c>
      <c r="N52" s="450"/>
      <c r="O52" s="450">
        <f t="shared" si="1"/>
        <v>0</v>
      </c>
    </row>
    <row r="53" spans="1:15" s="439" customFormat="1" ht="9.9499999999999993" hidden="1" customHeight="1" x14ac:dyDescent="0.2">
      <c r="A53" s="425" t="s">
        <v>1641</v>
      </c>
      <c r="B53" s="450"/>
      <c r="C53" s="450"/>
      <c r="D53" s="450"/>
      <c r="E53" s="450"/>
      <c r="F53" s="450"/>
      <c r="G53" s="450"/>
      <c r="H53" s="450"/>
      <c r="I53" s="450"/>
      <c r="J53" s="450"/>
      <c r="K53" s="450"/>
      <c r="L53" s="450"/>
      <c r="M53" s="450"/>
      <c r="N53" s="450"/>
      <c r="O53" s="450">
        <f t="shared" si="1"/>
        <v>0</v>
      </c>
    </row>
    <row r="54" spans="1:15" s="439" customFormat="1" ht="9.9499999999999993" hidden="1" customHeight="1" x14ac:dyDescent="0.2">
      <c r="A54" s="426" t="s">
        <v>966</v>
      </c>
      <c r="B54" s="450"/>
      <c r="C54" s="450">
        <f>SORECGFws!AY45</f>
        <v>0</v>
      </c>
      <c r="D54" s="450"/>
      <c r="E54" s="450"/>
      <c r="F54" s="450"/>
      <c r="G54" s="450">
        <f>SORECGFws!AZ45</f>
        <v>0</v>
      </c>
      <c r="H54" s="450"/>
      <c r="I54" s="450">
        <f>SORECGFws!BA45</f>
        <v>0</v>
      </c>
      <c r="J54" s="450"/>
      <c r="K54" s="450">
        <f>SORECGFws!BB45</f>
        <v>0</v>
      </c>
      <c r="L54" s="450"/>
      <c r="M54" s="450">
        <f>SORECGFws!BC45</f>
        <v>0</v>
      </c>
      <c r="N54" s="450"/>
      <c r="O54" s="450">
        <f t="shared" si="1"/>
        <v>0</v>
      </c>
    </row>
    <row r="55" spans="1:15" s="439" customFormat="1" ht="9.9499999999999993" hidden="1" customHeight="1" x14ac:dyDescent="0.2">
      <c r="A55" s="426" t="s">
        <v>949</v>
      </c>
      <c r="B55" s="450"/>
      <c r="C55" s="450">
        <f>SORECGFws!AY46</f>
        <v>0</v>
      </c>
      <c r="D55" s="450"/>
      <c r="E55" s="450"/>
      <c r="F55" s="450"/>
      <c r="G55" s="450">
        <f>SORECGFws!AZ46</f>
        <v>0</v>
      </c>
      <c r="H55" s="450"/>
      <c r="I55" s="450">
        <f>SORECGFws!BA46</f>
        <v>0</v>
      </c>
      <c r="J55" s="450"/>
      <c r="K55" s="450">
        <f>SORECGFws!BB46</f>
        <v>0</v>
      </c>
      <c r="L55" s="450"/>
      <c r="M55" s="450">
        <f>SORECGFws!BC46</f>
        <v>0</v>
      </c>
      <c r="N55" s="450"/>
      <c r="O55" s="450">
        <f t="shared" si="1"/>
        <v>0</v>
      </c>
    </row>
    <row r="56" spans="1:15" s="439" customFormat="1" ht="5.0999999999999996" customHeight="1" x14ac:dyDescent="0.2">
      <c r="B56" s="952"/>
      <c r="C56" s="982"/>
      <c r="D56" s="952"/>
      <c r="E56" s="982"/>
      <c r="F56" s="952"/>
      <c r="G56" s="982"/>
      <c r="H56" s="952"/>
      <c r="I56" s="982"/>
      <c r="J56" s="952"/>
      <c r="K56" s="982"/>
      <c r="L56" s="952"/>
      <c r="M56" s="982"/>
      <c r="N56" s="952"/>
      <c r="O56" s="982"/>
    </row>
    <row r="57" spans="1:15" s="439" customFormat="1" ht="9.9499999999999993" customHeight="1" x14ac:dyDescent="0.2">
      <c r="A57" s="417" t="s">
        <v>970</v>
      </c>
      <c r="B57" s="450"/>
      <c r="C57" s="455">
        <f>SUM(C32:C55)</f>
        <v>9</v>
      </c>
      <c r="D57" s="450"/>
      <c r="E57" s="455"/>
      <c r="F57" s="450"/>
      <c r="G57" s="455">
        <f>SUM(G32:G55)</f>
        <v>442</v>
      </c>
      <c r="H57" s="450"/>
      <c r="I57" s="455">
        <f>SUM(I32:I55)</f>
        <v>10</v>
      </c>
      <c r="J57" s="450"/>
      <c r="K57" s="455">
        <f>SUM(K32:K55)</f>
        <v>16</v>
      </c>
      <c r="L57" s="450"/>
      <c r="M57" s="455">
        <f>SUM(M32:M55)</f>
        <v>0</v>
      </c>
      <c r="N57" s="450"/>
      <c r="O57" s="455">
        <f t="shared" ref="O57" si="2">SUM(O32:Q55)</f>
        <v>477</v>
      </c>
    </row>
    <row r="58" spans="1:15" s="439" customFormat="1" ht="5.0999999999999996" customHeight="1" x14ac:dyDescent="0.2">
      <c r="B58" s="952"/>
      <c r="C58" s="982"/>
      <c r="D58" s="952"/>
      <c r="E58" s="982"/>
      <c r="F58" s="952"/>
      <c r="G58" s="982"/>
      <c r="H58" s="952"/>
      <c r="I58" s="982"/>
      <c r="J58" s="952"/>
      <c r="K58" s="982"/>
      <c r="L58" s="952"/>
      <c r="M58" s="982"/>
      <c r="N58" s="952"/>
      <c r="O58" s="982"/>
    </row>
    <row r="59" spans="1:15" s="439" customFormat="1" ht="9.9499999999999993" hidden="1" customHeight="1" x14ac:dyDescent="0.2">
      <c r="A59" s="417" t="s">
        <v>1759</v>
      </c>
      <c r="B59" s="450"/>
      <c r="C59" s="450"/>
      <c r="D59" s="450"/>
      <c r="E59" s="450"/>
      <c r="F59" s="450"/>
      <c r="G59" s="450"/>
      <c r="H59" s="450"/>
      <c r="I59" s="450"/>
      <c r="J59" s="450"/>
      <c r="K59" s="450"/>
      <c r="L59" s="450"/>
      <c r="M59" s="450"/>
      <c r="N59" s="450"/>
      <c r="O59" s="952"/>
    </row>
    <row r="60" spans="1:15" s="439" customFormat="1" ht="9.9499999999999993" customHeight="1" x14ac:dyDescent="0.2">
      <c r="A60" s="417" t="s">
        <v>1759</v>
      </c>
      <c r="B60" s="450"/>
      <c r="C60" s="450">
        <f t="shared" ref="C60:K60" si="3">+C28-C57</f>
        <v>12</v>
      </c>
      <c r="D60" s="450"/>
      <c r="E60" s="450"/>
      <c r="F60" s="450"/>
      <c r="G60" s="450">
        <f t="shared" si="3"/>
        <v>239</v>
      </c>
      <c r="H60" s="450"/>
      <c r="I60" s="450">
        <f t="shared" si="3"/>
        <v>9</v>
      </c>
      <c r="J60" s="450"/>
      <c r="K60" s="450">
        <f t="shared" si="3"/>
        <v>15</v>
      </c>
      <c r="L60" s="450"/>
      <c r="M60" s="450">
        <f>+M28-M57</f>
        <v>78</v>
      </c>
      <c r="N60" s="450"/>
      <c r="O60" s="450">
        <f>+O28-O57</f>
        <v>353</v>
      </c>
    </row>
    <row r="61" spans="1:15" s="439" customFormat="1" ht="5.0999999999999996" customHeight="1" x14ac:dyDescent="0.2">
      <c r="B61" s="952"/>
      <c r="C61" s="982"/>
      <c r="D61" s="952"/>
      <c r="E61" s="982"/>
      <c r="F61" s="952"/>
      <c r="G61" s="982"/>
      <c r="H61" s="952"/>
      <c r="I61" s="982"/>
      <c r="J61" s="952"/>
      <c r="K61" s="982"/>
      <c r="L61" s="952"/>
      <c r="M61" s="982"/>
      <c r="N61" s="952"/>
      <c r="O61" s="982"/>
    </row>
    <row r="62" spans="1:15" s="439" customFormat="1" ht="9.9499999999999993" hidden="1" customHeight="1" x14ac:dyDescent="0.2">
      <c r="A62" s="417" t="s">
        <v>353</v>
      </c>
      <c r="B62" s="450"/>
      <c r="C62" s="450"/>
      <c r="D62" s="450"/>
      <c r="E62" s="450"/>
      <c r="F62" s="450"/>
      <c r="G62" s="450"/>
      <c r="H62" s="450"/>
      <c r="I62" s="450"/>
      <c r="J62" s="450"/>
      <c r="K62" s="450"/>
      <c r="L62" s="450"/>
      <c r="M62" s="450"/>
      <c r="N62" s="450"/>
      <c r="O62" s="952"/>
    </row>
    <row r="63" spans="1:15" s="439" customFormat="1" ht="9.9499999999999993" hidden="1" customHeight="1" x14ac:dyDescent="0.2">
      <c r="A63" s="425" t="s">
        <v>667</v>
      </c>
      <c r="B63" s="450"/>
      <c r="C63" s="450">
        <f>+SORECGFws!AY53</f>
        <v>0</v>
      </c>
      <c r="D63" s="450"/>
      <c r="E63" s="450"/>
      <c r="F63" s="450"/>
      <c r="G63" s="450">
        <f>+SORECGFws!AZ53</f>
        <v>0</v>
      </c>
      <c r="H63" s="450"/>
      <c r="I63" s="450">
        <f>+SORECGFws!BA53</f>
        <v>0</v>
      </c>
      <c r="J63" s="450"/>
      <c r="K63" s="450">
        <f>+SORECGFws!BB53</f>
        <v>0</v>
      </c>
      <c r="L63" s="450"/>
      <c r="M63" s="450">
        <f>+SORECGFws!BC53</f>
        <v>0</v>
      </c>
      <c r="N63" s="450"/>
      <c r="O63" s="450">
        <f t="shared" ref="O63:O72" si="4">SUM(C63:M63)</f>
        <v>0</v>
      </c>
    </row>
    <row r="64" spans="1:15" s="439" customFormat="1" ht="9.9499999999999993" hidden="1" customHeight="1" x14ac:dyDescent="0.2">
      <c r="A64" s="425" t="s">
        <v>1235</v>
      </c>
      <c r="B64" s="450"/>
      <c r="C64" s="450">
        <f>+SORECGFws!AY54</f>
        <v>0</v>
      </c>
      <c r="D64" s="450"/>
      <c r="E64" s="450"/>
      <c r="F64" s="450"/>
      <c r="G64" s="450">
        <f>+SORECGFws!AZ54</f>
        <v>0</v>
      </c>
      <c r="H64" s="450"/>
      <c r="I64" s="450">
        <f>+SORECGFws!BA54</f>
        <v>0</v>
      </c>
      <c r="J64" s="450"/>
      <c r="K64" s="450">
        <f>+SORECGFws!BB54</f>
        <v>0</v>
      </c>
      <c r="L64" s="450"/>
      <c r="M64" s="450">
        <f>+SORECGFws!BC54</f>
        <v>0</v>
      </c>
      <c r="N64" s="450"/>
      <c r="O64" s="450">
        <f t="shared" si="4"/>
        <v>0</v>
      </c>
    </row>
    <row r="65" spans="1:46" s="439" customFormat="1" ht="9.9499999999999993" hidden="1" customHeight="1" x14ac:dyDescent="0.2">
      <c r="A65" s="425" t="s">
        <v>973</v>
      </c>
      <c r="B65" s="450"/>
      <c r="C65" s="450">
        <f>+SORECGFws!AY55</f>
        <v>0</v>
      </c>
      <c r="D65" s="450"/>
      <c r="E65" s="450"/>
      <c r="F65" s="450"/>
      <c r="G65" s="450">
        <f>+SORECGFws!AZ55</f>
        <v>0</v>
      </c>
      <c r="H65" s="450"/>
      <c r="I65" s="450">
        <f>+SORECGFws!BA55</f>
        <v>0</v>
      </c>
      <c r="J65" s="450"/>
      <c r="K65" s="450">
        <f>+SORECGFws!BB55</f>
        <v>0</v>
      </c>
      <c r="L65" s="450"/>
      <c r="M65" s="450">
        <f>+SORECGFws!BC55</f>
        <v>0</v>
      </c>
      <c r="N65" s="450"/>
      <c r="O65" s="450">
        <f t="shared" si="4"/>
        <v>0</v>
      </c>
    </row>
    <row r="66" spans="1:46" s="439" customFormat="1" ht="9.9499999999999993" hidden="1" customHeight="1" x14ac:dyDescent="0.2">
      <c r="A66" s="425" t="s">
        <v>666</v>
      </c>
      <c r="B66" s="450"/>
      <c r="C66" s="450">
        <f>+SORECGFws!AY56</f>
        <v>0</v>
      </c>
      <c r="D66" s="450"/>
      <c r="E66" s="450"/>
      <c r="F66" s="450"/>
      <c r="G66" s="450">
        <f>+SORECGFws!AZ56</f>
        <v>0</v>
      </c>
      <c r="H66" s="450"/>
      <c r="I66" s="450">
        <f>+SORECGFws!BA56</f>
        <v>0</v>
      </c>
      <c r="J66" s="450"/>
      <c r="K66" s="450">
        <f>+SORECGFws!BB56</f>
        <v>0</v>
      </c>
      <c r="L66" s="450"/>
      <c r="M66" s="450">
        <f>+SORECGFws!BC56</f>
        <v>0</v>
      </c>
      <c r="N66" s="450"/>
      <c r="O66" s="450">
        <f t="shared" si="4"/>
        <v>0</v>
      </c>
    </row>
    <row r="67" spans="1:46" s="439" customFormat="1" ht="9.9499999999999993" hidden="1" customHeight="1" x14ac:dyDescent="0.2">
      <c r="A67" s="425" t="s">
        <v>1589</v>
      </c>
      <c r="B67" s="450"/>
      <c r="C67" s="450">
        <f>+SORECGFws!AY57</f>
        <v>0</v>
      </c>
      <c r="D67" s="450"/>
      <c r="E67" s="450"/>
      <c r="F67" s="450"/>
      <c r="G67" s="450">
        <f>+SORECGFws!AZ57</f>
        <v>0</v>
      </c>
      <c r="H67" s="450"/>
      <c r="I67" s="450">
        <f>+SORECGFws!BA57</f>
        <v>0</v>
      </c>
      <c r="J67" s="450"/>
      <c r="K67" s="450">
        <f>+SORECGFws!BB57</f>
        <v>0</v>
      </c>
      <c r="L67" s="450"/>
      <c r="M67" s="450">
        <f>+SORECGFws!BC57</f>
        <v>0</v>
      </c>
      <c r="N67" s="450"/>
      <c r="O67" s="450">
        <f t="shared" ref="O67" si="5">SUM(C67:M67)</f>
        <v>0</v>
      </c>
    </row>
    <row r="68" spans="1:46" s="439" customFormat="1" ht="9.9499999999999993" hidden="1" customHeight="1" x14ac:dyDescent="0.2">
      <c r="A68" s="425" t="s">
        <v>1642</v>
      </c>
      <c r="B68" s="450"/>
      <c r="C68" s="450">
        <f>+SORECGFws!AY58</f>
        <v>0</v>
      </c>
      <c r="D68" s="450"/>
      <c r="E68" s="450"/>
      <c r="F68" s="450"/>
      <c r="G68" s="450">
        <f>+SORECGFws!AZ58</f>
        <v>0</v>
      </c>
      <c r="H68" s="450"/>
      <c r="I68" s="450">
        <f>+SORECGFws!BA58</f>
        <v>0</v>
      </c>
      <c r="J68" s="450"/>
      <c r="K68" s="450">
        <f>+SORECGFws!BB58</f>
        <v>0</v>
      </c>
      <c r="L68" s="450"/>
      <c r="M68" s="450">
        <f>+SORECGFws!BC58</f>
        <v>0</v>
      </c>
      <c r="N68" s="450"/>
      <c r="O68" s="450">
        <f t="shared" ref="O68" si="6">SUM(C68:M68)</f>
        <v>0</v>
      </c>
    </row>
    <row r="69" spans="1:46" s="439" customFormat="1" ht="9.9499999999999993" hidden="1" customHeight="1" x14ac:dyDescent="0.2">
      <c r="A69" s="425" t="s">
        <v>668</v>
      </c>
      <c r="B69" s="450"/>
      <c r="C69" s="450">
        <f>+SORECGFws!AY59</f>
        <v>0</v>
      </c>
      <c r="D69" s="450"/>
      <c r="E69" s="450"/>
      <c r="F69" s="450"/>
      <c r="G69" s="450">
        <f>+SORECGFws!AZ59</f>
        <v>0</v>
      </c>
      <c r="H69" s="450"/>
      <c r="I69" s="450">
        <f>+SORECGFws!BA59</f>
        <v>0</v>
      </c>
      <c r="J69" s="450"/>
      <c r="K69" s="450">
        <f>+SORECGFws!BB59</f>
        <v>0</v>
      </c>
      <c r="L69" s="450"/>
      <c r="M69" s="450">
        <f>+SORECGFws!BC59</f>
        <v>0</v>
      </c>
      <c r="N69" s="450"/>
      <c r="O69" s="450">
        <f t="shared" si="4"/>
        <v>0</v>
      </c>
    </row>
    <row r="70" spans="1:46" s="439" customFormat="1" ht="9.9499999999999993" hidden="1" customHeight="1" x14ac:dyDescent="0.2">
      <c r="A70" s="425" t="s">
        <v>404</v>
      </c>
      <c r="B70" s="450"/>
      <c r="C70" s="450">
        <f>+SORECGFws!AY60</f>
        <v>0</v>
      </c>
      <c r="D70" s="450"/>
      <c r="E70" s="450"/>
      <c r="F70" s="450"/>
      <c r="G70" s="450">
        <f>+SORECGFws!AZ60</f>
        <v>0</v>
      </c>
      <c r="H70" s="450"/>
      <c r="I70" s="450">
        <f>+SORECGFws!BA60</f>
        <v>0</v>
      </c>
      <c r="J70" s="450"/>
      <c r="K70" s="450">
        <f>+SORECGFws!BB60</f>
        <v>0</v>
      </c>
      <c r="L70" s="450"/>
      <c r="M70" s="450">
        <f>+SORECGFws!BC60</f>
        <v>0</v>
      </c>
      <c r="N70" s="450"/>
      <c r="O70" s="450">
        <f t="shared" si="4"/>
        <v>0</v>
      </c>
    </row>
    <row r="71" spans="1:46" s="439" customFormat="1" ht="9.9499999999999993" hidden="1" customHeight="1" x14ac:dyDescent="0.2">
      <c r="A71" s="425" t="s">
        <v>21</v>
      </c>
      <c r="B71" s="450"/>
      <c r="C71" s="450">
        <f>+SORECGFws!AY61</f>
        <v>0</v>
      </c>
      <c r="D71" s="450"/>
      <c r="E71" s="450"/>
      <c r="F71" s="450"/>
      <c r="G71" s="450">
        <f>+SORECGFws!AZ61</f>
        <v>0</v>
      </c>
      <c r="H71" s="450"/>
      <c r="I71" s="450">
        <f>+SORECGFws!BA61</f>
        <v>0</v>
      </c>
      <c r="J71" s="450"/>
      <c r="K71" s="450">
        <f>+SORECGFws!BB61</f>
        <v>0</v>
      </c>
      <c r="L71" s="450"/>
      <c r="M71" s="450">
        <f>+SORECGFws!BC61</f>
        <v>0</v>
      </c>
      <c r="N71" s="450"/>
      <c r="O71" s="450">
        <f t="shared" si="4"/>
        <v>0</v>
      </c>
    </row>
    <row r="72" spans="1:46" s="439" customFormat="1" ht="9.9499999999999993" hidden="1" customHeight="1" x14ac:dyDescent="0.2">
      <c r="A72" s="425" t="s">
        <v>22</v>
      </c>
      <c r="B72" s="450"/>
      <c r="C72" s="450">
        <f>+SORECGFws!AY62</f>
        <v>0</v>
      </c>
      <c r="D72" s="450"/>
      <c r="E72" s="450"/>
      <c r="F72" s="450"/>
      <c r="G72" s="450">
        <f>+SORECGFws!AZ62</f>
        <v>0</v>
      </c>
      <c r="H72" s="450"/>
      <c r="I72" s="450">
        <f>+SORECGFws!BA62</f>
        <v>0</v>
      </c>
      <c r="J72" s="450"/>
      <c r="K72" s="450">
        <f>+SORECGFws!BB62</f>
        <v>0</v>
      </c>
      <c r="L72" s="450"/>
      <c r="M72" s="450">
        <f>+SORECGFws!BC62</f>
        <v>0</v>
      </c>
      <c r="N72" s="450"/>
      <c r="O72" s="450">
        <f t="shared" si="4"/>
        <v>0</v>
      </c>
    </row>
    <row r="73" spans="1:46" s="439" customFormat="1" ht="5.0999999999999996" hidden="1" customHeight="1" x14ac:dyDescent="0.2">
      <c r="A73" s="451"/>
      <c r="B73" s="450"/>
      <c r="C73" s="452"/>
      <c r="D73" s="450"/>
      <c r="E73" s="452"/>
      <c r="F73" s="450"/>
      <c r="G73" s="452"/>
      <c r="H73" s="450"/>
      <c r="I73" s="452"/>
      <c r="J73" s="450"/>
      <c r="K73" s="452"/>
      <c r="L73" s="450"/>
      <c r="M73" s="452"/>
      <c r="N73" s="450"/>
      <c r="O73" s="452"/>
    </row>
    <row r="74" spans="1:46" s="439" customFormat="1" ht="9.9499999999999993" hidden="1" customHeight="1" x14ac:dyDescent="0.2">
      <c r="A74" s="417" t="s">
        <v>354</v>
      </c>
      <c r="B74" s="450"/>
      <c r="C74" s="450">
        <f>SUM(C63:C72)</f>
        <v>0</v>
      </c>
      <c r="D74" s="450"/>
      <c r="E74" s="450"/>
      <c r="F74" s="450"/>
      <c r="G74" s="450">
        <f>SUM(G63:G72)</f>
        <v>0</v>
      </c>
      <c r="H74" s="450"/>
      <c r="I74" s="450">
        <f>SUM(I63:I72)</f>
        <v>0</v>
      </c>
      <c r="J74" s="450"/>
      <c r="K74" s="450">
        <f>SUM(K63:K72)</f>
        <v>0</v>
      </c>
      <c r="L74" s="450"/>
      <c r="M74" s="450">
        <f>SUM(M63:M72)</f>
        <v>0</v>
      </c>
      <c r="N74" s="450"/>
      <c r="O74" s="450">
        <f>SUM(O63:O72)</f>
        <v>0</v>
      </c>
    </row>
    <row r="75" spans="1:46" s="439" customFormat="1" ht="5.0999999999999996" hidden="1" customHeight="1" x14ac:dyDescent="0.2">
      <c r="A75" s="451"/>
      <c r="B75" s="450"/>
      <c r="C75" s="452"/>
      <c r="D75" s="450"/>
      <c r="E75" s="452"/>
      <c r="F75" s="450"/>
      <c r="G75" s="452"/>
      <c r="H75" s="450"/>
      <c r="I75" s="452"/>
      <c r="J75" s="450"/>
      <c r="K75" s="452"/>
      <c r="L75" s="450"/>
      <c r="M75" s="452"/>
      <c r="N75" s="450"/>
      <c r="O75" s="452"/>
    </row>
    <row r="76" spans="1:46" s="439" customFormat="1" ht="9.9499999999999993" customHeight="1" x14ac:dyDescent="0.2">
      <c r="A76" s="417" t="s">
        <v>989</v>
      </c>
      <c r="B76" s="450"/>
      <c r="C76" s="450">
        <f>+C60+C74</f>
        <v>12</v>
      </c>
      <c r="D76" s="450"/>
      <c r="E76" s="450"/>
      <c r="F76" s="450"/>
      <c r="G76" s="450">
        <f>+G60+G74</f>
        <v>239</v>
      </c>
      <c r="H76" s="450"/>
      <c r="I76" s="450">
        <f>+I60+I74</f>
        <v>9</v>
      </c>
      <c r="J76" s="450"/>
      <c r="K76" s="450">
        <f>+K60+K74</f>
        <v>15</v>
      </c>
      <c r="L76" s="450"/>
      <c r="M76" s="450">
        <f>+M60+M74</f>
        <v>78</v>
      </c>
      <c r="N76" s="450"/>
      <c r="O76" s="450">
        <f>+O60+O74</f>
        <v>353</v>
      </c>
    </row>
    <row r="77" spans="1:46" s="439" customFormat="1" ht="5.0999999999999996" customHeight="1" x14ac:dyDescent="0.2">
      <c r="A77" s="451"/>
      <c r="B77" s="450"/>
      <c r="C77" s="450"/>
      <c r="D77" s="450"/>
      <c r="E77" s="450"/>
      <c r="F77" s="450"/>
      <c r="G77" s="450"/>
      <c r="H77" s="450"/>
      <c r="I77" s="450"/>
      <c r="J77" s="450"/>
      <c r="K77" s="450"/>
      <c r="L77" s="450"/>
      <c r="M77" s="450"/>
      <c r="N77" s="450"/>
      <c r="O77" s="952"/>
    </row>
    <row r="78" spans="1:46" s="439" customFormat="1" ht="9.9499999999999993" customHeight="1" x14ac:dyDescent="0.2">
      <c r="A78" s="418" t="s">
        <v>990</v>
      </c>
      <c r="B78" s="450"/>
      <c r="C78" s="455">
        <v>358</v>
      </c>
      <c r="D78" s="450"/>
      <c r="E78" s="455">
        <v>0</v>
      </c>
      <c r="F78" s="450"/>
      <c r="G78" s="455">
        <v>5174</v>
      </c>
      <c r="H78" s="450"/>
      <c r="I78" s="455">
        <v>320</v>
      </c>
      <c r="J78" s="450"/>
      <c r="K78" s="455">
        <v>528</v>
      </c>
      <c r="L78" s="450"/>
      <c r="M78" s="455">
        <v>1289</v>
      </c>
      <c r="N78" s="450"/>
      <c r="O78" s="450">
        <f>SUM(C78:M78)</f>
        <v>7669</v>
      </c>
    </row>
    <row r="79" spans="1:46" s="439" customFormat="1" ht="5.0999999999999996" customHeight="1" x14ac:dyDescent="0.2">
      <c r="A79" s="418"/>
      <c r="B79" s="450"/>
      <c r="C79" s="452"/>
      <c r="D79" s="450"/>
      <c r="E79" s="452"/>
      <c r="F79" s="450"/>
      <c r="G79" s="452"/>
      <c r="H79" s="450"/>
      <c r="I79" s="452"/>
      <c r="J79" s="450"/>
      <c r="K79" s="452"/>
      <c r="L79" s="450"/>
      <c r="M79" s="452"/>
      <c r="N79" s="450"/>
      <c r="O79" s="452"/>
      <c r="P79" s="450"/>
      <c r="Q79" s="452"/>
      <c r="R79" s="450"/>
      <c r="S79" s="452"/>
      <c r="T79" s="450"/>
      <c r="U79" s="452"/>
      <c r="V79" s="450"/>
      <c r="W79" s="452"/>
      <c r="X79" s="450"/>
      <c r="Y79" s="452"/>
      <c r="Z79" s="450"/>
      <c r="AA79" s="452"/>
      <c r="AB79" s="450"/>
      <c r="AC79" s="452"/>
      <c r="AD79" s="450"/>
      <c r="AE79" s="452"/>
      <c r="AF79" s="450"/>
      <c r="AG79" s="452"/>
      <c r="AH79" s="450"/>
      <c r="AI79" s="450"/>
      <c r="AJ79" s="418"/>
      <c r="AK79" s="418"/>
      <c r="AL79" s="418"/>
      <c r="AM79" s="418"/>
      <c r="AN79" s="418"/>
      <c r="AO79" s="418"/>
      <c r="AP79" s="418"/>
      <c r="AQ79" s="418"/>
      <c r="AR79" s="418"/>
      <c r="AS79" s="418"/>
      <c r="AT79" s="418"/>
    </row>
    <row r="80" spans="1:46" s="439" customFormat="1" ht="11.1" hidden="1" customHeight="1" x14ac:dyDescent="0.2">
      <c r="A80" s="418" t="s">
        <v>1715</v>
      </c>
      <c r="B80" s="450"/>
      <c r="C80" s="450"/>
      <c r="D80" s="450"/>
      <c r="E80" s="450"/>
      <c r="F80" s="450"/>
      <c r="G80" s="450"/>
      <c r="H80" s="450"/>
      <c r="I80" s="450"/>
      <c r="J80" s="450"/>
      <c r="K80" s="450"/>
      <c r="L80" s="450"/>
      <c r="M80" s="450"/>
      <c r="N80" s="450"/>
      <c r="O80" s="450"/>
      <c r="P80" s="450"/>
      <c r="Q80" s="450"/>
      <c r="R80" s="450"/>
      <c r="S80" s="450"/>
      <c r="T80" s="450"/>
      <c r="U80" s="450"/>
      <c r="V80" s="450"/>
      <c r="W80" s="450"/>
      <c r="X80" s="450"/>
      <c r="Y80" s="450"/>
      <c r="Z80" s="450"/>
      <c r="AA80" s="450"/>
      <c r="AB80" s="450"/>
      <c r="AC80" s="450"/>
      <c r="AD80" s="450"/>
      <c r="AE80" s="450"/>
      <c r="AF80" s="450"/>
      <c r="AG80" s="450"/>
      <c r="AH80" s="450"/>
      <c r="AI80" s="450"/>
      <c r="AJ80" s="418"/>
      <c r="AK80" s="418"/>
      <c r="AL80" s="418"/>
      <c r="AM80" s="418"/>
      <c r="AN80" s="418"/>
      <c r="AO80" s="418"/>
      <c r="AP80" s="418"/>
      <c r="AQ80" s="418"/>
      <c r="AR80" s="418"/>
      <c r="AS80" s="418"/>
      <c r="AT80" s="418"/>
    </row>
    <row r="81" spans="1:46" s="439" customFormat="1" ht="5.0999999999999996" hidden="1" customHeight="1" x14ac:dyDescent="0.2">
      <c r="A81" s="418"/>
      <c r="B81" s="450"/>
      <c r="C81" s="450"/>
      <c r="D81" s="450"/>
      <c r="E81" s="450"/>
      <c r="F81" s="450"/>
      <c r="G81" s="450"/>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0"/>
      <c r="AF81" s="450"/>
      <c r="AG81" s="450"/>
      <c r="AH81" s="450"/>
      <c r="AI81" s="450"/>
      <c r="AJ81" s="418"/>
      <c r="AK81" s="418"/>
      <c r="AL81" s="418"/>
      <c r="AM81" s="418"/>
      <c r="AN81" s="418"/>
      <c r="AO81" s="418"/>
      <c r="AP81" s="418"/>
      <c r="AQ81" s="418"/>
      <c r="AR81" s="418"/>
      <c r="AS81" s="418"/>
      <c r="AT81" s="418"/>
    </row>
    <row r="82" spans="1:46" s="439" customFormat="1" ht="11.1" hidden="1" customHeight="1" x14ac:dyDescent="0.2">
      <c r="A82" s="418" t="s">
        <v>1716</v>
      </c>
      <c r="B82" s="450"/>
      <c r="C82" s="450"/>
      <c r="D82" s="450"/>
      <c r="E82" s="45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0"/>
      <c r="AF82" s="450"/>
      <c r="AG82" s="450"/>
      <c r="AH82" s="450"/>
      <c r="AI82" s="450"/>
      <c r="AJ82" s="418"/>
      <c r="AK82" s="418"/>
      <c r="AL82" s="418"/>
      <c r="AM82" s="418"/>
      <c r="AN82" s="418"/>
      <c r="AO82" s="418"/>
      <c r="AP82" s="418"/>
      <c r="AQ82" s="418"/>
      <c r="AR82" s="418"/>
      <c r="AS82" s="418"/>
      <c r="AT82" s="418"/>
    </row>
    <row r="83" spans="1:46" s="439" customFormat="1" ht="5.0999999999999996" hidden="1" customHeight="1" x14ac:dyDescent="0.2">
      <c r="A83" s="418"/>
      <c r="B83" s="450"/>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450"/>
      <c r="AD83" s="450"/>
      <c r="AE83" s="450"/>
      <c r="AF83" s="450"/>
      <c r="AG83" s="450"/>
      <c r="AH83" s="450"/>
      <c r="AI83" s="450"/>
      <c r="AJ83" s="418"/>
      <c r="AK83" s="418"/>
      <c r="AL83" s="418"/>
      <c r="AM83" s="418"/>
      <c r="AN83" s="418"/>
      <c r="AO83" s="418"/>
      <c r="AP83" s="418"/>
      <c r="AQ83" s="418"/>
      <c r="AR83" s="418"/>
      <c r="AS83" s="418"/>
      <c r="AT83" s="418"/>
    </row>
    <row r="84" spans="1:46" s="439" customFormat="1" ht="11.1" hidden="1" customHeight="1" x14ac:dyDescent="0.2">
      <c r="A84" s="418" t="s">
        <v>1717</v>
      </c>
      <c r="B84" s="450"/>
      <c r="C84" s="450"/>
      <c r="D84" s="450"/>
      <c r="E84" s="450"/>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450"/>
      <c r="AD84" s="450"/>
      <c r="AE84" s="450"/>
      <c r="AF84" s="450"/>
      <c r="AG84" s="450"/>
      <c r="AH84" s="450"/>
      <c r="AI84" s="450"/>
      <c r="AJ84" s="418"/>
      <c r="AK84" s="418"/>
      <c r="AL84" s="418"/>
      <c r="AM84" s="418"/>
      <c r="AN84" s="418"/>
      <c r="AO84" s="418"/>
      <c r="AP84" s="418"/>
      <c r="AQ84" s="418"/>
      <c r="AR84" s="418"/>
      <c r="AS84" s="418"/>
      <c r="AT84" s="418"/>
    </row>
    <row r="85" spans="1:46" s="439" customFormat="1" ht="5.0999999999999996" hidden="1" customHeight="1" x14ac:dyDescent="0.2">
      <c r="A85" s="418"/>
      <c r="B85" s="450"/>
      <c r="C85" s="450"/>
      <c r="D85" s="450"/>
      <c r="E85" s="450"/>
      <c r="F85" s="450"/>
      <c r="G85" s="450"/>
      <c r="H85" s="450"/>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18"/>
      <c r="AK85" s="418"/>
      <c r="AL85" s="418"/>
      <c r="AM85" s="418"/>
      <c r="AN85" s="418"/>
      <c r="AO85" s="418"/>
      <c r="AP85" s="418"/>
      <c r="AQ85" s="418"/>
      <c r="AR85" s="418"/>
      <c r="AS85" s="418"/>
      <c r="AT85" s="418"/>
    </row>
    <row r="86" spans="1:46" s="439" customFormat="1" ht="11.1" hidden="1" customHeight="1" x14ac:dyDescent="0.2">
      <c r="A86" s="425" t="s">
        <v>1720</v>
      </c>
      <c r="B86" s="450"/>
      <c r="C86" s="273">
        <f>SUM(C78:C85)</f>
        <v>358</v>
      </c>
      <c r="D86" s="450"/>
      <c r="E86" s="273">
        <v>39298</v>
      </c>
      <c r="F86" s="450"/>
      <c r="G86" s="273">
        <f>SUM(G78:G85)</f>
        <v>5174</v>
      </c>
      <c r="H86" s="450"/>
      <c r="I86" s="273">
        <f>SUM(I78:I85)</f>
        <v>320</v>
      </c>
      <c r="J86" s="450"/>
      <c r="K86" s="273">
        <f>SUM(K78:K85)</f>
        <v>528</v>
      </c>
      <c r="L86" s="450"/>
      <c r="M86" s="273">
        <f>SUM(M78:M85)</f>
        <v>1289</v>
      </c>
      <c r="N86" s="450"/>
      <c r="O86" s="273">
        <f>SUM(O78:O85)</f>
        <v>7669</v>
      </c>
      <c r="P86" s="450"/>
      <c r="Q86" s="273">
        <v>0</v>
      </c>
      <c r="R86" s="450"/>
      <c r="S86" s="273">
        <v>-2957</v>
      </c>
      <c r="T86" s="450"/>
      <c r="U86" s="273">
        <v>143906</v>
      </c>
      <c r="V86" s="450"/>
      <c r="W86" s="273">
        <v>30024</v>
      </c>
      <c r="X86" s="450"/>
      <c r="Y86" s="273">
        <v>3433</v>
      </c>
      <c r="Z86" s="450"/>
      <c r="AA86" s="273">
        <v>5122</v>
      </c>
      <c r="AB86" s="450"/>
      <c r="AC86" s="273">
        <v>8948</v>
      </c>
      <c r="AD86" s="450"/>
      <c r="AE86" s="273">
        <v>0</v>
      </c>
      <c r="AF86" s="450"/>
      <c r="AG86" s="273">
        <v>149786</v>
      </c>
      <c r="AH86" s="450"/>
      <c r="AI86" s="273">
        <v>0</v>
      </c>
      <c r="AJ86" s="418"/>
      <c r="AK86" s="418"/>
      <c r="AL86" s="418"/>
      <c r="AM86" s="418"/>
      <c r="AN86" s="418"/>
      <c r="AO86" s="418"/>
      <c r="AP86" s="418"/>
      <c r="AQ86" s="418"/>
      <c r="AR86" s="418"/>
      <c r="AS86" s="418"/>
      <c r="AT86" s="418"/>
    </row>
    <row r="87" spans="1:46" s="439" customFormat="1" ht="5.0999999999999996" hidden="1" customHeight="1" x14ac:dyDescent="0.2">
      <c r="A87" s="418"/>
      <c r="B87" s="450"/>
      <c r="C87" s="366"/>
      <c r="D87" s="450"/>
      <c r="E87" s="450"/>
      <c r="F87" s="450"/>
      <c r="G87" s="366"/>
      <c r="H87" s="450"/>
      <c r="I87" s="366"/>
      <c r="J87" s="450"/>
      <c r="K87" s="366"/>
      <c r="L87" s="450"/>
      <c r="M87" s="366"/>
      <c r="N87" s="450"/>
      <c r="O87" s="366"/>
      <c r="P87" s="450"/>
      <c r="Q87" s="450"/>
      <c r="R87" s="450"/>
      <c r="S87" s="450"/>
      <c r="T87" s="450"/>
      <c r="U87" s="450"/>
      <c r="V87" s="450"/>
      <c r="W87" s="450"/>
      <c r="X87" s="450"/>
      <c r="Y87" s="450"/>
      <c r="Z87" s="450"/>
      <c r="AA87" s="450"/>
      <c r="AB87" s="450"/>
      <c r="AC87" s="450"/>
      <c r="AD87" s="450"/>
      <c r="AE87" s="450"/>
      <c r="AF87" s="450"/>
      <c r="AG87" s="450"/>
      <c r="AH87" s="450"/>
      <c r="AI87" s="450"/>
      <c r="AJ87" s="418"/>
      <c r="AK87" s="418"/>
      <c r="AL87" s="418"/>
      <c r="AM87" s="418"/>
      <c r="AN87" s="418"/>
      <c r="AO87" s="418"/>
      <c r="AP87" s="418"/>
      <c r="AQ87" s="418"/>
      <c r="AR87" s="418"/>
      <c r="AS87" s="418"/>
      <c r="AT87" s="418"/>
    </row>
    <row r="88" spans="1:46" s="439" customFormat="1" ht="11.1" customHeight="1" thickBot="1" x14ac:dyDescent="0.25">
      <c r="A88" s="417" t="s">
        <v>991</v>
      </c>
      <c r="B88" s="448"/>
      <c r="C88" s="344">
        <f>+C86+C76</f>
        <v>370</v>
      </c>
      <c r="D88" s="448"/>
      <c r="E88" s="453">
        <f>+E78+E76</f>
        <v>0</v>
      </c>
      <c r="F88" s="448"/>
      <c r="G88" s="344">
        <f>+G86+G76</f>
        <v>5413</v>
      </c>
      <c r="H88" s="448"/>
      <c r="I88" s="344">
        <f>+I86+I76</f>
        <v>329</v>
      </c>
      <c r="J88" s="448"/>
      <c r="K88" s="344">
        <f>+K86+K76</f>
        <v>543</v>
      </c>
      <c r="L88" s="448"/>
      <c r="M88" s="344">
        <f>+M86+M76</f>
        <v>1367</v>
      </c>
      <c r="N88" s="448"/>
      <c r="O88" s="344">
        <f>+O86+O76</f>
        <v>8022</v>
      </c>
    </row>
    <row r="89" spans="1:46" s="439" customFormat="1" ht="5.0999999999999996" customHeight="1" thickTop="1" x14ac:dyDescent="0.2">
      <c r="A89" s="418"/>
      <c r="B89" s="438"/>
      <c r="C89" s="438"/>
      <c r="D89" s="438"/>
      <c r="E89" s="438"/>
      <c r="F89" s="438"/>
      <c r="G89" s="438"/>
      <c r="H89" s="438"/>
      <c r="I89" s="438"/>
      <c r="J89" s="438"/>
      <c r="K89" s="438"/>
      <c r="L89" s="438"/>
      <c r="M89" s="438"/>
      <c r="N89" s="438"/>
      <c r="O89" s="438"/>
    </row>
    <row r="90" spans="1:46" s="439" customFormat="1" ht="9.9499999999999993" customHeight="1" x14ac:dyDescent="0.2">
      <c r="A90" s="417" t="s">
        <v>991</v>
      </c>
      <c r="B90" s="438"/>
      <c r="C90" s="438"/>
      <c r="D90" s="438"/>
      <c r="E90" s="438"/>
      <c r="F90" s="438"/>
      <c r="G90" s="438"/>
      <c r="H90" s="438"/>
      <c r="I90" s="438"/>
      <c r="J90" s="438"/>
      <c r="K90" s="438"/>
      <c r="L90" s="438"/>
      <c r="M90" s="438"/>
      <c r="N90" s="438"/>
      <c r="O90" s="438"/>
    </row>
    <row r="91" spans="1:46" s="442" customFormat="1" ht="9.9499999999999993" customHeight="1" x14ac:dyDescent="0.2">
      <c r="A91" s="418"/>
      <c r="B91" s="440"/>
      <c r="C91" s="440">
        <f>+C88-'BS Perm'!C66</f>
        <v>0</v>
      </c>
      <c r="D91" s="440"/>
      <c r="E91" s="440">
        <f>+E88-'BS Perm'!E66</f>
        <v>0</v>
      </c>
      <c r="F91" s="440"/>
      <c r="G91" s="440">
        <f>+G88-'BS Perm'!G66</f>
        <v>0</v>
      </c>
      <c r="H91" s="440"/>
      <c r="I91" s="440">
        <f>+I88-'BS Perm'!I66</f>
        <v>0</v>
      </c>
      <c r="J91" s="440"/>
      <c r="K91" s="440">
        <f>+K88-'BS Perm'!K66</f>
        <v>0</v>
      </c>
      <c r="L91" s="440"/>
      <c r="M91" s="440">
        <f>+M88-'BS Perm'!M66</f>
        <v>0</v>
      </c>
      <c r="N91" s="440"/>
      <c r="O91" s="440">
        <f>+O88-'BS Perm'!O66</f>
        <v>0</v>
      </c>
    </row>
    <row r="92" spans="1:46" s="439" customFormat="1" ht="12" x14ac:dyDescent="0.2">
      <c r="A92" s="418"/>
      <c r="B92" s="438"/>
      <c r="C92" s="438"/>
      <c r="D92" s="438"/>
      <c r="E92" s="438"/>
      <c r="F92" s="438"/>
      <c r="G92" s="438"/>
      <c r="H92" s="438"/>
      <c r="I92" s="438"/>
      <c r="J92" s="438"/>
      <c r="K92" s="438"/>
      <c r="L92" s="438"/>
      <c r="M92" s="438"/>
      <c r="N92" s="438"/>
      <c r="O92" s="438"/>
    </row>
    <row r="93" spans="1:46" s="439" customFormat="1" ht="12" x14ac:dyDescent="0.2">
      <c r="A93" s="440"/>
      <c r="B93" s="418"/>
      <c r="C93" s="438"/>
      <c r="D93" s="418"/>
      <c r="E93" s="438"/>
      <c r="F93" s="418"/>
      <c r="G93" s="438"/>
      <c r="H93" s="418"/>
      <c r="I93" s="438"/>
      <c r="J93" s="418"/>
      <c r="K93" s="438"/>
      <c r="L93" s="418"/>
      <c r="M93" s="438"/>
      <c r="N93" s="418"/>
      <c r="O93" s="438"/>
    </row>
    <row r="94" spans="1:46" s="439" customFormat="1" ht="12" x14ac:dyDescent="0.2">
      <c r="A94" s="418"/>
      <c r="B94" s="418"/>
      <c r="C94" s="438"/>
      <c r="D94" s="418"/>
      <c r="E94" s="438"/>
      <c r="F94" s="418"/>
      <c r="G94" s="438"/>
      <c r="H94" s="418"/>
      <c r="I94" s="438"/>
      <c r="J94" s="418"/>
      <c r="K94" s="438"/>
      <c r="L94" s="418"/>
      <c r="M94" s="438"/>
      <c r="N94" s="418"/>
      <c r="O94" s="438"/>
    </row>
    <row r="95" spans="1:46" s="439" customFormat="1" ht="12" x14ac:dyDescent="0.2">
      <c r="A95" s="418"/>
      <c r="B95" s="418"/>
      <c r="C95" s="438"/>
      <c r="D95" s="418"/>
      <c r="E95" s="438"/>
      <c r="F95" s="418"/>
      <c r="G95" s="438"/>
      <c r="H95" s="418"/>
      <c r="I95" s="438"/>
      <c r="J95" s="418"/>
      <c r="K95" s="438"/>
      <c r="L95" s="418"/>
      <c r="M95" s="438"/>
      <c r="N95" s="418"/>
      <c r="O95" s="438"/>
    </row>
    <row r="96" spans="1:46" s="439" customFormat="1" ht="12" x14ac:dyDescent="0.2">
      <c r="A96" s="418"/>
      <c r="B96" s="418"/>
      <c r="C96" s="438"/>
      <c r="D96" s="418"/>
      <c r="E96" s="438"/>
      <c r="F96" s="418"/>
      <c r="G96" s="438"/>
      <c r="H96" s="418"/>
      <c r="I96" s="438"/>
      <c r="J96" s="418"/>
      <c r="K96" s="438"/>
      <c r="L96" s="418"/>
      <c r="M96" s="438"/>
      <c r="N96" s="418"/>
      <c r="O96" s="438"/>
    </row>
    <row r="97" spans="1:15" s="439" customFormat="1" ht="12" x14ac:dyDescent="0.2">
      <c r="A97" s="418"/>
      <c r="B97" s="418"/>
      <c r="C97" s="438"/>
      <c r="D97" s="418"/>
      <c r="E97" s="438"/>
      <c r="F97" s="418"/>
      <c r="G97" s="438"/>
      <c r="H97" s="418"/>
      <c r="I97" s="438"/>
      <c r="J97" s="418"/>
      <c r="K97" s="438"/>
      <c r="L97" s="418"/>
      <c r="M97" s="438"/>
      <c r="N97" s="418"/>
      <c r="O97" s="438"/>
    </row>
    <row r="98" spans="1:15" s="439" customFormat="1" ht="12" x14ac:dyDescent="0.2">
      <c r="A98" s="418"/>
      <c r="B98" s="418"/>
      <c r="C98" s="438"/>
      <c r="D98" s="418"/>
      <c r="E98" s="438"/>
      <c r="F98" s="418"/>
      <c r="G98" s="438"/>
      <c r="H98" s="418"/>
      <c r="I98" s="438"/>
      <c r="J98" s="418"/>
      <c r="K98" s="438"/>
      <c r="L98" s="418"/>
      <c r="M98" s="438"/>
      <c r="N98" s="418"/>
      <c r="O98" s="438"/>
    </row>
    <row r="99" spans="1:15" s="439" customFormat="1" ht="12" x14ac:dyDescent="0.2">
      <c r="A99" s="418"/>
      <c r="B99" s="418"/>
      <c r="C99" s="438"/>
      <c r="D99" s="418"/>
      <c r="E99" s="438"/>
      <c r="F99" s="418"/>
      <c r="G99" s="438"/>
      <c r="H99" s="418"/>
      <c r="I99" s="438"/>
      <c r="J99" s="418"/>
      <c r="K99" s="438"/>
      <c r="L99" s="418"/>
      <c r="M99" s="438"/>
      <c r="N99" s="418"/>
      <c r="O99" s="438"/>
    </row>
    <row r="100" spans="1:15" s="439" customFormat="1" ht="12" x14ac:dyDescent="0.2">
      <c r="A100" s="418"/>
      <c r="B100" s="418"/>
      <c r="C100" s="438"/>
      <c r="D100" s="418"/>
      <c r="E100" s="438"/>
      <c r="F100" s="418"/>
      <c r="G100" s="438"/>
      <c r="H100" s="418"/>
      <c r="I100" s="438"/>
      <c r="J100" s="418"/>
      <c r="K100" s="438"/>
      <c r="L100" s="418"/>
      <c r="M100" s="438"/>
      <c r="N100" s="418"/>
      <c r="O100" s="438"/>
    </row>
    <row r="101" spans="1:15" s="439" customFormat="1" ht="12" x14ac:dyDescent="0.2">
      <c r="A101" s="418"/>
      <c r="B101" s="418"/>
      <c r="C101" s="438"/>
      <c r="D101" s="418"/>
      <c r="E101" s="438"/>
      <c r="F101" s="418"/>
      <c r="G101" s="438"/>
      <c r="H101" s="418"/>
      <c r="I101" s="438"/>
      <c r="J101" s="418"/>
      <c r="K101" s="438"/>
      <c r="L101" s="418"/>
      <c r="M101" s="438"/>
      <c r="N101" s="418"/>
      <c r="O101" s="438"/>
    </row>
    <row r="102" spans="1:15" s="439" customFormat="1" ht="12" x14ac:dyDescent="0.2">
      <c r="A102" s="418"/>
      <c r="B102" s="418"/>
      <c r="C102" s="438"/>
      <c r="D102" s="418"/>
      <c r="E102" s="438"/>
      <c r="F102" s="418"/>
      <c r="G102" s="438"/>
      <c r="H102" s="418"/>
      <c r="I102" s="438"/>
      <c r="J102" s="418"/>
      <c r="K102" s="438"/>
      <c r="L102" s="418"/>
      <c r="M102" s="438"/>
      <c r="N102" s="418"/>
      <c r="O102" s="438"/>
    </row>
    <row r="103" spans="1:15" s="439" customFormat="1" ht="12" x14ac:dyDescent="0.2">
      <c r="A103" s="418"/>
      <c r="B103" s="418"/>
      <c r="C103" s="438"/>
      <c r="D103" s="418"/>
      <c r="E103" s="438"/>
      <c r="F103" s="418"/>
      <c r="G103" s="438"/>
      <c r="H103" s="418"/>
      <c r="I103" s="438"/>
      <c r="J103" s="418"/>
      <c r="K103" s="438"/>
      <c r="L103" s="418"/>
      <c r="M103" s="438"/>
      <c r="N103" s="418"/>
      <c r="O103" s="438"/>
    </row>
    <row r="104" spans="1:15" s="439" customFormat="1" ht="12" x14ac:dyDescent="0.2">
      <c r="A104" s="418"/>
      <c r="B104" s="418"/>
      <c r="C104" s="438"/>
      <c r="D104" s="418"/>
      <c r="E104" s="438"/>
      <c r="F104" s="418"/>
      <c r="G104" s="438"/>
      <c r="H104" s="418"/>
      <c r="I104" s="438"/>
      <c r="J104" s="418"/>
      <c r="K104" s="438"/>
      <c r="L104" s="418"/>
      <c r="M104" s="438"/>
      <c r="N104" s="418"/>
      <c r="O104" s="438"/>
    </row>
    <row r="105" spans="1:15" s="439" customFormat="1" ht="12" x14ac:dyDescent="0.2">
      <c r="A105" s="418"/>
      <c r="B105" s="418"/>
      <c r="C105" s="438"/>
      <c r="D105" s="418"/>
      <c r="E105" s="438"/>
      <c r="F105" s="418"/>
      <c r="G105" s="438"/>
      <c r="H105" s="418"/>
      <c r="I105" s="438"/>
      <c r="J105" s="418"/>
      <c r="K105" s="438"/>
      <c r="L105" s="418"/>
      <c r="M105" s="438"/>
      <c r="N105" s="418"/>
      <c r="O105" s="438"/>
    </row>
    <row r="106" spans="1:15" s="439" customFormat="1" ht="12" x14ac:dyDescent="0.2">
      <c r="A106" s="418"/>
      <c r="B106" s="418"/>
      <c r="C106" s="438"/>
      <c r="D106" s="418"/>
      <c r="E106" s="438"/>
      <c r="F106" s="418"/>
      <c r="G106" s="438"/>
      <c r="H106" s="418"/>
      <c r="I106" s="438"/>
      <c r="J106" s="418"/>
      <c r="K106" s="438"/>
      <c r="L106" s="418"/>
      <c r="M106" s="438"/>
      <c r="N106" s="418"/>
      <c r="O106" s="438"/>
    </row>
    <row r="107" spans="1:15" s="439" customFormat="1" ht="12" x14ac:dyDescent="0.2">
      <c r="A107" s="418"/>
      <c r="B107" s="418"/>
      <c r="C107" s="438"/>
      <c r="D107" s="418"/>
      <c r="E107" s="438"/>
      <c r="F107" s="418"/>
      <c r="G107" s="438"/>
      <c r="H107" s="418"/>
      <c r="I107" s="438"/>
      <c r="J107" s="418"/>
      <c r="K107" s="438"/>
      <c r="L107" s="418"/>
      <c r="M107" s="438"/>
      <c r="N107" s="418"/>
      <c r="O107" s="438"/>
    </row>
    <row r="108" spans="1:15" s="439" customFormat="1" ht="12" x14ac:dyDescent="0.2">
      <c r="A108" s="418"/>
      <c r="B108" s="418"/>
      <c r="C108" s="438"/>
      <c r="D108" s="418"/>
      <c r="E108" s="438"/>
      <c r="F108" s="418"/>
      <c r="G108" s="438"/>
      <c r="H108" s="418"/>
      <c r="I108" s="438"/>
      <c r="J108" s="418"/>
      <c r="K108" s="438"/>
      <c r="L108" s="418"/>
      <c r="M108" s="438"/>
      <c r="N108" s="418"/>
      <c r="O108" s="438"/>
    </row>
    <row r="109" spans="1:15" s="439" customFormat="1" ht="12" x14ac:dyDescent="0.2">
      <c r="A109" s="418"/>
      <c r="B109" s="418"/>
      <c r="C109" s="438"/>
      <c r="D109" s="418"/>
      <c r="E109" s="438"/>
      <c r="F109" s="418"/>
      <c r="G109" s="438"/>
      <c r="H109" s="418"/>
      <c r="I109" s="438"/>
      <c r="J109" s="418"/>
      <c r="K109" s="438"/>
      <c r="L109" s="418"/>
      <c r="M109" s="438"/>
      <c r="N109" s="418"/>
      <c r="O109" s="438"/>
    </row>
    <row r="110" spans="1:15" s="439" customFormat="1" ht="12" x14ac:dyDescent="0.2">
      <c r="A110" s="418"/>
      <c r="B110" s="418"/>
      <c r="C110" s="438"/>
      <c r="D110" s="418"/>
      <c r="E110" s="438"/>
      <c r="F110" s="418"/>
      <c r="G110" s="438"/>
      <c r="H110" s="418"/>
      <c r="I110" s="438"/>
      <c r="J110" s="418"/>
      <c r="K110" s="438"/>
      <c r="L110" s="418"/>
      <c r="M110" s="438"/>
      <c r="N110" s="418"/>
      <c r="O110" s="438"/>
    </row>
    <row r="111" spans="1:15" s="439" customFormat="1" ht="12" x14ac:dyDescent="0.2">
      <c r="A111" s="418"/>
      <c r="B111" s="418"/>
      <c r="C111" s="438"/>
      <c r="D111" s="418"/>
      <c r="E111" s="438"/>
      <c r="F111" s="418"/>
      <c r="G111" s="438"/>
      <c r="H111" s="418"/>
      <c r="I111" s="438"/>
      <c r="J111" s="418"/>
      <c r="K111" s="438"/>
      <c r="L111" s="418"/>
      <c r="M111" s="438"/>
      <c r="N111" s="418"/>
      <c r="O111" s="438"/>
    </row>
    <row r="112" spans="1:15" s="439" customFormat="1" ht="12" x14ac:dyDescent="0.2">
      <c r="A112" s="418"/>
      <c r="B112" s="418"/>
      <c r="C112" s="438"/>
      <c r="D112" s="418"/>
      <c r="E112" s="438"/>
      <c r="F112" s="418"/>
      <c r="G112" s="438"/>
      <c r="H112" s="418"/>
      <c r="I112" s="438"/>
      <c r="J112" s="418"/>
      <c r="K112" s="438"/>
      <c r="L112" s="418"/>
      <c r="M112" s="438"/>
      <c r="N112" s="418"/>
      <c r="O112" s="438"/>
    </row>
    <row r="113" spans="1:15" s="439" customFormat="1" ht="12" x14ac:dyDescent="0.2">
      <c r="A113" s="418"/>
      <c r="B113" s="418"/>
      <c r="C113" s="438"/>
      <c r="D113" s="418"/>
      <c r="E113" s="438"/>
      <c r="F113" s="418"/>
      <c r="G113" s="438"/>
      <c r="H113" s="418"/>
      <c r="I113" s="438"/>
      <c r="J113" s="418"/>
      <c r="K113" s="438"/>
      <c r="L113" s="418"/>
      <c r="M113" s="438"/>
      <c r="N113" s="418"/>
      <c r="O113" s="438"/>
    </row>
    <row r="114" spans="1:15" s="439" customFormat="1" ht="12" x14ac:dyDescent="0.2">
      <c r="A114" s="418"/>
      <c r="B114" s="418"/>
      <c r="C114" s="438"/>
      <c r="D114" s="418"/>
      <c r="E114" s="438"/>
      <c r="F114" s="418"/>
      <c r="G114" s="438"/>
      <c r="H114" s="418"/>
      <c r="I114" s="438"/>
      <c r="J114" s="418"/>
      <c r="K114" s="438"/>
      <c r="L114" s="418"/>
      <c r="M114" s="438"/>
      <c r="N114" s="418"/>
      <c r="O114" s="438"/>
    </row>
    <row r="115" spans="1:15" s="439" customFormat="1" ht="12" x14ac:dyDescent="0.2">
      <c r="A115" s="418"/>
      <c r="B115" s="418"/>
      <c r="C115" s="438"/>
      <c r="D115" s="418"/>
      <c r="E115" s="438"/>
      <c r="F115" s="418"/>
      <c r="G115" s="438"/>
      <c r="H115" s="418"/>
      <c r="I115" s="438"/>
      <c r="J115" s="418"/>
      <c r="K115" s="438"/>
      <c r="L115" s="418"/>
      <c r="M115" s="438"/>
      <c r="N115" s="418"/>
      <c r="O115" s="438"/>
    </row>
    <row r="116" spans="1:15" s="439" customFormat="1" ht="12" x14ac:dyDescent="0.2">
      <c r="A116" s="418"/>
      <c r="B116" s="418"/>
      <c r="C116" s="438"/>
      <c r="D116" s="418"/>
      <c r="E116" s="438"/>
      <c r="F116" s="418"/>
      <c r="G116" s="438"/>
      <c r="H116" s="418"/>
      <c r="I116" s="438"/>
      <c r="J116" s="418"/>
      <c r="K116" s="438"/>
      <c r="L116" s="418"/>
      <c r="M116" s="438"/>
      <c r="N116" s="418"/>
      <c r="O116" s="438"/>
    </row>
    <row r="117" spans="1:15" s="439" customFormat="1" ht="12" x14ac:dyDescent="0.2">
      <c r="A117" s="418"/>
      <c r="B117" s="418"/>
      <c r="C117" s="438"/>
      <c r="D117" s="418"/>
      <c r="E117" s="438"/>
      <c r="F117" s="418"/>
      <c r="G117" s="438"/>
      <c r="H117" s="418"/>
      <c r="I117" s="438"/>
      <c r="J117" s="418"/>
      <c r="K117" s="438"/>
      <c r="L117" s="418"/>
      <c r="M117" s="438"/>
      <c r="N117" s="418"/>
      <c r="O117" s="438"/>
    </row>
    <row r="118" spans="1:15" s="439" customFormat="1" ht="12" x14ac:dyDescent="0.2">
      <c r="A118" s="418"/>
      <c r="B118" s="418"/>
      <c r="C118" s="438"/>
      <c r="D118" s="418"/>
      <c r="E118" s="438"/>
      <c r="F118" s="418"/>
      <c r="G118" s="438"/>
      <c r="H118" s="418"/>
      <c r="I118" s="438"/>
      <c r="J118" s="418"/>
      <c r="K118" s="438"/>
      <c r="L118" s="418"/>
      <c r="M118" s="438"/>
      <c r="N118" s="418"/>
      <c r="O118" s="438"/>
    </row>
    <row r="119" spans="1:15" s="439" customFormat="1" ht="12" x14ac:dyDescent="0.2">
      <c r="A119" s="418"/>
      <c r="B119" s="418"/>
      <c r="C119" s="438"/>
      <c r="D119" s="418"/>
      <c r="E119" s="438"/>
      <c r="F119" s="418"/>
      <c r="G119" s="438"/>
      <c r="H119" s="418"/>
      <c r="I119" s="438"/>
      <c r="J119" s="418"/>
      <c r="K119" s="438"/>
      <c r="L119" s="418"/>
      <c r="M119" s="438"/>
      <c r="N119" s="418"/>
      <c r="O119" s="438"/>
    </row>
    <row r="120" spans="1:15" s="439" customFormat="1" ht="12" x14ac:dyDescent="0.2">
      <c r="A120" s="418"/>
      <c r="B120" s="418"/>
      <c r="C120" s="438"/>
      <c r="D120" s="418"/>
      <c r="E120" s="438"/>
      <c r="F120" s="418"/>
      <c r="G120" s="438"/>
      <c r="H120" s="418"/>
      <c r="I120" s="438"/>
      <c r="J120" s="418"/>
      <c r="K120" s="438"/>
      <c r="L120" s="418"/>
      <c r="M120" s="438"/>
      <c r="N120" s="418"/>
      <c r="O120" s="438"/>
    </row>
    <row r="121" spans="1:15" s="439" customFormat="1" ht="12" x14ac:dyDescent="0.2">
      <c r="A121" s="418"/>
      <c r="B121" s="418"/>
      <c r="C121" s="438"/>
      <c r="D121" s="418"/>
      <c r="E121" s="438"/>
      <c r="F121" s="418"/>
      <c r="G121" s="438"/>
      <c r="H121" s="418"/>
      <c r="I121" s="438"/>
      <c r="J121" s="418"/>
      <c r="K121" s="438"/>
      <c r="L121" s="418"/>
      <c r="M121" s="438"/>
      <c r="N121" s="418"/>
      <c r="O121" s="438"/>
    </row>
    <row r="122" spans="1:15" s="439" customFormat="1" ht="12" x14ac:dyDescent="0.2">
      <c r="A122" s="418"/>
      <c r="B122" s="418"/>
      <c r="C122" s="438"/>
      <c r="D122" s="418"/>
      <c r="E122" s="438"/>
      <c r="F122" s="418"/>
      <c r="G122" s="438"/>
      <c r="H122" s="418"/>
      <c r="I122" s="438"/>
      <c r="J122" s="418"/>
      <c r="K122" s="438"/>
      <c r="L122" s="418"/>
      <c r="M122" s="438"/>
      <c r="N122" s="418"/>
      <c r="O122" s="438"/>
    </row>
    <row r="123" spans="1:15" s="439" customFormat="1" ht="12" x14ac:dyDescent="0.2">
      <c r="A123" s="418"/>
      <c r="B123" s="418"/>
      <c r="C123" s="438"/>
      <c r="D123" s="418"/>
      <c r="E123" s="438"/>
      <c r="F123" s="418"/>
      <c r="G123" s="438"/>
      <c r="H123" s="418"/>
      <c r="I123" s="438"/>
      <c r="J123" s="418"/>
      <c r="K123" s="438"/>
      <c r="L123" s="418"/>
      <c r="M123" s="438"/>
      <c r="N123" s="418"/>
      <c r="O123" s="438"/>
    </row>
    <row r="124" spans="1:15" s="439" customFormat="1" ht="12" x14ac:dyDescent="0.2">
      <c r="A124" s="418"/>
      <c r="B124" s="418"/>
      <c r="C124" s="438"/>
      <c r="D124" s="418"/>
      <c r="E124" s="438"/>
      <c r="F124" s="418"/>
      <c r="G124" s="438"/>
      <c r="H124" s="418"/>
      <c r="I124" s="438"/>
      <c r="J124" s="418"/>
      <c r="K124" s="438"/>
      <c r="L124" s="418"/>
      <c r="M124" s="438"/>
      <c r="N124" s="418"/>
      <c r="O124" s="438"/>
    </row>
    <row r="125" spans="1:15" s="439" customFormat="1" ht="12" x14ac:dyDescent="0.2">
      <c r="A125" s="418"/>
      <c r="B125" s="418"/>
      <c r="C125" s="438"/>
      <c r="D125" s="418"/>
      <c r="E125" s="438"/>
      <c r="F125" s="418"/>
      <c r="G125" s="438"/>
      <c r="H125" s="418"/>
      <c r="I125" s="438"/>
      <c r="J125" s="418"/>
      <c r="K125" s="438"/>
      <c r="L125" s="418"/>
      <c r="M125" s="438"/>
      <c r="N125" s="418"/>
      <c r="O125" s="438"/>
    </row>
    <row r="126" spans="1:15" s="439" customFormat="1" ht="12" x14ac:dyDescent="0.2">
      <c r="A126" s="418"/>
      <c r="B126" s="418"/>
      <c r="C126" s="438"/>
      <c r="D126" s="418"/>
      <c r="E126" s="438"/>
      <c r="F126" s="418"/>
      <c r="G126" s="438"/>
      <c r="H126" s="418"/>
      <c r="I126" s="438"/>
      <c r="J126" s="418"/>
      <c r="K126" s="438"/>
      <c r="L126" s="418"/>
      <c r="M126" s="438"/>
      <c r="N126" s="418"/>
      <c r="O126" s="438"/>
    </row>
    <row r="127" spans="1:15" s="439" customFormat="1" ht="12" x14ac:dyDescent="0.2">
      <c r="A127" s="418"/>
      <c r="B127" s="418"/>
      <c r="C127" s="438"/>
      <c r="D127" s="418"/>
      <c r="E127" s="438"/>
      <c r="F127" s="418"/>
      <c r="G127" s="438"/>
      <c r="H127" s="418"/>
      <c r="I127" s="438"/>
      <c r="J127" s="418"/>
      <c r="K127" s="438"/>
      <c r="L127" s="418"/>
      <c r="M127" s="438"/>
      <c r="N127" s="418"/>
      <c r="O127" s="438"/>
    </row>
    <row r="128" spans="1:15" s="439" customFormat="1" ht="12" x14ac:dyDescent="0.2">
      <c r="A128" s="418"/>
      <c r="B128" s="418"/>
      <c r="C128" s="438"/>
      <c r="D128" s="418"/>
      <c r="E128" s="438"/>
      <c r="F128" s="418"/>
      <c r="G128" s="438"/>
      <c r="H128" s="418"/>
      <c r="I128" s="438"/>
      <c r="J128" s="418"/>
      <c r="K128" s="438"/>
      <c r="L128" s="418"/>
      <c r="M128" s="438"/>
      <c r="N128" s="418"/>
      <c r="O128" s="438"/>
    </row>
    <row r="129" spans="1:15" s="439" customFormat="1" ht="12" x14ac:dyDescent="0.2">
      <c r="A129" s="418"/>
      <c r="B129" s="418"/>
      <c r="C129" s="438"/>
      <c r="D129" s="418"/>
      <c r="E129" s="438"/>
      <c r="F129" s="418"/>
      <c r="G129" s="438"/>
      <c r="H129" s="418"/>
      <c r="I129" s="438"/>
      <c r="J129" s="418"/>
      <c r="K129" s="438"/>
      <c r="L129" s="418"/>
      <c r="M129" s="438"/>
      <c r="N129" s="418"/>
      <c r="O129" s="438"/>
    </row>
    <row r="130" spans="1:15" s="439" customFormat="1" ht="12" x14ac:dyDescent="0.2">
      <c r="A130" s="418"/>
      <c r="B130" s="418"/>
      <c r="C130" s="438"/>
      <c r="D130" s="418"/>
      <c r="E130" s="438"/>
      <c r="F130" s="418"/>
      <c r="G130" s="438"/>
      <c r="H130" s="418"/>
      <c r="I130" s="438"/>
      <c r="J130" s="418"/>
      <c r="K130" s="438"/>
      <c r="L130" s="418"/>
      <c r="M130" s="438"/>
      <c r="N130" s="418"/>
      <c r="O130" s="438"/>
    </row>
    <row r="131" spans="1:15" s="439" customFormat="1" ht="12" x14ac:dyDescent="0.2">
      <c r="A131" s="418"/>
      <c r="B131" s="418"/>
      <c r="C131" s="438"/>
      <c r="D131" s="418"/>
      <c r="E131" s="438"/>
      <c r="F131" s="418"/>
      <c r="G131" s="438"/>
      <c r="H131" s="418"/>
      <c r="I131" s="438"/>
      <c r="J131" s="418"/>
      <c r="K131" s="438"/>
      <c r="L131" s="418"/>
      <c r="M131" s="438"/>
      <c r="N131" s="418"/>
      <c r="O131" s="438"/>
    </row>
    <row r="132" spans="1:15" s="439" customFormat="1" ht="12" x14ac:dyDescent="0.2">
      <c r="A132" s="418"/>
      <c r="B132" s="418"/>
      <c r="C132" s="438"/>
      <c r="D132" s="418"/>
      <c r="E132" s="438"/>
      <c r="F132" s="418"/>
      <c r="G132" s="438"/>
      <c r="H132" s="418"/>
      <c r="I132" s="438"/>
      <c r="J132" s="418"/>
      <c r="K132" s="438"/>
      <c r="L132" s="418"/>
      <c r="M132" s="438"/>
      <c r="N132" s="418"/>
      <c r="O132" s="438"/>
    </row>
    <row r="133" spans="1:15" s="439" customFormat="1" ht="12" x14ac:dyDescent="0.2">
      <c r="A133" s="418"/>
      <c r="B133" s="418"/>
      <c r="C133" s="438"/>
      <c r="D133" s="418"/>
      <c r="E133" s="438"/>
      <c r="F133" s="418"/>
      <c r="G133" s="438"/>
      <c r="H133" s="418"/>
      <c r="I133" s="438"/>
      <c r="J133" s="418"/>
      <c r="K133" s="438"/>
      <c r="L133" s="418"/>
      <c r="M133" s="438"/>
      <c r="N133" s="418"/>
      <c r="O133" s="438"/>
    </row>
    <row r="134" spans="1:15" s="439" customFormat="1" ht="12" x14ac:dyDescent="0.2">
      <c r="A134" s="418"/>
      <c r="B134" s="418"/>
      <c r="C134" s="438"/>
      <c r="D134" s="418"/>
      <c r="E134" s="438"/>
      <c r="F134" s="418"/>
      <c r="G134" s="438"/>
      <c r="H134" s="418"/>
      <c r="I134" s="438"/>
      <c r="J134" s="418"/>
      <c r="K134" s="438"/>
      <c r="L134" s="418"/>
      <c r="M134" s="438"/>
      <c r="N134" s="418"/>
      <c r="O134" s="438"/>
    </row>
    <row r="135" spans="1:15" s="439" customFormat="1" ht="12" x14ac:dyDescent="0.2">
      <c r="A135" s="418"/>
      <c r="B135" s="418"/>
      <c r="C135" s="438"/>
      <c r="D135" s="418"/>
      <c r="E135" s="438"/>
      <c r="F135" s="418"/>
      <c r="G135" s="438"/>
      <c r="H135" s="418"/>
      <c r="I135" s="438"/>
      <c r="J135" s="418"/>
      <c r="K135" s="438"/>
      <c r="L135" s="418"/>
      <c r="M135" s="438"/>
      <c r="N135" s="418"/>
      <c r="O135" s="438"/>
    </row>
    <row r="136" spans="1:15" s="439" customFormat="1" ht="12" x14ac:dyDescent="0.2">
      <c r="A136" s="418"/>
      <c r="B136" s="418"/>
      <c r="C136" s="438"/>
      <c r="D136" s="418"/>
      <c r="E136" s="438"/>
      <c r="F136" s="418"/>
      <c r="G136" s="438"/>
      <c r="H136" s="418"/>
      <c r="I136" s="438"/>
      <c r="J136" s="418"/>
      <c r="K136" s="438"/>
      <c r="L136" s="418"/>
      <c r="M136" s="438"/>
      <c r="N136" s="418"/>
      <c r="O136" s="438"/>
    </row>
    <row r="137" spans="1:15" s="439" customFormat="1" ht="12" x14ac:dyDescent="0.2">
      <c r="A137" s="418"/>
      <c r="B137" s="418"/>
      <c r="C137" s="438"/>
      <c r="D137" s="418"/>
      <c r="E137" s="438"/>
      <c r="F137" s="418"/>
      <c r="G137" s="438"/>
      <c r="H137" s="418"/>
      <c r="I137" s="438"/>
      <c r="J137" s="418"/>
      <c r="K137" s="438"/>
      <c r="L137" s="418"/>
      <c r="M137" s="438"/>
      <c r="N137" s="418"/>
      <c r="O137" s="438"/>
    </row>
    <row r="138" spans="1:15" s="439" customFormat="1" ht="12" x14ac:dyDescent="0.2">
      <c r="A138" s="418"/>
      <c r="B138" s="418"/>
      <c r="C138" s="438"/>
      <c r="D138" s="418"/>
      <c r="E138" s="438"/>
      <c r="F138" s="418"/>
      <c r="G138" s="438"/>
      <c r="H138" s="418"/>
      <c r="I138" s="438"/>
      <c r="J138" s="418"/>
      <c r="K138" s="438"/>
      <c r="L138" s="418"/>
      <c r="M138" s="438"/>
      <c r="N138" s="418"/>
      <c r="O138" s="438"/>
    </row>
    <row r="139" spans="1:15" s="439" customFormat="1" ht="12" x14ac:dyDescent="0.2">
      <c r="A139" s="418"/>
      <c r="B139" s="418"/>
      <c r="C139" s="438"/>
      <c r="D139" s="418"/>
      <c r="E139" s="438"/>
      <c r="F139" s="418"/>
      <c r="G139" s="438"/>
      <c r="H139" s="418"/>
      <c r="I139" s="438"/>
      <c r="J139" s="418"/>
      <c r="K139" s="438"/>
      <c r="L139" s="418"/>
      <c r="M139" s="438"/>
      <c r="N139" s="418"/>
      <c r="O139" s="438"/>
    </row>
    <row r="140" spans="1:15" s="439" customFormat="1" ht="12" x14ac:dyDescent="0.2">
      <c r="A140" s="418"/>
      <c r="B140" s="418"/>
      <c r="C140" s="438"/>
      <c r="D140" s="418"/>
      <c r="E140" s="438"/>
      <c r="F140" s="418"/>
      <c r="G140" s="438"/>
      <c r="H140" s="418"/>
      <c r="I140" s="438"/>
      <c r="J140" s="418"/>
      <c r="K140" s="438"/>
      <c r="L140" s="418"/>
      <c r="M140" s="438"/>
      <c r="N140" s="418"/>
      <c r="O140" s="438"/>
    </row>
    <row r="141" spans="1:15" s="439" customFormat="1" ht="12" x14ac:dyDescent="0.2">
      <c r="A141" s="418"/>
      <c r="B141" s="418"/>
      <c r="C141" s="438"/>
      <c r="D141" s="418"/>
      <c r="E141" s="438"/>
      <c r="F141" s="418"/>
      <c r="G141" s="438"/>
      <c r="H141" s="418"/>
      <c r="I141" s="438"/>
      <c r="J141" s="418"/>
      <c r="K141" s="438"/>
      <c r="L141" s="418"/>
      <c r="M141" s="438"/>
      <c r="N141" s="418"/>
      <c r="O141" s="438"/>
    </row>
    <row r="142" spans="1:15" s="439" customFormat="1" ht="12" x14ac:dyDescent="0.2">
      <c r="A142" s="418"/>
      <c r="B142" s="418"/>
      <c r="C142" s="438"/>
      <c r="D142" s="418"/>
      <c r="E142" s="438"/>
      <c r="F142" s="418"/>
      <c r="G142" s="438"/>
      <c r="H142" s="418"/>
      <c r="I142" s="438"/>
      <c r="J142" s="418"/>
      <c r="K142" s="438"/>
      <c r="L142" s="418"/>
      <c r="M142" s="438"/>
      <c r="N142" s="418"/>
      <c r="O142" s="438"/>
    </row>
    <row r="143" spans="1:15" s="439" customFormat="1" ht="12" x14ac:dyDescent="0.2">
      <c r="A143" s="418"/>
      <c r="B143" s="418"/>
      <c r="C143" s="438"/>
      <c r="D143" s="418"/>
      <c r="E143" s="438"/>
      <c r="F143" s="418"/>
      <c r="G143" s="438">
        <v>21</v>
      </c>
      <c r="H143" s="418"/>
      <c r="I143" s="438"/>
      <c r="J143" s="418"/>
      <c r="K143" s="438"/>
      <c r="L143" s="418"/>
      <c r="M143" s="438"/>
      <c r="N143" s="418"/>
      <c r="O143" s="438"/>
    </row>
    <row r="144" spans="1:15" s="439" customFormat="1" ht="12" x14ac:dyDescent="0.2">
      <c r="A144" s="418"/>
      <c r="B144" s="418"/>
      <c r="C144" s="438"/>
      <c r="D144" s="418"/>
      <c r="E144" s="438"/>
      <c r="F144" s="418"/>
      <c r="G144" s="438"/>
      <c r="H144" s="418"/>
      <c r="I144" s="438"/>
      <c r="J144" s="418"/>
      <c r="K144" s="438"/>
      <c r="L144" s="418"/>
      <c r="M144" s="438"/>
      <c r="N144" s="418"/>
      <c r="O144" s="438"/>
    </row>
    <row r="145" spans="1:15" s="439" customFormat="1" ht="12" x14ac:dyDescent="0.2">
      <c r="A145" s="418"/>
      <c r="B145" s="418"/>
      <c r="C145" s="438"/>
      <c r="D145" s="418"/>
      <c r="E145" s="438"/>
      <c r="F145" s="418"/>
      <c r="G145" s="438"/>
      <c r="H145" s="418"/>
      <c r="I145" s="438"/>
      <c r="J145" s="418"/>
      <c r="K145" s="438"/>
      <c r="L145" s="418"/>
      <c r="M145" s="438"/>
      <c r="N145" s="418"/>
      <c r="O145" s="438"/>
    </row>
    <row r="146" spans="1:15" s="439" customFormat="1" ht="12" x14ac:dyDescent="0.2">
      <c r="A146" s="418"/>
      <c r="B146" s="418"/>
      <c r="C146" s="438"/>
      <c r="D146" s="418"/>
      <c r="E146" s="438"/>
      <c r="F146" s="418"/>
      <c r="G146" s="438"/>
      <c r="H146" s="418"/>
      <c r="I146" s="438"/>
      <c r="J146" s="418"/>
      <c r="K146" s="438"/>
      <c r="L146" s="418"/>
      <c r="M146" s="438"/>
      <c r="N146" s="418"/>
      <c r="O146" s="438"/>
    </row>
    <row r="147" spans="1:15" s="439" customFormat="1" ht="12" x14ac:dyDescent="0.2">
      <c r="A147" s="418"/>
      <c r="B147" s="418"/>
      <c r="C147" s="438"/>
      <c r="D147" s="418"/>
      <c r="E147" s="438"/>
      <c r="F147" s="418"/>
      <c r="G147" s="438"/>
      <c r="H147" s="418"/>
      <c r="I147" s="438"/>
      <c r="J147" s="418"/>
      <c r="K147" s="438"/>
      <c r="L147" s="418"/>
      <c r="M147" s="438"/>
      <c r="N147" s="418"/>
      <c r="O147" s="438"/>
    </row>
    <row r="148" spans="1:15" s="439" customFormat="1" ht="12" x14ac:dyDescent="0.2">
      <c r="A148" s="418"/>
      <c r="B148" s="418"/>
      <c r="C148" s="438"/>
      <c r="D148" s="418"/>
      <c r="E148" s="438"/>
      <c r="F148" s="418"/>
      <c r="G148" s="438"/>
      <c r="H148" s="418"/>
      <c r="I148" s="438"/>
      <c r="J148" s="418"/>
      <c r="K148" s="438"/>
      <c r="L148" s="418"/>
      <c r="M148" s="438"/>
      <c r="N148" s="418"/>
      <c r="O148" s="438"/>
    </row>
    <row r="149" spans="1:15" s="439" customFormat="1" ht="12" x14ac:dyDescent="0.2">
      <c r="A149" s="418"/>
      <c r="B149" s="418"/>
      <c r="C149" s="438"/>
      <c r="D149" s="418"/>
      <c r="E149" s="438"/>
      <c r="F149" s="418"/>
      <c r="G149" s="438"/>
      <c r="H149" s="418"/>
      <c r="I149" s="438"/>
      <c r="J149" s="418"/>
      <c r="K149" s="438"/>
      <c r="L149" s="418"/>
      <c r="M149" s="438"/>
      <c r="N149" s="418"/>
      <c r="O149" s="438"/>
    </row>
    <row r="150" spans="1:15" s="439" customFormat="1" ht="12" x14ac:dyDescent="0.2">
      <c r="A150" s="418"/>
      <c r="B150" s="418"/>
      <c r="C150" s="438"/>
      <c r="D150" s="418"/>
      <c r="E150" s="438"/>
      <c r="F150" s="418"/>
      <c r="G150" s="438"/>
      <c r="H150" s="418"/>
      <c r="I150" s="438"/>
      <c r="J150" s="418"/>
      <c r="K150" s="438"/>
      <c r="L150" s="418"/>
      <c r="M150" s="438"/>
      <c r="N150" s="418"/>
      <c r="O150" s="438"/>
    </row>
    <row r="151" spans="1:15" s="439" customFormat="1" ht="12" x14ac:dyDescent="0.2">
      <c r="A151" s="418"/>
      <c r="B151" s="418"/>
      <c r="C151" s="438"/>
      <c r="D151" s="418"/>
      <c r="E151" s="438"/>
      <c r="F151" s="418"/>
      <c r="G151" s="438"/>
      <c r="H151" s="418"/>
      <c r="I151" s="438"/>
      <c r="J151" s="418"/>
      <c r="K151" s="438"/>
      <c r="L151" s="418"/>
      <c r="M151" s="438"/>
      <c r="N151" s="418"/>
      <c r="O151" s="438"/>
    </row>
    <row r="152" spans="1:15" s="439" customFormat="1" ht="12" x14ac:dyDescent="0.2">
      <c r="A152" s="418"/>
      <c r="B152" s="418"/>
      <c r="C152" s="438"/>
      <c r="D152" s="418"/>
      <c r="E152" s="438"/>
      <c r="F152" s="418"/>
      <c r="G152" s="438"/>
      <c r="H152" s="418"/>
      <c r="I152" s="438"/>
      <c r="J152" s="418"/>
      <c r="K152" s="438"/>
      <c r="L152" s="418"/>
      <c r="M152" s="438"/>
      <c r="N152" s="418"/>
      <c r="O152" s="438"/>
    </row>
    <row r="153" spans="1:15" s="439" customFormat="1" ht="12" x14ac:dyDescent="0.2">
      <c r="A153" s="418"/>
      <c r="B153" s="418"/>
      <c r="C153" s="438"/>
      <c r="D153" s="418"/>
      <c r="E153" s="438"/>
      <c r="F153" s="418"/>
      <c r="G153" s="438"/>
      <c r="H153" s="418"/>
      <c r="I153" s="438"/>
      <c r="J153" s="418"/>
      <c r="K153" s="438"/>
      <c r="L153" s="418"/>
      <c r="M153" s="438"/>
      <c r="N153" s="418"/>
      <c r="O153" s="438"/>
    </row>
    <row r="154" spans="1:15" s="439" customFormat="1" ht="12" x14ac:dyDescent="0.2">
      <c r="A154" s="418"/>
      <c r="B154" s="418"/>
      <c r="C154" s="438"/>
      <c r="D154" s="418"/>
      <c r="E154" s="438"/>
      <c r="F154" s="418"/>
      <c r="G154" s="438"/>
      <c r="H154" s="418"/>
      <c r="I154" s="438"/>
      <c r="J154" s="418"/>
      <c r="K154" s="438"/>
      <c r="L154" s="418"/>
      <c r="M154" s="438"/>
      <c r="N154" s="418"/>
      <c r="O154" s="438"/>
    </row>
    <row r="155" spans="1:15" s="439" customFormat="1" ht="12" x14ac:dyDescent="0.2">
      <c r="A155" s="418"/>
      <c r="B155" s="418"/>
      <c r="C155" s="438"/>
      <c r="D155" s="418"/>
      <c r="E155" s="438"/>
      <c r="F155" s="418"/>
      <c r="G155" s="438"/>
      <c r="H155" s="418"/>
      <c r="I155" s="438"/>
      <c r="J155" s="418"/>
      <c r="K155" s="438"/>
      <c r="L155" s="418"/>
      <c r="M155" s="438"/>
      <c r="N155" s="418"/>
      <c r="O155" s="438"/>
    </row>
    <row r="156" spans="1:15" s="439" customFormat="1" ht="12" x14ac:dyDescent="0.2">
      <c r="A156" s="418"/>
      <c r="B156" s="418"/>
      <c r="C156" s="438"/>
      <c r="D156" s="418"/>
      <c r="E156" s="438"/>
      <c r="F156" s="418"/>
      <c r="G156" s="438"/>
      <c r="H156" s="418"/>
      <c r="I156" s="438"/>
      <c r="J156" s="418"/>
      <c r="K156" s="438"/>
      <c r="L156" s="418"/>
      <c r="M156" s="438"/>
      <c r="N156" s="418"/>
      <c r="O156" s="438"/>
    </row>
    <row r="157" spans="1:15" s="439" customFormat="1" ht="12" x14ac:dyDescent="0.2">
      <c r="A157" s="418"/>
      <c r="B157" s="418"/>
      <c r="C157" s="438"/>
      <c r="D157" s="418"/>
      <c r="E157" s="438"/>
      <c r="F157" s="418"/>
      <c r="G157" s="438"/>
      <c r="H157" s="418"/>
      <c r="I157" s="438"/>
      <c r="J157" s="418"/>
      <c r="K157" s="438"/>
      <c r="L157" s="418"/>
      <c r="M157" s="438"/>
      <c r="N157" s="418"/>
      <c r="O157" s="438"/>
    </row>
    <row r="158" spans="1:15" s="439" customFormat="1" ht="12" x14ac:dyDescent="0.2">
      <c r="A158" s="418"/>
      <c r="B158" s="418"/>
      <c r="C158" s="438"/>
      <c r="D158" s="418"/>
      <c r="E158" s="438"/>
      <c r="F158" s="418"/>
      <c r="G158" s="438"/>
      <c r="H158" s="418"/>
      <c r="I158" s="438"/>
      <c r="J158" s="418"/>
      <c r="K158" s="438"/>
      <c r="L158" s="418"/>
      <c r="M158" s="438"/>
      <c r="N158" s="418"/>
      <c r="O158" s="438"/>
    </row>
    <row r="159" spans="1:15" s="439" customFormat="1" ht="12" x14ac:dyDescent="0.2">
      <c r="A159" s="418"/>
      <c r="B159" s="418"/>
      <c r="C159" s="438"/>
      <c r="D159" s="418"/>
      <c r="E159" s="438"/>
      <c r="F159" s="418"/>
      <c r="G159" s="438"/>
      <c r="H159" s="418"/>
      <c r="I159" s="438"/>
      <c r="J159" s="418"/>
      <c r="K159" s="438"/>
      <c r="L159" s="418"/>
      <c r="M159" s="438"/>
      <c r="N159" s="418"/>
      <c r="O159" s="438"/>
    </row>
    <row r="160" spans="1:15" s="439" customFormat="1" ht="12" x14ac:dyDescent="0.2">
      <c r="A160" s="418"/>
      <c r="B160" s="418"/>
      <c r="C160" s="438"/>
      <c r="D160" s="418"/>
      <c r="E160" s="438"/>
      <c r="F160" s="418"/>
      <c r="G160" s="438"/>
      <c r="H160" s="418"/>
      <c r="I160" s="438"/>
      <c r="J160" s="418"/>
      <c r="K160" s="438"/>
      <c r="L160" s="418"/>
      <c r="M160" s="438"/>
      <c r="N160" s="418"/>
      <c r="O160" s="438"/>
    </row>
    <row r="161" spans="1:15" s="439" customFormat="1" ht="12" x14ac:dyDescent="0.2">
      <c r="A161" s="418"/>
      <c r="B161" s="418"/>
      <c r="C161" s="438"/>
      <c r="D161" s="418"/>
      <c r="E161" s="438"/>
      <c r="F161" s="418"/>
      <c r="G161" s="438"/>
      <c r="H161" s="418"/>
      <c r="I161" s="438"/>
      <c r="J161" s="418"/>
      <c r="K161" s="438"/>
      <c r="L161" s="418"/>
      <c r="M161" s="438"/>
      <c r="N161" s="418"/>
      <c r="O161" s="438"/>
    </row>
    <row r="162" spans="1:15" s="439" customFormat="1" ht="12" x14ac:dyDescent="0.2">
      <c r="A162" s="418"/>
      <c r="B162" s="418"/>
      <c r="C162" s="438"/>
      <c r="D162" s="418"/>
      <c r="E162" s="438"/>
      <c r="F162" s="418"/>
      <c r="G162" s="438"/>
      <c r="H162" s="418"/>
      <c r="I162" s="438"/>
      <c r="J162" s="418"/>
      <c r="K162" s="438"/>
      <c r="L162" s="418"/>
      <c r="M162" s="438"/>
      <c r="N162" s="418"/>
      <c r="O162" s="438"/>
    </row>
    <row r="163" spans="1:15" s="439" customFormat="1" ht="12" x14ac:dyDescent="0.2">
      <c r="A163" s="418"/>
      <c r="B163" s="418"/>
      <c r="C163" s="438"/>
      <c r="D163" s="418"/>
      <c r="E163" s="438"/>
      <c r="F163" s="418"/>
      <c r="G163" s="438"/>
      <c r="H163" s="418"/>
      <c r="I163" s="438"/>
      <c r="J163" s="418"/>
      <c r="K163" s="438"/>
      <c r="L163" s="418"/>
      <c r="M163" s="438"/>
      <c r="N163" s="418"/>
      <c r="O163" s="438"/>
    </row>
    <row r="164" spans="1:15" s="439" customFormat="1" ht="12" x14ac:dyDescent="0.2">
      <c r="A164" s="418"/>
      <c r="B164" s="418"/>
      <c r="C164" s="438"/>
      <c r="D164" s="418"/>
      <c r="E164" s="438"/>
      <c r="F164" s="418"/>
      <c r="G164" s="438"/>
      <c r="H164" s="418"/>
      <c r="I164" s="438"/>
      <c r="J164" s="418"/>
      <c r="K164" s="438"/>
      <c r="L164" s="418"/>
      <c r="M164" s="438"/>
      <c r="N164" s="418"/>
      <c r="O164" s="438"/>
    </row>
    <row r="165" spans="1:15" s="439" customFormat="1" ht="12" x14ac:dyDescent="0.2">
      <c r="A165" s="418"/>
      <c r="B165" s="418"/>
      <c r="C165" s="438"/>
      <c r="D165" s="418"/>
      <c r="E165" s="438"/>
      <c r="F165" s="418"/>
      <c r="G165" s="438"/>
      <c r="H165" s="418"/>
      <c r="I165" s="438"/>
      <c r="J165" s="418"/>
      <c r="K165" s="438"/>
      <c r="L165" s="418"/>
      <c r="M165" s="438"/>
      <c r="N165" s="418"/>
      <c r="O165" s="438"/>
    </row>
    <row r="166" spans="1:15" s="439" customFormat="1" ht="12" x14ac:dyDescent="0.2">
      <c r="A166" s="418"/>
      <c r="B166" s="418"/>
      <c r="C166" s="438"/>
      <c r="D166" s="418"/>
      <c r="E166" s="438"/>
      <c r="F166" s="418"/>
      <c r="G166" s="438"/>
      <c r="H166" s="418"/>
      <c r="I166" s="438"/>
      <c r="J166" s="418"/>
      <c r="K166" s="438"/>
      <c r="L166" s="418"/>
      <c r="M166" s="438"/>
      <c r="N166" s="418"/>
      <c r="O166" s="438"/>
    </row>
  </sheetData>
  <mergeCells count="1">
    <mergeCell ref="A1:O1"/>
  </mergeCells>
  <phoneticPr fontId="9" type="noConversion"/>
  <printOptions horizontalCentered="1"/>
  <pageMargins left="0.5" right="0.5" top="0.5" bottom="0.625" header="0.5" footer="0.5"/>
  <pageSetup scale="8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tabColor theme="6" tint="0.39997558519241921"/>
  </sheetPr>
  <dimension ref="A1:V854"/>
  <sheetViews>
    <sheetView view="pageBreakPreview" zoomScale="110" zoomScaleNormal="100" zoomScaleSheetLayoutView="110" workbookViewId="0">
      <pane ySplit="10" topLeftCell="A42" activePane="bottomLeft" state="frozen"/>
      <selection activeCell="Z13" activeCellId="3" sqref="Z18 Z17 Z15 Z13"/>
      <selection pane="bottomLeft" activeCell="Z13" activeCellId="3" sqref="Z18 Z17 Z15 Z13"/>
    </sheetView>
  </sheetViews>
  <sheetFormatPr defaultColWidth="9.140625" defaultRowHeight="9.9499999999999993" customHeight="1" x14ac:dyDescent="0.2"/>
  <cols>
    <col min="1" max="1" width="42.42578125" style="314" customWidth="1"/>
    <col min="2" max="2" width="1.5703125" style="329" customWidth="1"/>
    <col min="3" max="3" width="10.5703125" style="314" customWidth="1"/>
    <col min="4" max="4" width="1.5703125" style="329" customWidth="1"/>
    <col min="5" max="5" width="10.5703125" style="314" customWidth="1"/>
    <col min="6" max="6" width="1.5703125" style="329" customWidth="1"/>
    <col min="7" max="7" width="10.5703125" style="314" customWidth="1"/>
    <col min="8" max="8" width="1.5703125" style="314" hidden="1" customWidth="1"/>
    <col min="9" max="9" width="13" style="314" hidden="1" customWidth="1"/>
    <col min="10" max="10" width="1.5703125" style="329" customWidth="1"/>
    <col min="11" max="11" width="10.5703125" style="314" customWidth="1"/>
    <col min="12" max="12" width="13.42578125" style="315" customWidth="1"/>
    <col min="13" max="16384" width="9.140625" style="314"/>
  </cols>
  <sheetData>
    <row r="1" spans="1:22" s="247" customFormat="1" ht="16.5" customHeight="1" thickBot="1" x14ac:dyDescent="0.25">
      <c r="A1" s="1582" t="s">
        <v>1033</v>
      </c>
      <c r="B1" s="1582"/>
      <c r="C1" s="1582"/>
      <c r="D1" s="1582"/>
      <c r="E1" s="1582"/>
      <c r="F1" s="1582"/>
      <c r="G1" s="1582"/>
      <c r="H1" s="1582"/>
      <c r="I1" s="1582"/>
      <c r="J1" s="1582"/>
      <c r="K1" s="1582"/>
      <c r="L1" s="303"/>
    </row>
    <row r="2" spans="1:22" s="247" customFormat="1" ht="15" customHeight="1" x14ac:dyDescent="0.2">
      <c r="A2" s="700" t="s">
        <v>1118</v>
      </c>
      <c r="B2" s="310"/>
      <c r="C2" s="310"/>
      <c r="D2" s="310"/>
      <c r="E2" s="310"/>
      <c r="F2" s="310"/>
      <c r="G2" s="310"/>
      <c r="H2" s="310"/>
      <c r="I2" s="310"/>
      <c r="J2" s="310"/>
      <c r="K2" s="302"/>
      <c r="L2" s="303"/>
    </row>
    <row r="3" spans="1:22" s="247" customFormat="1" ht="15" customHeight="1" x14ac:dyDescent="0.2">
      <c r="A3" s="700" t="s">
        <v>1025</v>
      </c>
      <c r="B3" s="310"/>
      <c r="C3" s="310"/>
      <c r="D3" s="310"/>
      <c r="E3" s="310"/>
      <c r="F3" s="310"/>
      <c r="G3" s="310"/>
      <c r="H3" s="310"/>
      <c r="I3" s="310"/>
      <c r="J3" s="310"/>
      <c r="K3" s="302"/>
      <c r="L3" s="303"/>
    </row>
    <row r="4" spans="1:22" s="247" customFormat="1" ht="12.95" customHeight="1" x14ac:dyDescent="0.2">
      <c r="A4" s="506" t="s">
        <v>1724</v>
      </c>
      <c r="B4" s="311"/>
      <c r="C4" s="311"/>
      <c r="D4" s="506"/>
      <c r="E4" s="311"/>
      <c r="F4" s="506"/>
      <c r="G4" s="506"/>
      <c r="H4" s="506"/>
      <c r="I4" s="506"/>
      <c r="J4" s="311"/>
      <c r="K4" s="311"/>
      <c r="L4" s="303"/>
    </row>
    <row r="5" spans="1:22" s="247" customFormat="1" ht="12" customHeight="1" x14ac:dyDescent="0.2">
      <c r="A5" s="253" t="s">
        <v>972</v>
      </c>
      <c r="B5" s="312"/>
      <c r="C5" s="246"/>
      <c r="D5" s="312"/>
      <c r="E5" s="246"/>
      <c r="F5" s="312"/>
      <c r="G5" s="246"/>
      <c r="H5" s="312"/>
      <c r="I5" s="312"/>
      <c r="J5" s="312"/>
    </row>
    <row r="6" spans="1:22" ht="12.6" customHeight="1" x14ac:dyDescent="0.2">
      <c r="A6" s="313"/>
      <c r="B6" s="313"/>
      <c r="C6" s="313"/>
      <c r="D6" s="313"/>
      <c r="E6" s="313"/>
      <c r="F6" s="313"/>
      <c r="G6" s="313"/>
      <c r="H6" s="313"/>
      <c r="I6" s="313"/>
      <c r="J6" s="313"/>
    </row>
    <row r="7" spans="1:22" s="212" customFormat="1" ht="12.6" customHeight="1" x14ac:dyDescent="0.2">
      <c r="A7" s="458"/>
      <c r="H7" s="458"/>
      <c r="K7" s="310" t="s">
        <v>671</v>
      </c>
      <c r="L7" s="478"/>
    </row>
    <row r="8" spans="1:22" s="212" customFormat="1" ht="12.6" customHeight="1" x14ac:dyDescent="0.2">
      <c r="A8" s="458"/>
      <c r="B8" s="336"/>
      <c r="C8" s="310"/>
      <c r="D8" s="336"/>
      <c r="E8" s="474"/>
      <c r="F8" s="336"/>
      <c r="G8" s="336"/>
      <c r="H8" s="458"/>
      <c r="I8" s="310"/>
      <c r="J8" s="336"/>
      <c r="K8" s="310" t="s">
        <v>1064</v>
      </c>
      <c r="L8" s="478"/>
    </row>
    <row r="9" spans="1:22" s="336" customFormat="1" ht="12.6" customHeight="1" x14ac:dyDescent="0.2">
      <c r="C9" s="310" t="s">
        <v>439</v>
      </c>
      <c r="E9" s="310" t="s">
        <v>448</v>
      </c>
      <c r="G9" s="310" t="s">
        <v>837</v>
      </c>
      <c r="H9" s="310"/>
      <c r="I9" s="310" t="s">
        <v>842</v>
      </c>
      <c r="K9" s="310" t="s">
        <v>57</v>
      </c>
      <c r="L9" s="479"/>
    </row>
    <row r="10" spans="1:22" s="336" customFormat="1" ht="12.6" customHeight="1" x14ac:dyDescent="0.2">
      <c r="C10" s="574" t="s">
        <v>838</v>
      </c>
      <c r="E10" s="310" t="s">
        <v>449</v>
      </c>
      <c r="G10" s="574" t="s">
        <v>59</v>
      </c>
      <c r="H10" s="360"/>
      <c r="I10" s="574" t="s">
        <v>228</v>
      </c>
      <c r="K10" s="574" t="s">
        <v>864</v>
      </c>
      <c r="L10" s="478"/>
    </row>
    <row r="11" spans="1:22" s="318" customFormat="1" ht="9.9499999999999993" customHeight="1" x14ac:dyDescent="0.2">
      <c r="A11" s="480" t="s">
        <v>672</v>
      </c>
      <c r="B11" s="317"/>
      <c r="C11" s="317"/>
      <c r="D11" s="317"/>
      <c r="E11" s="591"/>
      <c r="F11" s="317"/>
      <c r="G11" s="317"/>
      <c r="H11" s="316"/>
      <c r="I11" s="317"/>
      <c r="J11" s="317"/>
      <c r="K11" s="317"/>
      <c r="L11" s="316"/>
      <c r="M11" s="480"/>
      <c r="N11" s="253"/>
      <c r="O11" s="316"/>
      <c r="P11" s="253"/>
      <c r="Q11" s="253"/>
      <c r="R11" s="316"/>
      <c r="S11" s="253"/>
      <c r="T11" s="317"/>
      <c r="U11" s="317"/>
    </row>
    <row r="12" spans="1:22" s="318" customFormat="1" ht="9.9499999999999993" customHeight="1" x14ac:dyDescent="0.2">
      <c r="A12" s="701" t="s">
        <v>61</v>
      </c>
      <c r="B12" s="317"/>
      <c r="C12" s="317"/>
      <c r="D12" s="317"/>
      <c r="E12" s="317"/>
      <c r="F12" s="317"/>
      <c r="G12" s="317"/>
      <c r="H12" s="482"/>
      <c r="I12" s="317"/>
      <c r="J12" s="317"/>
      <c r="K12" s="317"/>
      <c r="L12" s="482"/>
      <c r="M12" s="701"/>
      <c r="N12" s="253"/>
      <c r="O12" s="482"/>
      <c r="P12" s="253"/>
      <c r="Q12" s="253"/>
      <c r="R12" s="482"/>
      <c r="S12" s="253"/>
      <c r="T12" s="317"/>
      <c r="U12" s="317"/>
    </row>
    <row r="13" spans="1:22" s="318" customFormat="1" ht="9.9499999999999993" customHeight="1" x14ac:dyDescent="0.2">
      <c r="A13" s="702" t="s">
        <v>373</v>
      </c>
      <c r="B13" s="317"/>
      <c r="C13" s="317"/>
      <c r="D13" s="317"/>
      <c r="E13" s="317"/>
      <c r="F13" s="317"/>
      <c r="G13" s="317"/>
      <c r="H13" s="482"/>
      <c r="I13" s="317"/>
      <c r="J13" s="317"/>
      <c r="K13" s="317"/>
      <c r="L13" s="482"/>
      <c r="M13" s="702"/>
      <c r="N13" s="253"/>
      <c r="O13" s="482"/>
      <c r="P13" s="253">
        <v>0</v>
      </c>
      <c r="Q13" s="253"/>
      <c r="R13" s="482"/>
      <c r="S13" s="253"/>
      <c r="T13" s="317"/>
      <c r="U13" s="317"/>
    </row>
    <row r="14" spans="1:22" s="318" customFormat="1" ht="9.9499999999999993" customHeight="1" x14ac:dyDescent="0.2">
      <c r="A14" s="704" t="s">
        <v>673</v>
      </c>
      <c r="B14" s="481"/>
      <c r="C14" s="483">
        <v>6184</v>
      </c>
      <c r="D14" s="1465"/>
      <c r="E14" s="339">
        <v>92</v>
      </c>
      <c r="F14" s="1465"/>
      <c r="G14" s="483">
        <v>1833</v>
      </c>
      <c r="H14" s="323"/>
      <c r="I14" s="483"/>
      <c r="J14" s="481"/>
      <c r="K14" s="339">
        <f t="shared" ref="K14:K23" si="0">SUM(C14:I14)</f>
        <v>8109</v>
      </c>
      <c r="L14" s="323"/>
      <c r="M14" s="704"/>
      <c r="O14" s="254"/>
      <c r="P14" s="481"/>
      <c r="Q14" s="254"/>
      <c r="R14" s="254"/>
      <c r="S14" s="481"/>
      <c r="T14" s="254"/>
      <c r="U14" s="484"/>
      <c r="V14" s="485"/>
    </row>
    <row r="15" spans="1:22" s="318" customFormat="1" ht="9.9499999999999993" customHeight="1" x14ac:dyDescent="0.2">
      <c r="A15" s="704" t="s">
        <v>674</v>
      </c>
      <c r="B15" s="481"/>
      <c r="C15" s="488">
        <v>22148</v>
      </c>
      <c r="D15" s="316"/>
      <c r="E15" s="273">
        <v>313</v>
      </c>
      <c r="F15" s="316"/>
      <c r="G15" s="273">
        <v>6070</v>
      </c>
      <c r="H15" s="324"/>
      <c r="I15" s="488"/>
      <c r="J15" s="481"/>
      <c r="K15" s="273">
        <f t="shared" si="0"/>
        <v>28531</v>
      </c>
      <c r="L15" s="324"/>
      <c r="M15" s="704"/>
      <c r="O15" s="273"/>
      <c r="P15" s="489"/>
      <c r="Q15" s="273"/>
      <c r="R15" s="273"/>
      <c r="S15" s="489"/>
      <c r="T15" s="254"/>
      <c r="U15" s="484"/>
    </row>
    <row r="16" spans="1:22" s="318" customFormat="1" ht="9.9499999999999993" customHeight="1" x14ac:dyDescent="0.2">
      <c r="A16" s="704" t="s">
        <v>252</v>
      </c>
      <c r="B16" s="481"/>
      <c r="C16" s="488">
        <v>618</v>
      </c>
      <c r="D16" s="482"/>
      <c r="E16" s="273">
        <v>105</v>
      </c>
      <c r="F16" s="482"/>
      <c r="G16" s="273">
        <v>122</v>
      </c>
      <c r="H16" s="324"/>
      <c r="I16" s="488"/>
      <c r="J16" s="481"/>
      <c r="K16" s="273">
        <f t="shared" si="0"/>
        <v>845</v>
      </c>
      <c r="L16" s="324">
        <v>59</v>
      </c>
      <c r="M16" s="1483">
        <f>+L16-G16</f>
        <v>-63</v>
      </c>
      <c r="O16" s="273"/>
      <c r="P16" s="489"/>
      <c r="Q16" s="273"/>
      <c r="R16" s="273"/>
      <c r="S16" s="489"/>
      <c r="T16" s="254"/>
      <c r="U16" s="484"/>
      <c r="V16" s="490"/>
    </row>
    <row r="17" spans="1:21" s="318" customFormat="1" ht="9.9499999999999993" customHeight="1" x14ac:dyDescent="0.2">
      <c r="A17" s="704" t="s">
        <v>763</v>
      </c>
      <c r="B17" s="481"/>
      <c r="C17" s="488"/>
      <c r="D17" s="482"/>
      <c r="E17" s="273"/>
      <c r="F17" s="482"/>
      <c r="G17" s="273">
        <v>318</v>
      </c>
      <c r="H17" s="324"/>
      <c r="I17" s="488"/>
      <c r="J17" s="481"/>
      <c r="K17" s="273">
        <f t="shared" si="0"/>
        <v>318</v>
      </c>
      <c r="L17" s="324"/>
      <c r="M17" s="704"/>
      <c r="O17" s="273"/>
      <c r="P17" s="489"/>
      <c r="Q17" s="273"/>
      <c r="R17" s="273"/>
      <c r="S17" s="489"/>
      <c r="T17" s="254"/>
      <c r="U17" s="484"/>
    </row>
    <row r="18" spans="1:21" s="318" customFormat="1" ht="9.9499999999999993" hidden="1" customHeight="1" x14ac:dyDescent="0.2">
      <c r="A18" s="704" t="s">
        <v>683</v>
      </c>
      <c r="B18" s="481"/>
      <c r="C18" s="324"/>
      <c r="D18" s="323"/>
      <c r="E18" s="273"/>
      <c r="F18" s="323"/>
      <c r="G18" s="273"/>
      <c r="H18" s="324"/>
      <c r="I18" s="273"/>
      <c r="J18" s="481"/>
      <c r="K18" s="273">
        <f t="shared" si="0"/>
        <v>0</v>
      </c>
      <c r="L18" s="324"/>
      <c r="M18" s="704"/>
      <c r="O18" s="273"/>
      <c r="P18" s="489"/>
      <c r="Q18" s="273"/>
      <c r="R18" s="273"/>
      <c r="S18" s="489"/>
      <c r="T18" s="254"/>
      <c r="U18" s="484"/>
    </row>
    <row r="19" spans="1:21" s="318" customFormat="1" ht="9.9499999999999993" customHeight="1" x14ac:dyDescent="0.2">
      <c r="A19" s="704" t="s">
        <v>679</v>
      </c>
      <c r="B19" s="481"/>
      <c r="C19" s="324">
        <v>101</v>
      </c>
      <c r="D19" s="324"/>
      <c r="E19" s="273"/>
      <c r="F19" s="324"/>
      <c r="G19" s="273">
        <v>0</v>
      </c>
      <c r="H19" s="324"/>
      <c r="I19" s="273"/>
      <c r="J19" s="481"/>
      <c r="K19" s="273">
        <f t="shared" si="0"/>
        <v>101</v>
      </c>
      <c r="L19" s="324"/>
      <c r="M19" s="704"/>
      <c r="O19" s="273"/>
      <c r="P19" s="489"/>
      <c r="Q19" s="273"/>
      <c r="R19" s="273"/>
      <c r="S19" s="489"/>
      <c r="T19" s="254"/>
      <c r="U19" s="484"/>
    </row>
    <row r="20" spans="1:21" s="318" customFormat="1" ht="9.9499999999999993" customHeight="1" x14ac:dyDescent="0.2">
      <c r="A20" s="704" t="s">
        <v>1773</v>
      </c>
      <c r="B20" s="481"/>
      <c r="C20" s="324"/>
      <c r="D20" s="324"/>
      <c r="E20" s="273">
        <v>1237</v>
      </c>
      <c r="F20" s="324"/>
      <c r="G20" s="273">
        <v>102</v>
      </c>
      <c r="H20" s="324"/>
      <c r="I20" s="273"/>
      <c r="J20" s="481"/>
      <c r="K20" s="273">
        <f t="shared" si="0"/>
        <v>1339</v>
      </c>
      <c r="L20" s="324"/>
      <c r="M20" s="704"/>
      <c r="O20" s="273"/>
      <c r="P20" s="489"/>
      <c r="Q20" s="273"/>
      <c r="R20" s="273"/>
      <c r="S20" s="489"/>
      <c r="T20" s="254"/>
      <c r="U20" s="484"/>
    </row>
    <row r="21" spans="1:21" s="318" customFormat="1" ht="9.9499999999999993" customHeight="1" x14ac:dyDescent="0.2">
      <c r="A21" s="427" t="s">
        <v>63</v>
      </c>
      <c r="B21" s="481"/>
      <c r="C21" s="488">
        <v>41</v>
      </c>
      <c r="D21" s="324"/>
      <c r="E21" s="273"/>
      <c r="F21" s="324"/>
      <c r="G21" s="273">
        <v>0</v>
      </c>
      <c r="H21" s="324"/>
      <c r="I21" s="273">
        <v>0</v>
      </c>
      <c r="J21" s="481"/>
      <c r="K21" s="273">
        <f t="shared" si="0"/>
        <v>41</v>
      </c>
      <c r="L21" s="324"/>
      <c r="M21" s="705"/>
      <c r="O21" s="273"/>
      <c r="P21" s="489"/>
      <c r="Q21" s="273"/>
      <c r="R21" s="273"/>
      <c r="S21" s="489"/>
      <c r="T21" s="254"/>
      <c r="U21" s="484"/>
    </row>
    <row r="22" spans="1:21" s="318" customFormat="1" ht="9.9499999999999993" customHeight="1" x14ac:dyDescent="0.2">
      <c r="A22" s="427" t="s">
        <v>1216</v>
      </c>
      <c r="B22" s="481"/>
      <c r="C22" s="488"/>
      <c r="D22" s="324"/>
      <c r="E22" s="273"/>
      <c r="F22" s="324"/>
      <c r="G22" s="273">
        <v>1</v>
      </c>
      <c r="H22" s="324"/>
      <c r="I22" s="273"/>
      <c r="J22" s="481"/>
      <c r="K22" s="273">
        <f t="shared" si="0"/>
        <v>1</v>
      </c>
      <c r="L22" s="324"/>
      <c r="M22" s="705"/>
      <c r="O22" s="273"/>
      <c r="P22" s="489"/>
      <c r="Q22" s="273"/>
      <c r="R22" s="273"/>
      <c r="S22" s="489"/>
      <c r="T22" s="254"/>
      <c r="U22" s="484"/>
    </row>
    <row r="23" spans="1:21" s="318" customFormat="1" ht="5.0999999999999996" customHeight="1" x14ac:dyDescent="0.2">
      <c r="A23" s="317"/>
      <c r="B23" s="481"/>
      <c r="C23" s="340"/>
      <c r="D23" s="324"/>
      <c r="E23" s="340"/>
      <c r="F23" s="324"/>
      <c r="G23" s="340"/>
      <c r="H23" s="324"/>
      <c r="I23" s="340"/>
      <c r="J23" s="481"/>
      <c r="K23" s="340">
        <f t="shared" si="0"/>
        <v>0</v>
      </c>
      <c r="L23" s="324"/>
      <c r="M23" s="317"/>
      <c r="O23" s="273"/>
      <c r="P23" s="489"/>
      <c r="Q23" s="273"/>
      <c r="R23" s="273"/>
      <c r="S23" s="489"/>
      <c r="T23" s="254"/>
      <c r="U23" s="484"/>
    </row>
    <row r="24" spans="1:21" s="492" customFormat="1" ht="11.1" customHeight="1" x14ac:dyDescent="0.2">
      <c r="A24" s="708" t="s">
        <v>757</v>
      </c>
      <c r="B24" s="362"/>
      <c r="C24" s="341">
        <f>SUM(C14:C22)</f>
        <v>29092</v>
      </c>
      <c r="D24" s="324"/>
      <c r="E24" s="341">
        <f>SUM(E14:E23)</f>
        <v>1747</v>
      </c>
      <c r="F24" s="324"/>
      <c r="G24" s="341">
        <f>SUM(G14:G23)</f>
        <v>8446</v>
      </c>
      <c r="H24" s="273"/>
      <c r="I24" s="341">
        <f>SUM(I14:I23)</f>
        <v>0</v>
      </c>
      <c r="J24" s="362"/>
      <c r="K24" s="341">
        <f>SUM(K14:K22)</f>
        <v>39285</v>
      </c>
      <c r="L24" s="273"/>
      <c r="M24" s="708"/>
      <c r="O24" s="273"/>
      <c r="P24" s="399"/>
      <c r="Q24" s="273"/>
      <c r="R24" s="273"/>
      <c r="S24" s="399"/>
      <c r="T24" s="273"/>
      <c r="U24" s="484"/>
    </row>
    <row r="25" spans="1:21" s="492" customFormat="1" ht="5.0999999999999996" customHeight="1" x14ac:dyDescent="0.2">
      <c r="A25" s="253"/>
      <c r="B25" s="362"/>
      <c r="C25" s="273"/>
      <c r="D25" s="324"/>
      <c r="E25" s="340"/>
      <c r="F25" s="324"/>
      <c r="G25" s="340"/>
      <c r="H25" s="273"/>
      <c r="I25" s="340"/>
      <c r="J25" s="362"/>
      <c r="K25" s="273"/>
      <c r="L25" s="273"/>
      <c r="M25" s="317"/>
      <c r="O25" s="273"/>
      <c r="P25" s="399"/>
      <c r="Q25" s="273"/>
      <c r="R25" s="273"/>
      <c r="S25" s="399"/>
      <c r="T25" s="273"/>
      <c r="U25" s="484"/>
    </row>
    <row r="26" spans="1:21" s="318" customFormat="1" ht="9.9499999999999993" customHeight="1" x14ac:dyDescent="0.2">
      <c r="A26" s="702" t="s">
        <v>71</v>
      </c>
      <c r="B26" s="481"/>
      <c r="C26" s="324"/>
      <c r="D26" s="324"/>
      <c r="E26" s="273"/>
      <c r="F26" s="324"/>
      <c r="G26" s="273"/>
      <c r="H26" s="324"/>
      <c r="I26" s="273"/>
      <c r="J26" s="481"/>
      <c r="K26" s="324"/>
      <c r="L26" s="324"/>
      <c r="M26" s="702"/>
      <c r="O26" s="273"/>
      <c r="P26" s="489"/>
      <c r="Q26" s="273"/>
      <c r="R26" s="273"/>
      <c r="S26" s="489"/>
      <c r="T26" s="273"/>
      <c r="U26" s="484"/>
    </row>
    <row r="27" spans="1:21" s="318" customFormat="1" ht="9.9499999999999993" customHeight="1" x14ac:dyDescent="0.2">
      <c r="A27" s="704" t="s">
        <v>72</v>
      </c>
      <c r="B27" s="481"/>
      <c r="C27" s="324"/>
      <c r="D27" s="324"/>
      <c r="E27" s="273"/>
      <c r="F27" s="324"/>
      <c r="G27" s="273"/>
      <c r="H27" s="324"/>
      <c r="I27" s="273"/>
      <c r="J27" s="481"/>
      <c r="K27" s="324"/>
      <c r="L27" s="324"/>
      <c r="M27" s="704"/>
      <c r="O27" s="273"/>
      <c r="P27" s="489"/>
      <c r="Q27" s="273"/>
      <c r="R27" s="273"/>
      <c r="S27" s="489"/>
      <c r="T27" s="273"/>
      <c r="U27" s="484"/>
    </row>
    <row r="28" spans="1:21" s="318" customFormat="1" ht="9.9499999999999993" customHeight="1" x14ac:dyDescent="0.2">
      <c r="A28" s="706" t="s">
        <v>673</v>
      </c>
      <c r="B28" s="481"/>
      <c r="C28" s="488">
        <v>12</v>
      </c>
      <c r="D28" s="273"/>
      <c r="E28" s="450"/>
      <c r="F28" s="273"/>
      <c r="G28" s="450">
        <v>95</v>
      </c>
      <c r="H28" s="324"/>
      <c r="I28" s="273"/>
      <c r="J28" s="481"/>
      <c r="K28" s="273">
        <f t="shared" ref="K28:K46" si="1">SUM(C28:I28)</f>
        <v>107</v>
      </c>
      <c r="L28" s="324"/>
      <c r="M28" s="706"/>
      <c r="O28" s="273"/>
      <c r="P28" s="489"/>
      <c r="Q28" s="273"/>
      <c r="R28" s="273"/>
      <c r="S28" s="489"/>
      <c r="T28" s="273"/>
      <c r="U28" s="484"/>
    </row>
    <row r="29" spans="1:21" s="318" customFormat="1" ht="9.9499999999999993" customHeight="1" x14ac:dyDescent="0.2">
      <c r="A29" s="706" t="s">
        <v>674</v>
      </c>
      <c r="B29" s="481"/>
      <c r="C29" s="488">
        <v>1</v>
      </c>
      <c r="D29" s="324"/>
      <c r="E29" s="450"/>
      <c r="F29" s="324"/>
      <c r="G29" s="450">
        <v>324</v>
      </c>
      <c r="H29" s="324"/>
      <c r="I29" s="273"/>
      <c r="J29" s="481"/>
      <c r="K29" s="273">
        <f t="shared" si="1"/>
        <v>325</v>
      </c>
      <c r="L29" s="324"/>
      <c r="M29" s="706"/>
      <c r="O29" s="273"/>
      <c r="P29" s="489"/>
      <c r="Q29" s="273"/>
      <c r="R29" s="273"/>
      <c r="S29" s="489"/>
      <c r="T29" s="273"/>
      <c r="U29" s="484"/>
    </row>
    <row r="30" spans="1:21" s="318" customFormat="1" ht="9.9499999999999993" hidden="1" customHeight="1" x14ac:dyDescent="0.2">
      <c r="A30" s="706" t="s">
        <v>679</v>
      </c>
      <c r="B30" s="481"/>
      <c r="C30" s="488"/>
      <c r="D30" s="324"/>
      <c r="E30" s="450"/>
      <c r="F30" s="324"/>
      <c r="G30" s="450"/>
      <c r="H30" s="324"/>
      <c r="I30" s="273"/>
      <c r="J30" s="481"/>
      <c r="K30" s="273">
        <f t="shared" si="1"/>
        <v>0</v>
      </c>
      <c r="L30" s="324"/>
      <c r="M30" s="706"/>
      <c r="O30" s="273"/>
      <c r="P30" s="489"/>
      <c r="Q30" s="273"/>
      <c r="R30" s="273"/>
      <c r="S30" s="489"/>
      <c r="T30" s="273"/>
      <c r="U30" s="484"/>
    </row>
    <row r="31" spans="1:21" s="318" customFormat="1" ht="9.9499999999999993" customHeight="1" x14ac:dyDescent="0.2">
      <c r="A31" s="706" t="s">
        <v>252</v>
      </c>
      <c r="B31" s="481"/>
      <c r="C31" s="488"/>
      <c r="D31" s="324"/>
      <c r="E31" s="450"/>
      <c r="F31" s="324"/>
      <c r="G31" s="450">
        <v>2</v>
      </c>
      <c r="H31" s="324"/>
      <c r="I31" s="273"/>
      <c r="J31" s="481"/>
      <c r="K31" s="273">
        <f t="shared" si="1"/>
        <v>2</v>
      </c>
      <c r="L31" s="324"/>
      <c r="M31" s="706"/>
      <c r="O31" s="273"/>
      <c r="P31" s="489"/>
      <c r="Q31" s="273"/>
      <c r="R31" s="273"/>
      <c r="S31" s="489"/>
      <c r="T31" s="273"/>
      <c r="U31" s="484"/>
    </row>
    <row r="32" spans="1:21" s="318" customFormat="1" ht="9.9499999999999993" hidden="1" customHeight="1" x14ac:dyDescent="0.2">
      <c r="A32" s="429" t="s">
        <v>63</v>
      </c>
      <c r="B32" s="481"/>
      <c r="C32" s="488"/>
      <c r="D32" s="324"/>
      <c r="E32" s="450"/>
      <c r="F32" s="324"/>
      <c r="G32" s="450"/>
      <c r="H32" s="324"/>
      <c r="I32" s="273"/>
      <c r="J32" s="481"/>
      <c r="K32" s="273">
        <f t="shared" si="1"/>
        <v>0</v>
      </c>
      <c r="L32" s="324"/>
      <c r="M32" s="749"/>
      <c r="O32" s="273"/>
      <c r="P32" s="489"/>
      <c r="Q32" s="273"/>
      <c r="R32" s="273"/>
      <c r="S32" s="489"/>
      <c r="T32" s="273"/>
      <c r="U32" s="484"/>
    </row>
    <row r="33" spans="1:21" s="318" customFormat="1" ht="9.9499999999999993" hidden="1" customHeight="1" x14ac:dyDescent="0.2">
      <c r="A33" s="429" t="s">
        <v>592</v>
      </c>
      <c r="B33" s="481"/>
      <c r="C33" s="488"/>
      <c r="D33" s="324"/>
      <c r="E33" s="450"/>
      <c r="F33" s="324"/>
      <c r="G33" s="450"/>
      <c r="H33" s="324"/>
      <c r="I33" s="273"/>
      <c r="J33" s="481"/>
      <c r="K33" s="273">
        <f t="shared" si="1"/>
        <v>0</v>
      </c>
      <c r="L33" s="324"/>
      <c r="M33" s="749"/>
      <c r="O33" s="273"/>
      <c r="P33" s="489"/>
      <c r="Q33" s="273"/>
      <c r="R33" s="273"/>
      <c r="S33" s="489"/>
      <c r="T33" s="273"/>
      <c r="U33" s="484"/>
    </row>
    <row r="34" spans="1:21" s="318" customFormat="1" ht="9.9499999999999993" customHeight="1" x14ac:dyDescent="0.2">
      <c r="A34" s="704" t="s">
        <v>73</v>
      </c>
      <c r="B34" s="481"/>
      <c r="C34" s="488"/>
      <c r="D34" s="324"/>
      <c r="E34" s="450"/>
      <c r="F34" s="324"/>
      <c r="G34" s="450"/>
      <c r="H34" s="324"/>
      <c r="I34" s="273"/>
      <c r="J34" s="481"/>
      <c r="K34" s="273">
        <f t="shared" si="1"/>
        <v>0</v>
      </c>
      <c r="L34" s="324"/>
      <c r="M34" s="704"/>
      <c r="O34" s="273"/>
      <c r="P34" s="489"/>
      <c r="Q34" s="273"/>
      <c r="R34" s="273"/>
      <c r="S34" s="489"/>
      <c r="T34" s="273"/>
      <c r="U34" s="484"/>
    </row>
    <row r="35" spans="1:21" s="318" customFormat="1" ht="9.9499999999999993" customHeight="1" x14ac:dyDescent="0.2">
      <c r="A35" s="706" t="s">
        <v>673</v>
      </c>
      <c r="B35" s="481"/>
      <c r="C35" s="488">
        <v>20</v>
      </c>
      <c r="D35" s="324"/>
      <c r="E35" s="450"/>
      <c r="F35" s="324"/>
      <c r="G35" s="450">
        <v>0</v>
      </c>
      <c r="H35" s="324"/>
      <c r="I35" s="273"/>
      <c r="J35" s="481"/>
      <c r="K35" s="273">
        <f t="shared" si="1"/>
        <v>20</v>
      </c>
      <c r="L35" s="324"/>
      <c r="M35" s="706"/>
      <c r="O35" s="273"/>
      <c r="P35" s="489"/>
      <c r="Q35" s="273"/>
      <c r="R35" s="273"/>
      <c r="S35" s="489"/>
      <c r="T35" s="273"/>
      <c r="U35" s="484"/>
    </row>
    <row r="36" spans="1:21" s="318" customFormat="1" ht="9.9499999999999993" customHeight="1" x14ac:dyDescent="0.2">
      <c r="A36" s="706" t="s">
        <v>674</v>
      </c>
      <c r="B36" s="481"/>
      <c r="C36" s="488">
        <v>67</v>
      </c>
      <c r="D36" s="324"/>
      <c r="E36" s="450"/>
      <c r="F36" s="324"/>
      <c r="G36" s="450">
        <v>0</v>
      </c>
      <c r="H36" s="324"/>
      <c r="I36" s="273"/>
      <c r="J36" s="481"/>
      <c r="K36" s="273">
        <f t="shared" si="1"/>
        <v>67</v>
      </c>
      <c r="L36" s="324"/>
      <c r="M36" s="706"/>
      <c r="O36" s="273"/>
      <c r="P36" s="489"/>
      <c r="Q36" s="273"/>
      <c r="R36" s="273"/>
      <c r="S36" s="489"/>
      <c r="T36" s="273"/>
      <c r="U36" s="484"/>
    </row>
    <row r="37" spans="1:21" s="318" customFormat="1" ht="9.9499999999999993" hidden="1" customHeight="1" x14ac:dyDescent="0.2">
      <c r="A37" s="706" t="s">
        <v>679</v>
      </c>
      <c r="B37" s="481"/>
      <c r="C37" s="488"/>
      <c r="D37" s="324"/>
      <c r="E37" s="450"/>
      <c r="F37" s="324"/>
      <c r="G37" s="450"/>
      <c r="H37" s="324"/>
      <c r="I37" s="273"/>
      <c r="J37" s="481"/>
      <c r="K37" s="273">
        <f t="shared" si="1"/>
        <v>0</v>
      </c>
      <c r="L37" s="324"/>
      <c r="M37" s="706"/>
      <c r="O37" s="273"/>
      <c r="P37" s="489"/>
      <c r="Q37" s="273"/>
      <c r="R37" s="273"/>
      <c r="S37" s="489"/>
      <c r="T37" s="273"/>
      <c r="U37" s="484"/>
    </row>
    <row r="38" spans="1:21" s="318" customFormat="1" ht="9.9499999999999993" hidden="1" customHeight="1" x14ac:dyDescent="0.2">
      <c r="A38" s="706" t="s">
        <v>252</v>
      </c>
      <c r="B38" s="481"/>
      <c r="C38" s="488"/>
      <c r="D38" s="324"/>
      <c r="E38" s="450"/>
      <c r="F38" s="324"/>
      <c r="G38" s="450"/>
      <c r="H38" s="324"/>
      <c r="I38" s="273"/>
      <c r="J38" s="481"/>
      <c r="K38" s="273">
        <f t="shared" si="1"/>
        <v>0</v>
      </c>
      <c r="L38" s="324"/>
      <c r="M38" s="706"/>
      <c r="O38" s="273"/>
      <c r="P38" s="489"/>
      <c r="Q38" s="273"/>
      <c r="R38" s="273"/>
      <c r="S38" s="489"/>
      <c r="T38" s="273"/>
      <c r="U38" s="484"/>
    </row>
    <row r="39" spans="1:21" s="318" customFormat="1" ht="9.9499999999999993" hidden="1" customHeight="1" x14ac:dyDescent="0.2">
      <c r="A39" s="429" t="s">
        <v>63</v>
      </c>
      <c r="B39" s="481"/>
      <c r="C39" s="488"/>
      <c r="D39" s="324"/>
      <c r="E39" s="450"/>
      <c r="F39" s="324"/>
      <c r="G39" s="450"/>
      <c r="H39" s="324"/>
      <c r="I39" s="273"/>
      <c r="J39" s="481"/>
      <c r="K39" s="273">
        <f t="shared" si="1"/>
        <v>0</v>
      </c>
      <c r="L39" s="324"/>
      <c r="M39" s="749"/>
      <c r="O39" s="273"/>
      <c r="P39" s="489"/>
      <c r="Q39" s="273"/>
      <c r="R39" s="273"/>
      <c r="S39" s="489"/>
      <c r="T39" s="273"/>
      <c r="U39" s="484"/>
    </row>
    <row r="40" spans="1:21" s="318" customFormat="1" ht="9.9499999999999993" hidden="1" customHeight="1" x14ac:dyDescent="0.2">
      <c r="A40" s="429" t="s">
        <v>592</v>
      </c>
      <c r="B40" s="481"/>
      <c r="C40"/>
      <c r="D40" s="324"/>
      <c r="E40" s="450"/>
      <c r="F40" s="324"/>
      <c r="G40" s="450"/>
      <c r="H40" s="324"/>
      <c r="I40" s="273"/>
      <c r="J40" s="481"/>
      <c r="K40" s="273">
        <f t="shared" si="1"/>
        <v>0</v>
      </c>
      <c r="L40" s="324"/>
      <c r="M40" s="749"/>
      <c r="O40" s="273"/>
      <c r="P40" s="489"/>
      <c r="Q40" s="273"/>
      <c r="R40" s="273"/>
      <c r="S40" s="489"/>
      <c r="T40" s="273"/>
      <c r="U40" s="484"/>
    </row>
    <row r="41" spans="1:21" s="318" customFormat="1" ht="9.9499999999999993" customHeight="1" x14ac:dyDescent="0.2">
      <c r="A41" s="704" t="s">
        <v>74</v>
      </c>
      <c r="B41" s="481"/>
      <c r="C41"/>
      <c r="D41" s="324"/>
      <c r="E41" s="450"/>
      <c r="F41" s="324"/>
      <c r="H41" s="324"/>
      <c r="I41" s="273"/>
      <c r="J41" s="481"/>
      <c r="K41" s="273">
        <f t="shared" si="1"/>
        <v>0</v>
      </c>
      <c r="L41" s="324"/>
      <c r="M41" s="704"/>
      <c r="O41" s="273"/>
      <c r="P41" s="489"/>
      <c r="Q41" s="273"/>
      <c r="R41" s="273"/>
      <c r="S41" s="489"/>
      <c r="T41" s="273"/>
      <c r="U41" s="484"/>
    </row>
    <row r="42" spans="1:21" s="318" customFormat="1" ht="9.9499999999999993" customHeight="1" x14ac:dyDescent="0.2">
      <c r="A42" s="706" t="s">
        <v>673</v>
      </c>
      <c r="B42" s="481"/>
      <c r="C42" s="488"/>
      <c r="D42" s="324"/>
      <c r="E42" s="450"/>
      <c r="F42" s="324"/>
      <c r="G42" s="450">
        <v>226</v>
      </c>
      <c r="H42" s="324"/>
      <c r="I42" s="273"/>
      <c r="J42" s="481"/>
      <c r="K42" s="273">
        <f t="shared" si="1"/>
        <v>226</v>
      </c>
      <c r="L42" s="324"/>
      <c r="M42" s="706"/>
      <c r="O42" s="273"/>
      <c r="P42" s="489"/>
      <c r="Q42" s="273"/>
      <c r="R42" s="273"/>
      <c r="S42" s="489"/>
      <c r="T42" s="273"/>
      <c r="U42" s="484"/>
    </row>
    <row r="43" spans="1:21" s="318" customFormat="1" ht="9.9499999999999993" customHeight="1" x14ac:dyDescent="0.2">
      <c r="A43" s="706" t="s">
        <v>674</v>
      </c>
      <c r="B43" s="481"/>
      <c r="C43" s="488"/>
      <c r="D43" s="324"/>
      <c r="E43" s="450"/>
      <c r="F43" s="324"/>
      <c r="G43" s="450">
        <v>767</v>
      </c>
      <c r="H43" s="324"/>
      <c r="I43" s="273"/>
      <c r="J43" s="481"/>
      <c r="K43" s="273">
        <f t="shared" si="1"/>
        <v>767</v>
      </c>
      <c r="L43" s="324"/>
      <c r="M43" s="706"/>
      <c r="O43" s="273"/>
      <c r="P43" s="489"/>
      <c r="Q43" s="273"/>
      <c r="R43" s="273"/>
      <c r="S43" s="489"/>
      <c r="T43" s="273"/>
      <c r="U43" s="484"/>
    </row>
    <row r="44" spans="1:21" s="318" customFormat="1" ht="9.9499999999999993" hidden="1" customHeight="1" x14ac:dyDescent="0.2">
      <c r="A44" s="706" t="s">
        <v>679</v>
      </c>
      <c r="B44" s="481"/>
      <c r="C44" s="488"/>
      <c r="D44" s="324"/>
      <c r="E44" s="450"/>
      <c r="F44" s="324"/>
      <c r="G44" s="450"/>
      <c r="H44" s="324"/>
      <c r="I44" s="273"/>
      <c r="J44" s="481"/>
      <c r="K44" s="273">
        <f t="shared" si="1"/>
        <v>0</v>
      </c>
      <c r="L44" s="324"/>
      <c r="M44" s="706"/>
      <c r="O44" s="273"/>
      <c r="P44" s="489"/>
      <c r="Q44" s="273"/>
      <c r="R44" s="273"/>
      <c r="S44" s="489"/>
      <c r="T44" s="273"/>
      <c r="U44" s="484"/>
    </row>
    <row r="45" spans="1:21" s="318" customFormat="1" ht="9.9499999999999993" customHeight="1" x14ac:dyDescent="0.2">
      <c r="A45" s="706" t="s">
        <v>252</v>
      </c>
      <c r="B45" s="481"/>
      <c r="C45" s="488"/>
      <c r="D45" s="324"/>
      <c r="E45" s="450"/>
      <c r="F45" s="324"/>
      <c r="G45" s="450">
        <v>5</v>
      </c>
      <c r="H45" s="324"/>
      <c r="I45" s="273"/>
      <c r="J45" s="481"/>
      <c r="K45" s="273">
        <f t="shared" si="1"/>
        <v>5</v>
      </c>
      <c r="L45" s="324"/>
      <c r="M45" s="706"/>
      <c r="O45" s="273"/>
      <c r="P45" s="489"/>
      <c r="Q45" s="273"/>
      <c r="R45" s="273"/>
      <c r="S45" s="489"/>
      <c r="T45" s="273"/>
      <c r="U45" s="484"/>
    </row>
    <row r="46" spans="1:21" s="318" customFormat="1" ht="9.9499999999999993" hidden="1" customHeight="1" x14ac:dyDescent="0.2">
      <c r="A46" s="429" t="s">
        <v>63</v>
      </c>
      <c r="B46" s="481"/>
      <c r="C46" s="273"/>
      <c r="D46" s="324"/>
      <c r="E46" s="450"/>
      <c r="F46" s="324"/>
      <c r="G46" s="450"/>
      <c r="H46" s="273"/>
      <c r="I46" s="273"/>
      <c r="J46" s="481"/>
      <c r="K46" s="273">
        <f t="shared" si="1"/>
        <v>0</v>
      </c>
      <c r="L46" s="324"/>
      <c r="M46" s="749"/>
      <c r="O46" s="273"/>
      <c r="P46" s="489"/>
      <c r="Q46" s="273"/>
      <c r="R46" s="273"/>
      <c r="S46" s="489"/>
      <c r="T46" s="273"/>
      <c r="U46" s="484"/>
    </row>
    <row r="47" spans="1:21" s="318" customFormat="1" ht="9.9499999999999993" hidden="1" customHeight="1" x14ac:dyDescent="0.2">
      <c r="A47" s="429" t="s">
        <v>592</v>
      </c>
      <c r="B47" s="481"/>
      <c r="C47" s="273"/>
      <c r="D47" s="324"/>
      <c r="E47" s="450"/>
      <c r="F47" s="324"/>
      <c r="G47" s="450"/>
      <c r="H47" s="273"/>
      <c r="I47" s="273"/>
      <c r="J47" s="481"/>
      <c r="K47" s="273">
        <f t="shared" ref="K47:K54" si="2">SUM(C47:H47)</f>
        <v>0</v>
      </c>
      <c r="L47" s="324"/>
      <c r="M47" s="749"/>
      <c r="O47" s="273"/>
      <c r="P47" s="489"/>
      <c r="Q47" s="273"/>
      <c r="R47" s="273"/>
      <c r="S47" s="489"/>
      <c r="T47" s="273"/>
      <c r="U47" s="484"/>
    </row>
    <row r="48" spans="1:21" s="318" customFormat="1" ht="9.9499999999999993" hidden="1" customHeight="1" x14ac:dyDescent="0.2">
      <c r="A48" s="704" t="s">
        <v>453</v>
      </c>
      <c r="B48" s="324"/>
      <c r="C48" s="273"/>
      <c r="D48" s="324"/>
      <c r="E48" s="450"/>
      <c r="F48" s="324"/>
      <c r="G48" s="450"/>
      <c r="H48" s="273"/>
      <c r="I48" s="273"/>
      <c r="J48" s="323"/>
      <c r="K48" s="273">
        <f t="shared" si="2"/>
        <v>0</v>
      </c>
      <c r="M48" s="704"/>
    </row>
    <row r="49" spans="1:21" s="318" customFormat="1" ht="9.9499999999999993" hidden="1" customHeight="1" x14ac:dyDescent="0.2">
      <c r="A49" s="706" t="s">
        <v>673</v>
      </c>
      <c r="B49" s="324"/>
      <c r="C49" s="273"/>
      <c r="D49" s="324"/>
      <c r="E49" s="450"/>
      <c r="F49" s="324"/>
      <c r="G49" s="450"/>
      <c r="H49" s="273"/>
      <c r="I49" s="273"/>
      <c r="J49" s="323"/>
      <c r="K49" s="273">
        <f t="shared" si="2"/>
        <v>0</v>
      </c>
      <c r="M49" s="706"/>
    </row>
    <row r="50" spans="1:21" s="318" customFormat="1" ht="9.9499999999999993" hidden="1" customHeight="1" x14ac:dyDescent="0.2">
      <c r="A50" s="706" t="s">
        <v>674</v>
      </c>
      <c r="B50" s="324"/>
      <c r="C50" s="273"/>
      <c r="D50" s="324"/>
      <c r="E50" s="450"/>
      <c r="F50" s="324"/>
      <c r="G50" s="450"/>
      <c r="H50" s="273"/>
      <c r="I50" s="450"/>
      <c r="J50" s="323"/>
      <c r="K50" s="273">
        <f t="shared" si="2"/>
        <v>0</v>
      </c>
      <c r="M50" s="706"/>
    </row>
    <row r="51" spans="1:21" s="318" customFormat="1" ht="9.9499999999999993" hidden="1" customHeight="1" x14ac:dyDescent="0.2">
      <c r="A51" s="706" t="s">
        <v>679</v>
      </c>
      <c r="B51" s="324"/>
      <c r="C51" s="273"/>
      <c r="D51" s="324"/>
      <c r="E51" s="450"/>
      <c r="F51" s="324"/>
      <c r="G51" s="450"/>
      <c r="H51" s="273"/>
      <c r="I51" s="450"/>
      <c r="J51" s="323"/>
      <c r="K51" s="273">
        <f t="shared" si="2"/>
        <v>0</v>
      </c>
      <c r="M51" s="706"/>
    </row>
    <row r="52" spans="1:21" s="318" customFormat="1" ht="9.9499999999999993" hidden="1" customHeight="1" x14ac:dyDescent="0.2">
      <c r="A52" s="706" t="s">
        <v>252</v>
      </c>
      <c r="B52" s="324"/>
      <c r="C52" s="273"/>
      <c r="D52" s="324"/>
      <c r="E52" s="450"/>
      <c r="F52" s="324"/>
      <c r="G52" s="450"/>
      <c r="H52" s="273"/>
      <c r="I52" s="450"/>
      <c r="J52" s="323"/>
      <c r="K52" s="273">
        <f t="shared" si="2"/>
        <v>0</v>
      </c>
      <c r="M52" s="706"/>
    </row>
    <row r="53" spans="1:21" s="318" customFormat="1" ht="9.9499999999999993" hidden="1" customHeight="1" x14ac:dyDescent="0.2">
      <c r="A53" s="429" t="s">
        <v>63</v>
      </c>
      <c r="B53" s="324"/>
      <c r="C53" s="273"/>
      <c r="D53" s="324"/>
      <c r="E53" s="450"/>
      <c r="F53" s="324"/>
      <c r="G53" s="450"/>
      <c r="H53" s="273"/>
      <c r="I53" s="450"/>
      <c r="J53" s="323"/>
      <c r="K53" s="273">
        <f t="shared" si="2"/>
        <v>0</v>
      </c>
      <c r="M53" s="749"/>
    </row>
    <row r="54" spans="1:21" s="318" customFormat="1" ht="9.9499999999999993" hidden="1" customHeight="1" x14ac:dyDescent="0.2">
      <c r="A54" s="429" t="s">
        <v>592</v>
      </c>
      <c r="B54" s="324"/>
      <c r="C54" s="273"/>
      <c r="D54" s="324"/>
      <c r="E54" s="450"/>
      <c r="F54" s="324"/>
      <c r="G54" s="450"/>
      <c r="H54" s="273"/>
      <c r="I54" s="450"/>
      <c r="J54" s="323"/>
      <c r="K54" s="273">
        <f t="shared" si="2"/>
        <v>0</v>
      </c>
      <c r="M54" s="749"/>
    </row>
    <row r="55" spans="1:21" s="318" customFormat="1" ht="5.0999999999999996" customHeight="1" x14ac:dyDescent="0.2">
      <c r="A55" s="482"/>
      <c r="B55" s="481"/>
      <c r="C55" s="340"/>
      <c r="D55" s="324"/>
      <c r="E55" s="340"/>
      <c r="F55" s="324"/>
      <c r="G55" s="340"/>
      <c r="H55" s="324"/>
      <c r="I55" s="340"/>
      <c r="J55" s="481"/>
      <c r="K55" s="491"/>
      <c r="L55" s="324"/>
      <c r="M55" s="317"/>
      <c r="O55" s="273"/>
      <c r="P55" s="489"/>
      <c r="Q55" s="273"/>
      <c r="R55" s="273"/>
      <c r="S55" s="489"/>
      <c r="T55" s="273"/>
      <c r="U55" s="484"/>
    </row>
    <row r="56" spans="1:21" s="492" customFormat="1" ht="11.1" customHeight="1" x14ac:dyDescent="0.2">
      <c r="A56" s="708" t="s">
        <v>76</v>
      </c>
      <c r="B56" s="362"/>
      <c r="C56" s="341">
        <f>SUM(C27:C54)</f>
        <v>100</v>
      </c>
      <c r="D56" s="324"/>
      <c r="E56" s="341">
        <f>SUM(E27:E54)</f>
        <v>0</v>
      </c>
      <c r="F56" s="324"/>
      <c r="G56" s="341">
        <f>SUM(G27:G54)</f>
        <v>1419</v>
      </c>
      <c r="H56" s="273"/>
      <c r="I56" s="341">
        <f>SUM(I27:I54)</f>
        <v>0</v>
      </c>
      <c r="J56" s="362"/>
      <c r="K56" s="341">
        <f>SUM(K27:K54)</f>
        <v>1519</v>
      </c>
      <c r="L56" s="273"/>
      <c r="M56" s="708"/>
      <c r="O56" s="273"/>
      <c r="P56" s="399"/>
      <c r="Q56" s="273"/>
      <c r="R56" s="273"/>
      <c r="S56" s="399"/>
      <c r="T56" s="273"/>
      <c r="U56" s="484"/>
    </row>
    <row r="57" spans="1:21" s="492" customFormat="1" ht="5.0999999999999996" customHeight="1" x14ac:dyDescent="0.2">
      <c r="A57" s="253"/>
      <c r="B57" s="362"/>
      <c r="C57" s="340"/>
      <c r="D57" s="324"/>
      <c r="E57" s="340"/>
      <c r="F57" s="324"/>
      <c r="G57" s="340"/>
      <c r="H57" s="273"/>
      <c r="I57" s="340"/>
      <c r="J57" s="362"/>
      <c r="K57" s="340"/>
      <c r="L57" s="273"/>
      <c r="M57" s="253"/>
      <c r="O57" s="273"/>
      <c r="P57" s="399"/>
      <c r="Q57" s="273"/>
      <c r="R57" s="273"/>
      <c r="S57" s="399"/>
      <c r="T57" s="273"/>
      <c r="U57" s="484"/>
    </row>
    <row r="58" spans="1:21" s="492" customFormat="1" ht="11.1" customHeight="1" x14ac:dyDescent="0.2">
      <c r="A58" s="707" t="s">
        <v>64</v>
      </c>
      <c r="B58" s="362"/>
      <c r="C58" s="341">
        <f>SUM(C24+C56)</f>
        <v>29192</v>
      </c>
      <c r="D58" s="324"/>
      <c r="E58" s="341">
        <f>+E24+E56</f>
        <v>1747</v>
      </c>
      <c r="F58" s="324"/>
      <c r="G58" s="341">
        <f>+G24+G56</f>
        <v>9865</v>
      </c>
      <c r="H58" s="273"/>
      <c r="I58" s="341">
        <f>+I24+I56</f>
        <v>0</v>
      </c>
      <c r="J58" s="362"/>
      <c r="K58" s="341">
        <f>SUM(K24+K56)</f>
        <v>40804</v>
      </c>
      <c r="L58" s="273"/>
      <c r="M58" s="707"/>
      <c r="O58" s="273"/>
      <c r="P58" s="399"/>
      <c r="Q58" s="273"/>
      <c r="R58" s="273"/>
      <c r="S58" s="399"/>
      <c r="T58" s="273"/>
      <c r="U58" s="484"/>
    </row>
    <row r="59" spans="1:21" s="492" customFormat="1" ht="5.0999999999999996" customHeight="1" x14ac:dyDescent="0.2">
      <c r="A59" s="253"/>
      <c r="B59" s="362"/>
      <c r="C59" s="273"/>
      <c r="D59" s="324"/>
      <c r="E59" s="340"/>
      <c r="F59" s="324"/>
      <c r="G59" s="340"/>
      <c r="H59" s="273"/>
      <c r="I59" s="340"/>
      <c r="J59" s="362"/>
      <c r="K59" s="273"/>
      <c r="L59" s="273"/>
      <c r="M59" s="317"/>
      <c r="O59" s="273"/>
      <c r="P59" s="399"/>
      <c r="Q59" s="273"/>
      <c r="R59" s="273"/>
      <c r="S59" s="399"/>
      <c r="T59" s="273"/>
      <c r="U59" s="484"/>
    </row>
    <row r="60" spans="1:21" s="492" customFormat="1" ht="9.9499999999999993" customHeight="1" x14ac:dyDescent="0.2">
      <c r="A60" s="707" t="s">
        <v>70</v>
      </c>
      <c r="B60" s="362"/>
      <c r="C60" s="273"/>
      <c r="D60" s="273"/>
      <c r="E60" s="273"/>
      <c r="F60" s="273"/>
      <c r="G60" s="273"/>
      <c r="H60" s="273"/>
      <c r="I60" s="273"/>
      <c r="J60" s="362"/>
      <c r="K60" s="273"/>
      <c r="L60" s="273"/>
      <c r="M60" s="707"/>
      <c r="O60" s="273"/>
      <c r="P60" s="399"/>
      <c r="Q60" s="273"/>
      <c r="R60" s="273"/>
      <c r="S60" s="399"/>
      <c r="T60" s="273"/>
      <c r="U60" s="484"/>
    </row>
    <row r="61" spans="1:21" s="318" customFormat="1" ht="9.9499999999999993" customHeight="1" x14ac:dyDescent="0.2">
      <c r="A61" s="703" t="s">
        <v>686</v>
      </c>
      <c r="B61" s="481"/>
      <c r="C61" s="324"/>
      <c r="D61" s="273"/>
      <c r="E61" s="273"/>
      <c r="F61" s="273"/>
      <c r="G61" s="273"/>
      <c r="H61" s="324"/>
      <c r="I61" s="273"/>
      <c r="J61" s="481"/>
      <c r="K61" s="324"/>
      <c r="L61" s="324"/>
      <c r="M61" s="702"/>
      <c r="O61" s="273"/>
      <c r="P61" s="489"/>
      <c r="Q61" s="273"/>
      <c r="R61" s="273"/>
      <c r="S61" s="489"/>
      <c r="T61" s="273"/>
      <c r="U61" s="484"/>
    </row>
    <row r="62" spans="1:21" s="318" customFormat="1" ht="9.9499999999999993" customHeight="1" x14ac:dyDescent="0.2">
      <c r="A62" s="704" t="s">
        <v>1754</v>
      </c>
      <c r="B62" s="481"/>
      <c r="C62" s="324"/>
      <c r="D62" s="273"/>
      <c r="E62" s="273"/>
      <c r="F62" s="273"/>
      <c r="G62" s="273"/>
      <c r="H62" s="324"/>
      <c r="I62" s="273"/>
      <c r="J62" s="481"/>
      <c r="K62" s="324"/>
      <c r="L62" s="324"/>
      <c r="M62" s="702"/>
      <c r="O62" s="273"/>
      <c r="P62" s="489"/>
      <c r="Q62" s="273"/>
      <c r="R62" s="273"/>
      <c r="S62" s="489"/>
      <c r="T62" s="273"/>
      <c r="U62" s="484"/>
    </row>
    <row r="63" spans="1:21" s="318" customFormat="1" ht="9.9499999999999993" customHeight="1" x14ac:dyDescent="0.2">
      <c r="A63" s="706" t="s">
        <v>77</v>
      </c>
      <c r="B63" s="481"/>
      <c r="C63" s="488">
        <v>1196</v>
      </c>
      <c r="D63" s="273"/>
      <c r="E63" s="273">
        <v>45</v>
      </c>
      <c r="F63" s="273"/>
      <c r="G63" s="273">
        <v>8125</v>
      </c>
      <c r="H63" s="324"/>
      <c r="I63" s="273"/>
      <c r="J63" s="481"/>
      <c r="K63" s="273">
        <f>SUM(C63:I63)</f>
        <v>9366</v>
      </c>
      <c r="L63" s="324"/>
      <c r="M63" s="704"/>
      <c r="O63" s="273"/>
      <c r="P63" s="489"/>
      <c r="Q63" s="273"/>
      <c r="R63" s="273"/>
      <c r="S63" s="489"/>
      <c r="T63" s="273"/>
      <c r="U63" s="484"/>
    </row>
    <row r="64" spans="1:21" s="318" customFormat="1" ht="9.9499999999999993" customHeight="1" x14ac:dyDescent="0.2">
      <c r="A64" s="706" t="s">
        <v>994</v>
      </c>
      <c r="B64" s="481"/>
      <c r="C64" s="488"/>
      <c r="D64" s="324"/>
      <c r="E64" s="273">
        <f>2306+1+1</f>
        <v>2308</v>
      </c>
      <c r="F64" s="324"/>
      <c r="G64" s="273">
        <f>24820</f>
        <v>24820</v>
      </c>
      <c r="H64" s="324"/>
      <c r="I64" s="273"/>
      <c r="J64" s="481"/>
      <c r="K64" s="273">
        <f>SUM(C64:I64)</f>
        <v>27128</v>
      </c>
      <c r="L64" s="324"/>
      <c r="M64" s="704"/>
      <c r="O64" s="273"/>
      <c r="P64" s="489"/>
      <c r="Q64" s="273"/>
      <c r="R64" s="273"/>
      <c r="S64" s="489"/>
      <c r="T64" s="273"/>
      <c r="U64" s="484"/>
    </row>
    <row r="65" spans="1:21" s="318" customFormat="1" ht="9.9499999999999993" customHeight="1" x14ac:dyDescent="0.2">
      <c r="A65" s="706" t="s">
        <v>975</v>
      </c>
      <c r="B65" s="481"/>
      <c r="C65" s="488">
        <v>1866</v>
      </c>
      <c r="D65" s="273"/>
      <c r="E65" s="273">
        <v>8339</v>
      </c>
      <c r="F65" s="273"/>
      <c r="G65" s="273">
        <f>5375</f>
        <v>5375</v>
      </c>
      <c r="H65" s="324"/>
      <c r="I65" s="273"/>
      <c r="J65" s="481"/>
      <c r="K65" s="273">
        <f>SUM(C65:I65)</f>
        <v>15580</v>
      </c>
      <c r="L65" s="324"/>
      <c r="M65" s="704"/>
      <c r="O65" s="273"/>
      <c r="P65" s="489"/>
      <c r="Q65" s="273"/>
      <c r="R65" s="273"/>
      <c r="S65" s="489"/>
      <c r="T65" s="273"/>
      <c r="U65" s="484"/>
    </row>
    <row r="66" spans="1:21" s="318" customFormat="1" ht="9.9499999999999993" customHeight="1" x14ac:dyDescent="0.2">
      <c r="A66" s="706" t="s">
        <v>995</v>
      </c>
      <c r="B66" s="481"/>
      <c r="C66" s="488">
        <v>13160</v>
      </c>
      <c r="D66" s="324"/>
      <c r="E66" s="273"/>
      <c r="F66" s="324"/>
      <c r="G66" s="273">
        <v>1477</v>
      </c>
      <c r="H66" s="324"/>
      <c r="I66" s="273"/>
      <c r="J66" s="481"/>
      <c r="K66" s="273">
        <f>SUM(C66:I66)</f>
        <v>14637</v>
      </c>
      <c r="L66" s="324"/>
      <c r="M66" s="704"/>
      <c r="O66" s="273"/>
      <c r="P66" s="489"/>
      <c r="Q66" s="273"/>
      <c r="R66" s="273"/>
      <c r="S66" s="489"/>
      <c r="T66" s="273"/>
      <c r="U66" s="484"/>
    </row>
    <row r="67" spans="1:21" s="318" customFormat="1" ht="9.9499999999999993" customHeight="1" x14ac:dyDescent="0.2">
      <c r="A67" s="706" t="s">
        <v>1096</v>
      </c>
      <c r="B67" s="481"/>
      <c r="C67" s="488">
        <v>14404</v>
      </c>
      <c r="D67" s="324"/>
      <c r="E67" s="273"/>
      <c r="F67" s="324"/>
      <c r="G67" s="273"/>
      <c r="H67" s="324"/>
      <c r="I67" s="273"/>
      <c r="J67" s="481"/>
      <c r="K67" s="273">
        <f>SUM(C67:I67)</f>
        <v>14404</v>
      </c>
      <c r="L67" s="324"/>
      <c r="M67" s="704"/>
      <c r="O67" s="273"/>
      <c r="P67" s="489"/>
      <c r="Q67" s="273"/>
      <c r="R67" s="273"/>
      <c r="S67" s="489"/>
      <c r="T67" s="273"/>
      <c r="U67" s="484"/>
    </row>
    <row r="68" spans="1:21" s="318" customFormat="1" ht="9.9499999999999993" hidden="1" customHeight="1" x14ac:dyDescent="0.2">
      <c r="A68" s="706" t="s">
        <v>1322</v>
      </c>
      <c r="B68" s="481"/>
      <c r="C68" s="488"/>
      <c r="D68" s="324"/>
      <c r="E68" s="273"/>
      <c r="F68" s="324"/>
      <c r="G68" s="273"/>
      <c r="H68" s="324"/>
      <c r="I68" s="273"/>
      <c r="J68" s="481"/>
      <c r="K68" s="273"/>
      <c r="L68" s="324"/>
      <c r="M68" s="704"/>
      <c r="O68" s="273"/>
      <c r="P68" s="489"/>
      <c r="Q68" s="273"/>
      <c r="R68" s="273"/>
      <c r="S68" s="489"/>
      <c r="T68" s="273"/>
      <c r="U68" s="484"/>
    </row>
    <row r="69" spans="1:21" s="318" customFormat="1" ht="9.9499999999999993" customHeight="1" x14ac:dyDescent="0.2">
      <c r="A69" s="706" t="s">
        <v>993</v>
      </c>
      <c r="B69" s="481"/>
      <c r="C69" s="488">
        <v>1055</v>
      </c>
      <c r="D69" s="324"/>
      <c r="E69" s="273">
        <v>0</v>
      </c>
      <c r="F69" s="324"/>
      <c r="G69" s="273"/>
      <c r="H69" s="324"/>
      <c r="I69" s="341"/>
      <c r="J69" s="481"/>
      <c r="K69" s="273">
        <f>SUM(C69:I69)</f>
        <v>1055</v>
      </c>
      <c r="L69" s="324"/>
      <c r="M69" s="704"/>
      <c r="O69" s="273"/>
      <c r="P69" s="489"/>
      <c r="Q69" s="273"/>
      <c r="R69" s="273"/>
      <c r="S69" s="489"/>
      <c r="T69" s="273"/>
      <c r="U69" s="484"/>
    </row>
    <row r="70" spans="1:21" s="318" customFormat="1" ht="9.9499999999999993" customHeight="1" x14ac:dyDescent="0.2">
      <c r="A70" s="706" t="s">
        <v>996</v>
      </c>
      <c r="B70" s="481"/>
      <c r="C70" s="493">
        <v>23714</v>
      </c>
      <c r="D70" s="324"/>
      <c r="E70" s="341">
        <v>6891</v>
      </c>
      <c r="F70" s="324"/>
      <c r="G70" s="341">
        <v>23635</v>
      </c>
      <c r="H70" s="324"/>
      <c r="I70" s="341"/>
      <c r="J70" s="481"/>
      <c r="K70" s="273">
        <f>SUM(C70:I70)</f>
        <v>54240</v>
      </c>
      <c r="L70" s="324"/>
      <c r="M70" s="704"/>
      <c r="O70" s="273"/>
      <c r="P70" s="489"/>
      <c r="Q70" s="273"/>
      <c r="R70" s="273"/>
      <c r="S70" s="489"/>
      <c r="T70" s="273"/>
      <c r="U70" s="484"/>
    </row>
    <row r="71" spans="1:21" s="318" customFormat="1" ht="5.0999999999999996" customHeight="1" x14ac:dyDescent="0.2">
      <c r="A71" s="482"/>
      <c r="B71" s="481"/>
      <c r="C71" s="340"/>
      <c r="D71" s="273"/>
      <c r="E71" s="340"/>
      <c r="F71" s="273"/>
      <c r="G71" s="340"/>
      <c r="H71" s="324"/>
      <c r="I71" s="340"/>
      <c r="J71" s="481"/>
      <c r="K71" s="491"/>
      <c r="L71" s="324"/>
      <c r="M71" s="317"/>
      <c r="O71" s="273"/>
      <c r="P71" s="489"/>
      <c r="Q71" s="273"/>
      <c r="R71" s="273"/>
      <c r="S71" s="489"/>
      <c r="T71" s="273"/>
      <c r="U71" s="484"/>
    </row>
    <row r="72" spans="1:21" s="318" customFormat="1" ht="9.9499999999999993" customHeight="1" x14ac:dyDescent="0.2">
      <c r="A72" s="705" t="s">
        <v>1755</v>
      </c>
      <c r="B72" s="481"/>
      <c r="C72" s="488">
        <f>SUM(C63:C69)-C70</f>
        <v>7967</v>
      </c>
      <c r="D72" s="324"/>
      <c r="E72" s="488">
        <f t="shared" ref="E72" si="3">SUM(E63:E69)-E70</f>
        <v>3801</v>
      </c>
      <c r="F72" s="324"/>
      <c r="G72" s="488">
        <f t="shared" ref="G72" si="4">SUM(G63:G69)-G70</f>
        <v>16162</v>
      </c>
      <c r="H72" s="324"/>
      <c r="I72" s="488">
        <f t="shared" ref="I72" si="5">SUM(I63:I69)-I70</f>
        <v>0</v>
      </c>
      <c r="J72" s="324"/>
      <c r="K72" s="488">
        <f t="shared" ref="K72" si="6">SUM(K63:K69)-K70</f>
        <v>27930</v>
      </c>
      <c r="L72" s="324"/>
      <c r="M72" s="704"/>
      <c r="O72" s="273"/>
      <c r="P72" s="489"/>
      <c r="Q72" s="273"/>
      <c r="R72" s="273"/>
      <c r="S72" s="489"/>
      <c r="T72" s="273"/>
      <c r="U72" s="484"/>
    </row>
    <row r="73" spans="1:21" s="318" customFormat="1" ht="5.0999999999999996" customHeight="1" x14ac:dyDescent="0.2">
      <c r="A73" s="482"/>
      <c r="B73" s="481"/>
      <c r="C73" s="340"/>
      <c r="D73" s="273"/>
      <c r="E73" s="340"/>
      <c r="F73" s="273"/>
      <c r="G73" s="340"/>
      <c r="H73" s="324"/>
      <c r="I73" s="340"/>
      <c r="J73" s="481"/>
      <c r="K73" s="491"/>
      <c r="L73" s="324"/>
      <c r="M73" s="317"/>
      <c r="O73" s="273"/>
      <c r="P73" s="489"/>
      <c r="Q73" s="273"/>
      <c r="R73" s="273"/>
      <c r="S73" s="489"/>
      <c r="T73" s="273"/>
      <c r="U73" s="484"/>
    </row>
    <row r="74" spans="1:21" s="318" customFormat="1" ht="9.9499999999999993" customHeight="1" x14ac:dyDescent="0.2">
      <c r="A74" s="704" t="s">
        <v>1614</v>
      </c>
      <c r="B74" s="481"/>
      <c r="C74" s="488"/>
      <c r="D74" s="324"/>
      <c r="E74" s="273"/>
      <c r="F74" s="324"/>
      <c r="G74" s="273">
        <v>23</v>
      </c>
      <c r="H74" s="324"/>
      <c r="I74" s="273"/>
      <c r="J74" s="481"/>
      <c r="K74" s="273">
        <f>SUM(C74:I74)</f>
        <v>23</v>
      </c>
      <c r="L74" s="324"/>
      <c r="M74" s="1432"/>
      <c r="O74" s="273"/>
      <c r="P74" s="489"/>
      <c r="Q74" s="273"/>
      <c r="R74" s="273"/>
      <c r="S74" s="489"/>
      <c r="T74" s="273"/>
      <c r="U74" s="484"/>
    </row>
    <row r="75" spans="1:21" s="318" customFormat="1" ht="9.9499999999999993" customHeight="1" x14ac:dyDescent="0.2">
      <c r="A75" s="706" t="s">
        <v>1585</v>
      </c>
      <c r="B75" s="481"/>
      <c r="C75" s="488"/>
      <c r="D75" s="324"/>
      <c r="E75" s="273"/>
      <c r="F75" s="324"/>
      <c r="G75" s="273">
        <v>11</v>
      </c>
      <c r="H75" s="324"/>
      <c r="I75" s="273"/>
      <c r="J75" s="481"/>
      <c r="K75" s="273">
        <f>SUM(C75:I75)</f>
        <v>11</v>
      </c>
      <c r="L75" s="324"/>
      <c r="M75" s="704"/>
      <c r="O75" s="273"/>
      <c r="P75" s="489"/>
      <c r="Q75" s="273"/>
      <c r="R75" s="273"/>
      <c r="S75" s="489"/>
      <c r="T75" s="273"/>
      <c r="U75" s="484"/>
    </row>
    <row r="76" spans="1:21" s="318" customFormat="1" ht="5.0999999999999996" customHeight="1" x14ac:dyDescent="0.2">
      <c r="A76" s="577"/>
      <c r="B76" s="481"/>
      <c r="C76" s="340"/>
      <c r="D76" s="273"/>
      <c r="E76" s="340"/>
      <c r="F76" s="273"/>
      <c r="G76" s="340"/>
      <c r="H76" s="324"/>
      <c r="I76" s="340"/>
      <c r="J76" s="481"/>
      <c r="K76" s="491"/>
      <c r="L76" s="324"/>
      <c r="M76" s="317"/>
      <c r="O76" s="273"/>
      <c r="P76" s="489"/>
      <c r="Q76" s="273"/>
      <c r="R76" s="273"/>
      <c r="S76" s="489"/>
      <c r="T76" s="273"/>
      <c r="U76" s="484"/>
    </row>
    <row r="77" spans="1:21" s="318" customFormat="1" ht="9.9499999999999993" customHeight="1" x14ac:dyDescent="0.2">
      <c r="A77" s="705" t="s">
        <v>1612</v>
      </c>
      <c r="B77" s="481"/>
      <c r="C77" s="341">
        <f>+C74-C75</f>
        <v>0</v>
      </c>
      <c r="D77" s="324"/>
      <c r="E77" s="341">
        <f t="shared" ref="E77" si="7">+E74-E75</f>
        <v>0</v>
      </c>
      <c r="F77" s="324"/>
      <c r="G77" s="341">
        <f t="shared" ref="G77" si="8">+G74-G75</f>
        <v>12</v>
      </c>
      <c r="H77" s="324"/>
      <c r="I77" s="341">
        <f>+I74-I75</f>
        <v>0</v>
      </c>
      <c r="J77" s="324"/>
      <c r="K77" s="341">
        <f>+K74-K75</f>
        <v>12</v>
      </c>
      <c r="L77" s="324"/>
      <c r="M77" s="704"/>
      <c r="O77" s="273"/>
      <c r="P77" s="489"/>
      <c r="Q77" s="273"/>
      <c r="R77" s="273"/>
      <c r="S77" s="489"/>
      <c r="T77" s="273"/>
      <c r="U77" s="484"/>
    </row>
    <row r="78" spans="1:21" s="318" customFormat="1" ht="5.0999999999999996" customHeight="1" x14ac:dyDescent="0.2">
      <c r="A78" s="577"/>
      <c r="B78" s="481"/>
      <c r="C78" s="340"/>
      <c r="D78" s="273"/>
      <c r="E78" s="340"/>
      <c r="F78" s="273"/>
      <c r="G78" s="340"/>
      <c r="H78" s="324"/>
      <c r="I78" s="340"/>
      <c r="J78" s="481"/>
      <c r="K78" s="491"/>
      <c r="L78" s="324"/>
      <c r="M78" s="317"/>
      <c r="O78" s="273"/>
      <c r="P78" s="489"/>
      <c r="Q78" s="273"/>
      <c r="R78" s="273"/>
      <c r="S78" s="489"/>
      <c r="T78" s="273"/>
      <c r="U78" s="484"/>
    </row>
    <row r="79" spans="1:21" s="318" customFormat="1" ht="9.9499999999999993" customHeight="1" x14ac:dyDescent="0.2">
      <c r="A79" s="704" t="s">
        <v>1645</v>
      </c>
      <c r="B79" s="481"/>
      <c r="C79" s="488">
        <v>3758</v>
      </c>
      <c r="E79" s="273"/>
      <c r="G79" s="273">
        <v>18</v>
      </c>
      <c r="H79" s="324"/>
      <c r="I79" s="273"/>
      <c r="J79" s="481"/>
      <c r="K79" s="273">
        <f>SUM(C79:I79)</f>
        <v>3776</v>
      </c>
      <c r="L79" s="484"/>
      <c r="M79" s="317"/>
    </row>
    <row r="80" spans="1:21" s="318" customFormat="1" ht="9.9499999999999993" customHeight="1" x14ac:dyDescent="0.2">
      <c r="A80" s="706" t="s">
        <v>1585</v>
      </c>
      <c r="B80" s="481"/>
      <c r="C80" s="488">
        <v>2039</v>
      </c>
      <c r="D80" s="324"/>
      <c r="E80" s="273"/>
      <c r="F80" s="324"/>
      <c r="G80" s="273">
        <v>18</v>
      </c>
      <c r="H80" s="324"/>
      <c r="I80" s="273"/>
      <c r="J80" s="481"/>
      <c r="K80" s="273">
        <f>SUM(C80:I80)</f>
        <v>2057</v>
      </c>
      <c r="L80" s="484"/>
      <c r="M80" s="317"/>
    </row>
    <row r="81" spans="1:21" s="318" customFormat="1" ht="5.0999999999999996" customHeight="1" x14ac:dyDescent="0.2">
      <c r="A81" s="577"/>
      <c r="B81" s="481"/>
      <c r="C81" s="340"/>
      <c r="D81" s="324"/>
      <c r="E81" s="340"/>
      <c r="F81" s="324"/>
      <c r="G81" s="340"/>
      <c r="H81" s="324"/>
      <c r="I81" s="340"/>
      <c r="J81" s="481"/>
      <c r="K81" s="491"/>
      <c r="L81" s="484"/>
      <c r="M81" s="317"/>
    </row>
    <row r="82" spans="1:21" s="318" customFormat="1" ht="9.9499999999999993" customHeight="1" x14ac:dyDescent="0.2">
      <c r="A82" s="705" t="s">
        <v>1644</v>
      </c>
      <c r="B82" s="481"/>
      <c r="C82" s="341">
        <f>+C79-C80</f>
        <v>1719</v>
      </c>
      <c r="D82" s="324"/>
      <c r="E82" s="341">
        <f t="shared" ref="E82" si="9">+E79-E80</f>
        <v>0</v>
      </c>
      <c r="F82" s="324"/>
      <c r="G82" s="341">
        <f t="shared" ref="G82" si="10">+G79-G80</f>
        <v>0</v>
      </c>
      <c r="H82" s="324"/>
      <c r="I82" s="341">
        <f>+I79-I80</f>
        <v>0</v>
      </c>
      <c r="J82" s="324"/>
      <c r="K82" s="341">
        <f>+K79-K80</f>
        <v>1719</v>
      </c>
      <c r="L82" s="484"/>
      <c r="M82" s="317"/>
    </row>
    <row r="83" spans="1:21" s="318" customFormat="1" ht="5.0999999999999996" customHeight="1" x14ac:dyDescent="0.2">
      <c r="A83" s="482"/>
      <c r="B83" s="481"/>
      <c r="C83" s="340"/>
      <c r="D83" s="273"/>
      <c r="E83" s="340"/>
      <c r="F83" s="273"/>
      <c r="G83" s="340"/>
      <c r="H83" s="324"/>
      <c r="I83" s="340"/>
      <c r="J83" s="481"/>
      <c r="K83" s="491"/>
      <c r="L83" s="324"/>
      <c r="M83" s="317"/>
      <c r="O83" s="273"/>
      <c r="P83" s="489"/>
      <c r="Q83" s="273"/>
      <c r="R83" s="273"/>
      <c r="S83" s="489"/>
      <c r="T83" s="273"/>
      <c r="U83" s="484"/>
    </row>
    <row r="84" spans="1:21" s="492" customFormat="1" ht="9.9499999999999993" customHeight="1" x14ac:dyDescent="0.2">
      <c r="A84" s="351" t="s">
        <v>78</v>
      </c>
      <c r="B84" s="362"/>
      <c r="C84" s="273">
        <f>+C72+C77+C82</f>
        <v>9686</v>
      </c>
      <c r="D84" s="324"/>
      <c r="E84" s="273">
        <f t="shared" ref="E84" si="11">+E72+E77+E82</f>
        <v>3801</v>
      </c>
      <c r="F84" s="324"/>
      <c r="G84" s="273">
        <f t="shared" ref="G84" si="12">+G72+G77+G82</f>
        <v>16174</v>
      </c>
      <c r="H84" s="324"/>
      <c r="I84" s="273">
        <f t="shared" ref="I84" si="13">+I72+I77+I82</f>
        <v>0</v>
      </c>
      <c r="J84" s="324"/>
      <c r="K84" s="273">
        <f t="shared" ref="K84" si="14">+K72+K77+K82</f>
        <v>29661</v>
      </c>
      <c r="L84" s="273"/>
      <c r="M84" s="708"/>
      <c r="O84" s="273"/>
      <c r="P84" s="399"/>
      <c r="Q84" s="273"/>
      <c r="R84" s="273"/>
      <c r="S84" s="399"/>
      <c r="T84" s="273"/>
      <c r="U84" s="484"/>
    </row>
    <row r="85" spans="1:21" s="318" customFormat="1" ht="5.0999999999999996" hidden="1" customHeight="1" x14ac:dyDescent="0.2">
      <c r="A85" s="577"/>
      <c r="B85" s="481"/>
      <c r="C85" s="340"/>
      <c r="D85" s="324"/>
      <c r="E85" s="340"/>
      <c r="F85" s="324"/>
      <c r="G85" s="340"/>
      <c r="H85" s="324"/>
      <c r="I85" s="340"/>
      <c r="J85" s="481"/>
      <c r="K85" s="340"/>
      <c r="L85" s="324"/>
      <c r="M85" s="704"/>
      <c r="O85" s="273"/>
      <c r="P85" s="489"/>
      <c r="Q85" s="273"/>
      <c r="R85" s="273"/>
      <c r="S85" s="489"/>
      <c r="T85" s="273"/>
      <c r="U85" s="484"/>
    </row>
    <row r="86" spans="1:21" s="318" customFormat="1" ht="5.0999999999999996" customHeight="1" x14ac:dyDescent="0.2">
      <c r="A86" s="317"/>
      <c r="B86" s="481"/>
      <c r="C86" s="340"/>
      <c r="D86" s="324"/>
      <c r="E86" s="340"/>
      <c r="F86" s="324"/>
      <c r="G86" s="340"/>
      <c r="H86" s="324"/>
      <c r="I86" s="273"/>
      <c r="J86" s="481"/>
      <c r="K86" s="590"/>
      <c r="L86" s="484"/>
      <c r="M86" s="317"/>
    </row>
    <row r="87" spans="1:21" s="318" customFormat="1" ht="9.9499999999999993" customHeight="1" x14ac:dyDescent="0.2">
      <c r="A87" s="703" t="s">
        <v>1773</v>
      </c>
      <c r="B87" s="481"/>
      <c r="C87" s="273"/>
      <c r="D87" s="324"/>
      <c r="E87" s="273">
        <v>6291</v>
      </c>
      <c r="F87" s="324"/>
      <c r="G87" s="273">
        <v>623</v>
      </c>
      <c r="H87" s="324"/>
      <c r="I87" s="273"/>
      <c r="J87" s="481"/>
      <c r="K87" s="273">
        <f>SUM(C87:I87)</f>
        <v>6914</v>
      </c>
      <c r="L87" s="484"/>
      <c r="M87" s="317"/>
    </row>
    <row r="88" spans="1:21" s="318" customFormat="1" ht="9.9499999999999993" hidden="1" customHeight="1" x14ac:dyDescent="0.2">
      <c r="A88" s="703" t="s">
        <v>609</v>
      </c>
      <c r="B88" s="481"/>
      <c r="C88" s="493"/>
      <c r="D88" s="324"/>
      <c r="E88" s="493"/>
      <c r="F88" s="324"/>
      <c r="G88" s="273"/>
      <c r="H88" s="324"/>
      <c r="I88" s="273"/>
      <c r="J88" s="481"/>
      <c r="K88" s="273">
        <f>SUM(C88:I88)</f>
        <v>0</v>
      </c>
      <c r="L88" s="324"/>
      <c r="M88" s="703"/>
      <c r="O88" s="273"/>
      <c r="P88" s="489"/>
      <c r="Q88" s="273"/>
      <c r="R88" s="273"/>
      <c r="S88" s="489"/>
      <c r="T88" s="273"/>
      <c r="U88" s="484"/>
    </row>
    <row r="89" spans="1:21" s="318" customFormat="1" ht="5.0999999999999996" customHeight="1" x14ac:dyDescent="0.2">
      <c r="A89" s="577"/>
      <c r="B89" s="481"/>
      <c r="C89" s="340"/>
      <c r="D89" s="324"/>
      <c r="E89" s="340"/>
      <c r="F89" s="324"/>
      <c r="G89" s="496"/>
      <c r="H89" s="324"/>
      <c r="I89" s="496"/>
      <c r="J89" s="481"/>
      <c r="K89" s="496"/>
      <c r="L89" s="324"/>
      <c r="M89" s="577"/>
      <c r="O89" s="273"/>
      <c r="P89" s="489"/>
      <c r="Q89" s="324"/>
      <c r="R89" s="273"/>
      <c r="S89" s="489"/>
      <c r="T89" s="324"/>
      <c r="U89" s="484"/>
    </row>
    <row r="90" spans="1:21" s="318" customFormat="1" ht="11.1" customHeight="1" x14ac:dyDescent="0.2">
      <c r="A90" s="701" t="s">
        <v>976</v>
      </c>
      <c r="B90" s="481"/>
      <c r="C90" s="494">
        <f>+C84+C87</f>
        <v>9686</v>
      </c>
      <c r="D90" s="324"/>
      <c r="E90" s="494">
        <f t="shared" ref="E90" si="15">+E84+E87</f>
        <v>10092</v>
      </c>
      <c r="F90" s="324"/>
      <c r="G90" s="494">
        <f t="shared" ref="G90" si="16">+G84+G87</f>
        <v>16797</v>
      </c>
      <c r="H90" s="324"/>
      <c r="I90" s="494">
        <f t="shared" ref="I90" si="17">+I84+I87</f>
        <v>0</v>
      </c>
      <c r="J90" s="324"/>
      <c r="K90" s="494">
        <f t="shared" ref="K90" si="18">+K84+K87</f>
        <v>36575</v>
      </c>
      <c r="L90" s="324"/>
      <c r="M90" s="701"/>
      <c r="O90" s="273"/>
      <c r="P90" s="489"/>
      <c r="Q90" s="324"/>
      <c r="R90" s="273"/>
      <c r="S90" s="489"/>
      <c r="T90" s="324"/>
      <c r="U90" s="484"/>
    </row>
    <row r="91" spans="1:21" s="318" customFormat="1" ht="5.0999999999999996" customHeight="1" x14ac:dyDescent="0.2">
      <c r="A91" s="317"/>
      <c r="B91" s="481"/>
      <c r="C91" s="340"/>
      <c r="E91" s="340"/>
      <c r="G91" s="340"/>
      <c r="I91" s="340"/>
      <c r="K91" s="340"/>
      <c r="L91" s="324"/>
      <c r="M91" s="317"/>
      <c r="O91" s="273"/>
      <c r="P91" s="489"/>
      <c r="Q91" s="324"/>
      <c r="R91" s="273"/>
      <c r="S91" s="489"/>
      <c r="T91" s="324"/>
      <c r="U91" s="484"/>
    </row>
    <row r="92" spans="1:21" s="492" customFormat="1" ht="11.1" customHeight="1" x14ac:dyDescent="0.2">
      <c r="A92" s="353" t="s">
        <v>687</v>
      </c>
      <c r="B92" s="362"/>
      <c r="C92" s="1520">
        <f>+C90+C58</f>
        <v>38878</v>
      </c>
      <c r="D92" s="324"/>
      <c r="E92" s="1520">
        <f t="shared" ref="E92" si="19">+E90+E58</f>
        <v>11839</v>
      </c>
      <c r="F92" s="324"/>
      <c r="G92" s="1520">
        <f t="shared" ref="G92" si="20">+G90+G58</f>
        <v>26662</v>
      </c>
      <c r="H92" s="324"/>
      <c r="I92" s="1520">
        <f t="shared" ref="I92" si="21">+I90+I58</f>
        <v>0</v>
      </c>
      <c r="J92" s="324"/>
      <c r="K92" s="1520">
        <f t="shared" ref="K92" si="22">+K90+K58</f>
        <v>77379</v>
      </c>
      <c r="L92" s="254"/>
      <c r="M92" s="353"/>
      <c r="O92" s="254"/>
      <c r="P92" s="362"/>
      <c r="Q92" s="254"/>
      <c r="R92" s="254"/>
      <c r="S92" s="362"/>
      <c r="T92" s="254"/>
      <c r="U92" s="484"/>
    </row>
    <row r="93" spans="1:21" s="318" customFormat="1" ht="5.0999999999999996" customHeight="1" x14ac:dyDescent="0.2">
      <c r="A93" s="317"/>
      <c r="B93" s="481"/>
      <c r="C93" s="340"/>
      <c r="D93" s="324"/>
      <c r="E93" s="340"/>
      <c r="F93" s="324"/>
      <c r="G93" s="324"/>
      <c r="H93" s="324"/>
      <c r="I93" s="324"/>
      <c r="J93" s="481"/>
      <c r="K93" s="324"/>
      <c r="L93" s="324"/>
      <c r="M93" s="577"/>
      <c r="O93" s="273"/>
      <c r="P93" s="489"/>
      <c r="Q93" s="324"/>
      <c r="R93" s="273"/>
      <c r="S93" s="489"/>
      <c r="T93" s="324"/>
      <c r="U93" s="484"/>
    </row>
    <row r="94" spans="1:21" s="492" customFormat="1" ht="11.1" customHeight="1" x14ac:dyDescent="0.2">
      <c r="A94" s="353" t="s">
        <v>1133</v>
      </c>
      <c r="B94" s="362"/>
      <c r="C94" s="1521">
        <v>8995</v>
      </c>
      <c r="D94" s="324"/>
      <c r="E94" s="1521">
        <v>152</v>
      </c>
      <c r="F94" s="324"/>
      <c r="G94" s="1521">
        <v>1815</v>
      </c>
      <c r="H94" s="486"/>
      <c r="I94" s="487"/>
      <c r="J94" s="1107"/>
      <c r="K94" s="487">
        <f>SUM(C94:I94)</f>
        <v>10962</v>
      </c>
      <c r="L94" s="254"/>
      <c r="M94" s="353"/>
      <c r="O94" s="254"/>
      <c r="P94" s="362"/>
      <c r="Q94" s="254"/>
      <c r="R94" s="254"/>
      <c r="S94" s="362"/>
      <c r="T94" s="254"/>
      <c r="U94" s="484"/>
    </row>
    <row r="95" spans="1:21" s="492" customFormat="1" ht="5.0999999999999996" customHeight="1" x14ac:dyDescent="0.2">
      <c r="A95" s="353"/>
      <c r="B95" s="362"/>
      <c r="C95" s="661"/>
      <c r="D95" s="362"/>
      <c r="E95" s="661"/>
      <c r="F95" s="362"/>
      <c r="G95" s="661"/>
      <c r="H95" s="323"/>
      <c r="I95" s="661"/>
      <c r="J95" s="362"/>
      <c r="K95" s="661"/>
      <c r="L95" s="254"/>
      <c r="M95" s="489"/>
      <c r="O95" s="254"/>
      <c r="P95" s="362"/>
      <c r="Q95" s="254"/>
      <c r="R95" s="254"/>
      <c r="S95" s="362"/>
      <c r="T95" s="254"/>
      <c r="U95" s="484"/>
    </row>
    <row r="96" spans="1:21" s="492" customFormat="1" ht="11.1" customHeight="1" x14ac:dyDescent="0.2">
      <c r="B96" s="362"/>
      <c r="C96" s="339"/>
      <c r="D96" s="362"/>
      <c r="E96" s="339"/>
      <c r="F96" s="362"/>
      <c r="G96" s="339"/>
      <c r="H96" s="323"/>
      <c r="I96" s="339"/>
      <c r="J96" s="362"/>
      <c r="K96" s="671" t="s">
        <v>1454</v>
      </c>
      <c r="L96" s="254"/>
      <c r="M96" s="489"/>
      <c r="O96" s="254"/>
      <c r="P96" s="362"/>
      <c r="Q96" s="254"/>
      <c r="R96" s="254"/>
      <c r="S96" s="362"/>
      <c r="T96" s="254"/>
      <c r="U96" s="484"/>
    </row>
    <row r="97" spans="1:21" s="492" customFormat="1" ht="5.0999999999999996" customHeight="1" x14ac:dyDescent="0.2">
      <c r="A97" s="253"/>
      <c r="B97" s="254"/>
      <c r="C97" s="254"/>
      <c r="D97" s="254"/>
      <c r="E97" s="254"/>
      <c r="F97" s="254"/>
      <c r="G97" s="254"/>
      <c r="H97" s="254"/>
      <c r="I97" s="254"/>
      <c r="J97" s="254"/>
      <c r="K97" s="254"/>
      <c r="L97" s="254"/>
      <c r="M97" s="489"/>
      <c r="N97" s="254"/>
      <c r="O97" s="352"/>
      <c r="P97" s="254"/>
      <c r="Q97" s="254"/>
      <c r="R97" s="352"/>
      <c r="S97" s="254"/>
      <c r="T97" s="254"/>
      <c r="U97" s="484"/>
    </row>
    <row r="98" spans="1:21" s="247" customFormat="1" ht="16.5" customHeight="1" thickBot="1" x14ac:dyDescent="0.25">
      <c r="A98" s="1582" t="s">
        <v>1033</v>
      </c>
      <c r="B98" s="1582"/>
      <c r="C98" s="1582"/>
      <c r="D98" s="1582"/>
      <c r="E98" s="1582"/>
      <c r="F98" s="1582"/>
      <c r="G98" s="1582"/>
      <c r="H98" s="1582"/>
      <c r="I98" s="1582"/>
      <c r="J98" s="1582"/>
      <c r="K98" s="1582"/>
      <c r="L98" s="303"/>
      <c r="M98" s="399"/>
    </row>
    <row r="99" spans="1:21" s="247" customFormat="1" ht="15" customHeight="1" x14ac:dyDescent="0.2">
      <c r="A99" s="700" t="s">
        <v>1118</v>
      </c>
      <c r="B99" s="310"/>
      <c r="C99" s="310"/>
      <c r="D99" s="310"/>
      <c r="E99" s="310"/>
      <c r="F99" s="310"/>
      <c r="G99" s="310"/>
      <c r="H99" s="310"/>
      <c r="I99" s="310"/>
      <c r="J99" s="310"/>
      <c r="K99" s="302"/>
      <c r="L99" s="586"/>
      <c r="M99" s="318"/>
      <c r="N99" s="586"/>
      <c r="O99" s="586"/>
      <c r="P99" s="586"/>
      <c r="Q99" s="586"/>
      <c r="R99" s="586"/>
      <c r="S99" s="586"/>
      <c r="T99" s="265"/>
      <c r="U99" s="320"/>
    </row>
    <row r="100" spans="1:21" s="247" customFormat="1" ht="15" customHeight="1" x14ac:dyDescent="0.2">
      <c r="A100" s="700" t="s">
        <v>1487</v>
      </c>
      <c r="B100" s="310"/>
      <c r="C100" s="310"/>
      <c r="D100" s="310"/>
      <c r="E100" s="310"/>
      <c r="F100" s="310"/>
      <c r="G100" s="310"/>
      <c r="H100" s="310"/>
      <c r="I100" s="310"/>
      <c r="J100" s="310"/>
      <c r="K100" s="302"/>
      <c r="L100" s="321"/>
      <c r="M100" s="489"/>
      <c r="N100" s="321"/>
      <c r="O100" s="321"/>
      <c r="P100" s="321"/>
      <c r="Q100" s="321"/>
      <c r="R100" s="321"/>
      <c r="S100" s="321"/>
      <c r="T100" s="265"/>
      <c r="U100" s="320"/>
    </row>
    <row r="101" spans="1:21" s="247" customFormat="1" ht="12.95" customHeight="1" x14ac:dyDescent="0.2">
      <c r="A101" s="506" t="s">
        <v>1724</v>
      </c>
      <c r="B101" s="311"/>
      <c r="C101" s="311"/>
      <c r="D101" s="506"/>
      <c r="E101" s="311"/>
      <c r="F101" s="506"/>
      <c r="G101" s="506"/>
      <c r="H101" s="506"/>
      <c r="I101" s="506"/>
      <c r="J101" s="311"/>
      <c r="K101" s="311"/>
      <c r="L101" s="321"/>
      <c r="M101" s="489"/>
      <c r="N101" s="321"/>
      <c r="O101" s="321"/>
      <c r="P101" s="321"/>
      <c r="Q101" s="321"/>
      <c r="R101" s="321"/>
      <c r="S101" s="321"/>
      <c r="T101" s="265"/>
      <c r="U101" s="320"/>
    </row>
    <row r="102" spans="1:21" s="247" customFormat="1" ht="12" customHeight="1" x14ac:dyDescent="0.2">
      <c r="A102" s="253" t="s">
        <v>972</v>
      </c>
      <c r="B102" s="312"/>
      <c r="C102" s="246"/>
      <c r="D102" s="312"/>
      <c r="E102" s="246"/>
      <c r="F102" s="312"/>
      <c r="G102" s="246"/>
      <c r="H102" s="312"/>
      <c r="I102" s="312"/>
      <c r="J102" s="312"/>
      <c r="M102" s="489"/>
    </row>
    <row r="103" spans="1:21" ht="12.6" customHeight="1" x14ac:dyDescent="0.2">
      <c r="A103" s="247"/>
      <c r="B103" s="270"/>
      <c r="C103" s="319"/>
      <c r="D103" s="270"/>
      <c r="E103" s="319"/>
      <c r="F103" s="270"/>
      <c r="G103" s="319"/>
      <c r="H103" s="265"/>
      <c r="I103" s="319"/>
      <c r="J103" s="270"/>
      <c r="K103" s="265"/>
      <c r="L103" s="270"/>
      <c r="M103" s="489"/>
      <c r="N103" s="265"/>
      <c r="O103" s="270"/>
      <c r="P103" s="265"/>
      <c r="Q103" s="265"/>
      <c r="R103" s="270"/>
      <c r="S103" s="265"/>
      <c r="T103" s="265"/>
      <c r="U103" s="320"/>
    </row>
    <row r="104" spans="1:21" s="474" customFormat="1" ht="12.6" customHeight="1" x14ac:dyDescent="0.2">
      <c r="A104" s="472"/>
      <c r="B104" s="212"/>
      <c r="C104" s="212"/>
      <c r="D104" s="212"/>
      <c r="E104" s="212"/>
      <c r="F104" s="212"/>
      <c r="G104" s="212"/>
      <c r="H104" s="458"/>
      <c r="I104" s="212"/>
      <c r="J104" s="212"/>
      <c r="K104" s="310" t="s">
        <v>671</v>
      </c>
      <c r="L104" s="472"/>
      <c r="M104" s="362"/>
      <c r="N104" s="472"/>
      <c r="O104" s="472"/>
      <c r="P104" s="472"/>
      <c r="Q104" s="336"/>
      <c r="R104" s="310"/>
      <c r="S104" s="310"/>
      <c r="T104" s="472"/>
      <c r="U104" s="473"/>
    </row>
    <row r="105" spans="1:21" s="474" customFormat="1" ht="12.6" customHeight="1" x14ac:dyDescent="0.2">
      <c r="A105" s="472"/>
      <c r="B105" s="336"/>
      <c r="C105" s="310"/>
      <c r="D105" s="336"/>
      <c r="F105" s="336"/>
      <c r="G105" s="336"/>
      <c r="H105" s="458"/>
      <c r="I105" s="310"/>
      <c r="J105" s="336"/>
      <c r="K105" s="310" t="s">
        <v>1064</v>
      </c>
      <c r="L105" s="472"/>
      <c r="M105" s="489"/>
      <c r="N105" s="472"/>
      <c r="O105" s="472"/>
      <c r="P105" s="472"/>
      <c r="Q105" s="336"/>
      <c r="R105" s="310"/>
      <c r="S105" s="310"/>
      <c r="T105" s="472"/>
      <c r="U105" s="473"/>
    </row>
    <row r="106" spans="1:21" s="474" customFormat="1" ht="12.6" customHeight="1" x14ac:dyDescent="0.2">
      <c r="A106" s="472"/>
      <c r="C106" s="310" t="s">
        <v>439</v>
      </c>
      <c r="E106" s="310" t="s">
        <v>448</v>
      </c>
      <c r="G106" s="310" t="s">
        <v>837</v>
      </c>
      <c r="H106" s="310"/>
      <c r="I106" s="310" t="s">
        <v>842</v>
      </c>
      <c r="K106" s="310" t="s">
        <v>57</v>
      </c>
      <c r="L106" s="336"/>
      <c r="M106" s="362"/>
      <c r="N106" s="336"/>
      <c r="O106" s="476"/>
      <c r="P106" s="476"/>
      <c r="Q106" s="336"/>
      <c r="R106" s="472"/>
      <c r="S106" s="472"/>
      <c r="T106" s="472"/>
      <c r="U106" s="473"/>
    </row>
    <row r="107" spans="1:21" s="474" customFormat="1" ht="12.6" customHeight="1" x14ac:dyDescent="0.2">
      <c r="A107" s="472"/>
      <c r="C107" s="574" t="s">
        <v>838</v>
      </c>
      <c r="E107" s="310" t="s">
        <v>449</v>
      </c>
      <c r="G107" s="574" t="s">
        <v>59</v>
      </c>
      <c r="H107" s="360"/>
      <c r="I107" s="574" t="s">
        <v>228</v>
      </c>
      <c r="K107" s="574" t="s">
        <v>864</v>
      </c>
      <c r="L107" s="336"/>
      <c r="M107" s="362"/>
      <c r="N107" s="336"/>
      <c r="O107" s="477"/>
      <c r="P107" s="477"/>
      <c r="Q107" s="336"/>
      <c r="R107" s="472"/>
      <c r="S107" s="472"/>
      <c r="T107" s="472"/>
      <c r="U107" s="473"/>
    </row>
    <row r="108" spans="1:21" s="318" customFormat="1" ht="9.9499999999999993" customHeight="1" x14ac:dyDescent="0.2">
      <c r="A108" s="322" t="s">
        <v>751</v>
      </c>
      <c r="B108" s="316"/>
      <c r="C108" s="323"/>
      <c r="D108" s="316"/>
      <c r="E108" s="590"/>
      <c r="F108" s="316"/>
      <c r="G108" s="323"/>
      <c r="H108" s="323"/>
      <c r="I108" s="323"/>
      <c r="J108" s="316"/>
      <c r="K108" s="323"/>
      <c r="L108" s="322"/>
      <c r="M108" s="322"/>
      <c r="N108" s="254"/>
      <c r="O108" s="254"/>
      <c r="P108" s="316"/>
      <c r="Q108" s="254"/>
      <c r="R108" s="254"/>
      <c r="S108" s="316"/>
      <c r="T108" s="254"/>
      <c r="U108" s="484"/>
    </row>
    <row r="109" spans="1:21" s="318" customFormat="1" ht="9.9499999999999993" customHeight="1" x14ac:dyDescent="0.2">
      <c r="A109" s="701" t="s">
        <v>80</v>
      </c>
      <c r="B109" s="481"/>
      <c r="C109" s="323"/>
      <c r="D109" s="481"/>
      <c r="E109" s="323"/>
      <c r="F109" s="481"/>
      <c r="G109" s="323"/>
      <c r="H109" s="323"/>
      <c r="I109" s="323"/>
      <c r="J109" s="481"/>
      <c r="K109" s="323"/>
      <c r="L109" s="701"/>
      <c r="M109" s="701"/>
      <c r="N109" s="254"/>
      <c r="O109" s="254"/>
      <c r="P109" s="482"/>
      <c r="Q109" s="254"/>
      <c r="R109" s="254"/>
      <c r="S109" s="482"/>
      <c r="T109" s="254"/>
      <c r="U109" s="484"/>
    </row>
    <row r="110" spans="1:21" s="318" customFormat="1" ht="9.9499999999999993" customHeight="1" x14ac:dyDescent="0.2">
      <c r="A110" s="702" t="s">
        <v>758</v>
      </c>
      <c r="B110" s="481"/>
      <c r="C110" s="323"/>
      <c r="D110" s="481"/>
      <c r="E110" s="323"/>
      <c r="F110" s="481"/>
      <c r="G110" s="323"/>
      <c r="H110" s="323"/>
      <c r="I110" s="323"/>
      <c r="J110" s="481"/>
      <c r="K110" s="323"/>
      <c r="L110" s="702"/>
      <c r="M110" s="702"/>
      <c r="N110" s="254"/>
      <c r="O110" s="254"/>
      <c r="P110" s="482"/>
      <c r="Q110" s="254"/>
      <c r="R110" s="254"/>
      <c r="S110" s="482"/>
      <c r="T110" s="254"/>
      <c r="U110" s="484"/>
    </row>
    <row r="111" spans="1:21" s="318" customFormat="1" ht="9.9499999999999993" customHeight="1" x14ac:dyDescent="0.2">
      <c r="A111" s="704" t="s">
        <v>688</v>
      </c>
      <c r="B111" s="362"/>
      <c r="C111" s="483">
        <v>487</v>
      </c>
      <c r="D111" s="317"/>
      <c r="E111" s="339">
        <v>100</v>
      </c>
      <c r="F111" s="481"/>
      <c r="G111" s="483">
        <v>74</v>
      </c>
      <c r="H111" s="323"/>
      <c r="I111" s="483"/>
      <c r="J111" s="481"/>
      <c r="K111" s="339">
        <f t="shared" ref="K111:K125" si="23">SUM(C111:I111)</f>
        <v>661</v>
      </c>
      <c r="L111" s="704"/>
      <c r="M111" s="704"/>
      <c r="O111" s="254"/>
      <c r="P111" s="362"/>
      <c r="Q111" s="254"/>
      <c r="R111" s="254"/>
      <c r="S111" s="362"/>
      <c r="T111" s="254"/>
      <c r="U111" s="484"/>
    </row>
    <row r="112" spans="1:21" s="318" customFormat="1" ht="9.9499999999999993" customHeight="1" x14ac:dyDescent="0.2">
      <c r="A112" s="704" t="s">
        <v>847</v>
      </c>
      <c r="B112" s="481"/>
      <c r="C112" s="323">
        <v>4151</v>
      </c>
      <c r="D112" s="317"/>
      <c r="E112" s="323">
        <v>15</v>
      </c>
      <c r="F112" s="481"/>
      <c r="G112" s="323">
        <v>83</v>
      </c>
      <c r="H112" s="324"/>
      <c r="I112" s="323"/>
      <c r="J112" s="481"/>
      <c r="K112" s="273">
        <f t="shared" si="23"/>
        <v>4249</v>
      </c>
      <c r="L112" s="704">
        <v>234</v>
      </c>
      <c r="M112" s="1484">
        <f>+L112-G112</f>
        <v>151</v>
      </c>
      <c r="O112" s="273"/>
      <c r="P112" s="489"/>
      <c r="Q112" s="254"/>
      <c r="R112" s="273"/>
      <c r="S112" s="489"/>
      <c r="T112" s="254"/>
      <c r="U112" s="484"/>
    </row>
    <row r="113" spans="1:21" s="318" customFormat="1" ht="9.9499999999999993" hidden="1" customHeight="1" x14ac:dyDescent="0.2">
      <c r="A113" s="704" t="s">
        <v>254</v>
      </c>
      <c r="B113" s="481"/>
      <c r="C113" s="323"/>
      <c r="D113" s="317"/>
      <c r="E113" s="323"/>
      <c r="F113" s="481"/>
      <c r="G113" s="323"/>
      <c r="H113" s="324"/>
      <c r="I113" s="323"/>
      <c r="J113" s="481"/>
      <c r="K113" s="273">
        <f t="shared" si="23"/>
        <v>0</v>
      </c>
      <c r="L113" s="704"/>
      <c r="M113" s="704"/>
      <c r="O113" s="273"/>
      <c r="P113" s="489"/>
      <c r="Q113" s="254"/>
      <c r="R113" s="273"/>
      <c r="S113" s="489"/>
      <c r="T113" s="254"/>
      <c r="U113" s="484"/>
    </row>
    <row r="114" spans="1:21" s="318" customFormat="1" ht="9.9499999999999993" customHeight="1" x14ac:dyDescent="0.2">
      <c r="A114" s="704" t="s">
        <v>690</v>
      </c>
      <c r="B114" s="481"/>
      <c r="C114" s="324">
        <v>648</v>
      </c>
      <c r="D114" s="317"/>
      <c r="E114" s="324">
        <v>6</v>
      </c>
      <c r="F114" s="481"/>
      <c r="G114" s="323">
        <v>106</v>
      </c>
      <c r="H114" s="324"/>
      <c r="I114" s="324"/>
      <c r="J114" s="481"/>
      <c r="K114" s="273">
        <f t="shared" si="23"/>
        <v>760</v>
      </c>
      <c r="L114" s="704"/>
      <c r="M114" s="704"/>
      <c r="O114" s="273"/>
      <c r="P114" s="489"/>
      <c r="Q114" s="254"/>
      <c r="R114" s="273"/>
      <c r="S114" s="489"/>
      <c r="T114" s="254"/>
      <c r="U114" s="484"/>
    </row>
    <row r="115" spans="1:21" s="318" customFormat="1" ht="9.9499999999999993" hidden="1" customHeight="1" x14ac:dyDescent="0.2">
      <c r="A115" s="704" t="s">
        <v>676</v>
      </c>
      <c r="B115" s="481"/>
      <c r="C115" s="324"/>
      <c r="D115" s="317"/>
      <c r="E115" s="324"/>
      <c r="F115" s="481"/>
      <c r="G115" s="324"/>
      <c r="H115" s="324"/>
      <c r="I115" s="324"/>
      <c r="J115" s="481"/>
      <c r="K115" s="273">
        <f t="shared" si="23"/>
        <v>0</v>
      </c>
      <c r="L115" s="704"/>
      <c r="M115" s="704"/>
      <c r="O115" s="273"/>
      <c r="P115" s="489"/>
      <c r="Q115" s="254"/>
      <c r="R115" s="273"/>
      <c r="S115" s="489"/>
      <c r="T115" s="254"/>
      <c r="U115" s="484"/>
    </row>
    <row r="116" spans="1:21" s="318" customFormat="1" ht="9.9499999999999993" customHeight="1" x14ac:dyDescent="0.2">
      <c r="A116" s="704" t="s">
        <v>850</v>
      </c>
      <c r="B116" s="481"/>
      <c r="C116" s="324">
        <v>1409</v>
      </c>
      <c r="D116" s="317"/>
      <c r="E116" s="1522">
        <v>12</v>
      </c>
      <c r="F116" s="481"/>
      <c r="G116" s="324">
        <v>236</v>
      </c>
      <c r="H116" s="324"/>
      <c r="I116" s="324"/>
      <c r="J116" s="481"/>
      <c r="K116" s="273">
        <f t="shared" si="23"/>
        <v>1657</v>
      </c>
      <c r="L116" s="704"/>
      <c r="M116" s="704"/>
      <c r="O116" s="273"/>
      <c r="P116" s="489"/>
      <c r="Q116" s="254"/>
      <c r="R116" s="273"/>
      <c r="S116" s="489"/>
      <c r="T116" s="254"/>
      <c r="U116" s="484"/>
    </row>
    <row r="117" spans="1:21" s="318" customFormat="1" ht="9.9499999999999993" customHeight="1" x14ac:dyDescent="0.2">
      <c r="A117" s="704" t="s">
        <v>692</v>
      </c>
      <c r="B117" s="481"/>
      <c r="C117" s="324"/>
      <c r="D117" s="317"/>
      <c r="E117" s="324">
        <v>14</v>
      </c>
      <c r="F117" s="481"/>
      <c r="G117" s="324">
        <v>18</v>
      </c>
      <c r="H117" s="324"/>
      <c r="I117" s="324"/>
      <c r="J117" s="481"/>
      <c r="K117" s="273">
        <f t="shared" si="23"/>
        <v>32</v>
      </c>
      <c r="L117" s="704"/>
      <c r="M117" s="704"/>
      <c r="O117" s="273"/>
      <c r="P117" s="489"/>
      <c r="Q117" s="254"/>
      <c r="R117" s="273"/>
      <c r="S117" s="489"/>
      <c r="T117" s="254"/>
      <c r="U117" s="484"/>
    </row>
    <row r="118" spans="1:21" s="318" customFormat="1" ht="9.9499999999999993" customHeight="1" x14ac:dyDescent="0.2">
      <c r="A118" s="704" t="s">
        <v>1586</v>
      </c>
      <c r="B118" s="481"/>
      <c r="C118" s="488"/>
      <c r="D118" s="317"/>
      <c r="E118" s="324"/>
      <c r="F118" s="481"/>
      <c r="G118" s="324">
        <v>2</v>
      </c>
      <c r="H118" s="324"/>
      <c r="I118" s="273"/>
      <c r="J118" s="481"/>
      <c r="K118" s="273">
        <f t="shared" si="23"/>
        <v>2</v>
      </c>
      <c r="L118" s="704"/>
      <c r="M118" s="704"/>
      <c r="O118" s="273"/>
      <c r="P118" s="489"/>
      <c r="Q118" s="273"/>
      <c r="R118" s="273"/>
      <c r="S118" s="489"/>
      <c r="T118" s="273"/>
      <c r="U118" s="484"/>
    </row>
    <row r="119" spans="1:21" s="318" customFormat="1" ht="9.9499999999999993" hidden="1" customHeight="1" x14ac:dyDescent="0.2">
      <c r="A119" s="704" t="s">
        <v>1603</v>
      </c>
      <c r="B119" s="481"/>
      <c r="C119" s="324"/>
      <c r="D119" s="317"/>
      <c r="E119" s="324"/>
      <c r="F119" s="481"/>
      <c r="G119" s="324"/>
      <c r="H119" s="324"/>
      <c r="I119" s="273"/>
      <c r="J119" s="481"/>
      <c r="K119" s="273">
        <f t="shared" si="23"/>
        <v>0</v>
      </c>
      <c r="L119" s="704"/>
      <c r="M119" s="704"/>
      <c r="O119" s="273"/>
      <c r="P119" s="489"/>
      <c r="Q119" s="273"/>
      <c r="R119" s="273"/>
      <c r="S119" s="489"/>
      <c r="T119" s="273"/>
      <c r="U119" s="484"/>
    </row>
    <row r="120" spans="1:21" s="318" customFormat="1" ht="9.9499999999999993" customHeight="1" x14ac:dyDescent="0.2">
      <c r="A120" s="704" t="s">
        <v>1647</v>
      </c>
      <c r="B120" s="481"/>
      <c r="C120" s="488">
        <v>420</v>
      </c>
      <c r="D120" s="317"/>
      <c r="E120" s="324"/>
      <c r="F120" s="481"/>
      <c r="G120" s="324"/>
      <c r="H120" s="324"/>
      <c r="I120" s="273"/>
      <c r="J120" s="481"/>
      <c r="K120" s="273">
        <f t="shared" si="23"/>
        <v>420</v>
      </c>
      <c r="L120" s="704"/>
      <c r="M120" s="704"/>
      <c r="O120" s="273"/>
      <c r="P120" s="489"/>
      <c r="Q120" s="273"/>
      <c r="R120" s="273"/>
      <c r="S120" s="489"/>
      <c r="T120" s="273"/>
      <c r="U120" s="484"/>
    </row>
    <row r="121" spans="1:21" s="318" customFormat="1" ht="9.9499999999999993" hidden="1" customHeight="1" x14ac:dyDescent="0.2">
      <c r="A121" s="704" t="s">
        <v>851</v>
      </c>
      <c r="B121" s="481"/>
      <c r="C121" s="488"/>
      <c r="D121" s="317"/>
      <c r="E121" s="488"/>
      <c r="F121" s="481"/>
      <c r="G121" s="324"/>
      <c r="H121" s="324"/>
      <c r="I121" s="273"/>
      <c r="J121" s="481"/>
      <c r="K121" s="273">
        <f t="shared" si="23"/>
        <v>0</v>
      </c>
      <c r="L121" s="704"/>
      <c r="M121" s="704"/>
      <c r="O121" s="273"/>
      <c r="P121" s="489"/>
      <c r="Q121" s="273"/>
      <c r="R121" s="273"/>
      <c r="S121" s="489"/>
      <c r="T121" s="273"/>
      <c r="U121" s="484"/>
    </row>
    <row r="122" spans="1:21" s="318" customFormat="1" ht="9.9499999999999993" hidden="1" customHeight="1" x14ac:dyDescent="0.2">
      <c r="A122" s="704" t="s">
        <v>1267</v>
      </c>
      <c r="B122" s="481"/>
      <c r="C122" s="488"/>
      <c r="D122" s="317"/>
      <c r="E122" s="488"/>
      <c r="F122" s="481"/>
      <c r="G122" s="324"/>
      <c r="H122" s="324"/>
      <c r="I122" s="273"/>
      <c r="J122" s="481"/>
      <c r="K122" s="273">
        <f t="shared" si="23"/>
        <v>0</v>
      </c>
      <c r="L122" s="704"/>
      <c r="M122" s="704"/>
      <c r="O122" s="273"/>
      <c r="P122" s="489"/>
      <c r="Q122" s="273"/>
      <c r="R122" s="273"/>
      <c r="S122" s="489"/>
      <c r="T122" s="273"/>
      <c r="U122" s="484"/>
    </row>
    <row r="123" spans="1:21" s="318" customFormat="1" ht="9.9499999999999993" hidden="1" customHeight="1" x14ac:dyDescent="0.2">
      <c r="A123" s="704" t="s">
        <v>1434</v>
      </c>
      <c r="B123" s="481"/>
      <c r="C123" s="488"/>
      <c r="D123" s="317"/>
      <c r="E123" s="488"/>
      <c r="F123" s="481"/>
      <c r="G123" s="324"/>
      <c r="H123" s="324"/>
      <c r="I123" s="273"/>
      <c r="J123" s="481"/>
      <c r="K123" s="273">
        <f t="shared" si="23"/>
        <v>0</v>
      </c>
      <c r="L123" s="704"/>
      <c r="M123" s="704"/>
      <c r="O123" s="273"/>
      <c r="P123" s="489"/>
      <c r="Q123" s="273"/>
      <c r="R123" s="273"/>
      <c r="S123" s="489"/>
      <c r="T123" s="273"/>
      <c r="U123" s="484"/>
    </row>
    <row r="124" spans="1:21" s="318" customFormat="1" ht="9.9499999999999993" hidden="1" customHeight="1" x14ac:dyDescent="0.2">
      <c r="A124" s="427" t="s">
        <v>604</v>
      </c>
      <c r="B124" s="481"/>
      <c r="C124" s="324"/>
      <c r="D124" s="317"/>
      <c r="E124" s="324"/>
      <c r="F124" s="481"/>
      <c r="G124" s="324"/>
      <c r="H124" s="324"/>
      <c r="I124" s="324"/>
      <c r="J124" s="481"/>
      <c r="K124" s="273">
        <f t="shared" si="23"/>
        <v>0</v>
      </c>
      <c r="L124" s="705"/>
      <c r="M124" s="705"/>
      <c r="O124" s="273"/>
      <c r="P124" s="489"/>
      <c r="Q124" s="254"/>
      <c r="R124" s="273"/>
      <c r="S124" s="489"/>
      <c r="T124" s="254"/>
      <c r="U124" s="484"/>
    </row>
    <row r="125" spans="1:21" s="318" customFormat="1" ht="9.9499999999999993" hidden="1" customHeight="1" x14ac:dyDescent="0.2">
      <c r="A125" s="427" t="s">
        <v>593</v>
      </c>
      <c r="B125" s="481"/>
      <c r="C125" s="324"/>
      <c r="D125" s="317"/>
      <c r="E125" s="324"/>
      <c r="F125" s="481"/>
      <c r="G125" s="324">
        <v>0</v>
      </c>
      <c r="H125" s="324"/>
      <c r="I125" s="324"/>
      <c r="J125" s="481"/>
      <c r="K125" s="273">
        <f t="shared" si="23"/>
        <v>0</v>
      </c>
      <c r="L125" s="705"/>
      <c r="M125" s="705"/>
      <c r="O125" s="273"/>
      <c r="P125" s="489"/>
      <c r="Q125" s="254"/>
      <c r="R125" s="273"/>
      <c r="S125" s="489"/>
      <c r="T125" s="254"/>
      <c r="U125" s="484"/>
    </row>
    <row r="126" spans="1:21" s="318" customFormat="1" ht="5.0999999999999996" customHeight="1" x14ac:dyDescent="0.2">
      <c r="A126" s="702"/>
      <c r="B126" s="481"/>
      <c r="C126" s="496"/>
      <c r="D126" s="317"/>
      <c r="E126" s="496"/>
      <c r="F126" s="481"/>
      <c r="G126" s="496"/>
      <c r="H126" s="324"/>
      <c r="I126" s="496"/>
      <c r="J126" s="481"/>
      <c r="K126" s="496"/>
      <c r="L126" s="253"/>
      <c r="M126" s="253"/>
      <c r="O126" s="273"/>
      <c r="P126" s="489"/>
      <c r="Q126" s="273"/>
      <c r="R126" s="273"/>
      <c r="S126" s="489"/>
      <c r="T126" s="273"/>
      <c r="U126" s="484"/>
    </row>
    <row r="127" spans="1:21" s="492" customFormat="1" ht="11.1" customHeight="1" x14ac:dyDescent="0.2">
      <c r="A127" s="702" t="s">
        <v>759</v>
      </c>
      <c r="B127" s="362"/>
      <c r="C127" s="341">
        <f>SUM(C111:C126)</f>
        <v>7115</v>
      </c>
      <c r="E127" s="341">
        <f>SUM(E111:E126)</f>
        <v>147</v>
      </c>
      <c r="F127" s="362"/>
      <c r="G127" s="341">
        <f>SUM(G111:G126)</f>
        <v>519</v>
      </c>
      <c r="H127" s="273"/>
      <c r="I127" s="341"/>
      <c r="J127" s="362"/>
      <c r="K127" s="341">
        <f>SUM(K111:K126)</f>
        <v>7781</v>
      </c>
      <c r="L127" s="702"/>
      <c r="M127" s="702"/>
      <c r="O127" s="273"/>
      <c r="P127" s="399"/>
      <c r="Q127" s="273"/>
      <c r="R127" s="273"/>
      <c r="S127" s="399"/>
      <c r="T127" s="273"/>
      <c r="U127" s="484"/>
    </row>
    <row r="128" spans="1:21" s="318" customFormat="1" ht="5.0999999999999996" customHeight="1" x14ac:dyDescent="0.2">
      <c r="A128" s="577"/>
      <c r="B128" s="481"/>
      <c r="C128" s="324"/>
      <c r="D128" s="482"/>
      <c r="E128" s="324"/>
      <c r="F128" s="481"/>
      <c r="G128" s="324"/>
      <c r="H128" s="324"/>
      <c r="I128" s="324"/>
      <c r="J128" s="481"/>
      <c r="K128" s="324"/>
      <c r="L128" s="577"/>
      <c r="M128" s="577"/>
      <c r="O128" s="273"/>
      <c r="P128" s="489"/>
      <c r="Q128" s="273"/>
      <c r="R128" s="273"/>
      <c r="S128" s="489"/>
      <c r="T128" s="273"/>
      <c r="U128" s="484"/>
    </row>
    <row r="129" spans="1:21" s="318" customFormat="1" ht="9.9499999999999993" customHeight="1" x14ac:dyDescent="0.2">
      <c r="A129" s="702" t="s">
        <v>1423</v>
      </c>
      <c r="B129" s="481"/>
      <c r="C129" s="324"/>
      <c r="D129" s="317"/>
      <c r="E129" s="324"/>
      <c r="F129" s="481"/>
      <c r="G129" s="324"/>
      <c r="H129" s="324"/>
      <c r="I129" s="324"/>
      <c r="J129" s="481"/>
      <c r="K129" s="324"/>
      <c r="L129" s="702"/>
      <c r="M129" s="702"/>
      <c r="O129" s="273"/>
      <c r="P129" s="324"/>
      <c r="Q129" s="273"/>
      <c r="R129" s="273"/>
      <c r="S129" s="324"/>
      <c r="T129" s="273"/>
      <c r="U129" s="484"/>
    </row>
    <row r="130" spans="1:21" s="318" customFormat="1" ht="9.9499999999999993" customHeight="1" x14ac:dyDescent="0.2">
      <c r="A130" s="704" t="s">
        <v>688</v>
      </c>
      <c r="B130" s="481"/>
      <c r="C130" s="488">
        <v>38</v>
      </c>
      <c r="D130" s="317"/>
      <c r="E130" s="488"/>
      <c r="F130" s="481"/>
      <c r="G130" s="324">
        <v>0</v>
      </c>
      <c r="H130" s="324"/>
      <c r="I130" s="273"/>
      <c r="J130" s="481"/>
      <c r="K130" s="273">
        <f t="shared" ref="K130:K140" si="24">SUM(C130:I130)</f>
        <v>38</v>
      </c>
      <c r="L130" s="704"/>
      <c r="M130" s="704"/>
      <c r="O130" s="273"/>
      <c r="P130" s="489"/>
      <c r="Q130" s="273"/>
      <c r="R130" s="273"/>
      <c r="S130" s="489"/>
      <c r="T130" s="273"/>
      <c r="U130" s="484"/>
    </row>
    <row r="131" spans="1:21" s="318" customFormat="1" ht="9.9499999999999993" hidden="1" customHeight="1" x14ac:dyDescent="0.2">
      <c r="A131" s="704" t="s">
        <v>690</v>
      </c>
      <c r="B131" s="481"/>
      <c r="C131" s="488"/>
      <c r="D131" s="481"/>
      <c r="E131" s="488"/>
      <c r="F131" s="481"/>
      <c r="G131" s="324"/>
      <c r="H131" s="324"/>
      <c r="I131" s="273"/>
      <c r="J131" s="481"/>
      <c r="K131" s="273">
        <f t="shared" si="24"/>
        <v>0</v>
      </c>
      <c r="L131" s="704"/>
      <c r="M131" s="704"/>
      <c r="O131" s="273"/>
      <c r="P131" s="489"/>
      <c r="Q131" s="273"/>
      <c r="R131" s="273"/>
      <c r="S131" s="489"/>
      <c r="T131" s="273"/>
      <c r="U131" s="484"/>
    </row>
    <row r="132" spans="1:21" s="318" customFormat="1" ht="9.9499999999999993" hidden="1" customHeight="1" x14ac:dyDescent="0.2">
      <c r="A132" s="704" t="s">
        <v>676</v>
      </c>
      <c r="B132" s="481"/>
      <c r="C132" s="488"/>
      <c r="D132" s="317"/>
      <c r="E132" s="488"/>
      <c r="F132" s="481"/>
      <c r="G132" s="324"/>
      <c r="H132" s="324"/>
      <c r="I132" s="273"/>
      <c r="J132" s="481"/>
      <c r="K132" s="273">
        <f t="shared" si="24"/>
        <v>0</v>
      </c>
      <c r="L132" s="704"/>
      <c r="M132" s="704"/>
      <c r="O132" s="273"/>
      <c r="P132" s="489"/>
      <c r="Q132" s="273"/>
      <c r="R132" s="273"/>
      <c r="S132" s="489"/>
      <c r="T132" s="273"/>
      <c r="U132" s="484"/>
    </row>
    <row r="133" spans="1:21" s="318" customFormat="1" ht="9.9499999999999993" hidden="1" customHeight="1" x14ac:dyDescent="0.2">
      <c r="A133" s="704" t="s">
        <v>850</v>
      </c>
      <c r="B133" s="481"/>
      <c r="C133" s="488"/>
      <c r="E133" s="488"/>
      <c r="F133" s="481"/>
      <c r="G133" s="324"/>
      <c r="H133" s="324"/>
      <c r="I133" s="273"/>
      <c r="J133" s="481"/>
      <c r="K133" s="273">
        <f t="shared" si="24"/>
        <v>0</v>
      </c>
      <c r="L133" s="704"/>
      <c r="M133" s="704"/>
      <c r="O133" s="273"/>
      <c r="P133" s="489"/>
      <c r="Q133" s="273"/>
      <c r="R133" s="273"/>
      <c r="S133" s="489"/>
      <c r="T133" s="273"/>
      <c r="U133" s="484"/>
    </row>
    <row r="134" spans="1:21" s="318" customFormat="1" ht="9.9499999999999993" hidden="1" customHeight="1" x14ac:dyDescent="0.2">
      <c r="A134" s="704" t="s">
        <v>692</v>
      </c>
      <c r="B134" s="481"/>
      <c r="C134" s="488"/>
      <c r="D134" s="317"/>
      <c r="E134" s="488"/>
      <c r="F134" s="481"/>
      <c r="G134" s="324"/>
      <c r="H134" s="324"/>
      <c r="I134" s="273"/>
      <c r="J134" s="481"/>
      <c r="K134" s="273">
        <f t="shared" si="24"/>
        <v>0</v>
      </c>
      <c r="L134" s="704"/>
      <c r="M134" s="704"/>
      <c r="O134" s="273"/>
      <c r="P134" s="489"/>
      <c r="Q134" s="273"/>
      <c r="R134" s="273"/>
      <c r="S134" s="489"/>
      <c r="T134" s="273"/>
      <c r="U134" s="484"/>
    </row>
    <row r="135" spans="1:21" s="318" customFormat="1" ht="9.9499999999999993" customHeight="1" x14ac:dyDescent="0.2">
      <c r="A135" s="1069" t="s">
        <v>1222</v>
      </c>
      <c r="B135" s="481"/>
      <c r="C135" s="488"/>
      <c r="D135" s="317"/>
      <c r="E135" s="488"/>
      <c r="F135" s="481"/>
      <c r="G135" s="324"/>
      <c r="H135" s="324"/>
      <c r="I135" s="273"/>
      <c r="J135" s="481"/>
      <c r="K135" s="273">
        <f t="shared" si="24"/>
        <v>0</v>
      </c>
      <c r="L135" s="1069"/>
      <c r="M135" s="1069"/>
      <c r="O135" s="273"/>
      <c r="P135" s="489"/>
      <c r="Q135" s="273"/>
      <c r="R135" s="273"/>
      <c r="S135" s="489"/>
      <c r="T135" s="273"/>
      <c r="U135" s="484"/>
    </row>
    <row r="136" spans="1:21" s="318" customFormat="1" ht="9.9499999999999993" customHeight="1" x14ac:dyDescent="0.2">
      <c r="A136" s="1104" t="s">
        <v>1223</v>
      </c>
      <c r="B136" s="481"/>
      <c r="C136" s="488">
        <v>324</v>
      </c>
      <c r="D136" s="317"/>
      <c r="E136" s="488"/>
      <c r="F136" s="481"/>
      <c r="G136" s="324"/>
      <c r="H136" s="324"/>
      <c r="I136" s="273"/>
      <c r="J136" s="481"/>
      <c r="K136" s="273">
        <f t="shared" si="24"/>
        <v>324</v>
      </c>
      <c r="L136" s="1104"/>
      <c r="M136" s="1104"/>
      <c r="O136" s="273"/>
      <c r="P136" s="489"/>
      <c r="Q136" s="273"/>
      <c r="R136" s="273"/>
      <c r="S136" s="489"/>
      <c r="T136" s="273"/>
      <c r="U136" s="484"/>
    </row>
    <row r="137" spans="1:21" s="318" customFormat="1" ht="9.9499999999999993" hidden="1" customHeight="1" x14ac:dyDescent="0.2">
      <c r="A137" s="704" t="s">
        <v>753</v>
      </c>
      <c r="B137" s="481"/>
      <c r="C137" s="488"/>
      <c r="D137" s="317"/>
      <c r="E137" s="488"/>
      <c r="F137" s="481"/>
      <c r="G137" s="324"/>
      <c r="H137" s="324"/>
      <c r="I137" s="273"/>
      <c r="J137" s="481"/>
      <c r="K137" s="273">
        <f t="shared" si="24"/>
        <v>0</v>
      </c>
      <c r="L137" s="705"/>
      <c r="M137" s="705"/>
      <c r="O137" s="273"/>
      <c r="P137" s="489"/>
      <c r="Q137" s="273"/>
      <c r="R137" s="273"/>
      <c r="S137" s="489"/>
      <c r="T137" s="273"/>
      <c r="U137" s="484"/>
    </row>
    <row r="138" spans="1:21" s="318" customFormat="1" ht="9.9499999999999993" hidden="1" customHeight="1" x14ac:dyDescent="0.2">
      <c r="A138" s="704" t="s">
        <v>631</v>
      </c>
      <c r="B138" s="481"/>
      <c r="C138" s="488"/>
      <c r="D138" s="317"/>
      <c r="E138" s="488"/>
      <c r="F138" s="481"/>
      <c r="G138" s="324"/>
      <c r="H138" s="324"/>
      <c r="I138" s="273"/>
      <c r="J138" s="481"/>
      <c r="K138" s="273">
        <f t="shared" si="24"/>
        <v>0</v>
      </c>
      <c r="L138" s="705"/>
      <c r="M138" s="705"/>
      <c r="O138" s="273"/>
      <c r="P138" s="489"/>
      <c r="Q138" s="273"/>
      <c r="R138" s="273"/>
      <c r="S138" s="489"/>
      <c r="T138" s="273"/>
      <c r="U138" s="484"/>
    </row>
    <row r="139" spans="1:21" s="318" customFormat="1" ht="9.75" hidden="1" customHeight="1" x14ac:dyDescent="0.2">
      <c r="A139" s="704" t="s">
        <v>636</v>
      </c>
      <c r="B139" s="481"/>
      <c r="C139" s="488"/>
      <c r="D139" s="317"/>
      <c r="E139" s="488"/>
      <c r="F139" s="481"/>
      <c r="G139" s="324"/>
      <c r="H139" s="324"/>
      <c r="I139" s="273"/>
      <c r="J139" s="481"/>
      <c r="K139" s="273">
        <f t="shared" si="24"/>
        <v>0</v>
      </c>
      <c r="L139" s="704"/>
      <c r="M139" s="704"/>
      <c r="O139" s="273"/>
      <c r="P139" s="489"/>
      <c r="Q139" s="273"/>
      <c r="R139" s="273"/>
      <c r="S139" s="489"/>
      <c r="T139" s="273"/>
      <c r="U139" s="484"/>
    </row>
    <row r="140" spans="1:21" s="318" customFormat="1" ht="9.9499999999999993" hidden="1" customHeight="1" x14ac:dyDescent="0.2">
      <c r="A140" s="704" t="s">
        <v>693</v>
      </c>
      <c r="B140" s="481"/>
      <c r="C140" s="488"/>
      <c r="D140" s="317"/>
      <c r="E140" s="488"/>
      <c r="F140" s="481"/>
      <c r="G140" s="324"/>
      <c r="H140" s="324"/>
      <c r="I140" s="324"/>
      <c r="J140" s="481"/>
      <c r="K140" s="273">
        <f t="shared" si="24"/>
        <v>0</v>
      </c>
      <c r="L140" s="704"/>
      <c r="M140" s="704"/>
      <c r="O140" s="273"/>
      <c r="P140" s="489"/>
      <c r="Q140" s="273"/>
      <c r="R140" s="273"/>
      <c r="S140" s="489"/>
      <c r="T140" s="273"/>
      <c r="U140" s="484"/>
    </row>
    <row r="141" spans="1:21" s="318" customFormat="1" ht="5.0999999999999996" customHeight="1" x14ac:dyDescent="0.2">
      <c r="A141" s="577"/>
      <c r="B141" s="481"/>
      <c r="C141" s="496"/>
      <c r="E141" s="496"/>
      <c r="F141" s="481"/>
      <c r="G141" s="496"/>
      <c r="H141" s="324"/>
      <c r="I141" s="496"/>
      <c r="J141" s="481"/>
      <c r="K141" s="496"/>
      <c r="L141" s="577"/>
      <c r="M141" s="577"/>
      <c r="O141" s="273"/>
      <c r="P141" s="489"/>
      <c r="Q141" s="273"/>
      <c r="R141" s="273"/>
      <c r="S141" s="489"/>
      <c r="T141" s="273"/>
      <c r="U141" s="484"/>
    </row>
    <row r="142" spans="1:21" s="492" customFormat="1" ht="11.1" customHeight="1" x14ac:dyDescent="0.2">
      <c r="A142" s="702" t="s">
        <v>1105</v>
      </c>
      <c r="B142" s="362"/>
      <c r="C142" s="341">
        <f>SUM(C130:C140)</f>
        <v>362</v>
      </c>
      <c r="E142" s="341">
        <f>SUM(E130:E140)</f>
        <v>0</v>
      </c>
      <c r="F142" s="362"/>
      <c r="G142" s="341">
        <f>SUM(G130:G140)</f>
        <v>0</v>
      </c>
      <c r="H142" s="273"/>
      <c r="I142" s="341"/>
      <c r="J142" s="362"/>
      <c r="K142" s="341">
        <f>SUM(K130:K140)</f>
        <v>362</v>
      </c>
      <c r="L142" s="702"/>
      <c r="M142" s="702"/>
      <c r="O142" s="273"/>
      <c r="P142" s="399"/>
      <c r="Q142" s="273"/>
      <c r="R142" s="273"/>
      <c r="S142" s="399"/>
      <c r="T142" s="273"/>
      <c r="U142" s="484"/>
    </row>
    <row r="143" spans="1:21" s="492" customFormat="1" ht="5.0999999999999996" customHeight="1" x14ac:dyDescent="0.2">
      <c r="A143" s="349"/>
      <c r="B143" s="362"/>
      <c r="C143" s="273"/>
      <c r="D143" s="352"/>
      <c r="E143" s="273"/>
      <c r="F143" s="362"/>
      <c r="G143" s="273"/>
      <c r="H143" s="273"/>
      <c r="I143" s="273"/>
      <c r="J143" s="362"/>
      <c r="K143" s="273"/>
      <c r="L143" s="349"/>
      <c r="M143" s="349"/>
      <c r="O143" s="273"/>
      <c r="P143" s="399"/>
      <c r="Q143" s="273"/>
      <c r="R143" s="273"/>
      <c r="S143" s="399"/>
      <c r="T143" s="273"/>
      <c r="U143" s="484"/>
    </row>
    <row r="144" spans="1:21" s="492" customFormat="1" ht="11.1" customHeight="1" x14ac:dyDescent="0.2">
      <c r="A144" s="707" t="s">
        <v>81</v>
      </c>
      <c r="B144" s="362"/>
      <c r="C144" s="341">
        <f>C127+C142</f>
        <v>7477</v>
      </c>
      <c r="E144" s="341">
        <f>E127+E142</f>
        <v>147</v>
      </c>
      <c r="F144" s="362"/>
      <c r="G144" s="341">
        <f>G127+G142</f>
        <v>519</v>
      </c>
      <c r="H144" s="273"/>
      <c r="I144" s="341"/>
      <c r="J144" s="362"/>
      <c r="K144" s="341">
        <f>K127+K142</f>
        <v>8143</v>
      </c>
      <c r="L144" s="707"/>
      <c r="M144" s="707"/>
      <c r="O144" s="273"/>
      <c r="P144" s="399"/>
      <c r="Q144" s="273"/>
      <c r="R144" s="273"/>
      <c r="S144" s="399"/>
      <c r="T144" s="273"/>
      <c r="U144" s="484"/>
    </row>
    <row r="145" spans="1:21" s="318" customFormat="1" ht="5.0999999999999996" customHeight="1" x14ac:dyDescent="0.2">
      <c r="A145" s="577"/>
      <c r="B145" s="481"/>
      <c r="C145" s="324"/>
      <c r="D145" s="482"/>
      <c r="E145" s="324"/>
      <c r="F145" s="481"/>
      <c r="G145" s="324"/>
      <c r="H145" s="324"/>
      <c r="I145" s="324"/>
      <c r="J145" s="481"/>
      <c r="K145" s="324"/>
      <c r="L145" s="577"/>
      <c r="M145" s="577"/>
      <c r="O145" s="273"/>
      <c r="P145" s="489"/>
      <c r="Q145" s="273"/>
      <c r="R145" s="273"/>
      <c r="S145" s="489"/>
      <c r="T145" s="273"/>
      <c r="U145" s="484"/>
    </row>
    <row r="146" spans="1:21" s="318" customFormat="1" ht="9.9499999999999993" customHeight="1" x14ac:dyDescent="0.2">
      <c r="A146" s="701" t="s">
        <v>1038</v>
      </c>
      <c r="B146" s="481"/>
      <c r="C146" s="324"/>
      <c r="D146" s="317"/>
      <c r="E146" s="324"/>
      <c r="F146" s="481"/>
      <c r="G146" s="324"/>
      <c r="H146" s="324"/>
      <c r="I146" s="324"/>
      <c r="J146" s="481"/>
      <c r="K146" s="324"/>
      <c r="L146" s="701"/>
      <c r="M146" s="701"/>
      <c r="O146" s="273"/>
      <c r="P146" s="489"/>
      <c r="Q146" s="273"/>
      <c r="R146" s="273"/>
      <c r="S146" s="489"/>
      <c r="T146" s="273"/>
      <c r="U146" s="484"/>
    </row>
    <row r="147" spans="1:21" s="318" customFormat="1" ht="9.9499999999999993" customHeight="1" x14ac:dyDescent="0.2">
      <c r="A147" s="703" t="s">
        <v>1297</v>
      </c>
      <c r="B147" s="481"/>
      <c r="C147" s="324"/>
      <c r="D147" s="317"/>
      <c r="E147" s="324"/>
      <c r="F147" s="481"/>
      <c r="G147" s="324"/>
      <c r="H147" s="324"/>
      <c r="I147" s="324"/>
      <c r="J147" s="481"/>
      <c r="K147" s="324"/>
      <c r="L147" s="703"/>
      <c r="M147" s="703"/>
      <c r="O147" s="273"/>
      <c r="P147" s="489"/>
      <c r="Q147" s="273"/>
      <c r="R147" s="273"/>
      <c r="S147" s="489"/>
      <c r="T147" s="273"/>
      <c r="U147" s="484"/>
    </row>
    <row r="148" spans="1:21" s="318" customFormat="1" ht="9.9499999999999993" customHeight="1" x14ac:dyDescent="0.2">
      <c r="A148" s="704" t="s">
        <v>1296</v>
      </c>
      <c r="B148" s="481"/>
      <c r="C148" s="488">
        <v>5439</v>
      </c>
      <c r="D148" s="317"/>
      <c r="E148" s="488"/>
      <c r="F148" s="481"/>
      <c r="G148" s="324"/>
      <c r="H148" s="324"/>
      <c r="I148" s="273"/>
      <c r="J148" s="481"/>
      <c r="K148" s="273">
        <f>SUM(C148:I148)</f>
        <v>5439</v>
      </c>
      <c r="L148" s="704"/>
      <c r="M148" s="704"/>
      <c r="O148" s="273"/>
      <c r="P148" s="489"/>
      <c r="Q148" s="273"/>
      <c r="R148" s="273"/>
      <c r="S148" s="489"/>
      <c r="T148" s="273"/>
      <c r="U148" s="484"/>
    </row>
    <row r="149" spans="1:21" s="318" customFormat="1" ht="9.9499999999999993" hidden="1" customHeight="1" x14ac:dyDescent="0.2">
      <c r="A149" s="703" t="s">
        <v>355</v>
      </c>
      <c r="B149" s="481"/>
      <c r="C149" s="488"/>
      <c r="D149" s="317"/>
      <c r="E149" s="488"/>
      <c r="F149" s="481"/>
      <c r="G149" s="324"/>
      <c r="H149" s="324"/>
      <c r="I149" s="273"/>
      <c r="J149" s="481"/>
      <c r="K149" s="273">
        <f>SUM(C149:I149)</f>
        <v>0</v>
      </c>
      <c r="L149" s="703"/>
      <c r="M149" s="703"/>
      <c r="O149" s="273"/>
      <c r="P149" s="489"/>
      <c r="Q149" s="273"/>
      <c r="R149" s="273"/>
      <c r="S149" s="489"/>
      <c r="T149" s="273"/>
      <c r="U149" s="484"/>
    </row>
    <row r="150" spans="1:21" s="318" customFormat="1" ht="9.9499999999999993" hidden="1" customHeight="1" x14ac:dyDescent="0.2">
      <c r="A150" s="703" t="s">
        <v>356</v>
      </c>
      <c r="B150" s="481"/>
      <c r="C150" s="488"/>
      <c r="D150" s="317"/>
      <c r="E150" s="488"/>
      <c r="F150" s="481"/>
      <c r="G150" s="324"/>
      <c r="H150" s="324"/>
      <c r="I150" s="273"/>
      <c r="J150" s="481"/>
      <c r="K150" s="273">
        <f>SUM(C150:I150)</f>
        <v>0</v>
      </c>
      <c r="L150" s="703"/>
      <c r="M150" s="703"/>
      <c r="O150" s="273"/>
      <c r="P150" s="489"/>
      <c r="Q150" s="273"/>
      <c r="R150" s="273"/>
      <c r="S150" s="489"/>
      <c r="T150" s="273"/>
      <c r="U150" s="484"/>
    </row>
    <row r="151" spans="1:21" s="318" customFormat="1" ht="9.9499999999999993" hidden="1" customHeight="1" x14ac:dyDescent="0.2">
      <c r="A151" s="703" t="s">
        <v>254</v>
      </c>
      <c r="B151" s="481"/>
      <c r="C151" s="488"/>
      <c r="D151" s="317"/>
      <c r="E151" s="488"/>
      <c r="F151" s="481"/>
      <c r="G151" s="324"/>
      <c r="H151" s="324"/>
      <c r="I151" s="273"/>
      <c r="J151" s="481"/>
      <c r="K151" s="273"/>
      <c r="L151" s="703"/>
      <c r="M151" s="703"/>
      <c r="O151" s="273"/>
      <c r="P151" s="489"/>
      <c r="Q151" s="273"/>
      <c r="R151" s="273"/>
      <c r="S151" s="489"/>
      <c r="T151" s="273"/>
      <c r="U151" s="484"/>
    </row>
    <row r="152" spans="1:21" s="318" customFormat="1" ht="9.9499999999999993" customHeight="1" x14ac:dyDescent="0.2">
      <c r="A152" s="703" t="s">
        <v>357</v>
      </c>
      <c r="B152" s="481"/>
      <c r="C152" s="488">
        <v>32</v>
      </c>
      <c r="D152" s="317"/>
      <c r="E152" s="488">
        <v>3</v>
      </c>
      <c r="F152" s="481"/>
      <c r="G152" s="324"/>
      <c r="H152" s="324"/>
      <c r="I152" s="273"/>
      <c r="J152" s="481"/>
      <c r="K152" s="273">
        <f t="shared" ref="K152:K159" si="25">SUM(C152:I152)</f>
        <v>35</v>
      </c>
      <c r="L152" s="703"/>
      <c r="M152" s="703"/>
      <c r="O152" s="273"/>
      <c r="P152" s="489"/>
      <c r="Q152" s="273"/>
      <c r="R152" s="273"/>
      <c r="S152" s="489"/>
      <c r="T152" s="273"/>
      <c r="U152" s="484"/>
    </row>
    <row r="153" spans="1:21" s="318" customFormat="1" ht="9.9499999999999993" customHeight="1" x14ac:dyDescent="0.2">
      <c r="A153" s="703" t="s">
        <v>1587</v>
      </c>
      <c r="B153" s="481"/>
      <c r="C153" s="488"/>
      <c r="D153" s="317"/>
      <c r="E153" s="488"/>
      <c r="F153" s="481"/>
      <c r="G153" s="324">
        <v>10</v>
      </c>
      <c r="H153" s="324"/>
      <c r="I153" s="273"/>
      <c r="J153" s="481"/>
      <c r="K153" s="273">
        <f t="shared" si="25"/>
        <v>10</v>
      </c>
      <c r="L153" s="703"/>
      <c r="M153" s="703"/>
      <c r="O153" s="273"/>
      <c r="P153" s="489"/>
      <c r="Q153" s="273"/>
      <c r="R153" s="273"/>
      <c r="S153" s="489"/>
      <c r="T153" s="273"/>
      <c r="U153" s="484"/>
    </row>
    <row r="154" spans="1:21" s="318" customFormat="1" ht="9.9499999999999993" customHeight="1" x14ac:dyDescent="0.2">
      <c r="A154" s="703" t="s">
        <v>1648</v>
      </c>
      <c r="B154" s="481"/>
      <c r="C154" s="488">
        <v>926</v>
      </c>
      <c r="D154" s="317"/>
      <c r="E154" s="488"/>
      <c r="F154" s="481"/>
      <c r="G154" s="324"/>
      <c r="H154" s="324"/>
      <c r="I154" s="273"/>
      <c r="J154" s="481"/>
      <c r="K154" s="273">
        <f t="shared" si="25"/>
        <v>926</v>
      </c>
      <c r="L154" s="704"/>
      <c r="M154" s="703"/>
      <c r="O154" s="273"/>
      <c r="P154" s="489"/>
      <c r="Q154" s="273"/>
      <c r="R154" s="273"/>
      <c r="S154" s="489"/>
      <c r="T154" s="273"/>
      <c r="U154" s="484"/>
    </row>
    <row r="155" spans="1:21" s="318" customFormat="1" ht="9.9499999999999993" hidden="1" customHeight="1" x14ac:dyDescent="0.2">
      <c r="A155" s="703" t="s">
        <v>1601</v>
      </c>
      <c r="B155" s="481"/>
      <c r="C155" s="488"/>
      <c r="D155" s="317"/>
      <c r="E155" s="488"/>
      <c r="F155" s="481"/>
      <c r="G155" s="324"/>
      <c r="H155" s="324"/>
      <c r="I155" s="273"/>
      <c r="J155" s="481"/>
      <c r="K155" s="273">
        <f t="shared" si="25"/>
        <v>0</v>
      </c>
      <c r="L155" s="703"/>
      <c r="M155" s="703"/>
      <c r="O155" s="273"/>
      <c r="P155" s="489"/>
      <c r="Q155" s="273"/>
      <c r="R155" s="273"/>
      <c r="S155" s="489"/>
      <c r="T155" s="273"/>
      <c r="U155" s="484"/>
    </row>
    <row r="156" spans="1:21" s="318" customFormat="1" ht="9.9499999999999993" customHeight="1" x14ac:dyDescent="0.2">
      <c r="A156" s="703" t="s">
        <v>1343</v>
      </c>
      <c r="B156" s="481"/>
      <c r="C156" s="488">
        <v>36304</v>
      </c>
      <c r="D156" s="317"/>
      <c r="E156" s="488">
        <v>504</v>
      </c>
      <c r="F156" s="481"/>
      <c r="G156" s="324">
        <v>6099</v>
      </c>
      <c r="H156" s="324"/>
      <c r="I156" s="273"/>
      <c r="J156" s="481"/>
      <c r="K156" s="273">
        <f t="shared" si="25"/>
        <v>42907</v>
      </c>
      <c r="L156" s="703"/>
      <c r="M156" s="703"/>
      <c r="O156" s="273"/>
      <c r="P156" s="489"/>
      <c r="Q156" s="273"/>
      <c r="R156" s="273"/>
      <c r="S156" s="489"/>
      <c r="T156" s="273"/>
      <c r="U156" s="484"/>
    </row>
    <row r="157" spans="1:21" s="318" customFormat="1" ht="9.9499999999999993" hidden="1" customHeight="1" x14ac:dyDescent="0.2">
      <c r="A157" s="703" t="s">
        <v>331</v>
      </c>
      <c r="B157" s="481"/>
      <c r="C157" s="488"/>
      <c r="D157" s="317"/>
      <c r="E157" s="488"/>
      <c r="F157" s="481"/>
      <c r="G157" s="324"/>
      <c r="H157" s="324"/>
      <c r="I157" s="273"/>
      <c r="J157" s="481"/>
      <c r="K157" s="273">
        <f t="shared" si="25"/>
        <v>0</v>
      </c>
      <c r="L157" s="703"/>
      <c r="M157" s="703"/>
      <c r="O157" s="273"/>
      <c r="P157" s="489"/>
      <c r="Q157" s="273"/>
      <c r="R157" s="273"/>
      <c r="S157" s="489"/>
      <c r="T157" s="273"/>
      <c r="U157" s="484"/>
    </row>
    <row r="158" spans="1:21" s="318" customFormat="1" ht="9.9499999999999993" hidden="1" customHeight="1" x14ac:dyDescent="0.2">
      <c r="A158" s="703" t="s">
        <v>1435</v>
      </c>
      <c r="B158" s="481"/>
      <c r="C158" s="488"/>
      <c r="D158" s="317"/>
      <c r="E158" s="488"/>
      <c r="F158" s="481"/>
      <c r="G158" s="324"/>
      <c r="H158" s="324"/>
      <c r="I158" s="273"/>
      <c r="J158" s="481"/>
      <c r="K158" s="273">
        <f t="shared" si="25"/>
        <v>0</v>
      </c>
      <c r="L158" s="703"/>
      <c r="M158" s="703"/>
      <c r="O158" s="273"/>
      <c r="P158" s="489"/>
      <c r="Q158" s="273"/>
      <c r="R158" s="273"/>
      <c r="S158" s="489"/>
      <c r="T158" s="273"/>
      <c r="U158" s="484"/>
    </row>
    <row r="159" spans="1:21" s="318" customFormat="1" ht="9.9499999999999993" hidden="1" customHeight="1" x14ac:dyDescent="0.2">
      <c r="A159" s="703" t="s">
        <v>358</v>
      </c>
      <c r="B159" s="481"/>
      <c r="C159" s="488"/>
      <c r="D159" s="317"/>
      <c r="E159" s="488"/>
      <c r="F159" s="481"/>
      <c r="G159" s="324"/>
      <c r="H159" s="324"/>
      <c r="I159" s="273"/>
      <c r="J159" s="481"/>
      <c r="K159" s="273">
        <f t="shared" si="25"/>
        <v>0</v>
      </c>
      <c r="L159" s="703"/>
      <c r="M159" s="703"/>
      <c r="O159" s="273"/>
      <c r="P159" s="489"/>
      <c r="Q159" s="273"/>
      <c r="R159" s="273"/>
      <c r="S159" s="489"/>
      <c r="T159" s="273"/>
      <c r="U159" s="484"/>
    </row>
    <row r="160" spans="1:21" s="318" customFormat="1" ht="5.0999999999999996" customHeight="1" x14ac:dyDescent="0.2">
      <c r="A160" s="709"/>
      <c r="B160" s="481"/>
      <c r="C160" s="496"/>
      <c r="D160" s="317"/>
      <c r="E160" s="496"/>
      <c r="F160" s="481"/>
      <c r="G160" s="496"/>
      <c r="H160" s="324"/>
      <c r="I160" s="496"/>
      <c r="J160" s="481"/>
      <c r="K160" s="340"/>
      <c r="L160" s="253"/>
      <c r="M160" s="253"/>
      <c r="O160" s="273"/>
      <c r="P160" s="489"/>
      <c r="Q160" s="273"/>
      <c r="R160" s="273"/>
      <c r="S160" s="489"/>
      <c r="T160" s="273"/>
      <c r="U160" s="484"/>
    </row>
    <row r="161" spans="1:21" s="492" customFormat="1" ht="11.1" customHeight="1" x14ac:dyDescent="0.2">
      <c r="A161" s="707" t="s">
        <v>82</v>
      </c>
      <c r="B161" s="362"/>
      <c r="C161" s="341">
        <f>SUM(C148:C159)</f>
        <v>42701</v>
      </c>
      <c r="D161" s="317"/>
      <c r="E161" s="341">
        <f>SUM(E148:E159)</f>
        <v>507</v>
      </c>
      <c r="F161" s="362"/>
      <c r="G161" s="341">
        <f>SUM(G148:G159)</f>
        <v>6109</v>
      </c>
      <c r="H161" s="273"/>
      <c r="I161" s="341"/>
      <c r="J161" s="362"/>
      <c r="K161" s="341">
        <f>SUM(K148:K159)</f>
        <v>49317</v>
      </c>
      <c r="L161" s="707"/>
      <c r="M161" s="707"/>
      <c r="O161" s="273"/>
      <c r="P161" s="399"/>
      <c r="Q161" s="273"/>
      <c r="R161" s="273"/>
      <c r="S161" s="399"/>
      <c r="T161" s="273"/>
      <c r="U161" s="484"/>
    </row>
    <row r="162" spans="1:21" s="492" customFormat="1" ht="5.0999999999999996" customHeight="1" x14ac:dyDescent="0.2">
      <c r="A162" s="253"/>
      <c r="B162" s="362"/>
      <c r="C162" s="273"/>
      <c r="D162" s="317"/>
      <c r="E162" s="273"/>
      <c r="F162" s="362"/>
      <c r="G162" s="273"/>
      <c r="H162" s="273"/>
      <c r="I162" s="273"/>
      <c r="J162" s="362"/>
      <c r="K162" s="273"/>
      <c r="L162" s="253"/>
      <c r="M162" s="253"/>
      <c r="O162" s="273"/>
      <c r="P162" s="399"/>
      <c r="Q162" s="273"/>
      <c r="R162" s="273"/>
      <c r="S162" s="399"/>
      <c r="T162" s="273"/>
      <c r="U162" s="484"/>
    </row>
    <row r="163" spans="1:21" s="492" customFormat="1" ht="11.1" customHeight="1" x14ac:dyDescent="0.2">
      <c r="A163" s="353" t="s">
        <v>702</v>
      </c>
      <c r="B163" s="362"/>
      <c r="C163" s="341">
        <f>C127+C161+C142</f>
        <v>50178</v>
      </c>
      <c r="E163" s="341">
        <f>E127+E161+E142</f>
        <v>654</v>
      </c>
      <c r="F163" s="362"/>
      <c r="G163" s="341">
        <f>G127+G161+G142</f>
        <v>6628</v>
      </c>
      <c r="H163" s="273"/>
      <c r="I163" s="341"/>
      <c r="J163" s="362"/>
      <c r="K163" s="341">
        <f>K127+K161+K142</f>
        <v>57460</v>
      </c>
      <c r="L163" s="353"/>
      <c r="M163" s="353"/>
      <c r="O163" s="273"/>
      <c r="P163" s="399"/>
      <c r="Q163" s="273"/>
      <c r="R163" s="273"/>
      <c r="S163" s="399"/>
      <c r="T163" s="273"/>
      <c r="U163" s="484"/>
    </row>
    <row r="164" spans="1:21" s="492" customFormat="1" ht="5.0999999999999996" customHeight="1" x14ac:dyDescent="0.2">
      <c r="A164" s="253"/>
      <c r="B164" s="362"/>
      <c r="C164" s="273"/>
      <c r="D164" s="324"/>
      <c r="E164" s="273"/>
      <c r="F164" s="362"/>
      <c r="G164" s="273"/>
      <c r="H164" s="273"/>
      <c r="I164" s="273"/>
      <c r="J164" s="362"/>
      <c r="K164" s="273"/>
      <c r="L164" s="577"/>
      <c r="M164" s="577"/>
      <c r="O164" s="273"/>
      <c r="P164" s="399"/>
      <c r="Q164" s="273"/>
      <c r="R164" s="273"/>
      <c r="S164" s="399"/>
      <c r="T164" s="273"/>
      <c r="U164" s="484"/>
    </row>
    <row r="165" spans="1:21" s="492" customFormat="1" ht="11.1" customHeight="1" x14ac:dyDescent="0.2">
      <c r="A165" s="353" t="s">
        <v>1209</v>
      </c>
      <c r="B165" s="362"/>
      <c r="C165" s="341">
        <v>10690</v>
      </c>
      <c r="E165" s="341">
        <v>7420</v>
      </c>
      <c r="F165" s="362"/>
      <c r="G165" s="341">
        <v>3365</v>
      </c>
      <c r="H165" s="273"/>
      <c r="I165" s="273"/>
      <c r="J165" s="362"/>
      <c r="K165" s="1105">
        <f>SUM(C165:I165)</f>
        <v>21475</v>
      </c>
      <c r="L165" s="353"/>
      <c r="M165" s="353"/>
      <c r="O165" s="273"/>
      <c r="P165" s="399"/>
      <c r="Q165" s="273"/>
      <c r="R165" s="273"/>
      <c r="S165" s="399"/>
      <c r="T165" s="273"/>
      <c r="U165" s="484"/>
    </row>
    <row r="166" spans="1:21" s="318" customFormat="1" ht="5.0999999999999996" customHeight="1" x14ac:dyDescent="0.2">
      <c r="A166" s="317"/>
      <c r="B166" s="481"/>
      <c r="C166" s="324"/>
      <c r="D166" s="353"/>
      <c r="E166" s="324"/>
      <c r="F166" s="481"/>
      <c r="G166" s="324"/>
      <c r="H166" s="324"/>
      <c r="I166" s="324"/>
      <c r="J166" s="481"/>
      <c r="K166" s="324"/>
      <c r="L166" s="317"/>
      <c r="M166" s="317"/>
      <c r="O166" s="273"/>
      <c r="P166" s="324"/>
      <c r="Q166" s="273"/>
      <c r="R166" s="273"/>
      <c r="S166" s="324"/>
      <c r="T166" s="273"/>
      <c r="U166" s="484"/>
    </row>
    <row r="167" spans="1:21" s="318" customFormat="1" ht="9.9499999999999993" customHeight="1" x14ac:dyDescent="0.2">
      <c r="A167" s="322" t="s">
        <v>1482</v>
      </c>
      <c r="B167" s="316"/>
      <c r="C167" s="324"/>
      <c r="D167" s="480"/>
      <c r="E167" s="324"/>
      <c r="F167" s="316"/>
      <c r="G167" s="324"/>
      <c r="H167" s="324"/>
      <c r="I167" s="324"/>
      <c r="J167" s="316"/>
      <c r="K167" s="324"/>
      <c r="L167" s="322"/>
      <c r="M167" s="322"/>
      <c r="O167" s="273"/>
      <c r="P167" s="325"/>
      <c r="Q167" s="273"/>
      <c r="R167" s="273"/>
      <c r="S167" s="325"/>
      <c r="T167" s="273"/>
      <c r="U167" s="484"/>
    </row>
    <row r="168" spans="1:21" s="318" customFormat="1" ht="9.9499999999999993" customHeight="1" x14ac:dyDescent="0.2">
      <c r="A168" s="577" t="s">
        <v>1110</v>
      </c>
      <c r="B168" s="481"/>
      <c r="C168" s="488">
        <v>2041</v>
      </c>
      <c r="D168" s="317"/>
      <c r="E168" s="324">
        <v>3801</v>
      </c>
      <c r="F168" s="481"/>
      <c r="G168" s="324">
        <v>16162</v>
      </c>
      <c r="H168" s="324"/>
      <c r="I168" s="324"/>
      <c r="J168" s="481"/>
      <c r="K168" s="273">
        <f>SUM(C168:I168)</f>
        <v>22004</v>
      </c>
      <c r="L168" s="577"/>
      <c r="M168" s="577"/>
      <c r="O168" s="273"/>
      <c r="P168" s="324"/>
      <c r="Q168" s="273"/>
      <c r="R168" s="273"/>
      <c r="S168" s="324"/>
      <c r="T168" s="273"/>
      <c r="U168" s="484"/>
    </row>
    <row r="169" spans="1:21" s="318" customFormat="1" ht="9.9499999999999993" customHeight="1" x14ac:dyDescent="0.2">
      <c r="A169" s="577" t="s">
        <v>83</v>
      </c>
      <c r="B169" s="481"/>
      <c r="C169" s="488"/>
      <c r="D169" s="482"/>
      <c r="E169" s="324"/>
      <c r="F169" s="481"/>
      <c r="G169" s="324"/>
      <c r="H169" s="324"/>
      <c r="I169" s="324"/>
      <c r="J169" s="481"/>
      <c r="K169" s="324">
        <f>SUM(C169:I169)</f>
        <v>0</v>
      </c>
      <c r="L169" s="577"/>
      <c r="M169" s="577"/>
      <c r="O169" s="273"/>
      <c r="P169" s="324">
        <v>6708</v>
      </c>
      <c r="Q169" s="273"/>
      <c r="R169" s="273"/>
      <c r="S169" s="324"/>
      <c r="T169" s="273"/>
      <c r="U169" s="484"/>
    </row>
    <row r="170" spans="1:21" s="318" customFormat="1" ht="9.9499999999999993" customHeight="1" x14ac:dyDescent="0.2">
      <c r="A170" s="703" t="s">
        <v>756</v>
      </c>
      <c r="B170" s="481"/>
      <c r="C170" s="488"/>
      <c r="D170" s="482"/>
      <c r="E170" s="324"/>
      <c r="F170" s="481"/>
      <c r="G170" s="324">
        <v>421</v>
      </c>
      <c r="H170" s="324"/>
      <c r="I170" s="324"/>
      <c r="J170" s="481"/>
      <c r="K170" s="273">
        <f>SUM(C170:I170)</f>
        <v>421</v>
      </c>
      <c r="L170" s="703"/>
      <c r="M170" s="703"/>
      <c r="O170" s="273"/>
      <c r="P170" s="324"/>
      <c r="Q170" s="273"/>
      <c r="R170" s="273"/>
      <c r="S170" s="324"/>
      <c r="T170" s="273"/>
      <c r="U170" s="484"/>
    </row>
    <row r="171" spans="1:21" s="318" customFormat="1" ht="9.9499999999999993" customHeight="1" x14ac:dyDescent="0.2">
      <c r="A171" s="703" t="s">
        <v>706</v>
      </c>
      <c r="B171" s="481"/>
      <c r="C171" s="488">
        <v>507</v>
      </c>
      <c r="E171" s="324"/>
      <c r="F171" s="481"/>
      <c r="G171" s="324">
        <v>998</v>
      </c>
      <c r="H171" s="324"/>
      <c r="I171" s="324"/>
      <c r="J171" s="481"/>
      <c r="K171" s="273">
        <f>SUM(C171:I171)</f>
        <v>1505</v>
      </c>
      <c r="L171" s="703"/>
      <c r="M171" s="703"/>
      <c r="O171" s="273"/>
      <c r="P171" s="324"/>
      <c r="Q171" s="273"/>
      <c r="R171" s="273"/>
      <c r="S171" s="324"/>
      <c r="T171" s="273"/>
      <c r="U171" s="484"/>
    </row>
    <row r="172" spans="1:21" s="318" customFormat="1" ht="9.9499999999999993" customHeight="1" x14ac:dyDescent="0.2">
      <c r="A172" s="577" t="s">
        <v>1273</v>
      </c>
      <c r="B172" s="481"/>
      <c r="C172" s="493">
        <f>-15518-25</f>
        <v>-15543</v>
      </c>
      <c r="D172" s="482"/>
      <c r="E172" s="494">
        <v>116</v>
      </c>
      <c r="F172" s="481"/>
      <c r="G172" s="494">
        <v>903</v>
      </c>
      <c r="H172" s="324"/>
      <c r="I172" s="494"/>
      <c r="J172" s="481"/>
      <c r="K172" s="273">
        <f>SUM(C172:I172)</f>
        <v>-14524</v>
      </c>
      <c r="L172" s="577"/>
      <c r="M172" s="577"/>
      <c r="O172" s="273"/>
      <c r="P172" s="324"/>
      <c r="Q172" s="273"/>
      <c r="R172" s="273"/>
      <c r="S172" s="324"/>
      <c r="T172" s="273"/>
      <c r="U172" s="484"/>
    </row>
    <row r="173" spans="1:21" s="318" customFormat="1" ht="5.0999999999999996" customHeight="1" x14ac:dyDescent="0.2">
      <c r="B173" s="481"/>
      <c r="C173" s="488"/>
      <c r="D173" s="481"/>
      <c r="E173" s="488"/>
      <c r="F173" s="481"/>
      <c r="G173" s="488"/>
      <c r="H173" s="324"/>
      <c r="I173" s="488"/>
      <c r="J173" s="481"/>
      <c r="K173" s="340"/>
      <c r="O173" s="273"/>
      <c r="P173" s="324">
        <v>688</v>
      </c>
      <c r="Q173" s="273"/>
      <c r="R173" s="273"/>
      <c r="S173" s="324"/>
      <c r="T173" s="273"/>
      <c r="U173" s="484"/>
    </row>
    <row r="174" spans="1:21" s="492" customFormat="1" ht="11.1" customHeight="1" thickBot="1" x14ac:dyDescent="0.25">
      <c r="A174" s="353" t="s">
        <v>1483</v>
      </c>
      <c r="B174" s="362"/>
      <c r="C174" s="344">
        <f>SUM(C168:C172)</f>
        <v>-12995</v>
      </c>
      <c r="D174" s="362"/>
      <c r="E174" s="344">
        <f>SUM(E168:E172)</f>
        <v>3917</v>
      </c>
      <c r="F174" s="362"/>
      <c r="G174" s="344">
        <f>SUM(G168:G172)</f>
        <v>18484</v>
      </c>
      <c r="H174" s="323"/>
      <c r="I174" s="344">
        <f>SUM(I168:I172)</f>
        <v>0</v>
      </c>
      <c r="J174" s="362"/>
      <c r="K174" s="344">
        <f>SUM(K168:K172)</f>
        <v>9406</v>
      </c>
      <c r="L174" s="353"/>
      <c r="M174" s="353"/>
      <c r="O174" s="254"/>
      <c r="P174" s="362"/>
      <c r="Q174" s="254"/>
      <c r="R174" s="254"/>
      <c r="S174" s="362"/>
      <c r="T174" s="254"/>
      <c r="U174" s="484"/>
    </row>
    <row r="175" spans="1:21" s="492" customFormat="1" ht="5.0999999999999996" customHeight="1" thickTop="1" x14ac:dyDescent="0.2">
      <c r="A175" s="253"/>
      <c r="B175" s="323"/>
      <c r="C175" s="323"/>
      <c r="D175" s="323"/>
      <c r="E175" s="323"/>
      <c r="F175" s="323"/>
      <c r="G175" s="323"/>
      <c r="H175" s="253"/>
      <c r="I175" s="323"/>
      <c r="J175" s="323"/>
      <c r="K175" s="323"/>
      <c r="M175" s="254"/>
      <c r="N175" s="254"/>
      <c r="O175" s="253"/>
      <c r="P175" s="254"/>
      <c r="Q175" s="254"/>
      <c r="R175" s="253"/>
      <c r="S175" s="254"/>
      <c r="T175" s="253"/>
      <c r="U175" s="484"/>
    </row>
    <row r="176" spans="1:21" s="492" customFormat="1" ht="9.9499999999999993" customHeight="1" x14ac:dyDescent="0.2">
      <c r="A176" s="253"/>
      <c r="B176" s="323"/>
      <c r="C176" s="323"/>
      <c r="D176" s="323"/>
      <c r="E176" s="323"/>
      <c r="F176" s="323"/>
      <c r="G176" s="323"/>
      <c r="H176" s="253"/>
      <c r="I176" s="323"/>
      <c r="J176" s="323"/>
      <c r="K176" s="323"/>
      <c r="L176" s="253"/>
      <c r="M176" s="254"/>
      <c r="N176" s="254"/>
      <c r="O176" s="253"/>
      <c r="P176" s="254"/>
      <c r="Q176" s="254"/>
      <c r="R176" s="253"/>
      <c r="S176" s="254"/>
      <c r="T176" s="253"/>
      <c r="U176" s="484"/>
    </row>
    <row r="177" spans="2:21" s="497" customFormat="1" ht="9.9499999999999993" customHeight="1" x14ac:dyDescent="0.2">
      <c r="B177" s="500"/>
      <c r="C177" s="1108">
        <f>C92+C94-C163-C165</f>
        <v>-12995</v>
      </c>
      <c r="D177" s="681"/>
      <c r="E177" s="1108">
        <f>E92+E94-E163-E165</f>
        <v>3917</v>
      </c>
      <c r="F177" s="681"/>
      <c r="G177" s="1108">
        <f>G92+G94-G163-G165</f>
        <v>18484</v>
      </c>
      <c r="H177" s="681"/>
      <c r="I177" s="1108">
        <f>I92+I94-I163</f>
        <v>0</v>
      </c>
      <c r="J177" s="681"/>
      <c r="K177" s="1108">
        <f>K92+K94-K163-K165</f>
        <v>9406</v>
      </c>
      <c r="L177" s="402"/>
      <c r="M177" s="499"/>
      <c r="O177" s="402"/>
      <c r="P177" s="499"/>
      <c r="Q177" s="402"/>
      <c r="R177" s="402"/>
      <c r="S177" s="499"/>
      <c r="T177" s="402"/>
      <c r="U177" s="498"/>
    </row>
    <row r="178" spans="2:21" s="497" customFormat="1" ht="9.9499999999999993" customHeight="1" x14ac:dyDescent="0.2">
      <c r="B178" s="500"/>
      <c r="C178" s="681">
        <f>C174-C177</f>
        <v>0</v>
      </c>
      <c r="D178" s="681"/>
      <c r="E178" s="681">
        <f>E174-E177</f>
        <v>0</v>
      </c>
      <c r="F178" s="681"/>
      <c r="G178" s="681">
        <f>G174-G177</f>
        <v>0</v>
      </c>
      <c r="H178" s="681"/>
      <c r="I178" s="681">
        <f>I174-I177</f>
        <v>0</v>
      </c>
      <c r="J178" s="681"/>
      <c r="K178" s="681">
        <f>K174-K177</f>
        <v>0</v>
      </c>
      <c r="L178" s="381"/>
      <c r="M178" s="381"/>
      <c r="O178" s="381"/>
      <c r="P178" s="381"/>
      <c r="Q178" s="381"/>
      <c r="R178" s="381"/>
      <c r="S178" s="381"/>
      <c r="T178" s="381"/>
      <c r="U178" s="498"/>
    </row>
    <row r="179" spans="2:21" s="318" customFormat="1" ht="9.9499999999999993" customHeight="1" x14ac:dyDescent="0.2">
      <c r="B179" s="481"/>
      <c r="C179" s="681"/>
      <c r="D179" s="681"/>
      <c r="E179" s="681"/>
      <c r="F179" s="681"/>
      <c r="G179" s="681"/>
      <c r="H179" s="681"/>
      <c r="I179" s="681"/>
      <c r="J179" s="681"/>
      <c r="K179" s="681"/>
      <c r="L179" s="317"/>
      <c r="M179" s="501"/>
      <c r="N179" s="253"/>
      <c r="O179" s="254"/>
      <c r="P179" s="501"/>
      <c r="Q179" s="254"/>
      <c r="R179" s="253"/>
      <c r="S179" s="501"/>
      <c r="U179" s="317"/>
    </row>
    <row r="180" spans="2:21" s="422" customFormat="1" ht="9.9499999999999993" customHeight="1" x14ac:dyDescent="0.2">
      <c r="G180" s="1240">
        <f>+G28+G29+G31-G132</f>
        <v>421</v>
      </c>
      <c r="H180" s="423"/>
      <c r="L180" s="424"/>
    </row>
    <row r="181" spans="2:21" s="326" customFormat="1" ht="9.9499999999999993" customHeight="1" x14ac:dyDescent="0.2">
      <c r="B181" s="327"/>
      <c r="D181" s="327"/>
      <c r="F181" s="327"/>
      <c r="J181" s="327"/>
      <c r="L181" s="328"/>
    </row>
    <row r="182" spans="2:21" s="326" customFormat="1" ht="9.9499999999999993" customHeight="1" x14ac:dyDescent="0.2">
      <c r="B182" s="327"/>
      <c r="D182" s="327"/>
      <c r="F182" s="327"/>
      <c r="J182" s="327"/>
      <c r="L182" s="328"/>
    </row>
    <row r="183" spans="2:21" s="326" customFormat="1" ht="9.9499999999999993" customHeight="1" x14ac:dyDescent="0.2">
      <c r="B183" s="327"/>
      <c r="D183" s="327"/>
      <c r="F183" s="327"/>
      <c r="J183" s="327"/>
      <c r="L183" s="328"/>
    </row>
    <row r="184" spans="2:21" s="326" customFormat="1" ht="9.9499999999999993" customHeight="1" x14ac:dyDescent="0.2">
      <c r="B184" s="327"/>
      <c r="D184" s="327"/>
      <c r="F184" s="327"/>
      <c r="J184" s="327"/>
      <c r="L184" s="328"/>
    </row>
    <row r="222" spans="2:12" s="326" customFormat="1" ht="9.9499999999999993" customHeight="1" x14ac:dyDescent="0.2">
      <c r="B222" s="327"/>
      <c r="D222" s="327"/>
      <c r="F222" s="327"/>
      <c r="J222" s="327"/>
      <c r="L222" s="328"/>
    </row>
    <row r="223" spans="2:12" s="326" customFormat="1" ht="9.9499999999999993" customHeight="1" x14ac:dyDescent="0.2">
      <c r="B223" s="327"/>
      <c r="D223" s="327"/>
      <c r="F223" s="327"/>
      <c r="J223" s="327"/>
      <c r="L223" s="328"/>
    </row>
    <row r="224" spans="2:12" s="326" customFormat="1" ht="9.9499999999999993" customHeight="1" x14ac:dyDescent="0.2">
      <c r="B224" s="327"/>
      <c r="D224" s="327"/>
      <c r="F224" s="327"/>
      <c r="J224" s="327"/>
      <c r="L224" s="328"/>
    </row>
    <row r="225" spans="2:12" s="326" customFormat="1" ht="9.9499999999999993" customHeight="1" x14ac:dyDescent="0.2">
      <c r="B225" s="327"/>
      <c r="D225" s="327"/>
      <c r="F225" s="327"/>
      <c r="J225" s="327"/>
      <c r="L225" s="328"/>
    </row>
    <row r="226" spans="2:12" s="326" customFormat="1" ht="9.9499999999999993" customHeight="1" x14ac:dyDescent="0.2">
      <c r="B226" s="327"/>
      <c r="D226" s="327"/>
      <c r="F226" s="327"/>
      <c r="J226" s="327"/>
      <c r="L226" s="328"/>
    </row>
    <row r="227" spans="2:12" s="326" customFormat="1" ht="9.9499999999999993" customHeight="1" x14ac:dyDescent="0.2">
      <c r="B227" s="327"/>
      <c r="D227" s="327"/>
      <c r="F227" s="327"/>
      <c r="J227" s="327"/>
      <c r="L227" s="328"/>
    </row>
    <row r="228" spans="2:12" s="326" customFormat="1" ht="9.9499999999999993" customHeight="1" x14ac:dyDescent="0.2">
      <c r="B228" s="327"/>
      <c r="D228" s="327"/>
      <c r="F228" s="327"/>
      <c r="J228" s="327"/>
      <c r="L228" s="328"/>
    </row>
    <row r="229" spans="2:12" s="326" customFormat="1" ht="9.9499999999999993" customHeight="1" x14ac:dyDescent="0.2">
      <c r="B229" s="327"/>
      <c r="D229" s="327"/>
      <c r="F229" s="327"/>
      <c r="J229" s="327"/>
      <c r="L229" s="328"/>
    </row>
    <row r="230" spans="2:12" s="326" customFormat="1" ht="9.9499999999999993" customHeight="1" x14ac:dyDescent="0.2">
      <c r="B230" s="327"/>
      <c r="D230" s="327"/>
      <c r="F230" s="327"/>
      <c r="J230" s="327"/>
      <c r="L230" s="328"/>
    </row>
    <row r="231" spans="2:12" s="326" customFormat="1" ht="9.9499999999999993" customHeight="1" x14ac:dyDescent="0.2">
      <c r="B231" s="327"/>
      <c r="D231" s="327"/>
      <c r="F231" s="327"/>
      <c r="J231" s="327"/>
      <c r="L231" s="328"/>
    </row>
    <row r="232" spans="2:12" s="326" customFormat="1" ht="9.9499999999999993" customHeight="1" x14ac:dyDescent="0.2">
      <c r="B232" s="327"/>
      <c r="D232" s="327"/>
      <c r="F232" s="327"/>
      <c r="J232" s="327"/>
      <c r="L232" s="328"/>
    </row>
    <row r="233" spans="2:12" s="326" customFormat="1" ht="9.9499999999999993" customHeight="1" x14ac:dyDescent="0.2">
      <c r="B233" s="327"/>
      <c r="D233" s="327"/>
      <c r="F233" s="327"/>
      <c r="J233" s="327"/>
      <c r="L233" s="328"/>
    </row>
    <row r="234" spans="2:12" s="326" customFormat="1" ht="9.9499999999999993" customHeight="1" x14ac:dyDescent="0.2">
      <c r="B234" s="327"/>
      <c r="D234" s="327"/>
      <c r="F234" s="327"/>
      <c r="J234" s="327"/>
      <c r="L234" s="328"/>
    </row>
    <row r="235" spans="2:12" s="326" customFormat="1" ht="9.9499999999999993" customHeight="1" x14ac:dyDescent="0.2">
      <c r="B235" s="327"/>
      <c r="D235" s="327"/>
      <c r="F235" s="327"/>
      <c r="J235" s="327"/>
      <c r="L235" s="328"/>
    </row>
    <row r="236" spans="2:12" s="326" customFormat="1" ht="9.9499999999999993" customHeight="1" x14ac:dyDescent="0.2">
      <c r="B236" s="327"/>
      <c r="D236" s="327"/>
      <c r="F236" s="327"/>
      <c r="J236" s="327"/>
      <c r="L236" s="328"/>
    </row>
    <row r="237" spans="2:12" s="326" customFormat="1" ht="9.9499999999999993" customHeight="1" x14ac:dyDescent="0.2">
      <c r="B237" s="327"/>
      <c r="D237" s="327"/>
      <c r="F237" s="327"/>
      <c r="J237" s="327"/>
      <c r="L237" s="328"/>
    </row>
    <row r="238" spans="2:12" s="326" customFormat="1" ht="9.9499999999999993" customHeight="1" x14ac:dyDescent="0.2">
      <c r="B238" s="327"/>
      <c r="D238" s="327"/>
      <c r="F238" s="327"/>
      <c r="J238" s="327"/>
      <c r="L238" s="328"/>
    </row>
    <row r="239" spans="2:12" s="326" customFormat="1" ht="9.9499999999999993" customHeight="1" x14ac:dyDescent="0.2">
      <c r="B239" s="327"/>
      <c r="D239" s="327"/>
      <c r="F239" s="327"/>
      <c r="J239" s="327"/>
      <c r="L239" s="328"/>
    </row>
    <row r="240" spans="2:12" s="326" customFormat="1" ht="9.9499999999999993" customHeight="1" x14ac:dyDescent="0.2">
      <c r="B240" s="327"/>
      <c r="D240" s="327"/>
      <c r="F240" s="327"/>
      <c r="J240" s="327"/>
      <c r="L240" s="328"/>
    </row>
    <row r="241" spans="2:12" s="326" customFormat="1" ht="9.9499999999999993" customHeight="1" x14ac:dyDescent="0.2">
      <c r="B241" s="327"/>
      <c r="D241" s="327"/>
      <c r="F241" s="327"/>
      <c r="J241" s="327"/>
      <c r="L241" s="328"/>
    </row>
    <row r="242" spans="2:12" s="326" customFormat="1" ht="9.9499999999999993" customHeight="1" x14ac:dyDescent="0.2">
      <c r="B242" s="327"/>
      <c r="D242" s="327"/>
      <c r="F242" s="327"/>
      <c r="J242" s="327"/>
      <c r="L242" s="328"/>
    </row>
    <row r="243" spans="2:12" s="326" customFormat="1" ht="9.9499999999999993" customHeight="1" x14ac:dyDescent="0.2">
      <c r="B243" s="327"/>
      <c r="D243" s="327"/>
      <c r="F243" s="327"/>
      <c r="J243" s="327"/>
      <c r="L243" s="328"/>
    </row>
    <row r="244" spans="2:12" s="326" customFormat="1" ht="9.9499999999999993" customHeight="1" x14ac:dyDescent="0.2">
      <c r="B244" s="327"/>
      <c r="D244" s="327"/>
      <c r="F244" s="327"/>
      <c r="J244" s="327"/>
      <c r="L244" s="328"/>
    </row>
    <row r="245" spans="2:12" s="326" customFormat="1" ht="9.9499999999999993" customHeight="1" x14ac:dyDescent="0.2">
      <c r="B245" s="327"/>
      <c r="D245" s="327"/>
      <c r="F245" s="327"/>
      <c r="J245" s="327"/>
      <c r="L245" s="328"/>
    </row>
    <row r="246" spans="2:12" s="326" customFormat="1" ht="9.9499999999999993" customHeight="1" x14ac:dyDescent="0.2">
      <c r="B246" s="327"/>
      <c r="D246" s="327"/>
      <c r="F246" s="327"/>
      <c r="J246" s="327"/>
      <c r="L246" s="328"/>
    </row>
    <row r="247" spans="2:12" s="326" customFormat="1" ht="9.9499999999999993" customHeight="1" x14ac:dyDescent="0.2">
      <c r="B247" s="327"/>
      <c r="D247" s="327"/>
      <c r="F247" s="327"/>
      <c r="J247" s="327"/>
      <c r="L247" s="328"/>
    </row>
    <row r="248" spans="2:12" s="326" customFormat="1" ht="9.9499999999999993" customHeight="1" x14ac:dyDescent="0.2">
      <c r="B248" s="327"/>
      <c r="D248" s="327"/>
      <c r="F248" s="327"/>
      <c r="J248" s="327"/>
      <c r="L248" s="328"/>
    </row>
    <row r="249" spans="2:12" s="326" customFormat="1" ht="9.9499999999999993" customHeight="1" x14ac:dyDescent="0.2">
      <c r="B249" s="327"/>
      <c r="D249" s="327"/>
      <c r="F249" s="327"/>
      <c r="J249" s="327"/>
      <c r="L249" s="328"/>
    </row>
    <row r="250" spans="2:12" s="326" customFormat="1" ht="9.9499999999999993" customHeight="1" x14ac:dyDescent="0.2">
      <c r="B250" s="327"/>
      <c r="D250" s="327"/>
      <c r="F250" s="327"/>
      <c r="J250" s="327"/>
      <c r="L250" s="328"/>
    </row>
    <row r="251" spans="2:12" s="326" customFormat="1" ht="9.9499999999999993" customHeight="1" x14ac:dyDescent="0.2">
      <c r="B251" s="327"/>
      <c r="D251" s="327"/>
      <c r="F251" s="327"/>
      <c r="J251" s="327"/>
      <c r="L251" s="328"/>
    </row>
    <row r="252" spans="2:12" s="326" customFormat="1" ht="9.9499999999999993" customHeight="1" x14ac:dyDescent="0.2">
      <c r="B252" s="327"/>
      <c r="D252" s="327"/>
      <c r="F252" s="327"/>
      <c r="J252" s="327"/>
      <c r="L252" s="328"/>
    </row>
    <row r="253" spans="2:12" s="326" customFormat="1" ht="9.9499999999999993" customHeight="1" x14ac:dyDescent="0.2">
      <c r="B253" s="327"/>
      <c r="D253" s="327"/>
      <c r="F253" s="327"/>
      <c r="J253" s="327"/>
      <c r="L253" s="328"/>
    </row>
    <row r="254" spans="2:12" s="326" customFormat="1" ht="9.9499999999999993" customHeight="1" x14ac:dyDescent="0.2">
      <c r="B254" s="327"/>
      <c r="D254" s="327"/>
      <c r="F254" s="327"/>
      <c r="J254" s="327"/>
      <c r="L254" s="328"/>
    </row>
    <row r="255" spans="2:12" s="326" customFormat="1" ht="9.9499999999999993" customHeight="1" x14ac:dyDescent="0.2">
      <c r="B255" s="327"/>
      <c r="D255" s="327"/>
      <c r="F255" s="327"/>
      <c r="J255" s="327"/>
      <c r="L255" s="328"/>
    </row>
    <row r="256" spans="2:12" s="326" customFormat="1" ht="9.9499999999999993" customHeight="1" x14ac:dyDescent="0.2">
      <c r="B256" s="327"/>
      <c r="D256" s="327"/>
      <c r="F256" s="327"/>
      <c r="J256" s="327"/>
      <c r="L256" s="328"/>
    </row>
    <row r="257" spans="2:12" s="326" customFormat="1" ht="9.9499999999999993" customHeight="1" x14ac:dyDescent="0.2">
      <c r="B257" s="327"/>
      <c r="D257" s="327"/>
      <c r="F257" s="327"/>
      <c r="J257" s="327"/>
      <c r="L257" s="328"/>
    </row>
    <row r="258" spans="2:12" s="326" customFormat="1" ht="9.9499999999999993" customHeight="1" x14ac:dyDescent="0.2">
      <c r="B258" s="327"/>
      <c r="D258" s="327"/>
      <c r="F258" s="327"/>
      <c r="J258" s="327"/>
      <c r="L258" s="328"/>
    </row>
    <row r="259" spans="2:12" s="326" customFormat="1" ht="9.9499999999999993" customHeight="1" x14ac:dyDescent="0.2">
      <c r="B259" s="327"/>
      <c r="D259" s="327"/>
      <c r="F259" s="327"/>
      <c r="J259" s="327"/>
      <c r="L259" s="328"/>
    </row>
    <row r="260" spans="2:12" s="326" customFormat="1" ht="9.9499999999999993" customHeight="1" x14ac:dyDescent="0.2">
      <c r="B260" s="327"/>
      <c r="D260" s="327"/>
      <c r="F260" s="327"/>
      <c r="J260" s="327"/>
      <c r="L260" s="328"/>
    </row>
    <row r="261" spans="2:12" s="326" customFormat="1" ht="9.9499999999999993" customHeight="1" x14ac:dyDescent="0.2">
      <c r="B261" s="327"/>
      <c r="D261" s="327"/>
      <c r="F261" s="327"/>
      <c r="J261" s="327"/>
      <c r="L261" s="328"/>
    </row>
    <row r="262" spans="2:12" s="326" customFormat="1" ht="9.9499999999999993" customHeight="1" x14ac:dyDescent="0.2">
      <c r="B262" s="327"/>
      <c r="D262" s="327"/>
      <c r="F262" s="327"/>
      <c r="J262" s="327"/>
      <c r="L262" s="328"/>
    </row>
    <row r="263" spans="2:12" s="326" customFormat="1" ht="9.9499999999999993" customHeight="1" x14ac:dyDescent="0.2">
      <c r="B263" s="327"/>
      <c r="D263" s="327"/>
      <c r="F263" s="327"/>
      <c r="J263" s="327"/>
      <c r="L263" s="328"/>
    </row>
    <row r="264" spans="2:12" s="326" customFormat="1" ht="9.9499999999999993" customHeight="1" x14ac:dyDescent="0.2">
      <c r="B264" s="327"/>
      <c r="D264" s="327"/>
      <c r="F264" s="327"/>
      <c r="J264" s="327"/>
      <c r="L264" s="328"/>
    </row>
    <row r="265" spans="2:12" s="326" customFormat="1" ht="9.9499999999999993" customHeight="1" x14ac:dyDescent="0.2">
      <c r="B265" s="327"/>
      <c r="D265" s="327"/>
      <c r="F265" s="327"/>
      <c r="J265" s="327"/>
      <c r="L265" s="328"/>
    </row>
    <row r="266" spans="2:12" s="326" customFormat="1" ht="9.9499999999999993" customHeight="1" x14ac:dyDescent="0.2">
      <c r="B266" s="327"/>
      <c r="D266" s="327"/>
      <c r="F266" s="327"/>
      <c r="J266" s="327"/>
      <c r="L266" s="328"/>
    </row>
    <row r="267" spans="2:12" s="326" customFormat="1" ht="9.9499999999999993" customHeight="1" x14ac:dyDescent="0.2">
      <c r="B267" s="327"/>
      <c r="D267" s="327"/>
      <c r="F267" s="327"/>
      <c r="J267" s="327"/>
      <c r="L267" s="328"/>
    </row>
    <row r="268" spans="2:12" s="326" customFormat="1" ht="9.9499999999999993" customHeight="1" x14ac:dyDescent="0.2">
      <c r="B268" s="327"/>
      <c r="D268" s="327"/>
      <c r="F268" s="327"/>
      <c r="J268" s="327"/>
      <c r="L268" s="328"/>
    </row>
    <row r="269" spans="2:12" s="326" customFormat="1" ht="9.9499999999999993" customHeight="1" x14ac:dyDescent="0.2">
      <c r="B269" s="327"/>
      <c r="D269" s="327"/>
      <c r="F269" s="327"/>
      <c r="J269" s="327"/>
      <c r="L269" s="328"/>
    </row>
    <row r="270" spans="2:12" s="326" customFormat="1" ht="9.9499999999999993" customHeight="1" x14ac:dyDescent="0.2">
      <c r="B270" s="327"/>
      <c r="D270" s="327"/>
      <c r="F270" s="327"/>
      <c r="J270" s="327"/>
      <c r="L270" s="328"/>
    </row>
    <row r="271" spans="2:12" s="326" customFormat="1" ht="9.9499999999999993" customHeight="1" x14ac:dyDescent="0.2">
      <c r="B271" s="327"/>
      <c r="D271" s="327"/>
      <c r="F271" s="327"/>
      <c r="J271" s="327"/>
      <c r="L271" s="328"/>
    </row>
    <row r="272" spans="2:12" s="326" customFormat="1" ht="9.9499999999999993" customHeight="1" x14ac:dyDescent="0.2">
      <c r="B272" s="327"/>
      <c r="D272" s="327"/>
      <c r="F272" s="327"/>
      <c r="J272" s="327"/>
      <c r="L272" s="328"/>
    </row>
    <row r="273" spans="2:12" s="326" customFormat="1" ht="9.9499999999999993" customHeight="1" x14ac:dyDescent="0.2">
      <c r="B273" s="327"/>
      <c r="D273" s="327"/>
      <c r="F273" s="327"/>
      <c r="J273" s="327"/>
      <c r="L273" s="328"/>
    </row>
    <row r="274" spans="2:12" s="326" customFormat="1" ht="9.9499999999999993" customHeight="1" x14ac:dyDescent="0.2">
      <c r="B274" s="327"/>
      <c r="D274" s="327"/>
      <c r="F274" s="327"/>
      <c r="J274" s="327"/>
      <c r="L274" s="328"/>
    </row>
    <row r="275" spans="2:12" s="326" customFormat="1" ht="9.9499999999999993" customHeight="1" x14ac:dyDescent="0.2">
      <c r="B275" s="327"/>
      <c r="D275" s="327"/>
      <c r="F275" s="327"/>
      <c r="J275" s="327"/>
      <c r="L275" s="328"/>
    </row>
    <row r="276" spans="2:12" s="326" customFormat="1" ht="9.9499999999999993" customHeight="1" x14ac:dyDescent="0.2">
      <c r="B276" s="327"/>
      <c r="D276" s="327"/>
      <c r="F276" s="327"/>
      <c r="J276" s="327"/>
      <c r="L276" s="328"/>
    </row>
    <row r="277" spans="2:12" s="326" customFormat="1" ht="9.9499999999999993" customHeight="1" x14ac:dyDescent="0.2">
      <c r="B277" s="327"/>
      <c r="D277" s="327"/>
      <c r="F277" s="327"/>
      <c r="J277" s="327"/>
      <c r="L277" s="328"/>
    </row>
    <row r="278" spans="2:12" s="326" customFormat="1" ht="9.9499999999999993" customHeight="1" x14ac:dyDescent="0.2">
      <c r="B278" s="327"/>
      <c r="D278" s="327"/>
      <c r="F278" s="327"/>
      <c r="J278" s="327"/>
      <c r="L278" s="328"/>
    </row>
    <row r="279" spans="2:12" s="326" customFormat="1" ht="9.9499999999999993" customHeight="1" x14ac:dyDescent="0.2">
      <c r="B279" s="327"/>
      <c r="D279" s="327"/>
      <c r="F279" s="327"/>
      <c r="J279" s="327"/>
      <c r="L279" s="328"/>
    </row>
    <row r="280" spans="2:12" s="326" customFormat="1" ht="9.9499999999999993" customHeight="1" x14ac:dyDescent="0.2">
      <c r="B280" s="327"/>
      <c r="D280" s="327"/>
      <c r="F280" s="327"/>
      <c r="J280" s="327"/>
      <c r="L280" s="328"/>
    </row>
    <row r="281" spans="2:12" s="326" customFormat="1" ht="9.9499999999999993" customHeight="1" x14ac:dyDescent="0.2">
      <c r="B281" s="327"/>
      <c r="D281" s="327"/>
      <c r="F281" s="327"/>
      <c r="J281" s="327"/>
      <c r="L281" s="328"/>
    </row>
    <row r="282" spans="2:12" s="326" customFormat="1" ht="9.9499999999999993" customHeight="1" x14ac:dyDescent="0.2">
      <c r="B282" s="327"/>
      <c r="D282" s="327"/>
      <c r="F282" s="327"/>
      <c r="J282" s="327"/>
      <c r="L282" s="328"/>
    </row>
    <row r="283" spans="2:12" s="326" customFormat="1" ht="9.9499999999999993" customHeight="1" x14ac:dyDescent="0.2">
      <c r="B283" s="327"/>
      <c r="D283" s="327"/>
      <c r="F283" s="327"/>
      <c r="J283" s="327"/>
      <c r="L283" s="328"/>
    </row>
    <row r="284" spans="2:12" s="326" customFormat="1" ht="9.9499999999999993" customHeight="1" x14ac:dyDescent="0.2">
      <c r="B284" s="327"/>
      <c r="D284" s="327"/>
      <c r="F284" s="327"/>
      <c r="J284" s="327"/>
      <c r="L284" s="328"/>
    </row>
    <row r="285" spans="2:12" s="326" customFormat="1" ht="9.9499999999999993" customHeight="1" x14ac:dyDescent="0.2">
      <c r="B285" s="327"/>
      <c r="D285" s="327"/>
      <c r="F285" s="327"/>
      <c r="J285" s="327"/>
      <c r="L285" s="328"/>
    </row>
    <row r="286" spans="2:12" s="326" customFormat="1" ht="9.9499999999999993" customHeight="1" x14ac:dyDescent="0.2">
      <c r="B286" s="327"/>
      <c r="D286" s="327"/>
      <c r="F286" s="327"/>
      <c r="J286" s="327"/>
      <c r="L286" s="328"/>
    </row>
    <row r="287" spans="2:12" s="326" customFormat="1" ht="9.9499999999999993" customHeight="1" x14ac:dyDescent="0.2">
      <c r="B287" s="327"/>
      <c r="D287" s="327"/>
      <c r="F287" s="327"/>
      <c r="J287" s="327"/>
      <c r="L287" s="328"/>
    </row>
    <row r="288" spans="2:12" s="326" customFormat="1" ht="9.9499999999999993" customHeight="1" x14ac:dyDescent="0.2">
      <c r="B288" s="327"/>
      <c r="D288" s="327"/>
      <c r="F288" s="327"/>
      <c r="J288" s="327"/>
      <c r="L288" s="328"/>
    </row>
    <row r="289" spans="2:12" s="326" customFormat="1" ht="9.9499999999999993" customHeight="1" x14ac:dyDescent="0.2">
      <c r="B289" s="327"/>
      <c r="D289" s="327"/>
      <c r="F289" s="327"/>
      <c r="J289" s="327"/>
      <c r="L289" s="328"/>
    </row>
    <row r="290" spans="2:12" s="326" customFormat="1" ht="9.9499999999999993" customHeight="1" x14ac:dyDescent="0.2">
      <c r="B290" s="327"/>
      <c r="D290" s="327"/>
      <c r="F290" s="327"/>
      <c r="J290" s="327"/>
      <c r="L290" s="328"/>
    </row>
    <row r="291" spans="2:12" s="326" customFormat="1" ht="9.9499999999999993" customHeight="1" x14ac:dyDescent="0.2">
      <c r="B291" s="327"/>
      <c r="D291" s="327"/>
      <c r="F291" s="327"/>
      <c r="J291" s="327"/>
      <c r="L291" s="328"/>
    </row>
    <row r="292" spans="2:12" s="326" customFormat="1" ht="9.9499999999999993" customHeight="1" x14ac:dyDescent="0.2">
      <c r="B292" s="327"/>
      <c r="D292" s="327"/>
      <c r="F292" s="327"/>
      <c r="J292" s="327"/>
      <c r="L292" s="328"/>
    </row>
    <row r="293" spans="2:12" s="326" customFormat="1" ht="9.9499999999999993" customHeight="1" x14ac:dyDescent="0.2">
      <c r="B293" s="327"/>
      <c r="D293" s="327"/>
      <c r="F293" s="327"/>
      <c r="J293" s="327"/>
      <c r="L293" s="328"/>
    </row>
    <row r="294" spans="2:12" s="326" customFormat="1" ht="9.9499999999999993" customHeight="1" x14ac:dyDescent="0.2">
      <c r="B294" s="327"/>
      <c r="D294" s="327"/>
      <c r="F294" s="327"/>
      <c r="J294" s="327"/>
      <c r="L294" s="328"/>
    </row>
    <row r="295" spans="2:12" s="326" customFormat="1" ht="9.9499999999999993" customHeight="1" x14ac:dyDescent="0.2">
      <c r="B295" s="327"/>
      <c r="D295" s="327"/>
      <c r="F295" s="327"/>
      <c r="J295" s="327"/>
      <c r="L295" s="328"/>
    </row>
    <row r="296" spans="2:12" s="326" customFormat="1" ht="9.9499999999999993" customHeight="1" x14ac:dyDescent="0.2">
      <c r="B296" s="327"/>
      <c r="D296" s="327"/>
      <c r="F296" s="327"/>
      <c r="J296" s="327"/>
      <c r="L296" s="328"/>
    </row>
    <row r="297" spans="2:12" s="326" customFormat="1" ht="9.9499999999999993" customHeight="1" x14ac:dyDescent="0.2">
      <c r="B297" s="327"/>
      <c r="D297" s="327"/>
      <c r="F297" s="327"/>
      <c r="J297" s="327"/>
      <c r="L297" s="328"/>
    </row>
    <row r="298" spans="2:12" s="326" customFormat="1" ht="9.9499999999999993" customHeight="1" x14ac:dyDescent="0.2">
      <c r="B298" s="327"/>
      <c r="D298" s="327"/>
      <c r="F298" s="327"/>
      <c r="J298" s="327"/>
      <c r="L298" s="328"/>
    </row>
    <row r="299" spans="2:12" s="326" customFormat="1" ht="9.9499999999999993" customHeight="1" x14ac:dyDescent="0.2">
      <c r="B299" s="327"/>
      <c r="D299" s="327"/>
      <c r="F299" s="327"/>
      <c r="J299" s="327"/>
      <c r="L299" s="328"/>
    </row>
    <row r="300" spans="2:12" s="326" customFormat="1" ht="9.9499999999999993" customHeight="1" x14ac:dyDescent="0.2">
      <c r="B300" s="327"/>
      <c r="D300" s="327"/>
      <c r="F300" s="327"/>
      <c r="J300" s="327"/>
      <c r="L300" s="328"/>
    </row>
    <row r="301" spans="2:12" s="326" customFormat="1" ht="9.9499999999999993" customHeight="1" x14ac:dyDescent="0.2">
      <c r="B301" s="327"/>
      <c r="D301" s="327"/>
      <c r="F301" s="327"/>
      <c r="J301" s="327"/>
      <c r="L301" s="328"/>
    </row>
    <row r="302" spans="2:12" s="326" customFormat="1" ht="9.9499999999999993" customHeight="1" x14ac:dyDescent="0.2">
      <c r="B302" s="327"/>
      <c r="D302" s="327"/>
      <c r="F302" s="327"/>
      <c r="J302" s="327"/>
      <c r="L302" s="328"/>
    </row>
    <row r="303" spans="2:12" s="326" customFormat="1" ht="9.9499999999999993" customHeight="1" x14ac:dyDescent="0.2">
      <c r="B303" s="327"/>
      <c r="D303" s="327"/>
      <c r="F303" s="327"/>
      <c r="J303" s="327"/>
      <c r="L303" s="328"/>
    </row>
    <row r="304" spans="2:12" s="326" customFormat="1" ht="9.9499999999999993" customHeight="1" x14ac:dyDescent="0.2">
      <c r="B304" s="327"/>
      <c r="D304" s="327"/>
      <c r="F304" s="327"/>
      <c r="J304" s="327"/>
      <c r="L304" s="328"/>
    </row>
    <row r="305" spans="2:12" s="326" customFormat="1" ht="9.9499999999999993" customHeight="1" x14ac:dyDescent="0.2">
      <c r="B305" s="327"/>
      <c r="D305" s="327"/>
      <c r="F305" s="327"/>
      <c r="J305" s="327"/>
      <c r="L305" s="328"/>
    </row>
    <row r="306" spans="2:12" s="326" customFormat="1" ht="9.9499999999999993" customHeight="1" x14ac:dyDescent="0.2">
      <c r="B306" s="327"/>
      <c r="D306" s="327"/>
      <c r="F306" s="327"/>
      <c r="J306" s="327"/>
      <c r="L306" s="328"/>
    </row>
    <row r="307" spans="2:12" s="326" customFormat="1" ht="9.9499999999999993" customHeight="1" x14ac:dyDescent="0.2">
      <c r="B307" s="327"/>
      <c r="D307" s="327"/>
      <c r="F307" s="327"/>
      <c r="J307" s="327"/>
      <c r="L307" s="328"/>
    </row>
    <row r="308" spans="2:12" s="326" customFormat="1" ht="9.9499999999999993" customHeight="1" x14ac:dyDescent="0.2">
      <c r="B308" s="327"/>
      <c r="D308" s="327"/>
      <c r="F308" s="327"/>
      <c r="J308" s="327"/>
      <c r="L308" s="328"/>
    </row>
    <row r="309" spans="2:12" s="326" customFormat="1" ht="9.9499999999999993" customHeight="1" x14ac:dyDescent="0.2">
      <c r="B309" s="327"/>
      <c r="D309" s="327"/>
      <c r="F309" s="327"/>
      <c r="J309" s="327"/>
      <c r="L309" s="328"/>
    </row>
    <row r="310" spans="2:12" s="326" customFormat="1" ht="9.9499999999999993" customHeight="1" x14ac:dyDescent="0.2">
      <c r="B310" s="327"/>
      <c r="D310" s="327"/>
      <c r="F310" s="327"/>
      <c r="J310" s="327"/>
      <c r="L310" s="328"/>
    </row>
    <row r="311" spans="2:12" s="326" customFormat="1" ht="9.9499999999999993" customHeight="1" x14ac:dyDescent="0.2">
      <c r="B311" s="327"/>
      <c r="D311" s="327"/>
      <c r="F311" s="327"/>
      <c r="J311" s="327"/>
      <c r="L311" s="328"/>
    </row>
    <row r="312" spans="2:12" s="326" customFormat="1" ht="9.9499999999999993" customHeight="1" x14ac:dyDescent="0.2">
      <c r="B312" s="327"/>
      <c r="D312" s="327"/>
      <c r="F312" s="327"/>
      <c r="J312" s="327"/>
      <c r="L312" s="328"/>
    </row>
    <row r="313" spans="2:12" s="326" customFormat="1" ht="9.9499999999999993" customHeight="1" x14ac:dyDescent="0.2">
      <c r="B313" s="327"/>
      <c r="D313" s="327"/>
      <c r="F313" s="327"/>
      <c r="J313" s="327"/>
      <c r="L313" s="328"/>
    </row>
    <row r="314" spans="2:12" s="326" customFormat="1" ht="9.9499999999999993" customHeight="1" x14ac:dyDescent="0.2">
      <c r="B314" s="327"/>
      <c r="D314" s="327"/>
      <c r="F314" s="327"/>
      <c r="J314" s="327"/>
      <c r="L314" s="328"/>
    </row>
    <row r="315" spans="2:12" s="326" customFormat="1" ht="9.9499999999999993" customHeight="1" x14ac:dyDescent="0.2">
      <c r="B315" s="327"/>
      <c r="D315" s="327"/>
      <c r="F315" s="327"/>
      <c r="J315" s="327"/>
      <c r="L315" s="328"/>
    </row>
    <row r="316" spans="2:12" s="326" customFormat="1" ht="9.9499999999999993" customHeight="1" x14ac:dyDescent="0.2">
      <c r="B316" s="327"/>
      <c r="D316" s="327"/>
      <c r="F316" s="327"/>
      <c r="J316" s="327"/>
      <c r="L316" s="328"/>
    </row>
    <row r="317" spans="2:12" s="326" customFormat="1" ht="9.9499999999999993" customHeight="1" x14ac:dyDescent="0.2">
      <c r="B317" s="327"/>
      <c r="D317" s="327"/>
      <c r="F317" s="327"/>
      <c r="J317" s="327"/>
      <c r="L317" s="328"/>
    </row>
    <row r="318" spans="2:12" s="326" customFormat="1" ht="9.9499999999999993" customHeight="1" x14ac:dyDescent="0.2">
      <c r="B318" s="327"/>
      <c r="D318" s="327"/>
      <c r="F318" s="327"/>
      <c r="J318" s="327"/>
      <c r="L318" s="328"/>
    </row>
    <row r="319" spans="2:12" s="326" customFormat="1" ht="9.9499999999999993" customHeight="1" x14ac:dyDescent="0.2">
      <c r="B319" s="327"/>
      <c r="D319" s="327"/>
      <c r="F319" s="327"/>
      <c r="J319" s="327"/>
      <c r="L319" s="328"/>
    </row>
    <row r="320" spans="2:12" s="326" customFormat="1" ht="9.9499999999999993" customHeight="1" x14ac:dyDescent="0.2">
      <c r="B320" s="327"/>
      <c r="D320" s="327"/>
      <c r="F320" s="327"/>
      <c r="J320" s="327"/>
      <c r="L320" s="328"/>
    </row>
    <row r="321" spans="2:12" s="326" customFormat="1" ht="9.9499999999999993" customHeight="1" x14ac:dyDescent="0.2">
      <c r="B321" s="327"/>
      <c r="D321" s="327"/>
      <c r="F321" s="327"/>
      <c r="J321" s="327"/>
      <c r="L321" s="328"/>
    </row>
    <row r="322" spans="2:12" s="326" customFormat="1" ht="9.9499999999999993" customHeight="1" x14ac:dyDescent="0.2">
      <c r="B322" s="327"/>
      <c r="D322" s="327"/>
      <c r="F322" s="327"/>
      <c r="J322" s="327"/>
      <c r="L322" s="328"/>
    </row>
    <row r="323" spans="2:12" s="326" customFormat="1" ht="9.9499999999999993" customHeight="1" x14ac:dyDescent="0.2">
      <c r="B323" s="327"/>
      <c r="D323" s="327"/>
      <c r="F323" s="327"/>
      <c r="J323" s="327"/>
      <c r="L323" s="328"/>
    </row>
    <row r="324" spans="2:12" s="326" customFormat="1" ht="9.9499999999999993" customHeight="1" x14ac:dyDescent="0.2">
      <c r="B324" s="327"/>
      <c r="D324" s="327"/>
      <c r="F324" s="327"/>
      <c r="J324" s="327"/>
      <c r="L324" s="328"/>
    </row>
    <row r="325" spans="2:12" s="326" customFormat="1" ht="9.9499999999999993" customHeight="1" x14ac:dyDescent="0.2">
      <c r="B325" s="327"/>
      <c r="D325" s="327"/>
      <c r="F325" s="327"/>
      <c r="J325" s="327"/>
      <c r="L325" s="328"/>
    </row>
    <row r="326" spans="2:12" s="326" customFormat="1" ht="9.9499999999999993" customHeight="1" x14ac:dyDescent="0.2">
      <c r="B326" s="327"/>
      <c r="D326" s="327"/>
      <c r="F326" s="327"/>
      <c r="J326" s="327"/>
      <c r="L326" s="328"/>
    </row>
    <row r="327" spans="2:12" s="326" customFormat="1" ht="9.9499999999999993" customHeight="1" x14ac:dyDescent="0.2">
      <c r="B327" s="327"/>
      <c r="D327" s="327"/>
      <c r="F327" s="327"/>
      <c r="J327" s="327"/>
      <c r="L327" s="328"/>
    </row>
    <row r="328" spans="2:12" s="326" customFormat="1" ht="9.9499999999999993" customHeight="1" x14ac:dyDescent="0.2">
      <c r="B328" s="327"/>
      <c r="D328" s="327"/>
      <c r="F328" s="327"/>
      <c r="J328" s="327"/>
      <c r="L328" s="328"/>
    </row>
    <row r="329" spans="2:12" s="326" customFormat="1" ht="9.9499999999999993" customHeight="1" x14ac:dyDescent="0.2">
      <c r="B329" s="327"/>
      <c r="D329" s="327"/>
      <c r="F329" s="327"/>
      <c r="J329" s="327"/>
      <c r="L329" s="328"/>
    </row>
    <row r="330" spans="2:12" s="326" customFormat="1" ht="9.9499999999999993" customHeight="1" x14ac:dyDescent="0.2">
      <c r="B330" s="327"/>
      <c r="D330" s="327"/>
      <c r="F330" s="327"/>
      <c r="J330" s="327"/>
      <c r="L330" s="328"/>
    </row>
    <row r="331" spans="2:12" s="326" customFormat="1" ht="9.9499999999999993" customHeight="1" x14ac:dyDescent="0.2">
      <c r="B331" s="327"/>
      <c r="D331" s="327"/>
      <c r="F331" s="327"/>
      <c r="J331" s="327"/>
      <c r="L331" s="328"/>
    </row>
    <row r="332" spans="2:12" s="326" customFormat="1" ht="9.9499999999999993" customHeight="1" x14ac:dyDescent="0.2">
      <c r="B332" s="327"/>
      <c r="D332" s="327"/>
      <c r="F332" s="327"/>
      <c r="J332" s="327"/>
      <c r="L332" s="328"/>
    </row>
    <row r="333" spans="2:12" s="326" customFormat="1" ht="9.9499999999999993" customHeight="1" x14ac:dyDescent="0.2">
      <c r="B333" s="327"/>
      <c r="D333" s="327"/>
      <c r="F333" s="327"/>
      <c r="J333" s="327"/>
      <c r="L333" s="328"/>
    </row>
    <row r="334" spans="2:12" s="326" customFormat="1" ht="9.9499999999999993" customHeight="1" x14ac:dyDescent="0.2">
      <c r="B334" s="327"/>
      <c r="D334" s="327"/>
      <c r="F334" s="327"/>
      <c r="J334" s="327"/>
      <c r="L334" s="328"/>
    </row>
    <row r="335" spans="2:12" s="326" customFormat="1" ht="9.9499999999999993" customHeight="1" x14ac:dyDescent="0.2">
      <c r="B335" s="327"/>
      <c r="D335" s="327"/>
      <c r="F335" s="327"/>
      <c r="J335" s="327"/>
      <c r="L335" s="328"/>
    </row>
    <row r="336" spans="2:12" s="326" customFormat="1" ht="9.9499999999999993" customHeight="1" x14ac:dyDescent="0.2">
      <c r="B336" s="327"/>
      <c r="D336" s="327"/>
      <c r="F336" s="327"/>
      <c r="J336" s="327"/>
      <c r="L336" s="328"/>
    </row>
    <row r="337" spans="2:12" s="326" customFormat="1" ht="9.9499999999999993" customHeight="1" x14ac:dyDescent="0.2">
      <c r="B337" s="327"/>
      <c r="D337" s="327"/>
      <c r="F337" s="327"/>
      <c r="J337" s="327"/>
      <c r="L337" s="328"/>
    </row>
    <row r="338" spans="2:12" s="326" customFormat="1" ht="9.9499999999999993" customHeight="1" x14ac:dyDescent="0.2">
      <c r="B338" s="327"/>
      <c r="D338" s="327"/>
      <c r="F338" s="327"/>
      <c r="J338" s="327"/>
      <c r="L338" s="328"/>
    </row>
    <row r="339" spans="2:12" s="326" customFormat="1" ht="9.9499999999999993" customHeight="1" x14ac:dyDescent="0.2">
      <c r="B339" s="327"/>
      <c r="D339" s="327"/>
      <c r="F339" s="327"/>
      <c r="J339" s="327"/>
      <c r="L339" s="328"/>
    </row>
    <row r="340" spans="2:12" s="326" customFormat="1" ht="9.9499999999999993" customHeight="1" x14ac:dyDescent="0.2">
      <c r="B340" s="327"/>
      <c r="D340" s="327"/>
      <c r="F340" s="327"/>
      <c r="J340" s="327"/>
      <c r="L340" s="328"/>
    </row>
    <row r="341" spans="2:12" s="326" customFormat="1" ht="9.9499999999999993" customHeight="1" x14ac:dyDescent="0.2">
      <c r="B341" s="327"/>
      <c r="D341" s="327"/>
      <c r="F341" s="327"/>
      <c r="J341" s="327"/>
      <c r="L341" s="328"/>
    </row>
    <row r="342" spans="2:12" s="326" customFormat="1" ht="9.9499999999999993" customHeight="1" x14ac:dyDescent="0.2">
      <c r="B342" s="327"/>
      <c r="D342" s="327"/>
      <c r="F342" s="327"/>
      <c r="J342" s="327"/>
      <c r="L342" s="328"/>
    </row>
    <row r="343" spans="2:12" s="326" customFormat="1" ht="9.9499999999999993" customHeight="1" x14ac:dyDescent="0.2">
      <c r="B343" s="327"/>
      <c r="D343" s="327"/>
      <c r="F343" s="327"/>
      <c r="J343" s="327"/>
      <c r="L343" s="328"/>
    </row>
    <row r="344" spans="2:12" s="326" customFormat="1" ht="9.9499999999999993" customHeight="1" x14ac:dyDescent="0.2">
      <c r="B344" s="327"/>
      <c r="D344" s="327"/>
      <c r="F344" s="327"/>
      <c r="J344" s="327"/>
      <c r="L344" s="328"/>
    </row>
    <row r="345" spans="2:12" s="326" customFormat="1" ht="9.9499999999999993" customHeight="1" x14ac:dyDescent="0.2">
      <c r="B345" s="327"/>
      <c r="D345" s="327"/>
      <c r="F345" s="327"/>
      <c r="J345" s="327"/>
      <c r="L345" s="328"/>
    </row>
    <row r="346" spans="2:12" s="326" customFormat="1" ht="9.9499999999999993" customHeight="1" x14ac:dyDescent="0.2">
      <c r="B346" s="327"/>
      <c r="D346" s="327"/>
      <c r="F346" s="327"/>
      <c r="J346" s="327"/>
      <c r="L346" s="328"/>
    </row>
    <row r="347" spans="2:12" s="326" customFormat="1" ht="9.9499999999999993" customHeight="1" x14ac:dyDescent="0.2">
      <c r="B347" s="327"/>
      <c r="D347" s="327"/>
      <c r="F347" s="327"/>
      <c r="J347" s="327"/>
      <c r="L347" s="328"/>
    </row>
    <row r="348" spans="2:12" s="326" customFormat="1" ht="9.9499999999999993" customHeight="1" x14ac:dyDescent="0.2">
      <c r="B348" s="327"/>
      <c r="D348" s="327"/>
      <c r="F348" s="327"/>
      <c r="J348" s="327"/>
      <c r="L348" s="328"/>
    </row>
    <row r="349" spans="2:12" s="326" customFormat="1" ht="9.9499999999999993" customHeight="1" x14ac:dyDescent="0.2">
      <c r="B349" s="327"/>
      <c r="D349" s="327"/>
      <c r="F349" s="327"/>
      <c r="J349" s="327"/>
      <c r="L349" s="328"/>
    </row>
    <row r="350" spans="2:12" s="326" customFormat="1" ht="9.9499999999999993" customHeight="1" x14ac:dyDescent="0.2">
      <c r="B350" s="327"/>
      <c r="D350" s="327"/>
      <c r="F350" s="327"/>
      <c r="J350" s="327"/>
      <c r="L350" s="328"/>
    </row>
    <row r="351" spans="2:12" s="326" customFormat="1" ht="9.9499999999999993" customHeight="1" x14ac:dyDescent="0.2">
      <c r="B351" s="327"/>
      <c r="D351" s="327"/>
      <c r="F351" s="327"/>
      <c r="J351" s="327"/>
      <c r="L351" s="328"/>
    </row>
    <row r="352" spans="2:12" s="326" customFormat="1" ht="9.9499999999999993" customHeight="1" x14ac:dyDescent="0.2">
      <c r="B352" s="327"/>
      <c r="D352" s="327"/>
      <c r="F352" s="327"/>
      <c r="J352" s="327"/>
      <c r="L352" s="328"/>
    </row>
    <row r="353" spans="2:12" s="326" customFormat="1" ht="9.9499999999999993" customHeight="1" x14ac:dyDescent="0.2">
      <c r="B353" s="327"/>
      <c r="D353" s="327"/>
      <c r="F353" s="327"/>
      <c r="J353" s="327"/>
      <c r="L353" s="328"/>
    </row>
    <row r="354" spans="2:12" s="326" customFormat="1" ht="9.9499999999999993" customHeight="1" x14ac:dyDescent="0.2">
      <c r="B354" s="327"/>
      <c r="D354" s="327"/>
      <c r="F354" s="327"/>
      <c r="J354" s="327"/>
      <c r="L354" s="328"/>
    </row>
    <row r="355" spans="2:12" s="326" customFormat="1" ht="9.9499999999999993" customHeight="1" x14ac:dyDescent="0.2">
      <c r="B355" s="327"/>
      <c r="D355" s="327"/>
      <c r="F355" s="327"/>
      <c r="J355" s="327"/>
      <c r="L355" s="328"/>
    </row>
    <row r="356" spans="2:12" s="326" customFormat="1" ht="9.9499999999999993" customHeight="1" x14ac:dyDescent="0.2">
      <c r="B356" s="327"/>
      <c r="D356" s="327"/>
      <c r="F356" s="327"/>
      <c r="J356" s="327"/>
      <c r="L356" s="328"/>
    </row>
    <row r="357" spans="2:12" s="326" customFormat="1" ht="9.9499999999999993" customHeight="1" x14ac:dyDescent="0.2">
      <c r="B357" s="327"/>
      <c r="D357" s="327"/>
      <c r="F357" s="327"/>
      <c r="J357" s="327"/>
      <c r="L357" s="328"/>
    </row>
    <row r="358" spans="2:12" s="326" customFormat="1" ht="9.9499999999999993" customHeight="1" x14ac:dyDescent="0.2">
      <c r="B358" s="327"/>
      <c r="D358" s="327"/>
      <c r="F358" s="327"/>
      <c r="J358" s="327"/>
      <c r="L358" s="328"/>
    </row>
    <row r="359" spans="2:12" s="326" customFormat="1" ht="9.9499999999999993" customHeight="1" x14ac:dyDescent="0.2">
      <c r="B359" s="327"/>
      <c r="D359" s="327"/>
      <c r="F359" s="327"/>
      <c r="J359" s="327"/>
      <c r="L359" s="328"/>
    </row>
    <row r="360" spans="2:12" s="326" customFormat="1" ht="9.9499999999999993" customHeight="1" x14ac:dyDescent="0.2">
      <c r="B360" s="327"/>
      <c r="D360" s="327"/>
      <c r="F360" s="327"/>
      <c r="J360" s="327"/>
      <c r="L360" s="328"/>
    </row>
    <row r="361" spans="2:12" s="326" customFormat="1" ht="9.9499999999999993" customHeight="1" x14ac:dyDescent="0.2">
      <c r="B361" s="327"/>
      <c r="D361" s="327"/>
      <c r="F361" s="327"/>
      <c r="J361" s="327"/>
      <c r="L361" s="328"/>
    </row>
    <row r="362" spans="2:12" s="326" customFormat="1" ht="9.9499999999999993" customHeight="1" x14ac:dyDescent="0.2">
      <c r="B362" s="327"/>
      <c r="D362" s="327"/>
      <c r="F362" s="327"/>
      <c r="J362" s="327"/>
      <c r="L362" s="328"/>
    </row>
    <row r="363" spans="2:12" s="326" customFormat="1" ht="9.9499999999999993" customHeight="1" x14ac:dyDescent="0.2">
      <c r="B363" s="327"/>
      <c r="D363" s="327"/>
      <c r="F363" s="327"/>
      <c r="J363" s="327"/>
      <c r="L363" s="328"/>
    </row>
    <row r="364" spans="2:12" s="326" customFormat="1" ht="9.9499999999999993" customHeight="1" x14ac:dyDescent="0.2">
      <c r="B364" s="327"/>
      <c r="D364" s="327"/>
      <c r="F364" s="327"/>
      <c r="J364" s="327"/>
      <c r="L364" s="328"/>
    </row>
    <row r="365" spans="2:12" s="326" customFormat="1" ht="9.9499999999999993" customHeight="1" x14ac:dyDescent="0.2">
      <c r="B365" s="327"/>
      <c r="D365" s="327"/>
      <c r="F365" s="327"/>
      <c r="J365" s="327"/>
      <c r="L365" s="328"/>
    </row>
    <row r="366" spans="2:12" s="326" customFormat="1" ht="9.9499999999999993" customHeight="1" x14ac:dyDescent="0.2">
      <c r="B366" s="327"/>
      <c r="D366" s="327"/>
      <c r="F366" s="327"/>
      <c r="J366" s="327"/>
      <c r="L366" s="328"/>
    </row>
    <row r="367" spans="2:12" s="326" customFormat="1" ht="9.9499999999999993" customHeight="1" x14ac:dyDescent="0.2">
      <c r="B367" s="327"/>
      <c r="D367" s="327"/>
      <c r="F367" s="327"/>
      <c r="J367" s="327"/>
      <c r="L367" s="328"/>
    </row>
    <row r="368" spans="2:12" s="326" customFormat="1" ht="9.9499999999999993" customHeight="1" x14ac:dyDescent="0.2">
      <c r="B368" s="327"/>
      <c r="D368" s="327"/>
      <c r="F368" s="327"/>
      <c r="J368" s="327"/>
      <c r="L368" s="328"/>
    </row>
    <row r="369" spans="2:12" s="326" customFormat="1" ht="9.9499999999999993" customHeight="1" x14ac:dyDescent="0.2">
      <c r="B369" s="327"/>
      <c r="D369" s="327"/>
      <c r="F369" s="327"/>
      <c r="J369" s="327"/>
      <c r="L369" s="328"/>
    </row>
    <row r="370" spans="2:12" s="326" customFormat="1" ht="9.9499999999999993" customHeight="1" x14ac:dyDescent="0.2">
      <c r="B370" s="327"/>
      <c r="D370" s="327"/>
      <c r="F370" s="327"/>
      <c r="J370" s="327"/>
      <c r="L370" s="328"/>
    </row>
    <row r="371" spans="2:12" s="326" customFormat="1" ht="9.9499999999999993" customHeight="1" x14ac:dyDescent="0.2">
      <c r="B371" s="327"/>
      <c r="D371" s="327"/>
      <c r="F371" s="327"/>
      <c r="J371" s="327"/>
      <c r="L371" s="328"/>
    </row>
    <row r="372" spans="2:12" s="326" customFormat="1" ht="9.9499999999999993" customHeight="1" x14ac:dyDescent="0.2">
      <c r="B372" s="327"/>
      <c r="D372" s="327"/>
      <c r="F372" s="327"/>
      <c r="J372" s="327"/>
      <c r="L372" s="328"/>
    </row>
    <row r="373" spans="2:12" s="326" customFormat="1" ht="9.9499999999999993" customHeight="1" x14ac:dyDescent="0.2">
      <c r="B373" s="327"/>
      <c r="D373" s="327"/>
      <c r="F373" s="327"/>
      <c r="J373" s="327"/>
      <c r="L373" s="328"/>
    </row>
    <row r="374" spans="2:12" s="326" customFormat="1" ht="9.9499999999999993" customHeight="1" x14ac:dyDescent="0.2">
      <c r="B374" s="327"/>
      <c r="D374" s="327"/>
      <c r="F374" s="327"/>
      <c r="J374" s="327"/>
      <c r="L374" s="328"/>
    </row>
    <row r="375" spans="2:12" s="326" customFormat="1" ht="9.9499999999999993" customHeight="1" x14ac:dyDescent="0.2">
      <c r="B375" s="327"/>
      <c r="D375" s="327"/>
      <c r="F375" s="327"/>
      <c r="J375" s="327"/>
      <c r="L375" s="328"/>
    </row>
    <row r="376" spans="2:12" s="326" customFormat="1" ht="9.9499999999999993" customHeight="1" x14ac:dyDescent="0.2">
      <c r="B376" s="327"/>
      <c r="D376" s="327"/>
      <c r="F376" s="327"/>
      <c r="J376" s="327"/>
      <c r="L376" s="328"/>
    </row>
    <row r="377" spans="2:12" s="326" customFormat="1" ht="9.9499999999999993" customHeight="1" x14ac:dyDescent="0.2">
      <c r="B377" s="327"/>
      <c r="D377" s="327"/>
      <c r="F377" s="327"/>
      <c r="J377" s="327"/>
      <c r="L377" s="328"/>
    </row>
    <row r="378" spans="2:12" s="326" customFormat="1" ht="9.9499999999999993" customHeight="1" x14ac:dyDescent="0.2">
      <c r="B378" s="327"/>
      <c r="D378" s="327"/>
      <c r="F378" s="327"/>
      <c r="J378" s="327"/>
      <c r="L378" s="328"/>
    </row>
    <row r="379" spans="2:12" s="326" customFormat="1" ht="9.9499999999999993" customHeight="1" x14ac:dyDescent="0.2">
      <c r="B379" s="327"/>
      <c r="D379" s="327"/>
      <c r="F379" s="327"/>
      <c r="J379" s="327"/>
      <c r="L379" s="328"/>
    </row>
    <row r="380" spans="2:12" s="326" customFormat="1" ht="9.9499999999999993" customHeight="1" x14ac:dyDescent="0.2">
      <c r="B380" s="327"/>
      <c r="D380" s="327"/>
      <c r="F380" s="327"/>
      <c r="J380" s="327"/>
      <c r="L380" s="328"/>
    </row>
    <row r="381" spans="2:12" s="326" customFormat="1" ht="9.9499999999999993" customHeight="1" x14ac:dyDescent="0.2">
      <c r="B381" s="327"/>
      <c r="D381" s="327"/>
      <c r="F381" s="327"/>
      <c r="J381" s="327"/>
      <c r="L381" s="328"/>
    </row>
    <row r="382" spans="2:12" s="326" customFormat="1" ht="9.9499999999999993" customHeight="1" x14ac:dyDescent="0.2">
      <c r="B382" s="327"/>
      <c r="D382" s="327"/>
      <c r="F382" s="327"/>
      <c r="J382" s="327"/>
      <c r="L382" s="328"/>
    </row>
    <row r="383" spans="2:12" s="326" customFormat="1" ht="9.9499999999999993" customHeight="1" x14ac:dyDescent="0.2">
      <c r="B383" s="327"/>
      <c r="D383" s="327"/>
      <c r="F383" s="327"/>
      <c r="J383" s="327"/>
      <c r="L383" s="328"/>
    </row>
    <row r="384" spans="2:12" s="326" customFormat="1" ht="9.9499999999999993" customHeight="1" x14ac:dyDescent="0.2">
      <c r="B384" s="327"/>
      <c r="D384" s="327"/>
      <c r="F384" s="327"/>
      <c r="J384" s="327"/>
      <c r="L384" s="328"/>
    </row>
    <row r="385" spans="2:12" s="326" customFormat="1" ht="9.9499999999999993" customHeight="1" x14ac:dyDescent="0.2">
      <c r="B385" s="327"/>
      <c r="D385" s="327"/>
      <c r="F385" s="327"/>
      <c r="J385" s="327"/>
      <c r="L385" s="328"/>
    </row>
    <row r="386" spans="2:12" s="326" customFormat="1" ht="9.9499999999999993" customHeight="1" x14ac:dyDescent="0.2">
      <c r="B386" s="327"/>
      <c r="D386" s="327"/>
      <c r="F386" s="327"/>
      <c r="J386" s="327"/>
      <c r="L386" s="328"/>
    </row>
    <row r="387" spans="2:12" s="326" customFormat="1" ht="9.9499999999999993" customHeight="1" x14ac:dyDescent="0.2">
      <c r="B387" s="327"/>
      <c r="D387" s="327"/>
      <c r="F387" s="327"/>
      <c r="J387" s="327"/>
      <c r="L387" s="328"/>
    </row>
    <row r="388" spans="2:12" s="326" customFormat="1" ht="9.9499999999999993" customHeight="1" x14ac:dyDescent="0.2">
      <c r="B388" s="327"/>
      <c r="D388" s="327"/>
      <c r="F388" s="327"/>
      <c r="J388" s="327"/>
      <c r="L388" s="328"/>
    </row>
    <row r="389" spans="2:12" s="326" customFormat="1" ht="9.9499999999999993" customHeight="1" x14ac:dyDescent="0.2">
      <c r="B389" s="327"/>
      <c r="D389" s="327"/>
      <c r="F389" s="327"/>
      <c r="J389" s="327"/>
      <c r="L389" s="328"/>
    </row>
    <row r="390" spans="2:12" s="326" customFormat="1" ht="9.9499999999999993" customHeight="1" x14ac:dyDescent="0.2">
      <c r="B390" s="327"/>
      <c r="D390" s="327"/>
      <c r="F390" s="327"/>
      <c r="J390" s="327"/>
      <c r="L390" s="328"/>
    </row>
    <row r="391" spans="2:12" s="326" customFormat="1" ht="9.9499999999999993" customHeight="1" x14ac:dyDescent="0.2">
      <c r="B391" s="327"/>
      <c r="D391" s="327"/>
      <c r="F391" s="327"/>
      <c r="J391" s="327"/>
      <c r="L391" s="328"/>
    </row>
    <row r="392" spans="2:12" s="326" customFormat="1" ht="9.9499999999999993" customHeight="1" x14ac:dyDescent="0.2">
      <c r="B392" s="327"/>
      <c r="D392" s="327"/>
      <c r="F392" s="327"/>
      <c r="J392" s="327"/>
      <c r="L392" s="328"/>
    </row>
    <row r="393" spans="2:12" s="326" customFormat="1" ht="9.9499999999999993" customHeight="1" x14ac:dyDescent="0.2">
      <c r="B393" s="327"/>
      <c r="D393" s="327"/>
      <c r="F393" s="327"/>
      <c r="J393" s="327"/>
      <c r="L393" s="328"/>
    </row>
    <row r="394" spans="2:12" s="326" customFormat="1" ht="9.9499999999999993" customHeight="1" x14ac:dyDescent="0.2">
      <c r="B394" s="327"/>
      <c r="D394" s="327"/>
      <c r="F394" s="327"/>
      <c r="J394" s="327"/>
      <c r="L394" s="328"/>
    </row>
    <row r="395" spans="2:12" s="326" customFormat="1" ht="9.9499999999999993" customHeight="1" x14ac:dyDescent="0.2">
      <c r="B395" s="327"/>
      <c r="D395" s="327"/>
      <c r="F395" s="327"/>
      <c r="J395" s="327"/>
      <c r="L395" s="328"/>
    </row>
    <row r="396" spans="2:12" s="326" customFormat="1" ht="9.9499999999999993" customHeight="1" x14ac:dyDescent="0.2">
      <c r="B396" s="327"/>
      <c r="D396" s="327"/>
      <c r="F396" s="327"/>
      <c r="J396" s="327"/>
      <c r="L396" s="328"/>
    </row>
    <row r="397" spans="2:12" s="326" customFormat="1" ht="9.9499999999999993" customHeight="1" x14ac:dyDescent="0.2">
      <c r="B397" s="327"/>
      <c r="D397" s="327"/>
      <c r="F397" s="327"/>
      <c r="J397" s="327"/>
      <c r="L397" s="328"/>
    </row>
    <row r="398" spans="2:12" s="326" customFormat="1" ht="9.9499999999999993" customHeight="1" x14ac:dyDescent="0.2">
      <c r="B398" s="327"/>
      <c r="D398" s="327"/>
      <c r="F398" s="327"/>
      <c r="J398" s="327"/>
      <c r="L398" s="328"/>
    </row>
    <row r="399" spans="2:12" s="326" customFormat="1" ht="9.9499999999999993" customHeight="1" x14ac:dyDescent="0.2">
      <c r="B399" s="327"/>
      <c r="D399" s="327"/>
      <c r="F399" s="327"/>
      <c r="J399" s="327"/>
      <c r="L399" s="328"/>
    </row>
    <row r="400" spans="2:12" s="326" customFormat="1" ht="9.9499999999999993" customHeight="1" x14ac:dyDescent="0.2">
      <c r="B400" s="327"/>
      <c r="D400" s="327"/>
      <c r="F400" s="327"/>
      <c r="J400" s="327"/>
      <c r="L400" s="328"/>
    </row>
    <row r="401" spans="2:12" s="326" customFormat="1" ht="9.9499999999999993" customHeight="1" x14ac:dyDescent="0.2">
      <c r="B401" s="327"/>
      <c r="D401" s="327"/>
      <c r="F401" s="327"/>
      <c r="J401" s="327"/>
      <c r="L401" s="328"/>
    </row>
    <row r="402" spans="2:12" s="326" customFormat="1" ht="9.9499999999999993" customHeight="1" x14ac:dyDescent="0.2">
      <c r="B402" s="327"/>
      <c r="D402" s="327"/>
      <c r="F402" s="327"/>
      <c r="J402" s="327"/>
      <c r="L402" s="328"/>
    </row>
    <row r="403" spans="2:12" s="326" customFormat="1" ht="9.9499999999999993" customHeight="1" x14ac:dyDescent="0.2">
      <c r="B403" s="327"/>
      <c r="D403" s="327"/>
      <c r="F403" s="327"/>
      <c r="J403" s="327"/>
      <c r="L403" s="328"/>
    </row>
    <row r="404" spans="2:12" s="326" customFormat="1" ht="9.9499999999999993" customHeight="1" x14ac:dyDescent="0.2">
      <c r="B404" s="327"/>
      <c r="D404" s="327"/>
      <c r="F404" s="327"/>
      <c r="J404" s="327"/>
      <c r="L404" s="328"/>
    </row>
    <row r="405" spans="2:12" s="326" customFormat="1" ht="9.9499999999999993" customHeight="1" x14ac:dyDescent="0.2">
      <c r="B405" s="327"/>
      <c r="D405" s="327"/>
      <c r="F405" s="327"/>
      <c r="J405" s="327"/>
      <c r="L405" s="328"/>
    </row>
    <row r="406" spans="2:12" s="326" customFormat="1" ht="9.9499999999999993" customHeight="1" x14ac:dyDescent="0.2">
      <c r="B406" s="327"/>
      <c r="D406" s="327"/>
      <c r="F406" s="327"/>
      <c r="J406" s="327"/>
      <c r="L406" s="328"/>
    </row>
    <row r="407" spans="2:12" s="326" customFormat="1" ht="9.9499999999999993" customHeight="1" x14ac:dyDescent="0.2">
      <c r="B407" s="327"/>
      <c r="D407" s="327"/>
      <c r="F407" s="327"/>
      <c r="J407" s="327"/>
      <c r="L407" s="328"/>
    </row>
    <row r="408" spans="2:12" s="326" customFormat="1" ht="9.9499999999999993" customHeight="1" x14ac:dyDescent="0.2">
      <c r="B408" s="327"/>
      <c r="D408" s="327"/>
      <c r="F408" s="327"/>
      <c r="J408" s="327"/>
      <c r="L408" s="328"/>
    </row>
    <row r="409" spans="2:12" s="326" customFormat="1" ht="9.9499999999999993" customHeight="1" x14ac:dyDescent="0.2">
      <c r="B409" s="327"/>
      <c r="D409" s="327"/>
      <c r="F409" s="327"/>
      <c r="J409" s="327"/>
      <c r="L409" s="328"/>
    </row>
    <row r="410" spans="2:12" s="326" customFormat="1" ht="9.9499999999999993" customHeight="1" x14ac:dyDescent="0.2">
      <c r="B410" s="327"/>
      <c r="D410" s="327"/>
      <c r="F410" s="327"/>
      <c r="J410" s="327"/>
      <c r="L410" s="328"/>
    </row>
    <row r="411" spans="2:12" s="326" customFormat="1" ht="9.9499999999999993" customHeight="1" x14ac:dyDescent="0.2">
      <c r="B411" s="327"/>
      <c r="D411" s="327"/>
      <c r="F411" s="327"/>
      <c r="J411" s="327"/>
      <c r="L411" s="328"/>
    </row>
    <row r="412" spans="2:12" s="326" customFormat="1" ht="9.9499999999999993" customHeight="1" x14ac:dyDescent="0.2">
      <c r="B412" s="327"/>
      <c r="D412" s="327"/>
      <c r="F412" s="327"/>
      <c r="J412" s="327"/>
      <c r="L412" s="328"/>
    </row>
    <row r="413" spans="2:12" s="326" customFormat="1" ht="9.9499999999999993" customHeight="1" x14ac:dyDescent="0.2">
      <c r="B413" s="327"/>
      <c r="D413" s="327"/>
      <c r="F413" s="327"/>
      <c r="J413" s="327"/>
      <c r="L413" s="328"/>
    </row>
    <row r="414" spans="2:12" s="326" customFormat="1" ht="9.9499999999999993" customHeight="1" x14ac:dyDescent="0.2">
      <c r="B414" s="327"/>
      <c r="D414" s="327"/>
      <c r="F414" s="327"/>
      <c r="J414" s="327"/>
      <c r="L414" s="328"/>
    </row>
    <row r="415" spans="2:12" s="326" customFormat="1" ht="9.9499999999999993" customHeight="1" x14ac:dyDescent="0.2">
      <c r="B415" s="327"/>
      <c r="D415" s="327"/>
      <c r="F415" s="327"/>
      <c r="J415" s="327"/>
      <c r="L415" s="328"/>
    </row>
    <row r="416" spans="2:12" s="326" customFormat="1" ht="9.9499999999999993" customHeight="1" x14ac:dyDescent="0.2">
      <c r="B416" s="327"/>
      <c r="D416" s="327"/>
      <c r="F416" s="327"/>
      <c r="J416" s="327"/>
      <c r="L416" s="328"/>
    </row>
    <row r="417" spans="2:12" s="326" customFormat="1" ht="9.9499999999999993" customHeight="1" x14ac:dyDescent="0.2">
      <c r="B417" s="327"/>
      <c r="D417" s="327"/>
      <c r="F417" s="327"/>
      <c r="J417" s="327"/>
      <c r="L417" s="328"/>
    </row>
    <row r="418" spans="2:12" s="326" customFormat="1" ht="9.9499999999999993" customHeight="1" x14ac:dyDescent="0.2">
      <c r="B418" s="327"/>
      <c r="D418" s="327"/>
      <c r="F418" s="327"/>
      <c r="J418" s="327"/>
      <c r="L418" s="328"/>
    </row>
    <row r="419" spans="2:12" s="326" customFormat="1" ht="9.9499999999999993" customHeight="1" x14ac:dyDescent="0.2">
      <c r="B419" s="327"/>
      <c r="D419" s="327"/>
      <c r="F419" s="327"/>
      <c r="J419" s="327"/>
      <c r="L419" s="328"/>
    </row>
    <row r="420" spans="2:12" s="326" customFormat="1" ht="9.9499999999999993" customHeight="1" x14ac:dyDescent="0.2">
      <c r="B420" s="327"/>
      <c r="D420" s="327"/>
      <c r="F420" s="327"/>
      <c r="J420" s="327"/>
      <c r="L420" s="328"/>
    </row>
    <row r="421" spans="2:12" s="326" customFormat="1" ht="9.9499999999999993" customHeight="1" x14ac:dyDescent="0.2">
      <c r="B421" s="327"/>
      <c r="D421" s="327"/>
      <c r="F421" s="327"/>
      <c r="J421" s="327"/>
      <c r="L421" s="328"/>
    </row>
    <row r="422" spans="2:12" s="326" customFormat="1" ht="9.9499999999999993" customHeight="1" x14ac:dyDescent="0.2">
      <c r="B422" s="327"/>
      <c r="D422" s="327"/>
      <c r="F422" s="327"/>
      <c r="J422" s="327"/>
      <c r="L422" s="328"/>
    </row>
    <row r="423" spans="2:12" s="326" customFormat="1" ht="9.9499999999999993" customHeight="1" x14ac:dyDescent="0.2">
      <c r="B423" s="327"/>
      <c r="D423" s="327"/>
      <c r="F423" s="327"/>
      <c r="J423" s="327"/>
      <c r="L423" s="328"/>
    </row>
    <row r="424" spans="2:12" s="326" customFormat="1" ht="9.9499999999999993" customHeight="1" x14ac:dyDescent="0.2">
      <c r="B424" s="327"/>
      <c r="D424" s="327"/>
      <c r="F424" s="327"/>
      <c r="J424" s="327"/>
      <c r="L424" s="328"/>
    </row>
    <row r="425" spans="2:12" s="326" customFormat="1" ht="9.9499999999999993" customHeight="1" x14ac:dyDescent="0.2">
      <c r="B425" s="327"/>
      <c r="D425" s="327"/>
      <c r="F425" s="327"/>
      <c r="J425" s="327"/>
      <c r="L425" s="328"/>
    </row>
    <row r="426" spans="2:12" s="326" customFormat="1" ht="9.9499999999999993" customHeight="1" x14ac:dyDescent="0.2">
      <c r="B426" s="327"/>
      <c r="D426" s="327"/>
      <c r="F426" s="327"/>
      <c r="J426" s="327"/>
      <c r="L426" s="328"/>
    </row>
    <row r="427" spans="2:12" s="326" customFormat="1" ht="9.9499999999999993" customHeight="1" x14ac:dyDescent="0.2">
      <c r="B427" s="327"/>
      <c r="D427" s="327"/>
      <c r="F427" s="327"/>
      <c r="J427" s="327"/>
      <c r="L427" s="328"/>
    </row>
    <row r="428" spans="2:12" s="326" customFormat="1" ht="9.9499999999999993" customHeight="1" x14ac:dyDescent="0.2">
      <c r="B428" s="327"/>
      <c r="D428" s="327"/>
      <c r="F428" s="327"/>
      <c r="J428" s="327"/>
      <c r="L428" s="328"/>
    </row>
    <row r="429" spans="2:12" s="326" customFormat="1" ht="9.9499999999999993" customHeight="1" x14ac:dyDescent="0.2">
      <c r="B429" s="327"/>
      <c r="D429" s="327"/>
      <c r="F429" s="327"/>
      <c r="J429" s="327"/>
      <c r="L429" s="328"/>
    </row>
    <row r="430" spans="2:12" s="326" customFormat="1" ht="9.9499999999999993" customHeight="1" x14ac:dyDescent="0.2">
      <c r="B430" s="327"/>
      <c r="D430" s="327"/>
      <c r="F430" s="327"/>
      <c r="J430" s="327"/>
      <c r="L430" s="328"/>
    </row>
    <row r="431" spans="2:12" s="326" customFormat="1" ht="9.9499999999999993" customHeight="1" x14ac:dyDescent="0.2">
      <c r="B431" s="327"/>
      <c r="D431" s="327"/>
      <c r="F431" s="327"/>
      <c r="J431" s="327"/>
      <c r="L431" s="328"/>
    </row>
    <row r="432" spans="2:12" s="326" customFormat="1" ht="9.9499999999999993" customHeight="1" x14ac:dyDescent="0.2">
      <c r="B432" s="327"/>
      <c r="D432" s="327"/>
      <c r="F432" s="327"/>
      <c r="J432" s="327"/>
      <c r="L432" s="328"/>
    </row>
    <row r="433" spans="2:12" s="326" customFormat="1" ht="9.9499999999999993" customHeight="1" x14ac:dyDescent="0.2">
      <c r="B433" s="327"/>
      <c r="D433" s="327"/>
      <c r="F433" s="327"/>
      <c r="J433" s="327"/>
      <c r="L433" s="328"/>
    </row>
    <row r="434" spans="2:12" s="326" customFormat="1" ht="9.9499999999999993" customHeight="1" x14ac:dyDescent="0.2">
      <c r="B434" s="327"/>
      <c r="D434" s="327"/>
      <c r="F434" s="327"/>
      <c r="J434" s="327"/>
      <c r="L434" s="328"/>
    </row>
    <row r="435" spans="2:12" s="326" customFormat="1" ht="9.9499999999999993" customHeight="1" x14ac:dyDescent="0.2">
      <c r="B435" s="327"/>
      <c r="D435" s="327"/>
      <c r="F435" s="327"/>
      <c r="J435" s="327"/>
      <c r="L435" s="328"/>
    </row>
    <row r="436" spans="2:12" s="326" customFormat="1" ht="9.9499999999999993" customHeight="1" x14ac:dyDescent="0.2">
      <c r="B436" s="327"/>
      <c r="D436" s="327"/>
      <c r="F436" s="327"/>
      <c r="J436" s="327"/>
      <c r="L436" s="328"/>
    </row>
    <row r="437" spans="2:12" s="326" customFormat="1" ht="9.9499999999999993" customHeight="1" x14ac:dyDescent="0.2">
      <c r="B437" s="327"/>
      <c r="D437" s="327"/>
      <c r="F437" s="327"/>
      <c r="J437" s="327"/>
      <c r="L437" s="328"/>
    </row>
    <row r="438" spans="2:12" s="326" customFormat="1" ht="9.9499999999999993" customHeight="1" x14ac:dyDescent="0.2">
      <c r="B438" s="327"/>
      <c r="D438" s="327"/>
      <c r="F438" s="327"/>
      <c r="J438" s="327"/>
      <c r="L438" s="328"/>
    </row>
    <row r="439" spans="2:12" s="326" customFormat="1" ht="9.9499999999999993" customHeight="1" x14ac:dyDescent="0.2">
      <c r="B439" s="327"/>
      <c r="D439" s="327"/>
      <c r="F439" s="327"/>
      <c r="J439" s="327"/>
      <c r="L439" s="328"/>
    </row>
    <row r="440" spans="2:12" s="326" customFormat="1" ht="9.9499999999999993" customHeight="1" x14ac:dyDescent="0.2">
      <c r="B440" s="327"/>
      <c r="D440" s="327"/>
      <c r="F440" s="327"/>
      <c r="J440" s="327"/>
      <c r="L440" s="328"/>
    </row>
    <row r="441" spans="2:12" s="326" customFormat="1" ht="9.9499999999999993" customHeight="1" x14ac:dyDescent="0.2">
      <c r="B441" s="327"/>
      <c r="D441" s="327"/>
      <c r="F441" s="327"/>
      <c r="J441" s="327"/>
      <c r="L441" s="328"/>
    </row>
    <row r="442" spans="2:12" s="326" customFormat="1" ht="9.9499999999999993" customHeight="1" x14ac:dyDescent="0.2">
      <c r="B442" s="327"/>
      <c r="D442" s="327"/>
      <c r="F442" s="327"/>
      <c r="J442" s="327"/>
      <c r="L442" s="328"/>
    </row>
    <row r="443" spans="2:12" s="326" customFormat="1" ht="9.9499999999999993" customHeight="1" x14ac:dyDescent="0.2">
      <c r="B443" s="327"/>
      <c r="D443" s="327"/>
      <c r="F443" s="327"/>
      <c r="J443" s="327"/>
      <c r="L443" s="328"/>
    </row>
    <row r="444" spans="2:12" s="326" customFormat="1" ht="9.9499999999999993" customHeight="1" x14ac:dyDescent="0.2">
      <c r="B444" s="327"/>
      <c r="D444" s="327"/>
      <c r="F444" s="327"/>
      <c r="J444" s="327"/>
      <c r="L444" s="328"/>
    </row>
    <row r="445" spans="2:12" s="326" customFormat="1" ht="9.9499999999999993" customHeight="1" x14ac:dyDescent="0.2">
      <c r="B445" s="327"/>
      <c r="D445" s="327"/>
      <c r="F445" s="327"/>
      <c r="J445" s="327"/>
      <c r="L445" s="328"/>
    </row>
    <row r="446" spans="2:12" s="326" customFormat="1" ht="9.9499999999999993" customHeight="1" x14ac:dyDescent="0.2">
      <c r="B446" s="327"/>
      <c r="D446" s="327"/>
      <c r="F446" s="327"/>
      <c r="J446" s="327"/>
      <c r="L446" s="328"/>
    </row>
    <row r="447" spans="2:12" s="326" customFormat="1" ht="9.9499999999999993" customHeight="1" x14ac:dyDescent="0.2">
      <c r="B447" s="327"/>
      <c r="D447" s="327"/>
      <c r="F447" s="327"/>
      <c r="J447" s="327"/>
      <c r="L447" s="328"/>
    </row>
    <row r="448" spans="2:12" s="326" customFormat="1" ht="9.9499999999999993" customHeight="1" x14ac:dyDescent="0.2">
      <c r="B448" s="327"/>
      <c r="D448" s="327"/>
      <c r="F448" s="327"/>
      <c r="J448" s="327"/>
      <c r="L448" s="328"/>
    </row>
    <row r="449" spans="2:12" s="326" customFormat="1" ht="9.9499999999999993" customHeight="1" x14ac:dyDescent="0.2">
      <c r="B449" s="327"/>
      <c r="D449" s="327"/>
      <c r="F449" s="327"/>
      <c r="J449" s="327"/>
      <c r="L449" s="328"/>
    </row>
    <row r="450" spans="2:12" s="326" customFormat="1" ht="9.9499999999999993" customHeight="1" x14ac:dyDescent="0.2">
      <c r="B450" s="327"/>
      <c r="D450" s="327"/>
      <c r="F450" s="327"/>
      <c r="J450" s="327"/>
      <c r="L450" s="328"/>
    </row>
    <row r="451" spans="2:12" s="326" customFormat="1" ht="9.9499999999999993" customHeight="1" x14ac:dyDescent="0.2">
      <c r="B451" s="327"/>
      <c r="D451" s="327"/>
      <c r="F451" s="327"/>
      <c r="J451" s="327"/>
      <c r="L451" s="328"/>
    </row>
    <row r="452" spans="2:12" s="326" customFormat="1" ht="9.9499999999999993" customHeight="1" x14ac:dyDescent="0.2">
      <c r="B452" s="327"/>
      <c r="D452" s="327"/>
      <c r="F452" s="327"/>
      <c r="J452" s="327"/>
      <c r="L452" s="328"/>
    </row>
    <row r="453" spans="2:12" s="326" customFormat="1" ht="9.9499999999999993" customHeight="1" x14ac:dyDescent="0.2">
      <c r="B453" s="327"/>
      <c r="D453" s="327"/>
      <c r="F453" s="327"/>
      <c r="J453" s="327"/>
      <c r="L453" s="328"/>
    </row>
    <row r="454" spans="2:12" s="326" customFormat="1" ht="9.9499999999999993" customHeight="1" x14ac:dyDescent="0.2">
      <c r="B454" s="327"/>
      <c r="D454" s="327"/>
      <c r="F454" s="327"/>
      <c r="J454" s="327"/>
      <c r="L454" s="328"/>
    </row>
    <row r="455" spans="2:12" s="326" customFormat="1" ht="9.9499999999999993" customHeight="1" x14ac:dyDescent="0.2">
      <c r="B455" s="327"/>
      <c r="D455" s="327"/>
      <c r="F455" s="327"/>
      <c r="J455" s="327"/>
      <c r="L455" s="328"/>
    </row>
    <row r="456" spans="2:12" s="326" customFormat="1" ht="9.9499999999999993" customHeight="1" x14ac:dyDescent="0.2">
      <c r="B456" s="327"/>
      <c r="D456" s="327"/>
      <c r="F456" s="327"/>
      <c r="J456" s="327"/>
      <c r="L456" s="328"/>
    </row>
    <row r="457" spans="2:12" s="326" customFormat="1" ht="9.9499999999999993" customHeight="1" x14ac:dyDescent="0.2">
      <c r="B457" s="327"/>
      <c r="D457" s="327"/>
      <c r="F457" s="327"/>
      <c r="J457" s="327"/>
      <c r="L457" s="328"/>
    </row>
    <row r="458" spans="2:12" s="326" customFormat="1" ht="9.9499999999999993" customHeight="1" x14ac:dyDescent="0.2">
      <c r="B458" s="327"/>
      <c r="D458" s="327"/>
      <c r="F458" s="327"/>
      <c r="J458" s="327"/>
      <c r="L458" s="328"/>
    </row>
    <row r="459" spans="2:12" s="326" customFormat="1" ht="9.9499999999999993" customHeight="1" x14ac:dyDescent="0.2">
      <c r="B459" s="327"/>
      <c r="D459" s="327"/>
      <c r="F459" s="327"/>
      <c r="J459" s="327"/>
      <c r="L459" s="328"/>
    </row>
    <row r="460" spans="2:12" s="326" customFormat="1" ht="9.9499999999999993" customHeight="1" x14ac:dyDescent="0.2">
      <c r="B460" s="327"/>
      <c r="D460" s="327"/>
      <c r="F460" s="327"/>
      <c r="J460" s="327"/>
      <c r="L460" s="328"/>
    </row>
    <row r="461" spans="2:12" s="326" customFormat="1" ht="9.9499999999999993" customHeight="1" x14ac:dyDescent="0.2">
      <c r="B461" s="327"/>
      <c r="D461" s="327"/>
      <c r="F461" s="327"/>
      <c r="J461" s="327"/>
      <c r="L461" s="328"/>
    </row>
    <row r="462" spans="2:12" s="326" customFormat="1" ht="9.9499999999999993" customHeight="1" x14ac:dyDescent="0.2">
      <c r="B462" s="327"/>
      <c r="D462" s="327"/>
      <c r="F462" s="327"/>
      <c r="J462" s="327"/>
      <c r="L462" s="328"/>
    </row>
    <row r="463" spans="2:12" s="326" customFormat="1" ht="9.9499999999999993" customHeight="1" x14ac:dyDescent="0.2">
      <c r="B463" s="327"/>
      <c r="D463" s="327"/>
      <c r="F463" s="327"/>
      <c r="J463" s="327"/>
      <c r="L463" s="328"/>
    </row>
    <row r="464" spans="2:12" s="326" customFormat="1" ht="9.9499999999999993" customHeight="1" x14ac:dyDescent="0.2">
      <c r="B464" s="327"/>
      <c r="D464" s="327"/>
      <c r="F464" s="327"/>
      <c r="J464" s="327"/>
      <c r="L464" s="328"/>
    </row>
    <row r="465" spans="2:12" s="326" customFormat="1" ht="9.9499999999999993" customHeight="1" x14ac:dyDescent="0.2">
      <c r="B465" s="327"/>
      <c r="D465" s="327"/>
      <c r="F465" s="327"/>
      <c r="J465" s="327"/>
      <c r="L465" s="328"/>
    </row>
    <row r="466" spans="2:12" s="326" customFormat="1" ht="9.9499999999999993" customHeight="1" x14ac:dyDescent="0.2">
      <c r="B466" s="327"/>
      <c r="D466" s="327"/>
      <c r="F466" s="327"/>
      <c r="J466" s="327"/>
      <c r="L466" s="328"/>
    </row>
    <row r="467" spans="2:12" s="326" customFormat="1" ht="9.9499999999999993" customHeight="1" x14ac:dyDescent="0.2">
      <c r="B467" s="327"/>
      <c r="D467" s="327"/>
      <c r="F467" s="327"/>
      <c r="J467" s="327"/>
      <c r="L467" s="328"/>
    </row>
    <row r="468" spans="2:12" s="326" customFormat="1" ht="9.9499999999999993" customHeight="1" x14ac:dyDescent="0.2">
      <c r="B468" s="327"/>
      <c r="D468" s="327"/>
      <c r="F468" s="327"/>
      <c r="J468" s="327"/>
      <c r="L468" s="328"/>
    </row>
    <row r="469" spans="2:12" s="326" customFormat="1" ht="9.9499999999999993" customHeight="1" x14ac:dyDescent="0.2">
      <c r="B469" s="327"/>
      <c r="D469" s="327"/>
      <c r="F469" s="327"/>
      <c r="J469" s="327"/>
      <c r="L469" s="328"/>
    </row>
    <row r="470" spans="2:12" s="326" customFormat="1" ht="9.9499999999999993" customHeight="1" x14ac:dyDescent="0.2">
      <c r="B470" s="327"/>
      <c r="D470" s="327"/>
      <c r="F470" s="327"/>
      <c r="J470" s="327"/>
      <c r="L470" s="328"/>
    </row>
    <row r="471" spans="2:12" s="326" customFormat="1" ht="9.9499999999999993" customHeight="1" x14ac:dyDescent="0.2">
      <c r="B471" s="327"/>
      <c r="D471" s="327"/>
      <c r="F471" s="327"/>
      <c r="J471" s="327"/>
      <c r="L471" s="328"/>
    </row>
    <row r="472" spans="2:12" s="326" customFormat="1" ht="9.9499999999999993" customHeight="1" x14ac:dyDescent="0.2">
      <c r="B472" s="327"/>
      <c r="D472" s="327"/>
      <c r="F472" s="327"/>
      <c r="J472" s="327"/>
      <c r="L472" s="328"/>
    </row>
    <row r="473" spans="2:12" s="326" customFormat="1" ht="9.9499999999999993" customHeight="1" x14ac:dyDescent="0.2">
      <c r="B473" s="327"/>
      <c r="D473" s="327"/>
      <c r="F473" s="327"/>
      <c r="J473" s="327"/>
      <c r="L473" s="328"/>
    </row>
    <row r="474" spans="2:12" s="326" customFormat="1" ht="9.9499999999999993" customHeight="1" x14ac:dyDescent="0.2">
      <c r="B474" s="327"/>
      <c r="D474" s="327"/>
      <c r="F474" s="327"/>
      <c r="J474" s="327"/>
      <c r="L474" s="328"/>
    </row>
    <row r="475" spans="2:12" s="326" customFormat="1" ht="9.9499999999999993" customHeight="1" x14ac:dyDescent="0.2">
      <c r="B475" s="327"/>
      <c r="D475" s="327"/>
      <c r="F475" s="327"/>
      <c r="J475" s="327"/>
      <c r="L475" s="328"/>
    </row>
    <row r="476" spans="2:12" s="326" customFormat="1" ht="9.9499999999999993" customHeight="1" x14ac:dyDescent="0.2">
      <c r="B476" s="327"/>
      <c r="D476" s="327"/>
      <c r="F476" s="327"/>
      <c r="J476" s="327"/>
      <c r="L476" s="328"/>
    </row>
    <row r="477" spans="2:12" s="326" customFormat="1" ht="9.9499999999999993" customHeight="1" x14ac:dyDescent="0.2">
      <c r="B477" s="327"/>
      <c r="D477" s="327"/>
      <c r="F477" s="327"/>
      <c r="J477" s="327"/>
      <c r="L477" s="328"/>
    </row>
    <row r="478" spans="2:12" s="326" customFormat="1" ht="9.9499999999999993" customHeight="1" x14ac:dyDescent="0.2">
      <c r="B478" s="327"/>
      <c r="D478" s="327"/>
      <c r="F478" s="327"/>
      <c r="J478" s="327"/>
      <c r="L478" s="328"/>
    </row>
    <row r="479" spans="2:12" s="326" customFormat="1" ht="9.9499999999999993" customHeight="1" x14ac:dyDescent="0.2">
      <c r="B479" s="327"/>
      <c r="D479" s="327"/>
      <c r="F479" s="327"/>
      <c r="J479" s="327"/>
      <c r="L479" s="328"/>
    </row>
    <row r="480" spans="2:12" s="326" customFormat="1" ht="9.9499999999999993" customHeight="1" x14ac:dyDescent="0.2">
      <c r="B480" s="327"/>
      <c r="D480" s="327"/>
      <c r="F480" s="327"/>
      <c r="J480" s="327"/>
      <c r="L480" s="328"/>
    </row>
    <row r="481" spans="2:12" s="326" customFormat="1" ht="9.9499999999999993" customHeight="1" x14ac:dyDescent="0.2">
      <c r="B481" s="327"/>
      <c r="D481" s="327"/>
      <c r="F481" s="327"/>
      <c r="J481" s="327"/>
      <c r="L481" s="328"/>
    </row>
    <row r="482" spans="2:12" s="326" customFormat="1" ht="9.9499999999999993" customHeight="1" x14ac:dyDescent="0.2">
      <c r="B482" s="327"/>
      <c r="D482" s="327"/>
      <c r="F482" s="327"/>
      <c r="J482" s="327"/>
      <c r="L482" s="328"/>
    </row>
    <row r="483" spans="2:12" s="326" customFormat="1" ht="9.9499999999999993" customHeight="1" x14ac:dyDescent="0.2">
      <c r="B483" s="327"/>
      <c r="D483" s="327"/>
      <c r="F483" s="327"/>
      <c r="J483" s="327"/>
      <c r="L483" s="328"/>
    </row>
    <row r="484" spans="2:12" s="326" customFormat="1" ht="9.9499999999999993" customHeight="1" x14ac:dyDescent="0.2">
      <c r="B484" s="327"/>
      <c r="D484" s="327"/>
      <c r="F484" s="327"/>
      <c r="J484" s="327"/>
      <c r="L484" s="328"/>
    </row>
    <row r="485" spans="2:12" s="326" customFormat="1" ht="9.9499999999999993" customHeight="1" x14ac:dyDescent="0.2">
      <c r="B485" s="327"/>
      <c r="D485" s="327"/>
      <c r="F485" s="327"/>
      <c r="J485" s="327"/>
      <c r="L485" s="328"/>
    </row>
    <row r="486" spans="2:12" s="326" customFormat="1" ht="9.9499999999999993" customHeight="1" x14ac:dyDescent="0.2">
      <c r="B486" s="327"/>
      <c r="D486" s="327"/>
      <c r="F486" s="327"/>
      <c r="J486" s="327"/>
      <c r="L486" s="328"/>
    </row>
    <row r="487" spans="2:12" s="326" customFormat="1" ht="9.9499999999999993" customHeight="1" x14ac:dyDescent="0.2">
      <c r="B487" s="327"/>
      <c r="D487" s="327"/>
      <c r="F487" s="327"/>
      <c r="J487" s="327"/>
      <c r="L487" s="328"/>
    </row>
    <row r="488" spans="2:12" s="326" customFormat="1" ht="9.9499999999999993" customHeight="1" x14ac:dyDescent="0.2">
      <c r="B488" s="327"/>
      <c r="D488" s="327"/>
      <c r="F488" s="327"/>
      <c r="J488" s="327"/>
      <c r="L488" s="328"/>
    </row>
    <row r="489" spans="2:12" s="326" customFormat="1" ht="9.9499999999999993" customHeight="1" x14ac:dyDescent="0.2">
      <c r="B489" s="327"/>
      <c r="D489" s="327"/>
      <c r="F489" s="327"/>
      <c r="J489" s="327"/>
      <c r="L489" s="328"/>
    </row>
    <row r="490" spans="2:12" s="326" customFormat="1" ht="9.9499999999999993" customHeight="1" x14ac:dyDescent="0.2">
      <c r="B490" s="327"/>
      <c r="D490" s="327"/>
      <c r="F490" s="327"/>
      <c r="J490" s="327"/>
      <c r="L490" s="328"/>
    </row>
    <row r="491" spans="2:12" s="326" customFormat="1" ht="9.9499999999999993" customHeight="1" x14ac:dyDescent="0.2">
      <c r="B491" s="327"/>
      <c r="D491" s="327"/>
      <c r="F491" s="327"/>
      <c r="J491" s="327"/>
      <c r="L491" s="328"/>
    </row>
    <row r="492" spans="2:12" s="326" customFormat="1" ht="9.9499999999999993" customHeight="1" x14ac:dyDescent="0.2">
      <c r="B492" s="327"/>
      <c r="D492" s="327"/>
      <c r="F492" s="327"/>
      <c r="J492" s="327"/>
      <c r="L492" s="328"/>
    </row>
    <row r="493" spans="2:12" s="326" customFormat="1" ht="9.9499999999999993" customHeight="1" x14ac:dyDescent="0.2">
      <c r="B493" s="327"/>
      <c r="D493" s="327"/>
      <c r="F493" s="327"/>
      <c r="J493" s="327"/>
      <c r="L493" s="328"/>
    </row>
    <row r="494" spans="2:12" s="326" customFormat="1" ht="9.9499999999999993" customHeight="1" x14ac:dyDescent="0.2">
      <c r="B494" s="327"/>
      <c r="D494" s="327"/>
      <c r="F494" s="327"/>
      <c r="J494" s="327"/>
      <c r="L494" s="328"/>
    </row>
    <row r="495" spans="2:12" s="326" customFormat="1" ht="9.9499999999999993" customHeight="1" x14ac:dyDescent="0.2">
      <c r="B495" s="327"/>
      <c r="D495" s="327"/>
      <c r="F495" s="327"/>
      <c r="J495" s="327"/>
      <c r="L495" s="328"/>
    </row>
    <row r="496" spans="2:12" s="326" customFormat="1" ht="9.9499999999999993" customHeight="1" x14ac:dyDescent="0.2">
      <c r="B496" s="327"/>
      <c r="D496" s="327"/>
      <c r="F496" s="327"/>
      <c r="J496" s="327"/>
      <c r="L496" s="328"/>
    </row>
    <row r="497" spans="2:12" s="326" customFormat="1" ht="9.9499999999999993" customHeight="1" x14ac:dyDescent="0.2">
      <c r="B497" s="327"/>
      <c r="D497" s="327"/>
      <c r="F497" s="327"/>
      <c r="J497" s="327"/>
      <c r="L497" s="328"/>
    </row>
    <row r="498" spans="2:12" s="326" customFormat="1" ht="9.9499999999999993" customHeight="1" x14ac:dyDescent="0.2">
      <c r="B498" s="327"/>
      <c r="D498" s="327"/>
      <c r="F498" s="327"/>
      <c r="J498" s="327"/>
      <c r="L498" s="328"/>
    </row>
    <row r="499" spans="2:12" s="326" customFormat="1" ht="9.9499999999999993" customHeight="1" x14ac:dyDescent="0.2">
      <c r="B499" s="327"/>
      <c r="D499" s="327"/>
      <c r="F499" s="327"/>
      <c r="J499" s="327"/>
      <c r="L499" s="328"/>
    </row>
    <row r="500" spans="2:12" s="326" customFormat="1" ht="9.9499999999999993" customHeight="1" x14ac:dyDescent="0.2">
      <c r="B500" s="327"/>
      <c r="D500" s="327"/>
      <c r="F500" s="327"/>
      <c r="J500" s="327"/>
      <c r="L500" s="328"/>
    </row>
    <row r="501" spans="2:12" s="326" customFormat="1" ht="9.9499999999999993" customHeight="1" x14ac:dyDescent="0.2">
      <c r="B501" s="327"/>
      <c r="D501" s="327"/>
      <c r="F501" s="327"/>
      <c r="J501" s="327"/>
      <c r="L501" s="328"/>
    </row>
    <row r="502" spans="2:12" s="326" customFormat="1" ht="9.9499999999999993" customHeight="1" x14ac:dyDescent="0.2">
      <c r="B502" s="327"/>
      <c r="D502" s="327"/>
      <c r="F502" s="327"/>
      <c r="J502" s="327"/>
      <c r="L502" s="328"/>
    </row>
    <row r="503" spans="2:12" s="326" customFormat="1" ht="9.9499999999999993" customHeight="1" x14ac:dyDescent="0.2">
      <c r="B503" s="327"/>
      <c r="D503" s="327"/>
      <c r="F503" s="327"/>
      <c r="J503" s="327"/>
      <c r="L503" s="328"/>
    </row>
    <row r="504" spans="2:12" s="326" customFormat="1" ht="9.9499999999999993" customHeight="1" x14ac:dyDescent="0.2">
      <c r="B504" s="327"/>
      <c r="D504" s="327"/>
      <c r="F504" s="327"/>
      <c r="J504" s="327"/>
      <c r="L504" s="328"/>
    </row>
    <row r="505" spans="2:12" s="326" customFormat="1" ht="9.9499999999999993" customHeight="1" x14ac:dyDescent="0.2">
      <c r="B505" s="327"/>
      <c r="D505" s="327"/>
      <c r="F505" s="327"/>
      <c r="J505" s="327"/>
      <c r="L505" s="328"/>
    </row>
    <row r="506" spans="2:12" s="326" customFormat="1" ht="9.9499999999999993" customHeight="1" x14ac:dyDescent="0.2">
      <c r="B506" s="327"/>
      <c r="D506" s="327"/>
      <c r="F506" s="327"/>
      <c r="J506" s="327"/>
      <c r="L506" s="328"/>
    </row>
    <row r="507" spans="2:12" s="326" customFormat="1" ht="9.9499999999999993" customHeight="1" x14ac:dyDescent="0.2">
      <c r="B507" s="327"/>
      <c r="D507" s="327"/>
      <c r="F507" s="327"/>
      <c r="J507" s="327"/>
      <c r="L507" s="328"/>
    </row>
    <row r="508" spans="2:12" s="326" customFormat="1" ht="9.9499999999999993" customHeight="1" x14ac:dyDescent="0.2">
      <c r="B508" s="327"/>
      <c r="D508" s="327"/>
      <c r="F508" s="327"/>
      <c r="J508" s="327"/>
      <c r="L508" s="328"/>
    </row>
    <row r="509" spans="2:12" s="326" customFormat="1" ht="9.9499999999999993" customHeight="1" x14ac:dyDescent="0.2">
      <c r="B509" s="327"/>
      <c r="D509" s="327"/>
      <c r="F509" s="327"/>
      <c r="J509" s="327"/>
      <c r="L509" s="328"/>
    </row>
    <row r="510" spans="2:12" s="326" customFormat="1" ht="9.9499999999999993" customHeight="1" x14ac:dyDescent="0.2">
      <c r="B510" s="327"/>
      <c r="D510" s="327"/>
      <c r="F510" s="327"/>
      <c r="J510" s="327"/>
      <c r="L510" s="328"/>
    </row>
    <row r="511" spans="2:12" s="326" customFormat="1" ht="9.9499999999999993" customHeight="1" x14ac:dyDescent="0.2">
      <c r="B511" s="327"/>
      <c r="D511" s="327"/>
      <c r="F511" s="327"/>
      <c r="J511" s="327"/>
      <c r="L511" s="328"/>
    </row>
    <row r="512" spans="2:12" s="326" customFormat="1" ht="9.9499999999999993" customHeight="1" x14ac:dyDescent="0.2">
      <c r="B512" s="327"/>
      <c r="D512" s="327"/>
      <c r="F512" s="327"/>
      <c r="J512" s="327"/>
      <c r="L512" s="328"/>
    </row>
    <row r="513" spans="2:12" s="326" customFormat="1" ht="9.9499999999999993" customHeight="1" x14ac:dyDescent="0.2">
      <c r="B513" s="327"/>
      <c r="D513" s="327"/>
      <c r="F513" s="327"/>
      <c r="J513" s="327"/>
      <c r="L513" s="328"/>
    </row>
    <row r="514" spans="2:12" s="326" customFormat="1" ht="9.9499999999999993" customHeight="1" x14ac:dyDescent="0.2">
      <c r="B514" s="327"/>
      <c r="D514" s="327"/>
      <c r="F514" s="327"/>
      <c r="J514" s="327"/>
      <c r="L514" s="328"/>
    </row>
    <row r="515" spans="2:12" s="326" customFormat="1" ht="9.9499999999999993" customHeight="1" x14ac:dyDescent="0.2">
      <c r="B515" s="327"/>
      <c r="D515" s="327"/>
      <c r="F515" s="327"/>
      <c r="J515" s="327"/>
      <c r="L515" s="328"/>
    </row>
    <row r="516" spans="2:12" s="326" customFormat="1" ht="9.9499999999999993" customHeight="1" x14ac:dyDescent="0.2">
      <c r="B516" s="327"/>
      <c r="D516" s="327"/>
      <c r="F516" s="327"/>
      <c r="J516" s="327"/>
      <c r="L516" s="328"/>
    </row>
    <row r="517" spans="2:12" s="326" customFormat="1" ht="9.9499999999999993" customHeight="1" x14ac:dyDescent="0.2">
      <c r="B517" s="327"/>
      <c r="D517" s="327"/>
      <c r="F517" s="327"/>
      <c r="J517" s="327"/>
      <c r="L517" s="328"/>
    </row>
    <row r="518" spans="2:12" s="326" customFormat="1" ht="9.9499999999999993" customHeight="1" x14ac:dyDescent="0.2">
      <c r="B518" s="327"/>
      <c r="D518" s="327"/>
      <c r="F518" s="327"/>
      <c r="J518" s="327"/>
      <c r="L518" s="328"/>
    </row>
    <row r="519" spans="2:12" s="326" customFormat="1" ht="9.9499999999999993" customHeight="1" x14ac:dyDescent="0.2">
      <c r="B519" s="327"/>
      <c r="D519" s="327"/>
      <c r="F519" s="327"/>
      <c r="J519" s="327"/>
      <c r="L519" s="328"/>
    </row>
    <row r="520" spans="2:12" s="326" customFormat="1" ht="9.9499999999999993" customHeight="1" x14ac:dyDescent="0.2">
      <c r="B520" s="327"/>
      <c r="D520" s="327"/>
      <c r="F520" s="327"/>
      <c r="J520" s="327"/>
      <c r="L520" s="328"/>
    </row>
    <row r="521" spans="2:12" s="326" customFormat="1" ht="9.9499999999999993" customHeight="1" x14ac:dyDescent="0.2">
      <c r="B521" s="327"/>
      <c r="D521" s="327"/>
      <c r="F521" s="327"/>
      <c r="J521" s="327"/>
      <c r="L521" s="328"/>
    </row>
    <row r="522" spans="2:12" s="326" customFormat="1" ht="9.9499999999999993" customHeight="1" x14ac:dyDescent="0.2">
      <c r="B522" s="327"/>
      <c r="D522" s="327"/>
      <c r="F522" s="327"/>
      <c r="J522" s="327"/>
      <c r="L522" s="328"/>
    </row>
    <row r="523" spans="2:12" s="326" customFormat="1" ht="9.9499999999999993" customHeight="1" x14ac:dyDescent="0.2">
      <c r="B523" s="327"/>
      <c r="D523" s="327"/>
      <c r="F523" s="327"/>
      <c r="J523" s="327"/>
      <c r="L523" s="328"/>
    </row>
    <row r="524" spans="2:12" s="326" customFormat="1" ht="9.9499999999999993" customHeight="1" x14ac:dyDescent="0.2">
      <c r="B524" s="327"/>
      <c r="D524" s="327"/>
      <c r="F524" s="327"/>
      <c r="J524" s="327"/>
      <c r="L524" s="328"/>
    </row>
    <row r="525" spans="2:12" s="326" customFormat="1" ht="9.9499999999999993" customHeight="1" x14ac:dyDescent="0.2">
      <c r="B525" s="327"/>
      <c r="D525" s="327"/>
      <c r="F525" s="327"/>
      <c r="J525" s="327"/>
      <c r="L525" s="328"/>
    </row>
    <row r="526" spans="2:12" s="326" customFormat="1" ht="9.9499999999999993" customHeight="1" x14ac:dyDescent="0.2">
      <c r="B526" s="327"/>
      <c r="D526" s="327"/>
      <c r="F526" s="327"/>
      <c r="J526" s="327"/>
      <c r="L526" s="328"/>
    </row>
    <row r="527" spans="2:12" s="326" customFormat="1" ht="9.9499999999999993" customHeight="1" x14ac:dyDescent="0.2">
      <c r="B527" s="327"/>
      <c r="D527" s="327"/>
      <c r="F527" s="327"/>
      <c r="J527" s="327"/>
      <c r="L527" s="328"/>
    </row>
    <row r="528" spans="2:12" s="326" customFormat="1" ht="9.9499999999999993" customHeight="1" x14ac:dyDescent="0.2">
      <c r="B528" s="327"/>
      <c r="D528" s="327"/>
      <c r="F528" s="327"/>
      <c r="J528" s="327"/>
      <c r="L528" s="328"/>
    </row>
    <row r="529" spans="2:12" s="326" customFormat="1" ht="9.9499999999999993" customHeight="1" x14ac:dyDescent="0.2">
      <c r="B529" s="327"/>
      <c r="D529" s="327"/>
      <c r="F529" s="327"/>
      <c r="J529" s="327"/>
      <c r="L529" s="328"/>
    </row>
    <row r="530" spans="2:12" s="326" customFormat="1" ht="9.9499999999999993" customHeight="1" x14ac:dyDescent="0.2">
      <c r="B530" s="327"/>
      <c r="D530" s="327"/>
      <c r="F530" s="327"/>
      <c r="J530" s="327"/>
      <c r="L530" s="328"/>
    </row>
    <row r="531" spans="2:12" s="326" customFormat="1" ht="9.9499999999999993" customHeight="1" x14ac:dyDescent="0.2">
      <c r="B531" s="327"/>
      <c r="D531" s="327"/>
      <c r="F531" s="327"/>
      <c r="J531" s="327"/>
      <c r="L531" s="328"/>
    </row>
    <row r="532" spans="2:12" s="326" customFormat="1" ht="9.9499999999999993" customHeight="1" x14ac:dyDescent="0.2">
      <c r="B532" s="327"/>
      <c r="D532" s="327"/>
      <c r="F532" s="327"/>
      <c r="J532" s="327"/>
      <c r="L532" s="328"/>
    </row>
    <row r="533" spans="2:12" s="326" customFormat="1" ht="9.9499999999999993" customHeight="1" x14ac:dyDescent="0.2">
      <c r="B533" s="327"/>
      <c r="D533" s="327"/>
      <c r="F533" s="327"/>
      <c r="J533" s="327"/>
      <c r="L533" s="328"/>
    </row>
    <row r="534" spans="2:12" s="326" customFormat="1" ht="9.9499999999999993" customHeight="1" x14ac:dyDescent="0.2">
      <c r="B534" s="327"/>
      <c r="D534" s="327"/>
      <c r="F534" s="327"/>
      <c r="J534" s="327"/>
      <c r="L534" s="328"/>
    </row>
    <row r="535" spans="2:12" s="326" customFormat="1" ht="9.9499999999999993" customHeight="1" x14ac:dyDescent="0.2">
      <c r="B535" s="327"/>
      <c r="D535" s="327"/>
      <c r="F535" s="327"/>
      <c r="J535" s="327"/>
      <c r="L535" s="328"/>
    </row>
    <row r="536" spans="2:12" s="326" customFormat="1" ht="9.9499999999999993" customHeight="1" x14ac:dyDescent="0.2">
      <c r="B536" s="327"/>
      <c r="D536" s="327"/>
      <c r="F536" s="327"/>
      <c r="J536" s="327"/>
      <c r="L536" s="328"/>
    </row>
    <row r="537" spans="2:12" s="326" customFormat="1" ht="9.9499999999999993" customHeight="1" x14ac:dyDescent="0.2">
      <c r="B537" s="327"/>
      <c r="D537" s="327"/>
      <c r="F537" s="327"/>
      <c r="J537" s="327"/>
      <c r="L537" s="328"/>
    </row>
    <row r="538" spans="2:12" s="326" customFormat="1" ht="9.9499999999999993" customHeight="1" x14ac:dyDescent="0.2">
      <c r="B538" s="327"/>
      <c r="D538" s="327"/>
      <c r="F538" s="327"/>
      <c r="J538" s="327"/>
      <c r="L538" s="328"/>
    </row>
    <row r="539" spans="2:12" s="326" customFormat="1" ht="9.9499999999999993" customHeight="1" x14ac:dyDescent="0.2">
      <c r="B539" s="327"/>
      <c r="D539" s="327"/>
      <c r="F539" s="327"/>
      <c r="J539" s="327"/>
      <c r="L539" s="328"/>
    </row>
    <row r="540" spans="2:12" s="326" customFormat="1" ht="9.9499999999999993" customHeight="1" x14ac:dyDescent="0.2">
      <c r="B540" s="327"/>
      <c r="D540" s="327"/>
      <c r="F540" s="327"/>
      <c r="J540" s="327"/>
      <c r="L540" s="328"/>
    </row>
    <row r="541" spans="2:12" s="326" customFormat="1" ht="9.9499999999999993" customHeight="1" x14ac:dyDescent="0.2">
      <c r="B541" s="327"/>
      <c r="D541" s="327"/>
      <c r="F541" s="327"/>
      <c r="J541" s="327"/>
      <c r="L541" s="328"/>
    </row>
    <row r="542" spans="2:12" s="326" customFormat="1" ht="9.9499999999999993" customHeight="1" x14ac:dyDescent="0.2">
      <c r="B542" s="327"/>
      <c r="D542" s="327"/>
      <c r="F542" s="327"/>
      <c r="J542" s="327"/>
      <c r="L542" s="328"/>
    </row>
    <row r="543" spans="2:12" s="326" customFormat="1" ht="9.9499999999999993" customHeight="1" x14ac:dyDescent="0.2">
      <c r="B543" s="327"/>
      <c r="D543" s="327"/>
      <c r="F543" s="327"/>
      <c r="J543" s="327"/>
      <c r="L543" s="328"/>
    </row>
    <row r="544" spans="2:12" s="326" customFormat="1" ht="9.9499999999999993" customHeight="1" x14ac:dyDescent="0.2">
      <c r="B544" s="327"/>
      <c r="D544" s="327"/>
      <c r="F544" s="327"/>
      <c r="J544" s="327"/>
      <c r="L544" s="328"/>
    </row>
    <row r="545" spans="2:12" s="326" customFormat="1" ht="9.9499999999999993" customHeight="1" x14ac:dyDescent="0.2">
      <c r="B545" s="327"/>
      <c r="D545" s="327"/>
      <c r="F545" s="327"/>
      <c r="J545" s="327"/>
      <c r="L545" s="328"/>
    </row>
    <row r="546" spans="2:12" s="326" customFormat="1" ht="9.9499999999999993" customHeight="1" x14ac:dyDescent="0.2">
      <c r="B546" s="327"/>
      <c r="D546" s="327"/>
      <c r="F546" s="327"/>
      <c r="J546" s="327"/>
      <c r="L546" s="328"/>
    </row>
    <row r="547" spans="2:12" s="326" customFormat="1" ht="9.9499999999999993" customHeight="1" x14ac:dyDescent="0.2">
      <c r="B547" s="327"/>
      <c r="D547" s="327"/>
      <c r="F547" s="327"/>
      <c r="J547" s="327"/>
      <c r="L547" s="328"/>
    </row>
    <row r="548" spans="2:12" s="326" customFormat="1" ht="9.9499999999999993" customHeight="1" x14ac:dyDescent="0.2">
      <c r="B548" s="327"/>
      <c r="D548" s="327"/>
      <c r="F548" s="327"/>
      <c r="J548" s="327"/>
      <c r="L548" s="328"/>
    </row>
    <row r="549" spans="2:12" s="326" customFormat="1" ht="9.9499999999999993" customHeight="1" x14ac:dyDescent="0.2">
      <c r="B549" s="327"/>
      <c r="D549" s="327"/>
      <c r="F549" s="327"/>
      <c r="J549" s="327"/>
      <c r="L549" s="328"/>
    </row>
    <row r="550" spans="2:12" s="326" customFormat="1" ht="9.9499999999999993" customHeight="1" x14ac:dyDescent="0.2">
      <c r="B550" s="327"/>
      <c r="D550" s="327"/>
      <c r="F550" s="327"/>
      <c r="J550" s="327"/>
      <c r="L550" s="328"/>
    </row>
    <row r="551" spans="2:12" s="326" customFormat="1" ht="9.9499999999999993" customHeight="1" x14ac:dyDescent="0.2">
      <c r="B551" s="327"/>
      <c r="D551" s="327"/>
      <c r="F551" s="327"/>
      <c r="J551" s="327"/>
      <c r="L551" s="328"/>
    </row>
    <row r="552" spans="2:12" s="326" customFormat="1" ht="9.9499999999999993" customHeight="1" x14ac:dyDescent="0.2">
      <c r="B552" s="327"/>
      <c r="D552" s="327"/>
      <c r="F552" s="327"/>
      <c r="J552" s="327"/>
      <c r="L552" s="328"/>
    </row>
    <row r="553" spans="2:12" s="326" customFormat="1" ht="9.9499999999999993" customHeight="1" x14ac:dyDescent="0.2">
      <c r="B553" s="327"/>
      <c r="D553" s="327"/>
      <c r="F553" s="327"/>
      <c r="J553" s="327"/>
      <c r="L553" s="328"/>
    </row>
    <row r="554" spans="2:12" s="326" customFormat="1" ht="9.9499999999999993" customHeight="1" x14ac:dyDescent="0.2">
      <c r="B554" s="327"/>
      <c r="D554" s="327"/>
      <c r="F554" s="327"/>
      <c r="J554" s="327"/>
      <c r="L554" s="328"/>
    </row>
    <row r="555" spans="2:12" s="326" customFormat="1" ht="9.9499999999999993" customHeight="1" x14ac:dyDescent="0.2">
      <c r="B555" s="327"/>
      <c r="D555" s="327"/>
      <c r="F555" s="327"/>
      <c r="J555" s="327"/>
      <c r="L555" s="328"/>
    </row>
    <row r="556" spans="2:12" s="326" customFormat="1" ht="9.9499999999999993" customHeight="1" x14ac:dyDescent="0.2">
      <c r="B556" s="327"/>
      <c r="D556" s="327"/>
      <c r="F556" s="327"/>
      <c r="J556" s="327"/>
      <c r="L556" s="328"/>
    </row>
    <row r="557" spans="2:12" s="326" customFormat="1" ht="9.9499999999999993" customHeight="1" x14ac:dyDescent="0.2">
      <c r="B557" s="327"/>
      <c r="D557" s="327"/>
      <c r="F557" s="327"/>
      <c r="J557" s="327"/>
      <c r="L557" s="328"/>
    </row>
    <row r="558" spans="2:12" s="326" customFormat="1" ht="9.9499999999999993" customHeight="1" x14ac:dyDescent="0.2">
      <c r="B558" s="327"/>
      <c r="D558" s="327"/>
      <c r="F558" s="327"/>
      <c r="J558" s="327"/>
      <c r="L558" s="328"/>
    </row>
    <row r="559" spans="2:12" s="326" customFormat="1" ht="9.9499999999999993" customHeight="1" x14ac:dyDescent="0.2">
      <c r="B559" s="327"/>
      <c r="D559" s="327"/>
      <c r="F559" s="327"/>
      <c r="J559" s="327"/>
      <c r="L559" s="328"/>
    </row>
    <row r="560" spans="2:12" s="326" customFormat="1" ht="9.9499999999999993" customHeight="1" x14ac:dyDescent="0.2">
      <c r="B560" s="327"/>
      <c r="D560" s="327"/>
      <c r="F560" s="327"/>
      <c r="J560" s="327"/>
      <c r="L560" s="328"/>
    </row>
    <row r="561" spans="2:12" s="326" customFormat="1" ht="9.9499999999999993" customHeight="1" x14ac:dyDescent="0.2">
      <c r="B561" s="327"/>
      <c r="D561" s="327"/>
      <c r="F561" s="327"/>
      <c r="J561" s="327"/>
      <c r="L561" s="328"/>
    </row>
    <row r="562" spans="2:12" s="326" customFormat="1" ht="9.9499999999999993" customHeight="1" x14ac:dyDescent="0.2">
      <c r="B562" s="327"/>
      <c r="D562" s="327"/>
      <c r="F562" s="327"/>
      <c r="J562" s="327"/>
      <c r="L562" s="328"/>
    </row>
    <row r="563" spans="2:12" s="326" customFormat="1" ht="9.9499999999999993" customHeight="1" x14ac:dyDescent="0.2">
      <c r="B563" s="327"/>
      <c r="D563" s="327"/>
      <c r="F563" s="327"/>
      <c r="J563" s="327"/>
      <c r="L563" s="328"/>
    </row>
    <row r="564" spans="2:12" s="326" customFormat="1" ht="9.9499999999999993" customHeight="1" x14ac:dyDescent="0.2">
      <c r="B564" s="327"/>
      <c r="D564" s="327"/>
      <c r="F564" s="327"/>
      <c r="J564" s="327"/>
      <c r="L564" s="328"/>
    </row>
    <row r="565" spans="2:12" s="326" customFormat="1" ht="9.9499999999999993" customHeight="1" x14ac:dyDescent="0.2">
      <c r="B565" s="327"/>
      <c r="D565" s="327"/>
      <c r="F565" s="327"/>
      <c r="J565" s="327"/>
      <c r="L565" s="328"/>
    </row>
    <row r="566" spans="2:12" s="326" customFormat="1" ht="9.9499999999999993" customHeight="1" x14ac:dyDescent="0.2">
      <c r="B566" s="327"/>
      <c r="D566" s="327"/>
      <c r="F566" s="327"/>
      <c r="J566" s="327"/>
      <c r="L566" s="328"/>
    </row>
    <row r="567" spans="2:12" s="326" customFormat="1" ht="9.9499999999999993" customHeight="1" x14ac:dyDescent="0.2">
      <c r="B567" s="327"/>
      <c r="D567" s="327"/>
      <c r="F567" s="327"/>
      <c r="J567" s="327"/>
      <c r="L567" s="328"/>
    </row>
    <row r="568" spans="2:12" s="326" customFormat="1" ht="9.9499999999999993" customHeight="1" x14ac:dyDescent="0.2">
      <c r="B568" s="327"/>
      <c r="D568" s="327"/>
      <c r="F568" s="327"/>
      <c r="J568" s="327"/>
      <c r="L568" s="328"/>
    </row>
    <row r="569" spans="2:12" s="326" customFormat="1" ht="9.9499999999999993" customHeight="1" x14ac:dyDescent="0.2">
      <c r="B569" s="327"/>
      <c r="D569" s="327"/>
      <c r="F569" s="327"/>
      <c r="J569" s="327"/>
      <c r="L569" s="328"/>
    </row>
    <row r="570" spans="2:12" s="326" customFormat="1" ht="9.9499999999999993" customHeight="1" x14ac:dyDescent="0.2">
      <c r="B570" s="327"/>
      <c r="D570" s="327"/>
      <c r="F570" s="327"/>
      <c r="J570" s="327"/>
      <c r="L570" s="328"/>
    </row>
    <row r="571" spans="2:12" s="326" customFormat="1" ht="9.9499999999999993" customHeight="1" x14ac:dyDescent="0.2">
      <c r="B571" s="327"/>
      <c r="D571" s="327"/>
      <c r="F571" s="327"/>
      <c r="J571" s="327"/>
      <c r="L571" s="328"/>
    </row>
    <row r="572" spans="2:12" s="326" customFormat="1" ht="9.9499999999999993" customHeight="1" x14ac:dyDescent="0.2">
      <c r="B572" s="327"/>
      <c r="D572" s="327"/>
      <c r="F572" s="327"/>
      <c r="J572" s="327"/>
      <c r="L572" s="328"/>
    </row>
    <row r="573" spans="2:12" s="326" customFormat="1" ht="9.9499999999999993" customHeight="1" x14ac:dyDescent="0.2">
      <c r="B573" s="327"/>
      <c r="D573" s="327"/>
      <c r="F573" s="327"/>
      <c r="J573" s="327"/>
      <c r="L573" s="328"/>
    </row>
    <row r="574" spans="2:12" s="326" customFormat="1" ht="9.9499999999999993" customHeight="1" x14ac:dyDescent="0.2">
      <c r="B574" s="327"/>
      <c r="D574" s="327"/>
      <c r="F574" s="327"/>
      <c r="J574" s="327"/>
      <c r="L574" s="328"/>
    </row>
    <row r="575" spans="2:12" s="326" customFormat="1" ht="9.9499999999999993" customHeight="1" x14ac:dyDescent="0.2">
      <c r="B575" s="327"/>
      <c r="D575" s="327"/>
      <c r="F575" s="327"/>
      <c r="J575" s="327"/>
      <c r="L575" s="328"/>
    </row>
    <row r="576" spans="2:12" s="326" customFormat="1" ht="9.9499999999999993" customHeight="1" x14ac:dyDescent="0.2">
      <c r="B576" s="327"/>
      <c r="D576" s="327"/>
      <c r="F576" s="327"/>
      <c r="J576" s="327"/>
      <c r="L576" s="328"/>
    </row>
    <row r="577" spans="2:12" s="326" customFormat="1" ht="9.9499999999999993" customHeight="1" x14ac:dyDescent="0.2">
      <c r="B577" s="327"/>
      <c r="D577" s="327"/>
      <c r="F577" s="327"/>
      <c r="J577" s="327"/>
      <c r="L577" s="328"/>
    </row>
    <row r="578" spans="2:12" s="326" customFormat="1" ht="9.9499999999999993" customHeight="1" x14ac:dyDescent="0.2">
      <c r="B578" s="327"/>
      <c r="D578" s="327"/>
      <c r="F578" s="327"/>
      <c r="J578" s="327"/>
      <c r="L578" s="328"/>
    </row>
    <row r="579" spans="2:12" s="326" customFormat="1" ht="9.9499999999999993" customHeight="1" x14ac:dyDescent="0.2">
      <c r="B579" s="327"/>
      <c r="D579" s="327"/>
      <c r="F579" s="327"/>
      <c r="J579" s="327"/>
      <c r="L579" s="328"/>
    </row>
    <row r="580" spans="2:12" s="326" customFormat="1" ht="9.9499999999999993" customHeight="1" x14ac:dyDescent="0.2">
      <c r="B580" s="327"/>
      <c r="D580" s="327"/>
      <c r="F580" s="327"/>
      <c r="J580" s="327"/>
      <c r="L580" s="328"/>
    </row>
    <row r="581" spans="2:12" s="326" customFormat="1" ht="9.9499999999999993" customHeight="1" x14ac:dyDescent="0.2">
      <c r="B581" s="327"/>
      <c r="D581" s="327"/>
      <c r="F581" s="327"/>
      <c r="J581" s="327"/>
      <c r="L581" s="328"/>
    </row>
    <row r="582" spans="2:12" s="326" customFormat="1" ht="9.9499999999999993" customHeight="1" x14ac:dyDescent="0.2">
      <c r="B582" s="327"/>
      <c r="D582" s="327"/>
      <c r="F582" s="327"/>
      <c r="J582" s="327"/>
      <c r="L582" s="328"/>
    </row>
    <row r="583" spans="2:12" s="326" customFormat="1" ht="9.9499999999999993" customHeight="1" x14ac:dyDescent="0.2">
      <c r="B583" s="327"/>
      <c r="D583" s="327"/>
      <c r="F583" s="327"/>
      <c r="J583" s="327"/>
      <c r="L583" s="328"/>
    </row>
    <row r="584" spans="2:12" s="326" customFormat="1" ht="9.9499999999999993" customHeight="1" x14ac:dyDescent="0.2">
      <c r="B584" s="327"/>
      <c r="D584" s="327"/>
      <c r="F584" s="327"/>
      <c r="J584" s="327"/>
      <c r="L584" s="328"/>
    </row>
    <row r="585" spans="2:12" s="326" customFormat="1" ht="9.9499999999999993" customHeight="1" x14ac:dyDescent="0.2">
      <c r="B585" s="327"/>
      <c r="D585" s="327"/>
      <c r="F585" s="327"/>
      <c r="J585" s="327"/>
      <c r="L585" s="328"/>
    </row>
    <row r="586" spans="2:12" s="326" customFormat="1" ht="9.9499999999999993" customHeight="1" x14ac:dyDescent="0.2">
      <c r="B586" s="327"/>
      <c r="D586" s="327"/>
      <c r="F586" s="327"/>
      <c r="J586" s="327"/>
      <c r="L586" s="328"/>
    </row>
    <row r="587" spans="2:12" s="326" customFormat="1" ht="9.9499999999999993" customHeight="1" x14ac:dyDescent="0.2">
      <c r="B587" s="327"/>
      <c r="D587" s="327"/>
      <c r="F587" s="327"/>
      <c r="J587" s="327"/>
      <c r="L587" s="328"/>
    </row>
    <row r="588" spans="2:12" s="326" customFormat="1" ht="9.9499999999999993" customHeight="1" x14ac:dyDescent="0.2">
      <c r="B588" s="327"/>
      <c r="D588" s="327"/>
      <c r="F588" s="327"/>
      <c r="J588" s="327"/>
      <c r="L588" s="328"/>
    </row>
    <row r="589" spans="2:12" s="326" customFormat="1" ht="9.9499999999999993" customHeight="1" x14ac:dyDescent="0.2">
      <c r="B589" s="327"/>
      <c r="D589" s="327"/>
      <c r="F589" s="327"/>
      <c r="J589" s="327"/>
      <c r="L589" s="328"/>
    </row>
    <row r="590" spans="2:12" s="326" customFormat="1" ht="9.9499999999999993" customHeight="1" x14ac:dyDescent="0.2">
      <c r="B590" s="327"/>
      <c r="D590" s="327"/>
      <c r="F590" s="327"/>
      <c r="J590" s="327"/>
      <c r="L590" s="328"/>
    </row>
    <row r="591" spans="2:12" s="326" customFormat="1" ht="9.9499999999999993" customHeight="1" x14ac:dyDescent="0.2">
      <c r="B591" s="327"/>
      <c r="D591" s="327"/>
      <c r="F591" s="327"/>
      <c r="J591" s="327"/>
      <c r="L591" s="328"/>
    </row>
    <row r="592" spans="2:12" s="326" customFormat="1" ht="9.9499999999999993" customHeight="1" x14ac:dyDescent="0.2">
      <c r="B592" s="327"/>
      <c r="D592" s="327"/>
      <c r="F592" s="327"/>
      <c r="J592" s="327"/>
      <c r="L592" s="328"/>
    </row>
    <row r="593" spans="2:12" s="326" customFormat="1" ht="9.9499999999999993" customHeight="1" x14ac:dyDescent="0.2">
      <c r="B593" s="327"/>
      <c r="D593" s="327"/>
      <c r="F593" s="327"/>
      <c r="J593" s="327"/>
      <c r="L593" s="328"/>
    </row>
    <row r="594" spans="2:12" s="326" customFormat="1" ht="9.9499999999999993" customHeight="1" x14ac:dyDescent="0.2">
      <c r="B594" s="327"/>
      <c r="D594" s="327"/>
      <c r="F594" s="327"/>
      <c r="J594" s="327"/>
      <c r="L594" s="328"/>
    </row>
    <row r="595" spans="2:12" s="326" customFormat="1" ht="9.9499999999999993" customHeight="1" x14ac:dyDescent="0.2">
      <c r="B595" s="327"/>
      <c r="D595" s="327"/>
      <c r="F595" s="327"/>
      <c r="J595" s="327"/>
      <c r="L595" s="328"/>
    </row>
    <row r="596" spans="2:12" s="326" customFormat="1" ht="9.9499999999999993" customHeight="1" x14ac:dyDescent="0.2">
      <c r="B596" s="327"/>
      <c r="D596" s="327"/>
      <c r="F596" s="327"/>
      <c r="J596" s="327"/>
      <c r="L596" s="328"/>
    </row>
    <row r="597" spans="2:12" s="326" customFormat="1" ht="9.9499999999999993" customHeight="1" x14ac:dyDescent="0.2">
      <c r="B597" s="327"/>
      <c r="D597" s="327"/>
      <c r="F597" s="327"/>
      <c r="J597" s="327"/>
      <c r="L597" s="328"/>
    </row>
    <row r="598" spans="2:12" s="326" customFormat="1" ht="9.9499999999999993" customHeight="1" x14ac:dyDescent="0.2">
      <c r="B598" s="327"/>
      <c r="D598" s="327"/>
      <c r="F598" s="327"/>
      <c r="J598" s="327"/>
      <c r="L598" s="328"/>
    </row>
    <row r="599" spans="2:12" s="326" customFormat="1" ht="9.9499999999999993" customHeight="1" x14ac:dyDescent="0.2">
      <c r="B599" s="327"/>
      <c r="D599" s="327"/>
      <c r="F599" s="327"/>
      <c r="J599" s="327"/>
      <c r="L599" s="328"/>
    </row>
    <row r="600" spans="2:12" s="326" customFormat="1" ht="9.9499999999999993" customHeight="1" x14ac:dyDescent="0.2">
      <c r="B600" s="327"/>
      <c r="D600" s="327"/>
      <c r="F600" s="327"/>
      <c r="J600" s="327"/>
      <c r="L600" s="328"/>
    </row>
    <row r="601" spans="2:12" s="326" customFormat="1" ht="9.9499999999999993" customHeight="1" x14ac:dyDescent="0.2">
      <c r="B601" s="327"/>
      <c r="D601" s="327"/>
      <c r="F601" s="327"/>
      <c r="J601" s="327"/>
      <c r="L601" s="328"/>
    </row>
    <row r="602" spans="2:12" s="326" customFormat="1" ht="9.9499999999999993" customHeight="1" x14ac:dyDescent="0.2">
      <c r="B602" s="327"/>
      <c r="D602" s="327"/>
      <c r="F602" s="327"/>
      <c r="J602" s="327"/>
      <c r="L602" s="328"/>
    </row>
    <row r="603" spans="2:12" s="326" customFormat="1" ht="9.9499999999999993" customHeight="1" x14ac:dyDescent="0.2">
      <c r="B603" s="327"/>
      <c r="D603" s="327"/>
      <c r="F603" s="327"/>
      <c r="J603" s="327"/>
      <c r="L603" s="328"/>
    </row>
    <row r="604" spans="2:12" s="326" customFormat="1" ht="9.9499999999999993" customHeight="1" x14ac:dyDescent="0.2">
      <c r="B604" s="327"/>
      <c r="D604" s="327"/>
      <c r="F604" s="327"/>
      <c r="J604" s="327"/>
      <c r="L604" s="328"/>
    </row>
    <row r="605" spans="2:12" s="326" customFormat="1" ht="9.9499999999999993" customHeight="1" x14ac:dyDescent="0.2">
      <c r="B605" s="327"/>
      <c r="D605" s="327"/>
      <c r="F605" s="327"/>
      <c r="J605" s="327"/>
      <c r="L605" s="328"/>
    </row>
    <row r="606" spans="2:12" s="326" customFormat="1" ht="9.9499999999999993" customHeight="1" x14ac:dyDescent="0.2">
      <c r="B606" s="327"/>
      <c r="D606" s="327"/>
      <c r="F606" s="327"/>
      <c r="J606" s="327"/>
      <c r="L606" s="328"/>
    </row>
    <row r="607" spans="2:12" s="326" customFormat="1" ht="9.9499999999999993" customHeight="1" x14ac:dyDescent="0.2">
      <c r="B607" s="327"/>
      <c r="D607" s="327"/>
      <c r="F607" s="327"/>
      <c r="J607" s="327"/>
      <c r="L607" s="328"/>
    </row>
    <row r="608" spans="2:12" s="326" customFormat="1" ht="9.9499999999999993" customHeight="1" x14ac:dyDescent="0.2">
      <c r="B608" s="327"/>
      <c r="D608" s="327"/>
      <c r="F608" s="327"/>
      <c r="J608" s="327"/>
      <c r="L608" s="328"/>
    </row>
    <row r="609" spans="2:12" s="326" customFormat="1" ht="9.9499999999999993" customHeight="1" x14ac:dyDescent="0.2">
      <c r="B609" s="327"/>
      <c r="D609" s="327"/>
      <c r="F609" s="327"/>
      <c r="J609" s="327"/>
      <c r="L609" s="328"/>
    </row>
    <row r="610" spans="2:12" s="326" customFormat="1" ht="9.9499999999999993" customHeight="1" x14ac:dyDescent="0.2">
      <c r="B610" s="327"/>
      <c r="D610" s="327"/>
      <c r="F610" s="327"/>
      <c r="J610" s="327"/>
      <c r="L610" s="328"/>
    </row>
    <row r="611" spans="2:12" s="326" customFormat="1" ht="9.9499999999999993" customHeight="1" x14ac:dyDescent="0.2">
      <c r="B611" s="327"/>
      <c r="D611" s="327"/>
      <c r="F611" s="327"/>
      <c r="J611" s="327"/>
      <c r="L611" s="328"/>
    </row>
    <row r="612" spans="2:12" s="326" customFormat="1" ht="9.9499999999999993" customHeight="1" x14ac:dyDescent="0.2">
      <c r="B612" s="327"/>
      <c r="D612" s="327"/>
      <c r="F612" s="327"/>
      <c r="J612" s="327"/>
      <c r="L612" s="328"/>
    </row>
    <row r="613" spans="2:12" s="326" customFormat="1" ht="9.9499999999999993" customHeight="1" x14ac:dyDescent="0.2">
      <c r="B613" s="327"/>
      <c r="D613" s="327"/>
      <c r="F613" s="327"/>
      <c r="J613" s="327"/>
      <c r="L613" s="328"/>
    </row>
    <row r="614" spans="2:12" s="326" customFormat="1" ht="9.9499999999999993" customHeight="1" x14ac:dyDescent="0.2">
      <c r="B614" s="327"/>
      <c r="D614" s="327"/>
      <c r="F614" s="327"/>
      <c r="J614" s="327"/>
      <c r="L614" s="328"/>
    </row>
    <row r="615" spans="2:12" s="326" customFormat="1" ht="9.9499999999999993" customHeight="1" x14ac:dyDescent="0.2">
      <c r="B615" s="327"/>
      <c r="D615" s="327"/>
      <c r="F615" s="327"/>
      <c r="J615" s="327"/>
      <c r="L615" s="328"/>
    </row>
    <row r="616" spans="2:12" s="326" customFormat="1" ht="9.9499999999999993" customHeight="1" x14ac:dyDescent="0.2">
      <c r="B616" s="327"/>
      <c r="D616" s="327"/>
      <c r="F616" s="327"/>
      <c r="J616" s="327"/>
      <c r="L616" s="328"/>
    </row>
    <row r="617" spans="2:12" s="326" customFormat="1" ht="9.9499999999999993" customHeight="1" x14ac:dyDescent="0.2">
      <c r="B617" s="327"/>
      <c r="D617" s="327"/>
      <c r="F617" s="327"/>
      <c r="J617" s="327"/>
      <c r="L617" s="328"/>
    </row>
    <row r="618" spans="2:12" s="326" customFormat="1" ht="9.9499999999999993" customHeight="1" x14ac:dyDescent="0.2">
      <c r="B618" s="327"/>
      <c r="D618" s="327"/>
      <c r="F618" s="327"/>
      <c r="J618" s="327"/>
      <c r="L618" s="328"/>
    </row>
    <row r="619" spans="2:12" s="326" customFormat="1" ht="9.9499999999999993" customHeight="1" x14ac:dyDescent="0.2">
      <c r="B619" s="327"/>
      <c r="D619" s="327"/>
      <c r="F619" s="327"/>
      <c r="J619" s="327"/>
      <c r="L619" s="328"/>
    </row>
    <row r="620" spans="2:12" s="326" customFormat="1" ht="9.9499999999999993" customHeight="1" x14ac:dyDescent="0.2">
      <c r="B620" s="327"/>
      <c r="D620" s="327"/>
      <c r="F620" s="327"/>
      <c r="J620" s="327"/>
      <c r="L620" s="328"/>
    </row>
    <row r="621" spans="2:12" s="326" customFormat="1" ht="9.9499999999999993" customHeight="1" x14ac:dyDescent="0.2">
      <c r="B621" s="327"/>
      <c r="D621" s="327"/>
      <c r="F621" s="327"/>
      <c r="J621" s="327"/>
      <c r="L621" s="328"/>
    </row>
    <row r="622" spans="2:12" s="326" customFormat="1" ht="9.9499999999999993" customHeight="1" x14ac:dyDescent="0.2">
      <c r="B622" s="327"/>
      <c r="D622" s="327"/>
      <c r="F622" s="327"/>
      <c r="J622" s="327"/>
      <c r="L622" s="328"/>
    </row>
    <row r="623" spans="2:12" s="326" customFormat="1" ht="9.9499999999999993" customHeight="1" x14ac:dyDescent="0.2">
      <c r="B623" s="327"/>
      <c r="D623" s="327"/>
      <c r="F623" s="327"/>
      <c r="J623" s="327"/>
      <c r="L623" s="328"/>
    </row>
    <row r="624" spans="2:12" s="326" customFormat="1" ht="9.9499999999999993" customHeight="1" x14ac:dyDescent="0.2">
      <c r="B624" s="327"/>
      <c r="D624" s="327"/>
      <c r="F624" s="327"/>
      <c r="J624" s="327"/>
      <c r="L624" s="328"/>
    </row>
    <row r="625" spans="2:12" s="326" customFormat="1" ht="9.9499999999999993" customHeight="1" x14ac:dyDescent="0.2">
      <c r="B625" s="327"/>
      <c r="D625" s="327"/>
      <c r="F625" s="327"/>
      <c r="J625" s="327"/>
      <c r="L625" s="328"/>
    </row>
    <row r="626" spans="2:12" s="326" customFormat="1" ht="9.9499999999999993" customHeight="1" x14ac:dyDescent="0.2">
      <c r="B626" s="327"/>
      <c r="D626" s="327"/>
      <c r="F626" s="327"/>
      <c r="J626" s="327"/>
      <c r="L626" s="328"/>
    </row>
    <row r="627" spans="2:12" s="326" customFormat="1" ht="9.9499999999999993" customHeight="1" x14ac:dyDescent="0.2">
      <c r="B627" s="327"/>
      <c r="D627" s="327"/>
      <c r="F627" s="327"/>
      <c r="J627" s="327"/>
      <c r="L627" s="328"/>
    </row>
    <row r="628" spans="2:12" s="326" customFormat="1" ht="9.9499999999999993" customHeight="1" x14ac:dyDescent="0.2">
      <c r="B628" s="327"/>
      <c r="D628" s="327"/>
      <c r="F628" s="327"/>
      <c r="J628" s="327"/>
      <c r="L628" s="328"/>
    </row>
    <row r="629" spans="2:12" s="326" customFormat="1" ht="9.9499999999999993" customHeight="1" x14ac:dyDescent="0.2">
      <c r="B629" s="327"/>
      <c r="D629" s="327"/>
      <c r="F629" s="327"/>
      <c r="J629" s="327"/>
      <c r="L629" s="328"/>
    </row>
    <row r="630" spans="2:12" s="326" customFormat="1" ht="9.9499999999999993" customHeight="1" x14ac:dyDescent="0.2">
      <c r="B630" s="327"/>
      <c r="D630" s="327"/>
      <c r="F630" s="327"/>
      <c r="J630" s="327"/>
      <c r="L630" s="328"/>
    </row>
    <row r="631" spans="2:12" s="326" customFormat="1" ht="9.9499999999999993" customHeight="1" x14ac:dyDescent="0.2">
      <c r="B631" s="327"/>
      <c r="D631" s="327"/>
      <c r="F631" s="327"/>
      <c r="J631" s="327"/>
      <c r="L631" s="328"/>
    </row>
    <row r="632" spans="2:12" s="326" customFormat="1" ht="9.9499999999999993" customHeight="1" x14ac:dyDescent="0.2">
      <c r="B632" s="327"/>
      <c r="D632" s="327"/>
      <c r="F632" s="327"/>
      <c r="J632" s="327"/>
      <c r="L632" s="328"/>
    </row>
    <row r="633" spans="2:12" s="326" customFormat="1" ht="9.9499999999999993" customHeight="1" x14ac:dyDescent="0.2">
      <c r="B633" s="327"/>
      <c r="D633" s="327"/>
      <c r="F633" s="327"/>
      <c r="J633" s="327"/>
      <c r="L633" s="328"/>
    </row>
    <row r="634" spans="2:12" s="326" customFormat="1" ht="9.9499999999999993" customHeight="1" x14ac:dyDescent="0.2">
      <c r="B634" s="327"/>
      <c r="D634" s="327"/>
      <c r="F634" s="327"/>
      <c r="J634" s="327"/>
      <c r="L634" s="328"/>
    </row>
    <row r="635" spans="2:12" s="326" customFormat="1" ht="9.9499999999999993" customHeight="1" x14ac:dyDescent="0.2">
      <c r="B635" s="327"/>
      <c r="D635" s="327"/>
      <c r="F635" s="327"/>
      <c r="J635" s="327"/>
      <c r="L635" s="328"/>
    </row>
    <row r="636" spans="2:12" s="326" customFormat="1" ht="9.9499999999999993" customHeight="1" x14ac:dyDescent="0.2">
      <c r="B636" s="327"/>
      <c r="D636" s="327"/>
      <c r="F636" s="327"/>
      <c r="J636" s="327"/>
      <c r="L636" s="328"/>
    </row>
    <row r="637" spans="2:12" s="326" customFormat="1" ht="9.9499999999999993" customHeight="1" x14ac:dyDescent="0.2">
      <c r="B637" s="327"/>
      <c r="D637" s="327"/>
      <c r="F637" s="327"/>
      <c r="J637" s="327"/>
      <c r="L637" s="328"/>
    </row>
    <row r="638" spans="2:12" s="326" customFormat="1" ht="9.9499999999999993" customHeight="1" x14ac:dyDescent="0.2">
      <c r="B638" s="327"/>
      <c r="D638" s="327"/>
      <c r="F638" s="327"/>
      <c r="J638" s="327"/>
      <c r="L638" s="328"/>
    </row>
    <row r="639" spans="2:12" s="326" customFormat="1" ht="9.9499999999999993" customHeight="1" x14ac:dyDescent="0.2">
      <c r="B639" s="327"/>
      <c r="D639" s="327"/>
      <c r="F639" s="327"/>
      <c r="J639" s="327"/>
      <c r="L639" s="328"/>
    </row>
    <row r="640" spans="2:12" s="326" customFormat="1" ht="9.9499999999999993" customHeight="1" x14ac:dyDescent="0.2">
      <c r="B640" s="327"/>
      <c r="D640" s="327"/>
      <c r="F640" s="327"/>
      <c r="J640" s="327"/>
      <c r="L640" s="328"/>
    </row>
    <row r="641" spans="2:12" s="326" customFormat="1" ht="9.9499999999999993" customHeight="1" x14ac:dyDescent="0.2">
      <c r="B641" s="327"/>
      <c r="D641" s="327"/>
      <c r="F641" s="327"/>
      <c r="J641" s="327"/>
      <c r="L641" s="328"/>
    </row>
    <row r="642" spans="2:12" s="326" customFormat="1" ht="9.9499999999999993" customHeight="1" x14ac:dyDescent="0.2">
      <c r="B642" s="327"/>
      <c r="D642" s="327"/>
      <c r="F642" s="327"/>
      <c r="J642" s="327"/>
      <c r="L642" s="328"/>
    </row>
    <row r="643" spans="2:12" s="326" customFormat="1" ht="9.9499999999999993" customHeight="1" x14ac:dyDescent="0.2">
      <c r="B643" s="327"/>
      <c r="D643" s="327"/>
      <c r="F643" s="327"/>
      <c r="J643" s="327"/>
      <c r="L643" s="328"/>
    </row>
    <row r="644" spans="2:12" s="326" customFormat="1" ht="9.9499999999999993" customHeight="1" x14ac:dyDescent="0.2">
      <c r="B644" s="327"/>
      <c r="D644" s="327"/>
      <c r="F644" s="327"/>
      <c r="J644" s="327"/>
      <c r="L644" s="328"/>
    </row>
    <row r="645" spans="2:12" s="326" customFormat="1" ht="9.9499999999999993" customHeight="1" x14ac:dyDescent="0.2">
      <c r="B645" s="327"/>
      <c r="D645" s="327"/>
      <c r="F645" s="327"/>
      <c r="J645" s="327"/>
      <c r="L645" s="328"/>
    </row>
    <row r="646" spans="2:12" s="326" customFormat="1" ht="9.9499999999999993" customHeight="1" x14ac:dyDescent="0.2">
      <c r="B646" s="327"/>
      <c r="D646" s="327"/>
      <c r="F646" s="327"/>
      <c r="J646" s="327"/>
      <c r="L646" s="328"/>
    </row>
    <row r="647" spans="2:12" s="326" customFormat="1" ht="9.9499999999999993" customHeight="1" x14ac:dyDescent="0.2">
      <c r="B647" s="327"/>
      <c r="D647" s="327"/>
      <c r="F647" s="327"/>
      <c r="J647" s="327"/>
      <c r="L647" s="328"/>
    </row>
    <row r="648" spans="2:12" s="326" customFormat="1" ht="9.9499999999999993" customHeight="1" x14ac:dyDescent="0.2">
      <c r="B648" s="327"/>
      <c r="D648" s="327"/>
      <c r="F648" s="327"/>
      <c r="J648" s="327"/>
      <c r="L648" s="328"/>
    </row>
    <row r="649" spans="2:12" s="326" customFormat="1" ht="9.9499999999999993" customHeight="1" x14ac:dyDescent="0.2">
      <c r="B649" s="327"/>
      <c r="D649" s="327"/>
      <c r="F649" s="327"/>
      <c r="J649" s="327"/>
      <c r="L649" s="328"/>
    </row>
    <row r="650" spans="2:12" s="326" customFormat="1" ht="9.9499999999999993" customHeight="1" x14ac:dyDescent="0.2">
      <c r="B650" s="327"/>
      <c r="D650" s="327"/>
      <c r="F650" s="327"/>
      <c r="J650" s="327"/>
      <c r="L650" s="328"/>
    </row>
    <row r="651" spans="2:12" s="326" customFormat="1" ht="9.9499999999999993" customHeight="1" x14ac:dyDescent="0.2">
      <c r="B651" s="327"/>
      <c r="D651" s="327"/>
      <c r="F651" s="327"/>
      <c r="J651" s="327"/>
      <c r="L651" s="328"/>
    </row>
    <row r="652" spans="2:12" s="326" customFormat="1" ht="9.9499999999999993" customHeight="1" x14ac:dyDescent="0.2">
      <c r="B652" s="327"/>
      <c r="D652" s="327"/>
      <c r="F652" s="327"/>
      <c r="J652" s="327"/>
      <c r="L652" s="328"/>
    </row>
    <row r="653" spans="2:12" s="326" customFormat="1" ht="9.9499999999999993" customHeight="1" x14ac:dyDescent="0.2">
      <c r="B653" s="327"/>
      <c r="D653" s="327"/>
      <c r="F653" s="327"/>
      <c r="J653" s="327"/>
      <c r="L653" s="328"/>
    </row>
    <row r="654" spans="2:12" s="326" customFormat="1" ht="9.9499999999999993" customHeight="1" x14ac:dyDescent="0.2">
      <c r="B654" s="327"/>
      <c r="D654" s="327"/>
      <c r="F654" s="327"/>
      <c r="J654" s="327"/>
      <c r="L654" s="328"/>
    </row>
    <row r="655" spans="2:12" s="326" customFormat="1" ht="9.9499999999999993" customHeight="1" x14ac:dyDescent="0.2">
      <c r="B655" s="327"/>
      <c r="D655" s="327"/>
      <c r="F655" s="327"/>
      <c r="J655" s="327"/>
      <c r="L655" s="328"/>
    </row>
    <row r="656" spans="2:12" s="326" customFormat="1" ht="9.9499999999999993" customHeight="1" x14ac:dyDescent="0.2">
      <c r="B656" s="327"/>
      <c r="D656" s="327"/>
      <c r="F656" s="327"/>
      <c r="J656" s="327"/>
      <c r="L656" s="328"/>
    </row>
    <row r="657" spans="2:12" s="326" customFormat="1" ht="9.9499999999999993" customHeight="1" x14ac:dyDescent="0.2">
      <c r="B657" s="327"/>
      <c r="D657" s="327"/>
      <c r="F657" s="327"/>
      <c r="J657" s="327"/>
      <c r="L657" s="328"/>
    </row>
    <row r="658" spans="2:12" s="326" customFormat="1" ht="9.9499999999999993" customHeight="1" x14ac:dyDescent="0.2">
      <c r="B658" s="327"/>
      <c r="D658" s="327"/>
      <c r="F658" s="327"/>
      <c r="J658" s="327"/>
      <c r="L658" s="328"/>
    </row>
    <row r="659" spans="2:12" s="326" customFormat="1" ht="9.9499999999999993" customHeight="1" x14ac:dyDescent="0.2">
      <c r="B659" s="327"/>
      <c r="D659" s="327"/>
      <c r="F659" s="327"/>
      <c r="J659" s="327"/>
      <c r="L659" s="328"/>
    </row>
    <row r="660" spans="2:12" s="326" customFormat="1" ht="9.9499999999999993" customHeight="1" x14ac:dyDescent="0.2">
      <c r="B660" s="327"/>
      <c r="D660" s="327"/>
      <c r="F660" s="327"/>
      <c r="J660" s="327"/>
      <c r="L660" s="328"/>
    </row>
    <row r="661" spans="2:12" s="326" customFormat="1" ht="9.9499999999999993" customHeight="1" x14ac:dyDescent="0.2">
      <c r="B661" s="327"/>
      <c r="D661" s="327"/>
      <c r="F661" s="327"/>
      <c r="J661" s="327"/>
      <c r="L661" s="328"/>
    </row>
    <row r="662" spans="2:12" s="326" customFormat="1" ht="9.9499999999999993" customHeight="1" x14ac:dyDescent="0.2">
      <c r="B662" s="327"/>
      <c r="D662" s="327"/>
      <c r="F662" s="327"/>
      <c r="J662" s="327"/>
      <c r="L662" s="328"/>
    </row>
    <row r="663" spans="2:12" s="326" customFormat="1" ht="9.9499999999999993" customHeight="1" x14ac:dyDescent="0.2">
      <c r="B663" s="327"/>
      <c r="D663" s="327"/>
      <c r="F663" s="327"/>
      <c r="J663" s="327"/>
      <c r="L663" s="328"/>
    </row>
    <row r="664" spans="2:12" s="326" customFormat="1" ht="9.9499999999999993" customHeight="1" x14ac:dyDescent="0.2">
      <c r="B664" s="327"/>
      <c r="D664" s="327"/>
      <c r="F664" s="327"/>
      <c r="J664" s="327"/>
      <c r="L664" s="328"/>
    </row>
    <row r="665" spans="2:12" s="326" customFormat="1" ht="9.9499999999999993" customHeight="1" x14ac:dyDescent="0.2">
      <c r="B665" s="327"/>
      <c r="D665" s="327"/>
      <c r="F665" s="327"/>
      <c r="J665" s="327"/>
      <c r="L665" s="328"/>
    </row>
    <row r="666" spans="2:12" s="326" customFormat="1" ht="9.9499999999999993" customHeight="1" x14ac:dyDescent="0.2">
      <c r="B666" s="327"/>
      <c r="D666" s="327"/>
      <c r="F666" s="327"/>
      <c r="J666" s="327"/>
      <c r="L666" s="328"/>
    </row>
    <row r="667" spans="2:12" s="326" customFormat="1" ht="9.9499999999999993" customHeight="1" x14ac:dyDescent="0.2">
      <c r="B667" s="327"/>
      <c r="D667" s="327"/>
      <c r="F667" s="327"/>
      <c r="J667" s="327"/>
      <c r="L667" s="328"/>
    </row>
    <row r="668" spans="2:12" s="326" customFormat="1" ht="9.9499999999999993" customHeight="1" x14ac:dyDescent="0.2">
      <c r="B668" s="327"/>
      <c r="D668" s="327"/>
      <c r="F668" s="327"/>
      <c r="J668" s="327"/>
      <c r="L668" s="328"/>
    </row>
    <row r="669" spans="2:12" s="326" customFormat="1" ht="9.9499999999999993" customHeight="1" x14ac:dyDescent="0.2">
      <c r="B669" s="327"/>
      <c r="D669" s="327"/>
      <c r="F669" s="327"/>
      <c r="J669" s="327"/>
      <c r="L669" s="328"/>
    </row>
    <row r="670" spans="2:12" s="326" customFormat="1" ht="9.9499999999999993" customHeight="1" x14ac:dyDescent="0.2">
      <c r="B670" s="327"/>
      <c r="D670" s="327"/>
      <c r="F670" s="327"/>
      <c r="J670" s="327"/>
      <c r="L670" s="328"/>
    </row>
    <row r="671" spans="2:12" s="326" customFormat="1" ht="9.9499999999999993" customHeight="1" x14ac:dyDescent="0.2">
      <c r="B671" s="327"/>
      <c r="D671" s="327"/>
      <c r="F671" s="327"/>
      <c r="J671" s="327"/>
      <c r="L671" s="328"/>
    </row>
    <row r="672" spans="2:12" s="326" customFormat="1" ht="9.9499999999999993" customHeight="1" x14ac:dyDescent="0.2">
      <c r="B672" s="327"/>
      <c r="D672" s="327"/>
      <c r="F672" s="327"/>
      <c r="J672" s="327"/>
      <c r="L672" s="328"/>
    </row>
    <row r="673" spans="2:12" s="326" customFormat="1" ht="9.9499999999999993" customHeight="1" x14ac:dyDescent="0.2">
      <c r="B673" s="327"/>
      <c r="D673" s="327"/>
      <c r="F673" s="327"/>
      <c r="J673" s="327"/>
      <c r="L673" s="328"/>
    </row>
    <row r="674" spans="2:12" s="326" customFormat="1" ht="9.9499999999999993" customHeight="1" x14ac:dyDescent="0.2">
      <c r="B674" s="327"/>
      <c r="D674" s="327"/>
      <c r="F674" s="327"/>
      <c r="J674" s="327"/>
      <c r="L674" s="328"/>
    </row>
    <row r="675" spans="2:12" s="326" customFormat="1" ht="9.9499999999999993" customHeight="1" x14ac:dyDescent="0.2">
      <c r="B675" s="327"/>
      <c r="D675" s="327"/>
      <c r="F675" s="327"/>
      <c r="J675" s="327"/>
      <c r="L675" s="328"/>
    </row>
    <row r="676" spans="2:12" s="326" customFormat="1" ht="9.9499999999999993" customHeight="1" x14ac:dyDescent="0.2">
      <c r="B676" s="327"/>
      <c r="D676" s="327"/>
      <c r="F676" s="327"/>
      <c r="J676" s="327"/>
      <c r="L676" s="328"/>
    </row>
    <row r="677" spans="2:12" s="326" customFormat="1" ht="9.9499999999999993" customHeight="1" x14ac:dyDescent="0.2">
      <c r="B677" s="327"/>
      <c r="D677" s="327"/>
      <c r="F677" s="327"/>
      <c r="J677" s="327"/>
      <c r="L677" s="328"/>
    </row>
    <row r="678" spans="2:12" s="326" customFormat="1" ht="9.9499999999999993" customHeight="1" x14ac:dyDescent="0.2">
      <c r="B678" s="327"/>
      <c r="D678" s="327"/>
      <c r="F678" s="327"/>
      <c r="J678" s="327"/>
      <c r="L678" s="328"/>
    </row>
    <row r="679" spans="2:12" s="326" customFormat="1" ht="9.9499999999999993" customHeight="1" x14ac:dyDescent="0.2">
      <c r="B679" s="327"/>
      <c r="D679" s="327"/>
      <c r="F679" s="327"/>
      <c r="J679" s="327"/>
      <c r="L679" s="328"/>
    </row>
    <row r="680" spans="2:12" s="326" customFormat="1" ht="9.9499999999999993" customHeight="1" x14ac:dyDescent="0.2">
      <c r="B680" s="327"/>
      <c r="D680" s="327"/>
      <c r="F680" s="327"/>
      <c r="J680" s="327"/>
      <c r="L680" s="328"/>
    </row>
    <row r="681" spans="2:12" s="326" customFormat="1" ht="9.9499999999999993" customHeight="1" x14ac:dyDescent="0.2">
      <c r="B681" s="327"/>
      <c r="D681" s="327"/>
      <c r="F681" s="327"/>
      <c r="J681" s="327"/>
      <c r="L681" s="328"/>
    </row>
    <row r="682" spans="2:12" s="326" customFormat="1" ht="9.9499999999999993" customHeight="1" x14ac:dyDescent="0.2">
      <c r="B682" s="327"/>
      <c r="D682" s="327"/>
      <c r="F682" s="327"/>
      <c r="J682" s="327"/>
      <c r="L682" s="328"/>
    </row>
    <row r="683" spans="2:12" s="326" customFormat="1" ht="9.9499999999999993" customHeight="1" x14ac:dyDescent="0.2">
      <c r="B683" s="327"/>
      <c r="D683" s="327"/>
      <c r="F683" s="327"/>
      <c r="J683" s="327"/>
      <c r="L683" s="328"/>
    </row>
    <row r="684" spans="2:12" s="326" customFormat="1" ht="9.9499999999999993" customHeight="1" x14ac:dyDescent="0.2">
      <c r="B684" s="327"/>
      <c r="D684" s="327"/>
      <c r="F684" s="327"/>
      <c r="J684" s="327"/>
      <c r="L684" s="328"/>
    </row>
    <row r="685" spans="2:12" s="326" customFormat="1" ht="9.9499999999999993" customHeight="1" x14ac:dyDescent="0.2">
      <c r="B685" s="327"/>
      <c r="D685" s="327"/>
      <c r="F685" s="327"/>
      <c r="J685" s="327"/>
      <c r="L685" s="328"/>
    </row>
    <row r="686" spans="2:12" s="326" customFormat="1" ht="9.9499999999999993" customHeight="1" x14ac:dyDescent="0.2">
      <c r="B686" s="327"/>
      <c r="D686" s="327"/>
      <c r="F686" s="327"/>
      <c r="J686" s="327"/>
      <c r="L686" s="328"/>
    </row>
    <row r="687" spans="2:12" s="326" customFormat="1" ht="9.9499999999999993" customHeight="1" x14ac:dyDescent="0.2">
      <c r="B687" s="327"/>
      <c r="D687" s="327"/>
      <c r="F687" s="327"/>
      <c r="J687" s="327"/>
      <c r="L687" s="328"/>
    </row>
    <row r="688" spans="2:12" s="326" customFormat="1" ht="9.9499999999999993" customHeight="1" x14ac:dyDescent="0.2">
      <c r="B688" s="327"/>
      <c r="D688" s="327"/>
      <c r="F688" s="327"/>
      <c r="J688" s="327"/>
      <c r="L688" s="328"/>
    </row>
    <row r="689" spans="2:12" s="326" customFormat="1" ht="9.9499999999999993" customHeight="1" x14ac:dyDescent="0.2">
      <c r="B689" s="327"/>
      <c r="D689" s="327"/>
      <c r="F689" s="327"/>
      <c r="J689" s="327"/>
      <c r="L689" s="328"/>
    </row>
    <row r="690" spans="2:12" s="326" customFormat="1" ht="9.9499999999999993" customHeight="1" x14ac:dyDescent="0.2">
      <c r="B690" s="327"/>
      <c r="D690" s="327"/>
      <c r="F690" s="327"/>
      <c r="J690" s="327"/>
      <c r="L690" s="328"/>
    </row>
    <row r="691" spans="2:12" s="326" customFormat="1" ht="9.9499999999999993" customHeight="1" x14ac:dyDescent="0.2">
      <c r="B691" s="327"/>
      <c r="D691" s="327"/>
      <c r="F691" s="327"/>
      <c r="J691" s="327"/>
      <c r="L691" s="328"/>
    </row>
    <row r="692" spans="2:12" s="326" customFormat="1" ht="9.9499999999999993" customHeight="1" x14ac:dyDescent="0.2">
      <c r="B692" s="327"/>
      <c r="D692" s="327"/>
      <c r="F692" s="327"/>
      <c r="J692" s="327"/>
      <c r="L692" s="328"/>
    </row>
    <row r="693" spans="2:12" s="326" customFormat="1" ht="9.9499999999999993" customHeight="1" x14ac:dyDescent="0.2">
      <c r="B693" s="327"/>
      <c r="D693" s="327"/>
      <c r="F693" s="327"/>
      <c r="J693" s="327"/>
      <c r="L693" s="328"/>
    </row>
    <row r="694" spans="2:12" s="326" customFormat="1" ht="9.9499999999999993" customHeight="1" x14ac:dyDescent="0.2">
      <c r="B694" s="327"/>
      <c r="D694" s="327"/>
      <c r="F694" s="327"/>
      <c r="J694" s="327"/>
      <c r="L694" s="328"/>
    </row>
    <row r="695" spans="2:12" s="326" customFormat="1" ht="9.9499999999999993" customHeight="1" x14ac:dyDescent="0.2">
      <c r="B695" s="327"/>
      <c r="D695" s="327"/>
      <c r="F695" s="327"/>
      <c r="J695" s="327"/>
      <c r="L695" s="328"/>
    </row>
    <row r="696" spans="2:12" s="326" customFormat="1" ht="9.9499999999999993" customHeight="1" x14ac:dyDescent="0.2">
      <c r="B696" s="327"/>
      <c r="D696" s="327"/>
      <c r="F696" s="327"/>
      <c r="J696" s="327"/>
      <c r="L696" s="328"/>
    </row>
    <row r="697" spans="2:12" s="326" customFormat="1" ht="9.9499999999999993" customHeight="1" x14ac:dyDescent="0.2">
      <c r="B697" s="327"/>
      <c r="D697" s="327"/>
      <c r="F697" s="327"/>
      <c r="J697" s="327"/>
      <c r="L697" s="328"/>
    </row>
    <row r="698" spans="2:12" s="326" customFormat="1" ht="9.9499999999999993" customHeight="1" x14ac:dyDescent="0.2">
      <c r="B698" s="327"/>
      <c r="D698" s="327"/>
      <c r="F698" s="327"/>
      <c r="J698" s="327"/>
      <c r="L698" s="328"/>
    </row>
    <row r="699" spans="2:12" s="326" customFormat="1" ht="9.9499999999999993" customHeight="1" x14ac:dyDescent="0.2">
      <c r="B699" s="327"/>
      <c r="D699" s="327"/>
      <c r="F699" s="327"/>
      <c r="J699" s="327"/>
      <c r="L699" s="328"/>
    </row>
    <row r="700" spans="2:12" s="326" customFormat="1" ht="9.9499999999999993" customHeight="1" x14ac:dyDescent="0.2">
      <c r="B700" s="327"/>
      <c r="D700" s="327"/>
      <c r="F700" s="327"/>
      <c r="J700" s="327"/>
      <c r="L700" s="328"/>
    </row>
    <row r="701" spans="2:12" s="326" customFormat="1" ht="9.9499999999999993" customHeight="1" x14ac:dyDescent="0.2">
      <c r="B701" s="327"/>
      <c r="D701" s="327"/>
      <c r="F701" s="327"/>
      <c r="J701" s="327"/>
      <c r="L701" s="328"/>
    </row>
    <row r="702" spans="2:12" s="326" customFormat="1" ht="9.9499999999999993" customHeight="1" x14ac:dyDescent="0.2">
      <c r="B702" s="327"/>
      <c r="D702" s="327"/>
      <c r="F702" s="327"/>
      <c r="J702" s="327"/>
      <c r="L702" s="328"/>
    </row>
    <row r="703" spans="2:12" s="326" customFormat="1" ht="9.9499999999999993" customHeight="1" x14ac:dyDescent="0.2">
      <c r="B703" s="327"/>
      <c r="D703" s="327"/>
      <c r="F703" s="327"/>
      <c r="J703" s="327"/>
      <c r="L703" s="328"/>
    </row>
    <row r="704" spans="2:12" s="326" customFormat="1" ht="9.9499999999999993" customHeight="1" x14ac:dyDescent="0.2">
      <c r="B704" s="327"/>
      <c r="D704" s="327"/>
      <c r="F704" s="327"/>
      <c r="J704" s="327"/>
      <c r="L704" s="328"/>
    </row>
    <row r="705" spans="2:12" s="326" customFormat="1" ht="9.9499999999999993" customHeight="1" x14ac:dyDescent="0.2">
      <c r="B705" s="327"/>
      <c r="D705" s="327"/>
      <c r="F705" s="327"/>
      <c r="J705" s="327"/>
      <c r="L705" s="328"/>
    </row>
    <row r="706" spans="2:12" s="326" customFormat="1" ht="9.9499999999999993" customHeight="1" x14ac:dyDescent="0.2">
      <c r="B706" s="327"/>
      <c r="D706" s="327"/>
      <c r="F706" s="327"/>
      <c r="J706" s="327"/>
      <c r="L706" s="328"/>
    </row>
    <row r="707" spans="2:12" s="326" customFormat="1" ht="9.9499999999999993" customHeight="1" x14ac:dyDescent="0.2">
      <c r="B707" s="327"/>
      <c r="D707" s="327"/>
      <c r="F707" s="327"/>
      <c r="J707" s="327"/>
      <c r="L707" s="328"/>
    </row>
    <row r="708" spans="2:12" s="326" customFormat="1" ht="9.9499999999999993" customHeight="1" x14ac:dyDescent="0.2">
      <c r="B708" s="327"/>
      <c r="D708" s="327"/>
      <c r="F708" s="327"/>
      <c r="J708" s="327"/>
      <c r="L708" s="328"/>
    </row>
    <row r="709" spans="2:12" s="326" customFormat="1" ht="9.9499999999999993" customHeight="1" x14ac:dyDescent="0.2">
      <c r="B709" s="327"/>
      <c r="D709" s="327"/>
      <c r="F709" s="327"/>
      <c r="J709" s="327"/>
      <c r="L709" s="328"/>
    </row>
    <row r="710" spans="2:12" s="326" customFormat="1" ht="9.9499999999999993" customHeight="1" x14ac:dyDescent="0.2">
      <c r="B710" s="327"/>
      <c r="D710" s="327"/>
      <c r="F710" s="327"/>
      <c r="J710" s="327"/>
      <c r="L710" s="328"/>
    </row>
    <row r="711" spans="2:12" s="326" customFormat="1" ht="9.9499999999999993" customHeight="1" x14ac:dyDescent="0.2">
      <c r="B711" s="327"/>
      <c r="D711" s="327"/>
      <c r="F711" s="327"/>
      <c r="J711" s="327"/>
      <c r="L711" s="328"/>
    </row>
    <row r="712" spans="2:12" s="326" customFormat="1" ht="9.9499999999999993" customHeight="1" x14ac:dyDescent="0.2">
      <c r="B712" s="327"/>
      <c r="D712" s="327"/>
      <c r="F712" s="327"/>
      <c r="J712" s="327"/>
      <c r="L712" s="328"/>
    </row>
    <row r="713" spans="2:12" s="326" customFormat="1" ht="9.9499999999999993" customHeight="1" x14ac:dyDescent="0.2">
      <c r="B713" s="327"/>
      <c r="D713" s="327"/>
      <c r="F713" s="327"/>
      <c r="J713" s="327"/>
      <c r="L713" s="328"/>
    </row>
    <row r="714" spans="2:12" s="326" customFormat="1" ht="9.9499999999999993" customHeight="1" x14ac:dyDescent="0.2">
      <c r="B714" s="327"/>
      <c r="D714" s="327"/>
      <c r="F714" s="327"/>
      <c r="J714" s="327"/>
      <c r="L714" s="328"/>
    </row>
    <row r="715" spans="2:12" s="326" customFormat="1" ht="9.9499999999999993" customHeight="1" x14ac:dyDescent="0.2">
      <c r="B715" s="327"/>
      <c r="D715" s="327"/>
      <c r="F715" s="327"/>
      <c r="J715" s="327"/>
      <c r="L715" s="328"/>
    </row>
    <row r="716" spans="2:12" s="326" customFormat="1" ht="9.9499999999999993" customHeight="1" x14ac:dyDescent="0.2">
      <c r="B716" s="327"/>
      <c r="D716" s="327"/>
      <c r="F716" s="327"/>
      <c r="J716" s="327"/>
      <c r="L716" s="328"/>
    </row>
    <row r="717" spans="2:12" s="326" customFormat="1" ht="9.9499999999999993" customHeight="1" x14ac:dyDescent="0.2">
      <c r="B717" s="327"/>
      <c r="D717" s="327"/>
      <c r="F717" s="327"/>
      <c r="J717" s="327"/>
      <c r="L717" s="328"/>
    </row>
    <row r="718" spans="2:12" s="326" customFormat="1" ht="9.9499999999999993" customHeight="1" x14ac:dyDescent="0.2">
      <c r="B718" s="327"/>
      <c r="D718" s="327"/>
      <c r="F718" s="327"/>
      <c r="J718" s="327"/>
      <c r="L718" s="328"/>
    </row>
    <row r="719" spans="2:12" s="326" customFormat="1" ht="9.9499999999999993" customHeight="1" x14ac:dyDescent="0.2">
      <c r="B719" s="327"/>
      <c r="D719" s="327"/>
      <c r="F719" s="327"/>
      <c r="J719" s="327"/>
      <c r="L719" s="328"/>
    </row>
    <row r="720" spans="2:12" s="326" customFormat="1" ht="9.9499999999999993" customHeight="1" x14ac:dyDescent="0.2">
      <c r="B720" s="327"/>
      <c r="D720" s="327"/>
      <c r="F720" s="327"/>
      <c r="J720" s="327"/>
      <c r="L720" s="328"/>
    </row>
    <row r="721" spans="2:12" s="326" customFormat="1" ht="9.9499999999999993" customHeight="1" x14ac:dyDescent="0.2">
      <c r="B721" s="327"/>
      <c r="D721" s="327"/>
      <c r="F721" s="327"/>
      <c r="J721" s="327"/>
      <c r="L721" s="328"/>
    </row>
    <row r="722" spans="2:12" s="326" customFormat="1" ht="9.9499999999999993" customHeight="1" x14ac:dyDescent="0.2">
      <c r="B722" s="327"/>
      <c r="D722" s="327"/>
      <c r="F722" s="327"/>
      <c r="J722" s="327"/>
      <c r="L722" s="328"/>
    </row>
    <row r="723" spans="2:12" s="326" customFormat="1" ht="9.9499999999999993" customHeight="1" x14ac:dyDescent="0.2">
      <c r="B723" s="327"/>
      <c r="D723" s="327"/>
      <c r="F723" s="327"/>
      <c r="J723" s="327"/>
      <c r="L723" s="328"/>
    </row>
    <row r="724" spans="2:12" s="326" customFormat="1" ht="9.9499999999999993" customHeight="1" x14ac:dyDescent="0.2">
      <c r="B724" s="327"/>
      <c r="D724" s="327"/>
      <c r="F724" s="327"/>
      <c r="J724" s="327"/>
      <c r="L724" s="328"/>
    </row>
    <row r="725" spans="2:12" s="326" customFormat="1" ht="9.9499999999999993" customHeight="1" x14ac:dyDescent="0.2">
      <c r="B725" s="327"/>
      <c r="D725" s="327"/>
      <c r="F725" s="327"/>
      <c r="J725" s="327"/>
      <c r="L725" s="328"/>
    </row>
    <row r="726" spans="2:12" s="326" customFormat="1" ht="9.9499999999999993" customHeight="1" x14ac:dyDescent="0.2">
      <c r="B726" s="327"/>
      <c r="D726" s="327"/>
      <c r="F726" s="327"/>
      <c r="J726" s="327"/>
      <c r="L726" s="328"/>
    </row>
    <row r="727" spans="2:12" s="326" customFormat="1" ht="9.9499999999999993" customHeight="1" x14ac:dyDescent="0.2">
      <c r="B727" s="327"/>
      <c r="D727" s="327"/>
      <c r="F727" s="327"/>
      <c r="J727" s="327"/>
      <c r="L727" s="328"/>
    </row>
    <row r="728" spans="2:12" s="326" customFormat="1" ht="9.9499999999999993" customHeight="1" x14ac:dyDescent="0.2">
      <c r="B728" s="327"/>
      <c r="D728" s="327"/>
      <c r="F728" s="327"/>
      <c r="J728" s="327"/>
      <c r="L728" s="328"/>
    </row>
    <row r="729" spans="2:12" s="326" customFormat="1" ht="9.9499999999999993" customHeight="1" x14ac:dyDescent="0.2">
      <c r="B729" s="327"/>
      <c r="D729" s="327"/>
      <c r="F729" s="327"/>
      <c r="J729" s="327"/>
      <c r="L729" s="328"/>
    </row>
    <row r="730" spans="2:12" s="326" customFormat="1" ht="9.9499999999999993" customHeight="1" x14ac:dyDescent="0.2">
      <c r="B730" s="327"/>
      <c r="D730" s="327"/>
      <c r="F730" s="327"/>
      <c r="J730" s="327"/>
      <c r="L730" s="328"/>
    </row>
    <row r="731" spans="2:12" s="326" customFormat="1" ht="9.9499999999999993" customHeight="1" x14ac:dyDescent="0.2">
      <c r="B731" s="327"/>
      <c r="D731" s="327"/>
      <c r="F731" s="327"/>
      <c r="J731" s="327"/>
      <c r="L731" s="328"/>
    </row>
    <row r="732" spans="2:12" s="326" customFormat="1" ht="9.9499999999999993" customHeight="1" x14ac:dyDescent="0.2">
      <c r="B732" s="327"/>
      <c r="D732" s="327"/>
      <c r="F732" s="327"/>
      <c r="J732" s="327"/>
      <c r="L732" s="328"/>
    </row>
    <row r="733" spans="2:12" s="326" customFormat="1" ht="9.9499999999999993" customHeight="1" x14ac:dyDescent="0.2">
      <c r="B733" s="327"/>
      <c r="D733" s="327"/>
      <c r="F733" s="327"/>
      <c r="J733" s="327"/>
      <c r="L733" s="328"/>
    </row>
    <row r="734" spans="2:12" s="326" customFormat="1" ht="9.9499999999999993" customHeight="1" x14ac:dyDescent="0.2">
      <c r="B734" s="327"/>
      <c r="D734" s="327"/>
      <c r="F734" s="327"/>
      <c r="J734" s="327"/>
      <c r="L734" s="328"/>
    </row>
    <row r="735" spans="2:12" s="326" customFormat="1" ht="9.9499999999999993" customHeight="1" x14ac:dyDescent="0.2">
      <c r="B735" s="327"/>
      <c r="D735" s="327"/>
      <c r="F735" s="327"/>
      <c r="J735" s="327"/>
      <c r="L735" s="328"/>
    </row>
    <row r="736" spans="2:12" s="326" customFormat="1" ht="9.9499999999999993" customHeight="1" x14ac:dyDescent="0.2">
      <c r="B736" s="327"/>
      <c r="D736" s="327"/>
      <c r="F736" s="327"/>
      <c r="J736" s="327"/>
      <c r="L736" s="328"/>
    </row>
    <row r="737" spans="2:12" s="326" customFormat="1" ht="9.9499999999999993" customHeight="1" x14ac:dyDescent="0.2">
      <c r="B737" s="327"/>
      <c r="D737" s="327"/>
      <c r="F737" s="327"/>
      <c r="J737" s="327"/>
      <c r="L737" s="328"/>
    </row>
    <row r="738" spans="2:12" s="326" customFormat="1" ht="9.9499999999999993" customHeight="1" x14ac:dyDescent="0.2">
      <c r="B738" s="327"/>
      <c r="D738" s="327"/>
      <c r="F738" s="327"/>
      <c r="J738" s="327"/>
      <c r="L738" s="328"/>
    </row>
    <row r="739" spans="2:12" s="326" customFormat="1" ht="9.9499999999999993" customHeight="1" x14ac:dyDescent="0.2">
      <c r="B739" s="327"/>
      <c r="D739" s="327"/>
      <c r="F739" s="327"/>
      <c r="J739" s="327"/>
      <c r="L739" s="328"/>
    </row>
    <row r="740" spans="2:12" s="326" customFormat="1" ht="9.9499999999999993" customHeight="1" x14ac:dyDescent="0.2">
      <c r="B740" s="327"/>
      <c r="D740" s="327"/>
      <c r="F740" s="327"/>
      <c r="J740" s="327"/>
      <c r="L740" s="328"/>
    </row>
    <row r="741" spans="2:12" s="326" customFormat="1" ht="9.9499999999999993" customHeight="1" x14ac:dyDescent="0.2">
      <c r="B741" s="327"/>
      <c r="D741" s="327"/>
      <c r="F741" s="327"/>
      <c r="J741" s="327"/>
      <c r="L741" s="328"/>
    </row>
    <row r="742" spans="2:12" s="326" customFormat="1" ht="9.9499999999999993" customHeight="1" x14ac:dyDescent="0.2">
      <c r="B742" s="327"/>
      <c r="D742" s="327"/>
      <c r="F742" s="327"/>
      <c r="J742" s="327"/>
      <c r="L742" s="328"/>
    </row>
    <row r="743" spans="2:12" s="326" customFormat="1" ht="9.9499999999999993" customHeight="1" x14ac:dyDescent="0.2">
      <c r="B743" s="327"/>
      <c r="D743" s="327"/>
      <c r="F743" s="327"/>
      <c r="J743" s="327"/>
      <c r="L743" s="328"/>
    </row>
    <row r="744" spans="2:12" s="326" customFormat="1" ht="9.9499999999999993" customHeight="1" x14ac:dyDescent="0.2">
      <c r="B744" s="327"/>
      <c r="D744" s="327"/>
      <c r="F744" s="327"/>
      <c r="J744" s="327"/>
      <c r="L744" s="328"/>
    </row>
    <row r="745" spans="2:12" s="326" customFormat="1" ht="9.9499999999999993" customHeight="1" x14ac:dyDescent="0.2">
      <c r="B745" s="327"/>
      <c r="D745" s="327"/>
      <c r="F745" s="327"/>
      <c r="J745" s="327"/>
      <c r="L745" s="328"/>
    </row>
    <row r="746" spans="2:12" s="326" customFormat="1" ht="9.9499999999999993" customHeight="1" x14ac:dyDescent="0.2">
      <c r="B746" s="327"/>
      <c r="D746" s="327"/>
      <c r="F746" s="327"/>
      <c r="J746" s="327"/>
      <c r="L746" s="328"/>
    </row>
    <row r="747" spans="2:12" s="326" customFormat="1" ht="9.9499999999999993" customHeight="1" x14ac:dyDescent="0.2">
      <c r="B747" s="327"/>
      <c r="D747" s="327"/>
      <c r="F747" s="327"/>
      <c r="J747" s="327"/>
      <c r="L747" s="328"/>
    </row>
    <row r="748" spans="2:12" s="326" customFormat="1" ht="9.9499999999999993" customHeight="1" x14ac:dyDescent="0.2">
      <c r="B748" s="327"/>
      <c r="D748" s="327"/>
      <c r="F748" s="327"/>
      <c r="J748" s="327"/>
      <c r="L748" s="328"/>
    </row>
    <row r="749" spans="2:12" s="326" customFormat="1" ht="9.9499999999999993" customHeight="1" x14ac:dyDescent="0.2">
      <c r="B749" s="327"/>
      <c r="D749" s="327"/>
      <c r="F749" s="327"/>
      <c r="J749" s="327"/>
      <c r="L749" s="328"/>
    </row>
    <row r="750" spans="2:12" s="326" customFormat="1" ht="9.9499999999999993" customHeight="1" x14ac:dyDescent="0.2">
      <c r="B750" s="327"/>
      <c r="D750" s="327"/>
      <c r="F750" s="327"/>
      <c r="J750" s="327"/>
      <c r="L750" s="328"/>
    </row>
    <row r="751" spans="2:12" s="326" customFormat="1" ht="9.9499999999999993" customHeight="1" x14ac:dyDescent="0.2">
      <c r="B751" s="327"/>
      <c r="D751" s="327"/>
      <c r="F751" s="327"/>
      <c r="J751" s="327"/>
      <c r="L751" s="328"/>
    </row>
    <row r="752" spans="2:12" s="326" customFormat="1" ht="9.9499999999999993" customHeight="1" x14ac:dyDescent="0.2">
      <c r="B752" s="327"/>
      <c r="D752" s="327"/>
      <c r="F752" s="327"/>
      <c r="J752" s="327"/>
      <c r="L752" s="328"/>
    </row>
    <row r="753" spans="2:12" s="326" customFormat="1" ht="9.9499999999999993" customHeight="1" x14ac:dyDescent="0.2">
      <c r="B753" s="327"/>
      <c r="D753" s="327"/>
      <c r="F753" s="327"/>
      <c r="J753" s="327"/>
      <c r="L753" s="328"/>
    </row>
    <row r="754" spans="2:12" s="326" customFormat="1" ht="9.9499999999999993" customHeight="1" x14ac:dyDescent="0.2">
      <c r="B754" s="327"/>
      <c r="D754" s="327"/>
      <c r="F754" s="327"/>
      <c r="J754" s="327"/>
      <c r="L754" s="328"/>
    </row>
    <row r="755" spans="2:12" s="326" customFormat="1" ht="9.9499999999999993" customHeight="1" x14ac:dyDescent="0.2">
      <c r="B755" s="327"/>
      <c r="D755" s="327"/>
      <c r="F755" s="327"/>
      <c r="J755" s="327"/>
      <c r="L755" s="328"/>
    </row>
    <row r="756" spans="2:12" s="326" customFormat="1" ht="9.9499999999999993" customHeight="1" x14ac:dyDescent="0.2">
      <c r="B756" s="327"/>
      <c r="D756" s="327"/>
      <c r="F756" s="327"/>
      <c r="J756" s="327"/>
      <c r="L756" s="328"/>
    </row>
    <row r="757" spans="2:12" s="326" customFormat="1" ht="9.9499999999999993" customHeight="1" x14ac:dyDescent="0.2">
      <c r="B757" s="327"/>
      <c r="D757" s="327"/>
      <c r="F757" s="327"/>
      <c r="J757" s="327"/>
      <c r="L757" s="328"/>
    </row>
    <row r="758" spans="2:12" s="326" customFormat="1" ht="9.9499999999999993" customHeight="1" x14ac:dyDescent="0.2">
      <c r="B758" s="327"/>
      <c r="D758" s="327"/>
      <c r="F758" s="327"/>
      <c r="J758" s="327"/>
      <c r="L758" s="328"/>
    </row>
    <row r="759" spans="2:12" s="326" customFormat="1" ht="9.9499999999999993" customHeight="1" x14ac:dyDescent="0.2">
      <c r="B759" s="327"/>
      <c r="D759" s="327"/>
      <c r="F759" s="327"/>
      <c r="J759" s="327"/>
      <c r="L759" s="328"/>
    </row>
    <row r="760" spans="2:12" s="326" customFormat="1" ht="9.9499999999999993" customHeight="1" x14ac:dyDescent="0.2">
      <c r="B760" s="327"/>
      <c r="D760" s="327"/>
      <c r="F760" s="327"/>
      <c r="J760" s="327"/>
      <c r="L760" s="328"/>
    </row>
    <row r="761" spans="2:12" s="326" customFormat="1" ht="9.9499999999999993" customHeight="1" x14ac:dyDescent="0.2">
      <c r="B761" s="327"/>
      <c r="D761" s="327"/>
      <c r="F761" s="327"/>
      <c r="J761" s="327"/>
      <c r="L761" s="328"/>
    </row>
    <row r="762" spans="2:12" s="326" customFormat="1" ht="9.9499999999999993" customHeight="1" x14ac:dyDescent="0.2">
      <c r="B762" s="327"/>
      <c r="D762" s="327"/>
      <c r="F762" s="327"/>
      <c r="J762" s="327"/>
      <c r="L762" s="328"/>
    </row>
    <row r="763" spans="2:12" s="326" customFormat="1" ht="9.9499999999999993" customHeight="1" x14ac:dyDescent="0.2">
      <c r="B763" s="327"/>
      <c r="D763" s="327"/>
      <c r="F763" s="327"/>
      <c r="J763" s="327"/>
      <c r="L763" s="328"/>
    </row>
    <row r="764" spans="2:12" s="326" customFormat="1" ht="9.9499999999999993" customHeight="1" x14ac:dyDescent="0.2">
      <c r="B764" s="327"/>
      <c r="D764" s="327"/>
      <c r="F764" s="327"/>
      <c r="J764" s="327"/>
      <c r="L764" s="328"/>
    </row>
    <row r="765" spans="2:12" s="326" customFormat="1" ht="9.9499999999999993" customHeight="1" x14ac:dyDescent="0.2">
      <c r="B765" s="327"/>
      <c r="D765" s="327"/>
      <c r="F765" s="327"/>
      <c r="J765" s="327"/>
      <c r="L765" s="328"/>
    </row>
    <row r="766" spans="2:12" s="326" customFormat="1" ht="9.9499999999999993" customHeight="1" x14ac:dyDescent="0.2">
      <c r="B766" s="327"/>
      <c r="D766" s="327"/>
      <c r="F766" s="327"/>
      <c r="J766" s="327"/>
      <c r="L766" s="328"/>
    </row>
    <row r="767" spans="2:12" s="326" customFormat="1" ht="9.9499999999999993" customHeight="1" x14ac:dyDescent="0.2">
      <c r="B767" s="327"/>
      <c r="D767" s="327"/>
      <c r="F767" s="327"/>
      <c r="J767" s="327"/>
      <c r="L767" s="328"/>
    </row>
    <row r="768" spans="2:12" s="326" customFormat="1" ht="9.9499999999999993" customHeight="1" x14ac:dyDescent="0.2">
      <c r="B768" s="327"/>
      <c r="D768" s="327"/>
      <c r="F768" s="327"/>
      <c r="J768" s="327"/>
      <c r="L768" s="328"/>
    </row>
    <row r="769" spans="2:12" s="326" customFormat="1" ht="9.9499999999999993" customHeight="1" x14ac:dyDescent="0.2">
      <c r="B769" s="327"/>
      <c r="D769" s="327"/>
      <c r="F769" s="327"/>
      <c r="J769" s="327"/>
      <c r="L769" s="328"/>
    </row>
    <row r="770" spans="2:12" s="326" customFormat="1" ht="9.9499999999999993" customHeight="1" x14ac:dyDescent="0.2">
      <c r="B770" s="327"/>
      <c r="D770" s="327"/>
      <c r="F770" s="327"/>
      <c r="J770" s="327"/>
      <c r="L770" s="328"/>
    </row>
    <row r="771" spans="2:12" s="326" customFormat="1" ht="9.9499999999999993" customHeight="1" x14ac:dyDescent="0.2">
      <c r="B771" s="327"/>
      <c r="D771" s="327"/>
      <c r="F771" s="327"/>
      <c r="J771" s="327"/>
      <c r="L771" s="328"/>
    </row>
    <row r="772" spans="2:12" s="326" customFormat="1" ht="9.9499999999999993" customHeight="1" x14ac:dyDescent="0.2">
      <c r="B772" s="327"/>
      <c r="D772" s="327"/>
      <c r="F772" s="327"/>
      <c r="J772" s="327"/>
      <c r="L772" s="328"/>
    </row>
    <row r="773" spans="2:12" s="326" customFormat="1" ht="9.9499999999999993" customHeight="1" x14ac:dyDescent="0.2">
      <c r="B773" s="327"/>
      <c r="D773" s="327"/>
      <c r="F773" s="327"/>
      <c r="J773" s="327"/>
      <c r="L773" s="328"/>
    </row>
    <row r="774" spans="2:12" s="326" customFormat="1" ht="9.9499999999999993" customHeight="1" x14ac:dyDescent="0.2">
      <c r="B774" s="327"/>
      <c r="D774" s="327"/>
      <c r="F774" s="327"/>
      <c r="J774" s="327"/>
      <c r="L774" s="328"/>
    </row>
    <row r="775" spans="2:12" s="326" customFormat="1" ht="9.9499999999999993" customHeight="1" x14ac:dyDescent="0.2">
      <c r="B775" s="327"/>
      <c r="D775" s="327"/>
      <c r="F775" s="327"/>
      <c r="J775" s="327"/>
      <c r="L775" s="328"/>
    </row>
    <row r="776" spans="2:12" s="326" customFormat="1" ht="9.9499999999999993" customHeight="1" x14ac:dyDescent="0.2">
      <c r="B776" s="327"/>
      <c r="D776" s="327"/>
      <c r="F776" s="327"/>
      <c r="J776" s="327"/>
      <c r="L776" s="328"/>
    </row>
    <row r="777" spans="2:12" s="326" customFormat="1" ht="9.9499999999999993" customHeight="1" x14ac:dyDescent="0.2">
      <c r="B777" s="327"/>
      <c r="D777" s="327"/>
      <c r="F777" s="327"/>
      <c r="J777" s="327"/>
      <c r="L777" s="328"/>
    </row>
    <row r="778" spans="2:12" s="326" customFormat="1" ht="9.9499999999999993" customHeight="1" x14ac:dyDescent="0.2">
      <c r="B778" s="327"/>
      <c r="D778" s="327"/>
      <c r="F778" s="327"/>
      <c r="J778" s="327"/>
      <c r="L778" s="328"/>
    </row>
    <row r="779" spans="2:12" s="326" customFormat="1" ht="9.9499999999999993" customHeight="1" x14ac:dyDescent="0.2">
      <c r="B779" s="327"/>
      <c r="D779" s="327"/>
      <c r="F779" s="327"/>
      <c r="J779" s="327"/>
      <c r="L779" s="328"/>
    </row>
    <row r="780" spans="2:12" s="326" customFormat="1" ht="9.9499999999999993" customHeight="1" x14ac:dyDescent="0.2">
      <c r="B780" s="327"/>
      <c r="D780" s="327"/>
      <c r="F780" s="327"/>
      <c r="J780" s="327"/>
      <c r="L780" s="328"/>
    </row>
    <row r="781" spans="2:12" s="326" customFormat="1" ht="9.9499999999999993" customHeight="1" x14ac:dyDescent="0.2">
      <c r="B781" s="327"/>
      <c r="D781" s="327"/>
      <c r="F781" s="327"/>
      <c r="J781" s="327"/>
      <c r="L781" s="328"/>
    </row>
    <row r="782" spans="2:12" s="326" customFormat="1" ht="9.9499999999999993" customHeight="1" x14ac:dyDescent="0.2">
      <c r="B782" s="327"/>
      <c r="D782" s="327"/>
      <c r="F782" s="327"/>
      <c r="J782" s="327"/>
      <c r="L782" s="328"/>
    </row>
    <row r="783" spans="2:12" s="326" customFormat="1" ht="9.9499999999999993" customHeight="1" x14ac:dyDescent="0.2">
      <c r="B783" s="327"/>
      <c r="D783" s="327"/>
      <c r="F783" s="327"/>
      <c r="J783" s="327"/>
      <c r="L783" s="328"/>
    </row>
    <row r="784" spans="2:12" s="326" customFormat="1" ht="9.9499999999999993" customHeight="1" x14ac:dyDescent="0.2">
      <c r="B784" s="327"/>
      <c r="D784" s="327"/>
      <c r="F784" s="327"/>
      <c r="J784" s="327"/>
      <c r="L784" s="328"/>
    </row>
    <row r="785" spans="2:12" s="326" customFormat="1" ht="9.9499999999999993" customHeight="1" x14ac:dyDescent="0.2">
      <c r="B785" s="327"/>
      <c r="D785" s="327"/>
      <c r="F785" s="327"/>
      <c r="J785" s="327"/>
      <c r="L785" s="328"/>
    </row>
    <row r="786" spans="2:12" s="326" customFormat="1" ht="9.9499999999999993" customHeight="1" x14ac:dyDescent="0.2">
      <c r="B786" s="327"/>
      <c r="D786" s="327"/>
      <c r="F786" s="327"/>
      <c r="J786" s="327"/>
      <c r="L786" s="328"/>
    </row>
    <row r="787" spans="2:12" s="326" customFormat="1" ht="9.9499999999999993" customHeight="1" x14ac:dyDescent="0.2">
      <c r="B787" s="327"/>
      <c r="D787" s="327"/>
      <c r="F787" s="327"/>
      <c r="J787" s="327"/>
      <c r="L787" s="328"/>
    </row>
    <row r="788" spans="2:12" s="326" customFormat="1" ht="9.9499999999999993" customHeight="1" x14ac:dyDescent="0.2">
      <c r="B788" s="327"/>
      <c r="D788" s="327"/>
      <c r="F788" s="327"/>
      <c r="J788" s="327"/>
      <c r="L788" s="328"/>
    </row>
    <row r="789" spans="2:12" s="326" customFormat="1" ht="9.9499999999999993" customHeight="1" x14ac:dyDescent="0.2">
      <c r="B789" s="327"/>
      <c r="D789" s="327"/>
      <c r="F789" s="327"/>
      <c r="J789" s="327"/>
      <c r="L789" s="328"/>
    </row>
    <row r="790" spans="2:12" s="326" customFormat="1" ht="9.9499999999999993" customHeight="1" x14ac:dyDescent="0.2">
      <c r="B790" s="327"/>
      <c r="D790" s="327"/>
      <c r="F790" s="327"/>
      <c r="J790" s="327"/>
      <c r="L790" s="328"/>
    </row>
    <row r="791" spans="2:12" s="326" customFormat="1" ht="9.9499999999999993" customHeight="1" x14ac:dyDescent="0.2">
      <c r="B791" s="327"/>
      <c r="D791" s="327"/>
      <c r="F791" s="327"/>
      <c r="J791" s="327"/>
      <c r="L791" s="328"/>
    </row>
    <row r="792" spans="2:12" s="326" customFormat="1" ht="9.9499999999999993" customHeight="1" x14ac:dyDescent="0.2">
      <c r="B792" s="327"/>
      <c r="D792" s="327"/>
      <c r="F792" s="327"/>
      <c r="J792" s="327"/>
      <c r="L792" s="328"/>
    </row>
    <row r="793" spans="2:12" s="326" customFormat="1" ht="9.9499999999999993" customHeight="1" x14ac:dyDescent="0.2">
      <c r="B793" s="327"/>
      <c r="D793" s="327"/>
      <c r="F793" s="327"/>
      <c r="J793" s="327"/>
      <c r="L793" s="328"/>
    </row>
    <row r="794" spans="2:12" s="326" customFormat="1" ht="9.9499999999999993" customHeight="1" x14ac:dyDescent="0.2">
      <c r="B794" s="327"/>
      <c r="D794" s="327"/>
      <c r="F794" s="327"/>
      <c r="J794" s="327"/>
      <c r="L794" s="328"/>
    </row>
    <row r="795" spans="2:12" s="326" customFormat="1" ht="9.9499999999999993" customHeight="1" x14ac:dyDescent="0.2">
      <c r="B795" s="327"/>
      <c r="D795" s="327"/>
      <c r="F795" s="327"/>
      <c r="J795" s="327"/>
      <c r="L795" s="328"/>
    </row>
    <row r="796" spans="2:12" s="326" customFormat="1" ht="9.9499999999999993" customHeight="1" x14ac:dyDescent="0.2">
      <c r="B796" s="327"/>
      <c r="D796" s="327"/>
      <c r="F796" s="327"/>
      <c r="J796" s="327"/>
      <c r="L796" s="328"/>
    </row>
    <row r="797" spans="2:12" s="326" customFormat="1" ht="9.9499999999999993" customHeight="1" x14ac:dyDescent="0.2">
      <c r="B797" s="327"/>
      <c r="D797" s="327"/>
      <c r="F797" s="327"/>
      <c r="J797" s="327"/>
      <c r="L797" s="328"/>
    </row>
    <row r="798" spans="2:12" s="326" customFormat="1" ht="9.9499999999999993" customHeight="1" x14ac:dyDescent="0.2">
      <c r="B798" s="327"/>
      <c r="D798" s="327"/>
      <c r="F798" s="327"/>
      <c r="J798" s="327"/>
      <c r="L798" s="328"/>
    </row>
    <row r="799" spans="2:12" s="326" customFormat="1" ht="9.9499999999999993" customHeight="1" x14ac:dyDescent="0.2">
      <c r="B799" s="327"/>
      <c r="D799" s="327"/>
      <c r="F799" s="327"/>
      <c r="J799" s="327"/>
      <c r="L799" s="328"/>
    </row>
    <row r="800" spans="2:12" s="326" customFormat="1" ht="9.9499999999999993" customHeight="1" x14ac:dyDescent="0.2">
      <c r="B800" s="327"/>
      <c r="D800" s="327"/>
      <c r="F800" s="327"/>
      <c r="J800" s="327"/>
      <c r="L800" s="328"/>
    </row>
    <row r="801" spans="2:12" s="326" customFormat="1" ht="9.9499999999999993" customHeight="1" x14ac:dyDescent="0.2">
      <c r="B801" s="327"/>
      <c r="D801" s="327"/>
      <c r="F801" s="327"/>
      <c r="J801" s="327"/>
      <c r="L801" s="328"/>
    </row>
    <row r="802" spans="2:12" s="326" customFormat="1" ht="9.9499999999999993" customHeight="1" x14ac:dyDescent="0.2">
      <c r="B802" s="327"/>
      <c r="D802" s="327"/>
      <c r="F802" s="327"/>
      <c r="J802" s="327"/>
      <c r="L802" s="328"/>
    </row>
    <row r="803" spans="2:12" s="326" customFormat="1" ht="9.9499999999999993" customHeight="1" x14ac:dyDescent="0.2">
      <c r="B803" s="327"/>
      <c r="D803" s="327"/>
      <c r="F803" s="327"/>
      <c r="J803" s="327"/>
      <c r="L803" s="328"/>
    </row>
    <row r="804" spans="2:12" s="326" customFormat="1" ht="9.9499999999999993" customHeight="1" x14ac:dyDescent="0.2">
      <c r="B804" s="327"/>
      <c r="D804" s="327"/>
      <c r="F804" s="327"/>
      <c r="J804" s="327"/>
      <c r="L804" s="328"/>
    </row>
    <row r="805" spans="2:12" s="326" customFormat="1" ht="9.9499999999999993" customHeight="1" x14ac:dyDescent="0.2">
      <c r="B805" s="327"/>
      <c r="D805" s="327"/>
      <c r="F805" s="327"/>
      <c r="J805" s="327"/>
      <c r="L805" s="328"/>
    </row>
    <row r="806" spans="2:12" s="326" customFormat="1" ht="9.9499999999999993" customHeight="1" x14ac:dyDescent="0.2">
      <c r="B806" s="327"/>
      <c r="D806" s="327"/>
      <c r="F806" s="327"/>
      <c r="J806" s="327"/>
      <c r="L806" s="328"/>
    </row>
    <row r="807" spans="2:12" s="326" customFormat="1" ht="9.9499999999999993" customHeight="1" x14ac:dyDescent="0.2">
      <c r="B807" s="327"/>
      <c r="D807" s="327"/>
      <c r="F807" s="327"/>
      <c r="J807" s="327"/>
      <c r="L807" s="328"/>
    </row>
    <row r="808" spans="2:12" s="326" customFormat="1" ht="9.9499999999999993" customHeight="1" x14ac:dyDescent="0.2">
      <c r="B808" s="327"/>
      <c r="D808" s="327"/>
      <c r="F808" s="327"/>
      <c r="J808" s="327"/>
      <c r="L808" s="328"/>
    </row>
    <row r="809" spans="2:12" s="326" customFormat="1" ht="9.9499999999999993" customHeight="1" x14ac:dyDescent="0.2">
      <c r="B809" s="327"/>
      <c r="D809" s="327"/>
      <c r="F809" s="327"/>
      <c r="J809" s="327"/>
      <c r="L809" s="328"/>
    </row>
    <row r="810" spans="2:12" s="326" customFormat="1" ht="9.9499999999999993" customHeight="1" x14ac:dyDescent="0.2">
      <c r="B810" s="327"/>
      <c r="D810" s="327"/>
      <c r="F810" s="327"/>
      <c r="J810" s="327"/>
      <c r="L810" s="328"/>
    </row>
    <row r="811" spans="2:12" s="326" customFormat="1" ht="9.9499999999999993" customHeight="1" x14ac:dyDescent="0.2">
      <c r="B811" s="327"/>
      <c r="D811" s="327"/>
      <c r="F811" s="327"/>
      <c r="J811" s="327"/>
      <c r="L811" s="328"/>
    </row>
    <row r="812" spans="2:12" s="326" customFormat="1" ht="9.9499999999999993" customHeight="1" x14ac:dyDescent="0.2">
      <c r="B812" s="327"/>
      <c r="D812" s="327"/>
      <c r="F812" s="327"/>
      <c r="J812" s="327"/>
      <c r="L812" s="328"/>
    </row>
    <row r="813" spans="2:12" s="326" customFormat="1" ht="9.9499999999999993" customHeight="1" x14ac:dyDescent="0.2">
      <c r="B813" s="327"/>
      <c r="D813" s="327"/>
      <c r="F813" s="327"/>
      <c r="J813" s="327"/>
      <c r="L813" s="328"/>
    </row>
    <row r="814" spans="2:12" s="326" customFormat="1" ht="9.9499999999999993" customHeight="1" x14ac:dyDescent="0.2">
      <c r="B814" s="327"/>
      <c r="D814" s="327"/>
      <c r="F814" s="327"/>
      <c r="J814" s="327"/>
      <c r="L814" s="328"/>
    </row>
    <row r="815" spans="2:12" s="326" customFormat="1" ht="9.9499999999999993" customHeight="1" x14ac:dyDescent="0.2">
      <c r="B815" s="327"/>
      <c r="D815" s="327"/>
      <c r="F815" s="327"/>
      <c r="J815" s="327"/>
      <c r="L815" s="328"/>
    </row>
    <row r="816" spans="2:12" s="326" customFormat="1" ht="9.9499999999999993" customHeight="1" x14ac:dyDescent="0.2">
      <c r="B816" s="327"/>
      <c r="D816" s="327"/>
      <c r="F816" s="327"/>
      <c r="J816" s="327"/>
      <c r="L816" s="328"/>
    </row>
    <row r="817" spans="2:12" s="326" customFormat="1" ht="9.9499999999999993" customHeight="1" x14ac:dyDescent="0.2">
      <c r="B817" s="327"/>
      <c r="D817" s="327"/>
      <c r="F817" s="327"/>
      <c r="J817" s="327"/>
      <c r="L817" s="328"/>
    </row>
    <row r="818" spans="2:12" s="326" customFormat="1" ht="9.9499999999999993" customHeight="1" x14ac:dyDescent="0.2">
      <c r="B818" s="327"/>
      <c r="D818" s="327"/>
      <c r="F818" s="327"/>
      <c r="J818" s="327"/>
      <c r="L818" s="328"/>
    </row>
    <row r="819" spans="2:12" s="326" customFormat="1" ht="9.9499999999999993" customHeight="1" x14ac:dyDescent="0.2">
      <c r="B819" s="327"/>
      <c r="D819" s="327"/>
      <c r="F819" s="327"/>
      <c r="J819" s="327"/>
      <c r="L819" s="328"/>
    </row>
    <row r="820" spans="2:12" s="326" customFormat="1" ht="9.9499999999999993" customHeight="1" x14ac:dyDescent="0.2">
      <c r="B820" s="327"/>
      <c r="D820" s="327"/>
      <c r="F820" s="327"/>
      <c r="J820" s="327"/>
      <c r="L820" s="328"/>
    </row>
    <row r="821" spans="2:12" s="326" customFormat="1" ht="9.9499999999999993" customHeight="1" x14ac:dyDescent="0.2">
      <c r="B821" s="327"/>
      <c r="D821" s="327"/>
      <c r="F821" s="327"/>
      <c r="J821" s="327"/>
      <c r="L821" s="328"/>
    </row>
    <row r="822" spans="2:12" s="326" customFormat="1" ht="9.9499999999999993" customHeight="1" x14ac:dyDescent="0.2">
      <c r="B822" s="327"/>
      <c r="D822" s="327"/>
      <c r="F822" s="327"/>
      <c r="J822" s="327"/>
      <c r="L822" s="328"/>
    </row>
    <row r="823" spans="2:12" s="326" customFormat="1" ht="9.9499999999999993" customHeight="1" x14ac:dyDescent="0.2">
      <c r="B823" s="327"/>
      <c r="D823" s="327"/>
      <c r="F823" s="327"/>
      <c r="J823" s="327"/>
      <c r="L823" s="328"/>
    </row>
    <row r="824" spans="2:12" s="326" customFormat="1" ht="9.9499999999999993" customHeight="1" x14ac:dyDescent="0.2">
      <c r="B824" s="327"/>
      <c r="D824" s="327"/>
      <c r="F824" s="327"/>
      <c r="J824" s="327"/>
      <c r="L824" s="328"/>
    </row>
    <row r="825" spans="2:12" s="326" customFormat="1" ht="9.9499999999999993" customHeight="1" x14ac:dyDescent="0.2">
      <c r="B825" s="327"/>
      <c r="D825" s="327"/>
      <c r="F825" s="327"/>
      <c r="J825" s="327"/>
      <c r="L825" s="328"/>
    </row>
    <row r="826" spans="2:12" s="326" customFormat="1" ht="9.9499999999999993" customHeight="1" x14ac:dyDescent="0.2">
      <c r="B826" s="327"/>
      <c r="D826" s="327"/>
      <c r="F826" s="327"/>
      <c r="J826" s="327"/>
      <c r="L826" s="328"/>
    </row>
    <row r="827" spans="2:12" s="326" customFormat="1" ht="9.9499999999999993" customHeight="1" x14ac:dyDescent="0.2">
      <c r="B827" s="327"/>
      <c r="D827" s="327"/>
      <c r="F827" s="327"/>
      <c r="J827" s="327"/>
      <c r="L827" s="328"/>
    </row>
    <row r="828" spans="2:12" s="326" customFormat="1" ht="9.9499999999999993" customHeight="1" x14ac:dyDescent="0.2">
      <c r="B828" s="327"/>
      <c r="D828" s="327"/>
      <c r="F828" s="327"/>
      <c r="J828" s="327"/>
      <c r="L828" s="328"/>
    </row>
    <row r="829" spans="2:12" s="326" customFormat="1" ht="9.9499999999999993" customHeight="1" x14ac:dyDescent="0.2">
      <c r="B829" s="327"/>
      <c r="D829" s="327"/>
      <c r="F829" s="327"/>
      <c r="J829" s="327"/>
      <c r="L829" s="328"/>
    </row>
    <row r="830" spans="2:12" s="326" customFormat="1" ht="9.9499999999999993" customHeight="1" x14ac:dyDescent="0.2">
      <c r="B830" s="327"/>
      <c r="D830" s="327"/>
      <c r="F830" s="327"/>
      <c r="J830" s="327"/>
      <c r="L830" s="328"/>
    </row>
    <row r="831" spans="2:12" s="326" customFormat="1" ht="9.9499999999999993" customHeight="1" x14ac:dyDescent="0.2">
      <c r="B831" s="327"/>
      <c r="D831" s="327"/>
      <c r="F831" s="327"/>
      <c r="J831" s="327"/>
      <c r="L831" s="328"/>
    </row>
    <row r="832" spans="2:12" s="326" customFormat="1" ht="9.9499999999999993" customHeight="1" x14ac:dyDescent="0.2">
      <c r="B832" s="327"/>
      <c r="D832" s="327"/>
      <c r="F832" s="327"/>
      <c r="J832" s="327"/>
      <c r="L832" s="328"/>
    </row>
    <row r="833" spans="2:12" s="326" customFormat="1" ht="9.9499999999999993" customHeight="1" x14ac:dyDescent="0.2">
      <c r="B833" s="327"/>
      <c r="D833" s="327"/>
      <c r="F833" s="327"/>
      <c r="J833" s="327"/>
      <c r="L833" s="328"/>
    </row>
    <row r="834" spans="2:12" s="326" customFormat="1" ht="9.9499999999999993" customHeight="1" x14ac:dyDescent="0.2">
      <c r="B834" s="327"/>
      <c r="D834" s="327"/>
      <c r="F834" s="327"/>
      <c r="J834" s="327"/>
      <c r="L834" s="328"/>
    </row>
    <row r="835" spans="2:12" s="326" customFormat="1" ht="9.9499999999999993" customHeight="1" x14ac:dyDescent="0.2">
      <c r="B835" s="327"/>
      <c r="D835" s="327"/>
      <c r="F835" s="327"/>
      <c r="J835" s="327"/>
      <c r="L835" s="328"/>
    </row>
    <row r="836" spans="2:12" s="326" customFormat="1" ht="9.9499999999999993" customHeight="1" x14ac:dyDescent="0.2">
      <c r="B836" s="327"/>
      <c r="D836" s="327"/>
      <c r="F836" s="327"/>
      <c r="J836" s="327"/>
      <c r="L836" s="328"/>
    </row>
    <row r="837" spans="2:12" s="326" customFormat="1" ht="9.9499999999999993" customHeight="1" x14ac:dyDescent="0.2">
      <c r="B837" s="327"/>
      <c r="D837" s="327"/>
      <c r="F837" s="327"/>
      <c r="J837" s="327"/>
      <c r="L837" s="328"/>
    </row>
    <row r="838" spans="2:12" s="326" customFormat="1" ht="9.9499999999999993" customHeight="1" x14ac:dyDescent="0.2">
      <c r="B838" s="327"/>
      <c r="D838" s="327"/>
      <c r="F838" s="327"/>
      <c r="J838" s="327"/>
      <c r="L838" s="328"/>
    </row>
    <row r="839" spans="2:12" s="326" customFormat="1" ht="9.9499999999999993" customHeight="1" x14ac:dyDescent="0.2">
      <c r="B839" s="327"/>
      <c r="D839" s="327"/>
      <c r="F839" s="327"/>
      <c r="J839" s="327"/>
      <c r="L839" s="328"/>
    </row>
    <row r="840" spans="2:12" s="326" customFormat="1" ht="9.9499999999999993" customHeight="1" x14ac:dyDescent="0.2">
      <c r="B840" s="327"/>
      <c r="D840" s="327"/>
      <c r="F840" s="327"/>
      <c r="J840" s="327"/>
      <c r="L840" s="328"/>
    </row>
    <row r="841" spans="2:12" s="326" customFormat="1" ht="9.9499999999999993" customHeight="1" x14ac:dyDescent="0.2">
      <c r="B841" s="327"/>
      <c r="D841" s="327"/>
      <c r="F841" s="327"/>
      <c r="J841" s="327"/>
      <c r="L841" s="328"/>
    </row>
    <row r="842" spans="2:12" s="326" customFormat="1" ht="9.9499999999999993" customHeight="1" x14ac:dyDescent="0.2">
      <c r="B842" s="327"/>
      <c r="D842" s="327"/>
      <c r="F842" s="327"/>
      <c r="J842" s="327"/>
      <c r="L842" s="328"/>
    </row>
    <row r="843" spans="2:12" s="326" customFormat="1" ht="9.9499999999999993" customHeight="1" x14ac:dyDescent="0.2">
      <c r="B843" s="327"/>
      <c r="D843" s="327"/>
      <c r="F843" s="327"/>
      <c r="J843" s="327"/>
      <c r="L843" s="328"/>
    </row>
    <row r="844" spans="2:12" s="326" customFormat="1" ht="9.9499999999999993" customHeight="1" x14ac:dyDescent="0.2">
      <c r="B844" s="327"/>
      <c r="D844" s="327"/>
      <c r="F844" s="327"/>
      <c r="J844" s="327"/>
      <c r="L844" s="328"/>
    </row>
    <row r="845" spans="2:12" s="326" customFormat="1" ht="9.9499999999999993" customHeight="1" x14ac:dyDescent="0.2">
      <c r="B845" s="327"/>
      <c r="D845" s="327"/>
      <c r="F845" s="327"/>
      <c r="J845" s="327"/>
      <c r="L845" s="328"/>
    </row>
    <row r="846" spans="2:12" s="326" customFormat="1" ht="9.9499999999999993" customHeight="1" x14ac:dyDescent="0.2">
      <c r="B846" s="327"/>
      <c r="D846" s="327"/>
      <c r="F846" s="327"/>
      <c r="J846" s="327"/>
      <c r="L846" s="328"/>
    </row>
    <row r="847" spans="2:12" s="326" customFormat="1" ht="9.9499999999999993" customHeight="1" x14ac:dyDescent="0.2">
      <c r="B847" s="327"/>
      <c r="D847" s="327"/>
      <c r="F847" s="327"/>
      <c r="J847" s="327"/>
      <c r="L847" s="328"/>
    </row>
    <row r="848" spans="2:12" s="326" customFormat="1" ht="9.9499999999999993" customHeight="1" x14ac:dyDescent="0.2">
      <c r="B848" s="327"/>
      <c r="D848" s="327"/>
      <c r="F848" s="327"/>
      <c r="J848" s="327"/>
      <c r="L848" s="328"/>
    </row>
    <row r="849" spans="2:12" s="326" customFormat="1" ht="9.9499999999999993" customHeight="1" x14ac:dyDescent="0.2">
      <c r="B849" s="327"/>
      <c r="D849" s="327"/>
      <c r="F849" s="327"/>
      <c r="J849" s="327"/>
      <c r="L849" s="328"/>
    </row>
    <row r="850" spans="2:12" s="326" customFormat="1" ht="9.9499999999999993" customHeight="1" x14ac:dyDescent="0.2">
      <c r="B850" s="327"/>
      <c r="D850" s="327"/>
      <c r="F850" s="327"/>
      <c r="J850" s="327"/>
      <c r="L850" s="328"/>
    </row>
    <row r="851" spans="2:12" s="326" customFormat="1" ht="9.9499999999999993" customHeight="1" x14ac:dyDescent="0.2">
      <c r="B851" s="327"/>
      <c r="D851" s="327"/>
      <c r="F851" s="327"/>
      <c r="J851" s="327"/>
      <c r="L851" s="328"/>
    </row>
    <row r="852" spans="2:12" s="326" customFormat="1" ht="9.9499999999999993" customHeight="1" x14ac:dyDescent="0.2">
      <c r="B852" s="327"/>
      <c r="D852" s="327"/>
      <c r="F852" s="327"/>
      <c r="J852" s="327"/>
      <c r="L852" s="328"/>
    </row>
    <row r="853" spans="2:12" s="326" customFormat="1" ht="9.9499999999999993" customHeight="1" x14ac:dyDescent="0.2">
      <c r="B853" s="327"/>
      <c r="D853" s="327"/>
      <c r="F853" s="327"/>
      <c r="J853" s="327"/>
      <c r="L853" s="328"/>
    </row>
    <row r="854" spans="2:12" s="326" customFormat="1" ht="9.9499999999999993" customHeight="1" x14ac:dyDescent="0.2">
      <c r="B854" s="327"/>
      <c r="D854" s="327"/>
      <c r="F854" s="327"/>
      <c r="J854" s="327"/>
      <c r="L854" s="328"/>
    </row>
  </sheetData>
  <mergeCells count="2">
    <mergeCell ref="A1:K1"/>
    <mergeCell ref="A98:K98"/>
  </mergeCells>
  <phoneticPr fontId="9" type="noConversion"/>
  <printOptions horizontalCentered="1"/>
  <pageMargins left="0.5" right="0.5" top="0.5" bottom="0.625" header="0.5" footer="0.5"/>
  <pageSetup scale="95" fitToHeight="2" orientation="portrait" r:id="rId1"/>
  <headerFooter alignWithMargins="0"/>
  <rowBreaks count="1" manualBreakCount="1">
    <brk id="97" max="1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tabColor theme="6" tint="0.39997558519241921"/>
  </sheetPr>
  <dimension ref="A1:Z795"/>
  <sheetViews>
    <sheetView view="pageBreakPreview" topLeftCell="A2" zoomScaleNormal="100" workbookViewId="0">
      <selection activeCell="Z13" activeCellId="3" sqref="Z18 Z17 Z15 Z13"/>
    </sheetView>
  </sheetViews>
  <sheetFormatPr defaultColWidth="9.140625" defaultRowHeight="9.9499999999999993" customHeight="1" x14ac:dyDescent="0.2"/>
  <cols>
    <col min="1" max="1" width="31.42578125" style="314" customWidth="1"/>
    <col min="2" max="2" width="1.5703125" style="329" customWidth="1"/>
    <col min="3" max="3" width="16.42578125" style="314" customWidth="1"/>
    <col min="4" max="4" width="1.5703125" style="329" customWidth="1"/>
    <col min="5" max="5" width="16.42578125" style="314" customWidth="1"/>
    <col min="6" max="6" width="1.5703125" style="329" customWidth="1"/>
    <col min="7" max="7" width="16.42578125" style="314" customWidth="1"/>
    <col min="8" max="8" width="1.5703125" style="329" hidden="1" customWidth="1"/>
    <col min="9" max="9" width="16.42578125" style="314" hidden="1" customWidth="1"/>
    <col min="10" max="10" width="1.5703125" style="329" customWidth="1"/>
    <col min="11" max="11" width="16.42578125" style="314" customWidth="1"/>
    <col min="12" max="12" width="9.140625" style="314"/>
    <col min="13" max="13" width="10.5703125" style="759" bestFit="1" customWidth="1"/>
    <col min="14" max="16384" width="9.140625" style="314"/>
  </cols>
  <sheetData>
    <row r="1" spans="1:16" s="462" customFormat="1" ht="16.5" customHeight="1" thickBot="1" x14ac:dyDescent="0.25">
      <c r="A1" s="1582" t="s">
        <v>1033</v>
      </c>
      <c r="B1" s="1582"/>
      <c r="C1" s="1582"/>
      <c r="D1" s="1582"/>
      <c r="E1" s="1582"/>
      <c r="F1" s="1582"/>
      <c r="G1" s="1582"/>
      <c r="H1" s="1582"/>
      <c r="I1" s="1582"/>
      <c r="J1" s="1582"/>
      <c r="K1" s="1582"/>
      <c r="M1" s="751"/>
    </row>
    <row r="2" spans="1:16" s="531" customFormat="1" ht="15" customHeight="1" x14ac:dyDescent="0.2">
      <c r="A2" s="700" t="s">
        <v>1777</v>
      </c>
      <c r="B2" s="713"/>
      <c r="C2" s="713"/>
      <c r="D2" s="713"/>
      <c r="E2" s="713"/>
      <c r="F2" s="713"/>
      <c r="G2" s="713"/>
      <c r="H2" s="713"/>
      <c r="I2" s="713"/>
      <c r="J2" s="719"/>
      <c r="K2" s="719"/>
      <c r="M2" s="752"/>
    </row>
    <row r="3" spans="1:16" s="531" customFormat="1" ht="15" customHeight="1" x14ac:dyDescent="0.2">
      <c r="A3" s="700" t="s">
        <v>1025</v>
      </c>
      <c r="B3" s="713"/>
      <c r="C3" s="713"/>
      <c r="D3" s="713"/>
      <c r="E3" s="713"/>
      <c r="F3" s="713"/>
      <c r="G3" s="713"/>
      <c r="H3" s="713"/>
      <c r="I3" s="713"/>
      <c r="J3" s="719"/>
      <c r="K3" s="719"/>
      <c r="M3" s="752"/>
    </row>
    <row r="4" spans="1:16" s="532" customFormat="1" ht="12.95" customHeight="1" x14ac:dyDescent="0.2">
      <c r="A4" s="1579" t="s">
        <v>1725</v>
      </c>
      <c r="B4" s="1579"/>
      <c r="C4" s="1579"/>
      <c r="D4" s="1579"/>
      <c r="E4" s="1579"/>
      <c r="F4" s="1579"/>
      <c r="G4" s="1579"/>
      <c r="H4" s="506"/>
      <c r="I4" s="506"/>
      <c r="J4" s="536"/>
      <c r="K4" s="536"/>
      <c r="M4" s="753"/>
    </row>
    <row r="5" spans="1:16" s="253" customFormat="1" ht="12" customHeight="1" x14ac:dyDescent="0.2">
      <c r="A5" s="253" t="s">
        <v>972</v>
      </c>
      <c r="B5" s="725"/>
      <c r="D5" s="725"/>
      <c r="F5" s="725"/>
      <c r="H5" s="725"/>
      <c r="I5" s="725"/>
      <c r="M5" s="679"/>
    </row>
    <row r="6" spans="1:16" s="508" customFormat="1" ht="12.6" customHeight="1" x14ac:dyDescent="0.2">
      <c r="A6" s="507"/>
      <c r="B6" s="948"/>
      <c r="C6" s="948"/>
      <c r="D6" s="507"/>
      <c r="E6" s="507"/>
      <c r="F6" s="507"/>
      <c r="G6" s="507"/>
      <c r="H6" s="507"/>
      <c r="I6" s="507"/>
      <c r="M6" s="754"/>
    </row>
    <row r="7" spans="1:16" s="212" customFormat="1" ht="12.6" customHeight="1" x14ac:dyDescent="0.2">
      <c r="A7" s="458"/>
      <c r="H7" s="458"/>
      <c r="K7" s="310" t="s">
        <v>671</v>
      </c>
      <c r="M7" s="755"/>
    </row>
    <row r="8" spans="1:16" s="212" customFormat="1" ht="12.6" customHeight="1" x14ac:dyDescent="0.2">
      <c r="A8" s="458"/>
      <c r="B8" s="336"/>
      <c r="C8" s="310"/>
      <c r="D8" s="336"/>
      <c r="E8" s="474"/>
      <c r="F8" s="336"/>
      <c r="G8" s="336"/>
      <c r="H8" s="458"/>
      <c r="I8" s="310"/>
      <c r="K8" s="310" t="s">
        <v>1064</v>
      </c>
      <c r="M8" s="755"/>
    </row>
    <row r="9" spans="1:16" s="336" customFormat="1" ht="12.6" customHeight="1" x14ac:dyDescent="0.2">
      <c r="C9" s="310" t="s">
        <v>439</v>
      </c>
      <c r="E9" s="310" t="s">
        <v>448</v>
      </c>
      <c r="G9" s="310" t="s">
        <v>837</v>
      </c>
      <c r="H9" s="310"/>
      <c r="I9" s="310" t="s">
        <v>842</v>
      </c>
      <c r="J9" s="310"/>
      <c r="K9" s="310" t="s">
        <v>57</v>
      </c>
      <c r="M9" s="756"/>
    </row>
    <row r="10" spans="1:16" s="336" customFormat="1" ht="12" customHeight="1" x14ac:dyDescent="0.2">
      <c r="C10" s="574" t="s">
        <v>838</v>
      </c>
      <c r="E10" s="310" t="s">
        <v>449</v>
      </c>
      <c r="G10" s="574" t="s">
        <v>59</v>
      </c>
      <c r="H10" s="360"/>
      <c r="I10" s="574" t="s">
        <v>228</v>
      </c>
      <c r="J10" s="360"/>
      <c r="K10" s="574" t="s">
        <v>864</v>
      </c>
      <c r="M10" s="756"/>
    </row>
    <row r="11" spans="1:16" s="317" customFormat="1" ht="9.9499999999999993" customHeight="1" x14ac:dyDescent="0.2">
      <c r="A11" s="480" t="s">
        <v>1018</v>
      </c>
      <c r="C11" s="481"/>
      <c r="E11" s="491"/>
      <c r="G11" s="481"/>
      <c r="I11" s="481"/>
      <c r="J11" s="253"/>
      <c r="K11" s="481"/>
      <c r="L11" s="253"/>
      <c r="M11" s="676"/>
      <c r="N11" s="480"/>
    </row>
    <row r="12" spans="1:16" s="317" customFormat="1" ht="9.9499999999999993" customHeight="1" x14ac:dyDescent="0.2">
      <c r="A12" s="577" t="s">
        <v>948</v>
      </c>
      <c r="B12" s="587"/>
      <c r="C12" s="791">
        <v>45911</v>
      </c>
      <c r="D12" s="587"/>
      <c r="E12" s="1505">
        <v>2310</v>
      </c>
      <c r="F12" s="587"/>
      <c r="G12" s="1505">
        <v>7534</v>
      </c>
      <c r="H12" s="1262"/>
      <c r="I12" s="791"/>
      <c r="J12" s="791"/>
      <c r="K12" s="1263">
        <f>SUM(C12:I12)</f>
        <v>55755</v>
      </c>
      <c r="L12" s="254"/>
      <c r="M12" s="805">
        <f>SUM(C12:I12)-K12</f>
        <v>0</v>
      </c>
      <c r="N12" s="577"/>
    </row>
    <row r="13" spans="1:16" s="317" customFormat="1" ht="5.0999999999999996" customHeight="1" x14ac:dyDescent="0.2">
      <c r="B13" s="587"/>
      <c r="C13" s="366"/>
      <c r="D13" s="587"/>
      <c r="E13" s="366"/>
      <c r="F13" s="587"/>
      <c r="G13" s="366"/>
      <c r="H13" s="323"/>
      <c r="I13" s="366"/>
      <c r="J13" s="254"/>
      <c r="K13" s="254"/>
      <c r="L13" s="254"/>
      <c r="M13" s="805">
        <f t="shared" ref="M13:M65" si="0">SUM(C13:I13)-K13</f>
        <v>0</v>
      </c>
      <c r="P13" s="317">
        <v>0</v>
      </c>
    </row>
    <row r="14" spans="1:16" s="253" customFormat="1" ht="11.1" customHeight="1" x14ac:dyDescent="0.2">
      <c r="A14" s="353" t="s">
        <v>372</v>
      </c>
      <c r="B14" s="587"/>
      <c r="C14" s="341">
        <f>SUM(C12)</f>
        <v>45911</v>
      </c>
      <c r="D14" s="587"/>
      <c r="E14" s="341">
        <f>SUM(E12)</f>
        <v>2310</v>
      </c>
      <c r="F14" s="587"/>
      <c r="G14" s="341">
        <f>SUM(G12)</f>
        <v>7534</v>
      </c>
      <c r="H14" s="324"/>
      <c r="I14" s="341">
        <f>SUM(I12:I12)</f>
        <v>0</v>
      </c>
      <c r="J14" s="273"/>
      <c r="K14" s="341">
        <f>SUM(K12:K12)</f>
        <v>55755</v>
      </c>
      <c r="L14" s="273"/>
      <c r="M14" s="805">
        <f t="shared" si="0"/>
        <v>0</v>
      </c>
      <c r="N14" s="353"/>
    </row>
    <row r="15" spans="1:16" s="317" customFormat="1" ht="5.0999999999999996" customHeight="1" x14ac:dyDescent="0.2">
      <c r="B15" s="587"/>
      <c r="C15" s="273"/>
      <c r="D15" s="587"/>
      <c r="E15" s="273"/>
      <c r="F15" s="587"/>
      <c r="G15" s="273"/>
      <c r="H15" s="324"/>
      <c r="I15" s="273"/>
      <c r="J15" s="273"/>
      <c r="K15" s="273"/>
      <c r="L15" s="273"/>
      <c r="M15" s="805">
        <f t="shared" si="0"/>
        <v>0</v>
      </c>
    </row>
    <row r="16" spans="1:16" s="317" customFormat="1" ht="9.9499999999999993" customHeight="1" x14ac:dyDescent="0.2">
      <c r="A16" s="480" t="s">
        <v>601</v>
      </c>
      <c r="B16" s="587"/>
      <c r="C16" s="273"/>
      <c r="D16" s="587"/>
      <c r="E16" s="273"/>
      <c r="F16" s="587"/>
      <c r="G16" s="273"/>
      <c r="H16" s="324"/>
      <c r="I16" s="273"/>
      <c r="J16" s="273"/>
      <c r="K16" s="273"/>
      <c r="L16" s="273"/>
      <c r="M16" s="805">
        <f t="shared" si="0"/>
        <v>0</v>
      </c>
      <c r="N16" s="480"/>
    </row>
    <row r="17" spans="1:14" s="317" customFormat="1" ht="9.9499999999999993" customHeight="1" x14ac:dyDescent="0.2">
      <c r="A17" s="577" t="s">
        <v>375</v>
      </c>
      <c r="B17" s="587"/>
      <c r="C17" s="273">
        <v>31747</v>
      </c>
      <c r="D17" s="587"/>
      <c r="E17" s="273">
        <v>351</v>
      </c>
      <c r="F17" s="587"/>
      <c r="G17" s="273">
        <v>5152</v>
      </c>
      <c r="H17" s="804"/>
      <c r="I17" s="487"/>
      <c r="J17" s="576"/>
      <c r="K17" s="273">
        <f t="shared" ref="K17:K23" si="1">SUM(C17:I17)</f>
        <v>37250</v>
      </c>
      <c r="L17" s="273"/>
      <c r="M17" s="805">
        <f t="shared" si="0"/>
        <v>0</v>
      </c>
      <c r="N17" s="577"/>
    </row>
    <row r="18" spans="1:14" s="317" customFormat="1" ht="9.9499999999999993" customHeight="1" x14ac:dyDescent="0.2">
      <c r="A18" s="577" t="s">
        <v>376</v>
      </c>
      <c r="B18" s="587"/>
      <c r="C18" s="273">
        <v>4132</v>
      </c>
      <c r="D18" s="587"/>
      <c r="E18" s="273">
        <v>1638</v>
      </c>
      <c r="F18" s="587"/>
      <c r="G18" s="273">
        <v>1958</v>
      </c>
      <c r="H18" s="804"/>
      <c r="I18" s="487"/>
      <c r="J18" s="576"/>
      <c r="K18" s="273">
        <f t="shared" si="1"/>
        <v>7728</v>
      </c>
      <c r="L18" s="273"/>
      <c r="M18" s="805">
        <f t="shared" si="0"/>
        <v>0</v>
      </c>
      <c r="N18" s="577"/>
    </row>
    <row r="19" spans="1:14" s="317" customFormat="1" ht="9.9499999999999993" customHeight="1" x14ac:dyDescent="0.2">
      <c r="A19" s="577" t="s">
        <v>377</v>
      </c>
      <c r="B19" s="587"/>
      <c r="C19" s="273">
        <v>836</v>
      </c>
      <c r="D19" s="587"/>
      <c r="E19" s="273">
        <v>39</v>
      </c>
      <c r="F19" s="587"/>
      <c r="G19" s="273">
        <v>343</v>
      </c>
      <c r="H19" s="804"/>
      <c r="I19" s="487"/>
      <c r="J19" s="576"/>
      <c r="K19" s="273">
        <f t="shared" si="1"/>
        <v>1218</v>
      </c>
      <c r="L19" s="273"/>
      <c r="M19" s="805">
        <f t="shared" si="0"/>
        <v>0</v>
      </c>
      <c r="N19" s="577"/>
    </row>
    <row r="20" spans="1:14" s="317" customFormat="1" ht="9.9499999999999993" hidden="1" customHeight="1" x14ac:dyDescent="0.2">
      <c r="A20" s="577" t="s">
        <v>1131</v>
      </c>
      <c r="B20" s="587"/>
      <c r="C20" s="273"/>
      <c r="D20" s="587"/>
      <c r="E20" s="273"/>
      <c r="F20" s="587"/>
      <c r="G20" s="273"/>
      <c r="H20" s="804"/>
      <c r="I20" s="487"/>
      <c r="J20" s="576"/>
      <c r="K20" s="273">
        <f t="shared" si="1"/>
        <v>0</v>
      </c>
      <c r="L20" s="273"/>
      <c r="M20" s="805">
        <f t="shared" si="0"/>
        <v>0</v>
      </c>
      <c r="N20" s="577"/>
    </row>
    <row r="21" spans="1:14" s="317" customFormat="1" ht="9.9499999999999993" hidden="1" customHeight="1" x14ac:dyDescent="0.2">
      <c r="A21" s="577" t="s">
        <v>367</v>
      </c>
      <c r="B21" s="587"/>
      <c r="C21" s="273"/>
      <c r="D21" s="587"/>
      <c r="E21" s="273"/>
      <c r="F21" s="587"/>
      <c r="G21" s="273"/>
      <c r="H21" s="804"/>
      <c r="I21" s="487"/>
      <c r="J21" s="576"/>
      <c r="K21" s="273">
        <f t="shared" si="1"/>
        <v>0</v>
      </c>
      <c r="L21" s="273"/>
      <c r="M21" s="805">
        <f t="shared" si="0"/>
        <v>0</v>
      </c>
      <c r="N21" s="577"/>
    </row>
    <row r="22" spans="1:14" s="317" customFormat="1" ht="9.9499999999999993" customHeight="1" x14ac:dyDescent="0.2">
      <c r="A22" s="577" t="s">
        <v>678</v>
      </c>
      <c r="B22" s="587"/>
      <c r="C22" s="273">
        <v>9478</v>
      </c>
      <c r="D22" s="587"/>
      <c r="E22" s="273">
        <v>423</v>
      </c>
      <c r="F22" s="587"/>
      <c r="G22" s="273">
        <f>1334-3</f>
        <v>1331</v>
      </c>
      <c r="H22" s="804"/>
      <c r="I22" s="487"/>
      <c r="J22" s="576"/>
      <c r="K22" s="273">
        <f t="shared" si="1"/>
        <v>11232</v>
      </c>
      <c r="L22" s="273"/>
      <c r="M22" s="805">
        <f t="shared" si="0"/>
        <v>0</v>
      </c>
      <c r="N22" s="577"/>
    </row>
    <row r="23" spans="1:14" s="317" customFormat="1" ht="9.9499999999999993" customHeight="1" x14ac:dyDescent="0.2">
      <c r="A23" s="577" t="s">
        <v>378</v>
      </c>
      <c r="B23" s="587"/>
      <c r="C23" s="273">
        <v>3371</v>
      </c>
      <c r="D23" s="587"/>
      <c r="E23" s="273">
        <v>443</v>
      </c>
      <c r="F23" s="587"/>
      <c r="G23" s="273">
        <v>839</v>
      </c>
      <c r="H23" s="804"/>
      <c r="I23" s="487"/>
      <c r="J23" s="576"/>
      <c r="K23" s="273">
        <f t="shared" si="1"/>
        <v>4653</v>
      </c>
      <c r="L23" s="273"/>
      <c r="M23" s="805">
        <f t="shared" si="0"/>
        <v>0</v>
      </c>
      <c r="N23" s="577"/>
    </row>
    <row r="24" spans="1:14" s="317" customFormat="1" ht="5.0999999999999996" customHeight="1" x14ac:dyDescent="0.2">
      <c r="B24" s="587"/>
      <c r="C24" s="366"/>
      <c r="D24" s="587"/>
      <c r="E24" s="340"/>
      <c r="F24" s="587"/>
      <c r="G24" s="340"/>
      <c r="H24" s="324"/>
      <c r="I24" s="340"/>
      <c r="J24" s="273"/>
      <c r="K24" s="340"/>
      <c r="L24" s="273"/>
      <c r="M24" s="805">
        <f t="shared" si="0"/>
        <v>0</v>
      </c>
    </row>
    <row r="25" spans="1:14" s="253" customFormat="1" ht="11.1" customHeight="1" x14ac:dyDescent="0.2">
      <c r="A25" s="353" t="s">
        <v>379</v>
      </c>
      <c r="B25" s="301"/>
      <c r="C25" s="341">
        <f>SUM(C17:C23)</f>
        <v>49564</v>
      </c>
      <c r="D25" s="301"/>
      <c r="E25" s="341">
        <f>SUM(E17:E23)</f>
        <v>2894</v>
      </c>
      <c r="F25" s="301"/>
      <c r="G25" s="341">
        <f>SUM(G17:G23)</f>
        <v>9623</v>
      </c>
      <c r="H25" s="273"/>
      <c r="I25" s="341">
        <f>SUM(I16:I23)</f>
        <v>0</v>
      </c>
      <c r="J25" s="273"/>
      <c r="K25" s="273">
        <f>SUM(K16:K23)</f>
        <v>62081</v>
      </c>
      <c r="L25" s="273"/>
      <c r="M25" s="805">
        <f t="shared" si="0"/>
        <v>0</v>
      </c>
      <c r="N25" s="353"/>
    </row>
    <row r="26" spans="1:14" s="317" customFormat="1" ht="5.0999999999999996" customHeight="1" x14ac:dyDescent="0.2">
      <c r="B26" s="587"/>
      <c r="C26" s="366"/>
      <c r="D26" s="587"/>
      <c r="E26" s="273"/>
      <c r="F26" s="587"/>
      <c r="G26" s="340"/>
      <c r="H26" s="324"/>
      <c r="I26" s="273"/>
      <c r="J26" s="273"/>
      <c r="K26" s="340"/>
      <c r="L26" s="273"/>
      <c r="M26" s="805">
        <f t="shared" si="0"/>
        <v>0</v>
      </c>
    </row>
    <row r="27" spans="1:14" s="253" customFormat="1" ht="11.1" customHeight="1" x14ac:dyDescent="0.2">
      <c r="A27" s="708" t="s">
        <v>1669</v>
      </c>
      <c r="B27" s="301"/>
      <c r="C27" s="341">
        <f>+C14-C25</f>
        <v>-3653</v>
      </c>
      <c r="D27" s="301"/>
      <c r="E27" s="341">
        <f>+E14-E25</f>
        <v>-584</v>
      </c>
      <c r="F27" s="301"/>
      <c r="G27" s="341">
        <f>+G14-G25</f>
        <v>-2089</v>
      </c>
      <c r="H27" s="273"/>
      <c r="I27" s="341">
        <f>I12-I25</f>
        <v>0</v>
      </c>
      <c r="J27" s="273"/>
      <c r="K27" s="341">
        <f>K14-K25</f>
        <v>-6326</v>
      </c>
      <c r="L27" s="273"/>
      <c r="M27" s="805">
        <f t="shared" si="0"/>
        <v>0</v>
      </c>
      <c r="N27" s="353"/>
    </row>
    <row r="28" spans="1:14" s="317" customFormat="1" ht="5.0999999999999996" customHeight="1" x14ac:dyDescent="0.2">
      <c r="B28" s="587"/>
      <c r="C28" s="273"/>
      <c r="D28" s="587"/>
      <c r="E28" s="273"/>
      <c r="F28" s="587"/>
      <c r="G28" s="273"/>
      <c r="H28" s="324"/>
      <c r="I28" s="273"/>
      <c r="J28" s="273"/>
      <c r="K28" s="273"/>
      <c r="L28" s="273"/>
      <c r="M28" s="805">
        <f t="shared" si="0"/>
        <v>0</v>
      </c>
    </row>
    <row r="29" spans="1:14" s="317" customFormat="1" ht="9.9499999999999993" customHeight="1" x14ac:dyDescent="0.2">
      <c r="A29" s="322" t="s">
        <v>602</v>
      </c>
      <c r="B29" s="587"/>
      <c r="C29" s="273"/>
      <c r="D29" s="587"/>
      <c r="E29" s="273"/>
      <c r="F29" s="587"/>
      <c r="G29" s="273"/>
      <c r="H29" s="324"/>
      <c r="I29" s="273"/>
      <c r="J29" s="273"/>
      <c r="K29" s="273"/>
      <c r="L29" s="273"/>
      <c r="M29" s="805">
        <f t="shared" si="0"/>
        <v>0</v>
      </c>
      <c r="N29" s="322"/>
    </row>
    <row r="30" spans="1:14" s="317" customFormat="1" ht="9.9499999999999993" customHeight="1" x14ac:dyDescent="0.2">
      <c r="A30" s="577" t="s">
        <v>1664</v>
      </c>
      <c r="B30" s="587"/>
      <c r="C30" s="273">
        <v>1679</v>
      </c>
      <c r="D30" s="587"/>
      <c r="E30" s="273">
        <v>45</v>
      </c>
      <c r="F30" s="587"/>
      <c r="G30" s="273">
        <v>580</v>
      </c>
      <c r="H30" s="324"/>
      <c r="I30" s="273"/>
      <c r="J30" s="273"/>
      <c r="K30" s="273">
        <f>SUM(C30:I30)</f>
        <v>2304</v>
      </c>
      <c r="L30" s="273"/>
      <c r="M30" s="805">
        <f t="shared" si="0"/>
        <v>0</v>
      </c>
      <c r="N30" s="577"/>
    </row>
    <row r="31" spans="1:14" s="317" customFormat="1" ht="9.9499999999999993" customHeight="1" x14ac:dyDescent="0.2">
      <c r="A31" s="577" t="s">
        <v>381</v>
      </c>
      <c r="B31" s="587"/>
      <c r="C31" s="273">
        <v>10</v>
      </c>
      <c r="D31" s="587"/>
      <c r="E31" s="273">
        <v>1</v>
      </c>
      <c r="F31" s="587"/>
      <c r="G31" s="273">
        <v>2</v>
      </c>
      <c r="H31" s="324"/>
      <c r="I31" s="273"/>
      <c r="J31" s="273"/>
      <c r="K31" s="273">
        <f>SUM(C31:I31)</f>
        <v>13</v>
      </c>
      <c r="L31" s="273"/>
      <c r="M31" s="805">
        <f t="shared" si="0"/>
        <v>0</v>
      </c>
      <c r="N31" s="577"/>
    </row>
    <row r="32" spans="1:14" s="317" customFormat="1" ht="9.9499999999999993" hidden="1" customHeight="1" x14ac:dyDescent="0.2">
      <c r="A32" s="577" t="s">
        <v>1146</v>
      </c>
      <c r="B32" s="587"/>
      <c r="C32" s="273"/>
      <c r="D32" s="587"/>
      <c r="E32" s="273"/>
      <c r="F32" s="587"/>
      <c r="G32" s="273"/>
      <c r="H32" s="324"/>
      <c r="I32" s="273"/>
      <c r="J32" s="273"/>
      <c r="K32" s="273">
        <f>SUM(C32:I32)</f>
        <v>0</v>
      </c>
      <c r="L32" s="273"/>
      <c r="M32" s="805">
        <f t="shared" si="0"/>
        <v>0</v>
      </c>
      <c r="N32" s="577"/>
    </row>
    <row r="33" spans="1:14" s="317" customFormat="1" ht="9.9499999999999993" customHeight="1" x14ac:dyDescent="0.2">
      <c r="A33" s="577" t="s">
        <v>382</v>
      </c>
      <c r="B33" s="587"/>
      <c r="C33" s="273">
        <v>-149</v>
      </c>
      <c r="D33" s="587"/>
      <c r="E33" s="273">
        <v>0</v>
      </c>
      <c r="F33" s="587"/>
      <c r="G33" s="273">
        <v>-86</v>
      </c>
      <c r="H33" s="324"/>
      <c r="I33" s="273"/>
      <c r="J33" s="273"/>
      <c r="K33" s="273">
        <f>SUM(C33:I33)</f>
        <v>-235</v>
      </c>
      <c r="L33" s="273"/>
      <c r="M33" s="805">
        <f t="shared" si="0"/>
        <v>0</v>
      </c>
      <c r="N33" s="577"/>
    </row>
    <row r="34" spans="1:14" s="317" customFormat="1" ht="9.9499999999999993" customHeight="1" x14ac:dyDescent="0.2">
      <c r="A34" s="577" t="s">
        <v>383</v>
      </c>
      <c r="B34" s="587"/>
      <c r="C34" s="324">
        <v>-26</v>
      </c>
      <c r="D34" s="587"/>
      <c r="E34" s="273"/>
      <c r="F34" s="587"/>
      <c r="G34" s="273"/>
      <c r="H34" s="324"/>
      <c r="I34" s="273"/>
      <c r="J34" s="273"/>
      <c r="K34" s="341">
        <f>SUM(C34:I34)</f>
        <v>-26</v>
      </c>
      <c r="L34" s="273"/>
      <c r="M34" s="805">
        <f t="shared" si="0"/>
        <v>0</v>
      </c>
      <c r="N34" s="577"/>
    </row>
    <row r="35" spans="1:14" s="317" customFormat="1" ht="5.0999999999999996" customHeight="1" x14ac:dyDescent="0.2">
      <c r="B35" s="587"/>
      <c r="C35" s="366"/>
      <c r="D35" s="587"/>
      <c r="E35" s="340"/>
      <c r="F35" s="587"/>
      <c r="G35" s="340"/>
      <c r="H35" s="324"/>
      <c r="I35" s="340"/>
      <c r="J35" s="273"/>
      <c r="K35" s="340"/>
      <c r="L35" s="273"/>
      <c r="M35" s="805">
        <f t="shared" si="0"/>
        <v>0</v>
      </c>
    </row>
    <row r="36" spans="1:14" s="253" customFormat="1" ht="11.1" customHeight="1" x14ac:dyDescent="0.2">
      <c r="A36" s="353" t="s">
        <v>1338</v>
      </c>
      <c r="B36" s="301"/>
      <c r="C36" s="341">
        <f>SUM(C30:C34)</f>
        <v>1514</v>
      </c>
      <c r="D36" s="301"/>
      <c r="E36" s="341">
        <f>SUM(E30:E34)</f>
        <v>46</v>
      </c>
      <c r="F36" s="301"/>
      <c r="G36" s="341">
        <f>SUM(G30:G34)</f>
        <v>496</v>
      </c>
      <c r="H36" s="273"/>
      <c r="I36" s="341"/>
      <c r="J36" s="273"/>
      <c r="K36" s="341">
        <f>SUM(K30:K34)</f>
        <v>2056</v>
      </c>
      <c r="L36" s="273"/>
      <c r="M36" s="805">
        <f t="shared" si="0"/>
        <v>0</v>
      </c>
      <c r="N36" s="353"/>
    </row>
    <row r="37" spans="1:14" s="317" customFormat="1" ht="5.0999999999999996" customHeight="1" x14ac:dyDescent="0.2">
      <c r="B37" s="587"/>
      <c r="C37" s="366"/>
      <c r="D37" s="587"/>
      <c r="E37" s="273"/>
      <c r="F37" s="587"/>
      <c r="G37" s="273"/>
      <c r="H37" s="324"/>
      <c r="I37" s="273"/>
      <c r="J37" s="273"/>
      <c r="K37" s="273"/>
      <c r="L37" s="273"/>
      <c r="M37" s="805">
        <f t="shared" si="0"/>
        <v>0</v>
      </c>
    </row>
    <row r="38" spans="1:14" s="317" customFormat="1" ht="5.0999999999999996" customHeight="1" x14ac:dyDescent="0.2">
      <c r="B38" s="587"/>
      <c r="H38" s="324"/>
      <c r="I38" s="273"/>
      <c r="J38" s="273"/>
      <c r="K38" s="273"/>
      <c r="L38" s="273"/>
      <c r="M38" s="805"/>
      <c r="N38" s="353"/>
    </row>
    <row r="39" spans="1:14" s="253" customFormat="1" ht="9.9499999999999993" customHeight="1" x14ac:dyDescent="0.2">
      <c r="A39" s="353" t="s">
        <v>1187</v>
      </c>
      <c r="B39" s="301"/>
      <c r="C39" s="341">
        <f>+C27+C36</f>
        <v>-2139</v>
      </c>
      <c r="D39" s="587"/>
      <c r="E39" s="341">
        <f>+E27+E36</f>
        <v>-538</v>
      </c>
      <c r="F39" s="587"/>
      <c r="G39" s="341">
        <f>+G27+G36</f>
        <v>-1593</v>
      </c>
      <c r="H39" s="273"/>
      <c r="I39" s="341"/>
      <c r="J39" s="273"/>
      <c r="K39" s="341">
        <f>K36+K27</f>
        <v>-4270</v>
      </c>
      <c r="L39" s="273"/>
      <c r="M39" s="805">
        <f t="shared" si="0"/>
        <v>0</v>
      </c>
      <c r="N39" s="353"/>
    </row>
    <row r="40" spans="1:14" s="317" customFormat="1" ht="5.0999999999999996" customHeight="1" x14ac:dyDescent="0.2">
      <c r="B40" s="587"/>
      <c r="C40" s="324"/>
      <c r="D40" s="587"/>
      <c r="E40" s="273"/>
      <c r="F40" s="587"/>
      <c r="G40" s="273"/>
      <c r="H40" s="324"/>
      <c r="I40" s="273"/>
      <c r="J40" s="273"/>
      <c r="K40" s="273"/>
      <c r="L40" s="273"/>
      <c r="M40" s="805">
        <f t="shared" si="0"/>
        <v>0</v>
      </c>
    </row>
    <row r="41" spans="1:14" s="317" customFormat="1" ht="9.9499999999999993" hidden="1" customHeight="1" x14ac:dyDescent="0.2">
      <c r="A41" s="317" t="s">
        <v>777</v>
      </c>
      <c r="B41" s="587"/>
      <c r="C41" s="324"/>
      <c r="D41" s="587"/>
      <c r="E41" s="273"/>
      <c r="F41" s="587"/>
      <c r="G41" s="273"/>
      <c r="H41" s="324"/>
      <c r="I41" s="273"/>
      <c r="J41" s="273"/>
      <c r="K41" s="273">
        <f>SUM(C41:I41)</f>
        <v>0</v>
      </c>
      <c r="L41" s="273"/>
      <c r="M41" s="805">
        <f t="shared" si="0"/>
        <v>0</v>
      </c>
    </row>
    <row r="42" spans="1:14" s="317" customFormat="1" ht="9.9499999999999993" hidden="1" customHeight="1" x14ac:dyDescent="0.2">
      <c r="A42" s="317" t="s">
        <v>1734</v>
      </c>
      <c r="B42" s="587"/>
      <c r="C42" s="324"/>
      <c r="D42" s="587"/>
      <c r="E42" s="273"/>
      <c r="F42" s="587"/>
      <c r="G42" s="273"/>
      <c r="H42" s="324"/>
      <c r="I42" s="273"/>
      <c r="J42" s="273"/>
      <c r="K42" s="273">
        <f>SUM(C42:I42)</f>
        <v>0</v>
      </c>
      <c r="L42" s="273"/>
      <c r="M42" s="805"/>
    </row>
    <row r="43" spans="1:14" s="317" customFormat="1" ht="5.0999999999999996" hidden="1" customHeight="1" x14ac:dyDescent="0.2">
      <c r="B43" s="587"/>
      <c r="C43" s="324"/>
      <c r="D43" s="587"/>
      <c r="E43" s="273"/>
      <c r="F43" s="587"/>
      <c r="G43" s="273"/>
      <c r="H43" s="324"/>
      <c r="I43" s="273"/>
      <c r="J43" s="273"/>
      <c r="K43" s="273"/>
      <c r="L43" s="273"/>
      <c r="M43" s="805">
        <f t="shared" si="0"/>
        <v>0</v>
      </c>
      <c r="N43" s="577"/>
    </row>
    <row r="44" spans="1:14" s="317" customFormat="1" ht="9.9499999999999993" customHeight="1" x14ac:dyDescent="0.2">
      <c r="A44" s="480" t="s">
        <v>43</v>
      </c>
      <c r="B44" s="587"/>
      <c r="C44" s="324"/>
      <c r="D44" s="587"/>
      <c r="E44" s="273"/>
      <c r="F44" s="587"/>
      <c r="G44" s="273"/>
      <c r="H44" s="324"/>
      <c r="I44" s="273"/>
      <c r="J44" s="273"/>
      <c r="K44" s="273"/>
      <c r="L44" s="273"/>
      <c r="M44" s="805">
        <f t="shared" si="0"/>
        <v>0</v>
      </c>
    </row>
    <row r="45" spans="1:14" s="317" customFormat="1" ht="9.9499999999999993" customHeight="1" x14ac:dyDescent="0.2">
      <c r="A45" s="577" t="s">
        <v>21</v>
      </c>
      <c r="B45" s="587"/>
      <c r="C45" s="324">
        <v>1863</v>
      </c>
      <c r="D45" s="324"/>
      <c r="E45" s="324">
        <v>279</v>
      </c>
      <c r="F45" s="324"/>
      <c r="G45" s="324">
        <f>2067+50</f>
        <v>2117</v>
      </c>
      <c r="H45" s="587"/>
      <c r="I45" s="273"/>
      <c r="J45" s="273"/>
      <c r="K45" s="273">
        <f>SUM(C45:I45)</f>
        <v>4259</v>
      </c>
      <c r="L45" s="273"/>
      <c r="M45" s="805">
        <f t="shared" si="0"/>
        <v>0</v>
      </c>
      <c r="N45" s="353"/>
    </row>
    <row r="46" spans="1:14" s="317" customFormat="1" ht="9.9499999999999993" customHeight="1" x14ac:dyDescent="0.2">
      <c r="A46" s="577" t="s">
        <v>22</v>
      </c>
      <c r="B46" s="587"/>
      <c r="C46" s="494">
        <v>-2638</v>
      </c>
      <c r="D46" s="587"/>
      <c r="E46" s="273">
        <v>-273</v>
      </c>
      <c r="F46" s="587"/>
      <c r="G46" s="273">
        <v>-870</v>
      </c>
      <c r="H46" s="587"/>
      <c r="I46" s="273"/>
      <c r="J46" s="273"/>
      <c r="K46" s="341">
        <f>SUM(C46:I46)</f>
        <v>-3781</v>
      </c>
      <c r="L46" s="273"/>
      <c r="M46" s="805">
        <f t="shared" si="0"/>
        <v>0</v>
      </c>
    </row>
    <row r="47" spans="1:14" s="317" customFormat="1" ht="5.0999999999999996" customHeight="1" x14ac:dyDescent="0.2">
      <c r="B47" s="587"/>
      <c r="C47" s="496"/>
      <c r="D47" s="587"/>
      <c r="E47" s="340"/>
      <c r="F47" s="587"/>
      <c r="G47" s="340"/>
      <c r="H47" s="587"/>
      <c r="I47" s="340"/>
      <c r="J47" s="273"/>
      <c r="K47" s="273"/>
      <c r="L47" s="273"/>
      <c r="M47" s="805">
        <f t="shared" si="0"/>
        <v>0</v>
      </c>
      <c r="N47" s="322"/>
    </row>
    <row r="48" spans="1:14" s="253" customFormat="1" ht="11.1" customHeight="1" x14ac:dyDescent="0.2">
      <c r="A48" s="353" t="s">
        <v>1335</v>
      </c>
      <c r="B48" s="301"/>
      <c r="C48" s="341">
        <f>SUM(C44:C46)</f>
        <v>-775</v>
      </c>
      <c r="D48" s="301"/>
      <c r="E48" s="341">
        <f>SUM(E44:E46)</f>
        <v>6</v>
      </c>
      <c r="F48" s="301"/>
      <c r="G48" s="341">
        <f>SUM(G44:G46)</f>
        <v>1247</v>
      </c>
      <c r="H48" s="301"/>
      <c r="I48" s="341"/>
      <c r="J48" s="273"/>
      <c r="K48" s="341">
        <f>SUM(K44:K46)</f>
        <v>478</v>
      </c>
      <c r="L48" s="273"/>
      <c r="M48" s="805">
        <f t="shared" si="0"/>
        <v>0</v>
      </c>
      <c r="N48" s="317"/>
    </row>
    <row r="49" spans="1:26" s="317" customFormat="1" ht="5.0999999999999996" customHeight="1" x14ac:dyDescent="0.2">
      <c r="B49" s="587"/>
      <c r="C49" s="324"/>
      <c r="D49" s="587"/>
      <c r="E49" s="273"/>
      <c r="F49" s="587"/>
      <c r="G49" s="273"/>
      <c r="H49" s="587"/>
      <c r="I49" s="273"/>
      <c r="J49" s="273"/>
      <c r="K49" s="273"/>
      <c r="L49" s="273"/>
      <c r="M49" s="805">
        <f t="shared" si="0"/>
        <v>0</v>
      </c>
      <c r="N49" s="482"/>
    </row>
    <row r="50" spans="1:26" s="317" customFormat="1" ht="9.9499999999999993" customHeight="1" x14ac:dyDescent="0.2">
      <c r="A50" s="322" t="s">
        <v>1117</v>
      </c>
      <c r="B50" s="481"/>
      <c r="C50" s="273">
        <f t="shared" ref="C50" si="2">+C39+C41+C48+C42</f>
        <v>-2914</v>
      </c>
      <c r="D50" s="481"/>
      <c r="E50" s="273">
        <f t="shared" ref="E50" si="3">+E39+E41+E48+E42</f>
        <v>-532</v>
      </c>
      <c r="F50" s="481"/>
      <c r="G50" s="273">
        <f>+G39+G41+G48+G42</f>
        <v>-346</v>
      </c>
      <c r="H50" s="481"/>
      <c r="I50" s="273"/>
      <c r="J50" s="273"/>
      <c r="K50" s="273">
        <f>SUM(C50:I50)</f>
        <v>-3792</v>
      </c>
      <c r="L50" s="273"/>
      <c r="M50" s="805">
        <f t="shared" si="0"/>
        <v>0</v>
      </c>
    </row>
    <row r="51" spans="1:26" s="317" customFormat="1" ht="5.0999999999999996" customHeight="1" x14ac:dyDescent="0.2">
      <c r="B51" s="587"/>
      <c r="C51" s="324"/>
      <c r="D51" s="587"/>
      <c r="E51" s="273"/>
      <c r="F51" s="587"/>
      <c r="G51" s="273"/>
      <c r="H51" s="587"/>
      <c r="I51" s="273"/>
      <c r="J51" s="273"/>
      <c r="K51" s="273"/>
      <c r="L51" s="273"/>
      <c r="M51" s="805">
        <f t="shared" si="0"/>
        <v>0</v>
      </c>
      <c r="N51" s="284"/>
    </row>
    <row r="52" spans="1:26" s="317" customFormat="1" ht="11.1" customHeight="1" x14ac:dyDescent="0.2">
      <c r="A52" s="482" t="s">
        <v>1497</v>
      </c>
      <c r="B52" s="587"/>
      <c r="C52" s="488">
        <v>-10081</v>
      </c>
      <c r="D52" s="587"/>
      <c r="E52" s="488">
        <v>4449</v>
      </c>
      <c r="F52" s="587"/>
      <c r="G52" s="1307">
        <v>18830</v>
      </c>
      <c r="H52" s="587"/>
      <c r="I52" s="1307"/>
      <c r="J52" s="273"/>
      <c r="K52" s="324">
        <f>SUM(C52:I52)</f>
        <v>13198</v>
      </c>
      <c r="L52" s="273"/>
      <c r="M52" s="805">
        <f t="shared" si="0"/>
        <v>0</v>
      </c>
      <c r="N52" s="273"/>
    </row>
    <row r="53" spans="1:26" s="253" customFormat="1" ht="5.0999999999999996" customHeight="1" x14ac:dyDescent="0.2">
      <c r="B53" s="273"/>
      <c r="C53" s="1486"/>
      <c r="D53" s="273"/>
      <c r="E53" s="340"/>
      <c r="F53" s="273"/>
      <c r="G53" s="340"/>
      <c r="H53" s="273"/>
      <c r="I53" s="273"/>
      <c r="J53" s="273"/>
      <c r="K53" s="340"/>
      <c r="L53" s="273"/>
      <c r="M53" s="273"/>
      <c r="N53" s="273"/>
      <c r="O53" s="273"/>
      <c r="P53" s="273"/>
      <c r="Q53" s="273"/>
      <c r="R53" s="273"/>
      <c r="S53" s="273"/>
      <c r="T53" s="273"/>
      <c r="U53" s="273"/>
      <c r="V53" s="273"/>
      <c r="W53" s="273"/>
      <c r="X53" s="273"/>
      <c r="Y53" s="273"/>
      <c r="Z53" s="348"/>
    </row>
    <row r="54" spans="1:26" s="253" customFormat="1" ht="9.9499999999999993" hidden="1" customHeight="1" x14ac:dyDescent="0.2">
      <c r="A54" s="253" t="s">
        <v>1715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99"/>
    </row>
    <row r="55" spans="1:26" s="253" customFormat="1" ht="5.0999999999999996" hidden="1" customHeight="1" x14ac:dyDescent="0.2">
      <c r="B55" s="273"/>
      <c r="C55" s="399"/>
      <c r="D55" s="273"/>
      <c r="E55" s="273"/>
      <c r="F55" s="273"/>
      <c r="G55" s="273"/>
      <c r="H55" s="273"/>
      <c r="I55" s="273"/>
      <c r="J55" s="273"/>
      <c r="K55" s="273"/>
      <c r="L55" s="273"/>
      <c r="M55" s="273"/>
      <c r="N55" s="273"/>
      <c r="O55" s="273"/>
      <c r="P55" s="273"/>
      <c r="Q55" s="273"/>
      <c r="R55" s="273"/>
      <c r="S55" s="273"/>
      <c r="T55" s="273"/>
      <c r="U55" s="273"/>
      <c r="V55" s="273"/>
      <c r="W55" s="273"/>
      <c r="X55" s="273"/>
      <c r="Y55" s="273"/>
      <c r="Z55" s="348"/>
    </row>
    <row r="56" spans="1:26" s="253" customFormat="1" ht="9.9499999999999993" hidden="1" customHeight="1" x14ac:dyDescent="0.2">
      <c r="A56" s="253" t="s">
        <v>1716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99"/>
    </row>
    <row r="57" spans="1:26" s="253" customFormat="1" ht="5.0999999999999996" hidden="1" customHeight="1" x14ac:dyDescent="0.2">
      <c r="B57" s="273"/>
      <c r="C57" s="399"/>
      <c r="D57" s="273"/>
      <c r="E57" s="273"/>
      <c r="F57" s="273"/>
      <c r="G57" s="273"/>
      <c r="H57" s="273"/>
      <c r="I57" s="273"/>
      <c r="J57" s="273"/>
      <c r="K57" s="273"/>
      <c r="L57" s="273"/>
      <c r="M57" s="273"/>
      <c r="N57" s="273"/>
      <c r="O57" s="273"/>
      <c r="P57" s="273"/>
      <c r="Q57" s="273"/>
      <c r="R57" s="273"/>
      <c r="S57" s="273"/>
      <c r="T57" s="273"/>
      <c r="U57" s="273"/>
      <c r="V57" s="273"/>
      <c r="W57" s="273"/>
      <c r="X57" s="273"/>
      <c r="Y57" s="273"/>
      <c r="Z57" s="348"/>
    </row>
    <row r="58" spans="1:26" s="253" customFormat="1" ht="9.9499999999999993" hidden="1" customHeight="1" x14ac:dyDescent="0.2">
      <c r="A58" s="253" t="s">
        <v>1717</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99"/>
    </row>
    <row r="59" spans="1:26" s="253" customFormat="1" ht="5.0999999999999996" hidden="1" customHeight="1" x14ac:dyDescent="0.2">
      <c r="B59" s="273"/>
      <c r="C59" s="399"/>
      <c r="D59" s="273"/>
      <c r="E59" s="273"/>
      <c r="F59" s="273"/>
      <c r="G59" s="273"/>
      <c r="H59" s="273"/>
      <c r="I59" s="273"/>
      <c r="J59" s="273"/>
      <c r="K59" s="273"/>
      <c r="L59" s="273"/>
      <c r="M59" s="273"/>
      <c r="N59" s="273"/>
      <c r="O59" s="273"/>
      <c r="P59" s="273"/>
      <c r="Q59" s="273"/>
      <c r="R59" s="273"/>
      <c r="S59" s="273"/>
      <c r="T59" s="273"/>
      <c r="U59" s="273"/>
      <c r="V59" s="273"/>
      <c r="W59" s="273"/>
      <c r="X59" s="273"/>
      <c r="Y59" s="273"/>
      <c r="Z59" s="348"/>
    </row>
    <row r="60" spans="1:26" s="253" customFormat="1" ht="9.9499999999999993" hidden="1" customHeight="1" x14ac:dyDescent="0.2">
      <c r="A60" s="349" t="s">
        <v>1721</v>
      </c>
      <c r="B60" s="273"/>
      <c r="C60" s="273">
        <f>SUM(C52:C59)</f>
        <v>-10081</v>
      </c>
      <c r="D60" s="273"/>
      <c r="E60" s="273">
        <f>SUM(E52:E59)</f>
        <v>4449</v>
      </c>
      <c r="F60" s="273"/>
      <c r="G60" s="273">
        <f>SUM(G52:G59)</f>
        <v>18830</v>
      </c>
      <c r="H60" s="273"/>
      <c r="I60" s="273"/>
      <c r="J60" s="273"/>
      <c r="K60" s="273">
        <f>SUM(K52:K59)</f>
        <v>13198</v>
      </c>
      <c r="L60" s="273"/>
      <c r="M60" s="273"/>
      <c r="N60" s="273"/>
      <c r="O60" s="273"/>
      <c r="P60" s="273"/>
      <c r="Q60" s="273"/>
      <c r="R60" s="273"/>
      <c r="S60" s="273"/>
      <c r="T60" s="273"/>
      <c r="U60" s="273"/>
      <c r="V60" s="273"/>
      <c r="W60" s="273"/>
      <c r="X60" s="273"/>
      <c r="Y60" s="273"/>
      <c r="Z60" s="299"/>
    </row>
    <row r="61" spans="1:26" s="317" customFormat="1" ht="5.0999999999999996" hidden="1" customHeight="1" x14ac:dyDescent="0.2">
      <c r="B61" s="587"/>
      <c r="C61" s="496"/>
      <c r="D61" s="587"/>
      <c r="E61" s="340"/>
      <c r="F61" s="587"/>
      <c r="G61" s="340"/>
      <c r="H61" s="587"/>
      <c r="I61" s="340"/>
      <c r="J61" s="273"/>
      <c r="K61" s="340"/>
      <c r="L61" s="273"/>
      <c r="M61" s="805">
        <f t="shared" si="0"/>
        <v>0</v>
      </c>
      <c r="N61" s="273"/>
    </row>
    <row r="62" spans="1:26" s="253" customFormat="1" ht="11.1" customHeight="1" thickBot="1" x14ac:dyDescent="0.25">
      <c r="A62" s="284" t="s">
        <v>1489</v>
      </c>
      <c r="B62" s="362"/>
      <c r="C62" s="344">
        <f>+C60+C50</f>
        <v>-12995</v>
      </c>
      <c r="D62" s="362"/>
      <c r="E62" s="344">
        <f>+E60+E50</f>
        <v>3917</v>
      </c>
      <c r="F62" s="362"/>
      <c r="G62" s="344">
        <f>+G60+G50</f>
        <v>18484</v>
      </c>
      <c r="H62" s="362"/>
      <c r="I62" s="344"/>
      <c r="J62" s="254"/>
      <c r="K62" s="344">
        <f>+K60+K50</f>
        <v>9406</v>
      </c>
      <c r="L62" s="254"/>
      <c r="M62" s="805">
        <f t="shared" si="0"/>
        <v>0</v>
      </c>
      <c r="N62" s="254"/>
    </row>
    <row r="63" spans="1:26" s="317" customFormat="1" ht="5.0999999999999996" customHeight="1" thickTop="1" x14ac:dyDescent="0.2">
      <c r="B63" s="481"/>
      <c r="D63" s="481"/>
      <c r="F63" s="481"/>
      <c r="J63" s="253"/>
      <c r="K63" s="253"/>
      <c r="L63" s="253"/>
      <c r="M63" s="805">
        <f t="shared" si="0"/>
        <v>0</v>
      </c>
      <c r="N63" s="253"/>
    </row>
    <row r="64" spans="1:26" s="253" customFormat="1" ht="9.9499999999999993" customHeight="1" x14ac:dyDescent="0.2">
      <c r="A64" s="418"/>
      <c r="B64" s="362"/>
      <c r="D64" s="362"/>
      <c r="F64" s="362"/>
      <c r="H64" s="362"/>
      <c r="J64" s="362"/>
      <c r="M64" s="805">
        <f t="shared" si="0"/>
        <v>0</v>
      </c>
    </row>
    <row r="65" spans="1:13" s="511" customFormat="1" ht="9.9499999999999993" customHeight="1" x14ac:dyDescent="0.2">
      <c r="A65" s="1014" t="s">
        <v>992</v>
      </c>
      <c r="B65" s="512"/>
      <c r="C65" s="511">
        <f>SUM('Nonmajor Ent BS'!C174-'Nonmajor Ent SOREC'!C62)</f>
        <v>0</v>
      </c>
      <c r="D65" s="512"/>
      <c r="E65" s="511">
        <f>SUM('Nonmajor Ent BS'!E174-'Nonmajor Ent SOREC'!E62)</f>
        <v>0</v>
      </c>
      <c r="F65" s="512"/>
      <c r="G65" s="511">
        <f>SUM('Nonmajor Ent BS'!G174-'Nonmajor Ent SOREC'!G62)</f>
        <v>0</v>
      </c>
      <c r="H65" s="512"/>
      <c r="I65" s="511">
        <f>SUM('Nonmajor Ent BS'!I174-'Nonmajor Ent SOREC'!I62)</f>
        <v>0</v>
      </c>
      <c r="J65" s="512"/>
      <c r="K65" s="511">
        <f>SUM('Nonmajor Ent BS'!K174-'Nonmajor Ent SOREC'!K62)</f>
        <v>0</v>
      </c>
      <c r="M65" s="805">
        <f t="shared" si="0"/>
        <v>0</v>
      </c>
    </row>
    <row r="66" spans="1:13" s="422" customFormat="1" ht="9.9499999999999993" customHeight="1" x14ac:dyDescent="0.2">
      <c r="B66" s="423"/>
      <c r="D66" s="423"/>
      <c r="F66" s="423"/>
      <c r="H66" s="423"/>
      <c r="J66" s="423"/>
      <c r="M66" s="757"/>
    </row>
    <row r="67" spans="1:13" s="422" customFormat="1" ht="9.9499999999999993" customHeight="1" x14ac:dyDescent="0.2">
      <c r="B67" s="423"/>
      <c r="D67" s="423"/>
      <c r="F67" s="423"/>
      <c r="H67" s="423"/>
      <c r="J67" s="423"/>
      <c r="M67" s="757"/>
    </row>
    <row r="68" spans="1:13" s="422" customFormat="1" ht="9.9499999999999993" customHeight="1" x14ac:dyDescent="0.2">
      <c r="B68" s="423"/>
      <c r="D68" s="423"/>
      <c r="F68" s="423"/>
      <c r="H68" s="423"/>
      <c r="J68" s="423"/>
      <c r="M68" s="757"/>
    </row>
    <row r="69" spans="1:13" s="326" customFormat="1" ht="9.9499999999999993" customHeight="1" x14ac:dyDescent="0.2">
      <c r="B69" s="327"/>
      <c r="D69" s="327"/>
      <c r="F69" s="327"/>
      <c r="H69" s="327"/>
      <c r="J69" s="327"/>
      <c r="M69" s="758"/>
    </row>
    <row r="70" spans="1:13" s="326" customFormat="1" ht="9.9499999999999993" customHeight="1" x14ac:dyDescent="0.2">
      <c r="B70" s="327"/>
      <c r="D70" s="327"/>
      <c r="F70" s="327"/>
      <c r="H70" s="327"/>
      <c r="J70" s="327"/>
      <c r="M70" s="758"/>
    </row>
    <row r="71" spans="1:13" s="326" customFormat="1" ht="9.9499999999999993" customHeight="1" x14ac:dyDescent="0.2">
      <c r="B71" s="327"/>
      <c r="D71" s="327"/>
      <c r="F71" s="327"/>
      <c r="H71" s="327"/>
      <c r="J71" s="327"/>
      <c r="M71" s="758"/>
    </row>
    <row r="72" spans="1:13" s="326" customFormat="1" ht="9.9499999999999993" customHeight="1" x14ac:dyDescent="0.2">
      <c r="B72" s="327"/>
      <c r="D72" s="327"/>
      <c r="F72" s="327"/>
      <c r="H72" s="327"/>
      <c r="J72" s="327"/>
      <c r="M72" s="758"/>
    </row>
    <row r="73" spans="1:13" s="326" customFormat="1" ht="9.9499999999999993" customHeight="1" x14ac:dyDescent="0.2">
      <c r="B73" s="327"/>
      <c r="D73" s="327"/>
      <c r="F73" s="327"/>
      <c r="H73" s="327"/>
      <c r="J73" s="327"/>
      <c r="M73" s="758"/>
    </row>
    <row r="74" spans="1:13" s="326" customFormat="1" ht="9.9499999999999993" customHeight="1" x14ac:dyDescent="0.2">
      <c r="B74" s="327"/>
      <c r="D74" s="327"/>
      <c r="F74" s="327"/>
      <c r="H74" s="327"/>
      <c r="J74" s="327"/>
      <c r="M74" s="758"/>
    </row>
    <row r="75" spans="1:13" s="326" customFormat="1" ht="9.9499999999999993" customHeight="1" x14ac:dyDescent="0.2">
      <c r="B75" s="327"/>
      <c r="D75" s="327"/>
      <c r="F75" s="327"/>
      <c r="H75" s="327"/>
      <c r="J75" s="327"/>
      <c r="M75" s="758"/>
    </row>
    <row r="76" spans="1:13" s="326" customFormat="1" ht="9.9499999999999993" customHeight="1" x14ac:dyDescent="0.2">
      <c r="B76" s="327"/>
      <c r="D76" s="327"/>
      <c r="F76" s="327"/>
      <c r="H76" s="327"/>
      <c r="J76" s="327"/>
      <c r="M76" s="758"/>
    </row>
    <row r="77" spans="1:13" s="326" customFormat="1" ht="9.9499999999999993" customHeight="1" x14ac:dyDescent="0.2">
      <c r="B77" s="327"/>
      <c r="D77" s="327"/>
      <c r="F77" s="327"/>
      <c r="H77" s="327"/>
      <c r="J77" s="327"/>
      <c r="M77" s="758"/>
    </row>
    <row r="78" spans="1:13" s="326" customFormat="1" ht="9.9499999999999993" customHeight="1" x14ac:dyDescent="0.2">
      <c r="B78" s="327"/>
      <c r="D78" s="327"/>
      <c r="F78" s="327"/>
      <c r="H78" s="327"/>
      <c r="J78" s="327"/>
      <c r="M78" s="758"/>
    </row>
    <row r="79" spans="1:13" s="326" customFormat="1" ht="9.9499999999999993" customHeight="1" x14ac:dyDescent="0.2">
      <c r="B79" s="327"/>
      <c r="D79" s="327"/>
      <c r="F79" s="327"/>
      <c r="H79" s="327"/>
      <c r="J79" s="327"/>
      <c r="M79" s="758"/>
    </row>
    <row r="80" spans="1:13" s="326" customFormat="1" ht="9.9499999999999993" customHeight="1" x14ac:dyDescent="0.2">
      <c r="B80" s="327"/>
      <c r="D80" s="327"/>
      <c r="F80" s="327"/>
      <c r="H80" s="327"/>
      <c r="J80" s="327"/>
      <c r="M80" s="758"/>
    </row>
    <row r="81" spans="2:13" s="326" customFormat="1" ht="9.9499999999999993" customHeight="1" x14ac:dyDescent="0.2">
      <c r="B81" s="327"/>
      <c r="D81" s="327"/>
      <c r="F81" s="327"/>
      <c r="H81" s="327"/>
      <c r="J81" s="327"/>
      <c r="M81" s="758"/>
    </row>
    <row r="82" spans="2:13" s="326" customFormat="1" ht="9.9499999999999993" customHeight="1" x14ac:dyDescent="0.2">
      <c r="B82" s="327"/>
      <c r="D82" s="327"/>
      <c r="F82" s="327"/>
      <c r="H82" s="327"/>
      <c r="J82" s="327"/>
      <c r="M82" s="758"/>
    </row>
    <row r="83" spans="2:13" s="326" customFormat="1" ht="9.9499999999999993" customHeight="1" x14ac:dyDescent="0.2">
      <c r="B83" s="327"/>
      <c r="D83" s="327"/>
      <c r="F83" s="327"/>
      <c r="H83" s="327"/>
      <c r="J83" s="327"/>
      <c r="M83" s="758"/>
    </row>
    <row r="84" spans="2:13" s="326" customFormat="1" ht="9.9499999999999993" customHeight="1" x14ac:dyDescent="0.2">
      <c r="B84" s="327"/>
      <c r="D84" s="327"/>
      <c r="F84" s="327"/>
      <c r="H84" s="327"/>
      <c r="J84" s="327"/>
      <c r="M84" s="758"/>
    </row>
    <row r="85" spans="2:13" s="326" customFormat="1" ht="9.9499999999999993" customHeight="1" x14ac:dyDescent="0.2">
      <c r="B85" s="327"/>
      <c r="D85" s="327"/>
      <c r="F85" s="327"/>
      <c r="H85" s="327"/>
      <c r="J85" s="327"/>
      <c r="M85" s="758"/>
    </row>
    <row r="86" spans="2:13" s="326" customFormat="1" ht="9.9499999999999993" customHeight="1" x14ac:dyDescent="0.2">
      <c r="B86" s="327"/>
      <c r="D86" s="327"/>
      <c r="F86" s="327"/>
      <c r="H86" s="327"/>
      <c r="J86" s="327"/>
      <c r="M86" s="758"/>
    </row>
    <row r="87" spans="2:13" s="326" customFormat="1" ht="9.9499999999999993" customHeight="1" x14ac:dyDescent="0.2">
      <c r="B87" s="327"/>
      <c r="D87" s="327"/>
      <c r="F87" s="327"/>
      <c r="H87" s="327"/>
      <c r="J87" s="327"/>
      <c r="M87" s="758"/>
    </row>
    <row r="88" spans="2:13" s="326" customFormat="1" ht="9.9499999999999993" customHeight="1" x14ac:dyDescent="0.2">
      <c r="B88" s="327"/>
      <c r="D88" s="327"/>
      <c r="F88" s="327"/>
      <c r="H88" s="327"/>
      <c r="J88" s="327"/>
      <c r="M88" s="758"/>
    </row>
    <row r="89" spans="2:13" s="326" customFormat="1" ht="9.9499999999999993" customHeight="1" x14ac:dyDescent="0.2">
      <c r="B89" s="327"/>
      <c r="D89" s="327"/>
      <c r="F89" s="327"/>
      <c r="H89" s="327"/>
      <c r="J89" s="327"/>
      <c r="M89" s="758"/>
    </row>
    <row r="90" spans="2:13" s="326" customFormat="1" ht="9.9499999999999993" customHeight="1" x14ac:dyDescent="0.2">
      <c r="B90" s="327"/>
      <c r="D90" s="327"/>
      <c r="F90" s="327"/>
      <c r="H90" s="327"/>
      <c r="J90" s="327"/>
      <c r="M90" s="758"/>
    </row>
    <row r="91" spans="2:13" s="326" customFormat="1" ht="9.9499999999999993" customHeight="1" x14ac:dyDescent="0.2">
      <c r="B91" s="327"/>
      <c r="D91" s="327"/>
      <c r="F91" s="327"/>
      <c r="H91" s="327"/>
      <c r="J91" s="327"/>
      <c r="M91" s="758"/>
    </row>
    <row r="92" spans="2:13" s="326" customFormat="1" ht="9.9499999999999993" customHeight="1" x14ac:dyDescent="0.2">
      <c r="B92" s="327"/>
      <c r="D92" s="327"/>
      <c r="F92" s="327"/>
      <c r="H92" s="327"/>
      <c r="J92" s="327"/>
      <c r="M92" s="758"/>
    </row>
    <row r="93" spans="2:13" s="326" customFormat="1" ht="9.9499999999999993" customHeight="1" x14ac:dyDescent="0.2">
      <c r="B93" s="327"/>
      <c r="D93" s="327"/>
      <c r="F93" s="327"/>
      <c r="H93" s="327"/>
      <c r="J93" s="327"/>
      <c r="M93" s="758"/>
    </row>
    <row r="94" spans="2:13" s="326" customFormat="1" ht="9.9499999999999993" customHeight="1" x14ac:dyDescent="0.2">
      <c r="B94" s="327"/>
      <c r="D94" s="327"/>
      <c r="F94" s="327"/>
      <c r="H94" s="327"/>
      <c r="J94" s="327"/>
      <c r="M94" s="758"/>
    </row>
    <row r="95" spans="2:13" s="326" customFormat="1" ht="9.9499999999999993" customHeight="1" x14ac:dyDescent="0.2">
      <c r="B95" s="327"/>
      <c r="D95" s="327"/>
      <c r="F95" s="327"/>
      <c r="H95" s="327"/>
      <c r="J95" s="327"/>
      <c r="M95" s="758"/>
    </row>
    <row r="96" spans="2:13" s="326" customFormat="1" ht="9.9499999999999993" customHeight="1" x14ac:dyDescent="0.2">
      <c r="B96" s="327"/>
      <c r="D96" s="327"/>
      <c r="F96" s="327"/>
      <c r="H96" s="327"/>
      <c r="J96" s="327"/>
      <c r="M96" s="758"/>
    </row>
    <row r="97" spans="2:13" s="326" customFormat="1" ht="9.9499999999999993" customHeight="1" x14ac:dyDescent="0.2">
      <c r="B97" s="327"/>
      <c r="D97" s="327"/>
      <c r="F97" s="327"/>
      <c r="H97" s="327"/>
      <c r="J97" s="327"/>
      <c r="M97" s="758"/>
    </row>
    <row r="98" spans="2:13" s="326" customFormat="1" ht="9.9499999999999993" customHeight="1" x14ac:dyDescent="0.2">
      <c r="B98" s="327"/>
      <c r="D98" s="327"/>
      <c r="F98" s="327"/>
      <c r="H98" s="327"/>
      <c r="J98" s="327"/>
      <c r="M98" s="758"/>
    </row>
    <row r="99" spans="2:13" s="326" customFormat="1" ht="9.9499999999999993" customHeight="1" x14ac:dyDescent="0.2">
      <c r="B99" s="327"/>
      <c r="D99" s="327"/>
      <c r="F99" s="327"/>
      <c r="H99" s="327"/>
      <c r="J99" s="327"/>
      <c r="M99" s="758"/>
    </row>
    <row r="100" spans="2:13" s="326" customFormat="1" ht="9.9499999999999993" customHeight="1" x14ac:dyDescent="0.2">
      <c r="B100" s="327"/>
      <c r="D100" s="327"/>
      <c r="F100" s="327"/>
      <c r="H100" s="327"/>
      <c r="J100" s="327"/>
      <c r="M100" s="758"/>
    </row>
    <row r="101" spans="2:13" s="326" customFormat="1" ht="9.9499999999999993" customHeight="1" x14ac:dyDescent="0.2">
      <c r="B101" s="327"/>
      <c r="D101" s="327"/>
      <c r="F101" s="327"/>
      <c r="H101" s="327"/>
      <c r="J101" s="327"/>
      <c r="M101" s="758"/>
    </row>
    <row r="102" spans="2:13" s="326" customFormat="1" ht="9.9499999999999993" customHeight="1" x14ac:dyDescent="0.2">
      <c r="B102" s="327"/>
      <c r="D102" s="327"/>
      <c r="F102" s="327"/>
      <c r="H102" s="327"/>
      <c r="J102" s="327"/>
      <c r="M102" s="758"/>
    </row>
    <row r="103" spans="2:13" s="326" customFormat="1" ht="9.9499999999999993" customHeight="1" x14ac:dyDescent="0.2">
      <c r="B103" s="327"/>
      <c r="D103" s="327"/>
      <c r="F103" s="327"/>
      <c r="H103" s="327"/>
      <c r="J103" s="327"/>
      <c r="M103" s="758"/>
    </row>
    <row r="104" spans="2:13" s="326" customFormat="1" ht="9.9499999999999993" customHeight="1" x14ac:dyDescent="0.2">
      <c r="B104" s="327"/>
      <c r="D104" s="327"/>
      <c r="F104" s="327"/>
      <c r="H104" s="327"/>
      <c r="J104" s="327"/>
      <c r="M104" s="758"/>
    </row>
    <row r="105" spans="2:13" s="326" customFormat="1" ht="9.9499999999999993" customHeight="1" x14ac:dyDescent="0.2">
      <c r="B105" s="327"/>
      <c r="D105" s="327"/>
      <c r="F105" s="327"/>
      <c r="H105" s="327"/>
      <c r="J105" s="327"/>
      <c r="M105" s="758"/>
    </row>
    <row r="106" spans="2:13" s="326" customFormat="1" ht="9.9499999999999993" customHeight="1" x14ac:dyDescent="0.2">
      <c r="B106" s="327"/>
      <c r="D106" s="327"/>
      <c r="F106" s="327"/>
      <c r="H106" s="327"/>
      <c r="J106" s="327"/>
      <c r="M106" s="758"/>
    </row>
    <row r="107" spans="2:13" s="326" customFormat="1" ht="9.9499999999999993" customHeight="1" x14ac:dyDescent="0.2">
      <c r="B107" s="327"/>
      <c r="D107" s="327"/>
      <c r="F107" s="327"/>
      <c r="H107" s="327"/>
      <c r="J107" s="327"/>
      <c r="M107" s="758"/>
    </row>
    <row r="108" spans="2:13" s="326" customFormat="1" ht="9.9499999999999993" customHeight="1" x14ac:dyDescent="0.2">
      <c r="B108" s="327"/>
      <c r="D108" s="327"/>
      <c r="F108" s="327"/>
      <c r="H108" s="327"/>
      <c r="J108" s="327"/>
      <c r="M108" s="758"/>
    </row>
    <row r="109" spans="2:13" s="326" customFormat="1" ht="9.9499999999999993" customHeight="1" x14ac:dyDescent="0.2">
      <c r="B109" s="327"/>
      <c r="D109" s="327"/>
      <c r="F109" s="327"/>
      <c r="H109" s="327"/>
      <c r="J109" s="327"/>
      <c r="M109" s="758"/>
    </row>
    <row r="110" spans="2:13" s="326" customFormat="1" ht="9.9499999999999993" customHeight="1" x14ac:dyDescent="0.2">
      <c r="B110" s="327"/>
      <c r="D110" s="327"/>
      <c r="F110" s="327"/>
      <c r="H110" s="327"/>
      <c r="J110" s="327"/>
      <c r="M110" s="758"/>
    </row>
    <row r="111" spans="2:13" s="326" customFormat="1" ht="9.9499999999999993" customHeight="1" x14ac:dyDescent="0.2">
      <c r="B111" s="327"/>
      <c r="D111" s="327"/>
      <c r="F111" s="327"/>
      <c r="H111" s="327"/>
      <c r="J111" s="327"/>
      <c r="M111" s="758"/>
    </row>
    <row r="112" spans="2:13" s="326" customFormat="1" ht="9.9499999999999993" customHeight="1" x14ac:dyDescent="0.2">
      <c r="B112" s="327"/>
      <c r="D112" s="327"/>
      <c r="F112" s="327"/>
      <c r="H112" s="327"/>
      <c r="J112" s="327"/>
      <c r="M112" s="758"/>
    </row>
    <row r="113" spans="2:13" s="326" customFormat="1" ht="9.9499999999999993" customHeight="1" x14ac:dyDescent="0.2">
      <c r="B113" s="327"/>
      <c r="D113" s="327"/>
      <c r="F113" s="327"/>
      <c r="H113" s="327"/>
      <c r="J113" s="327"/>
      <c r="M113" s="758"/>
    </row>
    <row r="114" spans="2:13" s="326" customFormat="1" ht="9.9499999999999993" customHeight="1" x14ac:dyDescent="0.2">
      <c r="B114" s="327"/>
      <c r="D114" s="327"/>
      <c r="F114" s="327"/>
      <c r="H114" s="327"/>
      <c r="J114" s="327"/>
      <c r="M114" s="758"/>
    </row>
    <row r="115" spans="2:13" s="326" customFormat="1" ht="9.9499999999999993" customHeight="1" x14ac:dyDescent="0.2">
      <c r="B115" s="327"/>
      <c r="D115" s="327"/>
      <c r="F115" s="327"/>
      <c r="H115" s="327"/>
      <c r="J115" s="327"/>
      <c r="M115" s="758"/>
    </row>
    <row r="116" spans="2:13" s="326" customFormat="1" ht="9.9499999999999993" customHeight="1" x14ac:dyDescent="0.2">
      <c r="B116" s="327"/>
      <c r="D116" s="327"/>
      <c r="F116" s="327"/>
      <c r="H116" s="327"/>
      <c r="J116" s="327"/>
      <c r="M116" s="758"/>
    </row>
    <row r="117" spans="2:13" s="326" customFormat="1" ht="9.9499999999999993" customHeight="1" x14ac:dyDescent="0.2">
      <c r="B117" s="327"/>
      <c r="D117" s="327"/>
      <c r="F117" s="327"/>
      <c r="H117" s="327"/>
      <c r="J117" s="327"/>
      <c r="M117" s="758"/>
    </row>
    <row r="118" spans="2:13" s="326" customFormat="1" ht="9.9499999999999993" customHeight="1" x14ac:dyDescent="0.2">
      <c r="B118" s="327"/>
      <c r="D118" s="327"/>
      <c r="F118" s="327"/>
      <c r="H118" s="327"/>
      <c r="J118" s="327"/>
      <c r="M118" s="758"/>
    </row>
    <row r="119" spans="2:13" s="326" customFormat="1" ht="9.9499999999999993" customHeight="1" x14ac:dyDescent="0.2">
      <c r="B119" s="327"/>
      <c r="D119" s="327"/>
      <c r="F119" s="327"/>
      <c r="H119" s="327"/>
      <c r="J119" s="327"/>
      <c r="M119" s="758"/>
    </row>
    <row r="120" spans="2:13" s="326" customFormat="1" ht="9.9499999999999993" customHeight="1" x14ac:dyDescent="0.2">
      <c r="B120" s="327"/>
      <c r="D120" s="327"/>
      <c r="F120" s="327"/>
      <c r="H120" s="327"/>
      <c r="J120" s="327"/>
      <c r="M120" s="758"/>
    </row>
    <row r="121" spans="2:13" s="326" customFormat="1" ht="9.9499999999999993" customHeight="1" x14ac:dyDescent="0.2">
      <c r="B121" s="327"/>
      <c r="D121" s="327"/>
      <c r="F121" s="327"/>
      <c r="H121" s="327"/>
      <c r="J121" s="327"/>
      <c r="M121" s="758"/>
    </row>
    <row r="122" spans="2:13" s="326" customFormat="1" ht="9.9499999999999993" customHeight="1" x14ac:dyDescent="0.2">
      <c r="B122" s="327"/>
      <c r="D122" s="327"/>
      <c r="F122" s="327"/>
      <c r="H122" s="327"/>
      <c r="J122" s="327"/>
      <c r="M122" s="758"/>
    </row>
    <row r="123" spans="2:13" s="326" customFormat="1" ht="9.9499999999999993" customHeight="1" x14ac:dyDescent="0.2">
      <c r="B123" s="327"/>
      <c r="D123" s="327"/>
      <c r="F123" s="327"/>
      <c r="H123" s="327"/>
      <c r="J123" s="327"/>
      <c r="M123" s="758"/>
    </row>
    <row r="124" spans="2:13" s="326" customFormat="1" ht="9.9499999999999993" customHeight="1" x14ac:dyDescent="0.2">
      <c r="B124" s="327"/>
      <c r="D124" s="327"/>
      <c r="F124" s="327"/>
      <c r="H124" s="327"/>
      <c r="J124" s="327"/>
      <c r="M124" s="758"/>
    </row>
    <row r="125" spans="2:13" s="326" customFormat="1" ht="9.9499999999999993" customHeight="1" x14ac:dyDescent="0.2">
      <c r="B125" s="327"/>
      <c r="D125" s="327"/>
      <c r="F125" s="327"/>
      <c r="H125" s="327"/>
      <c r="J125" s="327"/>
      <c r="M125" s="758"/>
    </row>
    <row r="126" spans="2:13" s="326" customFormat="1" ht="9.9499999999999993" customHeight="1" x14ac:dyDescent="0.2">
      <c r="B126" s="327"/>
      <c r="D126" s="327"/>
      <c r="F126" s="327"/>
      <c r="H126" s="327"/>
      <c r="J126" s="327"/>
      <c r="M126" s="758"/>
    </row>
    <row r="127" spans="2:13" s="326" customFormat="1" ht="9.9499999999999993" customHeight="1" x14ac:dyDescent="0.2">
      <c r="B127" s="327"/>
      <c r="D127" s="327"/>
      <c r="F127" s="327"/>
      <c r="H127" s="327"/>
      <c r="J127" s="327"/>
      <c r="M127" s="758"/>
    </row>
    <row r="128" spans="2:13" s="326" customFormat="1" ht="9.9499999999999993" customHeight="1" x14ac:dyDescent="0.2">
      <c r="B128" s="327"/>
      <c r="D128" s="327"/>
      <c r="F128" s="327"/>
      <c r="H128" s="327"/>
      <c r="J128" s="327"/>
      <c r="M128" s="758"/>
    </row>
    <row r="129" spans="2:13" s="326" customFormat="1" ht="9.9499999999999993" customHeight="1" x14ac:dyDescent="0.2">
      <c r="B129" s="327"/>
      <c r="D129" s="327"/>
      <c r="F129" s="327"/>
      <c r="H129" s="327"/>
      <c r="J129" s="327"/>
      <c r="M129" s="758"/>
    </row>
    <row r="130" spans="2:13" s="326" customFormat="1" ht="9.9499999999999993" customHeight="1" x14ac:dyDescent="0.2">
      <c r="B130" s="327"/>
      <c r="D130" s="327"/>
      <c r="F130" s="327"/>
      <c r="H130" s="327"/>
      <c r="J130" s="327"/>
      <c r="M130" s="758"/>
    </row>
    <row r="131" spans="2:13" s="326" customFormat="1" ht="9.9499999999999993" customHeight="1" x14ac:dyDescent="0.2">
      <c r="B131" s="327"/>
      <c r="D131" s="327"/>
      <c r="F131" s="327"/>
      <c r="H131" s="327"/>
      <c r="J131" s="327"/>
      <c r="M131" s="758"/>
    </row>
    <row r="132" spans="2:13" s="326" customFormat="1" ht="9.9499999999999993" customHeight="1" x14ac:dyDescent="0.2">
      <c r="B132" s="327"/>
      <c r="D132" s="327"/>
      <c r="F132" s="327"/>
      <c r="H132" s="327"/>
      <c r="J132" s="327"/>
      <c r="M132" s="758"/>
    </row>
    <row r="133" spans="2:13" s="326" customFormat="1" ht="9.9499999999999993" customHeight="1" x14ac:dyDescent="0.2">
      <c r="B133" s="327"/>
      <c r="D133" s="327"/>
      <c r="F133" s="327"/>
      <c r="H133" s="327"/>
      <c r="J133" s="327"/>
      <c r="M133" s="758"/>
    </row>
    <row r="134" spans="2:13" s="326" customFormat="1" ht="9.9499999999999993" customHeight="1" x14ac:dyDescent="0.2">
      <c r="B134" s="327"/>
      <c r="D134" s="327"/>
      <c r="F134" s="327"/>
      <c r="H134" s="327"/>
      <c r="J134" s="327"/>
      <c r="M134" s="758"/>
    </row>
    <row r="135" spans="2:13" s="326" customFormat="1" ht="9.9499999999999993" customHeight="1" x14ac:dyDescent="0.2">
      <c r="B135" s="327"/>
      <c r="D135" s="327"/>
      <c r="F135" s="327"/>
      <c r="H135" s="327"/>
      <c r="J135" s="327"/>
      <c r="M135" s="758"/>
    </row>
    <row r="136" spans="2:13" s="326" customFormat="1" ht="9.9499999999999993" customHeight="1" x14ac:dyDescent="0.2">
      <c r="B136" s="327"/>
      <c r="D136" s="327"/>
      <c r="F136" s="327"/>
      <c r="H136" s="327"/>
      <c r="J136" s="327"/>
      <c r="M136" s="758"/>
    </row>
    <row r="137" spans="2:13" s="326" customFormat="1" ht="9.9499999999999993" customHeight="1" x14ac:dyDescent="0.2">
      <c r="B137" s="327"/>
      <c r="D137" s="327"/>
      <c r="F137" s="327"/>
      <c r="G137" s="326">
        <v>21</v>
      </c>
      <c r="H137" s="327"/>
      <c r="J137" s="327"/>
      <c r="M137" s="758"/>
    </row>
    <row r="138" spans="2:13" s="326" customFormat="1" ht="9.9499999999999993" customHeight="1" x14ac:dyDescent="0.2">
      <c r="B138" s="327"/>
      <c r="D138" s="327"/>
      <c r="F138" s="327"/>
      <c r="H138" s="327"/>
      <c r="J138" s="327"/>
      <c r="M138" s="758"/>
    </row>
    <row r="139" spans="2:13" s="326" customFormat="1" ht="9.9499999999999993" customHeight="1" x14ac:dyDescent="0.2">
      <c r="B139" s="327"/>
      <c r="D139" s="327"/>
      <c r="F139" s="327"/>
      <c r="H139" s="327"/>
      <c r="J139" s="327"/>
      <c r="M139" s="758"/>
    </row>
    <row r="140" spans="2:13" s="326" customFormat="1" ht="9.9499999999999993" customHeight="1" x14ac:dyDescent="0.2">
      <c r="B140" s="327"/>
      <c r="D140" s="327"/>
      <c r="F140" s="327"/>
      <c r="H140" s="327"/>
      <c r="J140" s="327"/>
      <c r="M140" s="758"/>
    </row>
    <row r="141" spans="2:13" s="326" customFormat="1" ht="9.9499999999999993" customHeight="1" x14ac:dyDescent="0.2">
      <c r="B141" s="327"/>
      <c r="D141" s="327"/>
      <c r="F141" s="327"/>
      <c r="H141" s="327"/>
      <c r="J141" s="327"/>
      <c r="M141" s="758"/>
    </row>
    <row r="142" spans="2:13" s="326" customFormat="1" ht="9.9499999999999993" customHeight="1" x14ac:dyDescent="0.2">
      <c r="B142" s="327"/>
      <c r="D142" s="327"/>
      <c r="F142" s="327"/>
      <c r="H142" s="327"/>
      <c r="J142" s="327"/>
      <c r="M142" s="758"/>
    </row>
    <row r="143" spans="2:13" s="326" customFormat="1" ht="9.9499999999999993" customHeight="1" x14ac:dyDescent="0.2">
      <c r="B143" s="327"/>
      <c r="D143" s="327"/>
      <c r="F143" s="327"/>
      <c r="H143" s="327"/>
      <c r="J143" s="327"/>
      <c r="M143" s="758"/>
    </row>
    <row r="144" spans="2:13" s="326" customFormat="1" ht="9.9499999999999993" customHeight="1" x14ac:dyDescent="0.2">
      <c r="B144" s="327"/>
      <c r="D144" s="327"/>
      <c r="F144" s="327"/>
      <c r="H144" s="327"/>
      <c r="J144" s="327"/>
      <c r="M144" s="758"/>
    </row>
    <row r="145" spans="2:13" s="326" customFormat="1" ht="9.9499999999999993" customHeight="1" x14ac:dyDescent="0.2">
      <c r="B145" s="327"/>
      <c r="D145" s="327"/>
      <c r="F145" s="327"/>
      <c r="H145" s="327"/>
      <c r="J145" s="327"/>
      <c r="M145" s="758"/>
    </row>
    <row r="146" spans="2:13" s="326" customFormat="1" ht="9.9499999999999993" customHeight="1" x14ac:dyDescent="0.2">
      <c r="B146" s="327"/>
      <c r="D146" s="327"/>
      <c r="F146" s="327"/>
      <c r="H146" s="327"/>
      <c r="J146" s="327"/>
      <c r="M146" s="758"/>
    </row>
    <row r="147" spans="2:13" s="326" customFormat="1" ht="9.9499999999999993" customHeight="1" x14ac:dyDescent="0.2">
      <c r="B147" s="327"/>
      <c r="D147" s="327"/>
      <c r="F147" s="327"/>
      <c r="H147" s="327"/>
      <c r="J147" s="327"/>
      <c r="M147" s="758"/>
    </row>
    <row r="148" spans="2:13" s="326" customFormat="1" ht="9.9499999999999993" customHeight="1" x14ac:dyDescent="0.2">
      <c r="B148" s="327"/>
      <c r="D148" s="327"/>
      <c r="F148" s="327"/>
      <c r="H148" s="327"/>
      <c r="J148" s="327"/>
      <c r="M148" s="758"/>
    </row>
    <row r="149" spans="2:13" s="326" customFormat="1" ht="9.9499999999999993" customHeight="1" x14ac:dyDescent="0.2">
      <c r="B149" s="327"/>
      <c r="D149" s="327"/>
      <c r="F149" s="327"/>
      <c r="H149" s="327"/>
      <c r="J149" s="327"/>
      <c r="M149" s="758"/>
    </row>
    <row r="150" spans="2:13" s="326" customFormat="1" ht="9.9499999999999993" customHeight="1" x14ac:dyDescent="0.2">
      <c r="B150" s="327"/>
      <c r="D150" s="327"/>
      <c r="F150" s="327"/>
      <c r="H150" s="327"/>
      <c r="J150" s="327"/>
      <c r="M150" s="758"/>
    </row>
    <row r="151" spans="2:13" s="326" customFormat="1" ht="9.9499999999999993" customHeight="1" x14ac:dyDescent="0.2">
      <c r="B151" s="327"/>
      <c r="D151" s="327"/>
      <c r="F151" s="327"/>
      <c r="H151" s="327"/>
      <c r="J151" s="327"/>
      <c r="M151" s="758"/>
    </row>
    <row r="152" spans="2:13" s="326" customFormat="1" ht="9.9499999999999993" customHeight="1" x14ac:dyDescent="0.2">
      <c r="B152" s="327"/>
      <c r="D152" s="327"/>
      <c r="F152" s="327"/>
      <c r="H152" s="327"/>
      <c r="J152" s="327"/>
      <c r="M152" s="758"/>
    </row>
    <row r="153" spans="2:13" s="326" customFormat="1" ht="9.9499999999999993" customHeight="1" x14ac:dyDescent="0.2">
      <c r="B153" s="327"/>
      <c r="D153" s="327"/>
      <c r="F153" s="327"/>
      <c r="H153" s="327"/>
      <c r="J153" s="327"/>
      <c r="M153" s="758"/>
    </row>
    <row r="154" spans="2:13" s="326" customFormat="1" ht="9.9499999999999993" customHeight="1" x14ac:dyDescent="0.2">
      <c r="B154" s="327"/>
      <c r="D154" s="327"/>
      <c r="F154" s="327"/>
      <c r="H154" s="327"/>
      <c r="J154" s="327"/>
      <c r="M154" s="758"/>
    </row>
    <row r="155" spans="2:13" s="326" customFormat="1" ht="9.9499999999999993" customHeight="1" x14ac:dyDescent="0.2">
      <c r="B155" s="327"/>
      <c r="D155" s="327"/>
      <c r="F155" s="327"/>
      <c r="H155" s="327"/>
      <c r="J155" s="327"/>
      <c r="M155" s="758"/>
    </row>
    <row r="156" spans="2:13" s="326" customFormat="1" ht="9.9499999999999993" customHeight="1" x14ac:dyDescent="0.2">
      <c r="B156" s="327"/>
      <c r="D156" s="327"/>
      <c r="F156" s="327"/>
      <c r="H156" s="327"/>
      <c r="J156" s="327"/>
      <c r="M156" s="758"/>
    </row>
    <row r="157" spans="2:13" s="326" customFormat="1" ht="9.9499999999999993" customHeight="1" x14ac:dyDescent="0.2">
      <c r="B157" s="327"/>
      <c r="D157" s="327"/>
      <c r="F157" s="327"/>
      <c r="H157" s="327"/>
      <c r="J157" s="327"/>
      <c r="M157" s="758"/>
    </row>
    <row r="158" spans="2:13" s="326" customFormat="1" ht="9.9499999999999993" customHeight="1" x14ac:dyDescent="0.2">
      <c r="B158" s="327"/>
      <c r="D158" s="327"/>
      <c r="F158" s="327"/>
      <c r="H158" s="327"/>
      <c r="J158" s="327"/>
      <c r="M158" s="758"/>
    </row>
    <row r="159" spans="2:13" s="326" customFormat="1" ht="9.9499999999999993" customHeight="1" x14ac:dyDescent="0.2">
      <c r="B159" s="327"/>
      <c r="D159" s="327"/>
      <c r="F159" s="327"/>
      <c r="H159" s="327"/>
      <c r="J159" s="327"/>
      <c r="M159" s="758"/>
    </row>
    <row r="160" spans="2:13" s="326" customFormat="1" ht="9.9499999999999993" customHeight="1" x14ac:dyDescent="0.2">
      <c r="B160" s="327"/>
      <c r="D160" s="327"/>
      <c r="F160" s="327"/>
      <c r="H160" s="327"/>
      <c r="J160" s="327"/>
      <c r="M160" s="758"/>
    </row>
    <row r="161" spans="2:13" s="326" customFormat="1" ht="9.9499999999999993" customHeight="1" x14ac:dyDescent="0.2">
      <c r="B161" s="327"/>
      <c r="D161" s="327"/>
      <c r="F161" s="327"/>
      <c r="H161" s="327"/>
      <c r="J161" s="327"/>
      <c r="M161" s="758"/>
    </row>
    <row r="162" spans="2:13" s="326" customFormat="1" ht="9.9499999999999993" customHeight="1" x14ac:dyDescent="0.2">
      <c r="B162" s="327"/>
      <c r="D162" s="327"/>
      <c r="F162" s="327"/>
      <c r="H162" s="327"/>
      <c r="J162" s="327"/>
      <c r="M162" s="758"/>
    </row>
    <row r="163" spans="2:13" s="326" customFormat="1" ht="9.9499999999999993" customHeight="1" x14ac:dyDescent="0.2">
      <c r="B163" s="327"/>
      <c r="D163" s="327"/>
      <c r="F163" s="327"/>
      <c r="H163" s="327"/>
      <c r="J163" s="327"/>
      <c r="M163" s="758"/>
    </row>
    <row r="164" spans="2:13" s="326" customFormat="1" ht="9.9499999999999993" customHeight="1" x14ac:dyDescent="0.2">
      <c r="B164" s="327"/>
      <c r="D164" s="327"/>
      <c r="F164" s="327"/>
      <c r="H164" s="327"/>
      <c r="J164" s="327"/>
      <c r="M164" s="758"/>
    </row>
    <row r="165" spans="2:13" s="326" customFormat="1" ht="9.9499999999999993" customHeight="1" x14ac:dyDescent="0.2">
      <c r="B165" s="327"/>
      <c r="D165" s="327"/>
      <c r="F165" s="327"/>
      <c r="H165" s="327"/>
      <c r="J165" s="327"/>
      <c r="M165" s="758"/>
    </row>
    <row r="166" spans="2:13" s="326" customFormat="1" ht="9.9499999999999993" customHeight="1" x14ac:dyDescent="0.2">
      <c r="B166" s="327"/>
      <c r="D166" s="327"/>
      <c r="F166" s="327"/>
      <c r="H166" s="327"/>
      <c r="J166" s="327"/>
      <c r="M166" s="758"/>
    </row>
    <row r="167" spans="2:13" s="326" customFormat="1" ht="9.9499999999999993" customHeight="1" x14ac:dyDescent="0.2">
      <c r="B167" s="327"/>
      <c r="D167" s="327"/>
      <c r="F167" s="327"/>
      <c r="H167" s="327"/>
      <c r="J167" s="327"/>
      <c r="M167" s="758"/>
    </row>
    <row r="168" spans="2:13" s="326" customFormat="1" ht="9.9499999999999993" customHeight="1" x14ac:dyDescent="0.2">
      <c r="B168" s="327"/>
      <c r="D168" s="327"/>
      <c r="F168" s="327"/>
      <c r="H168" s="327"/>
      <c r="J168" s="327"/>
      <c r="M168" s="758"/>
    </row>
    <row r="169" spans="2:13" s="326" customFormat="1" ht="9.9499999999999993" customHeight="1" x14ac:dyDescent="0.2">
      <c r="B169" s="327"/>
      <c r="D169" s="327"/>
      <c r="F169" s="327"/>
      <c r="H169" s="327"/>
      <c r="J169" s="327"/>
      <c r="M169" s="758"/>
    </row>
    <row r="170" spans="2:13" s="326" customFormat="1" ht="9.9499999999999993" customHeight="1" x14ac:dyDescent="0.2">
      <c r="B170" s="327"/>
      <c r="D170" s="327"/>
      <c r="F170" s="327"/>
      <c r="H170" s="327"/>
      <c r="J170" s="327"/>
      <c r="M170" s="758"/>
    </row>
    <row r="171" spans="2:13" s="326" customFormat="1" ht="9.9499999999999993" customHeight="1" x14ac:dyDescent="0.2">
      <c r="B171" s="327"/>
      <c r="D171" s="327"/>
      <c r="F171" s="327"/>
      <c r="H171" s="327"/>
      <c r="J171" s="327"/>
      <c r="M171" s="758"/>
    </row>
    <row r="172" spans="2:13" s="326" customFormat="1" ht="9.9499999999999993" customHeight="1" x14ac:dyDescent="0.2">
      <c r="B172" s="327"/>
      <c r="D172" s="327"/>
      <c r="F172" s="327"/>
      <c r="H172" s="327"/>
      <c r="J172" s="327"/>
      <c r="M172" s="758"/>
    </row>
    <row r="173" spans="2:13" s="326" customFormat="1" ht="9.9499999999999993" customHeight="1" x14ac:dyDescent="0.2">
      <c r="B173" s="327"/>
      <c r="D173" s="327"/>
      <c r="F173" s="327"/>
      <c r="H173" s="327"/>
      <c r="J173" s="327"/>
      <c r="M173" s="758"/>
    </row>
    <row r="174" spans="2:13" s="326" customFormat="1" ht="9.9499999999999993" customHeight="1" x14ac:dyDescent="0.2">
      <c r="B174" s="327"/>
      <c r="D174" s="327"/>
      <c r="F174" s="327"/>
      <c r="H174" s="327"/>
      <c r="J174" s="327"/>
      <c r="M174" s="758"/>
    </row>
    <row r="175" spans="2:13" s="326" customFormat="1" ht="9.9499999999999993" customHeight="1" x14ac:dyDescent="0.2">
      <c r="B175" s="327"/>
      <c r="D175" s="327"/>
      <c r="F175" s="327"/>
      <c r="H175" s="327"/>
      <c r="J175" s="327"/>
      <c r="M175" s="758"/>
    </row>
    <row r="176" spans="2:13" s="326" customFormat="1" ht="9.9499999999999993" customHeight="1" x14ac:dyDescent="0.2">
      <c r="B176" s="327"/>
      <c r="D176" s="327"/>
      <c r="F176" s="327"/>
      <c r="H176" s="327"/>
      <c r="J176" s="327"/>
      <c r="M176" s="758"/>
    </row>
    <row r="177" spans="2:13" s="326" customFormat="1" ht="9.9499999999999993" customHeight="1" x14ac:dyDescent="0.2">
      <c r="B177" s="327"/>
      <c r="D177" s="327"/>
      <c r="F177" s="327"/>
      <c r="H177" s="327"/>
      <c r="J177" s="327"/>
      <c r="M177" s="758"/>
    </row>
    <row r="178" spans="2:13" s="326" customFormat="1" ht="9.9499999999999993" customHeight="1" x14ac:dyDescent="0.2">
      <c r="B178" s="327"/>
      <c r="D178" s="327"/>
      <c r="F178" s="327"/>
      <c r="H178" s="327"/>
      <c r="J178" s="327"/>
      <c r="M178" s="758"/>
    </row>
    <row r="179" spans="2:13" s="326" customFormat="1" ht="9.9499999999999993" customHeight="1" x14ac:dyDescent="0.2">
      <c r="B179" s="327"/>
      <c r="D179" s="327"/>
      <c r="F179" s="327"/>
      <c r="H179" s="327"/>
      <c r="J179" s="327"/>
      <c r="M179" s="758"/>
    </row>
    <row r="180" spans="2:13" s="326" customFormat="1" ht="9.9499999999999993" customHeight="1" x14ac:dyDescent="0.2">
      <c r="B180" s="327"/>
      <c r="D180" s="327"/>
      <c r="F180" s="327"/>
      <c r="H180" s="327"/>
      <c r="J180" s="327"/>
      <c r="M180" s="758"/>
    </row>
    <row r="181" spans="2:13" s="326" customFormat="1" ht="9.9499999999999993" customHeight="1" x14ac:dyDescent="0.2">
      <c r="B181" s="327"/>
      <c r="D181" s="327"/>
      <c r="F181" s="327"/>
      <c r="H181" s="327"/>
      <c r="J181" s="327"/>
      <c r="M181" s="758"/>
    </row>
    <row r="182" spans="2:13" s="326" customFormat="1" ht="9.9499999999999993" customHeight="1" x14ac:dyDescent="0.2">
      <c r="B182" s="327"/>
      <c r="D182" s="327"/>
      <c r="F182" s="327"/>
      <c r="H182" s="327"/>
      <c r="J182" s="327"/>
      <c r="M182" s="758"/>
    </row>
    <row r="183" spans="2:13" s="326" customFormat="1" ht="9.9499999999999993" customHeight="1" x14ac:dyDescent="0.2">
      <c r="B183" s="327"/>
      <c r="D183" s="327"/>
      <c r="F183" s="327"/>
      <c r="H183" s="327"/>
      <c r="J183" s="327"/>
      <c r="M183" s="758"/>
    </row>
    <row r="184" spans="2:13" s="326" customFormat="1" ht="9.9499999999999993" customHeight="1" x14ac:dyDescent="0.2">
      <c r="B184" s="327"/>
      <c r="D184" s="327"/>
      <c r="F184" s="327"/>
      <c r="H184" s="327"/>
      <c r="J184" s="327"/>
      <c r="M184" s="758"/>
    </row>
    <row r="185" spans="2:13" s="326" customFormat="1" ht="9.9499999999999993" customHeight="1" x14ac:dyDescent="0.2">
      <c r="B185" s="327"/>
      <c r="D185" s="327"/>
      <c r="F185" s="327"/>
      <c r="H185" s="327"/>
      <c r="J185" s="327"/>
      <c r="M185" s="758"/>
    </row>
    <row r="186" spans="2:13" s="326" customFormat="1" ht="9.9499999999999993" customHeight="1" x14ac:dyDescent="0.2">
      <c r="B186" s="327"/>
      <c r="D186" s="327"/>
      <c r="F186" s="327"/>
      <c r="H186" s="327"/>
      <c r="J186" s="327"/>
      <c r="M186" s="758"/>
    </row>
    <row r="187" spans="2:13" s="326" customFormat="1" ht="9.9499999999999993" customHeight="1" x14ac:dyDescent="0.2">
      <c r="B187" s="327"/>
      <c r="D187" s="327"/>
      <c r="F187" s="327"/>
      <c r="H187" s="327"/>
      <c r="J187" s="327"/>
      <c r="M187" s="758"/>
    </row>
    <row r="188" spans="2:13" s="326" customFormat="1" ht="9.9499999999999993" customHeight="1" x14ac:dyDescent="0.2">
      <c r="B188" s="327"/>
      <c r="D188" s="327"/>
      <c r="F188" s="327"/>
      <c r="H188" s="327"/>
      <c r="J188" s="327"/>
      <c r="M188" s="758"/>
    </row>
    <row r="189" spans="2:13" s="326" customFormat="1" ht="9.9499999999999993" customHeight="1" x14ac:dyDescent="0.2">
      <c r="B189" s="327"/>
      <c r="D189" s="327"/>
      <c r="F189" s="327"/>
      <c r="H189" s="327"/>
      <c r="J189" s="327"/>
      <c r="M189" s="758"/>
    </row>
    <row r="190" spans="2:13" s="326" customFormat="1" ht="9.9499999999999993" customHeight="1" x14ac:dyDescent="0.2">
      <c r="B190" s="327"/>
      <c r="D190" s="327"/>
      <c r="F190" s="327"/>
      <c r="H190" s="327"/>
      <c r="J190" s="327"/>
      <c r="M190" s="758"/>
    </row>
    <row r="191" spans="2:13" s="326" customFormat="1" ht="9.9499999999999993" customHeight="1" x14ac:dyDescent="0.2">
      <c r="B191" s="327"/>
      <c r="D191" s="327"/>
      <c r="F191" s="327"/>
      <c r="H191" s="327"/>
      <c r="J191" s="327"/>
      <c r="M191" s="758"/>
    </row>
    <row r="192" spans="2:13" s="326" customFormat="1" ht="9.9499999999999993" customHeight="1" x14ac:dyDescent="0.2">
      <c r="B192" s="327"/>
      <c r="D192" s="327"/>
      <c r="F192" s="327"/>
      <c r="H192" s="327"/>
      <c r="J192" s="327"/>
      <c r="M192" s="758"/>
    </row>
    <row r="193" spans="2:13" s="326" customFormat="1" ht="9.9499999999999993" customHeight="1" x14ac:dyDescent="0.2">
      <c r="B193" s="327"/>
      <c r="D193" s="327"/>
      <c r="F193" s="327"/>
      <c r="H193" s="327"/>
      <c r="J193" s="327"/>
      <c r="M193" s="758"/>
    </row>
    <row r="194" spans="2:13" s="326" customFormat="1" ht="9.9499999999999993" customHeight="1" x14ac:dyDescent="0.2">
      <c r="B194" s="327"/>
      <c r="D194" s="327"/>
      <c r="F194" s="327"/>
      <c r="H194" s="327"/>
      <c r="J194" s="327"/>
      <c r="M194" s="758"/>
    </row>
    <row r="195" spans="2:13" s="326" customFormat="1" ht="9.9499999999999993" customHeight="1" x14ac:dyDescent="0.2">
      <c r="B195" s="327"/>
      <c r="D195" s="327"/>
      <c r="F195" s="327"/>
      <c r="H195" s="327"/>
      <c r="J195" s="327"/>
      <c r="M195" s="758"/>
    </row>
    <row r="196" spans="2:13" s="326" customFormat="1" ht="9.9499999999999993" customHeight="1" x14ac:dyDescent="0.2">
      <c r="B196" s="327"/>
      <c r="D196" s="327"/>
      <c r="F196" s="327"/>
      <c r="H196" s="327"/>
      <c r="J196" s="327"/>
      <c r="M196" s="758"/>
    </row>
    <row r="197" spans="2:13" s="326" customFormat="1" ht="9.9499999999999993" customHeight="1" x14ac:dyDescent="0.2">
      <c r="B197" s="327"/>
      <c r="D197" s="327"/>
      <c r="F197" s="327"/>
      <c r="H197" s="327"/>
      <c r="J197" s="327"/>
      <c r="M197" s="758"/>
    </row>
    <row r="198" spans="2:13" s="326" customFormat="1" ht="9.9499999999999993" customHeight="1" x14ac:dyDescent="0.2">
      <c r="B198" s="327"/>
      <c r="D198" s="327"/>
      <c r="F198" s="327"/>
      <c r="H198" s="327"/>
      <c r="J198" s="327"/>
      <c r="M198" s="758"/>
    </row>
    <row r="199" spans="2:13" s="326" customFormat="1" ht="9.9499999999999993" customHeight="1" x14ac:dyDescent="0.2">
      <c r="B199" s="327"/>
      <c r="D199" s="327"/>
      <c r="F199" s="327"/>
      <c r="H199" s="327"/>
      <c r="J199" s="327"/>
      <c r="M199" s="758"/>
    </row>
    <row r="200" spans="2:13" s="326" customFormat="1" ht="9.9499999999999993" customHeight="1" x14ac:dyDescent="0.2">
      <c r="B200" s="327"/>
      <c r="D200" s="327"/>
      <c r="F200" s="327"/>
      <c r="H200" s="327"/>
      <c r="J200" s="327"/>
      <c r="M200" s="758"/>
    </row>
    <row r="201" spans="2:13" s="326" customFormat="1" ht="9.9499999999999993" customHeight="1" x14ac:dyDescent="0.2">
      <c r="B201" s="327"/>
      <c r="D201" s="327"/>
      <c r="F201" s="327"/>
      <c r="H201" s="327"/>
      <c r="J201" s="327"/>
      <c r="M201" s="758"/>
    </row>
    <row r="202" spans="2:13" s="326" customFormat="1" ht="9.9499999999999993" customHeight="1" x14ac:dyDescent="0.2">
      <c r="B202" s="327"/>
      <c r="D202" s="327"/>
      <c r="F202" s="327"/>
      <c r="H202" s="327"/>
      <c r="J202" s="327"/>
      <c r="M202" s="758"/>
    </row>
    <row r="203" spans="2:13" s="326" customFormat="1" ht="9.9499999999999993" customHeight="1" x14ac:dyDescent="0.2">
      <c r="B203" s="327"/>
      <c r="D203" s="327"/>
      <c r="F203" s="327"/>
      <c r="H203" s="327"/>
      <c r="J203" s="327"/>
      <c r="M203" s="758"/>
    </row>
    <row r="204" spans="2:13" s="326" customFormat="1" ht="9.9499999999999993" customHeight="1" x14ac:dyDescent="0.2">
      <c r="B204" s="327"/>
      <c r="D204" s="327"/>
      <c r="F204" s="327"/>
      <c r="H204" s="327"/>
      <c r="J204" s="327"/>
      <c r="M204" s="758"/>
    </row>
    <row r="205" spans="2:13" s="326" customFormat="1" ht="9.9499999999999993" customHeight="1" x14ac:dyDescent="0.2">
      <c r="B205" s="327"/>
      <c r="D205" s="327"/>
      <c r="F205" s="327"/>
      <c r="H205" s="327"/>
      <c r="J205" s="327"/>
      <c r="M205" s="758"/>
    </row>
    <row r="206" spans="2:13" s="326" customFormat="1" ht="9.9499999999999993" customHeight="1" x14ac:dyDescent="0.2">
      <c r="B206" s="327"/>
      <c r="D206" s="327"/>
      <c r="F206" s="327"/>
      <c r="H206" s="327"/>
      <c r="J206" s="327"/>
      <c r="M206" s="758"/>
    </row>
    <row r="207" spans="2:13" s="326" customFormat="1" ht="9.9499999999999993" customHeight="1" x14ac:dyDescent="0.2">
      <c r="B207" s="327"/>
      <c r="D207" s="327"/>
      <c r="F207" s="327"/>
      <c r="H207" s="327"/>
      <c r="J207" s="327"/>
      <c r="M207" s="758"/>
    </row>
    <row r="208" spans="2:13" s="326" customFormat="1" ht="9.9499999999999993" customHeight="1" x14ac:dyDescent="0.2">
      <c r="B208" s="327"/>
      <c r="D208" s="327"/>
      <c r="F208" s="327"/>
      <c r="H208" s="327"/>
      <c r="J208" s="327"/>
      <c r="M208" s="758"/>
    </row>
    <row r="209" spans="2:13" s="326" customFormat="1" ht="9.9499999999999993" customHeight="1" x14ac:dyDescent="0.2">
      <c r="B209" s="327"/>
      <c r="D209" s="327"/>
      <c r="F209" s="327"/>
      <c r="H209" s="327"/>
      <c r="J209" s="327"/>
      <c r="M209" s="758"/>
    </row>
    <row r="210" spans="2:13" s="326" customFormat="1" ht="9.9499999999999993" customHeight="1" x14ac:dyDescent="0.2">
      <c r="B210" s="327"/>
      <c r="D210" s="327"/>
      <c r="F210" s="327"/>
      <c r="H210" s="327"/>
      <c r="J210" s="327"/>
      <c r="M210" s="758"/>
    </row>
    <row r="211" spans="2:13" s="326" customFormat="1" ht="9.9499999999999993" customHeight="1" x14ac:dyDescent="0.2">
      <c r="B211" s="327"/>
      <c r="D211" s="327"/>
      <c r="F211" s="327"/>
      <c r="H211" s="327"/>
      <c r="J211" s="327"/>
      <c r="M211" s="758"/>
    </row>
    <row r="212" spans="2:13" s="326" customFormat="1" ht="9.9499999999999993" customHeight="1" x14ac:dyDescent="0.2">
      <c r="B212" s="327"/>
      <c r="D212" s="327"/>
      <c r="F212" s="327"/>
      <c r="H212" s="327"/>
      <c r="J212" s="327"/>
      <c r="M212" s="758"/>
    </row>
    <row r="213" spans="2:13" s="326" customFormat="1" ht="9.9499999999999993" customHeight="1" x14ac:dyDescent="0.2">
      <c r="B213" s="327"/>
      <c r="D213" s="327"/>
      <c r="F213" s="327"/>
      <c r="H213" s="327"/>
      <c r="J213" s="327"/>
      <c r="M213" s="758"/>
    </row>
    <row r="214" spans="2:13" s="326" customFormat="1" ht="9.9499999999999993" customHeight="1" x14ac:dyDescent="0.2">
      <c r="B214" s="327"/>
      <c r="D214" s="327"/>
      <c r="F214" s="327"/>
      <c r="H214" s="327"/>
      <c r="J214" s="327"/>
      <c r="M214" s="758"/>
    </row>
    <row r="215" spans="2:13" s="326" customFormat="1" ht="9.9499999999999993" customHeight="1" x14ac:dyDescent="0.2">
      <c r="B215" s="327"/>
      <c r="D215" s="327"/>
      <c r="F215" s="327"/>
      <c r="H215" s="327"/>
      <c r="J215" s="327"/>
      <c r="M215" s="758"/>
    </row>
    <row r="216" spans="2:13" s="326" customFormat="1" ht="9.9499999999999993" customHeight="1" x14ac:dyDescent="0.2">
      <c r="B216" s="327"/>
      <c r="D216" s="327"/>
      <c r="F216" s="327"/>
      <c r="H216" s="327"/>
      <c r="J216" s="327"/>
      <c r="M216" s="758"/>
    </row>
    <row r="217" spans="2:13" s="326" customFormat="1" ht="9.9499999999999993" customHeight="1" x14ac:dyDescent="0.2">
      <c r="B217" s="327"/>
      <c r="D217" s="327"/>
      <c r="F217" s="327"/>
      <c r="H217" s="327"/>
      <c r="J217" s="327"/>
      <c r="M217" s="758"/>
    </row>
    <row r="218" spans="2:13" s="326" customFormat="1" ht="9.9499999999999993" customHeight="1" x14ac:dyDescent="0.2">
      <c r="B218" s="327"/>
      <c r="D218" s="327"/>
      <c r="F218" s="327"/>
      <c r="H218" s="327"/>
      <c r="J218" s="327"/>
      <c r="M218" s="758"/>
    </row>
    <row r="219" spans="2:13" s="326" customFormat="1" ht="9.9499999999999993" customHeight="1" x14ac:dyDescent="0.2">
      <c r="B219" s="327"/>
      <c r="D219" s="327"/>
      <c r="F219" s="327"/>
      <c r="H219" s="327"/>
      <c r="J219" s="327"/>
      <c r="M219" s="758"/>
    </row>
    <row r="220" spans="2:13" s="326" customFormat="1" ht="9.9499999999999993" customHeight="1" x14ac:dyDescent="0.2">
      <c r="B220" s="327"/>
      <c r="D220" s="327"/>
      <c r="F220" s="327"/>
      <c r="H220" s="327"/>
      <c r="J220" s="327"/>
      <c r="M220" s="758"/>
    </row>
    <row r="221" spans="2:13" s="326" customFormat="1" ht="9.9499999999999993" customHeight="1" x14ac:dyDescent="0.2">
      <c r="B221" s="327"/>
      <c r="D221" s="327"/>
      <c r="F221" s="327"/>
      <c r="H221" s="327"/>
      <c r="J221" s="327"/>
      <c r="M221" s="758"/>
    </row>
    <row r="222" spans="2:13" s="326" customFormat="1" ht="9.9499999999999993" customHeight="1" x14ac:dyDescent="0.2">
      <c r="B222" s="327"/>
      <c r="D222" s="327"/>
      <c r="F222" s="327"/>
      <c r="H222" s="327"/>
      <c r="J222" s="327"/>
      <c r="M222" s="758"/>
    </row>
    <row r="223" spans="2:13" s="326" customFormat="1" ht="9.9499999999999993" customHeight="1" x14ac:dyDescent="0.2">
      <c r="B223" s="327"/>
      <c r="D223" s="327"/>
      <c r="F223" s="327"/>
      <c r="H223" s="327"/>
      <c r="J223" s="327"/>
      <c r="M223" s="758"/>
    </row>
    <row r="224" spans="2:13" s="326" customFormat="1" ht="9.9499999999999993" customHeight="1" x14ac:dyDescent="0.2">
      <c r="B224" s="327"/>
      <c r="D224" s="327"/>
      <c r="F224" s="327"/>
      <c r="H224" s="327"/>
      <c r="J224" s="327"/>
      <c r="M224" s="758"/>
    </row>
    <row r="225" spans="2:13" s="326" customFormat="1" ht="9.9499999999999993" customHeight="1" x14ac:dyDescent="0.2">
      <c r="B225" s="327"/>
      <c r="D225" s="327"/>
      <c r="F225" s="327"/>
      <c r="H225" s="327"/>
      <c r="J225" s="327"/>
      <c r="M225" s="758"/>
    </row>
    <row r="226" spans="2:13" s="326" customFormat="1" ht="9.9499999999999993" customHeight="1" x14ac:dyDescent="0.2">
      <c r="B226" s="327"/>
      <c r="D226" s="327"/>
      <c r="F226" s="327"/>
      <c r="H226" s="327"/>
      <c r="J226" s="327"/>
      <c r="M226" s="758"/>
    </row>
    <row r="227" spans="2:13" s="326" customFormat="1" ht="9.9499999999999993" customHeight="1" x14ac:dyDescent="0.2">
      <c r="B227" s="327"/>
      <c r="D227" s="327"/>
      <c r="F227" s="327"/>
      <c r="H227" s="327"/>
      <c r="J227" s="327"/>
      <c r="M227" s="758"/>
    </row>
    <row r="228" spans="2:13" s="326" customFormat="1" ht="9.9499999999999993" customHeight="1" x14ac:dyDescent="0.2">
      <c r="B228" s="327"/>
      <c r="D228" s="327"/>
      <c r="F228" s="327"/>
      <c r="H228" s="327"/>
      <c r="J228" s="327"/>
      <c r="M228" s="758"/>
    </row>
    <row r="229" spans="2:13" s="326" customFormat="1" ht="9.9499999999999993" customHeight="1" x14ac:dyDescent="0.2">
      <c r="B229" s="327"/>
      <c r="D229" s="327"/>
      <c r="F229" s="327"/>
      <c r="H229" s="327"/>
      <c r="J229" s="327"/>
      <c r="M229" s="758"/>
    </row>
    <row r="230" spans="2:13" s="326" customFormat="1" ht="9.9499999999999993" customHeight="1" x14ac:dyDescent="0.2">
      <c r="B230" s="327"/>
      <c r="D230" s="327"/>
      <c r="F230" s="327"/>
      <c r="H230" s="327"/>
      <c r="J230" s="327"/>
      <c r="M230" s="758"/>
    </row>
    <row r="231" spans="2:13" s="326" customFormat="1" ht="9.9499999999999993" customHeight="1" x14ac:dyDescent="0.2">
      <c r="B231" s="327"/>
      <c r="D231" s="327"/>
      <c r="F231" s="327"/>
      <c r="H231" s="327"/>
      <c r="J231" s="327"/>
      <c r="M231" s="758"/>
    </row>
    <row r="232" spans="2:13" s="326" customFormat="1" ht="9.9499999999999993" customHeight="1" x14ac:dyDescent="0.2">
      <c r="B232" s="327"/>
      <c r="D232" s="327"/>
      <c r="F232" s="327"/>
      <c r="H232" s="327"/>
      <c r="J232" s="327"/>
      <c r="M232" s="758"/>
    </row>
    <row r="233" spans="2:13" s="326" customFormat="1" ht="9.9499999999999993" customHeight="1" x14ac:dyDescent="0.2">
      <c r="B233" s="327"/>
      <c r="D233" s="327"/>
      <c r="F233" s="327"/>
      <c r="H233" s="327"/>
      <c r="J233" s="327"/>
      <c r="M233" s="758"/>
    </row>
    <row r="234" spans="2:13" s="326" customFormat="1" ht="9.9499999999999993" customHeight="1" x14ac:dyDescent="0.2">
      <c r="B234" s="327"/>
      <c r="D234" s="327"/>
      <c r="F234" s="327"/>
      <c r="H234" s="327"/>
      <c r="J234" s="327"/>
      <c r="M234" s="758"/>
    </row>
    <row r="235" spans="2:13" s="326" customFormat="1" ht="9.9499999999999993" customHeight="1" x14ac:dyDescent="0.2">
      <c r="B235" s="327"/>
      <c r="D235" s="327"/>
      <c r="F235" s="327"/>
      <c r="H235" s="327"/>
      <c r="J235" s="327"/>
      <c r="M235" s="758"/>
    </row>
    <row r="236" spans="2:13" s="326" customFormat="1" ht="9.9499999999999993" customHeight="1" x14ac:dyDescent="0.2">
      <c r="B236" s="327"/>
      <c r="D236" s="327"/>
      <c r="F236" s="327"/>
      <c r="H236" s="327"/>
      <c r="J236" s="327"/>
      <c r="M236" s="758"/>
    </row>
    <row r="237" spans="2:13" s="326" customFormat="1" ht="9.9499999999999993" customHeight="1" x14ac:dyDescent="0.2">
      <c r="B237" s="327"/>
      <c r="D237" s="327"/>
      <c r="F237" s="327"/>
      <c r="H237" s="327"/>
      <c r="J237" s="327"/>
      <c r="M237" s="758"/>
    </row>
    <row r="238" spans="2:13" s="326" customFormat="1" ht="9.9499999999999993" customHeight="1" x14ac:dyDescent="0.2">
      <c r="B238" s="327"/>
      <c r="D238" s="327"/>
      <c r="F238" s="327"/>
      <c r="H238" s="327"/>
      <c r="J238" s="327"/>
      <c r="M238" s="758"/>
    </row>
    <row r="239" spans="2:13" s="326" customFormat="1" ht="9.9499999999999993" customHeight="1" x14ac:dyDescent="0.2">
      <c r="B239" s="327"/>
      <c r="D239" s="327"/>
      <c r="F239" s="327"/>
      <c r="H239" s="327"/>
      <c r="J239" s="327"/>
      <c r="M239" s="758"/>
    </row>
    <row r="240" spans="2:13" s="326" customFormat="1" ht="9.9499999999999993" customHeight="1" x14ac:dyDescent="0.2">
      <c r="B240" s="327"/>
      <c r="D240" s="327"/>
      <c r="F240" s="327"/>
      <c r="H240" s="327"/>
      <c r="J240" s="327"/>
      <c r="M240" s="758"/>
    </row>
    <row r="241" spans="2:13" s="326" customFormat="1" ht="9.9499999999999993" customHeight="1" x14ac:dyDescent="0.2">
      <c r="B241" s="327"/>
      <c r="D241" s="327"/>
      <c r="F241" s="327"/>
      <c r="H241" s="327"/>
      <c r="J241" s="327"/>
      <c r="M241" s="758"/>
    </row>
    <row r="242" spans="2:13" s="326" customFormat="1" ht="9.9499999999999993" customHeight="1" x14ac:dyDescent="0.2">
      <c r="B242" s="327"/>
      <c r="D242" s="327"/>
      <c r="F242" s="327"/>
      <c r="H242" s="327"/>
      <c r="J242" s="327"/>
      <c r="M242" s="758"/>
    </row>
    <row r="243" spans="2:13" s="326" customFormat="1" ht="9.9499999999999993" customHeight="1" x14ac:dyDescent="0.2">
      <c r="B243" s="327"/>
      <c r="D243" s="327"/>
      <c r="F243" s="327"/>
      <c r="H243" s="327"/>
      <c r="J243" s="327"/>
      <c r="M243" s="758"/>
    </row>
    <row r="244" spans="2:13" s="326" customFormat="1" ht="9.9499999999999993" customHeight="1" x14ac:dyDescent="0.2">
      <c r="B244" s="327"/>
      <c r="D244" s="327"/>
      <c r="F244" s="327"/>
      <c r="H244" s="327"/>
      <c r="J244" s="327"/>
      <c r="M244" s="758"/>
    </row>
    <row r="245" spans="2:13" s="326" customFormat="1" ht="9.9499999999999993" customHeight="1" x14ac:dyDescent="0.2">
      <c r="B245" s="327"/>
      <c r="D245" s="327"/>
      <c r="F245" s="327"/>
      <c r="H245" s="327"/>
      <c r="J245" s="327"/>
      <c r="M245" s="758"/>
    </row>
    <row r="246" spans="2:13" s="326" customFormat="1" ht="9.9499999999999993" customHeight="1" x14ac:dyDescent="0.2">
      <c r="B246" s="327"/>
      <c r="D246" s="327"/>
      <c r="F246" s="327"/>
      <c r="H246" s="327"/>
      <c r="J246" s="327"/>
      <c r="M246" s="758"/>
    </row>
    <row r="247" spans="2:13" s="326" customFormat="1" ht="9.9499999999999993" customHeight="1" x14ac:dyDescent="0.2">
      <c r="B247" s="327"/>
      <c r="D247" s="327"/>
      <c r="F247" s="327"/>
      <c r="H247" s="327"/>
      <c r="J247" s="327"/>
      <c r="M247" s="758"/>
    </row>
    <row r="248" spans="2:13" s="326" customFormat="1" ht="9.9499999999999993" customHeight="1" x14ac:dyDescent="0.2">
      <c r="B248" s="327"/>
      <c r="D248" s="327"/>
      <c r="F248" s="327"/>
      <c r="H248" s="327"/>
      <c r="J248" s="327"/>
      <c r="M248" s="758"/>
    </row>
    <row r="249" spans="2:13" s="326" customFormat="1" ht="9.9499999999999993" customHeight="1" x14ac:dyDescent="0.2">
      <c r="B249" s="327"/>
      <c r="D249" s="327"/>
      <c r="F249" s="327"/>
      <c r="H249" s="327"/>
      <c r="J249" s="327"/>
      <c r="M249" s="758"/>
    </row>
    <row r="250" spans="2:13" s="326" customFormat="1" ht="9.9499999999999993" customHeight="1" x14ac:dyDescent="0.2">
      <c r="B250" s="327"/>
      <c r="D250" s="327"/>
      <c r="F250" s="327"/>
      <c r="H250" s="327"/>
      <c r="J250" s="327"/>
      <c r="M250" s="758"/>
    </row>
    <row r="251" spans="2:13" s="326" customFormat="1" ht="9.9499999999999993" customHeight="1" x14ac:dyDescent="0.2">
      <c r="B251" s="327"/>
      <c r="D251" s="327"/>
      <c r="F251" s="327"/>
      <c r="H251" s="327"/>
      <c r="J251" s="327"/>
      <c r="M251" s="758"/>
    </row>
    <row r="252" spans="2:13" s="326" customFormat="1" ht="9.9499999999999993" customHeight="1" x14ac:dyDescent="0.2">
      <c r="B252" s="327"/>
      <c r="D252" s="327"/>
      <c r="F252" s="327"/>
      <c r="H252" s="327"/>
      <c r="J252" s="327"/>
      <c r="M252" s="758"/>
    </row>
    <row r="253" spans="2:13" s="326" customFormat="1" ht="9.9499999999999993" customHeight="1" x14ac:dyDescent="0.2">
      <c r="B253" s="327"/>
      <c r="D253" s="327"/>
      <c r="F253" s="327"/>
      <c r="H253" s="327"/>
      <c r="J253" s="327"/>
      <c r="M253" s="758"/>
    </row>
    <row r="254" spans="2:13" s="326" customFormat="1" ht="9.9499999999999993" customHeight="1" x14ac:dyDescent="0.2">
      <c r="B254" s="327"/>
      <c r="D254" s="327"/>
      <c r="F254" s="327"/>
      <c r="H254" s="327"/>
      <c r="J254" s="327"/>
      <c r="M254" s="758"/>
    </row>
    <row r="255" spans="2:13" s="326" customFormat="1" ht="9.9499999999999993" customHeight="1" x14ac:dyDescent="0.2">
      <c r="B255" s="327"/>
      <c r="D255" s="327"/>
      <c r="F255" s="327"/>
      <c r="H255" s="327"/>
      <c r="J255" s="327"/>
      <c r="M255" s="758"/>
    </row>
    <row r="256" spans="2:13" s="326" customFormat="1" ht="9.9499999999999993" customHeight="1" x14ac:dyDescent="0.2">
      <c r="B256" s="327"/>
      <c r="D256" s="327"/>
      <c r="F256" s="327"/>
      <c r="H256" s="327"/>
      <c r="J256" s="327"/>
      <c r="M256" s="758"/>
    </row>
    <row r="257" spans="2:13" s="326" customFormat="1" ht="9.9499999999999993" customHeight="1" x14ac:dyDescent="0.2">
      <c r="B257" s="327"/>
      <c r="D257" s="327"/>
      <c r="F257" s="327"/>
      <c r="H257" s="327"/>
      <c r="J257" s="327"/>
      <c r="M257" s="758"/>
    </row>
    <row r="258" spans="2:13" s="326" customFormat="1" ht="9.9499999999999993" customHeight="1" x14ac:dyDescent="0.2">
      <c r="B258" s="327"/>
      <c r="D258" s="327"/>
      <c r="F258" s="327"/>
      <c r="H258" s="327"/>
      <c r="J258" s="327"/>
      <c r="M258" s="758"/>
    </row>
    <row r="259" spans="2:13" s="326" customFormat="1" ht="9.9499999999999993" customHeight="1" x14ac:dyDescent="0.2">
      <c r="B259" s="327"/>
      <c r="D259" s="327"/>
      <c r="F259" s="327"/>
      <c r="H259" s="327"/>
      <c r="J259" s="327"/>
      <c r="M259" s="758"/>
    </row>
    <row r="260" spans="2:13" s="326" customFormat="1" ht="9.9499999999999993" customHeight="1" x14ac:dyDescent="0.2">
      <c r="B260" s="327"/>
      <c r="D260" s="327"/>
      <c r="F260" s="327"/>
      <c r="H260" s="327"/>
      <c r="J260" s="327"/>
      <c r="M260" s="758"/>
    </row>
    <row r="261" spans="2:13" s="326" customFormat="1" ht="9.9499999999999993" customHeight="1" x14ac:dyDescent="0.2">
      <c r="B261" s="327"/>
      <c r="D261" s="327"/>
      <c r="F261" s="327"/>
      <c r="H261" s="327"/>
      <c r="J261" s="327"/>
      <c r="M261" s="758"/>
    </row>
    <row r="262" spans="2:13" s="326" customFormat="1" ht="9.9499999999999993" customHeight="1" x14ac:dyDescent="0.2">
      <c r="B262" s="327"/>
      <c r="D262" s="327"/>
      <c r="F262" s="327"/>
      <c r="H262" s="327"/>
      <c r="J262" s="327"/>
      <c r="M262" s="758"/>
    </row>
    <row r="263" spans="2:13" s="326" customFormat="1" ht="9.9499999999999993" customHeight="1" x14ac:dyDescent="0.2">
      <c r="B263" s="327"/>
      <c r="D263" s="327"/>
      <c r="F263" s="327"/>
      <c r="H263" s="327"/>
      <c r="J263" s="327"/>
      <c r="M263" s="758"/>
    </row>
    <row r="264" spans="2:13" s="326" customFormat="1" ht="9.9499999999999993" customHeight="1" x14ac:dyDescent="0.2">
      <c r="B264" s="327"/>
      <c r="D264" s="327"/>
      <c r="F264" s="327"/>
      <c r="H264" s="327"/>
      <c r="J264" s="327"/>
      <c r="M264" s="758"/>
    </row>
    <row r="265" spans="2:13" s="326" customFormat="1" ht="9.9499999999999993" customHeight="1" x14ac:dyDescent="0.2">
      <c r="B265" s="327"/>
      <c r="D265" s="327"/>
      <c r="F265" s="327"/>
      <c r="H265" s="327"/>
      <c r="J265" s="327"/>
      <c r="M265" s="758"/>
    </row>
    <row r="266" spans="2:13" s="326" customFormat="1" ht="9.9499999999999993" customHeight="1" x14ac:dyDescent="0.2">
      <c r="B266" s="327"/>
      <c r="D266" s="327"/>
      <c r="F266" s="327"/>
      <c r="H266" s="327"/>
      <c r="J266" s="327"/>
      <c r="M266" s="758"/>
    </row>
    <row r="267" spans="2:13" s="326" customFormat="1" ht="9.9499999999999993" customHeight="1" x14ac:dyDescent="0.2">
      <c r="B267" s="327"/>
      <c r="D267" s="327"/>
      <c r="F267" s="327"/>
      <c r="H267" s="327"/>
      <c r="J267" s="327"/>
      <c r="M267" s="758"/>
    </row>
    <row r="268" spans="2:13" s="326" customFormat="1" ht="9.9499999999999993" customHeight="1" x14ac:dyDescent="0.2">
      <c r="B268" s="327"/>
      <c r="D268" s="327"/>
      <c r="F268" s="327"/>
      <c r="H268" s="327"/>
      <c r="J268" s="327"/>
      <c r="M268" s="758"/>
    </row>
    <row r="269" spans="2:13" s="326" customFormat="1" ht="9.9499999999999993" customHeight="1" x14ac:dyDescent="0.2">
      <c r="B269" s="327"/>
      <c r="D269" s="327"/>
      <c r="F269" s="327"/>
      <c r="H269" s="327"/>
      <c r="J269" s="327"/>
      <c r="M269" s="758"/>
    </row>
    <row r="270" spans="2:13" s="326" customFormat="1" ht="9.9499999999999993" customHeight="1" x14ac:dyDescent="0.2">
      <c r="B270" s="327"/>
      <c r="D270" s="327"/>
      <c r="F270" s="327"/>
      <c r="H270" s="327"/>
      <c r="J270" s="327"/>
      <c r="M270" s="758"/>
    </row>
    <row r="271" spans="2:13" s="326" customFormat="1" ht="9.9499999999999993" customHeight="1" x14ac:dyDescent="0.2">
      <c r="B271" s="327"/>
      <c r="D271" s="327"/>
      <c r="F271" s="327"/>
      <c r="H271" s="327"/>
      <c r="J271" s="327"/>
      <c r="M271" s="758"/>
    </row>
    <row r="272" spans="2:13" s="326" customFormat="1" ht="9.9499999999999993" customHeight="1" x14ac:dyDescent="0.2">
      <c r="B272" s="327"/>
      <c r="D272" s="327"/>
      <c r="F272" s="327"/>
      <c r="H272" s="327"/>
      <c r="J272" s="327"/>
      <c r="M272" s="758"/>
    </row>
    <row r="273" spans="2:13" s="326" customFormat="1" ht="9.9499999999999993" customHeight="1" x14ac:dyDescent="0.2">
      <c r="B273" s="327"/>
      <c r="D273" s="327"/>
      <c r="F273" s="327"/>
      <c r="H273" s="327"/>
      <c r="J273" s="327"/>
      <c r="M273" s="758"/>
    </row>
    <row r="274" spans="2:13" s="326" customFormat="1" ht="9.9499999999999993" customHeight="1" x14ac:dyDescent="0.2">
      <c r="B274" s="327"/>
      <c r="D274" s="327"/>
      <c r="F274" s="327"/>
      <c r="H274" s="327"/>
      <c r="J274" s="327"/>
      <c r="M274" s="758"/>
    </row>
    <row r="275" spans="2:13" s="326" customFormat="1" ht="9.9499999999999993" customHeight="1" x14ac:dyDescent="0.2">
      <c r="B275" s="327"/>
      <c r="D275" s="327"/>
      <c r="F275" s="327"/>
      <c r="H275" s="327"/>
      <c r="J275" s="327"/>
      <c r="M275" s="758"/>
    </row>
    <row r="276" spans="2:13" s="326" customFormat="1" ht="9.9499999999999993" customHeight="1" x14ac:dyDescent="0.2">
      <c r="B276" s="327"/>
      <c r="D276" s="327"/>
      <c r="F276" s="327"/>
      <c r="H276" s="327"/>
      <c r="J276" s="327"/>
      <c r="M276" s="758"/>
    </row>
    <row r="277" spans="2:13" s="326" customFormat="1" ht="9.9499999999999993" customHeight="1" x14ac:dyDescent="0.2">
      <c r="B277" s="327"/>
      <c r="D277" s="327"/>
      <c r="F277" s="327"/>
      <c r="H277" s="327"/>
      <c r="J277" s="327"/>
      <c r="M277" s="758"/>
    </row>
    <row r="278" spans="2:13" s="326" customFormat="1" ht="9.9499999999999993" customHeight="1" x14ac:dyDescent="0.2">
      <c r="B278" s="327"/>
      <c r="D278" s="327"/>
      <c r="F278" s="327"/>
      <c r="H278" s="327"/>
      <c r="J278" s="327"/>
      <c r="M278" s="758"/>
    </row>
    <row r="279" spans="2:13" s="326" customFormat="1" ht="9.9499999999999993" customHeight="1" x14ac:dyDescent="0.2">
      <c r="B279" s="327"/>
      <c r="D279" s="327"/>
      <c r="F279" s="327"/>
      <c r="H279" s="327"/>
      <c r="J279" s="327"/>
      <c r="M279" s="758"/>
    </row>
    <row r="280" spans="2:13" s="326" customFormat="1" ht="9.9499999999999993" customHeight="1" x14ac:dyDescent="0.2">
      <c r="B280" s="327"/>
      <c r="D280" s="327"/>
      <c r="F280" s="327"/>
      <c r="H280" s="327"/>
      <c r="J280" s="327"/>
      <c r="M280" s="758"/>
    </row>
    <row r="281" spans="2:13" s="326" customFormat="1" ht="9.9499999999999993" customHeight="1" x14ac:dyDescent="0.2">
      <c r="B281" s="327"/>
      <c r="D281" s="327"/>
      <c r="F281" s="327"/>
      <c r="H281" s="327"/>
      <c r="J281" s="327"/>
      <c r="M281" s="758"/>
    </row>
    <row r="282" spans="2:13" s="326" customFormat="1" ht="9.9499999999999993" customHeight="1" x14ac:dyDescent="0.2">
      <c r="B282" s="327"/>
      <c r="D282" s="327"/>
      <c r="F282" s="327"/>
      <c r="H282" s="327"/>
      <c r="J282" s="327"/>
      <c r="M282" s="758"/>
    </row>
    <row r="283" spans="2:13" s="326" customFormat="1" ht="9.9499999999999993" customHeight="1" x14ac:dyDescent="0.2">
      <c r="B283" s="327"/>
      <c r="D283" s="327"/>
      <c r="F283" s="327"/>
      <c r="H283" s="327"/>
      <c r="J283" s="327"/>
      <c r="M283" s="758"/>
    </row>
    <row r="284" spans="2:13" s="326" customFormat="1" ht="9.9499999999999993" customHeight="1" x14ac:dyDescent="0.2">
      <c r="B284" s="327"/>
      <c r="D284" s="327"/>
      <c r="F284" s="327"/>
      <c r="H284" s="327"/>
      <c r="J284" s="327"/>
      <c r="M284" s="758"/>
    </row>
    <row r="285" spans="2:13" s="326" customFormat="1" ht="9.9499999999999993" customHeight="1" x14ac:dyDescent="0.2">
      <c r="B285" s="327"/>
      <c r="D285" s="327"/>
      <c r="F285" s="327"/>
      <c r="H285" s="327"/>
      <c r="J285" s="327"/>
      <c r="M285" s="758"/>
    </row>
    <row r="286" spans="2:13" s="326" customFormat="1" ht="9.9499999999999993" customHeight="1" x14ac:dyDescent="0.2">
      <c r="B286" s="327"/>
      <c r="D286" s="327"/>
      <c r="F286" s="327"/>
      <c r="H286" s="327"/>
      <c r="J286" s="327"/>
      <c r="M286" s="758"/>
    </row>
    <row r="287" spans="2:13" s="326" customFormat="1" ht="9.9499999999999993" customHeight="1" x14ac:dyDescent="0.2">
      <c r="B287" s="327"/>
      <c r="D287" s="327"/>
      <c r="F287" s="327"/>
      <c r="H287" s="327"/>
      <c r="J287" s="327"/>
      <c r="M287" s="758"/>
    </row>
    <row r="288" spans="2:13" s="326" customFormat="1" ht="9.9499999999999993" customHeight="1" x14ac:dyDescent="0.2">
      <c r="B288" s="327"/>
      <c r="D288" s="327"/>
      <c r="F288" s="327"/>
      <c r="H288" s="327"/>
      <c r="J288" s="327"/>
      <c r="M288" s="758"/>
    </row>
    <row r="289" spans="2:13" s="326" customFormat="1" ht="9.9499999999999993" customHeight="1" x14ac:dyDescent="0.2">
      <c r="B289" s="327"/>
      <c r="D289" s="327"/>
      <c r="F289" s="327"/>
      <c r="H289" s="327"/>
      <c r="J289" s="327"/>
      <c r="M289" s="758"/>
    </row>
    <row r="290" spans="2:13" s="326" customFormat="1" ht="9.9499999999999993" customHeight="1" x14ac:dyDescent="0.2">
      <c r="B290" s="327"/>
      <c r="D290" s="327"/>
      <c r="F290" s="327"/>
      <c r="H290" s="327"/>
      <c r="J290" s="327"/>
      <c r="M290" s="758"/>
    </row>
    <row r="291" spans="2:13" s="326" customFormat="1" ht="9.9499999999999993" customHeight="1" x14ac:dyDescent="0.2">
      <c r="B291" s="327"/>
      <c r="D291" s="327"/>
      <c r="F291" s="327"/>
      <c r="H291" s="327"/>
      <c r="J291" s="327"/>
      <c r="M291" s="758"/>
    </row>
    <row r="292" spans="2:13" s="326" customFormat="1" ht="9.9499999999999993" customHeight="1" x14ac:dyDescent="0.2">
      <c r="B292" s="327"/>
      <c r="D292" s="327"/>
      <c r="F292" s="327"/>
      <c r="H292" s="327"/>
      <c r="J292" s="327"/>
      <c r="M292" s="758"/>
    </row>
    <row r="293" spans="2:13" s="326" customFormat="1" ht="9.9499999999999993" customHeight="1" x14ac:dyDescent="0.2">
      <c r="B293" s="327"/>
      <c r="D293" s="327"/>
      <c r="F293" s="327"/>
      <c r="H293" s="327"/>
      <c r="J293" s="327"/>
      <c r="M293" s="758"/>
    </row>
    <row r="294" spans="2:13" s="326" customFormat="1" ht="9.9499999999999993" customHeight="1" x14ac:dyDescent="0.2">
      <c r="B294" s="327"/>
      <c r="D294" s="327"/>
      <c r="F294" s="327"/>
      <c r="H294" s="327"/>
      <c r="J294" s="327"/>
      <c r="M294" s="758"/>
    </row>
    <row r="295" spans="2:13" s="326" customFormat="1" ht="9.9499999999999993" customHeight="1" x14ac:dyDescent="0.2">
      <c r="B295" s="327"/>
      <c r="D295" s="327"/>
      <c r="F295" s="327"/>
      <c r="H295" s="327"/>
      <c r="J295" s="327"/>
      <c r="M295" s="758"/>
    </row>
    <row r="296" spans="2:13" s="326" customFormat="1" ht="9.9499999999999993" customHeight="1" x14ac:dyDescent="0.2">
      <c r="B296" s="327"/>
      <c r="D296" s="327"/>
      <c r="F296" s="327"/>
      <c r="H296" s="327"/>
      <c r="J296" s="327"/>
      <c r="M296" s="758"/>
    </row>
    <row r="297" spans="2:13" s="326" customFormat="1" ht="9.9499999999999993" customHeight="1" x14ac:dyDescent="0.2">
      <c r="B297" s="327"/>
      <c r="D297" s="327"/>
      <c r="F297" s="327"/>
      <c r="H297" s="327"/>
      <c r="J297" s="327"/>
      <c r="M297" s="758"/>
    </row>
    <row r="298" spans="2:13" s="326" customFormat="1" ht="9.9499999999999993" customHeight="1" x14ac:dyDescent="0.2">
      <c r="B298" s="327"/>
      <c r="D298" s="327"/>
      <c r="F298" s="327"/>
      <c r="H298" s="327"/>
      <c r="J298" s="327"/>
      <c r="M298" s="758"/>
    </row>
    <row r="299" spans="2:13" s="326" customFormat="1" ht="9.9499999999999993" customHeight="1" x14ac:dyDescent="0.2">
      <c r="B299" s="327"/>
      <c r="D299" s="327"/>
      <c r="F299" s="327"/>
      <c r="H299" s="327"/>
      <c r="J299" s="327"/>
      <c r="M299" s="758"/>
    </row>
    <row r="300" spans="2:13" s="326" customFormat="1" ht="9.9499999999999993" customHeight="1" x14ac:dyDescent="0.2">
      <c r="B300" s="327"/>
      <c r="D300" s="327"/>
      <c r="F300" s="327"/>
      <c r="H300" s="327"/>
      <c r="J300" s="327"/>
      <c r="M300" s="758"/>
    </row>
    <row r="301" spans="2:13" s="326" customFormat="1" ht="9.9499999999999993" customHeight="1" x14ac:dyDescent="0.2">
      <c r="B301" s="327"/>
      <c r="D301" s="327"/>
      <c r="F301" s="327"/>
      <c r="H301" s="327"/>
      <c r="J301" s="327"/>
      <c r="M301" s="758"/>
    </row>
    <row r="302" spans="2:13" s="326" customFormat="1" ht="9.9499999999999993" customHeight="1" x14ac:dyDescent="0.2">
      <c r="B302" s="327"/>
      <c r="D302" s="327"/>
      <c r="F302" s="327"/>
      <c r="H302" s="327"/>
      <c r="J302" s="327"/>
      <c r="M302" s="758"/>
    </row>
    <row r="303" spans="2:13" s="326" customFormat="1" ht="9.9499999999999993" customHeight="1" x14ac:dyDescent="0.2">
      <c r="B303" s="327"/>
      <c r="D303" s="327"/>
      <c r="F303" s="327"/>
      <c r="H303" s="327"/>
      <c r="J303" s="327"/>
      <c r="M303" s="758"/>
    </row>
    <row r="304" spans="2:13" s="326" customFormat="1" ht="9.9499999999999993" customHeight="1" x14ac:dyDescent="0.2">
      <c r="B304" s="327"/>
      <c r="D304" s="327"/>
      <c r="F304" s="327"/>
      <c r="H304" s="327"/>
      <c r="J304" s="327"/>
      <c r="M304" s="758"/>
    </row>
    <row r="305" spans="2:13" s="326" customFormat="1" ht="9.9499999999999993" customHeight="1" x14ac:dyDescent="0.2">
      <c r="B305" s="327"/>
      <c r="D305" s="327"/>
      <c r="F305" s="327"/>
      <c r="H305" s="327"/>
      <c r="J305" s="327"/>
      <c r="M305" s="758"/>
    </row>
    <row r="306" spans="2:13" s="326" customFormat="1" ht="9.9499999999999993" customHeight="1" x14ac:dyDescent="0.2">
      <c r="B306" s="327"/>
      <c r="D306" s="327"/>
      <c r="F306" s="327"/>
      <c r="H306" s="327"/>
      <c r="J306" s="327"/>
      <c r="M306" s="758"/>
    </row>
    <row r="307" spans="2:13" s="326" customFormat="1" ht="9.9499999999999993" customHeight="1" x14ac:dyDescent="0.2">
      <c r="B307" s="327"/>
      <c r="D307" s="327"/>
      <c r="F307" s="327"/>
      <c r="H307" s="327"/>
      <c r="J307" s="327"/>
      <c r="M307" s="758"/>
    </row>
    <row r="308" spans="2:13" s="326" customFormat="1" ht="9.9499999999999993" customHeight="1" x14ac:dyDescent="0.2">
      <c r="B308" s="327"/>
      <c r="D308" s="327"/>
      <c r="F308" s="327"/>
      <c r="H308" s="327"/>
      <c r="J308" s="327"/>
      <c r="M308" s="758"/>
    </row>
    <row r="309" spans="2:13" s="326" customFormat="1" ht="9.9499999999999993" customHeight="1" x14ac:dyDescent="0.2">
      <c r="B309" s="327"/>
      <c r="D309" s="327"/>
      <c r="F309" s="327"/>
      <c r="H309" s="327"/>
      <c r="J309" s="327"/>
      <c r="M309" s="758"/>
    </row>
    <row r="310" spans="2:13" s="326" customFormat="1" ht="9.9499999999999993" customHeight="1" x14ac:dyDescent="0.2">
      <c r="B310" s="327"/>
      <c r="D310" s="327"/>
      <c r="F310" s="327"/>
      <c r="H310" s="327"/>
      <c r="J310" s="327"/>
      <c r="M310" s="758"/>
    </row>
    <row r="311" spans="2:13" s="326" customFormat="1" ht="9.9499999999999993" customHeight="1" x14ac:dyDescent="0.2">
      <c r="B311" s="327"/>
      <c r="D311" s="327"/>
      <c r="F311" s="327"/>
      <c r="H311" s="327"/>
      <c r="J311" s="327"/>
      <c r="M311" s="758"/>
    </row>
    <row r="312" spans="2:13" s="326" customFormat="1" ht="9.9499999999999993" customHeight="1" x14ac:dyDescent="0.2">
      <c r="B312" s="327"/>
      <c r="D312" s="327"/>
      <c r="F312" s="327"/>
      <c r="H312" s="327"/>
      <c r="J312" s="327"/>
      <c r="M312" s="758"/>
    </row>
    <row r="313" spans="2:13" s="326" customFormat="1" ht="9.9499999999999993" customHeight="1" x14ac:dyDescent="0.2">
      <c r="B313" s="327"/>
      <c r="D313" s="327"/>
      <c r="F313" s="327"/>
      <c r="H313" s="327"/>
      <c r="J313" s="327"/>
      <c r="M313" s="758"/>
    </row>
    <row r="314" spans="2:13" s="326" customFormat="1" ht="9.9499999999999993" customHeight="1" x14ac:dyDescent="0.2">
      <c r="B314" s="327"/>
      <c r="D314" s="327"/>
      <c r="F314" s="327"/>
      <c r="H314" s="327"/>
      <c r="J314" s="327"/>
      <c r="M314" s="758"/>
    </row>
    <row r="315" spans="2:13" s="326" customFormat="1" ht="9.9499999999999993" customHeight="1" x14ac:dyDescent="0.2">
      <c r="B315" s="327"/>
      <c r="D315" s="327"/>
      <c r="F315" s="327"/>
      <c r="H315" s="327"/>
      <c r="J315" s="327"/>
      <c r="M315" s="758"/>
    </row>
    <row r="316" spans="2:13" s="326" customFormat="1" ht="9.9499999999999993" customHeight="1" x14ac:dyDescent="0.2">
      <c r="B316" s="327"/>
      <c r="D316" s="327"/>
      <c r="F316" s="327"/>
      <c r="H316" s="327"/>
      <c r="J316" s="327"/>
      <c r="M316" s="758"/>
    </row>
    <row r="317" spans="2:13" s="326" customFormat="1" ht="9.9499999999999993" customHeight="1" x14ac:dyDescent="0.2">
      <c r="B317" s="327"/>
      <c r="D317" s="327"/>
      <c r="F317" s="327"/>
      <c r="H317" s="327"/>
      <c r="J317" s="327"/>
      <c r="M317" s="758"/>
    </row>
    <row r="318" spans="2:13" s="326" customFormat="1" ht="9.9499999999999993" customHeight="1" x14ac:dyDescent="0.2">
      <c r="B318" s="327"/>
      <c r="D318" s="327"/>
      <c r="F318" s="327"/>
      <c r="H318" s="327"/>
      <c r="J318" s="327"/>
      <c r="M318" s="758"/>
    </row>
    <row r="319" spans="2:13" s="326" customFormat="1" ht="9.9499999999999993" customHeight="1" x14ac:dyDescent="0.2">
      <c r="B319" s="327"/>
      <c r="D319" s="327"/>
      <c r="F319" s="327"/>
      <c r="H319" s="327"/>
      <c r="J319" s="327"/>
      <c r="M319" s="758"/>
    </row>
    <row r="320" spans="2:13" s="326" customFormat="1" ht="9.9499999999999993" customHeight="1" x14ac:dyDescent="0.2">
      <c r="B320" s="327"/>
      <c r="D320" s="327"/>
      <c r="F320" s="327"/>
      <c r="H320" s="327"/>
      <c r="J320" s="327"/>
      <c r="M320" s="758"/>
    </row>
    <row r="321" spans="2:13" s="326" customFormat="1" ht="9.9499999999999993" customHeight="1" x14ac:dyDescent="0.2">
      <c r="B321" s="327"/>
      <c r="D321" s="327"/>
      <c r="F321" s="327"/>
      <c r="H321" s="327"/>
      <c r="J321" s="327"/>
      <c r="M321" s="758"/>
    </row>
    <row r="322" spans="2:13" s="326" customFormat="1" ht="9.9499999999999993" customHeight="1" x14ac:dyDescent="0.2">
      <c r="B322" s="327"/>
      <c r="D322" s="327"/>
      <c r="F322" s="327"/>
      <c r="H322" s="327"/>
      <c r="J322" s="327"/>
      <c r="M322" s="758"/>
    </row>
    <row r="323" spans="2:13" s="326" customFormat="1" ht="9.9499999999999993" customHeight="1" x14ac:dyDescent="0.2">
      <c r="B323" s="327"/>
      <c r="D323" s="327"/>
      <c r="F323" s="327"/>
      <c r="H323" s="327"/>
      <c r="J323" s="327"/>
      <c r="M323" s="758"/>
    </row>
    <row r="324" spans="2:13" s="326" customFormat="1" ht="9.9499999999999993" customHeight="1" x14ac:dyDescent="0.2">
      <c r="B324" s="327"/>
      <c r="D324" s="327"/>
      <c r="F324" s="327"/>
      <c r="H324" s="327"/>
      <c r="J324" s="327"/>
      <c r="M324" s="758"/>
    </row>
    <row r="325" spans="2:13" s="326" customFormat="1" ht="9.9499999999999993" customHeight="1" x14ac:dyDescent="0.2">
      <c r="B325" s="327"/>
      <c r="D325" s="327"/>
      <c r="F325" s="327"/>
      <c r="H325" s="327"/>
      <c r="J325" s="327"/>
      <c r="M325" s="758"/>
    </row>
    <row r="326" spans="2:13" s="326" customFormat="1" ht="9.9499999999999993" customHeight="1" x14ac:dyDescent="0.2">
      <c r="B326" s="327"/>
      <c r="D326" s="327"/>
      <c r="F326" s="327"/>
      <c r="H326" s="327"/>
      <c r="J326" s="327"/>
      <c r="M326" s="758"/>
    </row>
    <row r="327" spans="2:13" s="326" customFormat="1" ht="9.9499999999999993" customHeight="1" x14ac:dyDescent="0.2">
      <c r="B327" s="327"/>
      <c r="D327" s="327"/>
      <c r="F327" s="327"/>
      <c r="H327" s="327"/>
      <c r="J327" s="327"/>
      <c r="M327" s="758"/>
    </row>
    <row r="328" spans="2:13" s="326" customFormat="1" ht="9.9499999999999993" customHeight="1" x14ac:dyDescent="0.2">
      <c r="B328" s="327"/>
      <c r="D328" s="327"/>
      <c r="F328" s="327"/>
      <c r="H328" s="327"/>
      <c r="J328" s="327"/>
      <c r="M328" s="758"/>
    </row>
    <row r="329" spans="2:13" s="326" customFormat="1" ht="9.9499999999999993" customHeight="1" x14ac:dyDescent="0.2">
      <c r="B329" s="327"/>
      <c r="D329" s="327"/>
      <c r="F329" s="327"/>
      <c r="H329" s="327"/>
      <c r="J329" s="327"/>
      <c r="M329" s="758"/>
    </row>
    <row r="330" spans="2:13" s="326" customFormat="1" ht="9.9499999999999993" customHeight="1" x14ac:dyDescent="0.2">
      <c r="B330" s="327"/>
      <c r="D330" s="327"/>
      <c r="F330" s="327"/>
      <c r="H330" s="327"/>
      <c r="J330" s="327"/>
      <c r="M330" s="758"/>
    </row>
    <row r="331" spans="2:13" s="326" customFormat="1" ht="9.9499999999999993" customHeight="1" x14ac:dyDescent="0.2">
      <c r="B331" s="327"/>
      <c r="D331" s="327"/>
      <c r="F331" s="327"/>
      <c r="H331" s="327"/>
      <c r="J331" s="327"/>
      <c r="M331" s="758"/>
    </row>
    <row r="332" spans="2:13" s="326" customFormat="1" ht="9.9499999999999993" customHeight="1" x14ac:dyDescent="0.2">
      <c r="B332" s="327"/>
      <c r="D332" s="327"/>
      <c r="F332" s="327"/>
      <c r="H332" s="327"/>
      <c r="J332" s="327"/>
      <c r="M332" s="758"/>
    </row>
    <row r="333" spans="2:13" s="326" customFormat="1" ht="9.9499999999999993" customHeight="1" x14ac:dyDescent="0.2">
      <c r="B333" s="327"/>
      <c r="D333" s="327"/>
      <c r="F333" s="327"/>
      <c r="H333" s="327"/>
      <c r="J333" s="327"/>
      <c r="M333" s="758"/>
    </row>
    <row r="334" spans="2:13" s="326" customFormat="1" ht="9.9499999999999993" customHeight="1" x14ac:dyDescent="0.2">
      <c r="B334" s="327"/>
      <c r="D334" s="327"/>
      <c r="F334" s="327"/>
      <c r="H334" s="327"/>
      <c r="J334" s="327"/>
      <c r="M334" s="758"/>
    </row>
    <row r="335" spans="2:13" s="326" customFormat="1" ht="9.9499999999999993" customHeight="1" x14ac:dyDescent="0.2">
      <c r="B335" s="327"/>
      <c r="D335" s="327"/>
      <c r="F335" s="327"/>
      <c r="H335" s="327"/>
      <c r="J335" s="327"/>
      <c r="M335" s="758"/>
    </row>
    <row r="336" spans="2:13" s="326" customFormat="1" ht="9.9499999999999993" customHeight="1" x14ac:dyDescent="0.2">
      <c r="B336" s="327"/>
      <c r="D336" s="327"/>
      <c r="F336" s="327"/>
      <c r="H336" s="327"/>
      <c r="J336" s="327"/>
      <c r="M336" s="758"/>
    </row>
    <row r="337" spans="2:13" s="326" customFormat="1" ht="9.9499999999999993" customHeight="1" x14ac:dyDescent="0.2">
      <c r="B337" s="327"/>
      <c r="D337" s="327"/>
      <c r="F337" s="327"/>
      <c r="H337" s="327"/>
      <c r="J337" s="327"/>
      <c r="M337" s="758"/>
    </row>
    <row r="338" spans="2:13" s="326" customFormat="1" ht="9.9499999999999993" customHeight="1" x14ac:dyDescent="0.2">
      <c r="B338" s="327"/>
      <c r="D338" s="327"/>
      <c r="F338" s="327"/>
      <c r="H338" s="327"/>
      <c r="J338" s="327"/>
      <c r="M338" s="758"/>
    </row>
    <row r="339" spans="2:13" s="326" customFormat="1" ht="9.9499999999999993" customHeight="1" x14ac:dyDescent="0.2">
      <c r="B339" s="327"/>
      <c r="D339" s="327"/>
      <c r="F339" s="327"/>
      <c r="H339" s="327"/>
      <c r="J339" s="327"/>
      <c r="M339" s="758"/>
    </row>
    <row r="340" spans="2:13" s="326" customFormat="1" ht="9.9499999999999993" customHeight="1" x14ac:dyDescent="0.2">
      <c r="B340" s="327"/>
      <c r="D340" s="327"/>
      <c r="F340" s="327"/>
      <c r="H340" s="327"/>
      <c r="J340" s="327"/>
      <c r="M340" s="758"/>
    </row>
    <row r="341" spans="2:13" s="326" customFormat="1" ht="9.9499999999999993" customHeight="1" x14ac:dyDescent="0.2">
      <c r="B341" s="327"/>
      <c r="D341" s="327"/>
      <c r="F341" s="327"/>
      <c r="H341" s="327"/>
      <c r="J341" s="327"/>
      <c r="M341" s="758"/>
    </row>
    <row r="342" spans="2:13" s="326" customFormat="1" ht="9.9499999999999993" customHeight="1" x14ac:dyDescent="0.2">
      <c r="B342" s="327"/>
      <c r="D342" s="327"/>
      <c r="F342" s="327"/>
      <c r="H342" s="327"/>
      <c r="J342" s="327"/>
      <c r="M342" s="758"/>
    </row>
    <row r="343" spans="2:13" s="326" customFormat="1" ht="9.9499999999999993" customHeight="1" x14ac:dyDescent="0.2">
      <c r="B343" s="327"/>
      <c r="D343" s="327"/>
      <c r="F343" s="327"/>
      <c r="H343" s="327"/>
      <c r="J343" s="327"/>
      <c r="M343" s="758"/>
    </row>
    <row r="344" spans="2:13" s="326" customFormat="1" ht="9.9499999999999993" customHeight="1" x14ac:dyDescent="0.2">
      <c r="B344" s="327"/>
      <c r="D344" s="327"/>
      <c r="F344" s="327"/>
      <c r="H344" s="327"/>
      <c r="J344" s="327"/>
      <c r="M344" s="758"/>
    </row>
    <row r="345" spans="2:13" s="326" customFormat="1" ht="9.9499999999999993" customHeight="1" x14ac:dyDescent="0.2">
      <c r="B345" s="327"/>
      <c r="D345" s="327"/>
      <c r="F345" s="327"/>
      <c r="H345" s="327"/>
      <c r="J345" s="327"/>
      <c r="M345" s="758"/>
    </row>
    <row r="346" spans="2:13" s="326" customFormat="1" ht="9.9499999999999993" customHeight="1" x14ac:dyDescent="0.2">
      <c r="B346" s="327"/>
      <c r="D346" s="327"/>
      <c r="F346" s="327"/>
      <c r="H346" s="327"/>
      <c r="J346" s="327"/>
      <c r="M346" s="758"/>
    </row>
    <row r="347" spans="2:13" s="326" customFormat="1" ht="9.9499999999999993" customHeight="1" x14ac:dyDescent="0.2">
      <c r="B347" s="327"/>
      <c r="D347" s="327"/>
      <c r="F347" s="327"/>
      <c r="H347" s="327"/>
      <c r="J347" s="327"/>
      <c r="M347" s="758"/>
    </row>
    <row r="348" spans="2:13" s="326" customFormat="1" ht="9.9499999999999993" customHeight="1" x14ac:dyDescent="0.2">
      <c r="B348" s="327"/>
      <c r="D348" s="327"/>
      <c r="F348" s="327"/>
      <c r="H348" s="327"/>
      <c r="J348" s="327"/>
      <c r="M348" s="758"/>
    </row>
    <row r="349" spans="2:13" s="326" customFormat="1" ht="9.9499999999999993" customHeight="1" x14ac:dyDescent="0.2">
      <c r="B349" s="327"/>
      <c r="D349" s="327"/>
      <c r="F349" s="327"/>
      <c r="H349" s="327"/>
      <c r="J349" s="327"/>
      <c r="M349" s="758"/>
    </row>
    <row r="350" spans="2:13" s="326" customFormat="1" ht="9.9499999999999993" customHeight="1" x14ac:dyDescent="0.2">
      <c r="B350" s="327"/>
      <c r="D350" s="327"/>
      <c r="F350" s="327"/>
      <c r="H350" s="327"/>
      <c r="J350" s="327"/>
      <c r="M350" s="758"/>
    </row>
    <row r="351" spans="2:13" s="326" customFormat="1" ht="9.9499999999999993" customHeight="1" x14ac:dyDescent="0.2">
      <c r="B351" s="327"/>
      <c r="D351" s="327"/>
      <c r="F351" s="327"/>
      <c r="H351" s="327"/>
      <c r="J351" s="327"/>
      <c r="M351" s="758"/>
    </row>
    <row r="352" spans="2:13" s="326" customFormat="1" ht="9.9499999999999993" customHeight="1" x14ac:dyDescent="0.2">
      <c r="B352" s="327"/>
      <c r="D352" s="327"/>
      <c r="F352" s="327"/>
      <c r="H352" s="327"/>
      <c r="J352" s="327"/>
      <c r="M352" s="758"/>
    </row>
    <row r="353" spans="2:13" s="326" customFormat="1" ht="9.9499999999999993" customHeight="1" x14ac:dyDescent="0.2">
      <c r="B353" s="327"/>
      <c r="D353" s="327"/>
      <c r="F353" s="327"/>
      <c r="H353" s="327"/>
      <c r="J353" s="327"/>
      <c r="M353" s="758"/>
    </row>
    <row r="354" spans="2:13" s="326" customFormat="1" ht="9.9499999999999993" customHeight="1" x14ac:dyDescent="0.2">
      <c r="B354" s="327"/>
      <c r="D354" s="327"/>
      <c r="F354" s="327"/>
      <c r="H354" s="327"/>
      <c r="J354" s="327"/>
      <c r="M354" s="758"/>
    </row>
    <row r="355" spans="2:13" s="326" customFormat="1" ht="9.9499999999999993" customHeight="1" x14ac:dyDescent="0.2">
      <c r="B355" s="327"/>
      <c r="D355" s="327"/>
      <c r="F355" s="327"/>
      <c r="H355" s="327"/>
      <c r="J355" s="327"/>
      <c r="M355" s="758"/>
    </row>
    <row r="356" spans="2:13" s="326" customFormat="1" ht="9.9499999999999993" customHeight="1" x14ac:dyDescent="0.2">
      <c r="B356" s="327"/>
      <c r="D356" s="327"/>
      <c r="F356" s="327"/>
      <c r="H356" s="327"/>
      <c r="J356" s="327"/>
      <c r="M356" s="758"/>
    </row>
    <row r="357" spans="2:13" s="326" customFormat="1" ht="9.9499999999999993" customHeight="1" x14ac:dyDescent="0.2">
      <c r="B357" s="327"/>
      <c r="D357" s="327"/>
      <c r="F357" s="327"/>
      <c r="H357" s="327"/>
      <c r="J357" s="327"/>
      <c r="M357" s="758"/>
    </row>
    <row r="358" spans="2:13" s="326" customFormat="1" ht="9.9499999999999993" customHeight="1" x14ac:dyDescent="0.2">
      <c r="B358" s="327"/>
      <c r="D358" s="327"/>
      <c r="F358" s="327"/>
      <c r="H358" s="327"/>
      <c r="J358" s="327"/>
      <c r="M358" s="758"/>
    </row>
    <row r="359" spans="2:13" s="326" customFormat="1" ht="9.9499999999999993" customHeight="1" x14ac:dyDescent="0.2">
      <c r="B359" s="327"/>
      <c r="D359" s="327"/>
      <c r="F359" s="327"/>
      <c r="H359" s="327"/>
      <c r="J359" s="327"/>
      <c r="M359" s="758"/>
    </row>
    <row r="360" spans="2:13" s="326" customFormat="1" ht="9.9499999999999993" customHeight="1" x14ac:dyDescent="0.2">
      <c r="B360" s="327"/>
      <c r="D360" s="327"/>
      <c r="F360" s="327"/>
      <c r="H360" s="327"/>
      <c r="J360" s="327"/>
      <c r="M360" s="758"/>
    </row>
    <row r="361" spans="2:13" s="326" customFormat="1" ht="9.9499999999999993" customHeight="1" x14ac:dyDescent="0.2">
      <c r="B361" s="327"/>
      <c r="D361" s="327"/>
      <c r="F361" s="327"/>
      <c r="H361" s="327"/>
      <c r="J361" s="327"/>
      <c r="M361" s="758"/>
    </row>
    <row r="362" spans="2:13" s="326" customFormat="1" ht="9.9499999999999993" customHeight="1" x14ac:dyDescent="0.2">
      <c r="B362" s="327"/>
      <c r="D362" s="327"/>
      <c r="F362" s="327"/>
      <c r="H362" s="327"/>
      <c r="J362" s="327"/>
      <c r="M362" s="758"/>
    </row>
    <row r="363" spans="2:13" s="326" customFormat="1" ht="9.9499999999999993" customHeight="1" x14ac:dyDescent="0.2">
      <c r="B363" s="327"/>
      <c r="D363" s="327"/>
      <c r="F363" s="327"/>
      <c r="H363" s="327"/>
      <c r="J363" s="327"/>
      <c r="M363" s="758"/>
    </row>
    <row r="364" spans="2:13" s="326" customFormat="1" ht="9.9499999999999993" customHeight="1" x14ac:dyDescent="0.2">
      <c r="B364" s="327"/>
      <c r="D364" s="327"/>
      <c r="F364" s="327"/>
      <c r="H364" s="327"/>
      <c r="J364" s="327"/>
      <c r="M364" s="758"/>
    </row>
    <row r="365" spans="2:13" s="326" customFormat="1" ht="9.9499999999999993" customHeight="1" x14ac:dyDescent="0.2">
      <c r="B365" s="327"/>
      <c r="D365" s="327"/>
      <c r="F365" s="327"/>
      <c r="H365" s="327"/>
      <c r="J365" s="327"/>
      <c r="M365" s="758"/>
    </row>
    <row r="366" spans="2:13" s="326" customFormat="1" ht="9.9499999999999993" customHeight="1" x14ac:dyDescent="0.2">
      <c r="B366" s="327"/>
      <c r="D366" s="327"/>
      <c r="F366" s="327"/>
      <c r="H366" s="327"/>
      <c r="J366" s="327"/>
      <c r="M366" s="758"/>
    </row>
    <row r="367" spans="2:13" s="326" customFormat="1" ht="9.9499999999999993" customHeight="1" x14ac:dyDescent="0.2">
      <c r="B367" s="327"/>
      <c r="D367" s="327"/>
      <c r="F367" s="327"/>
      <c r="H367" s="327"/>
      <c r="J367" s="327"/>
      <c r="M367" s="758"/>
    </row>
    <row r="368" spans="2:13" s="326" customFormat="1" ht="9.9499999999999993" customHeight="1" x14ac:dyDescent="0.2">
      <c r="B368" s="327"/>
      <c r="D368" s="327"/>
      <c r="F368" s="327"/>
      <c r="H368" s="327"/>
      <c r="J368" s="327"/>
      <c r="M368" s="758"/>
    </row>
    <row r="369" spans="2:13" s="326" customFormat="1" ht="9.9499999999999993" customHeight="1" x14ac:dyDescent="0.2">
      <c r="B369" s="327"/>
      <c r="D369" s="327"/>
      <c r="F369" s="327"/>
      <c r="H369" s="327"/>
      <c r="J369" s="327"/>
      <c r="M369" s="758"/>
    </row>
    <row r="370" spans="2:13" s="326" customFormat="1" ht="9.9499999999999993" customHeight="1" x14ac:dyDescent="0.2">
      <c r="B370" s="327"/>
      <c r="D370" s="327"/>
      <c r="F370" s="327"/>
      <c r="H370" s="327"/>
      <c r="J370" s="327"/>
      <c r="M370" s="758"/>
    </row>
    <row r="371" spans="2:13" s="326" customFormat="1" ht="9.9499999999999993" customHeight="1" x14ac:dyDescent="0.2">
      <c r="B371" s="327"/>
      <c r="D371" s="327"/>
      <c r="F371" s="327"/>
      <c r="H371" s="327"/>
      <c r="J371" s="327"/>
      <c r="M371" s="758"/>
    </row>
    <row r="372" spans="2:13" s="326" customFormat="1" ht="9.9499999999999993" customHeight="1" x14ac:dyDescent="0.2">
      <c r="B372" s="327"/>
      <c r="D372" s="327"/>
      <c r="F372" s="327"/>
      <c r="H372" s="327"/>
      <c r="J372" s="327"/>
      <c r="M372" s="758"/>
    </row>
    <row r="373" spans="2:13" s="326" customFormat="1" ht="9.9499999999999993" customHeight="1" x14ac:dyDescent="0.2">
      <c r="B373" s="327"/>
      <c r="D373" s="327"/>
      <c r="F373" s="327"/>
      <c r="H373" s="327"/>
      <c r="J373" s="327"/>
      <c r="M373" s="758"/>
    </row>
    <row r="374" spans="2:13" s="326" customFormat="1" ht="9.9499999999999993" customHeight="1" x14ac:dyDescent="0.2">
      <c r="B374" s="327"/>
      <c r="D374" s="327"/>
      <c r="F374" s="327"/>
      <c r="H374" s="327"/>
      <c r="J374" s="327"/>
      <c r="M374" s="758"/>
    </row>
    <row r="375" spans="2:13" s="326" customFormat="1" ht="9.9499999999999993" customHeight="1" x14ac:dyDescent="0.2">
      <c r="B375" s="327"/>
      <c r="D375" s="327"/>
      <c r="F375" s="327"/>
      <c r="H375" s="327"/>
      <c r="J375" s="327"/>
      <c r="M375" s="758"/>
    </row>
    <row r="376" spans="2:13" s="326" customFormat="1" ht="9.9499999999999993" customHeight="1" x14ac:dyDescent="0.2">
      <c r="B376" s="327"/>
      <c r="D376" s="327"/>
      <c r="F376" s="327"/>
      <c r="H376" s="327"/>
      <c r="J376" s="327"/>
      <c r="M376" s="758"/>
    </row>
    <row r="377" spans="2:13" s="326" customFormat="1" ht="9.9499999999999993" customHeight="1" x14ac:dyDescent="0.2">
      <c r="B377" s="327"/>
      <c r="D377" s="327"/>
      <c r="F377" s="327"/>
      <c r="H377" s="327"/>
      <c r="J377" s="327"/>
      <c r="M377" s="758"/>
    </row>
    <row r="378" spans="2:13" s="326" customFormat="1" ht="9.9499999999999993" customHeight="1" x14ac:dyDescent="0.2">
      <c r="B378" s="327"/>
      <c r="D378" s="327"/>
      <c r="F378" s="327"/>
      <c r="H378" s="327"/>
      <c r="J378" s="327"/>
      <c r="M378" s="758"/>
    </row>
    <row r="379" spans="2:13" s="326" customFormat="1" ht="9.9499999999999993" customHeight="1" x14ac:dyDescent="0.2">
      <c r="B379" s="327"/>
      <c r="D379" s="327"/>
      <c r="F379" s="327"/>
      <c r="H379" s="327"/>
      <c r="J379" s="327"/>
      <c r="M379" s="758"/>
    </row>
    <row r="380" spans="2:13" s="326" customFormat="1" ht="9.9499999999999993" customHeight="1" x14ac:dyDescent="0.2">
      <c r="B380" s="327"/>
      <c r="D380" s="327"/>
      <c r="F380" s="327"/>
      <c r="H380" s="327"/>
      <c r="J380" s="327"/>
      <c r="M380" s="758"/>
    </row>
    <row r="381" spans="2:13" s="326" customFormat="1" ht="9.9499999999999993" customHeight="1" x14ac:dyDescent="0.2">
      <c r="B381" s="327"/>
      <c r="D381" s="327"/>
      <c r="F381" s="327"/>
      <c r="H381" s="327"/>
      <c r="J381" s="327"/>
      <c r="M381" s="758"/>
    </row>
    <row r="382" spans="2:13" s="326" customFormat="1" ht="9.9499999999999993" customHeight="1" x14ac:dyDescent="0.2">
      <c r="B382" s="327"/>
      <c r="D382" s="327"/>
      <c r="F382" s="327"/>
      <c r="H382" s="327"/>
      <c r="J382" s="327"/>
      <c r="M382" s="758"/>
    </row>
    <row r="383" spans="2:13" s="326" customFormat="1" ht="9.9499999999999993" customHeight="1" x14ac:dyDescent="0.2">
      <c r="B383" s="327"/>
      <c r="D383" s="327"/>
      <c r="F383" s="327"/>
      <c r="H383" s="327"/>
      <c r="J383" s="327"/>
      <c r="M383" s="758"/>
    </row>
    <row r="384" spans="2:13" s="326" customFormat="1" ht="9.9499999999999993" customHeight="1" x14ac:dyDescent="0.2">
      <c r="B384" s="327"/>
      <c r="D384" s="327"/>
      <c r="F384" s="327"/>
      <c r="H384" s="327"/>
      <c r="J384" s="327"/>
      <c r="M384" s="758"/>
    </row>
    <row r="385" spans="2:13" s="326" customFormat="1" ht="9.9499999999999993" customHeight="1" x14ac:dyDescent="0.2">
      <c r="B385" s="327"/>
      <c r="D385" s="327"/>
      <c r="F385" s="327"/>
      <c r="H385" s="327"/>
      <c r="J385" s="327"/>
      <c r="M385" s="758"/>
    </row>
    <row r="386" spans="2:13" s="326" customFormat="1" ht="9.9499999999999993" customHeight="1" x14ac:dyDescent="0.2">
      <c r="B386" s="327"/>
      <c r="D386" s="327"/>
      <c r="F386" s="327"/>
      <c r="H386" s="327"/>
      <c r="J386" s="327"/>
      <c r="M386" s="758"/>
    </row>
    <row r="387" spans="2:13" s="326" customFormat="1" ht="9.9499999999999993" customHeight="1" x14ac:dyDescent="0.2">
      <c r="B387" s="327"/>
      <c r="D387" s="327"/>
      <c r="F387" s="327"/>
      <c r="H387" s="327"/>
      <c r="J387" s="327"/>
      <c r="M387" s="758"/>
    </row>
    <row r="388" spans="2:13" s="326" customFormat="1" ht="9.9499999999999993" customHeight="1" x14ac:dyDescent="0.2">
      <c r="B388" s="327"/>
      <c r="D388" s="327"/>
      <c r="F388" s="327"/>
      <c r="H388" s="327"/>
      <c r="J388" s="327"/>
      <c r="M388" s="758"/>
    </row>
    <row r="389" spans="2:13" s="326" customFormat="1" ht="9.9499999999999993" customHeight="1" x14ac:dyDescent="0.2">
      <c r="B389" s="327"/>
      <c r="D389" s="327"/>
      <c r="F389" s="327"/>
      <c r="H389" s="327"/>
      <c r="J389" s="327"/>
      <c r="M389" s="758"/>
    </row>
    <row r="390" spans="2:13" s="326" customFormat="1" ht="9.9499999999999993" customHeight="1" x14ac:dyDescent="0.2">
      <c r="B390" s="327"/>
      <c r="D390" s="327"/>
      <c r="F390" s="327"/>
      <c r="H390" s="327"/>
      <c r="J390" s="327"/>
      <c r="M390" s="758"/>
    </row>
    <row r="391" spans="2:13" s="326" customFormat="1" ht="9.9499999999999993" customHeight="1" x14ac:dyDescent="0.2">
      <c r="B391" s="327"/>
      <c r="D391" s="327"/>
      <c r="F391" s="327"/>
      <c r="H391" s="327"/>
      <c r="J391" s="327"/>
      <c r="M391" s="758"/>
    </row>
    <row r="392" spans="2:13" s="326" customFormat="1" ht="9.9499999999999993" customHeight="1" x14ac:dyDescent="0.2">
      <c r="B392" s="327"/>
      <c r="D392" s="327"/>
      <c r="F392" s="327"/>
      <c r="H392" s="327"/>
      <c r="J392" s="327"/>
      <c r="M392" s="758"/>
    </row>
    <row r="393" spans="2:13" s="326" customFormat="1" ht="9.9499999999999993" customHeight="1" x14ac:dyDescent="0.2">
      <c r="B393" s="327"/>
      <c r="D393" s="327"/>
      <c r="F393" s="327"/>
      <c r="H393" s="327"/>
      <c r="J393" s="327"/>
      <c r="M393" s="758"/>
    </row>
    <row r="394" spans="2:13" s="326" customFormat="1" ht="9.9499999999999993" customHeight="1" x14ac:dyDescent="0.2">
      <c r="B394" s="327"/>
      <c r="D394" s="327"/>
      <c r="F394" s="327"/>
      <c r="H394" s="327"/>
      <c r="J394" s="327"/>
      <c r="M394" s="758"/>
    </row>
    <row r="395" spans="2:13" s="326" customFormat="1" ht="9.9499999999999993" customHeight="1" x14ac:dyDescent="0.2">
      <c r="B395" s="327"/>
      <c r="D395" s="327"/>
      <c r="F395" s="327"/>
      <c r="H395" s="327"/>
      <c r="J395" s="327"/>
      <c r="M395" s="758"/>
    </row>
    <row r="396" spans="2:13" s="326" customFormat="1" ht="9.9499999999999993" customHeight="1" x14ac:dyDescent="0.2">
      <c r="B396" s="327"/>
      <c r="D396" s="327"/>
      <c r="F396" s="327"/>
      <c r="H396" s="327"/>
      <c r="J396" s="327"/>
      <c r="M396" s="758"/>
    </row>
    <row r="397" spans="2:13" s="326" customFormat="1" ht="9.9499999999999993" customHeight="1" x14ac:dyDescent="0.2">
      <c r="B397" s="327"/>
      <c r="D397" s="327"/>
      <c r="F397" s="327"/>
      <c r="H397" s="327"/>
      <c r="J397" s="327"/>
      <c r="M397" s="758"/>
    </row>
    <row r="398" spans="2:13" s="326" customFormat="1" ht="9.9499999999999993" customHeight="1" x14ac:dyDescent="0.2">
      <c r="B398" s="327"/>
      <c r="D398" s="327"/>
      <c r="F398" s="327"/>
      <c r="H398" s="327"/>
      <c r="J398" s="327"/>
      <c r="M398" s="758"/>
    </row>
    <row r="399" spans="2:13" s="326" customFormat="1" ht="9.9499999999999993" customHeight="1" x14ac:dyDescent="0.2">
      <c r="B399" s="327"/>
      <c r="D399" s="327"/>
      <c r="F399" s="327"/>
      <c r="H399" s="327"/>
      <c r="J399" s="327"/>
      <c r="M399" s="758"/>
    </row>
    <row r="400" spans="2:13" s="326" customFormat="1" ht="9.9499999999999993" customHeight="1" x14ac:dyDescent="0.2">
      <c r="B400" s="327"/>
      <c r="D400" s="327"/>
      <c r="F400" s="327"/>
      <c r="H400" s="327"/>
      <c r="J400" s="327"/>
      <c r="M400" s="758"/>
    </row>
    <row r="401" spans="2:13" s="326" customFormat="1" ht="9.9499999999999993" customHeight="1" x14ac:dyDescent="0.2">
      <c r="B401" s="327"/>
      <c r="D401" s="327"/>
      <c r="F401" s="327"/>
      <c r="H401" s="327"/>
      <c r="J401" s="327"/>
      <c r="M401" s="758"/>
    </row>
    <row r="402" spans="2:13" s="326" customFormat="1" ht="9.9499999999999993" customHeight="1" x14ac:dyDescent="0.2">
      <c r="B402" s="327"/>
      <c r="D402" s="327"/>
      <c r="F402" s="327"/>
      <c r="H402" s="327"/>
      <c r="J402" s="327"/>
      <c r="M402" s="758"/>
    </row>
    <row r="403" spans="2:13" s="326" customFormat="1" ht="9.9499999999999993" customHeight="1" x14ac:dyDescent="0.2">
      <c r="B403" s="327"/>
      <c r="D403" s="327"/>
      <c r="F403" s="327"/>
      <c r="H403" s="327"/>
      <c r="J403" s="327"/>
      <c r="M403" s="758"/>
    </row>
    <row r="404" spans="2:13" s="326" customFormat="1" ht="9.9499999999999993" customHeight="1" x14ac:dyDescent="0.2">
      <c r="B404" s="327"/>
      <c r="D404" s="327"/>
      <c r="F404" s="327"/>
      <c r="H404" s="327"/>
      <c r="J404" s="327"/>
      <c r="M404" s="758"/>
    </row>
    <row r="405" spans="2:13" s="326" customFormat="1" ht="9.9499999999999993" customHeight="1" x14ac:dyDescent="0.2">
      <c r="B405" s="327"/>
      <c r="D405" s="327"/>
      <c r="F405" s="327"/>
      <c r="H405" s="327"/>
      <c r="J405" s="327"/>
      <c r="M405" s="758"/>
    </row>
    <row r="406" spans="2:13" s="326" customFormat="1" ht="9.9499999999999993" customHeight="1" x14ac:dyDescent="0.2">
      <c r="B406" s="327"/>
      <c r="D406" s="327"/>
      <c r="F406" s="327"/>
      <c r="H406" s="327"/>
      <c r="J406" s="327"/>
      <c r="M406" s="758"/>
    </row>
    <row r="407" spans="2:13" s="326" customFormat="1" ht="9.9499999999999993" customHeight="1" x14ac:dyDescent="0.2">
      <c r="B407" s="327"/>
      <c r="D407" s="327"/>
      <c r="F407" s="327"/>
      <c r="H407" s="327"/>
      <c r="J407" s="327"/>
      <c r="M407" s="758"/>
    </row>
    <row r="408" spans="2:13" s="326" customFormat="1" ht="9.9499999999999993" customHeight="1" x14ac:dyDescent="0.2">
      <c r="B408" s="327"/>
      <c r="D408" s="327"/>
      <c r="F408" s="327"/>
      <c r="H408" s="327"/>
      <c r="J408" s="327"/>
      <c r="M408" s="758"/>
    </row>
    <row r="409" spans="2:13" s="326" customFormat="1" ht="9.9499999999999993" customHeight="1" x14ac:dyDescent="0.2">
      <c r="B409" s="327"/>
      <c r="D409" s="327"/>
      <c r="F409" s="327"/>
      <c r="H409" s="327"/>
      <c r="J409" s="327"/>
      <c r="M409" s="758"/>
    </row>
    <row r="410" spans="2:13" s="326" customFormat="1" ht="9.9499999999999993" customHeight="1" x14ac:dyDescent="0.2">
      <c r="B410" s="327"/>
      <c r="D410" s="327"/>
      <c r="F410" s="327"/>
      <c r="H410" s="327"/>
      <c r="J410" s="327"/>
      <c r="M410" s="758"/>
    </row>
    <row r="411" spans="2:13" s="326" customFormat="1" ht="9.9499999999999993" customHeight="1" x14ac:dyDescent="0.2">
      <c r="B411" s="327"/>
      <c r="D411" s="327"/>
      <c r="F411" s="327"/>
      <c r="H411" s="327"/>
      <c r="J411" s="327"/>
      <c r="M411" s="758"/>
    </row>
    <row r="412" spans="2:13" s="326" customFormat="1" ht="9.9499999999999993" customHeight="1" x14ac:dyDescent="0.2">
      <c r="B412" s="327"/>
      <c r="D412" s="327"/>
      <c r="F412" s="327"/>
      <c r="H412" s="327"/>
      <c r="J412" s="327"/>
      <c r="M412" s="758"/>
    </row>
    <row r="413" spans="2:13" s="326" customFormat="1" ht="9.9499999999999993" customHeight="1" x14ac:dyDescent="0.2">
      <c r="B413" s="327"/>
      <c r="D413" s="327"/>
      <c r="F413" s="327"/>
      <c r="H413" s="327"/>
      <c r="J413" s="327"/>
      <c r="M413" s="758"/>
    </row>
    <row r="414" spans="2:13" s="326" customFormat="1" ht="9.9499999999999993" customHeight="1" x14ac:dyDescent="0.2">
      <c r="B414" s="327"/>
      <c r="D414" s="327"/>
      <c r="F414" s="327"/>
      <c r="H414" s="327"/>
      <c r="J414" s="327"/>
      <c r="M414" s="758"/>
    </row>
    <row r="415" spans="2:13" s="326" customFormat="1" ht="9.9499999999999993" customHeight="1" x14ac:dyDescent="0.2">
      <c r="B415" s="327"/>
      <c r="D415" s="327"/>
      <c r="F415" s="327"/>
      <c r="H415" s="327"/>
      <c r="J415" s="327"/>
      <c r="M415" s="758"/>
    </row>
    <row r="416" spans="2:13" s="326" customFormat="1" ht="9.9499999999999993" customHeight="1" x14ac:dyDescent="0.2">
      <c r="B416" s="327"/>
      <c r="D416" s="327"/>
      <c r="F416" s="327"/>
      <c r="H416" s="327"/>
      <c r="J416" s="327"/>
      <c r="M416" s="758"/>
    </row>
    <row r="417" spans="2:13" s="326" customFormat="1" ht="9.9499999999999993" customHeight="1" x14ac:dyDescent="0.2">
      <c r="B417" s="327"/>
      <c r="D417" s="327"/>
      <c r="F417" s="327"/>
      <c r="H417" s="327"/>
      <c r="J417" s="327"/>
      <c r="M417" s="758"/>
    </row>
    <row r="418" spans="2:13" s="326" customFormat="1" ht="9.9499999999999993" customHeight="1" x14ac:dyDescent="0.2">
      <c r="B418" s="327"/>
      <c r="D418" s="327"/>
      <c r="F418" s="327"/>
      <c r="H418" s="327"/>
      <c r="J418" s="327"/>
      <c r="M418" s="758"/>
    </row>
    <row r="419" spans="2:13" s="326" customFormat="1" ht="9.9499999999999993" customHeight="1" x14ac:dyDescent="0.2">
      <c r="B419" s="327"/>
      <c r="D419" s="327"/>
      <c r="F419" s="327"/>
      <c r="H419" s="327"/>
      <c r="J419" s="327"/>
      <c r="M419" s="758"/>
    </row>
    <row r="420" spans="2:13" s="326" customFormat="1" ht="9.9499999999999993" customHeight="1" x14ac:dyDescent="0.2">
      <c r="B420" s="327"/>
      <c r="D420" s="327"/>
      <c r="F420" s="327"/>
      <c r="H420" s="327"/>
      <c r="J420" s="327"/>
      <c r="M420" s="758"/>
    </row>
    <row r="421" spans="2:13" s="326" customFormat="1" ht="9.9499999999999993" customHeight="1" x14ac:dyDescent="0.2">
      <c r="B421" s="327"/>
      <c r="D421" s="327"/>
      <c r="F421" s="327"/>
      <c r="H421" s="327"/>
      <c r="J421" s="327"/>
      <c r="M421" s="758"/>
    </row>
    <row r="422" spans="2:13" s="326" customFormat="1" ht="9.9499999999999993" customHeight="1" x14ac:dyDescent="0.2">
      <c r="B422" s="327"/>
      <c r="D422" s="327"/>
      <c r="F422" s="327"/>
      <c r="H422" s="327"/>
      <c r="J422" s="327"/>
      <c r="M422" s="758"/>
    </row>
    <row r="423" spans="2:13" s="326" customFormat="1" ht="9.9499999999999993" customHeight="1" x14ac:dyDescent="0.2">
      <c r="B423" s="327"/>
      <c r="D423" s="327"/>
      <c r="F423" s="327"/>
      <c r="H423" s="327"/>
      <c r="J423" s="327"/>
      <c r="M423" s="758"/>
    </row>
    <row r="424" spans="2:13" s="326" customFormat="1" ht="9.9499999999999993" customHeight="1" x14ac:dyDescent="0.2">
      <c r="B424" s="327"/>
      <c r="D424" s="327"/>
      <c r="F424" s="327"/>
      <c r="H424" s="327"/>
      <c r="J424" s="327"/>
      <c r="M424" s="758"/>
    </row>
    <row r="425" spans="2:13" s="326" customFormat="1" ht="9.9499999999999993" customHeight="1" x14ac:dyDescent="0.2">
      <c r="B425" s="327"/>
      <c r="D425" s="327"/>
      <c r="F425" s="327"/>
      <c r="H425" s="327"/>
      <c r="J425" s="327"/>
      <c r="M425" s="758"/>
    </row>
    <row r="426" spans="2:13" s="326" customFormat="1" ht="9.9499999999999993" customHeight="1" x14ac:dyDescent="0.2">
      <c r="B426" s="327"/>
      <c r="D426" s="327"/>
      <c r="F426" s="327"/>
      <c r="H426" s="327"/>
      <c r="J426" s="327"/>
      <c r="M426" s="758"/>
    </row>
    <row r="427" spans="2:13" s="326" customFormat="1" ht="9.9499999999999993" customHeight="1" x14ac:dyDescent="0.2">
      <c r="B427" s="327"/>
      <c r="D427" s="327"/>
      <c r="F427" s="327"/>
      <c r="H427" s="327"/>
      <c r="J427" s="327"/>
      <c r="M427" s="758"/>
    </row>
    <row r="428" spans="2:13" s="326" customFormat="1" ht="9.9499999999999993" customHeight="1" x14ac:dyDescent="0.2">
      <c r="B428" s="327"/>
      <c r="D428" s="327"/>
      <c r="F428" s="327"/>
      <c r="H428" s="327"/>
      <c r="J428" s="327"/>
      <c r="M428" s="758"/>
    </row>
    <row r="429" spans="2:13" s="326" customFormat="1" ht="9.9499999999999993" customHeight="1" x14ac:dyDescent="0.2">
      <c r="B429" s="327"/>
      <c r="D429" s="327"/>
      <c r="F429" s="327"/>
      <c r="H429" s="327"/>
      <c r="J429" s="327"/>
      <c r="M429" s="758"/>
    </row>
    <row r="430" spans="2:13" s="326" customFormat="1" ht="9.9499999999999993" customHeight="1" x14ac:dyDescent="0.2">
      <c r="B430" s="327"/>
      <c r="D430" s="327"/>
      <c r="F430" s="327"/>
      <c r="H430" s="327"/>
      <c r="J430" s="327"/>
      <c r="M430" s="758"/>
    </row>
    <row r="431" spans="2:13" s="326" customFormat="1" ht="9.9499999999999993" customHeight="1" x14ac:dyDescent="0.2">
      <c r="B431" s="327"/>
      <c r="D431" s="327"/>
      <c r="F431" s="327"/>
      <c r="H431" s="327"/>
      <c r="J431" s="327"/>
      <c r="M431" s="758"/>
    </row>
    <row r="432" spans="2:13" s="326" customFormat="1" ht="9.9499999999999993" customHeight="1" x14ac:dyDescent="0.2">
      <c r="B432" s="327"/>
      <c r="D432" s="327"/>
      <c r="F432" s="327"/>
      <c r="H432" s="327"/>
      <c r="J432" s="327"/>
      <c r="M432" s="758"/>
    </row>
    <row r="433" spans="2:13" s="326" customFormat="1" ht="9.9499999999999993" customHeight="1" x14ac:dyDescent="0.2">
      <c r="B433" s="327"/>
      <c r="D433" s="327"/>
      <c r="F433" s="327"/>
      <c r="H433" s="327"/>
      <c r="J433" s="327"/>
      <c r="M433" s="758"/>
    </row>
    <row r="434" spans="2:13" s="326" customFormat="1" ht="9.9499999999999993" customHeight="1" x14ac:dyDescent="0.2">
      <c r="B434" s="327"/>
      <c r="D434" s="327"/>
      <c r="F434" s="327"/>
      <c r="H434" s="327"/>
      <c r="J434" s="327"/>
      <c r="M434" s="758"/>
    </row>
    <row r="435" spans="2:13" s="326" customFormat="1" ht="9.9499999999999993" customHeight="1" x14ac:dyDescent="0.2">
      <c r="B435" s="327"/>
      <c r="D435" s="327"/>
      <c r="F435" s="327"/>
      <c r="H435" s="327"/>
      <c r="J435" s="327"/>
      <c r="M435" s="758"/>
    </row>
    <row r="436" spans="2:13" s="326" customFormat="1" ht="9.9499999999999993" customHeight="1" x14ac:dyDescent="0.2">
      <c r="B436" s="327"/>
      <c r="D436" s="327"/>
      <c r="F436" s="327"/>
      <c r="H436" s="327"/>
      <c r="J436" s="327"/>
      <c r="M436" s="758"/>
    </row>
    <row r="437" spans="2:13" s="326" customFormat="1" ht="9.9499999999999993" customHeight="1" x14ac:dyDescent="0.2">
      <c r="B437" s="327"/>
      <c r="D437" s="327"/>
      <c r="F437" s="327"/>
      <c r="H437" s="327"/>
      <c r="J437" s="327"/>
      <c r="M437" s="758"/>
    </row>
    <row r="438" spans="2:13" s="326" customFormat="1" ht="9.9499999999999993" customHeight="1" x14ac:dyDescent="0.2">
      <c r="B438" s="327"/>
      <c r="D438" s="327"/>
      <c r="F438" s="327"/>
      <c r="H438" s="327"/>
      <c r="J438" s="327"/>
      <c r="M438" s="758"/>
    </row>
    <row r="439" spans="2:13" s="326" customFormat="1" ht="9.9499999999999993" customHeight="1" x14ac:dyDescent="0.2">
      <c r="B439" s="327"/>
      <c r="D439" s="327"/>
      <c r="F439" s="327"/>
      <c r="H439" s="327"/>
      <c r="J439" s="327"/>
      <c r="M439" s="758"/>
    </row>
    <row r="440" spans="2:13" s="326" customFormat="1" ht="9.9499999999999993" customHeight="1" x14ac:dyDescent="0.2">
      <c r="B440" s="327"/>
      <c r="D440" s="327"/>
      <c r="F440" s="327"/>
      <c r="H440" s="327"/>
      <c r="J440" s="327"/>
      <c r="M440" s="758"/>
    </row>
    <row r="441" spans="2:13" s="326" customFormat="1" ht="9.9499999999999993" customHeight="1" x14ac:dyDescent="0.2">
      <c r="B441" s="327"/>
      <c r="D441" s="327"/>
      <c r="F441" s="327"/>
      <c r="H441" s="327"/>
      <c r="J441" s="327"/>
      <c r="M441" s="758"/>
    </row>
    <row r="442" spans="2:13" s="326" customFormat="1" ht="9.9499999999999993" customHeight="1" x14ac:dyDescent="0.2">
      <c r="B442" s="327"/>
      <c r="D442" s="327"/>
      <c r="F442" s="327"/>
      <c r="H442" s="327"/>
      <c r="J442" s="327"/>
      <c r="M442" s="758"/>
    </row>
    <row r="443" spans="2:13" s="326" customFormat="1" ht="9.9499999999999993" customHeight="1" x14ac:dyDescent="0.2">
      <c r="B443" s="327"/>
      <c r="D443" s="327"/>
      <c r="F443" s="327"/>
      <c r="H443" s="327"/>
      <c r="J443" s="327"/>
      <c r="M443" s="758"/>
    </row>
    <row r="444" spans="2:13" s="326" customFormat="1" ht="9.9499999999999993" customHeight="1" x14ac:dyDescent="0.2">
      <c r="B444" s="327"/>
      <c r="D444" s="327"/>
      <c r="F444" s="327"/>
      <c r="H444" s="327"/>
      <c r="J444" s="327"/>
      <c r="M444" s="758"/>
    </row>
    <row r="445" spans="2:13" s="326" customFormat="1" ht="9.9499999999999993" customHeight="1" x14ac:dyDescent="0.2">
      <c r="B445" s="327"/>
      <c r="D445" s="327"/>
      <c r="F445" s="327"/>
      <c r="H445" s="327"/>
      <c r="J445" s="327"/>
      <c r="M445" s="758"/>
    </row>
    <row r="446" spans="2:13" s="326" customFormat="1" ht="9.9499999999999993" customHeight="1" x14ac:dyDescent="0.2">
      <c r="B446" s="327"/>
      <c r="D446" s="327"/>
      <c r="F446" s="327"/>
      <c r="H446" s="327"/>
      <c r="J446" s="327"/>
      <c r="M446" s="758"/>
    </row>
    <row r="447" spans="2:13" s="326" customFormat="1" ht="9.9499999999999993" customHeight="1" x14ac:dyDescent="0.2">
      <c r="B447" s="327"/>
      <c r="D447" s="327"/>
      <c r="F447" s="327"/>
      <c r="H447" s="327"/>
      <c r="J447" s="327"/>
      <c r="M447" s="758"/>
    </row>
    <row r="448" spans="2:13" s="326" customFormat="1" ht="9.9499999999999993" customHeight="1" x14ac:dyDescent="0.2">
      <c r="B448" s="327"/>
      <c r="D448" s="327"/>
      <c r="F448" s="327"/>
      <c r="H448" s="327"/>
      <c r="J448" s="327"/>
      <c r="M448" s="758"/>
    </row>
    <row r="449" spans="2:13" s="326" customFormat="1" ht="9.9499999999999993" customHeight="1" x14ac:dyDescent="0.2">
      <c r="B449" s="327"/>
      <c r="D449" s="327"/>
      <c r="F449" s="327"/>
      <c r="H449" s="327"/>
      <c r="J449" s="327"/>
      <c r="M449" s="758"/>
    </row>
    <row r="450" spans="2:13" s="326" customFormat="1" ht="9.9499999999999993" customHeight="1" x14ac:dyDescent="0.2">
      <c r="B450" s="327"/>
      <c r="D450" s="327"/>
      <c r="F450" s="327"/>
      <c r="H450" s="327"/>
      <c r="J450" s="327"/>
      <c r="M450" s="758"/>
    </row>
    <row r="451" spans="2:13" s="326" customFormat="1" ht="9.9499999999999993" customHeight="1" x14ac:dyDescent="0.2">
      <c r="B451" s="327"/>
      <c r="D451" s="327"/>
      <c r="F451" s="327"/>
      <c r="H451" s="327"/>
      <c r="J451" s="327"/>
      <c r="M451" s="758"/>
    </row>
    <row r="452" spans="2:13" s="326" customFormat="1" ht="9.9499999999999993" customHeight="1" x14ac:dyDescent="0.2">
      <c r="B452" s="327"/>
      <c r="D452" s="327"/>
      <c r="F452" s="327"/>
      <c r="H452" s="327"/>
      <c r="J452" s="327"/>
      <c r="M452" s="758"/>
    </row>
    <row r="453" spans="2:13" s="326" customFormat="1" ht="9.9499999999999993" customHeight="1" x14ac:dyDescent="0.2">
      <c r="B453" s="327"/>
      <c r="D453" s="327"/>
      <c r="F453" s="327"/>
      <c r="H453" s="327"/>
      <c r="J453" s="327"/>
      <c r="M453" s="758"/>
    </row>
    <row r="454" spans="2:13" s="326" customFormat="1" ht="9.9499999999999993" customHeight="1" x14ac:dyDescent="0.2">
      <c r="B454" s="327"/>
      <c r="D454" s="327"/>
      <c r="F454" s="327"/>
      <c r="H454" s="327"/>
      <c r="J454" s="327"/>
      <c r="M454" s="758"/>
    </row>
    <row r="455" spans="2:13" s="326" customFormat="1" ht="9.9499999999999993" customHeight="1" x14ac:dyDescent="0.2">
      <c r="B455" s="327"/>
      <c r="D455" s="327"/>
      <c r="F455" s="327"/>
      <c r="H455" s="327"/>
      <c r="J455" s="327"/>
      <c r="M455" s="758"/>
    </row>
    <row r="456" spans="2:13" s="326" customFormat="1" ht="9.9499999999999993" customHeight="1" x14ac:dyDescent="0.2">
      <c r="B456" s="327"/>
      <c r="D456" s="327"/>
      <c r="F456" s="327"/>
      <c r="H456" s="327"/>
      <c r="J456" s="327"/>
      <c r="M456" s="758"/>
    </row>
    <row r="457" spans="2:13" s="326" customFormat="1" ht="9.9499999999999993" customHeight="1" x14ac:dyDescent="0.2">
      <c r="B457" s="327"/>
      <c r="D457" s="327"/>
      <c r="F457" s="327"/>
      <c r="H457" s="327"/>
      <c r="J457" s="327"/>
      <c r="M457" s="758"/>
    </row>
    <row r="458" spans="2:13" s="326" customFormat="1" ht="9.9499999999999993" customHeight="1" x14ac:dyDescent="0.2">
      <c r="B458" s="327"/>
      <c r="D458" s="327"/>
      <c r="F458" s="327"/>
      <c r="H458" s="327"/>
      <c r="J458" s="327"/>
      <c r="M458" s="758"/>
    </row>
    <row r="459" spans="2:13" s="326" customFormat="1" ht="9.9499999999999993" customHeight="1" x14ac:dyDescent="0.2">
      <c r="B459" s="327"/>
      <c r="D459" s="327"/>
      <c r="F459" s="327"/>
      <c r="H459" s="327"/>
      <c r="J459" s="327"/>
      <c r="M459" s="758"/>
    </row>
    <row r="460" spans="2:13" s="326" customFormat="1" ht="9.9499999999999993" customHeight="1" x14ac:dyDescent="0.2">
      <c r="B460" s="327"/>
      <c r="D460" s="327"/>
      <c r="F460" s="327"/>
      <c r="H460" s="327"/>
      <c r="J460" s="327"/>
      <c r="M460" s="758"/>
    </row>
    <row r="461" spans="2:13" s="326" customFormat="1" ht="9.9499999999999993" customHeight="1" x14ac:dyDescent="0.2">
      <c r="B461" s="327"/>
      <c r="D461" s="327"/>
      <c r="F461" s="327"/>
      <c r="H461" s="327"/>
      <c r="J461" s="327"/>
      <c r="M461" s="758"/>
    </row>
    <row r="462" spans="2:13" s="326" customFormat="1" ht="9.9499999999999993" customHeight="1" x14ac:dyDescent="0.2">
      <c r="B462" s="327"/>
      <c r="D462" s="327"/>
      <c r="F462" s="327"/>
      <c r="H462" s="327"/>
      <c r="J462" s="327"/>
      <c r="M462" s="758"/>
    </row>
    <row r="463" spans="2:13" s="326" customFormat="1" ht="9.9499999999999993" customHeight="1" x14ac:dyDescent="0.2">
      <c r="B463" s="327"/>
      <c r="D463" s="327"/>
      <c r="F463" s="327"/>
      <c r="H463" s="327"/>
      <c r="J463" s="327"/>
      <c r="M463" s="758"/>
    </row>
    <row r="464" spans="2:13" s="326" customFormat="1" ht="9.9499999999999993" customHeight="1" x14ac:dyDescent="0.2">
      <c r="B464" s="327"/>
      <c r="D464" s="327"/>
      <c r="F464" s="327"/>
      <c r="H464" s="327"/>
      <c r="J464" s="327"/>
      <c r="M464" s="758"/>
    </row>
    <row r="465" spans="2:13" s="326" customFormat="1" ht="9.9499999999999993" customHeight="1" x14ac:dyDescent="0.2">
      <c r="B465" s="327"/>
      <c r="D465" s="327"/>
      <c r="F465" s="327"/>
      <c r="H465" s="327"/>
      <c r="J465" s="327"/>
      <c r="M465" s="758"/>
    </row>
    <row r="466" spans="2:13" s="326" customFormat="1" ht="9.9499999999999993" customHeight="1" x14ac:dyDescent="0.2">
      <c r="B466" s="327"/>
      <c r="D466" s="327"/>
      <c r="F466" s="327"/>
      <c r="H466" s="327"/>
      <c r="J466" s="327"/>
      <c r="M466" s="758"/>
    </row>
    <row r="467" spans="2:13" s="326" customFormat="1" ht="9.9499999999999993" customHeight="1" x14ac:dyDescent="0.2">
      <c r="B467" s="327"/>
      <c r="D467" s="327"/>
      <c r="F467" s="327"/>
      <c r="H467" s="327"/>
      <c r="J467" s="327"/>
      <c r="M467" s="758"/>
    </row>
    <row r="468" spans="2:13" s="326" customFormat="1" ht="9.9499999999999993" customHeight="1" x14ac:dyDescent="0.2">
      <c r="B468" s="327"/>
      <c r="D468" s="327"/>
      <c r="F468" s="327"/>
      <c r="H468" s="327"/>
      <c r="J468" s="327"/>
      <c r="M468" s="758"/>
    </row>
    <row r="469" spans="2:13" s="326" customFormat="1" ht="9.9499999999999993" customHeight="1" x14ac:dyDescent="0.2">
      <c r="B469" s="327"/>
      <c r="D469" s="327"/>
      <c r="F469" s="327"/>
      <c r="H469" s="327"/>
      <c r="J469" s="327"/>
      <c r="M469" s="758"/>
    </row>
    <row r="470" spans="2:13" s="326" customFormat="1" ht="9.9499999999999993" customHeight="1" x14ac:dyDescent="0.2">
      <c r="B470" s="327"/>
      <c r="D470" s="327"/>
      <c r="F470" s="327"/>
      <c r="H470" s="327"/>
      <c r="J470" s="327"/>
      <c r="M470" s="758"/>
    </row>
    <row r="471" spans="2:13" s="326" customFormat="1" ht="9.9499999999999993" customHeight="1" x14ac:dyDescent="0.2">
      <c r="B471" s="327"/>
      <c r="D471" s="327"/>
      <c r="F471" s="327"/>
      <c r="H471" s="327"/>
      <c r="J471" s="327"/>
      <c r="M471" s="758"/>
    </row>
    <row r="472" spans="2:13" s="326" customFormat="1" ht="9.9499999999999993" customHeight="1" x14ac:dyDescent="0.2">
      <c r="B472" s="327"/>
      <c r="D472" s="327"/>
      <c r="F472" s="327"/>
      <c r="H472" s="327"/>
      <c r="J472" s="327"/>
      <c r="M472" s="758"/>
    </row>
    <row r="473" spans="2:13" s="326" customFormat="1" ht="9.9499999999999993" customHeight="1" x14ac:dyDescent="0.2">
      <c r="B473" s="327"/>
      <c r="D473" s="327"/>
      <c r="F473" s="327"/>
      <c r="H473" s="327"/>
      <c r="J473" s="327"/>
      <c r="M473" s="758"/>
    </row>
    <row r="474" spans="2:13" s="326" customFormat="1" ht="9.9499999999999993" customHeight="1" x14ac:dyDescent="0.2">
      <c r="B474" s="327"/>
      <c r="D474" s="327"/>
      <c r="F474" s="327"/>
      <c r="H474" s="327"/>
      <c r="J474" s="327"/>
      <c r="M474" s="758"/>
    </row>
    <row r="475" spans="2:13" s="326" customFormat="1" ht="9.9499999999999993" customHeight="1" x14ac:dyDescent="0.2">
      <c r="B475" s="327"/>
      <c r="D475" s="327"/>
      <c r="F475" s="327"/>
      <c r="H475" s="327"/>
      <c r="J475" s="327"/>
      <c r="M475" s="758"/>
    </row>
    <row r="476" spans="2:13" s="326" customFormat="1" ht="9.9499999999999993" customHeight="1" x14ac:dyDescent="0.2">
      <c r="B476" s="327"/>
      <c r="D476" s="327"/>
      <c r="F476" s="327"/>
      <c r="H476" s="327"/>
      <c r="J476" s="327"/>
      <c r="M476" s="758"/>
    </row>
    <row r="477" spans="2:13" s="326" customFormat="1" ht="9.9499999999999993" customHeight="1" x14ac:dyDescent="0.2">
      <c r="B477" s="327"/>
      <c r="D477" s="327"/>
      <c r="F477" s="327"/>
      <c r="H477" s="327"/>
      <c r="J477" s="327"/>
      <c r="M477" s="758"/>
    </row>
    <row r="478" spans="2:13" s="326" customFormat="1" ht="9.9499999999999993" customHeight="1" x14ac:dyDescent="0.2">
      <c r="B478" s="327"/>
      <c r="D478" s="327"/>
      <c r="F478" s="327"/>
      <c r="H478" s="327"/>
      <c r="J478" s="327"/>
      <c r="M478" s="758"/>
    </row>
    <row r="479" spans="2:13" s="326" customFormat="1" ht="9.9499999999999993" customHeight="1" x14ac:dyDescent="0.2">
      <c r="B479" s="327"/>
      <c r="D479" s="327"/>
      <c r="F479" s="327"/>
      <c r="H479" s="327"/>
      <c r="J479" s="327"/>
      <c r="M479" s="758"/>
    </row>
    <row r="480" spans="2:13" s="326" customFormat="1" ht="9.9499999999999993" customHeight="1" x14ac:dyDescent="0.2">
      <c r="B480" s="327"/>
      <c r="D480" s="327"/>
      <c r="F480" s="327"/>
      <c r="H480" s="327"/>
      <c r="J480" s="327"/>
      <c r="M480" s="758"/>
    </row>
    <row r="481" spans="2:13" s="326" customFormat="1" ht="9.9499999999999993" customHeight="1" x14ac:dyDescent="0.2">
      <c r="B481" s="327"/>
      <c r="D481" s="327"/>
      <c r="F481" s="327"/>
      <c r="H481" s="327"/>
      <c r="J481" s="327"/>
      <c r="M481" s="758"/>
    </row>
    <row r="482" spans="2:13" s="326" customFormat="1" ht="9.9499999999999993" customHeight="1" x14ac:dyDescent="0.2">
      <c r="B482" s="327"/>
      <c r="D482" s="327"/>
      <c r="F482" s="327"/>
      <c r="H482" s="327"/>
      <c r="J482" s="327"/>
      <c r="M482" s="758"/>
    </row>
    <row r="483" spans="2:13" s="326" customFormat="1" ht="9.9499999999999993" customHeight="1" x14ac:dyDescent="0.2">
      <c r="B483" s="327"/>
      <c r="D483" s="327"/>
      <c r="F483" s="327"/>
      <c r="H483" s="327"/>
      <c r="J483" s="327"/>
      <c r="M483" s="758"/>
    </row>
    <row r="484" spans="2:13" s="326" customFormat="1" ht="9.9499999999999993" customHeight="1" x14ac:dyDescent="0.2">
      <c r="B484" s="327"/>
      <c r="D484" s="327"/>
      <c r="F484" s="327"/>
      <c r="H484" s="327"/>
      <c r="J484" s="327"/>
      <c r="M484" s="758"/>
    </row>
    <row r="485" spans="2:13" s="326" customFormat="1" ht="9.9499999999999993" customHeight="1" x14ac:dyDescent="0.2">
      <c r="B485" s="327"/>
      <c r="D485" s="327"/>
      <c r="F485" s="327"/>
      <c r="H485" s="327"/>
      <c r="J485" s="327"/>
      <c r="M485" s="758"/>
    </row>
    <row r="486" spans="2:13" s="326" customFormat="1" ht="9.9499999999999993" customHeight="1" x14ac:dyDescent="0.2">
      <c r="B486" s="327"/>
      <c r="D486" s="327"/>
      <c r="F486" s="327"/>
      <c r="H486" s="327"/>
      <c r="J486" s="327"/>
      <c r="M486" s="758"/>
    </row>
    <row r="487" spans="2:13" s="326" customFormat="1" ht="9.9499999999999993" customHeight="1" x14ac:dyDescent="0.2">
      <c r="B487" s="327"/>
      <c r="D487" s="327"/>
      <c r="F487" s="327"/>
      <c r="H487" s="327"/>
      <c r="J487" s="327"/>
      <c r="M487" s="758"/>
    </row>
    <row r="488" spans="2:13" s="326" customFormat="1" ht="9.9499999999999993" customHeight="1" x14ac:dyDescent="0.2">
      <c r="B488" s="327"/>
      <c r="D488" s="327"/>
      <c r="F488" s="327"/>
      <c r="H488" s="327"/>
      <c r="J488" s="327"/>
      <c r="M488" s="758"/>
    </row>
    <row r="489" spans="2:13" s="326" customFormat="1" ht="9.9499999999999993" customHeight="1" x14ac:dyDescent="0.2">
      <c r="B489" s="327"/>
      <c r="D489" s="327"/>
      <c r="F489" s="327"/>
      <c r="H489" s="327"/>
      <c r="J489" s="327"/>
      <c r="M489" s="758"/>
    </row>
    <row r="490" spans="2:13" s="326" customFormat="1" ht="9.9499999999999993" customHeight="1" x14ac:dyDescent="0.2">
      <c r="B490" s="327"/>
      <c r="D490" s="327"/>
      <c r="F490" s="327"/>
      <c r="H490" s="327"/>
      <c r="J490" s="327"/>
      <c r="M490" s="758"/>
    </row>
    <row r="491" spans="2:13" s="326" customFormat="1" ht="9.9499999999999993" customHeight="1" x14ac:dyDescent="0.2">
      <c r="B491" s="327"/>
      <c r="D491" s="327"/>
      <c r="F491" s="327"/>
      <c r="H491" s="327"/>
      <c r="J491" s="327"/>
      <c r="M491" s="758"/>
    </row>
    <row r="492" spans="2:13" s="326" customFormat="1" ht="9.9499999999999993" customHeight="1" x14ac:dyDescent="0.2">
      <c r="B492" s="327"/>
      <c r="D492" s="327"/>
      <c r="F492" s="327"/>
      <c r="H492" s="327"/>
      <c r="J492" s="327"/>
      <c r="M492" s="758"/>
    </row>
    <row r="493" spans="2:13" s="326" customFormat="1" ht="9.9499999999999993" customHeight="1" x14ac:dyDescent="0.2">
      <c r="B493" s="327"/>
      <c r="D493" s="327"/>
      <c r="F493" s="327"/>
      <c r="H493" s="327"/>
      <c r="J493" s="327"/>
      <c r="M493" s="758"/>
    </row>
    <row r="494" spans="2:13" s="326" customFormat="1" ht="9.9499999999999993" customHeight="1" x14ac:dyDescent="0.2">
      <c r="B494" s="327"/>
      <c r="D494" s="327"/>
      <c r="F494" s="327"/>
      <c r="H494" s="327"/>
      <c r="J494" s="327"/>
      <c r="M494" s="758"/>
    </row>
    <row r="495" spans="2:13" s="326" customFormat="1" ht="9.9499999999999993" customHeight="1" x14ac:dyDescent="0.2">
      <c r="B495" s="327"/>
      <c r="D495" s="327"/>
      <c r="F495" s="327"/>
      <c r="H495" s="327"/>
      <c r="J495" s="327"/>
      <c r="M495" s="758"/>
    </row>
    <row r="496" spans="2:13" s="326" customFormat="1" ht="9.9499999999999993" customHeight="1" x14ac:dyDescent="0.2">
      <c r="B496" s="327"/>
      <c r="D496" s="327"/>
      <c r="F496" s="327"/>
      <c r="H496" s="327"/>
      <c r="J496" s="327"/>
      <c r="M496" s="758"/>
    </row>
    <row r="497" spans="2:13" s="326" customFormat="1" ht="9.9499999999999993" customHeight="1" x14ac:dyDescent="0.2">
      <c r="B497" s="327"/>
      <c r="D497" s="327"/>
      <c r="F497" s="327"/>
      <c r="H497" s="327"/>
      <c r="J497" s="327"/>
      <c r="M497" s="758"/>
    </row>
    <row r="498" spans="2:13" s="326" customFormat="1" ht="9.9499999999999993" customHeight="1" x14ac:dyDescent="0.2">
      <c r="B498" s="327"/>
      <c r="D498" s="327"/>
      <c r="F498" s="327"/>
      <c r="H498" s="327"/>
      <c r="J498" s="327"/>
      <c r="M498" s="758"/>
    </row>
    <row r="499" spans="2:13" s="326" customFormat="1" ht="9.9499999999999993" customHeight="1" x14ac:dyDescent="0.2">
      <c r="B499" s="327"/>
      <c r="D499" s="327"/>
      <c r="F499" s="327"/>
      <c r="H499" s="327"/>
      <c r="J499" s="327"/>
      <c r="M499" s="758"/>
    </row>
    <row r="500" spans="2:13" s="326" customFormat="1" ht="9.9499999999999993" customHeight="1" x14ac:dyDescent="0.2">
      <c r="B500" s="327"/>
      <c r="D500" s="327"/>
      <c r="F500" s="327"/>
      <c r="H500" s="327"/>
      <c r="J500" s="327"/>
      <c r="M500" s="758"/>
    </row>
    <row r="501" spans="2:13" s="326" customFormat="1" ht="9.9499999999999993" customHeight="1" x14ac:dyDescent="0.2">
      <c r="B501" s="327"/>
      <c r="D501" s="327"/>
      <c r="F501" s="327"/>
      <c r="H501" s="327"/>
      <c r="J501" s="327"/>
      <c r="M501" s="758"/>
    </row>
    <row r="502" spans="2:13" s="326" customFormat="1" ht="9.9499999999999993" customHeight="1" x14ac:dyDescent="0.2">
      <c r="B502" s="327"/>
      <c r="D502" s="327"/>
      <c r="F502" s="327"/>
      <c r="H502" s="327"/>
      <c r="J502" s="327"/>
      <c r="M502" s="758"/>
    </row>
    <row r="503" spans="2:13" s="326" customFormat="1" ht="9.9499999999999993" customHeight="1" x14ac:dyDescent="0.2">
      <c r="B503" s="327"/>
      <c r="D503" s="327"/>
      <c r="F503" s="327"/>
      <c r="H503" s="327"/>
      <c r="J503" s="327"/>
      <c r="M503" s="758"/>
    </row>
    <row r="504" spans="2:13" s="326" customFormat="1" ht="9.9499999999999993" customHeight="1" x14ac:dyDescent="0.2">
      <c r="B504" s="327"/>
      <c r="D504" s="327"/>
      <c r="F504" s="327"/>
      <c r="H504" s="327"/>
      <c r="J504" s="327"/>
      <c r="M504" s="758"/>
    </row>
    <row r="505" spans="2:13" s="326" customFormat="1" ht="9.9499999999999993" customHeight="1" x14ac:dyDescent="0.2">
      <c r="B505" s="327"/>
      <c r="D505" s="327"/>
      <c r="F505" s="327"/>
      <c r="H505" s="327"/>
      <c r="J505" s="327"/>
      <c r="M505" s="758"/>
    </row>
    <row r="506" spans="2:13" s="326" customFormat="1" ht="9.9499999999999993" customHeight="1" x14ac:dyDescent="0.2">
      <c r="B506" s="327"/>
      <c r="D506" s="327"/>
      <c r="F506" s="327"/>
      <c r="H506" s="327"/>
      <c r="J506" s="327"/>
      <c r="M506" s="758"/>
    </row>
    <row r="507" spans="2:13" s="326" customFormat="1" ht="9.9499999999999993" customHeight="1" x14ac:dyDescent="0.2">
      <c r="B507" s="327"/>
      <c r="D507" s="327"/>
      <c r="F507" s="327"/>
      <c r="H507" s="327"/>
      <c r="J507" s="327"/>
      <c r="M507" s="758"/>
    </row>
    <row r="508" spans="2:13" s="326" customFormat="1" ht="9.9499999999999993" customHeight="1" x14ac:dyDescent="0.2">
      <c r="B508" s="327"/>
      <c r="D508" s="327"/>
      <c r="F508" s="327"/>
      <c r="H508" s="327"/>
      <c r="J508" s="327"/>
      <c r="M508" s="758"/>
    </row>
    <row r="509" spans="2:13" s="326" customFormat="1" ht="9.9499999999999993" customHeight="1" x14ac:dyDescent="0.2">
      <c r="B509" s="327"/>
      <c r="D509" s="327"/>
      <c r="F509" s="327"/>
      <c r="H509" s="327"/>
      <c r="J509" s="327"/>
      <c r="M509" s="758"/>
    </row>
    <row r="510" spans="2:13" s="326" customFormat="1" ht="9.9499999999999993" customHeight="1" x14ac:dyDescent="0.2">
      <c r="B510" s="327"/>
      <c r="D510" s="327"/>
      <c r="F510" s="327"/>
      <c r="H510" s="327"/>
      <c r="J510" s="327"/>
      <c r="M510" s="758"/>
    </row>
    <row r="511" spans="2:13" s="326" customFormat="1" ht="9.9499999999999993" customHeight="1" x14ac:dyDescent="0.2">
      <c r="B511" s="327"/>
      <c r="D511" s="327"/>
      <c r="F511" s="327"/>
      <c r="H511" s="327"/>
      <c r="J511" s="327"/>
      <c r="M511" s="758"/>
    </row>
    <row r="512" spans="2:13" s="326" customFormat="1" ht="9.9499999999999993" customHeight="1" x14ac:dyDescent="0.2">
      <c r="B512" s="327"/>
      <c r="D512" s="327"/>
      <c r="F512" s="327"/>
      <c r="H512" s="327"/>
      <c r="J512" s="327"/>
      <c r="M512" s="758"/>
    </row>
    <row r="513" spans="2:13" s="326" customFormat="1" ht="9.9499999999999993" customHeight="1" x14ac:dyDescent="0.2">
      <c r="B513" s="327"/>
      <c r="D513" s="327"/>
      <c r="F513" s="327"/>
      <c r="H513" s="327"/>
      <c r="J513" s="327"/>
      <c r="M513" s="758"/>
    </row>
    <row r="514" spans="2:13" s="326" customFormat="1" ht="9.9499999999999993" customHeight="1" x14ac:dyDescent="0.2">
      <c r="B514" s="327"/>
      <c r="D514" s="327"/>
      <c r="F514" s="327"/>
      <c r="H514" s="327"/>
      <c r="J514" s="327"/>
      <c r="M514" s="758"/>
    </row>
    <row r="515" spans="2:13" s="326" customFormat="1" ht="9.9499999999999993" customHeight="1" x14ac:dyDescent="0.2">
      <c r="B515" s="327"/>
      <c r="D515" s="327"/>
      <c r="F515" s="327"/>
      <c r="H515" s="327"/>
      <c r="J515" s="327"/>
      <c r="M515" s="758"/>
    </row>
    <row r="516" spans="2:13" s="326" customFormat="1" ht="9.9499999999999993" customHeight="1" x14ac:dyDescent="0.2">
      <c r="B516" s="327"/>
      <c r="D516" s="327"/>
      <c r="F516" s="327"/>
      <c r="H516" s="327"/>
      <c r="J516" s="327"/>
      <c r="M516" s="758"/>
    </row>
    <row r="517" spans="2:13" s="326" customFormat="1" ht="9.9499999999999993" customHeight="1" x14ac:dyDescent="0.2">
      <c r="B517" s="327"/>
      <c r="D517" s="327"/>
      <c r="F517" s="327"/>
      <c r="H517" s="327"/>
      <c r="J517" s="327"/>
      <c r="M517" s="758"/>
    </row>
    <row r="518" spans="2:13" s="326" customFormat="1" ht="9.9499999999999993" customHeight="1" x14ac:dyDescent="0.2">
      <c r="B518" s="327"/>
      <c r="D518" s="327"/>
      <c r="F518" s="327"/>
      <c r="H518" s="327"/>
      <c r="J518" s="327"/>
      <c r="M518" s="758"/>
    </row>
    <row r="519" spans="2:13" s="326" customFormat="1" ht="9.9499999999999993" customHeight="1" x14ac:dyDescent="0.2">
      <c r="B519" s="327"/>
      <c r="D519" s="327"/>
      <c r="F519" s="327"/>
      <c r="H519" s="327"/>
      <c r="J519" s="327"/>
      <c r="M519" s="758"/>
    </row>
    <row r="520" spans="2:13" s="326" customFormat="1" ht="9.9499999999999993" customHeight="1" x14ac:dyDescent="0.2">
      <c r="B520" s="327"/>
      <c r="D520" s="327"/>
      <c r="F520" s="327"/>
      <c r="H520" s="327"/>
      <c r="J520" s="327"/>
      <c r="M520" s="758"/>
    </row>
    <row r="521" spans="2:13" s="326" customFormat="1" ht="9.9499999999999993" customHeight="1" x14ac:dyDescent="0.2">
      <c r="B521" s="327"/>
      <c r="D521" s="327"/>
      <c r="F521" s="327"/>
      <c r="H521" s="327"/>
      <c r="J521" s="327"/>
      <c r="M521" s="758"/>
    </row>
    <row r="522" spans="2:13" s="326" customFormat="1" ht="9.9499999999999993" customHeight="1" x14ac:dyDescent="0.2">
      <c r="B522" s="327"/>
      <c r="D522" s="327"/>
      <c r="F522" s="327"/>
      <c r="H522" s="327"/>
      <c r="J522" s="327"/>
      <c r="M522" s="758"/>
    </row>
    <row r="523" spans="2:13" s="326" customFormat="1" ht="9.9499999999999993" customHeight="1" x14ac:dyDescent="0.2">
      <c r="B523" s="327"/>
      <c r="D523" s="327"/>
      <c r="F523" s="327"/>
      <c r="H523" s="327"/>
      <c r="J523" s="327"/>
      <c r="M523" s="758"/>
    </row>
    <row r="524" spans="2:13" s="326" customFormat="1" ht="9.9499999999999993" customHeight="1" x14ac:dyDescent="0.2">
      <c r="B524" s="327"/>
      <c r="D524" s="327"/>
      <c r="F524" s="327"/>
      <c r="H524" s="327"/>
      <c r="J524" s="327"/>
      <c r="M524" s="758"/>
    </row>
    <row r="525" spans="2:13" s="326" customFormat="1" ht="9.9499999999999993" customHeight="1" x14ac:dyDescent="0.2">
      <c r="B525" s="327"/>
      <c r="D525" s="327"/>
      <c r="F525" s="327"/>
      <c r="H525" s="327"/>
      <c r="J525" s="327"/>
      <c r="M525" s="758"/>
    </row>
    <row r="526" spans="2:13" s="326" customFormat="1" ht="9.9499999999999993" customHeight="1" x14ac:dyDescent="0.2">
      <c r="B526" s="327"/>
      <c r="D526" s="327"/>
      <c r="F526" s="327"/>
      <c r="H526" s="327"/>
      <c r="J526" s="327"/>
      <c r="M526" s="758"/>
    </row>
    <row r="527" spans="2:13" s="326" customFormat="1" ht="9.9499999999999993" customHeight="1" x14ac:dyDescent="0.2">
      <c r="B527" s="327"/>
      <c r="D527" s="327"/>
      <c r="F527" s="327"/>
      <c r="H527" s="327"/>
      <c r="J527" s="327"/>
      <c r="M527" s="758"/>
    </row>
    <row r="528" spans="2:13" s="326" customFormat="1" ht="9.9499999999999993" customHeight="1" x14ac:dyDescent="0.2">
      <c r="B528" s="327"/>
      <c r="D528" s="327"/>
      <c r="F528" s="327"/>
      <c r="H528" s="327"/>
      <c r="J528" s="327"/>
      <c r="M528" s="758"/>
    </row>
    <row r="529" spans="2:13" s="326" customFormat="1" ht="9.9499999999999993" customHeight="1" x14ac:dyDescent="0.2">
      <c r="B529" s="327"/>
      <c r="D529" s="327"/>
      <c r="F529" s="327"/>
      <c r="H529" s="327"/>
      <c r="J529" s="327"/>
      <c r="M529" s="758"/>
    </row>
    <row r="530" spans="2:13" s="326" customFormat="1" ht="9.9499999999999993" customHeight="1" x14ac:dyDescent="0.2">
      <c r="B530" s="327"/>
      <c r="D530" s="327"/>
      <c r="F530" s="327"/>
      <c r="H530" s="327"/>
      <c r="J530" s="327"/>
      <c r="M530" s="758"/>
    </row>
    <row r="531" spans="2:13" s="326" customFormat="1" ht="9.9499999999999993" customHeight="1" x14ac:dyDescent="0.2">
      <c r="B531" s="327"/>
      <c r="D531" s="327"/>
      <c r="F531" s="327"/>
      <c r="H531" s="327"/>
      <c r="J531" s="327"/>
      <c r="M531" s="758"/>
    </row>
    <row r="532" spans="2:13" s="326" customFormat="1" ht="9.9499999999999993" customHeight="1" x14ac:dyDescent="0.2">
      <c r="B532" s="327"/>
      <c r="D532" s="327"/>
      <c r="F532" s="327"/>
      <c r="H532" s="327"/>
      <c r="J532" s="327"/>
      <c r="M532" s="758"/>
    </row>
    <row r="533" spans="2:13" s="326" customFormat="1" ht="9.9499999999999993" customHeight="1" x14ac:dyDescent="0.2">
      <c r="B533" s="327"/>
      <c r="D533" s="327"/>
      <c r="F533" s="327"/>
      <c r="H533" s="327"/>
      <c r="J533" s="327"/>
      <c r="M533" s="758"/>
    </row>
    <row r="534" spans="2:13" s="326" customFormat="1" ht="9.9499999999999993" customHeight="1" x14ac:dyDescent="0.2">
      <c r="B534" s="327"/>
      <c r="D534" s="327"/>
      <c r="F534" s="327"/>
      <c r="H534" s="327"/>
      <c r="J534" s="327"/>
      <c r="M534" s="758"/>
    </row>
    <row r="535" spans="2:13" s="326" customFormat="1" ht="9.9499999999999993" customHeight="1" x14ac:dyDescent="0.2">
      <c r="B535" s="327"/>
      <c r="D535" s="327"/>
      <c r="F535" s="327"/>
      <c r="H535" s="327"/>
      <c r="J535" s="327"/>
      <c r="M535" s="758"/>
    </row>
    <row r="536" spans="2:13" s="326" customFormat="1" ht="9.9499999999999993" customHeight="1" x14ac:dyDescent="0.2">
      <c r="B536" s="327"/>
      <c r="D536" s="327"/>
      <c r="F536" s="327"/>
      <c r="H536" s="327"/>
      <c r="J536" s="327"/>
      <c r="M536" s="758"/>
    </row>
    <row r="537" spans="2:13" s="326" customFormat="1" ht="9.9499999999999993" customHeight="1" x14ac:dyDescent="0.2">
      <c r="B537" s="327"/>
      <c r="D537" s="327"/>
      <c r="F537" s="327"/>
      <c r="H537" s="327"/>
      <c r="J537" s="327"/>
      <c r="M537" s="758"/>
    </row>
    <row r="538" spans="2:13" s="326" customFormat="1" ht="9.9499999999999993" customHeight="1" x14ac:dyDescent="0.2">
      <c r="B538" s="327"/>
      <c r="D538" s="327"/>
      <c r="F538" s="327"/>
      <c r="H538" s="327"/>
      <c r="J538" s="327"/>
      <c r="M538" s="758"/>
    </row>
    <row r="539" spans="2:13" s="326" customFormat="1" ht="9.9499999999999993" customHeight="1" x14ac:dyDescent="0.2">
      <c r="B539" s="327"/>
      <c r="D539" s="327"/>
      <c r="F539" s="327"/>
      <c r="H539" s="327"/>
      <c r="J539" s="327"/>
      <c r="M539" s="758"/>
    </row>
    <row r="540" spans="2:13" s="326" customFormat="1" ht="9.9499999999999993" customHeight="1" x14ac:dyDescent="0.2">
      <c r="B540" s="327"/>
      <c r="D540" s="327"/>
      <c r="F540" s="327"/>
      <c r="H540" s="327"/>
      <c r="J540" s="327"/>
      <c r="M540" s="758"/>
    </row>
    <row r="541" spans="2:13" s="326" customFormat="1" ht="9.9499999999999993" customHeight="1" x14ac:dyDescent="0.2">
      <c r="B541" s="327"/>
      <c r="D541" s="327"/>
      <c r="F541" s="327"/>
      <c r="H541" s="327"/>
      <c r="J541" s="327"/>
      <c r="M541" s="758"/>
    </row>
    <row r="542" spans="2:13" s="326" customFormat="1" ht="9.9499999999999993" customHeight="1" x14ac:dyDescent="0.2">
      <c r="B542" s="327"/>
      <c r="D542" s="327"/>
      <c r="F542" s="327"/>
      <c r="H542" s="327"/>
      <c r="J542" s="327"/>
      <c r="M542" s="758"/>
    </row>
    <row r="543" spans="2:13" s="326" customFormat="1" ht="9.9499999999999993" customHeight="1" x14ac:dyDescent="0.2">
      <c r="B543" s="327"/>
      <c r="D543" s="327"/>
      <c r="F543" s="327"/>
      <c r="H543" s="327"/>
      <c r="J543" s="327"/>
      <c r="M543" s="758"/>
    </row>
    <row r="544" spans="2:13" s="326" customFormat="1" ht="9.9499999999999993" customHeight="1" x14ac:dyDescent="0.2">
      <c r="B544" s="327"/>
      <c r="D544" s="327"/>
      <c r="F544" s="327"/>
      <c r="H544" s="327"/>
      <c r="J544" s="327"/>
      <c r="M544" s="758"/>
    </row>
    <row r="545" spans="2:13" s="326" customFormat="1" ht="9.9499999999999993" customHeight="1" x14ac:dyDescent="0.2">
      <c r="B545" s="327"/>
      <c r="D545" s="327"/>
      <c r="F545" s="327"/>
      <c r="H545" s="327"/>
      <c r="J545" s="327"/>
      <c r="M545" s="758"/>
    </row>
    <row r="546" spans="2:13" s="326" customFormat="1" ht="9.9499999999999993" customHeight="1" x14ac:dyDescent="0.2">
      <c r="B546" s="327"/>
      <c r="D546" s="327"/>
      <c r="F546" s="327"/>
      <c r="H546" s="327"/>
      <c r="J546" s="327"/>
      <c r="M546" s="758"/>
    </row>
    <row r="547" spans="2:13" s="326" customFormat="1" ht="9.9499999999999993" customHeight="1" x14ac:dyDescent="0.2">
      <c r="B547" s="327"/>
      <c r="D547" s="327"/>
      <c r="F547" s="327"/>
      <c r="H547" s="327"/>
      <c r="J547" s="327"/>
      <c r="M547" s="758"/>
    </row>
    <row r="548" spans="2:13" s="326" customFormat="1" ht="9.9499999999999993" customHeight="1" x14ac:dyDescent="0.2">
      <c r="B548" s="327"/>
      <c r="D548" s="327"/>
      <c r="F548" s="327"/>
      <c r="H548" s="327"/>
      <c r="J548" s="327"/>
      <c r="M548" s="758"/>
    </row>
    <row r="549" spans="2:13" s="326" customFormat="1" ht="9.9499999999999993" customHeight="1" x14ac:dyDescent="0.2">
      <c r="B549" s="327"/>
      <c r="D549" s="327"/>
      <c r="F549" s="327"/>
      <c r="H549" s="327"/>
      <c r="J549" s="327"/>
      <c r="M549" s="758"/>
    </row>
    <row r="550" spans="2:13" s="326" customFormat="1" ht="9.9499999999999993" customHeight="1" x14ac:dyDescent="0.2">
      <c r="B550" s="327"/>
      <c r="D550" s="327"/>
      <c r="F550" s="327"/>
      <c r="H550" s="327"/>
      <c r="J550" s="327"/>
      <c r="M550" s="758"/>
    </row>
    <row r="551" spans="2:13" s="326" customFormat="1" ht="9.9499999999999993" customHeight="1" x14ac:dyDescent="0.2">
      <c r="B551" s="327"/>
      <c r="D551" s="327"/>
      <c r="F551" s="327"/>
      <c r="H551" s="327"/>
      <c r="J551" s="327"/>
      <c r="M551" s="758"/>
    </row>
    <row r="552" spans="2:13" s="326" customFormat="1" ht="9.9499999999999993" customHeight="1" x14ac:dyDescent="0.2">
      <c r="B552" s="327"/>
      <c r="D552" s="327"/>
      <c r="F552" s="327"/>
      <c r="H552" s="327"/>
      <c r="J552" s="327"/>
      <c r="M552" s="758"/>
    </row>
    <row r="553" spans="2:13" s="326" customFormat="1" ht="9.9499999999999993" customHeight="1" x14ac:dyDescent="0.2">
      <c r="B553" s="327"/>
      <c r="D553" s="327"/>
      <c r="F553" s="327"/>
      <c r="H553" s="327"/>
      <c r="J553" s="327"/>
      <c r="M553" s="758"/>
    </row>
    <row r="554" spans="2:13" s="326" customFormat="1" ht="9.9499999999999993" customHeight="1" x14ac:dyDescent="0.2">
      <c r="B554" s="327"/>
      <c r="D554" s="327"/>
      <c r="F554" s="327"/>
      <c r="H554" s="327"/>
      <c r="J554" s="327"/>
      <c r="M554" s="758"/>
    </row>
    <row r="555" spans="2:13" s="326" customFormat="1" ht="9.9499999999999993" customHeight="1" x14ac:dyDescent="0.2">
      <c r="B555" s="327"/>
      <c r="D555" s="327"/>
      <c r="F555" s="327"/>
      <c r="H555" s="327"/>
      <c r="J555" s="327"/>
      <c r="M555" s="758"/>
    </row>
    <row r="556" spans="2:13" s="326" customFormat="1" ht="9.9499999999999993" customHeight="1" x14ac:dyDescent="0.2">
      <c r="B556" s="327"/>
      <c r="D556" s="327"/>
      <c r="F556" s="327"/>
      <c r="H556" s="327"/>
      <c r="J556" s="327"/>
      <c r="M556" s="758"/>
    </row>
    <row r="557" spans="2:13" s="326" customFormat="1" ht="9.9499999999999993" customHeight="1" x14ac:dyDescent="0.2">
      <c r="B557" s="327"/>
      <c r="D557" s="327"/>
      <c r="F557" s="327"/>
      <c r="H557" s="327"/>
      <c r="J557" s="327"/>
      <c r="M557" s="758"/>
    </row>
    <row r="558" spans="2:13" s="326" customFormat="1" ht="9.9499999999999993" customHeight="1" x14ac:dyDescent="0.2">
      <c r="B558" s="327"/>
      <c r="D558" s="327"/>
      <c r="F558" s="327"/>
      <c r="H558" s="327"/>
      <c r="J558" s="327"/>
      <c r="M558" s="758"/>
    </row>
    <row r="559" spans="2:13" s="326" customFormat="1" ht="9.9499999999999993" customHeight="1" x14ac:dyDescent="0.2">
      <c r="B559" s="327"/>
      <c r="D559" s="327"/>
      <c r="F559" s="327"/>
      <c r="H559" s="327"/>
      <c r="J559" s="327"/>
      <c r="M559" s="758"/>
    </row>
    <row r="560" spans="2:13" s="326" customFormat="1" ht="9.9499999999999993" customHeight="1" x14ac:dyDescent="0.2">
      <c r="B560" s="327"/>
      <c r="D560" s="327"/>
      <c r="F560" s="327"/>
      <c r="H560" s="327"/>
      <c r="J560" s="327"/>
      <c r="M560" s="758"/>
    </row>
    <row r="561" spans="2:13" s="326" customFormat="1" ht="9.9499999999999993" customHeight="1" x14ac:dyDescent="0.2">
      <c r="B561" s="327"/>
      <c r="D561" s="327"/>
      <c r="F561" s="327"/>
      <c r="H561" s="327"/>
      <c r="J561" s="327"/>
      <c r="M561" s="758"/>
    </row>
    <row r="562" spans="2:13" s="326" customFormat="1" ht="9.9499999999999993" customHeight="1" x14ac:dyDescent="0.2">
      <c r="B562" s="327"/>
      <c r="D562" s="327"/>
      <c r="F562" s="327"/>
      <c r="H562" s="327"/>
      <c r="J562" s="327"/>
      <c r="M562" s="758"/>
    </row>
    <row r="563" spans="2:13" s="326" customFormat="1" ht="9.9499999999999993" customHeight="1" x14ac:dyDescent="0.2">
      <c r="B563" s="327"/>
      <c r="D563" s="327"/>
      <c r="F563" s="327"/>
      <c r="H563" s="327"/>
      <c r="J563" s="327"/>
      <c r="M563" s="758"/>
    </row>
    <row r="564" spans="2:13" s="326" customFormat="1" ht="9.9499999999999993" customHeight="1" x14ac:dyDescent="0.2">
      <c r="B564" s="327"/>
      <c r="D564" s="327"/>
      <c r="F564" s="327"/>
      <c r="H564" s="327"/>
      <c r="J564" s="327"/>
      <c r="M564" s="758"/>
    </row>
    <row r="565" spans="2:13" s="326" customFormat="1" ht="9.9499999999999993" customHeight="1" x14ac:dyDescent="0.2">
      <c r="B565" s="327"/>
      <c r="D565" s="327"/>
      <c r="F565" s="327"/>
      <c r="H565" s="327"/>
      <c r="J565" s="327"/>
      <c r="M565" s="758"/>
    </row>
    <row r="566" spans="2:13" s="326" customFormat="1" ht="9.9499999999999993" customHeight="1" x14ac:dyDescent="0.2">
      <c r="B566" s="327"/>
      <c r="D566" s="327"/>
      <c r="F566" s="327"/>
      <c r="H566" s="327"/>
      <c r="J566" s="327"/>
      <c r="M566" s="758"/>
    </row>
    <row r="567" spans="2:13" s="326" customFormat="1" ht="9.9499999999999993" customHeight="1" x14ac:dyDescent="0.2">
      <c r="B567" s="327"/>
      <c r="D567" s="327"/>
      <c r="F567" s="327"/>
      <c r="H567" s="327"/>
      <c r="J567" s="327"/>
      <c r="M567" s="758"/>
    </row>
    <row r="568" spans="2:13" s="326" customFormat="1" ht="9.9499999999999993" customHeight="1" x14ac:dyDescent="0.2">
      <c r="B568" s="327"/>
      <c r="D568" s="327"/>
      <c r="F568" s="327"/>
      <c r="H568" s="327"/>
      <c r="J568" s="327"/>
      <c r="M568" s="758"/>
    </row>
    <row r="569" spans="2:13" s="326" customFormat="1" ht="9.9499999999999993" customHeight="1" x14ac:dyDescent="0.2">
      <c r="B569" s="327"/>
      <c r="D569" s="327"/>
      <c r="F569" s="327"/>
      <c r="H569" s="327"/>
      <c r="J569" s="327"/>
      <c r="M569" s="758"/>
    </row>
    <row r="570" spans="2:13" s="326" customFormat="1" ht="9.9499999999999993" customHeight="1" x14ac:dyDescent="0.2">
      <c r="B570" s="327"/>
      <c r="D570" s="327"/>
      <c r="F570" s="327"/>
      <c r="H570" s="327"/>
      <c r="J570" s="327"/>
      <c r="M570" s="758"/>
    </row>
    <row r="571" spans="2:13" s="326" customFormat="1" ht="9.9499999999999993" customHeight="1" x14ac:dyDescent="0.2">
      <c r="B571" s="327"/>
      <c r="D571" s="327"/>
      <c r="F571" s="327"/>
      <c r="H571" s="327"/>
      <c r="J571" s="327"/>
      <c r="M571" s="758"/>
    </row>
    <row r="572" spans="2:13" s="326" customFormat="1" ht="9.9499999999999993" customHeight="1" x14ac:dyDescent="0.2">
      <c r="B572" s="327"/>
      <c r="D572" s="327"/>
      <c r="F572" s="327"/>
      <c r="H572" s="327"/>
      <c r="J572" s="327"/>
      <c r="M572" s="758"/>
    </row>
    <row r="573" spans="2:13" s="326" customFormat="1" ht="9.9499999999999993" customHeight="1" x14ac:dyDescent="0.2">
      <c r="B573" s="327"/>
      <c r="D573" s="327"/>
      <c r="F573" s="327"/>
      <c r="H573" s="327"/>
      <c r="J573" s="327"/>
      <c r="M573" s="758"/>
    </row>
    <row r="574" spans="2:13" s="326" customFormat="1" ht="9.9499999999999993" customHeight="1" x14ac:dyDescent="0.2">
      <c r="B574" s="327"/>
      <c r="D574" s="327"/>
      <c r="F574" s="327"/>
      <c r="H574" s="327"/>
      <c r="J574" s="327"/>
      <c r="M574" s="758"/>
    </row>
    <row r="575" spans="2:13" s="326" customFormat="1" ht="9.9499999999999993" customHeight="1" x14ac:dyDescent="0.2">
      <c r="B575" s="327"/>
      <c r="D575" s="327"/>
      <c r="F575" s="327"/>
      <c r="H575" s="327"/>
      <c r="J575" s="327"/>
      <c r="M575" s="758"/>
    </row>
    <row r="576" spans="2:13" s="326" customFormat="1" ht="9.9499999999999993" customHeight="1" x14ac:dyDescent="0.2">
      <c r="B576" s="327"/>
      <c r="D576" s="327"/>
      <c r="F576" s="327"/>
      <c r="H576" s="327"/>
      <c r="J576" s="327"/>
      <c r="M576" s="758"/>
    </row>
    <row r="577" spans="2:13" s="326" customFormat="1" ht="9.9499999999999993" customHeight="1" x14ac:dyDescent="0.2">
      <c r="B577" s="327"/>
      <c r="D577" s="327"/>
      <c r="F577" s="327"/>
      <c r="H577" s="327"/>
      <c r="J577" s="327"/>
      <c r="M577" s="758"/>
    </row>
    <row r="578" spans="2:13" s="326" customFormat="1" ht="9.9499999999999993" customHeight="1" x14ac:dyDescent="0.2">
      <c r="B578" s="327"/>
      <c r="D578" s="327"/>
      <c r="F578" s="327"/>
      <c r="H578" s="327"/>
      <c r="J578" s="327"/>
      <c r="M578" s="758"/>
    </row>
    <row r="579" spans="2:13" s="326" customFormat="1" ht="9.9499999999999993" customHeight="1" x14ac:dyDescent="0.2">
      <c r="B579" s="327"/>
      <c r="D579" s="327"/>
      <c r="F579" s="327"/>
      <c r="H579" s="327"/>
      <c r="J579" s="327"/>
      <c r="M579" s="758"/>
    </row>
    <row r="580" spans="2:13" s="326" customFormat="1" ht="9.9499999999999993" customHeight="1" x14ac:dyDescent="0.2">
      <c r="B580" s="327"/>
      <c r="D580" s="327"/>
      <c r="F580" s="327"/>
      <c r="H580" s="327"/>
      <c r="J580" s="327"/>
      <c r="M580" s="758"/>
    </row>
    <row r="581" spans="2:13" s="326" customFormat="1" ht="9.9499999999999993" customHeight="1" x14ac:dyDescent="0.2">
      <c r="B581" s="327"/>
      <c r="D581" s="327"/>
      <c r="F581" s="327"/>
      <c r="H581" s="327"/>
      <c r="J581" s="327"/>
      <c r="M581" s="758"/>
    </row>
    <row r="582" spans="2:13" s="326" customFormat="1" ht="9.9499999999999993" customHeight="1" x14ac:dyDescent="0.2">
      <c r="B582" s="327"/>
      <c r="D582" s="327"/>
      <c r="F582" s="327"/>
      <c r="H582" s="327"/>
      <c r="J582" s="327"/>
      <c r="M582" s="758"/>
    </row>
    <row r="583" spans="2:13" s="326" customFormat="1" ht="9.9499999999999993" customHeight="1" x14ac:dyDescent="0.2">
      <c r="B583" s="327"/>
      <c r="D583" s="327"/>
      <c r="F583" s="327"/>
      <c r="H583" s="327"/>
      <c r="J583" s="327"/>
      <c r="M583" s="758"/>
    </row>
    <row r="584" spans="2:13" s="326" customFormat="1" ht="9.9499999999999993" customHeight="1" x14ac:dyDescent="0.2">
      <c r="B584" s="327"/>
      <c r="D584" s="327"/>
      <c r="F584" s="327"/>
      <c r="H584" s="327"/>
      <c r="J584" s="327"/>
      <c r="M584" s="758"/>
    </row>
    <row r="585" spans="2:13" s="326" customFormat="1" ht="9.9499999999999993" customHeight="1" x14ac:dyDescent="0.2">
      <c r="B585" s="327"/>
      <c r="D585" s="327"/>
      <c r="F585" s="327"/>
      <c r="H585" s="327"/>
      <c r="J585" s="327"/>
      <c r="M585" s="758"/>
    </row>
    <row r="586" spans="2:13" s="326" customFormat="1" ht="9.9499999999999993" customHeight="1" x14ac:dyDescent="0.2">
      <c r="B586" s="327"/>
      <c r="D586" s="327"/>
      <c r="F586" s="327"/>
      <c r="H586" s="327"/>
      <c r="J586" s="327"/>
      <c r="M586" s="758"/>
    </row>
    <row r="587" spans="2:13" s="326" customFormat="1" ht="9.9499999999999993" customHeight="1" x14ac:dyDescent="0.2">
      <c r="B587" s="327"/>
      <c r="D587" s="327"/>
      <c r="F587" s="327"/>
      <c r="H587" s="327"/>
      <c r="J587" s="327"/>
      <c r="M587" s="758"/>
    </row>
    <row r="588" spans="2:13" s="326" customFormat="1" ht="9.9499999999999993" customHeight="1" x14ac:dyDescent="0.2">
      <c r="B588" s="327"/>
      <c r="D588" s="327"/>
      <c r="F588" s="327"/>
      <c r="H588" s="327"/>
      <c r="J588" s="327"/>
      <c r="M588" s="758"/>
    </row>
    <row r="589" spans="2:13" s="326" customFormat="1" ht="9.9499999999999993" customHeight="1" x14ac:dyDescent="0.2">
      <c r="B589" s="327"/>
      <c r="D589" s="327"/>
      <c r="F589" s="327"/>
      <c r="H589" s="327"/>
      <c r="J589" s="327"/>
      <c r="M589" s="758"/>
    </row>
    <row r="590" spans="2:13" s="326" customFormat="1" ht="9.9499999999999993" customHeight="1" x14ac:dyDescent="0.2">
      <c r="B590" s="327"/>
      <c r="D590" s="327"/>
      <c r="F590" s="327"/>
      <c r="H590" s="327"/>
      <c r="J590" s="327"/>
      <c r="M590" s="758"/>
    </row>
    <row r="591" spans="2:13" s="326" customFormat="1" ht="9.9499999999999993" customHeight="1" x14ac:dyDescent="0.2">
      <c r="B591" s="327"/>
      <c r="D591" s="327"/>
      <c r="F591" s="327"/>
      <c r="H591" s="327"/>
      <c r="J591" s="327"/>
      <c r="M591" s="758"/>
    </row>
    <row r="592" spans="2:13" s="326" customFormat="1" ht="9.9499999999999993" customHeight="1" x14ac:dyDescent="0.2">
      <c r="B592" s="327"/>
      <c r="D592" s="327"/>
      <c r="F592" s="327"/>
      <c r="H592" s="327"/>
      <c r="J592" s="327"/>
      <c r="M592" s="758"/>
    </row>
    <row r="593" spans="2:13" s="326" customFormat="1" ht="9.9499999999999993" customHeight="1" x14ac:dyDescent="0.2">
      <c r="B593" s="327"/>
      <c r="D593" s="327"/>
      <c r="F593" s="327"/>
      <c r="H593" s="327"/>
      <c r="J593" s="327"/>
      <c r="M593" s="758"/>
    </row>
    <row r="594" spans="2:13" s="326" customFormat="1" ht="9.9499999999999993" customHeight="1" x14ac:dyDescent="0.2">
      <c r="B594" s="327"/>
      <c r="D594" s="327"/>
      <c r="F594" s="327"/>
      <c r="H594" s="327"/>
      <c r="J594" s="327"/>
      <c r="M594" s="758"/>
    </row>
    <row r="595" spans="2:13" s="326" customFormat="1" ht="9.9499999999999993" customHeight="1" x14ac:dyDescent="0.2">
      <c r="B595" s="327"/>
      <c r="D595" s="327"/>
      <c r="F595" s="327"/>
      <c r="H595" s="327"/>
      <c r="J595" s="327"/>
      <c r="M595" s="758"/>
    </row>
    <row r="596" spans="2:13" s="326" customFormat="1" ht="9.9499999999999993" customHeight="1" x14ac:dyDescent="0.2">
      <c r="B596" s="327"/>
      <c r="D596" s="327"/>
      <c r="F596" s="327"/>
      <c r="H596" s="327"/>
      <c r="J596" s="327"/>
      <c r="M596" s="758"/>
    </row>
    <row r="597" spans="2:13" s="326" customFormat="1" ht="9.9499999999999993" customHeight="1" x14ac:dyDescent="0.2">
      <c r="B597" s="327"/>
      <c r="D597" s="327"/>
      <c r="F597" s="327"/>
      <c r="H597" s="327"/>
      <c r="J597" s="327"/>
      <c r="M597" s="758"/>
    </row>
    <row r="598" spans="2:13" s="326" customFormat="1" ht="9.9499999999999993" customHeight="1" x14ac:dyDescent="0.2">
      <c r="B598" s="327"/>
      <c r="D598" s="327"/>
      <c r="F598" s="327"/>
      <c r="H598" s="327"/>
      <c r="J598" s="327"/>
      <c r="M598" s="758"/>
    </row>
    <row r="599" spans="2:13" s="326" customFormat="1" ht="9.9499999999999993" customHeight="1" x14ac:dyDescent="0.2">
      <c r="B599" s="327"/>
      <c r="D599" s="327"/>
      <c r="F599" s="327"/>
      <c r="H599" s="327"/>
      <c r="J599" s="327"/>
      <c r="M599" s="758"/>
    </row>
    <row r="600" spans="2:13" s="326" customFormat="1" ht="9.9499999999999993" customHeight="1" x14ac:dyDescent="0.2">
      <c r="B600" s="327"/>
      <c r="D600" s="327"/>
      <c r="F600" s="327"/>
      <c r="H600" s="327"/>
      <c r="J600" s="327"/>
      <c r="M600" s="758"/>
    </row>
    <row r="601" spans="2:13" s="326" customFormat="1" ht="9.9499999999999993" customHeight="1" x14ac:dyDescent="0.2">
      <c r="B601" s="327"/>
      <c r="D601" s="327"/>
      <c r="F601" s="327"/>
      <c r="H601" s="327"/>
      <c r="J601" s="327"/>
      <c r="M601" s="758"/>
    </row>
    <row r="602" spans="2:13" s="326" customFormat="1" ht="9.9499999999999993" customHeight="1" x14ac:dyDescent="0.2">
      <c r="B602" s="327"/>
      <c r="D602" s="327"/>
      <c r="F602" s="327"/>
      <c r="H602" s="327"/>
      <c r="J602" s="327"/>
      <c r="M602" s="758"/>
    </row>
    <row r="603" spans="2:13" s="326" customFormat="1" ht="9.9499999999999993" customHeight="1" x14ac:dyDescent="0.2">
      <c r="B603" s="327"/>
      <c r="D603" s="327"/>
      <c r="F603" s="327"/>
      <c r="H603" s="327"/>
      <c r="J603" s="327"/>
      <c r="M603" s="758"/>
    </row>
    <row r="604" spans="2:13" s="326" customFormat="1" ht="9.9499999999999993" customHeight="1" x14ac:dyDescent="0.2">
      <c r="B604" s="327"/>
      <c r="D604" s="327"/>
      <c r="F604" s="327"/>
      <c r="H604" s="327"/>
      <c r="J604" s="327"/>
      <c r="M604" s="758"/>
    </row>
    <row r="605" spans="2:13" s="326" customFormat="1" ht="9.9499999999999993" customHeight="1" x14ac:dyDescent="0.2">
      <c r="B605" s="327"/>
      <c r="D605" s="327"/>
      <c r="F605" s="327"/>
      <c r="H605" s="327"/>
      <c r="J605" s="327"/>
      <c r="M605" s="758"/>
    </row>
    <row r="606" spans="2:13" s="326" customFormat="1" ht="9.9499999999999993" customHeight="1" x14ac:dyDescent="0.2">
      <c r="B606" s="327"/>
      <c r="D606" s="327"/>
      <c r="F606" s="327"/>
      <c r="H606" s="327"/>
      <c r="J606" s="327"/>
      <c r="M606" s="758"/>
    </row>
    <row r="607" spans="2:13" s="326" customFormat="1" ht="9.9499999999999993" customHeight="1" x14ac:dyDescent="0.2">
      <c r="B607" s="327"/>
      <c r="D607" s="327"/>
      <c r="F607" s="327"/>
      <c r="H607" s="327"/>
      <c r="J607" s="327"/>
      <c r="M607" s="758"/>
    </row>
    <row r="608" spans="2:13" s="326" customFormat="1" ht="9.9499999999999993" customHeight="1" x14ac:dyDescent="0.2">
      <c r="B608" s="327"/>
      <c r="D608" s="327"/>
      <c r="F608" s="327"/>
      <c r="H608" s="327"/>
      <c r="J608" s="327"/>
      <c r="M608" s="758"/>
    </row>
    <row r="609" spans="2:13" s="326" customFormat="1" ht="9.9499999999999993" customHeight="1" x14ac:dyDescent="0.2">
      <c r="B609" s="327"/>
      <c r="D609" s="327"/>
      <c r="F609" s="327"/>
      <c r="H609" s="327"/>
      <c r="J609" s="327"/>
      <c r="M609" s="758"/>
    </row>
    <row r="610" spans="2:13" s="326" customFormat="1" ht="9.9499999999999993" customHeight="1" x14ac:dyDescent="0.2">
      <c r="B610" s="327"/>
      <c r="D610" s="327"/>
      <c r="F610" s="327"/>
      <c r="H610" s="327"/>
      <c r="J610" s="327"/>
      <c r="M610" s="758"/>
    </row>
    <row r="611" spans="2:13" s="326" customFormat="1" ht="9.9499999999999993" customHeight="1" x14ac:dyDescent="0.2">
      <c r="B611" s="327"/>
      <c r="D611" s="327"/>
      <c r="F611" s="327"/>
      <c r="H611" s="327"/>
      <c r="J611" s="327"/>
      <c r="M611" s="758"/>
    </row>
    <row r="612" spans="2:13" s="326" customFormat="1" ht="9.9499999999999993" customHeight="1" x14ac:dyDescent="0.2">
      <c r="B612" s="327"/>
      <c r="D612" s="327"/>
      <c r="F612" s="327"/>
      <c r="H612" s="327"/>
      <c r="J612" s="327"/>
      <c r="M612" s="758"/>
    </row>
    <row r="613" spans="2:13" s="326" customFormat="1" ht="9.9499999999999993" customHeight="1" x14ac:dyDescent="0.2">
      <c r="B613" s="327"/>
      <c r="D613" s="327"/>
      <c r="F613" s="327"/>
      <c r="H613" s="327"/>
      <c r="J613" s="327"/>
      <c r="M613" s="758"/>
    </row>
    <row r="614" spans="2:13" s="326" customFormat="1" ht="9.9499999999999993" customHeight="1" x14ac:dyDescent="0.2">
      <c r="B614" s="327"/>
      <c r="D614" s="327"/>
      <c r="F614" s="327"/>
      <c r="H614" s="327"/>
      <c r="J614" s="327"/>
      <c r="M614" s="758"/>
    </row>
    <row r="615" spans="2:13" s="326" customFormat="1" ht="9.9499999999999993" customHeight="1" x14ac:dyDescent="0.2">
      <c r="B615" s="327"/>
      <c r="D615" s="327"/>
      <c r="F615" s="327"/>
      <c r="H615" s="327"/>
      <c r="J615" s="327"/>
      <c r="M615" s="758"/>
    </row>
    <row r="616" spans="2:13" s="326" customFormat="1" ht="9.9499999999999993" customHeight="1" x14ac:dyDescent="0.2">
      <c r="B616" s="327"/>
      <c r="D616" s="327"/>
      <c r="F616" s="327"/>
      <c r="H616" s="327"/>
      <c r="J616" s="327"/>
      <c r="M616" s="758"/>
    </row>
    <row r="617" spans="2:13" s="326" customFormat="1" ht="9.9499999999999993" customHeight="1" x14ac:dyDescent="0.2">
      <c r="B617" s="327"/>
      <c r="D617" s="327"/>
      <c r="F617" s="327"/>
      <c r="H617" s="327"/>
      <c r="J617" s="327"/>
      <c r="M617" s="758"/>
    </row>
    <row r="618" spans="2:13" s="326" customFormat="1" ht="9.9499999999999993" customHeight="1" x14ac:dyDescent="0.2">
      <c r="B618" s="327"/>
      <c r="D618" s="327"/>
      <c r="F618" s="327"/>
      <c r="H618" s="327"/>
      <c r="J618" s="327"/>
      <c r="M618" s="758"/>
    </row>
    <row r="619" spans="2:13" s="326" customFormat="1" ht="9.9499999999999993" customHeight="1" x14ac:dyDescent="0.2">
      <c r="B619" s="327"/>
      <c r="D619" s="327"/>
      <c r="F619" s="327"/>
      <c r="H619" s="327"/>
      <c r="J619" s="327"/>
      <c r="M619" s="758"/>
    </row>
    <row r="620" spans="2:13" s="326" customFormat="1" ht="9.9499999999999993" customHeight="1" x14ac:dyDescent="0.2">
      <c r="B620" s="327"/>
      <c r="D620" s="327"/>
      <c r="F620" s="327"/>
      <c r="H620" s="327"/>
      <c r="J620" s="327"/>
      <c r="M620" s="758"/>
    </row>
    <row r="621" spans="2:13" s="326" customFormat="1" ht="9.9499999999999993" customHeight="1" x14ac:dyDescent="0.2">
      <c r="B621" s="327"/>
      <c r="D621" s="327"/>
      <c r="F621" s="327"/>
      <c r="H621" s="327"/>
      <c r="J621" s="327"/>
      <c r="M621" s="758"/>
    </row>
    <row r="622" spans="2:13" s="326" customFormat="1" ht="9.9499999999999993" customHeight="1" x14ac:dyDescent="0.2">
      <c r="B622" s="327"/>
      <c r="D622" s="327"/>
      <c r="F622" s="327"/>
      <c r="H622" s="327"/>
      <c r="J622" s="327"/>
      <c r="M622" s="758"/>
    </row>
    <row r="623" spans="2:13" s="326" customFormat="1" ht="9.9499999999999993" customHeight="1" x14ac:dyDescent="0.2">
      <c r="B623" s="327"/>
      <c r="D623" s="327"/>
      <c r="F623" s="327"/>
      <c r="H623" s="327"/>
      <c r="J623" s="327"/>
      <c r="M623" s="758"/>
    </row>
    <row r="624" spans="2:13" s="326" customFormat="1" ht="9.9499999999999993" customHeight="1" x14ac:dyDescent="0.2">
      <c r="B624" s="327"/>
      <c r="D624" s="327"/>
      <c r="F624" s="327"/>
      <c r="H624" s="327"/>
      <c r="J624" s="327"/>
      <c r="M624" s="758"/>
    </row>
    <row r="625" spans="2:13" s="326" customFormat="1" ht="9.9499999999999993" customHeight="1" x14ac:dyDescent="0.2">
      <c r="B625" s="327"/>
      <c r="D625" s="327"/>
      <c r="F625" s="327"/>
      <c r="H625" s="327"/>
      <c r="J625" s="327"/>
      <c r="M625" s="758"/>
    </row>
    <row r="626" spans="2:13" s="326" customFormat="1" ht="9.9499999999999993" customHeight="1" x14ac:dyDescent="0.2">
      <c r="B626" s="327"/>
      <c r="D626" s="327"/>
      <c r="F626" s="327"/>
      <c r="H626" s="327"/>
      <c r="J626" s="327"/>
      <c r="M626" s="758"/>
    </row>
    <row r="627" spans="2:13" s="326" customFormat="1" ht="9.9499999999999993" customHeight="1" x14ac:dyDescent="0.2">
      <c r="B627" s="327"/>
      <c r="D627" s="327"/>
      <c r="F627" s="327"/>
      <c r="H627" s="327"/>
      <c r="J627" s="327"/>
      <c r="M627" s="758"/>
    </row>
    <row r="628" spans="2:13" s="326" customFormat="1" ht="9.9499999999999993" customHeight="1" x14ac:dyDescent="0.2">
      <c r="B628" s="327"/>
      <c r="D628" s="327"/>
      <c r="F628" s="327"/>
      <c r="H628" s="327"/>
      <c r="J628" s="327"/>
      <c r="M628" s="758"/>
    </row>
    <row r="629" spans="2:13" s="326" customFormat="1" ht="9.9499999999999993" customHeight="1" x14ac:dyDescent="0.2">
      <c r="B629" s="327"/>
      <c r="D629" s="327"/>
      <c r="F629" s="327"/>
      <c r="H629" s="327"/>
      <c r="J629" s="327"/>
      <c r="M629" s="758"/>
    </row>
    <row r="630" spans="2:13" s="326" customFormat="1" ht="9.9499999999999993" customHeight="1" x14ac:dyDescent="0.2">
      <c r="B630" s="327"/>
      <c r="D630" s="327"/>
      <c r="F630" s="327"/>
      <c r="H630" s="327"/>
      <c r="J630" s="327"/>
      <c r="M630" s="758"/>
    </row>
    <row r="631" spans="2:13" s="326" customFormat="1" ht="9.9499999999999993" customHeight="1" x14ac:dyDescent="0.2">
      <c r="B631" s="327"/>
      <c r="D631" s="327"/>
      <c r="F631" s="327"/>
      <c r="H631" s="327"/>
      <c r="J631" s="327"/>
      <c r="M631" s="758"/>
    </row>
    <row r="632" spans="2:13" s="326" customFormat="1" ht="9.9499999999999993" customHeight="1" x14ac:dyDescent="0.2">
      <c r="B632" s="327"/>
      <c r="D632" s="327"/>
      <c r="F632" s="327"/>
      <c r="H632" s="327"/>
      <c r="J632" s="327"/>
      <c r="M632" s="758"/>
    </row>
    <row r="633" spans="2:13" s="326" customFormat="1" ht="9.9499999999999993" customHeight="1" x14ac:dyDescent="0.2">
      <c r="B633" s="327"/>
      <c r="D633" s="327"/>
      <c r="F633" s="327"/>
      <c r="H633" s="327"/>
      <c r="J633" s="327"/>
      <c r="M633" s="758"/>
    </row>
    <row r="634" spans="2:13" s="326" customFormat="1" ht="9.9499999999999993" customHeight="1" x14ac:dyDescent="0.2">
      <c r="B634" s="327"/>
      <c r="D634" s="327"/>
      <c r="F634" s="327"/>
      <c r="H634" s="327"/>
      <c r="J634" s="327"/>
      <c r="M634" s="758"/>
    </row>
    <row r="635" spans="2:13" s="326" customFormat="1" ht="9.9499999999999993" customHeight="1" x14ac:dyDescent="0.2">
      <c r="B635" s="327"/>
      <c r="D635" s="327"/>
      <c r="F635" s="327"/>
      <c r="H635" s="327"/>
      <c r="J635" s="327"/>
      <c r="M635" s="758"/>
    </row>
    <row r="636" spans="2:13" s="326" customFormat="1" ht="9.9499999999999993" customHeight="1" x14ac:dyDescent="0.2">
      <c r="B636" s="327"/>
      <c r="D636" s="327"/>
      <c r="F636" s="327"/>
      <c r="H636" s="327"/>
      <c r="J636" s="327"/>
      <c r="M636" s="758"/>
    </row>
    <row r="637" spans="2:13" s="326" customFormat="1" ht="9.9499999999999993" customHeight="1" x14ac:dyDescent="0.2">
      <c r="B637" s="327"/>
      <c r="D637" s="327"/>
      <c r="F637" s="327"/>
      <c r="H637" s="327"/>
      <c r="J637" s="327"/>
      <c r="M637" s="758"/>
    </row>
    <row r="638" spans="2:13" s="326" customFormat="1" ht="9.9499999999999993" customHeight="1" x14ac:dyDescent="0.2">
      <c r="B638" s="327"/>
      <c r="D638" s="327"/>
      <c r="F638" s="327"/>
      <c r="H638" s="327"/>
      <c r="J638" s="327"/>
      <c r="M638" s="758"/>
    </row>
    <row r="639" spans="2:13" s="326" customFormat="1" ht="9.9499999999999993" customHeight="1" x14ac:dyDescent="0.2">
      <c r="B639" s="327"/>
      <c r="D639" s="327"/>
      <c r="F639" s="327"/>
      <c r="H639" s="327"/>
      <c r="J639" s="327"/>
      <c r="M639" s="758"/>
    </row>
    <row r="640" spans="2:13" s="326" customFormat="1" ht="9.9499999999999993" customHeight="1" x14ac:dyDescent="0.2">
      <c r="B640" s="327"/>
      <c r="D640" s="327"/>
      <c r="F640" s="327"/>
      <c r="H640" s="327"/>
      <c r="J640" s="327"/>
      <c r="M640" s="758"/>
    </row>
    <row r="641" spans="2:13" s="326" customFormat="1" ht="9.9499999999999993" customHeight="1" x14ac:dyDescent="0.2">
      <c r="B641" s="327"/>
      <c r="D641" s="327"/>
      <c r="F641" s="327"/>
      <c r="H641" s="327"/>
      <c r="J641" s="327"/>
      <c r="M641" s="758"/>
    </row>
    <row r="642" spans="2:13" s="326" customFormat="1" ht="9.9499999999999993" customHeight="1" x14ac:dyDescent="0.2">
      <c r="B642" s="327"/>
      <c r="D642" s="327"/>
      <c r="F642" s="327"/>
      <c r="H642" s="327"/>
      <c r="J642" s="327"/>
      <c r="M642" s="758"/>
    </row>
    <row r="643" spans="2:13" s="326" customFormat="1" ht="9.9499999999999993" customHeight="1" x14ac:dyDescent="0.2">
      <c r="B643" s="327"/>
      <c r="D643" s="327"/>
      <c r="F643" s="327"/>
      <c r="H643" s="327"/>
      <c r="J643" s="327"/>
      <c r="M643" s="758"/>
    </row>
    <row r="644" spans="2:13" s="326" customFormat="1" ht="9.9499999999999993" customHeight="1" x14ac:dyDescent="0.2">
      <c r="B644" s="327"/>
      <c r="D644" s="327"/>
      <c r="F644" s="327"/>
      <c r="H644" s="327"/>
      <c r="J644" s="327"/>
      <c r="M644" s="758"/>
    </row>
    <row r="645" spans="2:13" s="326" customFormat="1" ht="9.9499999999999993" customHeight="1" x14ac:dyDescent="0.2">
      <c r="B645" s="327"/>
      <c r="D645" s="327"/>
      <c r="F645" s="327"/>
      <c r="H645" s="327"/>
      <c r="J645" s="327"/>
      <c r="M645" s="758"/>
    </row>
    <row r="646" spans="2:13" s="326" customFormat="1" ht="9.9499999999999993" customHeight="1" x14ac:dyDescent="0.2">
      <c r="B646" s="327"/>
      <c r="D646" s="327"/>
      <c r="F646" s="327"/>
      <c r="H646" s="327"/>
      <c r="J646" s="327"/>
      <c r="M646" s="758"/>
    </row>
    <row r="647" spans="2:13" s="326" customFormat="1" ht="9.9499999999999993" customHeight="1" x14ac:dyDescent="0.2">
      <c r="B647" s="327"/>
      <c r="D647" s="327"/>
      <c r="F647" s="327"/>
      <c r="H647" s="327"/>
      <c r="J647" s="327"/>
      <c r="M647" s="758"/>
    </row>
    <row r="648" spans="2:13" s="326" customFormat="1" ht="9.9499999999999993" customHeight="1" x14ac:dyDescent="0.2">
      <c r="B648" s="327"/>
      <c r="D648" s="327"/>
      <c r="F648" s="327"/>
      <c r="H648" s="327"/>
      <c r="J648" s="327"/>
      <c r="M648" s="758"/>
    </row>
    <row r="649" spans="2:13" s="326" customFormat="1" ht="9.9499999999999993" customHeight="1" x14ac:dyDescent="0.2">
      <c r="B649" s="327"/>
      <c r="D649" s="327"/>
      <c r="F649" s="327"/>
      <c r="H649" s="327"/>
      <c r="J649" s="327"/>
      <c r="M649" s="758"/>
    </row>
    <row r="650" spans="2:13" s="326" customFormat="1" ht="9.9499999999999993" customHeight="1" x14ac:dyDescent="0.2">
      <c r="B650" s="327"/>
      <c r="D650" s="327"/>
      <c r="F650" s="327"/>
      <c r="H650" s="327"/>
      <c r="J650" s="327"/>
      <c r="M650" s="758"/>
    </row>
    <row r="651" spans="2:13" s="326" customFormat="1" ht="9.9499999999999993" customHeight="1" x14ac:dyDescent="0.2">
      <c r="B651" s="327"/>
      <c r="D651" s="327"/>
      <c r="F651" s="327"/>
      <c r="H651" s="327"/>
      <c r="J651" s="327"/>
      <c r="M651" s="758"/>
    </row>
    <row r="652" spans="2:13" s="326" customFormat="1" ht="9.9499999999999993" customHeight="1" x14ac:dyDescent="0.2">
      <c r="B652" s="327"/>
      <c r="D652" s="327"/>
      <c r="F652" s="327"/>
      <c r="H652" s="327"/>
      <c r="J652" s="327"/>
      <c r="M652" s="758"/>
    </row>
    <row r="653" spans="2:13" s="326" customFormat="1" ht="9.9499999999999993" customHeight="1" x14ac:dyDescent="0.2">
      <c r="B653" s="327"/>
      <c r="D653" s="327"/>
      <c r="F653" s="327"/>
      <c r="H653" s="327"/>
      <c r="J653" s="327"/>
      <c r="M653" s="758"/>
    </row>
    <row r="654" spans="2:13" s="326" customFormat="1" ht="9.9499999999999993" customHeight="1" x14ac:dyDescent="0.2">
      <c r="B654" s="327"/>
      <c r="D654" s="327"/>
      <c r="F654" s="327"/>
      <c r="H654" s="327"/>
      <c r="J654" s="327"/>
      <c r="M654" s="758"/>
    </row>
    <row r="655" spans="2:13" s="326" customFormat="1" ht="9.9499999999999993" customHeight="1" x14ac:dyDescent="0.2">
      <c r="B655" s="327"/>
      <c r="D655" s="327"/>
      <c r="F655" s="327"/>
      <c r="H655" s="327"/>
      <c r="J655" s="327"/>
      <c r="M655" s="758"/>
    </row>
    <row r="656" spans="2:13" s="326" customFormat="1" ht="9.9499999999999993" customHeight="1" x14ac:dyDescent="0.2">
      <c r="B656" s="327"/>
      <c r="D656" s="327"/>
      <c r="F656" s="327"/>
      <c r="H656" s="327"/>
      <c r="J656" s="327"/>
      <c r="M656" s="758"/>
    </row>
    <row r="657" spans="2:13" s="326" customFormat="1" ht="9.9499999999999993" customHeight="1" x14ac:dyDescent="0.2">
      <c r="B657" s="327"/>
      <c r="D657" s="327"/>
      <c r="F657" s="327"/>
      <c r="H657" s="327"/>
      <c r="J657" s="327"/>
      <c r="M657" s="758"/>
    </row>
    <row r="658" spans="2:13" s="326" customFormat="1" ht="9.9499999999999993" customHeight="1" x14ac:dyDescent="0.2">
      <c r="B658" s="327"/>
      <c r="D658" s="327"/>
      <c r="F658" s="327"/>
      <c r="H658" s="327"/>
      <c r="J658" s="327"/>
      <c r="M658" s="758"/>
    </row>
    <row r="659" spans="2:13" s="326" customFormat="1" ht="9.9499999999999993" customHeight="1" x14ac:dyDescent="0.2">
      <c r="B659" s="327"/>
      <c r="D659" s="327"/>
      <c r="F659" s="327"/>
      <c r="H659" s="327"/>
      <c r="J659" s="327"/>
      <c r="M659" s="758"/>
    </row>
    <row r="660" spans="2:13" s="326" customFormat="1" ht="9.9499999999999993" customHeight="1" x14ac:dyDescent="0.2">
      <c r="B660" s="327"/>
      <c r="D660" s="327"/>
      <c r="F660" s="327"/>
      <c r="H660" s="327"/>
      <c r="J660" s="327"/>
      <c r="M660" s="758"/>
    </row>
    <row r="661" spans="2:13" s="326" customFormat="1" ht="9.9499999999999993" customHeight="1" x14ac:dyDescent="0.2">
      <c r="B661" s="327"/>
      <c r="D661" s="327"/>
      <c r="F661" s="327"/>
      <c r="H661" s="327"/>
      <c r="J661" s="327"/>
      <c r="M661" s="758"/>
    </row>
    <row r="662" spans="2:13" s="326" customFormat="1" ht="9.9499999999999993" customHeight="1" x14ac:dyDescent="0.2">
      <c r="B662" s="327"/>
      <c r="D662" s="327"/>
      <c r="F662" s="327"/>
      <c r="H662" s="327"/>
      <c r="J662" s="327"/>
      <c r="M662" s="758"/>
    </row>
    <row r="663" spans="2:13" s="326" customFormat="1" ht="9.9499999999999993" customHeight="1" x14ac:dyDescent="0.2">
      <c r="B663" s="327"/>
      <c r="D663" s="327"/>
      <c r="F663" s="327"/>
      <c r="H663" s="327"/>
      <c r="J663" s="327"/>
      <c r="M663" s="758"/>
    </row>
    <row r="664" spans="2:13" s="326" customFormat="1" ht="9.9499999999999993" customHeight="1" x14ac:dyDescent="0.2">
      <c r="B664" s="327"/>
      <c r="D664" s="327"/>
      <c r="F664" s="327"/>
      <c r="H664" s="327"/>
      <c r="J664" s="327"/>
      <c r="M664" s="758"/>
    </row>
    <row r="665" spans="2:13" s="326" customFormat="1" ht="9.9499999999999993" customHeight="1" x14ac:dyDescent="0.2">
      <c r="B665" s="327"/>
      <c r="D665" s="327"/>
      <c r="F665" s="327"/>
      <c r="H665" s="327"/>
      <c r="J665" s="327"/>
      <c r="M665" s="758"/>
    </row>
    <row r="666" spans="2:13" s="326" customFormat="1" ht="9.9499999999999993" customHeight="1" x14ac:dyDescent="0.2">
      <c r="B666" s="327"/>
      <c r="D666" s="327"/>
      <c r="F666" s="327"/>
      <c r="H666" s="327"/>
      <c r="J666" s="327"/>
      <c r="M666" s="758"/>
    </row>
    <row r="667" spans="2:13" s="326" customFormat="1" ht="9.9499999999999993" customHeight="1" x14ac:dyDescent="0.2">
      <c r="B667" s="327"/>
      <c r="D667" s="327"/>
      <c r="F667" s="327"/>
      <c r="H667" s="327"/>
      <c r="J667" s="327"/>
      <c r="M667" s="758"/>
    </row>
    <row r="668" spans="2:13" s="326" customFormat="1" ht="9.9499999999999993" customHeight="1" x14ac:dyDescent="0.2">
      <c r="B668" s="327"/>
      <c r="D668" s="327"/>
      <c r="F668" s="327"/>
      <c r="H668" s="327"/>
      <c r="J668" s="327"/>
      <c r="M668" s="758"/>
    </row>
    <row r="669" spans="2:13" s="326" customFormat="1" ht="9.9499999999999993" customHeight="1" x14ac:dyDescent="0.2">
      <c r="B669" s="327"/>
      <c r="D669" s="327"/>
      <c r="F669" s="327"/>
      <c r="H669" s="327"/>
      <c r="J669" s="327"/>
      <c r="M669" s="758"/>
    </row>
    <row r="670" spans="2:13" s="326" customFormat="1" ht="9.9499999999999993" customHeight="1" x14ac:dyDescent="0.2">
      <c r="B670" s="327"/>
      <c r="D670" s="327"/>
      <c r="F670" s="327"/>
      <c r="H670" s="327"/>
      <c r="J670" s="327"/>
      <c r="M670" s="758"/>
    </row>
    <row r="671" spans="2:13" s="326" customFormat="1" ht="9.9499999999999993" customHeight="1" x14ac:dyDescent="0.2">
      <c r="B671" s="327"/>
      <c r="D671" s="327"/>
      <c r="F671" s="327"/>
      <c r="H671" s="327"/>
      <c r="J671" s="327"/>
      <c r="M671" s="758"/>
    </row>
    <row r="672" spans="2:13" s="326" customFormat="1" ht="9.9499999999999993" customHeight="1" x14ac:dyDescent="0.2">
      <c r="B672" s="327"/>
      <c r="D672" s="327"/>
      <c r="F672" s="327"/>
      <c r="H672" s="327"/>
      <c r="J672" s="327"/>
      <c r="M672" s="758"/>
    </row>
    <row r="673" spans="2:13" s="326" customFormat="1" ht="9.9499999999999993" customHeight="1" x14ac:dyDescent="0.2">
      <c r="B673" s="327"/>
      <c r="D673" s="327"/>
      <c r="F673" s="327"/>
      <c r="H673" s="327"/>
      <c r="J673" s="327"/>
      <c r="M673" s="758"/>
    </row>
    <row r="674" spans="2:13" s="326" customFormat="1" ht="9.9499999999999993" customHeight="1" x14ac:dyDescent="0.2">
      <c r="B674" s="327"/>
      <c r="D674" s="327"/>
      <c r="F674" s="327"/>
      <c r="H674" s="327"/>
      <c r="J674" s="327"/>
      <c r="M674" s="758"/>
    </row>
    <row r="675" spans="2:13" s="326" customFormat="1" ht="9.9499999999999993" customHeight="1" x14ac:dyDescent="0.2">
      <c r="B675" s="327"/>
      <c r="D675" s="327"/>
      <c r="F675" s="327"/>
      <c r="H675" s="327"/>
      <c r="J675" s="327"/>
      <c r="M675" s="758"/>
    </row>
    <row r="676" spans="2:13" s="326" customFormat="1" ht="9.9499999999999993" customHeight="1" x14ac:dyDescent="0.2">
      <c r="B676" s="327"/>
      <c r="D676" s="327"/>
      <c r="F676" s="327"/>
      <c r="H676" s="327"/>
      <c r="J676" s="327"/>
      <c r="M676" s="758"/>
    </row>
    <row r="677" spans="2:13" s="326" customFormat="1" ht="9.9499999999999993" customHeight="1" x14ac:dyDescent="0.2">
      <c r="B677" s="327"/>
      <c r="D677" s="327"/>
      <c r="F677" s="327"/>
      <c r="H677" s="327"/>
      <c r="J677" s="327"/>
      <c r="M677" s="758"/>
    </row>
    <row r="678" spans="2:13" s="326" customFormat="1" ht="9.9499999999999993" customHeight="1" x14ac:dyDescent="0.2">
      <c r="B678" s="327"/>
      <c r="D678" s="327"/>
      <c r="F678" s="327"/>
      <c r="H678" s="327"/>
      <c r="J678" s="327"/>
      <c r="M678" s="758"/>
    </row>
    <row r="679" spans="2:13" s="326" customFormat="1" ht="9.9499999999999993" customHeight="1" x14ac:dyDescent="0.2">
      <c r="B679" s="327"/>
      <c r="D679" s="327"/>
      <c r="F679" s="327"/>
      <c r="H679" s="327"/>
      <c r="J679" s="327"/>
      <c r="M679" s="758"/>
    </row>
    <row r="680" spans="2:13" s="326" customFormat="1" ht="9.9499999999999993" customHeight="1" x14ac:dyDescent="0.2">
      <c r="B680" s="327"/>
      <c r="D680" s="327"/>
      <c r="F680" s="327"/>
      <c r="H680" s="327"/>
      <c r="J680" s="327"/>
      <c r="M680" s="758"/>
    </row>
    <row r="681" spans="2:13" s="326" customFormat="1" ht="9.9499999999999993" customHeight="1" x14ac:dyDescent="0.2">
      <c r="B681" s="327"/>
      <c r="D681" s="327"/>
      <c r="F681" s="327"/>
      <c r="H681" s="327"/>
      <c r="J681" s="327"/>
      <c r="M681" s="758"/>
    </row>
    <row r="682" spans="2:13" s="326" customFormat="1" ht="9.9499999999999993" customHeight="1" x14ac:dyDescent="0.2">
      <c r="B682" s="327"/>
      <c r="D682" s="327"/>
      <c r="F682" s="327"/>
      <c r="H682" s="327"/>
      <c r="J682" s="327"/>
      <c r="M682" s="758"/>
    </row>
    <row r="683" spans="2:13" s="326" customFormat="1" ht="9.9499999999999993" customHeight="1" x14ac:dyDescent="0.2">
      <c r="B683" s="327"/>
      <c r="D683" s="327"/>
      <c r="F683" s="327"/>
      <c r="H683" s="327"/>
      <c r="J683" s="327"/>
      <c r="M683" s="758"/>
    </row>
    <row r="684" spans="2:13" s="326" customFormat="1" ht="9.9499999999999993" customHeight="1" x14ac:dyDescent="0.2">
      <c r="B684" s="327"/>
      <c r="D684" s="327"/>
      <c r="F684" s="327"/>
      <c r="H684" s="327"/>
      <c r="J684" s="327"/>
      <c r="M684" s="758"/>
    </row>
    <row r="685" spans="2:13" s="326" customFormat="1" ht="9.9499999999999993" customHeight="1" x14ac:dyDescent="0.2">
      <c r="B685" s="327"/>
      <c r="D685" s="327"/>
      <c r="F685" s="327"/>
      <c r="H685" s="327"/>
      <c r="J685" s="327"/>
      <c r="M685" s="758"/>
    </row>
    <row r="686" spans="2:13" s="326" customFormat="1" ht="9.9499999999999993" customHeight="1" x14ac:dyDescent="0.2">
      <c r="B686" s="327"/>
      <c r="D686" s="327"/>
      <c r="F686" s="327"/>
      <c r="H686" s="327"/>
      <c r="J686" s="327"/>
      <c r="M686" s="758"/>
    </row>
    <row r="687" spans="2:13" s="326" customFormat="1" ht="9.9499999999999993" customHeight="1" x14ac:dyDescent="0.2">
      <c r="B687" s="327"/>
      <c r="D687" s="327"/>
      <c r="F687" s="327"/>
      <c r="H687" s="327"/>
      <c r="J687" s="327"/>
      <c r="M687" s="758"/>
    </row>
    <row r="688" spans="2:13" s="326" customFormat="1" ht="9.9499999999999993" customHeight="1" x14ac:dyDescent="0.2">
      <c r="B688" s="327"/>
      <c r="D688" s="327"/>
      <c r="F688" s="327"/>
      <c r="H688" s="327"/>
      <c r="J688" s="327"/>
      <c r="M688" s="758"/>
    </row>
    <row r="689" spans="2:13" s="326" customFormat="1" ht="9.9499999999999993" customHeight="1" x14ac:dyDescent="0.2">
      <c r="B689" s="327"/>
      <c r="D689" s="327"/>
      <c r="F689" s="327"/>
      <c r="H689" s="327"/>
      <c r="J689" s="327"/>
      <c r="M689" s="758"/>
    </row>
    <row r="690" spans="2:13" s="326" customFormat="1" ht="9.9499999999999993" customHeight="1" x14ac:dyDescent="0.2">
      <c r="B690" s="327"/>
      <c r="D690" s="327"/>
      <c r="F690" s="327"/>
      <c r="H690" s="327"/>
      <c r="J690" s="327"/>
      <c r="M690" s="758"/>
    </row>
    <row r="691" spans="2:13" s="326" customFormat="1" ht="9.9499999999999993" customHeight="1" x14ac:dyDescent="0.2">
      <c r="B691" s="327"/>
      <c r="D691" s="327"/>
      <c r="F691" s="327"/>
      <c r="H691" s="327"/>
      <c r="J691" s="327"/>
      <c r="M691" s="758"/>
    </row>
    <row r="692" spans="2:13" s="326" customFormat="1" ht="9.9499999999999993" customHeight="1" x14ac:dyDescent="0.2">
      <c r="B692" s="327"/>
      <c r="D692" s="327"/>
      <c r="F692" s="327"/>
      <c r="H692" s="327"/>
      <c r="J692" s="327"/>
      <c r="M692" s="758"/>
    </row>
    <row r="693" spans="2:13" s="326" customFormat="1" ht="9.9499999999999993" customHeight="1" x14ac:dyDescent="0.2">
      <c r="B693" s="327"/>
      <c r="D693" s="327"/>
      <c r="F693" s="327"/>
      <c r="H693" s="327"/>
      <c r="J693" s="327"/>
      <c r="M693" s="758"/>
    </row>
    <row r="694" spans="2:13" s="326" customFormat="1" ht="9.9499999999999993" customHeight="1" x14ac:dyDescent="0.2">
      <c r="B694" s="327"/>
      <c r="D694" s="327"/>
      <c r="F694" s="327"/>
      <c r="H694" s="327"/>
      <c r="J694" s="327"/>
      <c r="M694" s="758"/>
    </row>
    <row r="695" spans="2:13" s="326" customFormat="1" ht="9.9499999999999993" customHeight="1" x14ac:dyDescent="0.2">
      <c r="B695" s="327"/>
      <c r="D695" s="327"/>
      <c r="F695" s="327"/>
      <c r="H695" s="327"/>
      <c r="J695" s="327"/>
      <c r="M695" s="758"/>
    </row>
    <row r="696" spans="2:13" s="326" customFormat="1" ht="9.9499999999999993" customHeight="1" x14ac:dyDescent="0.2">
      <c r="B696" s="327"/>
      <c r="D696" s="327"/>
      <c r="F696" s="327"/>
      <c r="H696" s="327"/>
      <c r="J696" s="327"/>
      <c r="M696" s="758"/>
    </row>
    <row r="697" spans="2:13" s="326" customFormat="1" ht="9.9499999999999993" customHeight="1" x14ac:dyDescent="0.2">
      <c r="B697" s="327"/>
      <c r="D697" s="327"/>
      <c r="F697" s="327"/>
      <c r="H697" s="327"/>
      <c r="J697" s="327"/>
      <c r="M697" s="758"/>
    </row>
    <row r="698" spans="2:13" s="326" customFormat="1" ht="9.9499999999999993" customHeight="1" x14ac:dyDescent="0.2">
      <c r="B698" s="327"/>
      <c r="D698" s="327"/>
      <c r="F698" s="327"/>
      <c r="H698" s="327"/>
      <c r="J698" s="327"/>
      <c r="M698" s="758"/>
    </row>
    <row r="699" spans="2:13" s="326" customFormat="1" ht="9.9499999999999993" customHeight="1" x14ac:dyDescent="0.2">
      <c r="B699" s="327"/>
      <c r="D699" s="327"/>
      <c r="F699" s="327"/>
      <c r="H699" s="327"/>
      <c r="J699" s="327"/>
      <c r="M699" s="758"/>
    </row>
    <row r="700" spans="2:13" s="326" customFormat="1" ht="9.9499999999999993" customHeight="1" x14ac:dyDescent="0.2">
      <c r="B700" s="327"/>
      <c r="D700" s="327"/>
      <c r="F700" s="327"/>
      <c r="H700" s="327"/>
      <c r="J700" s="327"/>
      <c r="M700" s="758"/>
    </row>
    <row r="701" spans="2:13" s="326" customFormat="1" ht="9.9499999999999993" customHeight="1" x14ac:dyDescent="0.2">
      <c r="B701" s="327"/>
      <c r="D701" s="327"/>
      <c r="F701" s="327"/>
      <c r="H701" s="327"/>
      <c r="J701" s="327"/>
      <c r="M701" s="758"/>
    </row>
    <row r="702" spans="2:13" s="326" customFormat="1" ht="9.9499999999999993" customHeight="1" x14ac:dyDescent="0.2">
      <c r="B702" s="327"/>
      <c r="D702" s="327"/>
      <c r="F702" s="327"/>
      <c r="H702" s="327"/>
      <c r="J702" s="327"/>
      <c r="M702" s="758"/>
    </row>
    <row r="703" spans="2:13" s="326" customFormat="1" ht="9.9499999999999993" customHeight="1" x14ac:dyDescent="0.2">
      <c r="B703" s="327"/>
      <c r="D703" s="327"/>
      <c r="F703" s="327"/>
      <c r="H703" s="327"/>
      <c r="J703" s="327"/>
      <c r="M703" s="758"/>
    </row>
    <row r="704" spans="2:13" s="326" customFormat="1" ht="9.9499999999999993" customHeight="1" x14ac:dyDescent="0.2">
      <c r="B704" s="327"/>
      <c r="D704" s="327"/>
      <c r="F704" s="327"/>
      <c r="H704" s="327"/>
      <c r="J704" s="327"/>
      <c r="M704" s="758"/>
    </row>
    <row r="705" spans="2:13" s="326" customFormat="1" ht="9.9499999999999993" customHeight="1" x14ac:dyDescent="0.2">
      <c r="B705" s="327"/>
      <c r="D705" s="327"/>
      <c r="F705" s="327"/>
      <c r="H705" s="327"/>
      <c r="J705" s="327"/>
      <c r="M705" s="758"/>
    </row>
    <row r="706" spans="2:13" s="326" customFormat="1" ht="9.9499999999999993" customHeight="1" x14ac:dyDescent="0.2">
      <c r="B706" s="327"/>
      <c r="D706" s="327"/>
      <c r="F706" s="327"/>
      <c r="H706" s="327"/>
      <c r="J706" s="327"/>
      <c r="M706" s="758"/>
    </row>
    <row r="707" spans="2:13" s="326" customFormat="1" ht="9.9499999999999993" customHeight="1" x14ac:dyDescent="0.2">
      <c r="B707" s="327"/>
      <c r="D707" s="327"/>
      <c r="F707" s="327"/>
      <c r="H707" s="327"/>
      <c r="J707" s="327"/>
      <c r="M707" s="758"/>
    </row>
    <row r="708" spans="2:13" s="326" customFormat="1" ht="9.9499999999999993" customHeight="1" x14ac:dyDescent="0.2">
      <c r="B708" s="327"/>
      <c r="D708" s="327"/>
      <c r="F708" s="327"/>
      <c r="H708" s="327"/>
      <c r="J708" s="327"/>
      <c r="M708" s="758"/>
    </row>
    <row r="709" spans="2:13" s="326" customFormat="1" ht="9.9499999999999993" customHeight="1" x14ac:dyDescent="0.2">
      <c r="B709" s="327"/>
      <c r="D709" s="327"/>
      <c r="F709" s="327"/>
      <c r="H709" s="327"/>
      <c r="J709" s="327"/>
      <c r="M709" s="758"/>
    </row>
    <row r="710" spans="2:13" s="326" customFormat="1" ht="9.9499999999999993" customHeight="1" x14ac:dyDescent="0.2">
      <c r="B710" s="327"/>
      <c r="D710" s="327"/>
      <c r="F710" s="327"/>
      <c r="H710" s="327"/>
      <c r="J710" s="327"/>
      <c r="M710" s="758"/>
    </row>
    <row r="711" spans="2:13" s="326" customFormat="1" ht="9.9499999999999993" customHeight="1" x14ac:dyDescent="0.2">
      <c r="B711" s="327"/>
      <c r="D711" s="327"/>
      <c r="F711" s="327"/>
      <c r="H711" s="327"/>
      <c r="J711" s="327"/>
      <c r="M711" s="758"/>
    </row>
    <row r="712" spans="2:13" s="326" customFormat="1" ht="9.9499999999999993" customHeight="1" x14ac:dyDescent="0.2">
      <c r="B712" s="327"/>
      <c r="D712" s="327"/>
      <c r="F712" s="327"/>
      <c r="H712" s="327"/>
      <c r="J712" s="327"/>
      <c r="M712" s="758"/>
    </row>
    <row r="713" spans="2:13" s="326" customFormat="1" ht="9.9499999999999993" customHeight="1" x14ac:dyDescent="0.2">
      <c r="B713" s="327"/>
      <c r="D713" s="327"/>
      <c r="F713" s="327"/>
      <c r="H713" s="327"/>
      <c r="J713" s="327"/>
      <c r="M713" s="758"/>
    </row>
    <row r="714" spans="2:13" s="326" customFormat="1" ht="9.9499999999999993" customHeight="1" x14ac:dyDescent="0.2">
      <c r="B714" s="327"/>
      <c r="D714" s="327"/>
      <c r="F714" s="327"/>
      <c r="H714" s="327"/>
      <c r="J714" s="327"/>
      <c r="M714" s="758"/>
    </row>
    <row r="715" spans="2:13" s="326" customFormat="1" ht="9.9499999999999993" customHeight="1" x14ac:dyDescent="0.2">
      <c r="B715" s="327"/>
      <c r="D715" s="327"/>
      <c r="F715" s="327"/>
      <c r="H715" s="327"/>
      <c r="J715" s="327"/>
      <c r="M715" s="758"/>
    </row>
    <row r="716" spans="2:13" s="326" customFormat="1" ht="9.9499999999999993" customHeight="1" x14ac:dyDescent="0.2">
      <c r="B716" s="327"/>
      <c r="D716" s="327"/>
      <c r="F716" s="327"/>
      <c r="H716" s="327"/>
      <c r="J716" s="327"/>
      <c r="M716" s="758"/>
    </row>
    <row r="717" spans="2:13" s="326" customFormat="1" ht="9.9499999999999993" customHeight="1" x14ac:dyDescent="0.2">
      <c r="B717" s="327"/>
      <c r="D717" s="327"/>
      <c r="F717" s="327"/>
      <c r="H717" s="327"/>
      <c r="J717" s="327"/>
      <c r="M717" s="758"/>
    </row>
    <row r="718" spans="2:13" s="326" customFormat="1" ht="9.9499999999999993" customHeight="1" x14ac:dyDescent="0.2">
      <c r="B718" s="327"/>
      <c r="D718" s="327"/>
      <c r="F718" s="327"/>
      <c r="H718" s="327"/>
      <c r="J718" s="327"/>
      <c r="M718" s="758"/>
    </row>
    <row r="719" spans="2:13" s="326" customFormat="1" ht="9.9499999999999993" customHeight="1" x14ac:dyDescent="0.2">
      <c r="B719" s="327"/>
      <c r="D719" s="327"/>
      <c r="F719" s="327"/>
      <c r="H719" s="327"/>
      <c r="J719" s="327"/>
      <c r="M719" s="758"/>
    </row>
    <row r="720" spans="2:13" s="326" customFormat="1" ht="9.9499999999999993" customHeight="1" x14ac:dyDescent="0.2">
      <c r="B720" s="327"/>
      <c r="D720" s="327"/>
      <c r="F720" s="327"/>
      <c r="H720" s="327"/>
      <c r="J720" s="327"/>
      <c r="M720" s="758"/>
    </row>
    <row r="721" spans="2:13" s="326" customFormat="1" ht="9.9499999999999993" customHeight="1" x14ac:dyDescent="0.2">
      <c r="B721" s="327"/>
      <c r="D721" s="327"/>
      <c r="F721" s="327"/>
      <c r="H721" s="327"/>
      <c r="J721" s="327"/>
      <c r="M721" s="758"/>
    </row>
    <row r="722" spans="2:13" s="326" customFormat="1" ht="9.9499999999999993" customHeight="1" x14ac:dyDescent="0.2">
      <c r="B722" s="327"/>
      <c r="D722" s="327"/>
      <c r="F722" s="327"/>
      <c r="H722" s="327"/>
      <c r="J722" s="327"/>
      <c r="M722" s="758"/>
    </row>
    <row r="723" spans="2:13" s="326" customFormat="1" ht="9.9499999999999993" customHeight="1" x14ac:dyDescent="0.2">
      <c r="B723" s="327"/>
      <c r="D723" s="327"/>
      <c r="F723" s="327"/>
      <c r="H723" s="327"/>
      <c r="J723" s="327"/>
      <c r="M723" s="758"/>
    </row>
    <row r="724" spans="2:13" s="326" customFormat="1" ht="9.9499999999999993" customHeight="1" x14ac:dyDescent="0.2">
      <c r="B724" s="327"/>
      <c r="D724" s="327"/>
      <c r="F724" s="327"/>
      <c r="H724" s="327"/>
      <c r="J724" s="327"/>
      <c r="M724" s="758"/>
    </row>
    <row r="725" spans="2:13" s="326" customFormat="1" ht="9.9499999999999993" customHeight="1" x14ac:dyDescent="0.2">
      <c r="B725" s="327"/>
      <c r="D725" s="327"/>
      <c r="F725" s="327"/>
      <c r="H725" s="327"/>
      <c r="J725" s="327"/>
      <c r="M725" s="758"/>
    </row>
    <row r="726" spans="2:13" s="326" customFormat="1" ht="9.9499999999999993" customHeight="1" x14ac:dyDescent="0.2">
      <c r="B726" s="327"/>
      <c r="D726" s="327"/>
      <c r="F726" s="327"/>
      <c r="H726" s="327"/>
      <c r="J726" s="327"/>
      <c r="M726" s="758"/>
    </row>
    <row r="727" spans="2:13" s="326" customFormat="1" ht="9.9499999999999993" customHeight="1" x14ac:dyDescent="0.2">
      <c r="B727" s="327"/>
      <c r="D727" s="327"/>
      <c r="F727" s="327"/>
      <c r="H727" s="327"/>
      <c r="J727" s="327"/>
      <c r="M727" s="758"/>
    </row>
    <row r="728" spans="2:13" s="326" customFormat="1" ht="9.9499999999999993" customHeight="1" x14ac:dyDescent="0.2">
      <c r="B728" s="327"/>
      <c r="D728" s="327"/>
      <c r="F728" s="327"/>
      <c r="H728" s="327"/>
      <c r="J728" s="327"/>
      <c r="M728" s="758"/>
    </row>
    <row r="729" spans="2:13" s="326" customFormat="1" ht="9.9499999999999993" customHeight="1" x14ac:dyDescent="0.2">
      <c r="B729" s="327"/>
      <c r="D729" s="327"/>
      <c r="F729" s="327"/>
      <c r="H729" s="327"/>
      <c r="J729" s="327"/>
      <c r="M729" s="758"/>
    </row>
    <row r="730" spans="2:13" s="326" customFormat="1" ht="9.9499999999999993" customHeight="1" x14ac:dyDescent="0.2">
      <c r="B730" s="327"/>
      <c r="D730" s="327"/>
      <c r="F730" s="327"/>
      <c r="H730" s="327"/>
      <c r="J730" s="327"/>
      <c r="M730" s="758"/>
    </row>
    <row r="731" spans="2:13" s="326" customFormat="1" ht="9.9499999999999993" customHeight="1" x14ac:dyDescent="0.2">
      <c r="B731" s="327"/>
      <c r="D731" s="327"/>
      <c r="F731" s="327"/>
      <c r="H731" s="327"/>
      <c r="J731" s="327"/>
      <c r="M731" s="758"/>
    </row>
    <row r="732" spans="2:13" s="326" customFormat="1" ht="9.9499999999999993" customHeight="1" x14ac:dyDescent="0.2">
      <c r="B732" s="327"/>
      <c r="D732" s="327"/>
      <c r="F732" s="327"/>
      <c r="H732" s="327"/>
      <c r="J732" s="327"/>
      <c r="M732" s="758"/>
    </row>
    <row r="733" spans="2:13" s="326" customFormat="1" ht="9.9499999999999993" customHeight="1" x14ac:dyDescent="0.2">
      <c r="B733" s="327"/>
      <c r="D733" s="327"/>
      <c r="F733" s="327"/>
      <c r="H733" s="327"/>
      <c r="J733" s="327"/>
      <c r="M733" s="758"/>
    </row>
    <row r="734" spans="2:13" s="326" customFormat="1" ht="9.9499999999999993" customHeight="1" x14ac:dyDescent="0.2">
      <c r="B734" s="327"/>
      <c r="D734" s="327"/>
      <c r="F734" s="327"/>
      <c r="H734" s="327"/>
      <c r="J734" s="327"/>
      <c r="M734" s="758"/>
    </row>
    <row r="735" spans="2:13" s="326" customFormat="1" ht="9.9499999999999993" customHeight="1" x14ac:dyDescent="0.2">
      <c r="B735" s="327"/>
      <c r="D735" s="327"/>
      <c r="F735" s="327"/>
      <c r="H735" s="327"/>
      <c r="J735" s="327"/>
      <c r="M735" s="758"/>
    </row>
    <row r="736" spans="2:13" s="326" customFormat="1" ht="9.9499999999999993" customHeight="1" x14ac:dyDescent="0.2">
      <c r="B736" s="327"/>
      <c r="D736" s="327"/>
      <c r="F736" s="327"/>
      <c r="H736" s="327"/>
      <c r="J736" s="327"/>
      <c r="M736" s="758"/>
    </row>
    <row r="737" spans="2:13" s="326" customFormat="1" ht="9.9499999999999993" customHeight="1" x14ac:dyDescent="0.2">
      <c r="B737" s="327"/>
      <c r="D737" s="327"/>
      <c r="F737" s="327"/>
      <c r="H737" s="327"/>
      <c r="J737" s="327"/>
      <c r="M737" s="758"/>
    </row>
    <row r="738" spans="2:13" s="326" customFormat="1" ht="9.9499999999999993" customHeight="1" x14ac:dyDescent="0.2">
      <c r="B738" s="327"/>
      <c r="D738" s="327"/>
      <c r="F738" s="327"/>
      <c r="H738" s="327"/>
      <c r="J738" s="327"/>
      <c r="M738" s="758"/>
    </row>
    <row r="739" spans="2:13" s="326" customFormat="1" ht="9.9499999999999993" customHeight="1" x14ac:dyDescent="0.2">
      <c r="B739" s="327"/>
      <c r="D739" s="327"/>
      <c r="F739" s="327"/>
      <c r="H739" s="327"/>
      <c r="J739" s="327"/>
      <c r="M739" s="758"/>
    </row>
    <row r="740" spans="2:13" s="326" customFormat="1" ht="9.9499999999999993" customHeight="1" x14ac:dyDescent="0.2">
      <c r="B740" s="327"/>
      <c r="D740" s="327"/>
      <c r="F740" s="327"/>
      <c r="H740" s="327"/>
      <c r="J740" s="327"/>
      <c r="M740" s="758"/>
    </row>
    <row r="741" spans="2:13" s="326" customFormat="1" ht="9.9499999999999993" customHeight="1" x14ac:dyDescent="0.2">
      <c r="B741" s="327"/>
      <c r="D741" s="327"/>
      <c r="F741" s="327"/>
      <c r="H741" s="327"/>
      <c r="J741" s="327"/>
      <c r="M741" s="758"/>
    </row>
    <row r="742" spans="2:13" s="326" customFormat="1" ht="9.9499999999999993" customHeight="1" x14ac:dyDescent="0.2">
      <c r="B742" s="327"/>
      <c r="D742" s="327"/>
      <c r="F742" s="327"/>
      <c r="H742" s="327"/>
      <c r="J742" s="327"/>
      <c r="M742" s="758"/>
    </row>
    <row r="743" spans="2:13" s="326" customFormat="1" ht="9.9499999999999993" customHeight="1" x14ac:dyDescent="0.2">
      <c r="B743" s="327"/>
      <c r="D743" s="327"/>
      <c r="F743" s="327"/>
      <c r="H743" s="327"/>
      <c r="J743" s="327"/>
      <c r="M743" s="758"/>
    </row>
    <row r="744" spans="2:13" s="326" customFormat="1" ht="9.9499999999999993" customHeight="1" x14ac:dyDescent="0.2">
      <c r="B744" s="327"/>
      <c r="D744" s="327"/>
      <c r="F744" s="327"/>
      <c r="H744" s="327"/>
      <c r="J744" s="327"/>
      <c r="M744" s="758"/>
    </row>
    <row r="745" spans="2:13" s="326" customFormat="1" ht="9.9499999999999993" customHeight="1" x14ac:dyDescent="0.2">
      <c r="B745" s="327"/>
      <c r="D745" s="327"/>
      <c r="F745" s="327"/>
      <c r="H745" s="327"/>
      <c r="J745" s="327"/>
      <c r="M745" s="758"/>
    </row>
    <row r="746" spans="2:13" s="326" customFormat="1" ht="9.9499999999999993" customHeight="1" x14ac:dyDescent="0.2">
      <c r="B746" s="327"/>
      <c r="D746" s="327"/>
      <c r="F746" s="327"/>
      <c r="H746" s="327"/>
      <c r="J746" s="327"/>
      <c r="M746" s="758"/>
    </row>
    <row r="747" spans="2:13" s="326" customFormat="1" ht="9.9499999999999993" customHeight="1" x14ac:dyDescent="0.2">
      <c r="B747" s="327"/>
      <c r="D747" s="327"/>
      <c r="F747" s="327"/>
      <c r="H747" s="327"/>
      <c r="J747" s="327"/>
      <c r="M747" s="758"/>
    </row>
    <row r="748" spans="2:13" s="326" customFormat="1" ht="9.9499999999999993" customHeight="1" x14ac:dyDescent="0.2">
      <c r="B748" s="327"/>
      <c r="D748" s="327"/>
      <c r="F748" s="327"/>
      <c r="H748" s="327"/>
      <c r="J748" s="327"/>
      <c r="M748" s="758"/>
    </row>
    <row r="749" spans="2:13" s="326" customFormat="1" ht="9.9499999999999993" customHeight="1" x14ac:dyDescent="0.2">
      <c r="B749" s="327"/>
      <c r="D749" s="327"/>
      <c r="F749" s="327"/>
      <c r="H749" s="327"/>
      <c r="J749" s="327"/>
      <c r="M749" s="758"/>
    </row>
    <row r="750" spans="2:13" s="326" customFormat="1" ht="9.9499999999999993" customHeight="1" x14ac:dyDescent="0.2">
      <c r="B750" s="327"/>
      <c r="D750" s="327"/>
      <c r="F750" s="327"/>
      <c r="H750" s="327"/>
      <c r="J750" s="327"/>
      <c r="M750" s="758"/>
    </row>
    <row r="751" spans="2:13" s="326" customFormat="1" ht="9.9499999999999993" customHeight="1" x14ac:dyDescent="0.2">
      <c r="B751" s="327"/>
      <c r="D751" s="327"/>
      <c r="F751" s="327"/>
      <c r="H751" s="327"/>
      <c r="J751" s="327"/>
      <c r="M751" s="758"/>
    </row>
    <row r="752" spans="2:13" s="326" customFormat="1" ht="9.9499999999999993" customHeight="1" x14ac:dyDescent="0.2">
      <c r="B752" s="327"/>
      <c r="D752" s="327"/>
      <c r="F752" s="327"/>
      <c r="H752" s="327"/>
      <c r="J752" s="327"/>
      <c r="M752" s="758"/>
    </row>
    <row r="753" spans="2:13" s="326" customFormat="1" ht="9.9499999999999993" customHeight="1" x14ac:dyDescent="0.2">
      <c r="B753" s="327"/>
      <c r="D753" s="327"/>
      <c r="F753" s="327"/>
      <c r="H753" s="327"/>
      <c r="J753" s="327"/>
      <c r="M753" s="758"/>
    </row>
    <row r="754" spans="2:13" s="326" customFormat="1" ht="9.9499999999999993" customHeight="1" x14ac:dyDescent="0.2">
      <c r="B754" s="327"/>
      <c r="D754" s="327"/>
      <c r="F754" s="327"/>
      <c r="H754" s="327"/>
      <c r="J754" s="327"/>
      <c r="M754" s="758"/>
    </row>
    <row r="755" spans="2:13" s="326" customFormat="1" ht="9.9499999999999993" customHeight="1" x14ac:dyDescent="0.2">
      <c r="B755" s="327"/>
      <c r="D755" s="327"/>
      <c r="F755" s="327"/>
      <c r="H755" s="327"/>
      <c r="J755" s="327"/>
      <c r="M755" s="758"/>
    </row>
    <row r="756" spans="2:13" s="326" customFormat="1" ht="9.9499999999999993" customHeight="1" x14ac:dyDescent="0.2">
      <c r="B756" s="327"/>
      <c r="D756" s="327"/>
      <c r="F756" s="327"/>
      <c r="H756" s="327"/>
      <c r="J756" s="327"/>
      <c r="M756" s="758"/>
    </row>
    <row r="757" spans="2:13" s="326" customFormat="1" ht="9.9499999999999993" customHeight="1" x14ac:dyDescent="0.2">
      <c r="B757" s="327"/>
      <c r="D757" s="327"/>
      <c r="F757" s="327"/>
      <c r="H757" s="327"/>
      <c r="J757" s="327"/>
      <c r="M757" s="758"/>
    </row>
    <row r="758" spans="2:13" s="326" customFormat="1" ht="9.9499999999999993" customHeight="1" x14ac:dyDescent="0.2">
      <c r="B758" s="327"/>
      <c r="D758" s="327"/>
      <c r="F758" s="327"/>
      <c r="H758" s="327"/>
      <c r="J758" s="327"/>
      <c r="M758" s="758"/>
    </row>
    <row r="759" spans="2:13" s="326" customFormat="1" ht="9.9499999999999993" customHeight="1" x14ac:dyDescent="0.2">
      <c r="B759" s="327"/>
      <c r="D759" s="327"/>
      <c r="F759" s="327"/>
      <c r="H759" s="327"/>
      <c r="J759" s="327"/>
      <c r="M759" s="758"/>
    </row>
    <row r="760" spans="2:13" s="326" customFormat="1" ht="9.9499999999999993" customHeight="1" x14ac:dyDescent="0.2">
      <c r="B760" s="327"/>
      <c r="D760" s="327"/>
      <c r="F760" s="327"/>
      <c r="H760" s="327"/>
      <c r="J760" s="327"/>
      <c r="M760" s="758"/>
    </row>
    <row r="761" spans="2:13" s="326" customFormat="1" ht="9.9499999999999993" customHeight="1" x14ac:dyDescent="0.2">
      <c r="B761" s="327"/>
      <c r="D761" s="327"/>
      <c r="F761" s="327"/>
      <c r="H761" s="327"/>
      <c r="J761" s="327"/>
      <c r="M761" s="758"/>
    </row>
    <row r="762" spans="2:13" s="326" customFormat="1" ht="9.9499999999999993" customHeight="1" x14ac:dyDescent="0.2">
      <c r="B762" s="327"/>
      <c r="D762" s="327"/>
      <c r="F762" s="327"/>
      <c r="H762" s="327"/>
      <c r="J762" s="327"/>
      <c r="M762" s="758"/>
    </row>
    <row r="763" spans="2:13" s="326" customFormat="1" ht="9.9499999999999993" customHeight="1" x14ac:dyDescent="0.2">
      <c r="B763" s="327"/>
      <c r="D763" s="327"/>
      <c r="F763" s="327"/>
      <c r="H763" s="327"/>
      <c r="J763" s="327"/>
      <c r="M763" s="758"/>
    </row>
    <row r="764" spans="2:13" s="326" customFormat="1" ht="9.9499999999999993" customHeight="1" x14ac:dyDescent="0.2">
      <c r="B764" s="327"/>
      <c r="D764" s="327"/>
      <c r="F764" s="327"/>
      <c r="H764" s="327"/>
      <c r="J764" s="327"/>
      <c r="M764" s="758"/>
    </row>
    <row r="765" spans="2:13" s="326" customFormat="1" ht="9.9499999999999993" customHeight="1" x14ac:dyDescent="0.2">
      <c r="B765" s="327"/>
      <c r="D765" s="327"/>
      <c r="F765" s="327"/>
      <c r="H765" s="327"/>
      <c r="J765" s="327"/>
      <c r="M765" s="758"/>
    </row>
    <row r="766" spans="2:13" s="326" customFormat="1" ht="9.9499999999999993" customHeight="1" x14ac:dyDescent="0.2">
      <c r="B766" s="327"/>
      <c r="D766" s="327"/>
      <c r="F766" s="327"/>
      <c r="H766" s="327"/>
      <c r="J766" s="327"/>
      <c r="M766" s="758"/>
    </row>
    <row r="767" spans="2:13" s="326" customFormat="1" ht="9.9499999999999993" customHeight="1" x14ac:dyDescent="0.2">
      <c r="B767" s="327"/>
      <c r="D767" s="327"/>
      <c r="F767" s="327"/>
      <c r="H767" s="327"/>
      <c r="J767" s="327"/>
      <c r="M767" s="758"/>
    </row>
    <row r="768" spans="2:13" s="326" customFormat="1" ht="9.9499999999999993" customHeight="1" x14ac:dyDescent="0.2">
      <c r="B768" s="327"/>
      <c r="D768" s="327"/>
      <c r="F768" s="327"/>
      <c r="H768" s="327"/>
      <c r="J768" s="327"/>
      <c r="M768" s="758"/>
    </row>
    <row r="769" spans="2:13" s="326" customFormat="1" ht="9.9499999999999993" customHeight="1" x14ac:dyDescent="0.2">
      <c r="B769" s="327"/>
      <c r="D769" s="327"/>
      <c r="F769" s="327"/>
      <c r="H769" s="327"/>
      <c r="J769" s="327"/>
      <c r="M769" s="758"/>
    </row>
    <row r="770" spans="2:13" s="326" customFormat="1" ht="9.9499999999999993" customHeight="1" x14ac:dyDescent="0.2">
      <c r="B770" s="327"/>
      <c r="D770" s="327"/>
      <c r="F770" s="327"/>
      <c r="H770" s="327"/>
      <c r="J770" s="327"/>
      <c r="M770" s="758"/>
    </row>
    <row r="771" spans="2:13" s="326" customFormat="1" ht="9.9499999999999993" customHeight="1" x14ac:dyDescent="0.2">
      <c r="B771" s="327"/>
      <c r="D771" s="327"/>
      <c r="F771" s="327"/>
      <c r="H771" s="327"/>
      <c r="J771" s="327"/>
      <c r="M771" s="758"/>
    </row>
    <row r="772" spans="2:13" s="326" customFormat="1" ht="9.9499999999999993" customHeight="1" x14ac:dyDescent="0.2">
      <c r="B772" s="327"/>
      <c r="D772" s="327"/>
      <c r="F772" s="327"/>
      <c r="H772" s="327"/>
      <c r="J772" s="327"/>
      <c r="M772" s="758"/>
    </row>
    <row r="773" spans="2:13" s="326" customFormat="1" ht="9.9499999999999993" customHeight="1" x14ac:dyDescent="0.2">
      <c r="B773" s="327"/>
      <c r="D773" s="327"/>
      <c r="F773" s="327"/>
      <c r="H773" s="327"/>
      <c r="J773" s="327"/>
      <c r="M773" s="758"/>
    </row>
    <row r="774" spans="2:13" s="326" customFormat="1" ht="9.9499999999999993" customHeight="1" x14ac:dyDescent="0.2">
      <c r="B774" s="327"/>
      <c r="D774" s="327"/>
      <c r="F774" s="327"/>
      <c r="H774" s="327"/>
      <c r="J774" s="327"/>
      <c r="M774" s="758"/>
    </row>
    <row r="775" spans="2:13" s="326" customFormat="1" ht="9.9499999999999993" customHeight="1" x14ac:dyDescent="0.2">
      <c r="B775" s="327"/>
      <c r="D775" s="327"/>
      <c r="F775" s="327"/>
      <c r="H775" s="327"/>
      <c r="J775" s="327"/>
      <c r="M775" s="758"/>
    </row>
    <row r="776" spans="2:13" s="326" customFormat="1" ht="9.9499999999999993" customHeight="1" x14ac:dyDescent="0.2">
      <c r="B776" s="327"/>
      <c r="D776" s="327"/>
      <c r="F776" s="327"/>
      <c r="H776" s="327"/>
      <c r="J776" s="327"/>
      <c r="M776" s="758"/>
    </row>
    <row r="777" spans="2:13" s="326" customFormat="1" ht="9.9499999999999993" customHeight="1" x14ac:dyDescent="0.2">
      <c r="B777" s="327"/>
      <c r="D777" s="327"/>
      <c r="F777" s="327"/>
      <c r="H777" s="327"/>
      <c r="J777" s="327"/>
      <c r="M777" s="758"/>
    </row>
    <row r="778" spans="2:13" s="326" customFormat="1" ht="9.9499999999999993" customHeight="1" x14ac:dyDescent="0.2">
      <c r="B778" s="327"/>
      <c r="D778" s="327"/>
      <c r="F778" s="327"/>
      <c r="H778" s="327"/>
      <c r="J778" s="327"/>
      <c r="M778" s="758"/>
    </row>
    <row r="779" spans="2:13" s="326" customFormat="1" ht="9.9499999999999993" customHeight="1" x14ac:dyDescent="0.2">
      <c r="B779" s="327"/>
      <c r="D779" s="327"/>
      <c r="F779" s="327"/>
      <c r="H779" s="327"/>
      <c r="J779" s="327"/>
      <c r="M779" s="758"/>
    </row>
    <row r="780" spans="2:13" s="326" customFormat="1" ht="9.9499999999999993" customHeight="1" x14ac:dyDescent="0.2">
      <c r="B780" s="327"/>
      <c r="D780" s="327"/>
      <c r="F780" s="327"/>
      <c r="H780" s="327"/>
      <c r="J780" s="327"/>
      <c r="M780" s="758"/>
    </row>
    <row r="781" spans="2:13" s="326" customFormat="1" ht="9.9499999999999993" customHeight="1" x14ac:dyDescent="0.2">
      <c r="B781" s="327"/>
      <c r="D781" s="327"/>
      <c r="F781" s="327"/>
      <c r="H781" s="327"/>
      <c r="J781" s="327"/>
      <c r="M781" s="758"/>
    </row>
    <row r="782" spans="2:13" s="326" customFormat="1" ht="9.9499999999999993" customHeight="1" x14ac:dyDescent="0.2">
      <c r="B782" s="327"/>
      <c r="D782" s="327"/>
      <c r="F782" s="327"/>
      <c r="H782" s="327"/>
      <c r="J782" s="327"/>
      <c r="M782" s="758"/>
    </row>
    <row r="783" spans="2:13" s="326" customFormat="1" ht="9.9499999999999993" customHeight="1" x14ac:dyDescent="0.2">
      <c r="B783" s="327"/>
      <c r="D783" s="327"/>
      <c r="F783" s="327"/>
      <c r="H783" s="327"/>
      <c r="J783" s="327"/>
      <c r="M783" s="758"/>
    </row>
    <row r="784" spans="2:13" s="326" customFormat="1" ht="9.9499999999999993" customHeight="1" x14ac:dyDescent="0.2">
      <c r="B784" s="327"/>
      <c r="D784" s="327"/>
      <c r="F784" s="327"/>
      <c r="H784" s="327"/>
      <c r="J784" s="327"/>
      <c r="M784" s="758"/>
    </row>
    <row r="785" spans="2:13" s="326" customFormat="1" ht="9.9499999999999993" customHeight="1" x14ac:dyDescent="0.2">
      <c r="B785" s="327"/>
      <c r="D785" s="327"/>
      <c r="F785" s="327"/>
      <c r="H785" s="327"/>
      <c r="J785" s="327"/>
      <c r="M785" s="758"/>
    </row>
    <row r="786" spans="2:13" s="326" customFormat="1" ht="9.9499999999999993" customHeight="1" x14ac:dyDescent="0.2">
      <c r="B786" s="327"/>
      <c r="D786" s="327"/>
      <c r="F786" s="327"/>
      <c r="H786" s="327"/>
      <c r="J786" s="327"/>
      <c r="M786" s="758"/>
    </row>
    <row r="787" spans="2:13" s="326" customFormat="1" ht="9.9499999999999993" customHeight="1" x14ac:dyDescent="0.2">
      <c r="B787" s="327"/>
      <c r="D787" s="327"/>
      <c r="F787" s="327"/>
      <c r="H787" s="327"/>
      <c r="J787" s="327"/>
      <c r="M787" s="758"/>
    </row>
    <row r="788" spans="2:13" s="326" customFormat="1" ht="9.9499999999999993" customHeight="1" x14ac:dyDescent="0.2">
      <c r="B788" s="327"/>
      <c r="D788" s="327"/>
      <c r="F788" s="327"/>
      <c r="H788" s="327"/>
      <c r="J788" s="327"/>
      <c r="M788" s="758"/>
    </row>
    <row r="789" spans="2:13" s="326" customFormat="1" ht="9.9499999999999993" customHeight="1" x14ac:dyDescent="0.2">
      <c r="B789" s="327"/>
      <c r="D789" s="327"/>
      <c r="F789" s="327"/>
      <c r="H789" s="327"/>
      <c r="J789" s="327"/>
      <c r="M789" s="758"/>
    </row>
    <row r="790" spans="2:13" s="326" customFormat="1" ht="9.9499999999999993" customHeight="1" x14ac:dyDescent="0.2">
      <c r="B790" s="327"/>
      <c r="D790" s="327"/>
      <c r="F790" s="327"/>
      <c r="H790" s="327"/>
      <c r="J790" s="327"/>
      <c r="M790" s="758"/>
    </row>
    <row r="791" spans="2:13" s="326" customFormat="1" ht="9.9499999999999993" customHeight="1" x14ac:dyDescent="0.2">
      <c r="B791" s="327"/>
      <c r="D791" s="327"/>
      <c r="F791" s="327"/>
      <c r="H791" s="327"/>
      <c r="J791" s="327"/>
      <c r="M791" s="758"/>
    </row>
    <row r="792" spans="2:13" s="326" customFormat="1" ht="9.9499999999999993" customHeight="1" x14ac:dyDescent="0.2">
      <c r="B792" s="327"/>
      <c r="D792" s="327"/>
      <c r="F792" s="327"/>
      <c r="H792" s="327"/>
      <c r="J792" s="327"/>
      <c r="M792" s="758"/>
    </row>
    <row r="793" spans="2:13" s="326" customFormat="1" ht="9.9499999999999993" customHeight="1" x14ac:dyDescent="0.2">
      <c r="B793" s="327"/>
      <c r="D793" s="327"/>
      <c r="F793" s="327"/>
      <c r="H793" s="327"/>
      <c r="J793" s="327"/>
      <c r="M793" s="758"/>
    </row>
    <row r="794" spans="2:13" s="326" customFormat="1" ht="9.9499999999999993" customHeight="1" x14ac:dyDescent="0.2">
      <c r="B794" s="327"/>
      <c r="D794" s="327"/>
      <c r="F794" s="327"/>
      <c r="H794" s="327"/>
      <c r="J794" s="327"/>
      <c r="M794" s="758"/>
    </row>
    <row r="795" spans="2:13" s="326" customFormat="1" ht="9.9499999999999993" customHeight="1" x14ac:dyDescent="0.2">
      <c r="B795" s="327"/>
      <c r="D795" s="327"/>
      <c r="F795" s="327"/>
      <c r="H795" s="327"/>
      <c r="J795" s="327"/>
      <c r="M795" s="758"/>
    </row>
  </sheetData>
  <mergeCells count="2">
    <mergeCell ref="A1:K1"/>
    <mergeCell ref="A4:G4"/>
  </mergeCells>
  <phoneticPr fontId="9" type="noConversion"/>
  <printOptions horizontalCentered="1"/>
  <pageMargins left="0.5" right="0.5" top="0.5" bottom="0.625" header="0.5" footer="0.5"/>
  <pageSetup scale="94"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tabColor theme="6" tint="0.39997558519241921"/>
  </sheetPr>
  <dimension ref="A1:P830"/>
  <sheetViews>
    <sheetView view="pageBreakPreview" zoomScale="110" zoomScaleNormal="100" zoomScaleSheetLayoutView="110" workbookViewId="0">
      <pane ySplit="10" topLeftCell="A11" activePane="bottomLeft" state="frozen"/>
      <selection activeCell="Z13" activeCellId="3" sqref="Z18 Z17 Z15 Z13"/>
      <selection pane="bottomLeft" activeCell="Z13" activeCellId="3" sqref="Z18 Z17 Z15 Z13"/>
    </sheetView>
  </sheetViews>
  <sheetFormatPr defaultColWidth="9.140625" defaultRowHeight="9.9499999999999993" customHeight="1" x14ac:dyDescent="0.2"/>
  <cols>
    <col min="1" max="1" width="55" style="572" bestFit="1" customWidth="1"/>
    <col min="2" max="2" width="1.5703125" style="572" customWidth="1"/>
    <col min="3" max="3" width="13.140625" style="314" customWidth="1"/>
    <col min="4" max="4" width="1.5703125" style="572" customWidth="1"/>
    <col min="5" max="5" width="13.140625" style="314" customWidth="1"/>
    <col min="6" max="6" width="1.5703125" style="572" customWidth="1"/>
    <col min="7" max="7" width="13.140625" style="314" customWidth="1"/>
    <col min="8" max="8" width="1.5703125" style="572" customWidth="1"/>
    <col min="9" max="9" width="14.5703125" style="572" hidden="1" customWidth="1"/>
    <col min="10" max="10" width="1.5703125" style="572" hidden="1" customWidth="1"/>
    <col min="11" max="11" width="13.42578125" style="314" customWidth="1"/>
    <col min="12" max="15" width="9.140625" style="572"/>
    <col min="16" max="16" width="9.140625" style="1058"/>
    <col min="17" max="16384" width="9.140625" style="572"/>
  </cols>
  <sheetData>
    <row r="1" spans="1:16" s="619" customFormat="1" ht="16.5" customHeight="1" thickBot="1" x14ac:dyDescent="0.25">
      <c r="A1" s="1582" t="s">
        <v>1033</v>
      </c>
      <c r="B1" s="1582"/>
      <c r="C1" s="1582"/>
      <c r="D1" s="1582"/>
      <c r="E1" s="1582"/>
      <c r="F1" s="1582"/>
      <c r="G1" s="1582"/>
      <c r="H1" s="1582"/>
      <c r="I1" s="1582"/>
      <c r="J1" s="1582"/>
      <c r="K1" s="1582"/>
      <c r="P1" s="1054"/>
    </row>
    <row r="2" spans="1:16" s="723" customFormat="1" ht="15" customHeight="1" x14ac:dyDescent="0.2">
      <c r="A2" s="700" t="s">
        <v>487</v>
      </c>
      <c r="B2" s="793"/>
      <c r="C2" s="793"/>
      <c r="D2" s="793"/>
      <c r="E2" s="793"/>
      <c r="F2" s="793"/>
      <c r="G2" s="793"/>
      <c r="H2" s="792"/>
      <c r="I2" s="792"/>
      <c r="J2" s="793"/>
      <c r="K2" s="793"/>
      <c r="P2" s="1055"/>
    </row>
    <row r="3" spans="1:16" s="723" customFormat="1" ht="15" customHeight="1" x14ac:dyDescent="0.2">
      <c r="A3" s="700" t="s">
        <v>1025</v>
      </c>
      <c r="B3" s="724"/>
      <c r="C3" s="794"/>
      <c r="D3" s="724"/>
      <c r="E3" s="794"/>
      <c r="F3" s="724"/>
      <c r="G3" s="794"/>
      <c r="H3" s="792"/>
      <c r="I3" s="792"/>
      <c r="J3" s="724"/>
      <c r="K3" s="724"/>
      <c r="P3" s="1055"/>
    </row>
    <row r="4" spans="1:16" s="726" customFormat="1" ht="12.95" customHeight="1" x14ac:dyDescent="0.2">
      <c r="A4" s="1579" t="s">
        <v>1725</v>
      </c>
      <c r="B4" s="1579"/>
      <c r="C4" s="1579"/>
      <c r="D4" s="1579"/>
      <c r="E4" s="1579"/>
      <c r="F4" s="1579"/>
      <c r="G4" s="1579"/>
      <c r="H4" s="506"/>
      <c r="I4" s="506"/>
      <c r="J4" s="795"/>
      <c r="K4" s="795"/>
      <c r="P4" s="1056"/>
    </row>
    <row r="5" spans="1:16" s="253" customFormat="1" ht="12" customHeight="1" x14ac:dyDescent="0.2">
      <c r="A5" s="253" t="s">
        <v>972</v>
      </c>
      <c r="H5" s="725"/>
      <c r="I5" s="725"/>
      <c r="P5" s="1057"/>
    </row>
    <row r="6" spans="1:16" ht="5.0999999999999996" customHeight="1" x14ac:dyDescent="0.2">
      <c r="A6" s="569"/>
      <c r="B6" s="569"/>
      <c r="C6" s="247"/>
      <c r="D6" s="569"/>
      <c r="E6" s="247"/>
      <c r="F6" s="569"/>
      <c r="G6" s="247"/>
      <c r="H6" s="569"/>
      <c r="I6" s="569"/>
      <c r="J6" s="569"/>
      <c r="K6" s="247"/>
    </row>
    <row r="7" spans="1:16" s="474" customFormat="1" ht="12.6" customHeight="1" x14ac:dyDescent="0.2">
      <c r="A7" s="472"/>
      <c r="B7" s="472"/>
      <c r="C7" s="472"/>
      <c r="D7" s="472"/>
      <c r="E7" s="472"/>
      <c r="F7" s="472"/>
      <c r="G7" s="472"/>
      <c r="H7" s="472"/>
      <c r="I7" s="416"/>
      <c r="J7" s="445"/>
      <c r="K7" s="310" t="s">
        <v>671</v>
      </c>
      <c r="P7" s="1059"/>
    </row>
    <row r="8" spans="1:16" s="474" customFormat="1" ht="12.6" customHeight="1" x14ac:dyDescent="0.2">
      <c r="A8" s="472"/>
      <c r="B8" s="472"/>
      <c r="C8" s="310"/>
      <c r="D8" s="472"/>
      <c r="F8" s="472"/>
      <c r="G8" s="475"/>
      <c r="H8" s="472"/>
      <c r="I8" s="310"/>
      <c r="J8" s="445"/>
      <c r="K8" s="310" t="s">
        <v>1064</v>
      </c>
      <c r="P8" s="1059"/>
    </row>
    <row r="9" spans="1:16" s="474" customFormat="1" ht="12.6" customHeight="1" x14ac:dyDescent="0.2">
      <c r="A9" s="472"/>
      <c r="B9" s="472"/>
      <c r="C9" s="310" t="s">
        <v>439</v>
      </c>
      <c r="D9" s="472"/>
      <c r="E9" s="310" t="s">
        <v>448</v>
      </c>
      <c r="F9" s="472"/>
      <c r="G9" s="310" t="s">
        <v>837</v>
      </c>
      <c r="H9" s="472"/>
      <c r="I9" s="310" t="s">
        <v>842</v>
      </c>
      <c r="J9" s="445"/>
      <c r="K9" s="310" t="s">
        <v>57</v>
      </c>
      <c r="P9" s="1059"/>
    </row>
    <row r="10" spans="1:16" s="474" customFormat="1" ht="12.6" customHeight="1" x14ac:dyDescent="0.2">
      <c r="A10" s="472"/>
      <c r="B10" s="472"/>
      <c r="C10" s="574" t="s">
        <v>838</v>
      </c>
      <c r="D10" s="472"/>
      <c r="E10" s="310" t="s">
        <v>449</v>
      </c>
      <c r="F10" s="472"/>
      <c r="G10" s="574" t="s">
        <v>59</v>
      </c>
      <c r="H10" s="472"/>
      <c r="I10" s="574" t="s">
        <v>228</v>
      </c>
      <c r="J10" s="796"/>
      <c r="K10" s="574" t="s">
        <v>864</v>
      </c>
      <c r="P10" s="1059"/>
    </row>
    <row r="11" spans="1:16" s="318" customFormat="1" ht="9.9499999999999993" customHeight="1" x14ac:dyDescent="0.2">
      <c r="A11" s="480" t="s">
        <v>603</v>
      </c>
      <c r="B11" s="323"/>
      <c r="C11" s="797"/>
      <c r="D11" s="323"/>
      <c r="E11" s="836"/>
      <c r="F11" s="323"/>
      <c r="G11" s="797"/>
      <c r="H11" s="787"/>
      <c r="I11" s="260"/>
      <c r="J11" s="787"/>
      <c r="K11" s="260"/>
      <c r="P11" s="1060"/>
    </row>
    <row r="12" spans="1:16" s="318" customFormat="1" ht="9.9499999999999993" customHeight="1" x14ac:dyDescent="0.2">
      <c r="A12" s="577" t="s">
        <v>386</v>
      </c>
      <c r="B12" s="323"/>
      <c r="C12" s="495">
        <v>46032</v>
      </c>
      <c r="D12" s="482"/>
      <c r="E12" s="495">
        <v>2255</v>
      </c>
      <c r="F12" s="482"/>
      <c r="G12" s="495">
        <v>7782</v>
      </c>
      <c r="H12" s="482"/>
      <c r="I12" s="495"/>
      <c r="J12" s="482"/>
      <c r="K12" s="339">
        <f>SUM(C12:G12)</f>
        <v>56069</v>
      </c>
      <c r="P12" s="1060"/>
    </row>
    <row r="13" spans="1:16" s="318" customFormat="1" ht="9.9499999999999993" customHeight="1" x14ac:dyDescent="0.2">
      <c r="A13" s="1134" t="s">
        <v>387</v>
      </c>
      <c r="B13" s="324"/>
      <c r="C13" s="324">
        <v>-14232</v>
      </c>
      <c r="D13" s="489"/>
      <c r="E13" s="324">
        <v>-2297</v>
      </c>
      <c r="F13" s="489"/>
      <c r="G13" s="324">
        <v>-3920</v>
      </c>
      <c r="H13" s="489"/>
      <c r="I13" s="324"/>
      <c r="J13" s="489"/>
      <c r="K13" s="1414">
        <f t="shared" ref="K13:K15" si="0">SUM(C13:G13)</f>
        <v>-20449</v>
      </c>
      <c r="P13" s="1060"/>
    </row>
    <row r="14" spans="1:16" s="318" customFormat="1" ht="9.9499999999999993" customHeight="1" x14ac:dyDescent="0.2">
      <c r="A14" s="1134" t="s">
        <v>388</v>
      </c>
      <c r="B14" s="324"/>
      <c r="C14" s="324">
        <v>-32153</v>
      </c>
      <c r="D14" s="489"/>
      <c r="E14" s="324">
        <v>-427</v>
      </c>
      <c r="F14" s="489"/>
      <c r="G14" s="324">
        <f>-5393-1</f>
        <v>-5394</v>
      </c>
      <c r="H14" s="489"/>
      <c r="I14" s="324"/>
      <c r="J14" s="489"/>
      <c r="K14" s="1414">
        <f t="shared" si="0"/>
        <v>-37974</v>
      </c>
      <c r="P14" s="1060"/>
    </row>
    <row r="15" spans="1:16" s="318" customFormat="1" ht="9.9499999999999993" customHeight="1" x14ac:dyDescent="0.2">
      <c r="A15" s="1134" t="s">
        <v>1274</v>
      </c>
      <c r="B15" s="324"/>
      <c r="C15" s="324">
        <v>10</v>
      </c>
      <c r="D15" s="489"/>
      <c r="E15" s="324">
        <v>1</v>
      </c>
      <c r="F15" s="489"/>
      <c r="G15" s="324">
        <v>2</v>
      </c>
      <c r="H15" s="489"/>
      <c r="I15" s="324"/>
      <c r="J15" s="489"/>
      <c r="K15" s="1414">
        <f t="shared" si="0"/>
        <v>13</v>
      </c>
      <c r="P15" s="1060"/>
    </row>
    <row r="16" spans="1:16" s="318" customFormat="1" ht="3.95" customHeight="1" x14ac:dyDescent="0.2">
      <c r="A16" s="482"/>
      <c r="B16" s="324"/>
      <c r="C16" s="496"/>
      <c r="D16" s="798"/>
      <c r="E16" s="496"/>
      <c r="F16" s="798"/>
      <c r="G16" s="496"/>
      <c r="H16" s="798"/>
      <c r="I16" s="496"/>
      <c r="J16" s="489"/>
      <c r="K16" s="340"/>
      <c r="P16" s="1061"/>
    </row>
    <row r="17" spans="1:16" s="492" customFormat="1" ht="11.1" customHeight="1" x14ac:dyDescent="0.2">
      <c r="A17" s="353" t="s">
        <v>1778</v>
      </c>
      <c r="B17" s="273"/>
      <c r="C17" s="341">
        <f>SUM(C12:C15)</f>
        <v>-343</v>
      </c>
      <c r="D17" s="399"/>
      <c r="E17" s="341">
        <f>SUM(E12:E15)</f>
        <v>-468</v>
      </c>
      <c r="F17" s="399"/>
      <c r="G17" s="341">
        <f>SUM(G12:G15)</f>
        <v>-1530</v>
      </c>
      <c r="H17" s="399"/>
      <c r="I17" s="341">
        <f>SUM(I12:I15)</f>
        <v>0</v>
      </c>
      <c r="J17" s="273"/>
      <c r="K17" s="341">
        <f>SUM(K12:K15)</f>
        <v>-2341</v>
      </c>
      <c r="P17" s="1062"/>
    </row>
    <row r="18" spans="1:16" s="318" customFormat="1" ht="3.95" customHeight="1" x14ac:dyDescent="0.2">
      <c r="A18" s="482"/>
      <c r="B18" s="324"/>
      <c r="C18" s="324"/>
      <c r="D18" s="324"/>
      <c r="E18" s="324"/>
      <c r="F18" s="324"/>
      <c r="G18" s="324"/>
      <c r="H18" s="324"/>
      <c r="I18" s="324"/>
      <c r="J18" s="324"/>
      <c r="K18" s="273"/>
      <c r="P18" s="1060"/>
    </row>
    <row r="19" spans="1:16" s="318" customFormat="1" ht="9.9499999999999993" customHeight="1" x14ac:dyDescent="0.2">
      <c r="A19" s="480" t="s">
        <v>1020</v>
      </c>
      <c r="B19" s="324"/>
      <c r="C19" s="324"/>
      <c r="D19" s="798"/>
      <c r="E19" s="324"/>
      <c r="F19" s="798"/>
      <c r="G19" s="324"/>
      <c r="H19" s="798"/>
      <c r="I19" s="324"/>
      <c r="J19" s="798"/>
      <c r="K19" s="273"/>
      <c r="P19" s="1060"/>
    </row>
    <row r="20" spans="1:16" s="318" customFormat="1" ht="9.9499999999999993" customHeight="1" x14ac:dyDescent="0.2">
      <c r="A20" s="577" t="s">
        <v>390</v>
      </c>
      <c r="B20" s="324"/>
      <c r="C20" s="488">
        <v>1863</v>
      </c>
      <c r="D20" s="489"/>
      <c r="E20" s="488">
        <v>279</v>
      </c>
      <c r="F20" s="489"/>
      <c r="G20" s="488">
        <f>2067+50</f>
        <v>2117</v>
      </c>
      <c r="H20" s="489"/>
      <c r="I20" s="488"/>
      <c r="J20" s="489"/>
      <c r="K20" s="273">
        <f>SUM(C20:I20)</f>
        <v>4259</v>
      </c>
      <c r="P20" s="1060"/>
    </row>
    <row r="21" spans="1:16" s="318" customFormat="1" ht="9.9499999999999993" customHeight="1" x14ac:dyDescent="0.2">
      <c r="A21" s="577" t="s">
        <v>391</v>
      </c>
      <c r="B21" s="324"/>
      <c r="C21" s="488">
        <v>-2638</v>
      </c>
      <c r="D21" s="489"/>
      <c r="E21" s="488">
        <v>-273</v>
      </c>
      <c r="F21" s="489"/>
      <c r="G21" s="488">
        <v>-870</v>
      </c>
      <c r="H21" s="489"/>
      <c r="I21" s="488"/>
      <c r="J21" s="489"/>
      <c r="K21" s="273">
        <f>SUM(C21:I21)</f>
        <v>-3781</v>
      </c>
      <c r="P21" s="1060"/>
    </row>
    <row r="22" spans="1:16" s="318" customFormat="1" ht="9.9499999999999993" hidden="1" customHeight="1" x14ac:dyDescent="0.2">
      <c r="A22" s="577" t="s">
        <v>753</v>
      </c>
      <c r="B22" s="324"/>
      <c r="C22" s="488">
        <v>0</v>
      </c>
      <c r="D22" s="489"/>
      <c r="E22" s="488"/>
      <c r="F22" s="489"/>
      <c r="G22" s="488"/>
      <c r="H22" s="489"/>
      <c r="I22" s="488"/>
      <c r="J22" s="489"/>
      <c r="K22" s="273">
        <f>SUM(C22:I22)</f>
        <v>0</v>
      </c>
      <c r="P22" s="1060"/>
    </row>
    <row r="23" spans="1:16" s="318" customFormat="1" ht="9.9499999999999993" customHeight="1" x14ac:dyDescent="0.2">
      <c r="A23" s="577" t="s">
        <v>681</v>
      </c>
      <c r="B23" s="324"/>
      <c r="C23" s="1354">
        <v>-6</v>
      </c>
      <c r="D23" s="489"/>
      <c r="E23" s="1354"/>
      <c r="F23" s="489"/>
      <c r="G23" s="1354"/>
      <c r="H23" s="489"/>
      <c r="I23" s="1354"/>
      <c r="J23" s="489"/>
      <c r="K23" s="273">
        <f>SUM(C23:I23)</f>
        <v>-6</v>
      </c>
      <c r="P23" s="1060"/>
    </row>
    <row r="24" spans="1:16" s="318" customFormat="1" ht="9.9499999999999993" hidden="1" customHeight="1" x14ac:dyDescent="0.2">
      <c r="A24" s="1134" t="s">
        <v>1236</v>
      </c>
      <c r="B24" s="324"/>
      <c r="C24" s="324"/>
      <c r="D24" s="798"/>
      <c r="E24" s="324"/>
      <c r="F24" s="798"/>
      <c r="G24" s="324"/>
      <c r="H24" s="798"/>
      <c r="I24" s="324"/>
      <c r="J24" s="489"/>
      <c r="K24" s="273">
        <f>SUM(C24:I24)</f>
        <v>0</v>
      </c>
      <c r="P24" s="1060"/>
    </row>
    <row r="25" spans="1:16" s="318" customFormat="1" ht="3.95" customHeight="1" x14ac:dyDescent="0.2">
      <c r="A25" s="482"/>
      <c r="B25" s="324"/>
      <c r="C25" s="1355"/>
      <c r="D25" s="489"/>
      <c r="E25" s="1355"/>
      <c r="F25" s="489"/>
      <c r="G25" s="1355"/>
      <c r="H25" s="489"/>
      <c r="I25" s="1355"/>
      <c r="J25" s="489"/>
      <c r="K25" s="340"/>
      <c r="P25" s="1061"/>
    </row>
    <row r="26" spans="1:16" s="492" customFormat="1" ht="11.1" customHeight="1" x14ac:dyDescent="0.2">
      <c r="A26" s="353" t="s">
        <v>1019</v>
      </c>
      <c r="B26" s="273"/>
      <c r="C26" s="341">
        <f>SUM(C20:C24)</f>
        <v>-781</v>
      </c>
      <c r="D26" s="399"/>
      <c r="E26" s="341">
        <f>SUM(E20:E24)</f>
        <v>6</v>
      </c>
      <c r="F26" s="399"/>
      <c r="G26" s="341">
        <f>SUM(G20:G24)</f>
        <v>1247</v>
      </c>
      <c r="H26" s="399"/>
      <c r="I26" s="341">
        <f>SUM(I20:I24)</f>
        <v>0</v>
      </c>
      <c r="J26" s="399"/>
      <c r="K26" s="341">
        <f>SUM(K20:K24)</f>
        <v>472</v>
      </c>
      <c r="P26" s="1062"/>
    </row>
    <row r="27" spans="1:16" s="318" customFormat="1" ht="3.95" customHeight="1" x14ac:dyDescent="0.2">
      <c r="A27" s="482"/>
      <c r="B27" s="324"/>
      <c r="C27" s="324"/>
      <c r="D27" s="489"/>
      <c r="E27" s="324"/>
      <c r="F27" s="489"/>
      <c r="G27" s="324"/>
      <c r="H27" s="489"/>
      <c r="I27" s="324"/>
      <c r="J27" s="489"/>
      <c r="K27" s="273"/>
      <c r="P27" s="1060"/>
    </row>
    <row r="28" spans="1:16" s="318" customFormat="1" ht="9.9499999999999993" customHeight="1" x14ac:dyDescent="0.2">
      <c r="A28" s="480" t="s">
        <v>605</v>
      </c>
      <c r="B28" s="324"/>
      <c r="C28" s="324"/>
      <c r="D28" s="798"/>
      <c r="E28" s="324"/>
      <c r="F28" s="798"/>
      <c r="G28" s="324"/>
      <c r="H28" s="798"/>
      <c r="I28" s="324"/>
      <c r="J28" s="798"/>
      <c r="K28" s="273"/>
      <c r="P28" s="1060"/>
    </row>
    <row r="29" spans="1:16" s="318" customFormat="1" ht="9.9499999999999993" customHeight="1" x14ac:dyDescent="0.2">
      <c r="A29" s="577" t="s">
        <v>396</v>
      </c>
      <c r="B29" s="324"/>
      <c r="C29" s="324">
        <v>-1489</v>
      </c>
      <c r="D29" s="489"/>
      <c r="E29" s="324">
        <v>-55</v>
      </c>
      <c r="F29" s="489"/>
      <c r="G29" s="324"/>
      <c r="H29" s="489"/>
      <c r="I29" s="324"/>
      <c r="J29" s="489"/>
      <c r="K29" s="273">
        <f t="shared" ref="K29:K38" si="1">SUM(C29:I29)</f>
        <v>-1544</v>
      </c>
      <c r="P29" s="1060"/>
    </row>
    <row r="30" spans="1:16" s="318" customFormat="1" ht="9.9499999999999993" hidden="1" customHeight="1" x14ac:dyDescent="0.2">
      <c r="A30" s="577" t="s">
        <v>406</v>
      </c>
      <c r="B30" s="324"/>
      <c r="C30" s="488"/>
      <c r="D30" s="798"/>
      <c r="E30" s="488"/>
      <c r="F30" s="798"/>
      <c r="G30" s="488"/>
      <c r="H30" s="798"/>
      <c r="I30" s="488"/>
      <c r="J30" s="798"/>
      <c r="K30" s="273">
        <f t="shared" si="1"/>
        <v>0</v>
      </c>
      <c r="P30" s="1060"/>
    </row>
    <row r="31" spans="1:16" s="318" customFormat="1" ht="9.9499999999999993" hidden="1" customHeight="1" x14ac:dyDescent="0.2">
      <c r="A31" s="577" t="s">
        <v>398</v>
      </c>
      <c r="B31" s="324"/>
      <c r="C31" s="324"/>
      <c r="D31" s="489"/>
      <c r="E31" s="324"/>
      <c r="F31" s="489"/>
      <c r="G31" s="324"/>
      <c r="H31" s="489"/>
      <c r="I31" s="324"/>
      <c r="J31" s="489"/>
      <c r="K31" s="273">
        <f t="shared" si="1"/>
        <v>0</v>
      </c>
      <c r="P31" s="1060"/>
    </row>
    <row r="32" spans="1:16" s="318" customFormat="1" ht="9.9499999999999993" customHeight="1" x14ac:dyDescent="0.2">
      <c r="A32" s="577" t="s">
        <v>347</v>
      </c>
      <c r="B32" s="324"/>
      <c r="C32" s="488">
        <v>-149</v>
      </c>
      <c r="D32" s="489"/>
      <c r="E32" s="488"/>
      <c r="F32" s="489"/>
      <c r="G32" s="488">
        <v>-88</v>
      </c>
      <c r="H32" s="489"/>
      <c r="I32" s="488"/>
      <c r="J32" s="489"/>
      <c r="K32" s="273">
        <f t="shared" si="1"/>
        <v>-237</v>
      </c>
      <c r="P32" s="1060"/>
    </row>
    <row r="33" spans="1:16" s="318" customFormat="1" ht="9.9499999999999993" hidden="1" customHeight="1" x14ac:dyDescent="0.2">
      <c r="A33" s="577" t="s">
        <v>285</v>
      </c>
      <c r="B33" s="324"/>
      <c r="C33" s="488"/>
      <c r="D33" s="489"/>
      <c r="E33" s="488"/>
      <c r="F33" s="489"/>
      <c r="G33" s="488"/>
      <c r="H33" s="489"/>
      <c r="I33" s="488"/>
      <c r="J33" s="489"/>
      <c r="K33" s="273">
        <f t="shared" si="1"/>
        <v>0</v>
      </c>
      <c r="P33" s="1060"/>
    </row>
    <row r="34" spans="1:16" s="318" customFormat="1" ht="9.9499999999999993" customHeight="1" x14ac:dyDescent="0.2">
      <c r="A34" s="577" t="s">
        <v>1106</v>
      </c>
      <c r="B34" s="324"/>
      <c r="C34" s="488">
        <v>-322</v>
      </c>
      <c r="D34" s="489"/>
      <c r="E34" s="488"/>
      <c r="F34" s="489"/>
      <c r="G34" s="488">
        <v>-1580</v>
      </c>
      <c r="H34" s="489"/>
      <c r="I34" s="488"/>
      <c r="J34" s="489"/>
      <c r="K34" s="273">
        <f t="shared" si="1"/>
        <v>-1902</v>
      </c>
      <c r="P34" s="1060"/>
    </row>
    <row r="35" spans="1:16" s="318" customFormat="1" ht="9.9499999999999993" hidden="1" customHeight="1" x14ac:dyDescent="0.2">
      <c r="A35" s="577" t="s">
        <v>284</v>
      </c>
      <c r="B35" s="324"/>
      <c r="C35" s="488"/>
      <c r="D35" s="489"/>
      <c r="E35" s="488"/>
      <c r="F35" s="489"/>
      <c r="G35" s="488"/>
      <c r="H35" s="489"/>
      <c r="I35" s="488"/>
      <c r="J35" s="489"/>
      <c r="K35" s="273">
        <f t="shared" si="1"/>
        <v>0</v>
      </c>
      <c r="P35" s="1060"/>
    </row>
    <row r="36" spans="1:16" s="318" customFormat="1" ht="9.75" hidden="1" customHeight="1" x14ac:dyDescent="0.2">
      <c r="A36" s="577" t="s">
        <v>397</v>
      </c>
      <c r="B36" s="324"/>
      <c r="C36" s="488"/>
      <c r="D36" s="489"/>
      <c r="E36" s="488"/>
      <c r="F36" s="489"/>
      <c r="G36" s="488"/>
      <c r="H36" s="489"/>
      <c r="I36" s="488"/>
      <c r="J36" s="489"/>
      <c r="K36" s="273">
        <f t="shared" si="1"/>
        <v>0</v>
      </c>
      <c r="P36" s="1060"/>
    </row>
    <row r="37" spans="1:16" s="318" customFormat="1" ht="9.9499999999999993" hidden="1" customHeight="1" x14ac:dyDescent="0.2">
      <c r="A37" s="577" t="s">
        <v>348</v>
      </c>
      <c r="B37" s="324"/>
      <c r="C37" s="488"/>
      <c r="D37" s="489"/>
      <c r="E37" s="488"/>
      <c r="F37" s="489"/>
      <c r="G37" s="488"/>
      <c r="H37" s="489"/>
      <c r="I37" s="488"/>
      <c r="J37" s="489"/>
      <c r="K37" s="273">
        <f t="shared" si="1"/>
        <v>0</v>
      </c>
      <c r="P37" s="1060"/>
    </row>
    <row r="38" spans="1:16" s="318" customFormat="1" ht="9.9499999999999993" hidden="1" customHeight="1" x14ac:dyDescent="0.2">
      <c r="A38" s="577" t="s">
        <v>399</v>
      </c>
      <c r="B38" s="324"/>
      <c r="C38" s="488"/>
      <c r="D38" s="489"/>
      <c r="E38" s="488"/>
      <c r="F38" s="489"/>
      <c r="G38" s="488"/>
      <c r="H38" s="489"/>
      <c r="I38" s="488"/>
      <c r="J38" s="489"/>
      <c r="K38" s="273">
        <f t="shared" si="1"/>
        <v>0</v>
      </c>
      <c r="P38" s="1060"/>
    </row>
    <row r="39" spans="1:16" s="318" customFormat="1" ht="3.95" customHeight="1" x14ac:dyDescent="0.2">
      <c r="A39" s="482"/>
      <c r="B39" s="324"/>
      <c r="C39" s="591"/>
      <c r="D39" s="489"/>
      <c r="E39" s="591"/>
      <c r="F39" s="489"/>
      <c r="G39" s="591"/>
      <c r="H39" s="489"/>
      <c r="I39" s="591"/>
      <c r="J39" s="489"/>
      <c r="K39" s="340"/>
      <c r="P39" s="1061"/>
    </row>
    <row r="40" spans="1:16" s="492" customFormat="1" ht="11.1" customHeight="1" x14ac:dyDescent="0.2">
      <c r="A40" s="353" t="s">
        <v>662</v>
      </c>
      <c r="B40" s="273"/>
      <c r="C40" s="341">
        <f>SUM(C29:C38)</f>
        <v>-1960</v>
      </c>
      <c r="D40" s="399"/>
      <c r="E40" s="341">
        <f>SUM(E29:E38)</f>
        <v>-55</v>
      </c>
      <c r="F40" s="399"/>
      <c r="G40" s="341">
        <f>SUM(G29:G38)</f>
        <v>-1668</v>
      </c>
      <c r="H40" s="399"/>
      <c r="I40" s="341">
        <f>SUM(I29:I38)</f>
        <v>0</v>
      </c>
      <c r="J40" s="273"/>
      <c r="K40" s="341">
        <f>SUM(K29:K38)</f>
        <v>-3683</v>
      </c>
      <c r="P40" s="1062"/>
    </row>
    <row r="41" spans="1:16" s="318" customFormat="1" ht="3.95" customHeight="1" x14ac:dyDescent="0.2">
      <c r="A41" s="482"/>
      <c r="B41" s="324"/>
      <c r="C41" s="324"/>
      <c r="D41" s="489"/>
      <c r="E41" s="324"/>
      <c r="F41" s="489"/>
      <c r="G41" s="324"/>
      <c r="H41" s="489"/>
      <c r="I41" s="324"/>
      <c r="J41" s="489"/>
      <c r="K41" s="273"/>
      <c r="P41" s="1060"/>
    </row>
    <row r="42" spans="1:16" s="318" customFormat="1" ht="9.9499999999999993" customHeight="1" x14ac:dyDescent="0.2">
      <c r="A42" s="480" t="s">
        <v>400</v>
      </c>
      <c r="B42" s="324"/>
      <c r="C42" s="488"/>
      <c r="D42" s="799"/>
      <c r="E42" s="488"/>
      <c r="F42" s="799"/>
      <c r="G42" s="488"/>
      <c r="H42" s="799"/>
      <c r="I42" s="488"/>
      <c r="J42" s="799"/>
      <c r="K42" s="273">
        <f>SUM(C42:I42)</f>
        <v>0</v>
      </c>
      <c r="P42" s="1060"/>
    </row>
    <row r="43" spans="1:16" s="318" customFormat="1" ht="9.9499999999999993" customHeight="1" x14ac:dyDescent="0.2">
      <c r="A43" s="577" t="s">
        <v>401</v>
      </c>
      <c r="B43" s="324"/>
      <c r="C43" s="488">
        <v>-14651</v>
      </c>
      <c r="D43" s="489"/>
      <c r="E43" s="488">
        <v>-207</v>
      </c>
      <c r="F43" s="489"/>
      <c r="G43" s="488">
        <v>-4722</v>
      </c>
      <c r="H43" s="489"/>
      <c r="I43" s="488"/>
      <c r="J43" s="489"/>
      <c r="K43" s="273">
        <f>SUM(C43:I43)</f>
        <v>-19580</v>
      </c>
      <c r="P43" s="1060"/>
    </row>
    <row r="44" spans="1:16" s="318" customFormat="1" ht="9.9499999999999993" customHeight="1" x14ac:dyDescent="0.2">
      <c r="A44" s="577" t="s">
        <v>402</v>
      </c>
      <c r="B44" s="324"/>
      <c r="C44" s="488">
        <v>15499</v>
      </c>
      <c r="D44" s="489"/>
      <c r="E44" s="488">
        <v>561</v>
      </c>
      <c r="F44" s="489"/>
      <c r="G44" s="488">
        <v>5714</v>
      </c>
      <c r="H44" s="489"/>
      <c r="I44" s="488"/>
      <c r="J44" s="489"/>
      <c r="K44" s="273">
        <f>SUM(C44:I44)</f>
        <v>21774</v>
      </c>
      <c r="P44" s="1060"/>
    </row>
    <row r="45" spans="1:16" s="318" customFormat="1" ht="9.9499999999999993" customHeight="1" x14ac:dyDescent="0.2">
      <c r="A45" s="577" t="s">
        <v>774</v>
      </c>
      <c r="B45" s="324"/>
      <c r="C45" s="488">
        <v>1633</v>
      </c>
      <c r="D45" s="489"/>
      <c r="E45" s="488">
        <v>46</v>
      </c>
      <c r="F45" s="489"/>
      <c r="G45" s="488">
        <f>580+1</f>
        <v>581</v>
      </c>
      <c r="H45" s="489"/>
      <c r="I45" s="488"/>
      <c r="J45" s="489"/>
      <c r="K45" s="273">
        <f>SUM(C45:I45)</f>
        <v>2260</v>
      </c>
      <c r="P45" s="1060"/>
    </row>
    <row r="46" spans="1:16" s="318" customFormat="1" ht="3.95" customHeight="1" x14ac:dyDescent="0.2">
      <c r="A46" s="482"/>
      <c r="B46" s="324"/>
      <c r="C46" s="496"/>
      <c r="D46" s="324"/>
      <c r="E46" s="496"/>
      <c r="F46" s="489"/>
      <c r="G46" s="496"/>
      <c r="H46" s="489"/>
      <c r="I46" s="340"/>
      <c r="J46" s="489"/>
      <c r="K46" s="340"/>
      <c r="P46" s="1061"/>
    </row>
    <row r="47" spans="1:16" s="492" customFormat="1" ht="11.1" customHeight="1" x14ac:dyDescent="0.2">
      <c r="A47" s="353" t="s">
        <v>1670</v>
      </c>
      <c r="B47" s="273"/>
      <c r="C47" s="341">
        <f>SUM(C43:C45)</f>
        <v>2481</v>
      </c>
      <c r="D47" s="273"/>
      <c r="E47" s="341">
        <f>SUM(E43:E45)</f>
        <v>400</v>
      </c>
      <c r="F47" s="399"/>
      <c r="G47" s="341">
        <f>SUM(G43:G45)</f>
        <v>1573</v>
      </c>
      <c r="H47" s="399"/>
      <c r="I47" s="341">
        <f>SUM(I43:I45)</f>
        <v>0</v>
      </c>
      <c r="J47" s="399"/>
      <c r="K47" s="341">
        <f>SUM(K43:K45)</f>
        <v>4454</v>
      </c>
      <c r="P47" s="1062"/>
    </row>
    <row r="48" spans="1:16" s="318" customFormat="1" ht="3.95" customHeight="1" x14ac:dyDescent="0.2">
      <c r="A48" s="482"/>
      <c r="B48" s="324"/>
      <c r="C48" s="324"/>
      <c r="D48" s="324"/>
      <c r="E48" s="324"/>
      <c r="F48" s="489"/>
      <c r="G48" s="324"/>
      <c r="H48" s="489"/>
      <c r="I48" s="273"/>
      <c r="J48" s="489"/>
      <c r="K48" s="273"/>
      <c r="P48" s="1060"/>
    </row>
    <row r="49" spans="1:16" s="492" customFormat="1" ht="9.9499999999999993" customHeight="1" x14ac:dyDescent="0.2">
      <c r="A49" s="353" t="s">
        <v>1743</v>
      </c>
      <c r="B49" s="273">
        <f>B17+B26+B40+B47</f>
        <v>0</v>
      </c>
      <c r="C49" s="273">
        <f>C17+C26+C40+C47</f>
        <v>-603</v>
      </c>
      <c r="D49" s="273">
        <f>D17+D26+D40+D47</f>
        <v>0</v>
      </c>
      <c r="E49" s="273">
        <f>E17+E26+E40+E47</f>
        <v>-117</v>
      </c>
      <c r="F49" s="399"/>
      <c r="G49" s="273">
        <f>G17+G26+G40+G47</f>
        <v>-378</v>
      </c>
      <c r="H49" s="399"/>
      <c r="I49" s="273">
        <f>I17+I26+I40+I47</f>
        <v>0</v>
      </c>
      <c r="J49" s="399"/>
      <c r="K49" s="273">
        <f>K17+K26+K40+K47</f>
        <v>-1098</v>
      </c>
      <c r="P49" s="1062"/>
    </row>
    <row r="50" spans="1:16" s="318" customFormat="1" ht="3.95" customHeight="1" x14ac:dyDescent="0.2">
      <c r="A50" s="482"/>
      <c r="B50" s="324"/>
      <c r="C50" s="324"/>
      <c r="D50" s="324"/>
      <c r="E50" s="324"/>
      <c r="F50" s="489"/>
      <c r="G50" s="324"/>
      <c r="H50" s="489"/>
      <c r="I50" s="273"/>
      <c r="J50" s="489"/>
      <c r="K50" s="273"/>
      <c r="P50" s="1060"/>
    </row>
    <row r="51" spans="1:16" s="318" customFormat="1" ht="11.1" customHeight="1" x14ac:dyDescent="0.2">
      <c r="A51" s="480" t="s">
        <v>403</v>
      </c>
      <c r="B51" s="324"/>
      <c r="C51" s="494">
        <v>6819</v>
      </c>
      <c r="D51" s="324"/>
      <c r="E51" s="494">
        <v>209</v>
      </c>
      <c r="F51" s="489"/>
      <c r="G51" s="494">
        <v>2532</v>
      </c>
      <c r="H51" s="489"/>
      <c r="I51" s="494"/>
      <c r="J51" s="489"/>
      <c r="K51" s="273">
        <f>SUM(C51:I51)</f>
        <v>9560</v>
      </c>
      <c r="P51" s="1060"/>
    </row>
    <row r="52" spans="1:16" s="318" customFormat="1" ht="3.95" customHeight="1" x14ac:dyDescent="0.2">
      <c r="A52" s="482"/>
      <c r="B52" s="324"/>
      <c r="C52" s="496"/>
      <c r="D52" s="324"/>
      <c r="E52" s="496"/>
      <c r="F52" s="324"/>
      <c r="G52" s="496"/>
      <c r="H52" s="489"/>
      <c r="I52" s="340"/>
      <c r="J52" s="489"/>
      <c r="K52" s="340"/>
      <c r="P52" s="1060"/>
    </row>
    <row r="53" spans="1:16" s="637" customFormat="1" ht="11.1" customHeight="1" thickBot="1" x14ac:dyDescent="0.25">
      <c r="A53" s="353" t="s">
        <v>405</v>
      </c>
      <c r="B53" s="273"/>
      <c r="C53" s="344">
        <f>C49+C51</f>
        <v>6216</v>
      </c>
      <c r="D53" s="273"/>
      <c r="E53" s="344">
        <f>E49+E51</f>
        <v>92</v>
      </c>
      <c r="F53" s="273"/>
      <c r="G53" s="344">
        <f>G49+G51</f>
        <v>2154</v>
      </c>
      <c r="H53" s="800"/>
      <c r="I53" s="344">
        <f>I49+I51</f>
        <v>0</v>
      </c>
      <c r="J53" s="800"/>
      <c r="K53" s="344">
        <f>K49+K51</f>
        <v>8462</v>
      </c>
      <c r="P53" s="1062"/>
    </row>
    <row r="54" spans="1:16" s="318" customFormat="1" ht="3.95" customHeight="1" thickTop="1" x14ac:dyDescent="0.2">
      <c r="A54" s="317"/>
      <c r="B54" s="324"/>
      <c r="C54" s="324"/>
      <c r="D54" s="324"/>
      <c r="E54" s="324"/>
      <c r="F54" s="324"/>
      <c r="G54" s="324"/>
      <c r="H54" s="324"/>
      <c r="I54" s="273"/>
      <c r="J54" s="324"/>
      <c r="K54" s="273"/>
      <c r="P54" s="1060"/>
    </row>
    <row r="55" spans="1:16" s="318" customFormat="1" ht="9.9499999999999993" customHeight="1" x14ac:dyDescent="0.2">
      <c r="A55" s="482"/>
      <c r="B55" s="949">
        <v>4302</v>
      </c>
      <c r="C55" s="949"/>
      <c r="D55" s="949"/>
      <c r="E55" s="949"/>
      <c r="F55" s="949"/>
      <c r="G55" s="949"/>
      <c r="H55" s="949"/>
      <c r="I55" s="949"/>
      <c r="J55" s="949"/>
      <c r="K55" s="949"/>
      <c r="P55" s="1061"/>
    </row>
    <row r="56" spans="1:16" s="318" customFormat="1" ht="9.9499999999999993" customHeight="1" x14ac:dyDescent="0.2">
      <c r="A56" s="480" t="s">
        <v>1702</v>
      </c>
      <c r="B56" s="798"/>
      <c r="C56" s="273"/>
      <c r="D56" s="798"/>
      <c r="E56" s="273"/>
      <c r="F56" s="798"/>
      <c r="G56" s="273"/>
      <c r="H56" s="324"/>
      <c r="I56" s="324"/>
      <c r="J56" s="798"/>
      <c r="K56" s="273"/>
      <c r="P56" s="1061"/>
    </row>
    <row r="57" spans="1:16" s="318" customFormat="1" ht="9.9499999999999993" customHeight="1" x14ac:dyDescent="0.2">
      <c r="A57" s="701" t="s">
        <v>1779</v>
      </c>
      <c r="B57" s="799"/>
      <c r="C57" s="273"/>
      <c r="D57" s="799"/>
      <c r="E57" s="273"/>
      <c r="F57" s="799"/>
      <c r="G57" s="273"/>
      <c r="H57" s="324"/>
      <c r="I57" s="324"/>
      <c r="J57" s="799"/>
      <c r="K57" s="273"/>
      <c r="P57" s="1061"/>
    </row>
    <row r="58" spans="1:16" s="318" customFormat="1" ht="9.9499999999999993" customHeight="1" x14ac:dyDescent="0.2">
      <c r="A58" s="703" t="s">
        <v>1669</v>
      </c>
      <c r="B58" s="324"/>
      <c r="C58" s="483">
        <f>'Nonmajor Ent SOREC'!C27</f>
        <v>-3653</v>
      </c>
      <c r="D58" s="324"/>
      <c r="E58" s="483">
        <f>'Nonmajor Ent SOREC'!E27</f>
        <v>-584</v>
      </c>
      <c r="F58" s="324"/>
      <c r="G58" s="483">
        <f>'Nonmajor Ent SOREC'!G27</f>
        <v>-2089</v>
      </c>
      <c r="H58" s="324"/>
      <c r="I58" s="483"/>
      <c r="J58" s="489"/>
      <c r="K58" s="802">
        <f>SUM(C58:I58)</f>
        <v>-6326</v>
      </c>
      <c r="P58" s="1060"/>
    </row>
    <row r="59" spans="1:16" s="318" customFormat="1" ht="9.9499999999999993" customHeight="1" x14ac:dyDescent="0.2">
      <c r="A59" s="702" t="s">
        <v>1703</v>
      </c>
      <c r="B59" s="324"/>
      <c r="C59" s="488"/>
      <c r="D59" s="324"/>
      <c r="E59" s="488"/>
      <c r="F59" s="324"/>
      <c r="G59" s="488"/>
      <c r="H59" s="489"/>
      <c r="I59" s="273"/>
      <c r="J59" s="489"/>
      <c r="K59" s="273">
        <f>SUM(C59:I59)</f>
        <v>0</v>
      </c>
      <c r="P59" s="1060"/>
    </row>
    <row r="60" spans="1:16" s="318" customFormat="1" ht="9.9499999999999993" customHeight="1" x14ac:dyDescent="0.2">
      <c r="A60" s="1135" t="s">
        <v>1780</v>
      </c>
      <c r="B60" s="324"/>
      <c r="C60" s="1423"/>
      <c r="D60" s="1423"/>
      <c r="E60" s="1423"/>
      <c r="F60" s="1423"/>
      <c r="G60" s="1423"/>
      <c r="H60" s="1424"/>
      <c r="I60" s="1414"/>
      <c r="J60" s="1424"/>
      <c r="K60" s="1414"/>
      <c r="P60" s="1060"/>
    </row>
    <row r="61" spans="1:16" s="318" customFormat="1" ht="9.9499999999999993" customHeight="1" x14ac:dyDescent="0.2">
      <c r="A61" s="706" t="s">
        <v>378</v>
      </c>
      <c r="B61" s="324"/>
      <c r="C61" s="273">
        <v>3371</v>
      </c>
      <c r="D61" s="1423"/>
      <c r="E61" s="1414">
        <v>443</v>
      </c>
      <c r="F61" s="1424"/>
      <c r="G61" s="1414">
        <v>839</v>
      </c>
      <c r="H61" s="1423"/>
      <c r="I61" s="1414"/>
      <c r="J61" s="1424"/>
      <c r="K61" s="1414">
        <f t="shared" ref="K61:K87" si="2">SUM(C61:I61)</f>
        <v>4653</v>
      </c>
      <c r="P61" s="1060"/>
    </row>
    <row r="62" spans="1:16" s="318" customFormat="1" ht="9.9499999999999993" customHeight="1" x14ac:dyDescent="0.2">
      <c r="A62" s="429" t="s">
        <v>389</v>
      </c>
      <c r="B62" s="324"/>
      <c r="C62" s="324">
        <v>10</v>
      </c>
      <c r="D62" s="1423"/>
      <c r="E62" s="1423">
        <v>1</v>
      </c>
      <c r="F62" s="1424"/>
      <c r="G62" s="1423">
        <v>2</v>
      </c>
      <c r="H62" s="1423"/>
      <c r="I62" s="1414"/>
      <c r="J62" s="1424"/>
      <c r="K62" s="1414">
        <f t="shared" si="2"/>
        <v>13</v>
      </c>
      <c r="P62" s="1060"/>
    </row>
    <row r="63" spans="1:16" s="318" customFormat="1" ht="9.9499999999999993" customHeight="1" x14ac:dyDescent="0.2">
      <c r="A63" s="1136" t="s">
        <v>1336</v>
      </c>
      <c r="B63" s="324"/>
      <c r="C63" s="324"/>
      <c r="D63" s="1423"/>
      <c r="E63" s="1423"/>
      <c r="F63" s="1424"/>
      <c r="G63" s="1423"/>
      <c r="H63" s="1424"/>
      <c r="I63" s="1414"/>
      <c r="J63" s="1424"/>
      <c r="K63" s="273">
        <f t="shared" si="2"/>
        <v>0</v>
      </c>
      <c r="P63" s="1060"/>
    </row>
    <row r="64" spans="1:16" s="318" customFormat="1" ht="9.9499999999999993" customHeight="1" x14ac:dyDescent="0.2">
      <c r="A64" s="1136" t="s">
        <v>1331</v>
      </c>
      <c r="B64" s="324"/>
      <c r="C64" s="324"/>
      <c r="D64" s="1423"/>
      <c r="E64" s="1423"/>
      <c r="F64" s="1424"/>
      <c r="G64" s="1423"/>
      <c r="H64" s="1424"/>
      <c r="I64" s="1414"/>
      <c r="J64" s="1424"/>
      <c r="K64" s="273">
        <f t="shared" si="2"/>
        <v>0</v>
      </c>
      <c r="P64" s="1060"/>
    </row>
    <row r="65" spans="1:16" s="318" customFormat="1" ht="9.9499999999999993" customHeight="1" x14ac:dyDescent="0.2">
      <c r="A65" s="711" t="s">
        <v>479</v>
      </c>
      <c r="B65" s="324"/>
      <c r="C65" s="324">
        <v>121</v>
      </c>
      <c r="D65" s="1424"/>
      <c r="E65" s="1423">
        <v>2</v>
      </c>
      <c r="F65" s="1424"/>
      <c r="G65" s="1423">
        <v>-63</v>
      </c>
      <c r="H65" s="1424"/>
      <c r="I65" s="1423"/>
      <c r="J65" s="1424"/>
      <c r="K65" s="1414">
        <f t="shared" si="2"/>
        <v>60</v>
      </c>
      <c r="P65" s="1060"/>
    </row>
    <row r="66" spans="1:16" s="318" customFormat="1" ht="9.9499999999999993" customHeight="1" x14ac:dyDescent="0.2">
      <c r="A66" s="711" t="s">
        <v>1776</v>
      </c>
      <c r="B66" s="324"/>
      <c r="C66" s="324"/>
      <c r="D66" s="1424"/>
      <c r="E66" s="1423">
        <v>1247</v>
      </c>
      <c r="F66" s="1424"/>
      <c r="G66" s="1423">
        <v>3834</v>
      </c>
      <c r="H66" s="1424"/>
      <c r="I66" s="1423"/>
      <c r="J66" s="1424"/>
      <c r="K66" s="1414">
        <f t="shared" si="2"/>
        <v>5081</v>
      </c>
      <c r="P66" s="1060"/>
    </row>
    <row r="67" spans="1:16" s="318" customFormat="1" ht="9.9499999999999993" hidden="1" customHeight="1" x14ac:dyDescent="0.2">
      <c r="A67" s="711" t="s">
        <v>1446</v>
      </c>
      <c r="B67" s="324"/>
      <c r="C67" s="324"/>
      <c r="D67" s="1424"/>
      <c r="E67" s="1423"/>
      <c r="F67" s="1424"/>
      <c r="G67" s="1423"/>
      <c r="H67" s="1514"/>
      <c r="I67" s="1514"/>
      <c r="J67" s="1514"/>
      <c r="K67" s="1414">
        <f t="shared" si="2"/>
        <v>0</v>
      </c>
      <c r="P67" s="1060"/>
    </row>
    <row r="68" spans="1:16" s="318" customFormat="1" ht="9.9499999999999993" customHeight="1" x14ac:dyDescent="0.2">
      <c r="A68" s="711" t="s">
        <v>1674</v>
      </c>
      <c r="B68" s="324"/>
      <c r="C68" s="324"/>
      <c r="D68" s="1424"/>
      <c r="E68" s="1423"/>
      <c r="F68" s="1424"/>
      <c r="G68" s="1423">
        <v>-56</v>
      </c>
      <c r="H68" s="1424"/>
      <c r="I68" s="1423"/>
      <c r="J68" s="1424"/>
      <c r="K68" s="1414">
        <f t="shared" si="2"/>
        <v>-56</v>
      </c>
      <c r="P68" s="1060"/>
    </row>
    <row r="69" spans="1:16" s="318" customFormat="1" ht="9.9499999999999993" customHeight="1" x14ac:dyDescent="0.2">
      <c r="A69" s="711" t="s">
        <v>1736</v>
      </c>
      <c r="B69" s="324"/>
      <c r="C69" s="1067">
        <v>378</v>
      </c>
      <c r="D69" s="1424"/>
      <c r="E69" s="1514"/>
      <c r="F69" s="1515"/>
      <c r="G69" s="1514"/>
      <c r="H69" s="1424"/>
      <c r="I69" s="1423"/>
      <c r="J69" s="1424"/>
      <c r="K69" s="1414">
        <f t="shared" si="2"/>
        <v>378</v>
      </c>
      <c r="P69" s="1060"/>
    </row>
    <row r="70" spans="1:16" s="318" customFormat="1" ht="9.9499999999999993" hidden="1" customHeight="1" x14ac:dyDescent="0.2">
      <c r="A70" s="711" t="s">
        <v>87</v>
      </c>
      <c r="B70" s="324"/>
      <c r="C70" s="1067"/>
      <c r="D70" s="1424"/>
      <c r="E70" s="1514"/>
      <c r="F70" s="1515"/>
      <c r="G70" s="1514"/>
      <c r="H70" s="1424"/>
      <c r="I70" s="1423"/>
      <c r="J70" s="1424"/>
      <c r="K70" s="1414">
        <f t="shared" si="2"/>
        <v>0</v>
      </c>
      <c r="P70" s="1060"/>
    </row>
    <row r="71" spans="1:16" s="318" customFormat="1" ht="9.9499999999999993" customHeight="1" x14ac:dyDescent="0.2">
      <c r="A71" s="711" t="s">
        <v>710</v>
      </c>
      <c r="B71" s="324"/>
      <c r="C71" s="317">
        <v>111</v>
      </c>
      <c r="D71" s="1424"/>
      <c r="E71" s="1423">
        <v>11</v>
      </c>
      <c r="F71" s="1423"/>
      <c r="G71" s="1423">
        <v>-26</v>
      </c>
      <c r="H71" s="1424"/>
      <c r="I71" s="1423"/>
      <c r="J71" s="1424"/>
      <c r="K71" s="1414">
        <f t="shared" si="2"/>
        <v>96</v>
      </c>
      <c r="P71" s="1060"/>
    </row>
    <row r="72" spans="1:16" s="318" customFormat="1" ht="9.9499999999999993" hidden="1" customHeight="1" x14ac:dyDescent="0.2">
      <c r="A72" s="711" t="s">
        <v>1229</v>
      </c>
      <c r="B72" s="324"/>
      <c r="C72" s="324"/>
      <c r="D72" s="1424"/>
      <c r="E72" s="1423"/>
      <c r="F72" s="1424"/>
      <c r="G72" s="1423"/>
      <c r="H72" s="1424"/>
      <c r="I72" s="1423"/>
      <c r="J72" s="1424"/>
      <c r="K72" s="1414">
        <f t="shared" si="2"/>
        <v>0</v>
      </c>
      <c r="P72" s="1060"/>
    </row>
    <row r="73" spans="1:16" s="318" customFormat="1" ht="9.9499999999999993" customHeight="1" x14ac:dyDescent="0.2">
      <c r="A73" s="711" t="s">
        <v>1744</v>
      </c>
      <c r="B73" s="324"/>
      <c r="C73" s="324">
        <v>-275</v>
      </c>
      <c r="D73" s="1424"/>
      <c r="E73" s="1423">
        <v>-207</v>
      </c>
      <c r="F73" s="1424"/>
      <c r="G73" s="1423">
        <v>-206</v>
      </c>
      <c r="H73" s="1424"/>
      <c r="I73" s="1423"/>
      <c r="J73" s="1424"/>
      <c r="K73" s="1414">
        <f t="shared" si="2"/>
        <v>-688</v>
      </c>
      <c r="P73" s="1060"/>
    </row>
    <row r="74" spans="1:16" s="318" customFormat="1" ht="9.9499999999999993" customHeight="1" x14ac:dyDescent="0.2">
      <c r="A74" s="711" t="s">
        <v>1745</v>
      </c>
      <c r="B74" s="324"/>
      <c r="C74" s="324">
        <v>137</v>
      </c>
      <c r="D74" s="1424"/>
      <c r="E74" s="1423">
        <v>-2</v>
      </c>
      <c r="F74" s="1424"/>
      <c r="G74" s="1423">
        <v>29</v>
      </c>
      <c r="H74" s="1424"/>
      <c r="I74" s="1423"/>
      <c r="J74" s="1424"/>
      <c r="K74" s="1414">
        <f t="shared" si="2"/>
        <v>164</v>
      </c>
      <c r="P74" s="1060"/>
    </row>
    <row r="75" spans="1:16" s="318" customFormat="1" ht="9.9499999999999993" customHeight="1" x14ac:dyDescent="0.2">
      <c r="A75" s="711" t="s">
        <v>1738</v>
      </c>
      <c r="B75" s="324"/>
      <c r="C75" s="324">
        <v>150</v>
      </c>
      <c r="D75" s="1424"/>
      <c r="E75" s="1423">
        <v>-11</v>
      </c>
      <c r="F75" s="1424"/>
      <c r="G75" s="1423">
        <v>19</v>
      </c>
      <c r="H75" s="1424"/>
      <c r="I75" s="1423"/>
      <c r="J75" s="1424"/>
      <c r="K75" s="1414">
        <f t="shared" si="2"/>
        <v>158</v>
      </c>
      <c r="P75" s="1060"/>
    </row>
    <row r="76" spans="1:16" s="318" customFormat="1" ht="9.9499999999999993" hidden="1" customHeight="1" x14ac:dyDescent="0.2">
      <c r="A76" s="711" t="s">
        <v>726</v>
      </c>
      <c r="B76" s="324"/>
      <c r="C76" s="492"/>
      <c r="D76" s="1424"/>
      <c r="E76" s="1080"/>
      <c r="F76" s="1514"/>
      <c r="G76" s="1080"/>
      <c r="H76" s="1424"/>
      <c r="I76" s="1423"/>
      <c r="J76" s="1424"/>
      <c r="K76" s="1414">
        <f t="shared" si="2"/>
        <v>0</v>
      </c>
      <c r="P76" s="1060"/>
    </row>
    <row r="77" spans="1:16" s="318" customFormat="1" ht="9.9499999999999993" customHeight="1" x14ac:dyDescent="0.2">
      <c r="A77" s="711" t="s">
        <v>1746</v>
      </c>
      <c r="B77" s="324"/>
      <c r="C77" s="324">
        <v>-3890</v>
      </c>
      <c r="D77" s="1424"/>
      <c r="E77" s="1080">
        <v>-108</v>
      </c>
      <c r="F77" s="1514"/>
      <c r="G77" s="1080">
        <v>-844</v>
      </c>
      <c r="H77" s="1424"/>
      <c r="I77" s="1423"/>
      <c r="J77" s="1424"/>
      <c r="K77" s="1414">
        <f t="shared" si="2"/>
        <v>-4842</v>
      </c>
      <c r="P77" s="1060"/>
    </row>
    <row r="78" spans="1:16" s="318" customFormat="1" ht="9.9499999999999993" hidden="1" customHeight="1" x14ac:dyDescent="0.2">
      <c r="A78" s="711" t="s">
        <v>1219</v>
      </c>
      <c r="B78" s="324"/>
      <c r="C78" s="492"/>
      <c r="D78" s="1424"/>
      <c r="E78" s="1080"/>
      <c r="F78" s="1514"/>
      <c r="G78" s="1080"/>
      <c r="H78" s="1424"/>
      <c r="I78" s="1423"/>
      <c r="J78" s="1424"/>
      <c r="K78" s="1414">
        <f t="shared" si="2"/>
        <v>0</v>
      </c>
      <c r="P78" s="1060"/>
    </row>
    <row r="79" spans="1:16" s="318" customFormat="1" ht="9.9499999999999993" customHeight="1" x14ac:dyDescent="0.2">
      <c r="A79" s="711" t="s">
        <v>1781</v>
      </c>
      <c r="B79" s="324"/>
      <c r="C79" s="324"/>
      <c r="D79" s="1424"/>
      <c r="E79" s="1080"/>
      <c r="F79" s="1514"/>
      <c r="G79" s="1080"/>
      <c r="H79" s="1514"/>
      <c r="I79" s="1514"/>
      <c r="J79" s="1514"/>
      <c r="K79" s="1414"/>
      <c r="P79" s="1060"/>
    </row>
    <row r="80" spans="1:16" s="318" customFormat="1" ht="9.9499999999999993" customHeight="1" x14ac:dyDescent="0.2">
      <c r="A80" s="1381" t="s">
        <v>1490</v>
      </c>
      <c r="B80" s="324"/>
      <c r="C80" s="324">
        <v>3631</v>
      </c>
      <c r="D80" s="1515"/>
      <c r="E80" s="1080">
        <v>52</v>
      </c>
      <c r="F80" s="1514"/>
      <c r="G80" s="1080">
        <v>769</v>
      </c>
      <c r="H80" s="1424"/>
      <c r="I80" s="1423"/>
      <c r="J80" s="1424"/>
      <c r="K80" s="1414">
        <f t="shared" si="2"/>
        <v>4452</v>
      </c>
      <c r="P80" s="1060"/>
    </row>
    <row r="81" spans="1:16" s="318" customFormat="1" ht="9.9499999999999993" customHeight="1" x14ac:dyDescent="0.2">
      <c r="A81" s="711" t="s">
        <v>1550</v>
      </c>
      <c r="B81" s="324"/>
      <c r="C81" s="324">
        <v>-434</v>
      </c>
      <c r="D81" s="1515"/>
      <c r="E81" s="1080">
        <v>-1315</v>
      </c>
      <c r="F81" s="1514"/>
      <c r="G81" s="1080">
        <v>-3726</v>
      </c>
      <c r="H81" s="1424"/>
      <c r="I81" s="1423"/>
      <c r="J81" s="1424"/>
      <c r="K81" s="1414">
        <f t="shared" si="2"/>
        <v>-5475</v>
      </c>
      <c r="P81" s="1060"/>
    </row>
    <row r="82" spans="1:16" s="318" customFormat="1" ht="9.9499999999999993" hidden="1" customHeight="1" x14ac:dyDescent="0.2">
      <c r="A82" s="711" t="s">
        <v>1592</v>
      </c>
      <c r="B82" s="324"/>
      <c r="C82" s="1542"/>
      <c r="D82" s="1423"/>
      <c r="E82" s="486"/>
      <c r="F82" s="486"/>
      <c r="G82" s="486"/>
      <c r="H82" s="1514"/>
      <c r="I82" s="1514"/>
      <c r="J82" s="1514"/>
      <c r="K82" s="1414">
        <f t="shared" si="2"/>
        <v>0</v>
      </c>
      <c r="P82" s="1060"/>
    </row>
    <row r="83" spans="1:16" s="318" customFormat="1" ht="9.9499999999999993" hidden="1" customHeight="1" x14ac:dyDescent="0.2">
      <c r="A83" s="1381" t="s">
        <v>1491</v>
      </c>
      <c r="B83" s="324"/>
      <c r="C83" s="1521"/>
      <c r="D83" s="1424"/>
      <c r="E83" s="487"/>
      <c r="F83" s="576"/>
      <c r="G83" s="487"/>
      <c r="H83" s="1424"/>
      <c r="I83" s="1423"/>
      <c r="J83" s="1424"/>
      <c r="K83" s="1414">
        <f t="shared" si="2"/>
        <v>0</v>
      </c>
      <c r="P83" s="1060"/>
    </row>
    <row r="84" spans="1:16" s="318" customFormat="1" ht="9.9499999999999993" hidden="1" customHeight="1" x14ac:dyDescent="0.2">
      <c r="A84" s="711" t="s">
        <v>1550</v>
      </c>
      <c r="B84" s="324"/>
      <c r="C84" s="324"/>
      <c r="D84" s="1424"/>
      <c r="E84" s="1423"/>
      <c r="F84" s="1423"/>
      <c r="G84" s="1423"/>
      <c r="H84" s="1424"/>
      <c r="I84" s="1423"/>
      <c r="J84" s="1424"/>
      <c r="K84" s="1414">
        <f t="shared" si="2"/>
        <v>0</v>
      </c>
      <c r="P84" s="1060"/>
    </row>
    <row r="85" spans="1:16" s="318" customFormat="1" ht="9.9499999999999993" hidden="1" customHeight="1" x14ac:dyDescent="0.2">
      <c r="A85" s="1381" t="s">
        <v>1492</v>
      </c>
      <c r="B85" s="324"/>
      <c r="C85" s="1423"/>
      <c r="D85" s="1424"/>
      <c r="E85" s="1423"/>
      <c r="F85" s="1423"/>
      <c r="G85" s="1423"/>
      <c r="H85" s="1424"/>
      <c r="I85" s="1423"/>
      <c r="J85" s="1424"/>
      <c r="K85" s="1414">
        <f t="shared" si="2"/>
        <v>0</v>
      </c>
      <c r="P85" s="1060"/>
    </row>
    <row r="86" spans="1:16" s="318" customFormat="1" ht="9.9499999999999993" customHeight="1" x14ac:dyDescent="0.2">
      <c r="A86" s="711" t="s">
        <v>1741</v>
      </c>
      <c r="B86" s="324"/>
      <c r="C86" s="1423"/>
      <c r="D86" s="1424"/>
      <c r="E86" s="1423">
        <v>3</v>
      </c>
      <c r="F86" s="1423"/>
      <c r="G86" s="1423">
        <v>-12</v>
      </c>
      <c r="H86" s="1424"/>
      <c r="I86" s="1423"/>
      <c r="J86" s="1424"/>
      <c r="K86" s="1414">
        <f t="shared" si="2"/>
        <v>-9</v>
      </c>
      <c r="P86" s="1060"/>
    </row>
    <row r="87" spans="1:16" s="318" customFormat="1" ht="9.9499999999999993" hidden="1" customHeight="1" x14ac:dyDescent="0.2">
      <c r="A87" s="711" t="s">
        <v>1593</v>
      </c>
      <c r="B87" s="324"/>
      <c r="C87" s="494"/>
      <c r="D87" s="489"/>
      <c r="E87" s="494"/>
      <c r="F87" s="489"/>
      <c r="G87" s="494"/>
      <c r="H87" s="489"/>
      <c r="I87" s="494"/>
      <c r="J87" s="489"/>
      <c r="K87" s="273">
        <f t="shared" si="2"/>
        <v>0</v>
      </c>
      <c r="P87" s="1060"/>
    </row>
    <row r="88" spans="1:16" s="318" customFormat="1" ht="3.95" customHeight="1" x14ac:dyDescent="0.2">
      <c r="A88" s="703"/>
      <c r="B88" s="323"/>
      <c r="C88" s="366"/>
      <c r="D88" s="323"/>
      <c r="E88" s="366"/>
      <c r="F88" s="323"/>
      <c r="G88" s="366"/>
      <c r="H88" s="317"/>
      <c r="I88" s="366"/>
      <c r="J88" s="317"/>
      <c r="K88" s="366"/>
      <c r="P88" s="1060"/>
    </row>
    <row r="89" spans="1:16" s="638" customFormat="1" ht="11.1" customHeight="1" thickBot="1" x14ac:dyDescent="0.25">
      <c r="A89" s="707" t="s">
        <v>1782</v>
      </c>
      <c r="B89" s="254"/>
      <c r="C89" s="344">
        <f>SUM(C58:C87)</f>
        <v>-343</v>
      </c>
      <c r="D89" s="254"/>
      <c r="E89" s="344">
        <f>SUM(E58:E87)</f>
        <v>-468</v>
      </c>
      <c r="F89" s="254"/>
      <c r="G89" s="344">
        <f>SUM(G58:G87)</f>
        <v>-1530</v>
      </c>
      <c r="H89" s="801"/>
      <c r="I89" s="344">
        <f>SUM(I58:I87)</f>
        <v>0</v>
      </c>
      <c r="J89" s="801"/>
      <c r="K89" s="344">
        <f>SUM(K58:K87)</f>
        <v>-2341</v>
      </c>
      <c r="P89" s="1060"/>
    </row>
    <row r="90" spans="1:16" s="638" customFormat="1" ht="3.95" customHeight="1" thickTop="1" x14ac:dyDescent="0.2">
      <c r="A90" s="353"/>
      <c r="B90" s="254"/>
      <c r="C90" s="254"/>
      <c r="D90" s="254"/>
      <c r="E90" s="254"/>
      <c r="F90" s="254"/>
      <c r="G90" s="254"/>
      <c r="H90" s="801"/>
      <c r="I90" s="254"/>
      <c r="J90" s="801"/>
      <c r="K90" s="254"/>
      <c r="P90" s="1060"/>
    </row>
    <row r="91" spans="1:16" s="318" customFormat="1" ht="9.9499999999999993" customHeight="1" x14ac:dyDescent="0.2">
      <c r="A91" s="480" t="s">
        <v>1712</v>
      </c>
      <c r="B91" s="317"/>
      <c r="C91" s="803"/>
      <c r="D91" s="803"/>
      <c r="E91" s="803"/>
      <c r="F91" s="803"/>
      <c r="G91" s="803"/>
      <c r="H91" s="916"/>
      <c r="I91" s="802"/>
      <c r="J91" s="916"/>
      <c r="K91" s="791"/>
      <c r="P91" s="1060"/>
    </row>
    <row r="92" spans="1:16" s="318" customFormat="1" ht="9.9499999999999993" customHeight="1" x14ac:dyDescent="0.2">
      <c r="A92" s="577" t="s">
        <v>1711</v>
      </c>
      <c r="B92" s="317"/>
      <c r="C92" s="461">
        <v>0</v>
      </c>
      <c r="D92" s="461"/>
      <c r="E92" s="461">
        <v>0</v>
      </c>
      <c r="F92" s="461"/>
      <c r="G92" s="461">
        <v>13</v>
      </c>
      <c r="H92" s="461"/>
      <c r="I92" s="461"/>
      <c r="J92" s="461"/>
      <c r="K92" s="461">
        <f>+G92+E92+C92</f>
        <v>13</v>
      </c>
      <c r="P92" s="1060"/>
    </row>
    <row r="93" spans="1:16" s="638" customFormat="1" ht="9.9499999999999993" hidden="1" customHeight="1" x14ac:dyDescent="0.2">
      <c r="A93" s="577" t="s">
        <v>1713</v>
      </c>
      <c r="B93" s="324"/>
      <c r="C93" s="803"/>
      <c r="D93" s="803"/>
      <c r="E93" s="803"/>
      <c r="F93" s="803"/>
      <c r="G93" s="803"/>
      <c r="H93" s="916"/>
      <c r="I93" s="802"/>
      <c r="J93" s="916"/>
      <c r="K93" s="791">
        <f>+G93+E93+C93</f>
        <v>0</v>
      </c>
      <c r="P93" s="1061"/>
    </row>
    <row r="94" spans="1:16" s="638" customFormat="1" ht="9.9499999999999993" hidden="1" customHeight="1" x14ac:dyDescent="0.2">
      <c r="A94" s="577" t="s">
        <v>406</v>
      </c>
      <c r="B94" s="324"/>
      <c r="C94" s="487"/>
      <c r="D94" s="576"/>
      <c r="E94" s="487"/>
      <c r="F94" s="576"/>
      <c r="G94" s="487"/>
      <c r="H94" s="1119"/>
      <c r="I94" s="487"/>
      <c r="J94" s="1119"/>
      <c r="K94" s="487">
        <f>+C94+E94+G94+I94</f>
        <v>0</v>
      </c>
      <c r="P94" s="1061"/>
    </row>
    <row r="95" spans="1:16" s="638" customFormat="1" ht="9.9499999999999993" hidden="1" customHeight="1" x14ac:dyDescent="0.2">
      <c r="A95" s="639"/>
      <c r="B95" s="324"/>
      <c r="C95" s="324"/>
      <c r="D95" s="324"/>
      <c r="E95" s="324"/>
      <c r="F95" s="324"/>
      <c r="G95" s="324"/>
      <c r="H95" s="489"/>
      <c r="I95" s="273"/>
      <c r="J95" s="489"/>
      <c r="K95" s="273"/>
      <c r="P95" s="1061"/>
    </row>
    <row r="96" spans="1:16" s="638" customFormat="1" ht="9.9499999999999993" hidden="1" customHeight="1" x14ac:dyDescent="0.2">
      <c r="A96" s="639"/>
      <c r="B96" s="324"/>
      <c r="C96" s="324"/>
      <c r="D96" s="324"/>
      <c r="E96" s="324"/>
      <c r="F96" s="324"/>
      <c r="G96" s="324"/>
      <c r="H96" s="489"/>
      <c r="I96" s="273"/>
      <c r="J96" s="489"/>
      <c r="K96" s="273"/>
      <c r="P96" s="1061"/>
    </row>
    <row r="97" spans="1:16" s="638" customFormat="1" ht="9.9499999999999993" hidden="1" customHeight="1" x14ac:dyDescent="0.2">
      <c r="A97" s="639"/>
      <c r="B97" s="324"/>
      <c r="C97" s="324"/>
      <c r="D97" s="324"/>
      <c r="E97" s="324"/>
      <c r="F97" s="324"/>
      <c r="G97" s="324"/>
      <c r="H97" s="489"/>
      <c r="I97" s="273"/>
      <c r="J97" s="489"/>
      <c r="K97" s="273"/>
      <c r="P97" s="1061"/>
    </row>
    <row r="98" spans="1:16" s="638" customFormat="1" ht="9.9499999999999993" hidden="1" customHeight="1" x14ac:dyDescent="0.2">
      <c r="A98" s="639"/>
      <c r="B98" s="324"/>
      <c r="C98" s="324"/>
      <c r="D98" s="324"/>
      <c r="E98" s="324"/>
      <c r="F98" s="324"/>
      <c r="G98" s="324"/>
      <c r="H98" s="489"/>
      <c r="I98" s="273"/>
      <c r="J98" s="489"/>
      <c r="K98" s="273"/>
      <c r="P98" s="1061"/>
    </row>
    <row r="99" spans="1:16" s="638" customFormat="1" ht="5.0999999999999996" customHeight="1" x14ac:dyDescent="0.2">
      <c r="A99" s="639"/>
      <c r="B99" s="324"/>
      <c r="C99" s="324"/>
      <c r="D99" s="324"/>
      <c r="E99" s="324"/>
      <c r="F99" s="324"/>
      <c r="G99" s="324"/>
      <c r="H99" s="324"/>
      <c r="I99" s="273"/>
      <c r="J99" s="324"/>
      <c r="K99" s="273"/>
      <c r="P99" s="1060"/>
    </row>
    <row r="100" spans="1:16" s="638" customFormat="1" ht="9.9499999999999993" customHeight="1" x14ac:dyDescent="0.2">
      <c r="A100" s="639"/>
      <c r="B100" s="324"/>
      <c r="C100" s="324"/>
      <c r="D100" s="324"/>
      <c r="E100" s="324"/>
      <c r="F100" s="324"/>
      <c r="G100" s="324"/>
      <c r="H100" s="324"/>
      <c r="I100" s="273"/>
      <c r="J100" s="324"/>
      <c r="K100" s="273"/>
      <c r="P100" s="1060"/>
    </row>
    <row r="101" spans="1:16" s="318" customFormat="1" ht="9.9499999999999993" customHeight="1" x14ac:dyDescent="0.2">
      <c r="A101" s="317"/>
      <c r="B101" s="640"/>
      <c r="C101" s="681">
        <f>C17</f>
        <v>-343</v>
      </c>
      <c r="D101" s="681"/>
      <c r="E101" s="681">
        <f>E17</f>
        <v>-468</v>
      </c>
      <c r="F101" s="681"/>
      <c r="G101" s="681">
        <f>G17</f>
        <v>-1530</v>
      </c>
      <c r="H101" s="681"/>
      <c r="I101" s="681">
        <f>I17</f>
        <v>0</v>
      </c>
      <c r="J101" s="681"/>
      <c r="K101" s="681">
        <f>K17</f>
        <v>-2341</v>
      </c>
      <c r="P101" s="1060"/>
    </row>
    <row r="102" spans="1:16" s="318" customFormat="1" ht="9.9499999999999993" customHeight="1" x14ac:dyDescent="0.2">
      <c r="A102" s="317"/>
      <c r="B102" s="641"/>
      <c r="C102" s="681">
        <f>C89-C101</f>
        <v>0</v>
      </c>
      <c r="D102" s="681"/>
      <c r="E102" s="681">
        <f>E89-E101</f>
        <v>0</v>
      </c>
      <c r="F102" s="681"/>
      <c r="G102" s="681">
        <f>G89-G101</f>
        <v>0</v>
      </c>
      <c r="H102" s="681"/>
      <c r="I102" s="681">
        <f>I89-I101</f>
        <v>0</v>
      </c>
      <c r="J102" s="681"/>
      <c r="K102" s="681">
        <f>K89-K101</f>
        <v>0</v>
      </c>
      <c r="P102" s="1060"/>
    </row>
    <row r="103" spans="1:16" s="318" customFormat="1" ht="9.9499999999999993" customHeight="1" x14ac:dyDescent="0.2">
      <c r="A103" s="317"/>
      <c r="B103" s="317"/>
      <c r="C103" s="681"/>
      <c r="D103" s="681"/>
      <c r="E103" s="681"/>
      <c r="F103" s="681"/>
      <c r="G103" s="681"/>
      <c r="H103" s="681"/>
      <c r="I103" s="681"/>
      <c r="J103" s="681"/>
      <c r="K103" s="681"/>
      <c r="P103" s="1060"/>
    </row>
    <row r="104" spans="1:16" s="583" customFormat="1" ht="9.9499999999999993" customHeight="1" x14ac:dyDescent="0.2">
      <c r="A104" s="582"/>
      <c r="B104" s="642"/>
      <c r="C104" s="681">
        <f>'Nonmajor Ent BS'!C14+'Nonmajor Ent BS'!C28+'Nonmajor Ent BS'!C35+'Nonmajor Ent BS'!C42</f>
        <v>6216</v>
      </c>
      <c r="D104" s="681"/>
      <c r="E104" s="681">
        <f>'Nonmajor Ent BS'!E14+'Nonmajor Ent BS'!E28+'Nonmajor Ent BS'!E35+'Nonmajor Ent BS'!E42</f>
        <v>92</v>
      </c>
      <c r="F104" s="681"/>
      <c r="G104" s="681">
        <f>+'Nonmajor Ent BS'!G14+'Nonmajor Ent BS'!G28+'Nonmajor Ent BS'!G35+'Nonmajor Ent BS'!G42</f>
        <v>2154</v>
      </c>
      <c r="H104" s="681"/>
      <c r="I104" s="681">
        <f>+'Nonmajor Ent BS'!I14+'Nonmajor Ent BS'!I28+'Nonmajor Ent BS'!I35+'Nonmajor Ent BS'!I42</f>
        <v>0</v>
      </c>
      <c r="J104" s="681"/>
      <c r="K104" s="681">
        <f>'Nonmajor Ent BS'!K14+'Nonmajor Ent BS'!K28+'Nonmajor Ent BS'!K35+'Nonmajor Ent BS'!K42</f>
        <v>8462</v>
      </c>
      <c r="P104" s="1063"/>
    </row>
    <row r="105" spans="1:16" s="581" customFormat="1" ht="9.9499999999999993" customHeight="1" x14ac:dyDescent="0.2">
      <c r="A105" s="580"/>
      <c r="B105" s="643"/>
      <c r="C105" s="681">
        <f>C53-C104</f>
        <v>0</v>
      </c>
      <c r="D105" s="681"/>
      <c r="E105" s="681">
        <f>E53-E104</f>
        <v>0</v>
      </c>
      <c r="F105" s="681"/>
      <c r="G105" s="681">
        <f>G53-G104</f>
        <v>0</v>
      </c>
      <c r="H105" s="681"/>
      <c r="I105" s="681">
        <f>I53-I104</f>
        <v>0</v>
      </c>
      <c r="J105" s="681"/>
      <c r="K105" s="681">
        <f>K53-K104</f>
        <v>0</v>
      </c>
      <c r="P105" s="1064"/>
    </row>
    <row r="106" spans="1:16" s="318" customFormat="1" ht="9.9499999999999993" customHeight="1" x14ac:dyDescent="0.2">
      <c r="A106" s="317"/>
      <c r="B106" s="324"/>
      <c r="C106" s="681"/>
      <c r="D106" s="681"/>
      <c r="E106" s="681"/>
      <c r="F106" s="681"/>
      <c r="G106" s="681"/>
      <c r="H106" s="681"/>
      <c r="I106" s="681"/>
      <c r="J106" s="681"/>
      <c r="K106" s="681"/>
      <c r="P106" s="1060"/>
    </row>
    <row r="107" spans="1:16" s="318" customFormat="1" ht="9.9499999999999993" customHeight="1" x14ac:dyDescent="0.2">
      <c r="A107" s="317"/>
      <c r="B107" s="317"/>
      <c r="C107" s="253"/>
      <c r="D107" s="317"/>
      <c r="E107" s="253"/>
      <c r="F107" s="317"/>
      <c r="G107" s="253"/>
      <c r="H107" s="317"/>
      <c r="I107" s="317"/>
      <c r="J107" s="317"/>
      <c r="K107" s="253"/>
      <c r="P107" s="1060"/>
    </row>
    <row r="108" spans="1:16" s="318" customFormat="1" ht="9.9499999999999993" customHeight="1" x14ac:dyDescent="0.2">
      <c r="A108" s="317"/>
      <c r="B108" s="317"/>
      <c r="C108" s="253"/>
      <c r="D108" s="317"/>
      <c r="E108" s="253"/>
      <c r="F108" s="317"/>
      <c r="G108" s="253"/>
      <c r="H108" s="317"/>
      <c r="I108" s="317"/>
      <c r="J108" s="317"/>
      <c r="K108" s="253"/>
      <c r="P108" s="1060"/>
    </row>
    <row r="109" spans="1:16" s="318" customFormat="1" ht="9.9499999999999993" customHeight="1" x14ac:dyDescent="0.2">
      <c r="A109" s="317"/>
      <c r="B109" s="317"/>
      <c r="C109" s="253"/>
      <c r="D109" s="317"/>
      <c r="E109" s="253"/>
      <c r="F109" s="317"/>
      <c r="G109" s="253"/>
      <c r="H109" s="317"/>
      <c r="I109" s="317"/>
      <c r="J109" s="317"/>
      <c r="K109" s="253"/>
      <c r="P109" s="1060"/>
    </row>
    <row r="110" spans="1:16" s="318" customFormat="1" ht="9.9499999999999993" customHeight="1" x14ac:dyDescent="0.2">
      <c r="A110" s="317"/>
      <c r="B110" s="317"/>
      <c r="C110" s="253"/>
      <c r="D110" s="317"/>
      <c r="E110" s="253"/>
      <c r="F110" s="317"/>
      <c r="G110" s="253"/>
      <c r="H110" s="317"/>
      <c r="I110" s="317"/>
      <c r="J110" s="317"/>
      <c r="K110" s="253"/>
      <c r="P110" s="1060"/>
    </row>
    <row r="111" spans="1:16" s="318" customFormat="1" ht="9.9499999999999993" customHeight="1" x14ac:dyDescent="0.2">
      <c r="A111" s="317"/>
      <c r="B111" s="317">
        <v>21</v>
      </c>
      <c r="C111" s="253"/>
      <c r="D111" s="317"/>
      <c r="E111" s="253"/>
      <c r="F111" s="317"/>
      <c r="G111" s="253"/>
      <c r="H111" s="317"/>
      <c r="I111" s="317"/>
      <c r="J111" s="317"/>
      <c r="K111" s="253"/>
      <c r="P111" s="1060"/>
    </row>
    <row r="112" spans="1:16" ht="9.9499999999999993" customHeight="1" x14ac:dyDescent="0.2">
      <c r="A112" s="569"/>
      <c r="B112" s="569"/>
      <c r="C112" s="247"/>
      <c r="D112" s="569"/>
      <c r="E112" s="247"/>
      <c r="F112" s="569"/>
      <c r="G112" s="247"/>
      <c r="H112" s="569"/>
      <c r="I112" s="569"/>
      <c r="J112" s="569"/>
      <c r="K112" s="247"/>
    </row>
    <row r="113" spans="1:11" ht="9.9499999999999993" customHeight="1" x14ac:dyDescent="0.2">
      <c r="A113" s="569"/>
      <c r="B113" s="569"/>
      <c r="C113" s="247"/>
      <c r="D113" s="569"/>
      <c r="E113" s="247"/>
      <c r="F113" s="569"/>
      <c r="G113" s="247"/>
      <c r="H113" s="569"/>
      <c r="I113" s="569"/>
      <c r="J113" s="569"/>
      <c r="K113" s="247"/>
    </row>
    <row r="114" spans="1:11" ht="9.9499999999999993" customHeight="1" x14ac:dyDescent="0.2">
      <c r="A114" s="569"/>
      <c r="B114" s="569"/>
      <c r="C114" s="247"/>
      <c r="D114" s="569"/>
      <c r="E114" s="247"/>
      <c r="F114" s="569"/>
      <c r="G114" s="247"/>
      <c r="H114" s="569"/>
      <c r="I114" s="569"/>
      <c r="J114" s="569"/>
      <c r="K114" s="247"/>
    </row>
    <row r="115" spans="1:11" ht="9.9499999999999993" customHeight="1" x14ac:dyDescent="0.2">
      <c r="A115" s="569"/>
      <c r="B115" s="569"/>
      <c r="C115" s="247"/>
      <c r="D115" s="569"/>
      <c r="E115" s="247"/>
      <c r="F115" s="569"/>
      <c r="G115" s="247"/>
      <c r="H115" s="569"/>
      <c r="I115" s="569"/>
      <c r="J115" s="569"/>
      <c r="K115" s="247"/>
    </row>
    <row r="116" spans="1:11" ht="9.9499999999999993" customHeight="1" x14ac:dyDescent="0.2">
      <c r="A116" s="569"/>
      <c r="B116" s="569"/>
      <c r="C116" s="247"/>
      <c r="D116" s="569"/>
      <c r="E116" s="247"/>
      <c r="F116" s="569"/>
      <c r="G116" s="247"/>
      <c r="H116" s="569"/>
      <c r="I116" s="569"/>
      <c r="J116" s="569"/>
      <c r="K116" s="247"/>
    </row>
    <row r="117" spans="1:11" ht="9.9499999999999993" customHeight="1" x14ac:dyDescent="0.2">
      <c r="A117" s="569"/>
      <c r="B117" s="569"/>
      <c r="C117" s="247"/>
      <c r="D117" s="569"/>
      <c r="E117" s="247"/>
      <c r="F117" s="569"/>
      <c r="G117" s="247"/>
      <c r="H117" s="569"/>
      <c r="I117" s="569"/>
      <c r="J117" s="569"/>
      <c r="K117" s="247"/>
    </row>
    <row r="118" spans="1:11" ht="9.9499999999999993" customHeight="1" x14ac:dyDescent="0.2">
      <c r="A118" s="569"/>
      <c r="B118" s="569"/>
      <c r="C118" s="247"/>
      <c r="D118" s="569"/>
      <c r="E118" s="247"/>
      <c r="F118" s="569"/>
      <c r="G118" s="247"/>
      <c r="H118" s="569"/>
      <c r="I118" s="569"/>
      <c r="J118" s="569"/>
      <c r="K118" s="247"/>
    </row>
    <row r="119" spans="1:11" ht="9.9499999999999993" customHeight="1" x14ac:dyDescent="0.2">
      <c r="A119" s="569"/>
      <c r="B119" s="569"/>
      <c r="C119" s="247"/>
      <c r="D119" s="569"/>
      <c r="E119" s="247"/>
      <c r="F119" s="569"/>
      <c r="G119" s="247"/>
      <c r="H119" s="569"/>
      <c r="I119" s="569"/>
      <c r="J119" s="569"/>
      <c r="K119" s="247"/>
    </row>
    <row r="120" spans="1:11" ht="9.9499999999999993" customHeight="1" x14ac:dyDescent="0.2">
      <c r="A120" s="569"/>
      <c r="B120" s="569"/>
      <c r="C120" s="247"/>
      <c r="D120" s="569"/>
      <c r="E120" s="247"/>
      <c r="F120" s="569"/>
      <c r="G120" s="247"/>
      <c r="H120" s="569"/>
      <c r="I120" s="569"/>
      <c r="J120" s="569"/>
      <c r="K120" s="247"/>
    </row>
    <row r="121" spans="1:11" ht="9.9499999999999993" customHeight="1" x14ac:dyDescent="0.2">
      <c r="A121" s="569"/>
      <c r="B121" s="569"/>
      <c r="C121" s="247"/>
      <c r="D121" s="569"/>
      <c r="E121" s="247"/>
      <c r="F121" s="569"/>
      <c r="G121" s="247"/>
      <c r="H121" s="569"/>
      <c r="I121" s="569"/>
      <c r="J121" s="569"/>
      <c r="K121" s="247"/>
    </row>
    <row r="122" spans="1:11" ht="9.9499999999999993" customHeight="1" x14ac:dyDescent="0.2">
      <c r="A122" s="569"/>
      <c r="B122" s="569"/>
      <c r="C122" s="247"/>
      <c r="D122" s="569"/>
      <c r="E122" s="247"/>
      <c r="F122" s="569"/>
      <c r="G122" s="247"/>
      <c r="H122" s="569"/>
      <c r="I122" s="569"/>
      <c r="J122" s="569"/>
      <c r="K122" s="247"/>
    </row>
    <row r="123" spans="1:11" ht="9.9499999999999993" customHeight="1" x14ac:dyDescent="0.2">
      <c r="A123" s="569"/>
      <c r="B123" s="569"/>
      <c r="C123" s="247"/>
      <c r="D123" s="569"/>
      <c r="E123" s="247"/>
      <c r="F123" s="569"/>
      <c r="G123" s="247"/>
      <c r="H123" s="569"/>
      <c r="I123" s="569"/>
      <c r="J123" s="569"/>
      <c r="K123" s="247"/>
    </row>
    <row r="124" spans="1:11" ht="9.9499999999999993" customHeight="1" x14ac:dyDescent="0.2">
      <c r="A124" s="569"/>
      <c r="B124" s="569"/>
      <c r="C124" s="247"/>
      <c r="D124" s="569"/>
      <c r="E124" s="247"/>
      <c r="F124" s="569"/>
      <c r="G124" s="247"/>
      <c r="H124" s="569"/>
      <c r="I124" s="569"/>
      <c r="J124" s="569"/>
      <c r="K124" s="247"/>
    </row>
    <row r="125" spans="1:11" ht="9.9499999999999993" customHeight="1" x14ac:dyDescent="0.2">
      <c r="A125" s="569"/>
      <c r="B125" s="569"/>
      <c r="C125" s="247"/>
      <c r="D125" s="569"/>
      <c r="E125" s="247"/>
      <c r="F125" s="569"/>
      <c r="G125" s="247"/>
      <c r="H125" s="569"/>
      <c r="I125" s="569"/>
      <c r="J125" s="569"/>
      <c r="K125" s="247"/>
    </row>
    <row r="126" spans="1:11" ht="9.9499999999999993" customHeight="1" x14ac:dyDescent="0.2">
      <c r="A126" s="569"/>
      <c r="B126" s="569"/>
      <c r="C126" s="247"/>
      <c r="D126" s="569"/>
      <c r="E126" s="247"/>
      <c r="F126" s="569"/>
      <c r="G126" s="247"/>
      <c r="H126" s="569"/>
      <c r="I126" s="569"/>
      <c r="J126" s="569"/>
      <c r="K126" s="247"/>
    </row>
    <row r="127" spans="1:11" ht="9.9499999999999993" customHeight="1" x14ac:dyDescent="0.2">
      <c r="A127" s="569"/>
      <c r="B127" s="569"/>
      <c r="C127" s="247"/>
      <c r="D127" s="569"/>
      <c r="E127" s="247"/>
      <c r="F127" s="569"/>
      <c r="G127" s="247"/>
      <c r="H127" s="569"/>
      <c r="I127" s="569"/>
      <c r="J127" s="569"/>
      <c r="K127" s="247"/>
    </row>
    <row r="128" spans="1:11" ht="9.9499999999999993" customHeight="1" x14ac:dyDescent="0.2">
      <c r="A128" s="569"/>
      <c r="B128" s="569"/>
      <c r="C128" s="247"/>
      <c r="D128" s="569"/>
      <c r="E128" s="247"/>
      <c r="F128" s="569"/>
      <c r="G128" s="247"/>
      <c r="H128" s="569"/>
      <c r="I128" s="569"/>
      <c r="J128" s="569"/>
      <c r="K128" s="247"/>
    </row>
    <row r="129" spans="1:11" ht="9.9499999999999993" customHeight="1" x14ac:dyDescent="0.2">
      <c r="A129" s="569"/>
      <c r="B129" s="569"/>
      <c r="C129" s="247"/>
      <c r="D129" s="569"/>
      <c r="E129" s="247"/>
      <c r="F129" s="569"/>
      <c r="G129" s="247"/>
      <c r="H129" s="569"/>
      <c r="I129" s="569"/>
      <c r="J129" s="569"/>
      <c r="K129" s="247"/>
    </row>
    <row r="130" spans="1:11" ht="9.9499999999999993" customHeight="1" x14ac:dyDescent="0.2">
      <c r="A130" s="569"/>
      <c r="B130" s="569"/>
      <c r="C130" s="247"/>
      <c r="D130" s="569"/>
      <c r="E130" s="247"/>
      <c r="F130" s="569"/>
      <c r="G130" s="247"/>
      <c r="H130" s="569"/>
      <c r="I130" s="569"/>
      <c r="J130" s="569"/>
      <c r="K130" s="247"/>
    </row>
    <row r="131" spans="1:11" ht="9.9499999999999993" customHeight="1" x14ac:dyDescent="0.2">
      <c r="A131" s="569"/>
      <c r="B131" s="569"/>
      <c r="C131" s="247"/>
      <c r="D131" s="569"/>
      <c r="E131" s="247"/>
      <c r="F131" s="569"/>
      <c r="G131" s="247"/>
      <c r="H131" s="569"/>
      <c r="I131" s="569"/>
      <c r="J131" s="569"/>
      <c r="K131" s="247"/>
    </row>
    <row r="132" spans="1:11" ht="9.9499999999999993" customHeight="1" x14ac:dyDescent="0.2">
      <c r="A132" s="569"/>
      <c r="B132" s="569"/>
      <c r="C132" s="247"/>
      <c r="D132" s="569"/>
      <c r="E132" s="247"/>
      <c r="F132" s="569"/>
      <c r="G132" s="247"/>
      <c r="H132" s="569"/>
      <c r="I132" s="569"/>
      <c r="J132" s="569"/>
      <c r="K132" s="247"/>
    </row>
    <row r="133" spans="1:11" ht="9.9499999999999993" customHeight="1" x14ac:dyDescent="0.2">
      <c r="A133" s="569"/>
      <c r="B133" s="569"/>
      <c r="C133" s="247"/>
      <c r="D133" s="569"/>
      <c r="E133" s="247"/>
      <c r="F133" s="569"/>
      <c r="G133" s="247"/>
      <c r="H133" s="569"/>
      <c r="I133" s="569"/>
      <c r="J133" s="569"/>
      <c r="K133" s="247"/>
    </row>
    <row r="134" spans="1:11" ht="9.9499999999999993" customHeight="1" x14ac:dyDescent="0.2">
      <c r="A134" s="569"/>
      <c r="B134" s="569"/>
      <c r="C134" s="247"/>
      <c r="D134" s="569"/>
      <c r="E134" s="247"/>
      <c r="F134" s="569"/>
      <c r="G134" s="247"/>
      <c r="H134" s="569"/>
      <c r="I134" s="569"/>
      <c r="J134" s="569"/>
      <c r="K134" s="247"/>
    </row>
    <row r="135" spans="1:11" ht="9.9499999999999993" customHeight="1" x14ac:dyDescent="0.2">
      <c r="A135" s="569"/>
      <c r="B135" s="569"/>
      <c r="C135" s="247"/>
      <c r="D135" s="569"/>
      <c r="E135" s="247"/>
      <c r="F135" s="569"/>
      <c r="G135" s="247"/>
      <c r="H135" s="569"/>
      <c r="I135" s="569"/>
      <c r="J135" s="569"/>
      <c r="K135" s="247"/>
    </row>
    <row r="136" spans="1:11" ht="9.9499999999999993" customHeight="1" x14ac:dyDescent="0.2">
      <c r="A136" s="569"/>
      <c r="B136" s="569"/>
      <c r="C136" s="247"/>
      <c r="D136" s="569"/>
      <c r="E136" s="247"/>
      <c r="F136" s="569"/>
      <c r="G136" s="247"/>
      <c r="H136" s="569"/>
      <c r="I136" s="569"/>
      <c r="J136" s="569"/>
      <c r="K136" s="247"/>
    </row>
    <row r="137" spans="1:11" ht="9.9499999999999993" customHeight="1" x14ac:dyDescent="0.2">
      <c r="A137" s="569"/>
      <c r="B137" s="569"/>
      <c r="C137" s="247"/>
      <c r="D137" s="569"/>
      <c r="E137" s="247"/>
      <c r="F137" s="569"/>
      <c r="G137" s="247"/>
      <c r="H137" s="569"/>
      <c r="I137" s="569"/>
      <c r="J137" s="569"/>
      <c r="K137" s="247"/>
    </row>
    <row r="138" spans="1:11" ht="9.9499999999999993" customHeight="1" x14ac:dyDescent="0.2">
      <c r="A138" s="569"/>
      <c r="B138" s="569"/>
      <c r="C138" s="247"/>
      <c r="D138" s="569"/>
      <c r="E138" s="247"/>
      <c r="F138" s="569"/>
      <c r="G138" s="247"/>
      <c r="H138" s="569"/>
      <c r="I138" s="569"/>
      <c r="J138" s="569"/>
      <c r="K138" s="247"/>
    </row>
    <row r="139" spans="1:11" ht="9.9499999999999993" customHeight="1" x14ac:dyDescent="0.2">
      <c r="A139" s="569"/>
      <c r="B139" s="569"/>
      <c r="C139" s="247"/>
      <c r="D139" s="569"/>
      <c r="E139" s="247"/>
      <c r="F139" s="569"/>
      <c r="G139" s="247"/>
      <c r="H139" s="569"/>
      <c r="I139" s="569"/>
      <c r="J139" s="569"/>
      <c r="K139" s="247"/>
    </row>
    <row r="140" spans="1:11" ht="9.9499999999999993" customHeight="1" x14ac:dyDescent="0.2">
      <c r="A140" s="569"/>
      <c r="B140" s="569"/>
      <c r="C140" s="247"/>
      <c r="D140" s="569"/>
      <c r="E140" s="247"/>
      <c r="F140" s="569"/>
      <c r="G140" s="247"/>
      <c r="H140" s="569"/>
      <c r="I140" s="569"/>
      <c r="J140" s="569"/>
      <c r="K140" s="247"/>
    </row>
    <row r="141" spans="1:11" ht="9.9499999999999993" customHeight="1" x14ac:dyDescent="0.2">
      <c r="A141" s="569"/>
      <c r="B141" s="569"/>
      <c r="C141" s="247"/>
      <c r="D141" s="569"/>
      <c r="E141" s="247"/>
      <c r="F141" s="569"/>
      <c r="G141" s="247"/>
      <c r="H141" s="569"/>
      <c r="I141" s="569"/>
      <c r="J141" s="569"/>
      <c r="K141" s="247"/>
    </row>
    <row r="142" spans="1:11" ht="9.9499999999999993" customHeight="1" x14ac:dyDescent="0.2">
      <c r="A142" s="569"/>
      <c r="B142" s="569"/>
      <c r="C142" s="247"/>
      <c r="D142" s="569"/>
      <c r="E142" s="247"/>
      <c r="F142" s="569"/>
      <c r="G142" s="247"/>
      <c r="H142" s="569"/>
      <c r="I142" s="569"/>
      <c r="J142" s="569"/>
      <c r="K142" s="247"/>
    </row>
    <row r="143" spans="1:11" ht="9.9499999999999993" customHeight="1" x14ac:dyDescent="0.2">
      <c r="A143" s="569"/>
      <c r="B143" s="569"/>
      <c r="C143" s="247"/>
      <c r="D143" s="569"/>
      <c r="E143" s="247"/>
      <c r="F143" s="569"/>
      <c r="G143" s="247"/>
      <c r="H143" s="569"/>
      <c r="I143" s="569"/>
      <c r="J143" s="569"/>
      <c r="K143" s="247"/>
    </row>
    <row r="144" spans="1:11" ht="9.9499999999999993" customHeight="1" x14ac:dyDescent="0.2">
      <c r="A144" s="569"/>
      <c r="B144" s="569"/>
      <c r="C144" s="247"/>
      <c r="D144" s="569"/>
      <c r="E144" s="247"/>
      <c r="F144" s="569"/>
      <c r="G144" s="247"/>
      <c r="H144" s="569"/>
      <c r="I144" s="569"/>
      <c r="J144" s="569"/>
      <c r="K144" s="247"/>
    </row>
    <row r="145" spans="1:11" ht="9.9499999999999993" customHeight="1" x14ac:dyDescent="0.2">
      <c r="A145" s="569"/>
      <c r="B145" s="569"/>
      <c r="C145" s="247"/>
      <c r="D145" s="569"/>
      <c r="E145" s="247"/>
      <c r="F145" s="569"/>
      <c r="G145" s="247"/>
      <c r="H145" s="569"/>
      <c r="I145" s="569"/>
      <c r="J145" s="569"/>
      <c r="K145" s="247"/>
    </row>
    <row r="146" spans="1:11" ht="9.9499999999999993" customHeight="1" x14ac:dyDescent="0.2">
      <c r="A146" s="569"/>
      <c r="B146" s="569"/>
      <c r="C146" s="247"/>
      <c r="D146" s="569"/>
      <c r="E146" s="247"/>
      <c r="F146" s="569"/>
      <c r="G146" s="247"/>
      <c r="H146" s="569"/>
      <c r="I146" s="569"/>
      <c r="J146" s="569"/>
      <c r="K146" s="247"/>
    </row>
    <row r="147" spans="1:11" ht="9.9499999999999993" customHeight="1" x14ac:dyDescent="0.2">
      <c r="A147" s="569"/>
      <c r="B147" s="569"/>
      <c r="C147" s="247"/>
      <c r="D147" s="569"/>
      <c r="E147" s="247"/>
      <c r="F147" s="569"/>
      <c r="G147" s="247"/>
      <c r="H147" s="569"/>
      <c r="I147" s="569"/>
      <c r="J147" s="569"/>
      <c r="K147" s="247"/>
    </row>
    <row r="148" spans="1:11" ht="9.9499999999999993" customHeight="1" x14ac:dyDescent="0.2">
      <c r="A148" s="569"/>
      <c r="B148" s="569"/>
      <c r="C148" s="247"/>
      <c r="D148" s="569"/>
      <c r="E148" s="247"/>
      <c r="F148" s="569"/>
      <c r="G148" s="247"/>
      <c r="H148" s="569"/>
      <c r="I148" s="569"/>
      <c r="J148" s="569"/>
      <c r="K148" s="247"/>
    </row>
    <row r="149" spans="1:11" ht="9.9499999999999993" customHeight="1" x14ac:dyDescent="0.2">
      <c r="A149" s="569"/>
      <c r="B149" s="569"/>
      <c r="C149" s="247"/>
      <c r="D149" s="569"/>
      <c r="E149" s="247"/>
      <c r="F149" s="569"/>
      <c r="G149" s="247"/>
      <c r="H149" s="569"/>
      <c r="I149" s="569"/>
      <c r="J149" s="569"/>
      <c r="K149" s="247"/>
    </row>
    <row r="150" spans="1:11" ht="9.9499999999999993" customHeight="1" x14ac:dyDescent="0.2">
      <c r="A150" s="569"/>
      <c r="B150" s="569"/>
      <c r="C150" s="247"/>
      <c r="D150" s="569"/>
      <c r="E150" s="247"/>
      <c r="F150" s="569"/>
      <c r="G150" s="247"/>
      <c r="H150" s="569"/>
      <c r="I150" s="569"/>
      <c r="J150" s="569"/>
      <c r="K150" s="247"/>
    </row>
    <row r="151" spans="1:11" ht="9.9499999999999993" customHeight="1" x14ac:dyDescent="0.2">
      <c r="A151" s="569"/>
      <c r="B151" s="569"/>
      <c r="C151" s="247"/>
      <c r="D151" s="569"/>
      <c r="E151" s="247"/>
      <c r="F151" s="569"/>
      <c r="G151" s="247"/>
      <c r="H151" s="569"/>
      <c r="I151" s="569"/>
      <c r="J151" s="569"/>
      <c r="K151" s="247"/>
    </row>
    <row r="152" spans="1:11" ht="9.9499999999999993" customHeight="1" x14ac:dyDescent="0.2">
      <c r="A152" s="569"/>
      <c r="B152" s="569"/>
      <c r="C152" s="247"/>
      <c r="D152" s="569"/>
      <c r="E152" s="247"/>
      <c r="F152" s="569"/>
      <c r="G152" s="247"/>
      <c r="H152" s="569"/>
      <c r="I152" s="569"/>
      <c r="J152" s="569"/>
      <c r="K152" s="247"/>
    </row>
    <row r="153" spans="1:11" ht="9.9499999999999993" customHeight="1" x14ac:dyDescent="0.2">
      <c r="A153" s="569"/>
      <c r="B153" s="569"/>
      <c r="C153" s="247"/>
      <c r="D153" s="569"/>
      <c r="E153" s="247"/>
      <c r="F153" s="569"/>
      <c r="G153" s="247"/>
      <c r="H153" s="569"/>
      <c r="I153" s="569"/>
      <c r="J153" s="569"/>
      <c r="K153" s="247"/>
    </row>
    <row r="154" spans="1:11" ht="9.9499999999999993" customHeight="1" x14ac:dyDescent="0.2">
      <c r="A154" s="569"/>
      <c r="B154" s="569"/>
      <c r="C154" s="247"/>
      <c r="D154" s="569"/>
      <c r="E154" s="247"/>
      <c r="F154" s="569"/>
      <c r="G154" s="247"/>
      <c r="H154" s="569"/>
      <c r="I154" s="569"/>
      <c r="J154" s="569"/>
      <c r="K154" s="247"/>
    </row>
    <row r="155" spans="1:11" ht="9.9499999999999993" customHeight="1" x14ac:dyDescent="0.2">
      <c r="A155" s="569"/>
      <c r="B155" s="569"/>
      <c r="C155" s="247"/>
      <c r="D155" s="569"/>
      <c r="E155" s="247"/>
      <c r="F155" s="569"/>
      <c r="G155" s="247"/>
      <c r="H155" s="569"/>
      <c r="I155" s="569"/>
      <c r="J155" s="569"/>
      <c r="K155" s="247"/>
    </row>
    <row r="156" spans="1:11" ht="9.9499999999999993" customHeight="1" x14ac:dyDescent="0.2">
      <c r="A156" s="569"/>
      <c r="B156" s="569"/>
      <c r="C156" s="247"/>
      <c r="D156" s="569"/>
      <c r="E156" s="247"/>
      <c r="F156" s="569"/>
      <c r="G156" s="247"/>
      <c r="H156" s="569"/>
      <c r="I156" s="569"/>
      <c r="J156" s="569"/>
      <c r="K156" s="247"/>
    </row>
    <row r="157" spans="1:11" ht="9.9499999999999993" customHeight="1" x14ac:dyDescent="0.2">
      <c r="A157" s="569"/>
      <c r="B157" s="569"/>
      <c r="C157" s="247"/>
      <c r="D157" s="569"/>
      <c r="E157" s="247"/>
      <c r="F157" s="569"/>
      <c r="G157" s="247"/>
      <c r="H157" s="569"/>
      <c r="I157" s="569"/>
      <c r="J157" s="569"/>
      <c r="K157" s="247"/>
    </row>
    <row r="158" spans="1:11" ht="9.9499999999999993" customHeight="1" x14ac:dyDescent="0.2">
      <c r="A158" s="569"/>
      <c r="B158" s="569"/>
      <c r="C158" s="247"/>
      <c r="D158" s="569"/>
      <c r="E158" s="247"/>
      <c r="F158" s="569"/>
      <c r="G158" s="247"/>
      <c r="H158" s="569"/>
      <c r="I158" s="569"/>
      <c r="J158" s="569"/>
      <c r="K158" s="247"/>
    </row>
    <row r="159" spans="1:11" ht="9.9499999999999993" customHeight="1" x14ac:dyDescent="0.2">
      <c r="A159" s="569"/>
      <c r="B159" s="569"/>
      <c r="C159" s="247"/>
      <c r="D159" s="569"/>
      <c r="E159" s="247"/>
      <c r="F159" s="569"/>
      <c r="G159" s="247"/>
      <c r="H159" s="569"/>
      <c r="I159" s="569"/>
      <c r="J159" s="569"/>
      <c r="K159" s="247"/>
    </row>
    <row r="160" spans="1:11" ht="9.9499999999999993" customHeight="1" x14ac:dyDescent="0.2">
      <c r="A160" s="569"/>
      <c r="B160" s="569"/>
      <c r="C160" s="247"/>
      <c r="D160" s="569"/>
      <c r="E160" s="247"/>
      <c r="F160" s="569"/>
      <c r="G160" s="247"/>
      <c r="H160" s="569"/>
      <c r="I160" s="569"/>
      <c r="J160" s="569"/>
      <c r="K160" s="247"/>
    </row>
    <row r="161" spans="1:11" ht="9.9499999999999993" customHeight="1" x14ac:dyDescent="0.2">
      <c r="A161" s="569"/>
      <c r="B161" s="569"/>
      <c r="C161" s="247"/>
      <c r="D161" s="569"/>
      <c r="E161" s="247"/>
      <c r="F161" s="569"/>
      <c r="G161" s="247"/>
      <c r="H161" s="569"/>
      <c r="I161" s="569"/>
      <c r="J161" s="569"/>
      <c r="K161" s="247"/>
    </row>
    <row r="162" spans="1:11" ht="9.9499999999999993" customHeight="1" x14ac:dyDescent="0.2">
      <c r="A162" s="569"/>
      <c r="B162" s="569"/>
      <c r="C162" s="247"/>
      <c r="D162" s="569"/>
      <c r="E162" s="247"/>
      <c r="F162" s="569"/>
      <c r="G162" s="247"/>
      <c r="H162" s="569"/>
      <c r="I162" s="569"/>
      <c r="J162" s="569"/>
      <c r="K162" s="247"/>
    </row>
    <row r="163" spans="1:11" ht="9.9499999999999993" customHeight="1" x14ac:dyDescent="0.2">
      <c r="A163" s="569"/>
      <c r="B163" s="569"/>
      <c r="C163" s="247"/>
      <c r="D163" s="569"/>
      <c r="E163" s="247"/>
      <c r="F163" s="569"/>
      <c r="G163" s="247"/>
      <c r="H163" s="569"/>
      <c r="I163" s="569"/>
      <c r="J163" s="569"/>
      <c r="K163" s="247"/>
    </row>
    <row r="164" spans="1:11" ht="9.9499999999999993" customHeight="1" x14ac:dyDescent="0.2">
      <c r="A164" s="569"/>
      <c r="B164" s="569"/>
      <c r="C164" s="247"/>
      <c r="D164" s="569"/>
      <c r="E164" s="247"/>
      <c r="F164" s="569"/>
      <c r="G164" s="247"/>
      <c r="H164" s="569"/>
      <c r="I164" s="569"/>
      <c r="J164" s="569"/>
      <c r="K164" s="247"/>
    </row>
    <row r="165" spans="1:11" ht="9.9499999999999993" customHeight="1" x14ac:dyDescent="0.2">
      <c r="A165" s="569"/>
      <c r="B165" s="569"/>
      <c r="C165" s="247"/>
      <c r="D165" s="569"/>
      <c r="E165" s="247"/>
      <c r="F165" s="569"/>
      <c r="G165" s="247"/>
      <c r="H165" s="569"/>
      <c r="I165" s="569"/>
      <c r="J165" s="569"/>
      <c r="K165" s="247"/>
    </row>
    <row r="166" spans="1:11" ht="9.9499999999999993" customHeight="1" x14ac:dyDescent="0.2">
      <c r="A166" s="569"/>
      <c r="B166" s="569"/>
      <c r="C166" s="247"/>
      <c r="D166" s="569"/>
      <c r="E166" s="247"/>
      <c r="F166" s="569"/>
      <c r="G166" s="247"/>
      <c r="H166" s="569"/>
      <c r="I166" s="569"/>
      <c r="J166" s="569"/>
      <c r="K166" s="247"/>
    </row>
    <row r="167" spans="1:11" ht="9.9499999999999993" customHeight="1" x14ac:dyDescent="0.2">
      <c r="A167" s="569"/>
      <c r="B167" s="569"/>
      <c r="C167" s="247"/>
      <c r="D167" s="569"/>
      <c r="E167" s="247"/>
      <c r="F167" s="569"/>
      <c r="G167" s="247"/>
      <c r="H167" s="569"/>
      <c r="I167" s="569"/>
      <c r="J167" s="569"/>
      <c r="K167" s="247"/>
    </row>
    <row r="168" spans="1:11" ht="9.9499999999999993" customHeight="1" x14ac:dyDescent="0.2">
      <c r="A168" s="569"/>
      <c r="B168" s="569"/>
      <c r="C168" s="247"/>
      <c r="D168" s="569"/>
      <c r="E168" s="247"/>
      <c r="F168" s="569"/>
      <c r="G168" s="247"/>
      <c r="H168" s="569"/>
      <c r="I168" s="569"/>
      <c r="J168" s="569"/>
      <c r="K168" s="247"/>
    </row>
    <row r="169" spans="1:11" ht="9.9499999999999993" customHeight="1" x14ac:dyDescent="0.2">
      <c r="A169" s="569"/>
      <c r="B169" s="569"/>
      <c r="C169" s="247"/>
      <c r="D169" s="569"/>
      <c r="E169" s="247"/>
      <c r="F169" s="569"/>
      <c r="G169" s="247"/>
      <c r="H169" s="569"/>
      <c r="I169" s="569"/>
      <c r="J169" s="569"/>
      <c r="K169" s="247"/>
    </row>
    <row r="170" spans="1:11" ht="9.9499999999999993" customHeight="1" x14ac:dyDescent="0.2">
      <c r="A170" s="569"/>
      <c r="B170" s="569"/>
      <c r="C170" s="247"/>
      <c r="D170" s="569"/>
      <c r="E170" s="247"/>
      <c r="F170" s="569"/>
      <c r="G170" s="247"/>
      <c r="H170" s="569"/>
      <c r="I170" s="569"/>
      <c r="J170" s="569"/>
      <c r="K170" s="247"/>
    </row>
    <row r="171" spans="1:11" ht="9.9499999999999993" customHeight="1" x14ac:dyDescent="0.2">
      <c r="A171" s="569"/>
      <c r="B171" s="569"/>
      <c r="C171" s="247"/>
      <c r="D171" s="569"/>
      <c r="E171" s="247"/>
      <c r="F171" s="569"/>
      <c r="G171" s="247"/>
      <c r="H171" s="569"/>
      <c r="I171" s="569"/>
      <c r="J171" s="569"/>
      <c r="K171" s="247"/>
    </row>
    <row r="172" spans="1:11" ht="9.9499999999999993" customHeight="1" x14ac:dyDescent="0.2">
      <c r="A172" s="569"/>
      <c r="B172" s="569"/>
      <c r="C172" s="247"/>
      <c r="D172" s="569"/>
      <c r="E172" s="247"/>
      <c r="F172" s="569"/>
      <c r="G172" s="247"/>
      <c r="H172" s="569"/>
      <c r="I172" s="569"/>
      <c r="J172" s="569"/>
      <c r="K172" s="247"/>
    </row>
    <row r="173" spans="1:11" ht="9.9499999999999993" customHeight="1" x14ac:dyDescent="0.2">
      <c r="A173" s="569"/>
      <c r="B173" s="569"/>
      <c r="C173" s="247"/>
      <c r="D173" s="569"/>
      <c r="E173" s="247"/>
      <c r="F173" s="569"/>
      <c r="G173" s="247"/>
      <c r="H173" s="569"/>
      <c r="I173" s="569"/>
      <c r="J173" s="569"/>
      <c r="K173" s="247"/>
    </row>
    <row r="174" spans="1:11" ht="9.9499999999999993" customHeight="1" x14ac:dyDescent="0.2">
      <c r="A174" s="569"/>
      <c r="B174" s="569"/>
      <c r="C174" s="247"/>
      <c r="D174" s="569"/>
      <c r="E174" s="247"/>
      <c r="F174" s="569"/>
      <c r="G174" s="247"/>
      <c r="H174" s="569"/>
      <c r="I174" s="569"/>
      <c r="J174" s="569"/>
      <c r="K174" s="247"/>
    </row>
    <row r="175" spans="1:11" ht="9.9499999999999993" customHeight="1" x14ac:dyDescent="0.2">
      <c r="A175" s="569"/>
      <c r="B175" s="569"/>
      <c r="C175" s="247"/>
      <c r="D175" s="569"/>
      <c r="E175" s="247"/>
      <c r="F175" s="569"/>
      <c r="G175" s="247"/>
      <c r="H175" s="569"/>
      <c r="I175" s="569"/>
      <c r="J175" s="569"/>
      <c r="K175" s="247"/>
    </row>
    <row r="176" spans="1:11" ht="9.9499999999999993" customHeight="1" x14ac:dyDescent="0.2">
      <c r="A176" s="569"/>
      <c r="B176" s="569"/>
      <c r="C176" s="247"/>
      <c r="D176" s="569"/>
      <c r="E176" s="247"/>
      <c r="F176" s="569"/>
      <c r="G176" s="247"/>
      <c r="H176" s="569"/>
      <c r="I176" s="569"/>
      <c r="J176" s="569"/>
      <c r="K176" s="247"/>
    </row>
    <row r="177" spans="1:11" ht="9.9499999999999993" customHeight="1" x14ac:dyDescent="0.2">
      <c r="A177" s="569"/>
      <c r="B177" s="569"/>
      <c r="C177" s="247"/>
      <c r="D177" s="569"/>
      <c r="E177" s="247"/>
      <c r="F177" s="569"/>
      <c r="G177" s="247"/>
      <c r="H177" s="569"/>
      <c r="I177" s="569"/>
      <c r="J177" s="569"/>
      <c r="K177" s="247"/>
    </row>
    <row r="178" spans="1:11" ht="9.9499999999999993" customHeight="1" x14ac:dyDescent="0.2">
      <c r="A178" s="569"/>
      <c r="B178" s="569"/>
      <c r="C178" s="247"/>
      <c r="D178" s="569"/>
      <c r="E178" s="247"/>
      <c r="F178" s="569"/>
      <c r="G178" s="247"/>
      <c r="H178" s="569"/>
      <c r="I178" s="569"/>
      <c r="J178" s="569"/>
      <c r="K178" s="247"/>
    </row>
    <row r="179" spans="1:11" ht="9.9499999999999993" customHeight="1" x14ac:dyDescent="0.2">
      <c r="A179" s="569"/>
      <c r="B179" s="569"/>
      <c r="C179" s="247"/>
      <c r="D179" s="569"/>
      <c r="E179" s="247"/>
      <c r="F179" s="569"/>
      <c r="G179" s="247"/>
      <c r="H179" s="569"/>
      <c r="I179" s="569"/>
      <c r="J179" s="569"/>
      <c r="K179" s="247"/>
    </row>
    <row r="180" spans="1:11" ht="9.9499999999999993" customHeight="1" x14ac:dyDescent="0.2">
      <c r="A180" s="569"/>
      <c r="B180" s="569"/>
      <c r="C180" s="247"/>
      <c r="D180" s="569"/>
      <c r="E180" s="247"/>
      <c r="F180" s="569"/>
      <c r="G180" s="247"/>
      <c r="H180" s="569"/>
      <c r="I180" s="569"/>
      <c r="J180" s="569"/>
      <c r="K180" s="247"/>
    </row>
    <row r="181" spans="1:11" ht="9.9499999999999993" customHeight="1" x14ac:dyDescent="0.2">
      <c r="A181" s="569"/>
      <c r="B181" s="569"/>
      <c r="C181" s="247"/>
      <c r="D181" s="569"/>
      <c r="E181" s="247"/>
      <c r="F181" s="569"/>
      <c r="G181" s="247"/>
      <c r="H181" s="569"/>
      <c r="I181" s="569"/>
      <c r="J181" s="569"/>
      <c r="K181" s="247"/>
    </row>
    <row r="182" spans="1:11" ht="9.9499999999999993" customHeight="1" x14ac:dyDescent="0.2">
      <c r="A182" s="569"/>
      <c r="B182" s="569"/>
      <c r="C182" s="247"/>
      <c r="D182" s="569"/>
      <c r="E182" s="247"/>
      <c r="F182" s="569"/>
      <c r="G182" s="247"/>
      <c r="H182" s="569"/>
      <c r="I182" s="569"/>
      <c r="J182" s="569"/>
      <c r="K182" s="247"/>
    </row>
    <row r="183" spans="1:11" ht="9.9499999999999993" customHeight="1" x14ac:dyDescent="0.2">
      <c r="A183" s="569"/>
      <c r="B183" s="569"/>
      <c r="C183" s="247"/>
      <c r="D183" s="569"/>
      <c r="E183" s="247"/>
      <c r="F183" s="569"/>
      <c r="G183" s="247"/>
      <c r="H183" s="569"/>
      <c r="I183" s="569"/>
      <c r="J183" s="569"/>
      <c r="K183" s="247"/>
    </row>
    <row r="184" spans="1:11" ht="9.9499999999999993" customHeight="1" x14ac:dyDescent="0.2">
      <c r="A184" s="569"/>
      <c r="B184" s="569"/>
      <c r="C184" s="247"/>
      <c r="D184" s="569"/>
      <c r="E184" s="247"/>
      <c r="F184" s="569"/>
      <c r="G184" s="247"/>
      <c r="H184" s="569"/>
      <c r="I184" s="569"/>
      <c r="J184" s="569"/>
      <c r="K184" s="247"/>
    </row>
    <row r="185" spans="1:11" ht="9.9499999999999993" customHeight="1" x14ac:dyDescent="0.2">
      <c r="A185" s="569"/>
      <c r="B185" s="569"/>
      <c r="C185" s="247"/>
      <c r="D185" s="569"/>
      <c r="E185" s="247"/>
      <c r="F185" s="569"/>
      <c r="G185" s="247"/>
      <c r="H185" s="569"/>
      <c r="I185" s="569"/>
      <c r="J185" s="569"/>
      <c r="K185" s="247"/>
    </row>
    <row r="186" spans="1:11" ht="9.9499999999999993" customHeight="1" x14ac:dyDescent="0.2">
      <c r="A186" s="569"/>
      <c r="B186" s="569"/>
      <c r="C186" s="247"/>
      <c r="D186" s="569"/>
      <c r="E186" s="247"/>
      <c r="F186" s="569"/>
      <c r="G186" s="247"/>
      <c r="H186" s="569"/>
      <c r="I186" s="569"/>
      <c r="J186" s="569"/>
      <c r="K186" s="247"/>
    </row>
    <row r="187" spans="1:11" ht="9.9499999999999993" customHeight="1" x14ac:dyDescent="0.2">
      <c r="A187" s="569"/>
      <c r="B187" s="569"/>
      <c r="C187" s="247"/>
      <c r="D187" s="569"/>
      <c r="E187" s="247"/>
      <c r="F187" s="569"/>
      <c r="G187" s="247"/>
      <c r="H187" s="569"/>
      <c r="I187" s="569"/>
      <c r="J187" s="569"/>
      <c r="K187" s="247"/>
    </row>
    <row r="188" spans="1:11" ht="9.9499999999999993" customHeight="1" x14ac:dyDescent="0.2">
      <c r="A188" s="569"/>
      <c r="B188" s="569"/>
      <c r="C188" s="247"/>
      <c r="D188" s="569"/>
      <c r="E188" s="247"/>
      <c r="F188" s="569"/>
      <c r="G188" s="247"/>
      <c r="H188" s="569"/>
      <c r="I188" s="569"/>
      <c r="J188" s="569"/>
      <c r="K188" s="247"/>
    </row>
    <row r="189" spans="1:11" ht="9.9499999999999993" customHeight="1" x14ac:dyDescent="0.2">
      <c r="A189" s="569"/>
      <c r="B189" s="569"/>
      <c r="C189" s="247"/>
      <c r="D189" s="569"/>
      <c r="E189" s="247"/>
      <c r="F189" s="569"/>
      <c r="G189" s="247"/>
      <c r="H189" s="569"/>
      <c r="I189" s="569"/>
      <c r="J189" s="569"/>
      <c r="K189" s="247"/>
    </row>
    <row r="190" spans="1:11" ht="9.9499999999999993" customHeight="1" x14ac:dyDescent="0.2">
      <c r="A190" s="569"/>
      <c r="B190" s="569"/>
      <c r="C190" s="247"/>
      <c r="D190" s="569"/>
      <c r="E190" s="247"/>
      <c r="F190" s="569"/>
      <c r="G190" s="247"/>
      <c r="H190" s="569"/>
      <c r="I190" s="569"/>
      <c r="J190" s="569"/>
      <c r="K190" s="247"/>
    </row>
    <row r="191" spans="1:11" ht="9.9499999999999993" customHeight="1" x14ac:dyDescent="0.2">
      <c r="A191" s="569"/>
      <c r="B191" s="569"/>
      <c r="C191" s="247"/>
      <c r="D191" s="569"/>
      <c r="E191" s="247"/>
      <c r="F191" s="569"/>
      <c r="G191" s="247"/>
      <c r="H191" s="569"/>
      <c r="I191" s="569"/>
      <c r="J191" s="569"/>
      <c r="K191" s="247"/>
    </row>
    <row r="192" spans="1:11" ht="9.9499999999999993" customHeight="1" x14ac:dyDescent="0.2">
      <c r="A192" s="569"/>
      <c r="B192" s="569"/>
      <c r="C192" s="247"/>
      <c r="D192" s="569"/>
      <c r="E192" s="247"/>
      <c r="F192" s="569"/>
      <c r="G192" s="247"/>
      <c r="H192" s="569"/>
      <c r="I192" s="569"/>
      <c r="J192" s="569"/>
      <c r="K192" s="247"/>
    </row>
    <row r="193" spans="1:11" ht="9.9499999999999993" customHeight="1" x14ac:dyDescent="0.2">
      <c r="A193" s="569"/>
      <c r="B193" s="569"/>
      <c r="C193" s="247"/>
      <c r="D193" s="569"/>
      <c r="E193" s="247"/>
      <c r="F193" s="569"/>
      <c r="G193" s="247"/>
      <c r="H193" s="569"/>
      <c r="I193" s="569"/>
      <c r="J193" s="569"/>
      <c r="K193" s="247"/>
    </row>
    <row r="194" spans="1:11" ht="9.9499999999999993" customHeight="1" x14ac:dyDescent="0.2">
      <c r="A194" s="569"/>
      <c r="B194" s="569"/>
      <c r="C194" s="247"/>
      <c r="D194" s="569"/>
      <c r="E194" s="247"/>
      <c r="F194" s="569"/>
      <c r="G194" s="247"/>
      <c r="H194" s="569"/>
      <c r="I194" s="569"/>
      <c r="J194" s="569"/>
      <c r="K194" s="247"/>
    </row>
    <row r="195" spans="1:11" ht="9.9499999999999993" customHeight="1" x14ac:dyDescent="0.2">
      <c r="A195" s="569"/>
      <c r="B195" s="569"/>
      <c r="C195" s="247"/>
      <c r="D195" s="569"/>
      <c r="E195" s="247"/>
      <c r="F195" s="569"/>
      <c r="G195" s="247"/>
      <c r="H195" s="569"/>
      <c r="I195" s="569"/>
      <c r="J195" s="569"/>
      <c r="K195" s="247"/>
    </row>
    <row r="196" spans="1:11" ht="9.9499999999999993" customHeight="1" x14ac:dyDescent="0.2">
      <c r="A196" s="569"/>
      <c r="B196" s="569"/>
      <c r="C196" s="247"/>
      <c r="D196" s="569"/>
      <c r="E196" s="247"/>
      <c r="F196" s="569"/>
      <c r="G196" s="247"/>
      <c r="H196" s="569"/>
      <c r="I196" s="569"/>
      <c r="J196" s="569"/>
      <c r="K196" s="247"/>
    </row>
    <row r="197" spans="1:11" ht="9.9499999999999993" customHeight="1" x14ac:dyDescent="0.2">
      <c r="A197" s="569"/>
      <c r="B197" s="569"/>
      <c r="C197" s="247"/>
      <c r="D197" s="569"/>
      <c r="E197" s="247"/>
      <c r="F197" s="569"/>
      <c r="G197" s="247"/>
      <c r="H197" s="569"/>
      <c r="I197" s="569"/>
      <c r="J197" s="569"/>
      <c r="K197" s="247"/>
    </row>
    <row r="198" spans="1:11" ht="9.9499999999999993" customHeight="1" x14ac:dyDescent="0.2">
      <c r="A198" s="569"/>
      <c r="B198" s="569"/>
      <c r="C198" s="247"/>
      <c r="D198" s="569"/>
      <c r="E198" s="247"/>
      <c r="F198" s="569"/>
      <c r="G198" s="247"/>
      <c r="H198" s="569"/>
      <c r="I198" s="569"/>
      <c r="J198" s="569"/>
      <c r="K198" s="247"/>
    </row>
    <row r="199" spans="1:11" ht="9.9499999999999993" customHeight="1" x14ac:dyDescent="0.2">
      <c r="A199" s="569"/>
      <c r="B199" s="569"/>
      <c r="C199" s="247"/>
      <c r="D199" s="569"/>
      <c r="E199" s="247"/>
      <c r="F199" s="569"/>
      <c r="G199" s="247"/>
      <c r="H199" s="569"/>
      <c r="I199" s="569"/>
      <c r="J199" s="569"/>
      <c r="K199" s="247"/>
    </row>
    <row r="200" spans="1:11" ht="9.9499999999999993" customHeight="1" x14ac:dyDescent="0.2">
      <c r="A200" s="569"/>
      <c r="B200" s="569"/>
      <c r="C200" s="247"/>
      <c r="D200" s="569"/>
      <c r="E200" s="247"/>
      <c r="F200" s="569"/>
      <c r="G200" s="247"/>
      <c r="H200" s="569"/>
      <c r="I200" s="569"/>
      <c r="J200" s="569"/>
      <c r="K200" s="247"/>
    </row>
    <row r="201" spans="1:11" ht="9.9499999999999993" customHeight="1" x14ac:dyDescent="0.2">
      <c r="A201" s="569"/>
      <c r="B201" s="569"/>
      <c r="C201" s="247"/>
      <c r="D201" s="569"/>
      <c r="E201" s="247"/>
      <c r="F201" s="569"/>
      <c r="G201" s="247"/>
      <c r="H201" s="569"/>
      <c r="I201" s="569"/>
      <c r="J201" s="569"/>
      <c r="K201" s="247"/>
    </row>
    <row r="202" spans="1:11" ht="9.9499999999999993" customHeight="1" x14ac:dyDescent="0.2">
      <c r="A202" s="569"/>
      <c r="B202" s="569"/>
      <c r="C202" s="247"/>
      <c r="D202" s="569"/>
      <c r="E202" s="247"/>
      <c r="F202" s="569"/>
      <c r="G202" s="247"/>
      <c r="H202" s="569"/>
      <c r="I202" s="569"/>
      <c r="J202" s="569"/>
      <c r="K202" s="247"/>
    </row>
    <row r="203" spans="1:11" ht="9.9499999999999993" customHeight="1" x14ac:dyDescent="0.2">
      <c r="A203" s="569"/>
      <c r="B203" s="569"/>
      <c r="C203" s="247"/>
      <c r="D203" s="569"/>
      <c r="E203" s="247"/>
      <c r="F203" s="569"/>
      <c r="G203" s="247"/>
      <c r="H203" s="569"/>
      <c r="I203" s="569"/>
      <c r="J203" s="569"/>
      <c r="K203" s="247"/>
    </row>
    <row r="204" spans="1:11" ht="9.9499999999999993" customHeight="1" x14ac:dyDescent="0.2">
      <c r="A204" s="569"/>
      <c r="B204" s="569"/>
      <c r="C204" s="247"/>
      <c r="D204" s="569"/>
      <c r="E204" s="247"/>
      <c r="F204" s="569"/>
      <c r="G204" s="247"/>
      <c r="H204" s="569"/>
      <c r="I204" s="569"/>
      <c r="J204" s="569"/>
      <c r="K204" s="247"/>
    </row>
    <row r="205" spans="1:11" ht="9.9499999999999993" customHeight="1" x14ac:dyDescent="0.2">
      <c r="A205" s="569"/>
      <c r="B205" s="569"/>
      <c r="C205" s="247"/>
      <c r="D205" s="569"/>
      <c r="E205" s="247"/>
      <c r="F205" s="569"/>
      <c r="G205" s="247"/>
      <c r="H205" s="569"/>
      <c r="I205" s="569"/>
      <c r="J205" s="569"/>
      <c r="K205" s="247"/>
    </row>
    <row r="206" spans="1:11" ht="9.9499999999999993" customHeight="1" x14ac:dyDescent="0.2">
      <c r="A206" s="569"/>
      <c r="B206" s="569"/>
      <c r="C206" s="247"/>
      <c r="D206" s="569"/>
      <c r="E206" s="247"/>
      <c r="F206" s="569"/>
      <c r="G206" s="247"/>
      <c r="H206" s="569"/>
      <c r="I206" s="569"/>
      <c r="J206" s="569"/>
      <c r="K206" s="247"/>
    </row>
    <row r="207" spans="1:11" ht="9.9499999999999993" customHeight="1" x14ac:dyDescent="0.2">
      <c r="A207" s="569"/>
      <c r="B207" s="569"/>
      <c r="C207" s="247"/>
      <c r="D207" s="569"/>
      <c r="E207" s="247"/>
      <c r="F207" s="569"/>
      <c r="G207" s="247"/>
      <c r="H207" s="569"/>
      <c r="I207" s="569"/>
      <c r="J207" s="569"/>
      <c r="K207" s="247"/>
    </row>
    <row r="208" spans="1:11" ht="9.9499999999999993" customHeight="1" x14ac:dyDescent="0.2">
      <c r="A208" s="569"/>
      <c r="B208" s="569"/>
      <c r="C208" s="247"/>
      <c r="D208" s="569"/>
      <c r="E208" s="247"/>
      <c r="F208" s="569"/>
      <c r="G208" s="247"/>
      <c r="H208" s="569"/>
      <c r="I208" s="569"/>
      <c r="J208" s="569"/>
      <c r="K208" s="247"/>
    </row>
    <row r="209" spans="1:11" ht="9.9499999999999993" customHeight="1" x14ac:dyDescent="0.2">
      <c r="A209" s="569"/>
      <c r="B209" s="569"/>
      <c r="C209" s="247"/>
      <c r="D209" s="569"/>
      <c r="E209" s="247"/>
      <c r="F209" s="569"/>
      <c r="G209" s="247"/>
      <c r="H209" s="569"/>
      <c r="I209" s="569"/>
      <c r="J209" s="569"/>
      <c r="K209" s="247"/>
    </row>
    <row r="210" spans="1:11" ht="9.9499999999999993" customHeight="1" x14ac:dyDescent="0.2">
      <c r="A210" s="569"/>
      <c r="B210" s="569"/>
      <c r="C210" s="247"/>
      <c r="D210" s="569"/>
      <c r="E210" s="247"/>
      <c r="F210" s="569"/>
      <c r="G210" s="247"/>
      <c r="H210" s="569"/>
      <c r="I210" s="569"/>
      <c r="J210" s="569"/>
      <c r="K210" s="247"/>
    </row>
    <row r="211" spans="1:11" ht="9.9499999999999993" customHeight="1" x14ac:dyDescent="0.2">
      <c r="A211" s="569"/>
      <c r="B211" s="569"/>
      <c r="C211" s="247"/>
      <c r="D211" s="569"/>
      <c r="E211" s="247"/>
      <c r="F211" s="569"/>
      <c r="G211" s="247"/>
      <c r="H211" s="569"/>
      <c r="I211" s="569"/>
      <c r="J211" s="569"/>
      <c r="K211" s="247"/>
    </row>
    <row r="212" spans="1:11" ht="9.9499999999999993" customHeight="1" x14ac:dyDescent="0.2">
      <c r="A212" s="569"/>
      <c r="B212" s="569"/>
      <c r="C212" s="247"/>
      <c r="D212" s="569"/>
      <c r="E212" s="247"/>
      <c r="F212" s="569"/>
      <c r="G212" s="247"/>
      <c r="H212" s="569"/>
      <c r="I212" s="569"/>
      <c r="J212" s="569"/>
      <c r="K212" s="247"/>
    </row>
    <row r="213" spans="1:11" ht="9.9499999999999993" customHeight="1" x14ac:dyDescent="0.2">
      <c r="A213" s="569"/>
      <c r="B213" s="569"/>
      <c r="C213" s="247"/>
      <c r="D213" s="569"/>
      <c r="E213" s="247"/>
      <c r="F213" s="569"/>
      <c r="G213" s="247"/>
      <c r="H213" s="569"/>
      <c r="I213" s="569"/>
      <c r="J213" s="569"/>
      <c r="K213" s="247"/>
    </row>
    <row r="214" spans="1:11" ht="9.9499999999999993" customHeight="1" x14ac:dyDescent="0.2">
      <c r="A214" s="569"/>
      <c r="B214" s="569"/>
      <c r="C214" s="247"/>
      <c r="D214" s="569"/>
      <c r="E214" s="247"/>
      <c r="F214" s="569"/>
      <c r="G214" s="247"/>
      <c r="H214" s="569"/>
      <c r="I214" s="569"/>
      <c r="J214" s="569"/>
      <c r="K214" s="247"/>
    </row>
    <row r="215" spans="1:11" ht="9.9499999999999993" customHeight="1" x14ac:dyDescent="0.2">
      <c r="A215" s="569"/>
      <c r="B215" s="569"/>
      <c r="C215" s="247"/>
      <c r="D215" s="569"/>
      <c r="E215" s="247"/>
      <c r="F215" s="569"/>
      <c r="G215" s="247"/>
      <c r="H215" s="569"/>
      <c r="I215" s="569"/>
      <c r="J215" s="569"/>
      <c r="K215" s="247"/>
    </row>
    <row r="216" spans="1:11" ht="9.9499999999999993" customHeight="1" x14ac:dyDescent="0.2">
      <c r="A216" s="569"/>
      <c r="B216" s="569"/>
      <c r="C216" s="247"/>
      <c r="D216" s="569"/>
      <c r="E216" s="247"/>
      <c r="F216" s="569"/>
      <c r="G216" s="247"/>
      <c r="H216" s="569"/>
      <c r="I216" s="569"/>
      <c r="J216" s="569"/>
      <c r="K216" s="247"/>
    </row>
    <row r="217" spans="1:11" ht="9.9499999999999993" customHeight="1" x14ac:dyDescent="0.2">
      <c r="A217" s="569"/>
      <c r="B217" s="569"/>
      <c r="C217" s="247"/>
      <c r="D217" s="569"/>
      <c r="E217" s="247"/>
      <c r="F217" s="569"/>
      <c r="G217" s="247"/>
      <c r="H217" s="569"/>
      <c r="I217" s="569"/>
      <c r="J217" s="569"/>
      <c r="K217" s="247"/>
    </row>
    <row r="218" spans="1:11" ht="9.9499999999999993" customHeight="1" x14ac:dyDescent="0.2">
      <c r="A218" s="569"/>
      <c r="B218" s="569"/>
      <c r="C218" s="247"/>
      <c r="D218" s="569"/>
      <c r="E218" s="247"/>
      <c r="F218" s="569"/>
      <c r="G218" s="247"/>
      <c r="H218" s="569"/>
      <c r="I218" s="569"/>
      <c r="J218" s="569"/>
      <c r="K218" s="247"/>
    </row>
    <row r="219" spans="1:11" ht="9.9499999999999993" customHeight="1" x14ac:dyDescent="0.2">
      <c r="A219" s="569"/>
      <c r="B219" s="569"/>
      <c r="C219" s="247"/>
      <c r="D219" s="569"/>
      <c r="E219" s="247"/>
      <c r="F219" s="569"/>
      <c r="G219" s="247"/>
      <c r="H219" s="569"/>
      <c r="I219" s="569"/>
      <c r="J219" s="569"/>
      <c r="K219" s="247"/>
    </row>
    <row r="220" spans="1:11" ht="9.9499999999999993" customHeight="1" x14ac:dyDescent="0.2">
      <c r="A220" s="569"/>
      <c r="B220" s="569"/>
      <c r="C220" s="247"/>
      <c r="D220" s="569"/>
      <c r="E220" s="247"/>
      <c r="F220" s="569"/>
      <c r="G220" s="247"/>
      <c r="H220" s="569"/>
      <c r="I220" s="569"/>
      <c r="J220" s="569"/>
      <c r="K220" s="247"/>
    </row>
    <row r="221" spans="1:11" ht="9.9499999999999993" customHeight="1" x14ac:dyDescent="0.2">
      <c r="A221" s="569"/>
      <c r="B221" s="569"/>
      <c r="C221" s="247"/>
      <c r="D221" s="569"/>
      <c r="E221" s="247"/>
      <c r="F221" s="569"/>
      <c r="G221" s="247"/>
      <c r="H221" s="569"/>
      <c r="I221" s="569"/>
      <c r="J221" s="569"/>
      <c r="K221" s="247"/>
    </row>
    <row r="222" spans="1:11" ht="9.9499999999999993" customHeight="1" x14ac:dyDescent="0.2">
      <c r="A222" s="569"/>
      <c r="B222" s="569"/>
      <c r="C222" s="247"/>
      <c r="D222" s="569"/>
      <c r="E222" s="247"/>
      <c r="F222" s="569"/>
      <c r="G222" s="247"/>
      <c r="H222" s="569"/>
      <c r="I222" s="569"/>
      <c r="J222" s="569"/>
      <c r="K222" s="247"/>
    </row>
    <row r="223" spans="1:11" ht="9.9499999999999993" customHeight="1" x14ac:dyDescent="0.2">
      <c r="A223" s="569"/>
      <c r="B223" s="569"/>
      <c r="C223" s="247"/>
      <c r="D223" s="569"/>
      <c r="E223" s="247"/>
      <c r="F223" s="569"/>
      <c r="G223" s="247"/>
      <c r="H223" s="569"/>
      <c r="I223" s="569"/>
      <c r="J223" s="569"/>
      <c r="K223" s="247"/>
    </row>
    <row r="224" spans="1:11" ht="9.9499999999999993" customHeight="1" x14ac:dyDescent="0.2">
      <c r="A224" s="569"/>
      <c r="B224" s="569"/>
      <c r="C224" s="247"/>
      <c r="D224" s="569"/>
      <c r="E224" s="247"/>
      <c r="F224" s="569"/>
      <c r="G224" s="247"/>
      <c r="H224" s="569"/>
      <c r="I224" s="569"/>
      <c r="J224" s="569"/>
      <c r="K224" s="247"/>
    </row>
    <row r="225" spans="1:11" ht="9.9499999999999993" customHeight="1" x14ac:dyDescent="0.2">
      <c r="A225" s="569"/>
      <c r="B225" s="569"/>
      <c r="C225" s="247"/>
      <c r="D225" s="569"/>
      <c r="E225" s="247"/>
      <c r="F225" s="569"/>
      <c r="G225" s="247"/>
      <c r="H225" s="569"/>
      <c r="I225" s="569"/>
      <c r="J225" s="569"/>
      <c r="K225" s="247"/>
    </row>
    <row r="226" spans="1:11" ht="9.9499999999999993" customHeight="1" x14ac:dyDescent="0.2">
      <c r="A226" s="569"/>
      <c r="B226" s="569"/>
      <c r="C226" s="247"/>
      <c r="D226" s="569"/>
      <c r="E226" s="247"/>
      <c r="F226" s="569"/>
      <c r="G226" s="247"/>
      <c r="H226" s="569"/>
      <c r="I226" s="569"/>
      <c r="J226" s="569"/>
      <c r="K226" s="247"/>
    </row>
    <row r="227" spans="1:11" ht="9.9499999999999993" customHeight="1" x14ac:dyDescent="0.2">
      <c r="A227" s="569"/>
      <c r="B227" s="569"/>
      <c r="C227" s="247"/>
      <c r="D227" s="569"/>
      <c r="E227" s="247"/>
      <c r="F227" s="569"/>
      <c r="G227" s="247"/>
      <c r="H227" s="569"/>
      <c r="I227" s="569"/>
      <c r="J227" s="569"/>
      <c r="K227" s="247"/>
    </row>
    <row r="228" spans="1:11" ht="9.9499999999999993" customHeight="1" x14ac:dyDescent="0.2">
      <c r="A228" s="569"/>
      <c r="B228" s="569"/>
      <c r="C228" s="247"/>
      <c r="D228" s="569"/>
      <c r="E228" s="247"/>
      <c r="F228" s="569"/>
      <c r="G228" s="247"/>
      <c r="H228" s="569"/>
      <c r="I228" s="569"/>
      <c r="J228" s="569"/>
      <c r="K228" s="247"/>
    </row>
    <row r="229" spans="1:11" ht="9.9499999999999993" customHeight="1" x14ac:dyDescent="0.2">
      <c r="A229" s="569"/>
      <c r="B229" s="569"/>
      <c r="C229" s="247"/>
      <c r="D229" s="569"/>
      <c r="E229" s="247"/>
      <c r="F229" s="569"/>
      <c r="G229" s="247"/>
      <c r="H229" s="569"/>
      <c r="I229" s="569"/>
      <c r="J229" s="569"/>
      <c r="K229" s="247"/>
    </row>
    <row r="230" spans="1:11" ht="9.9499999999999993" customHeight="1" x14ac:dyDescent="0.2">
      <c r="A230" s="569"/>
      <c r="B230" s="569"/>
      <c r="C230" s="247"/>
      <c r="D230" s="569"/>
      <c r="E230" s="247"/>
      <c r="F230" s="569"/>
      <c r="G230" s="247"/>
      <c r="H230" s="569"/>
      <c r="I230" s="569"/>
      <c r="J230" s="569"/>
      <c r="K230" s="247"/>
    </row>
    <row r="231" spans="1:11" ht="9.9499999999999993" customHeight="1" x14ac:dyDescent="0.2">
      <c r="A231" s="569"/>
      <c r="B231" s="569"/>
      <c r="C231" s="247"/>
      <c r="D231" s="569"/>
      <c r="E231" s="247"/>
      <c r="F231" s="569"/>
      <c r="G231" s="247"/>
      <c r="H231" s="569"/>
      <c r="I231" s="569"/>
      <c r="J231" s="569"/>
      <c r="K231" s="247"/>
    </row>
    <row r="232" spans="1:11" ht="9.9499999999999993" customHeight="1" x14ac:dyDescent="0.2">
      <c r="A232" s="569"/>
      <c r="B232" s="569"/>
      <c r="C232" s="247"/>
      <c r="D232" s="569"/>
      <c r="E232" s="247"/>
      <c r="F232" s="569"/>
      <c r="G232" s="247"/>
      <c r="H232" s="569"/>
      <c r="I232" s="569"/>
      <c r="J232" s="569"/>
      <c r="K232" s="247"/>
    </row>
    <row r="233" spans="1:11" ht="9.9499999999999993" customHeight="1" x14ac:dyDescent="0.2">
      <c r="A233" s="569"/>
      <c r="B233" s="569"/>
      <c r="C233" s="247"/>
      <c r="D233" s="569"/>
      <c r="E233" s="247"/>
      <c r="F233" s="569"/>
      <c r="G233" s="247"/>
      <c r="H233" s="569"/>
      <c r="I233" s="569"/>
      <c r="J233" s="569"/>
      <c r="K233" s="247"/>
    </row>
    <row r="234" spans="1:11" ht="9.9499999999999993" customHeight="1" x14ac:dyDescent="0.2">
      <c r="A234" s="569"/>
      <c r="B234" s="569"/>
      <c r="C234" s="247"/>
      <c r="D234" s="569"/>
      <c r="E234" s="247"/>
      <c r="F234" s="569"/>
      <c r="G234" s="247"/>
      <c r="H234" s="569"/>
      <c r="I234" s="569"/>
      <c r="J234" s="569"/>
      <c r="K234" s="247"/>
    </row>
    <row r="235" spans="1:11" ht="9.9499999999999993" customHeight="1" x14ac:dyDescent="0.2">
      <c r="A235" s="569"/>
      <c r="B235" s="569"/>
      <c r="C235" s="247"/>
      <c r="D235" s="569"/>
      <c r="E235" s="247"/>
      <c r="F235" s="569"/>
      <c r="G235" s="247"/>
      <c r="H235" s="569"/>
      <c r="I235" s="569"/>
      <c r="J235" s="569"/>
      <c r="K235" s="247"/>
    </row>
    <row r="236" spans="1:11" ht="9.9499999999999993" customHeight="1" x14ac:dyDescent="0.2">
      <c r="A236" s="569"/>
      <c r="B236" s="569"/>
      <c r="C236" s="247"/>
      <c r="D236" s="569"/>
      <c r="E236" s="247"/>
      <c r="F236" s="569"/>
      <c r="G236" s="247"/>
      <c r="H236" s="569"/>
      <c r="I236" s="569"/>
      <c r="J236" s="569"/>
      <c r="K236" s="247"/>
    </row>
    <row r="237" spans="1:11" ht="9.9499999999999993" customHeight="1" x14ac:dyDescent="0.2">
      <c r="A237" s="569"/>
      <c r="B237" s="569"/>
      <c r="C237" s="247"/>
      <c r="D237" s="569"/>
      <c r="E237" s="247"/>
      <c r="F237" s="569"/>
      <c r="G237" s="247"/>
      <c r="H237" s="569"/>
      <c r="I237" s="569"/>
      <c r="J237" s="569"/>
      <c r="K237" s="247"/>
    </row>
    <row r="238" spans="1:11" ht="9.9499999999999993" customHeight="1" x14ac:dyDescent="0.2">
      <c r="A238" s="569"/>
      <c r="B238" s="569"/>
      <c r="C238" s="247"/>
      <c r="D238" s="569"/>
      <c r="E238" s="247"/>
      <c r="F238" s="569"/>
      <c r="G238" s="247"/>
      <c r="H238" s="569"/>
      <c r="I238" s="569"/>
      <c r="J238" s="569"/>
      <c r="K238" s="247"/>
    </row>
    <row r="239" spans="1:11" ht="9.9499999999999993" customHeight="1" x14ac:dyDescent="0.2">
      <c r="A239" s="569"/>
      <c r="B239" s="569"/>
      <c r="C239" s="247"/>
      <c r="D239" s="569"/>
      <c r="E239" s="247"/>
      <c r="F239" s="569"/>
      <c r="G239" s="247"/>
      <c r="H239" s="569"/>
      <c r="I239" s="569"/>
      <c r="J239" s="569"/>
      <c r="K239" s="247"/>
    </row>
    <row r="240" spans="1:11" ht="9.9499999999999993" customHeight="1" x14ac:dyDescent="0.2">
      <c r="A240" s="569"/>
      <c r="B240" s="569"/>
      <c r="C240" s="247"/>
      <c r="D240" s="569"/>
      <c r="E240" s="247"/>
      <c r="F240" s="569"/>
      <c r="G240" s="247"/>
      <c r="H240" s="569"/>
      <c r="I240" s="569"/>
      <c r="J240" s="569"/>
      <c r="K240" s="247"/>
    </row>
    <row r="241" spans="1:11" ht="9.9499999999999993" customHeight="1" x14ac:dyDescent="0.2">
      <c r="A241" s="569"/>
      <c r="B241" s="569"/>
      <c r="C241" s="247"/>
      <c r="D241" s="569"/>
      <c r="E241" s="247"/>
      <c r="F241" s="569"/>
      <c r="G241" s="247"/>
      <c r="H241" s="569"/>
      <c r="I241" s="569"/>
      <c r="J241" s="569"/>
      <c r="K241" s="247"/>
    </row>
    <row r="242" spans="1:11" ht="9.9499999999999993" customHeight="1" x14ac:dyDescent="0.2">
      <c r="A242" s="569"/>
      <c r="B242" s="569"/>
      <c r="C242" s="247"/>
      <c r="D242" s="569"/>
      <c r="E242" s="247"/>
      <c r="F242" s="569"/>
      <c r="G242" s="247"/>
      <c r="H242" s="569"/>
      <c r="I242" s="569"/>
      <c r="J242" s="569"/>
      <c r="K242" s="247"/>
    </row>
    <row r="243" spans="1:11" ht="9.9499999999999993" customHeight="1" x14ac:dyDescent="0.2">
      <c r="A243" s="569"/>
      <c r="B243" s="569"/>
      <c r="C243" s="247"/>
      <c r="D243" s="569"/>
      <c r="E243" s="247"/>
      <c r="F243" s="569"/>
      <c r="G243" s="247"/>
      <c r="H243" s="569"/>
      <c r="I243" s="569"/>
      <c r="J243" s="569"/>
      <c r="K243" s="247"/>
    </row>
    <row r="244" spans="1:11" ht="9.9499999999999993" customHeight="1" x14ac:dyDescent="0.2">
      <c r="A244" s="569"/>
      <c r="B244" s="569"/>
      <c r="C244" s="247"/>
      <c r="D244" s="569"/>
      <c r="E244" s="247"/>
      <c r="F244" s="569"/>
      <c r="G244" s="247"/>
      <c r="H244" s="569"/>
      <c r="I244" s="569"/>
      <c r="J244" s="569"/>
      <c r="K244" s="247"/>
    </row>
    <row r="245" spans="1:11" ht="9.9499999999999993" customHeight="1" x14ac:dyDescent="0.2">
      <c r="A245" s="569"/>
      <c r="B245" s="569"/>
      <c r="C245" s="247"/>
      <c r="D245" s="569"/>
      <c r="E245" s="247"/>
      <c r="F245" s="569"/>
      <c r="G245" s="247"/>
      <c r="H245" s="569"/>
      <c r="I245" s="569"/>
      <c r="J245" s="569"/>
      <c r="K245" s="247"/>
    </row>
    <row r="246" spans="1:11" ht="9.9499999999999993" customHeight="1" x14ac:dyDescent="0.2">
      <c r="A246" s="569"/>
      <c r="B246" s="569"/>
      <c r="C246" s="247"/>
      <c r="D246" s="569"/>
      <c r="E246" s="247"/>
      <c r="F246" s="569"/>
      <c r="G246" s="247"/>
      <c r="H246" s="569"/>
      <c r="I246" s="569"/>
      <c r="J246" s="569"/>
      <c r="K246" s="247"/>
    </row>
    <row r="247" spans="1:11" ht="9.9499999999999993" customHeight="1" x14ac:dyDescent="0.2">
      <c r="A247" s="569"/>
      <c r="B247" s="569"/>
      <c r="C247" s="247"/>
      <c r="D247" s="569"/>
      <c r="E247" s="247"/>
      <c r="F247" s="569"/>
      <c r="G247" s="247"/>
      <c r="H247" s="569"/>
      <c r="I247" s="569"/>
      <c r="J247" s="569"/>
      <c r="K247" s="247"/>
    </row>
    <row r="248" spans="1:11" ht="9.9499999999999993" customHeight="1" x14ac:dyDescent="0.2">
      <c r="A248" s="569"/>
      <c r="B248" s="569"/>
      <c r="C248" s="247"/>
      <c r="D248" s="569"/>
      <c r="E248" s="247"/>
      <c r="F248" s="569"/>
      <c r="G248" s="247"/>
      <c r="H248" s="569"/>
      <c r="I248" s="569"/>
      <c r="J248" s="569"/>
      <c r="K248" s="247"/>
    </row>
    <row r="249" spans="1:11" ht="9.9499999999999993" customHeight="1" x14ac:dyDescent="0.2">
      <c r="A249" s="569"/>
      <c r="B249" s="569"/>
      <c r="C249" s="247"/>
      <c r="D249" s="569"/>
      <c r="E249" s="247"/>
      <c r="F249" s="569"/>
      <c r="G249" s="247"/>
      <c r="H249" s="569"/>
      <c r="I249" s="569"/>
      <c r="J249" s="569"/>
      <c r="K249" s="247"/>
    </row>
    <row r="250" spans="1:11" ht="9.9499999999999993" customHeight="1" x14ac:dyDescent="0.2">
      <c r="A250" s="569"/>
      <c r="B250" s="569"/>
      <c r="C250" s="247"/>
      <c r="D250" s="569"/>
      <c r="E250" s="247"/>
      <c r="F250" s="569"/>
      <c r="G250" s="247"/>
      <c r="H250" s="569"/>
      <c r="I250" s="569"/>
      <c r="J250" s="569"/>
      <c r="K250" s="247"/>
    </row>
    <row r="251" spans="1:11" ht="9.9499999999999993" customHeight="1" x14ac:dyDescent="0.2">
      <c r="A251" s="569"/>
      <c r="B251" s="569"/>
      <c r="C251" s="247"/>
      <c r="D251" s="569"/>
      <c r="E251" s="247"/>
      <c r="F251" s="569"/>
      <c r="G251" s="247"/>
      <c r="H251" s="569"/>
      <c r="I251" s="569"/>
      <c r="J251" s="569"/>
      <c r="K251" s="247"/>
    </row>
    <row r="252" spans="1:11" ht="9.9499999999999993" customHeight="1" x14ac:dyDescent="0.2">
      <c r="A252" s="569"/>
      <c r="B252" s="569"/>
      <c r="C252" s="247"/>
      <c r="D252" s="569"/>
      <c r="E252" s="247"/>
      <c r="F252" s="569"/>
      <c r="G252" s="247"/>
      <c r="H252" s="569"/>
      <c r="I252" s="569"/>
      <c r="J252" s="569"/>
      <c r="K252" s="247"/>
    </row>
    <row r="253" spans="1:11" ht="9.9499999999999993" customHeight="1" x14ac:dyDescent="0.2">
      <c r="A253" s="569"/>
      <c r="B253" s="569"/>
      <c r="C253" s="247"/>
      <c r="D253" s="569"/>
      <c r="E253" s="247"/>
      <c r="F253" s="569"/>
      <c r="G253" s="247"/>
      <c r="H253" s="569"/>
      <c r="I253" s="569"/>
      <c r="J253" s="569"/>
      <c r="K253" s="247"/>
    </row>
    <row r="254" spans="1:11" ht="9.9499999999999993" customHeight="1" x14ac:dyDescent="0.2">
      <c r="A254" s="569"/>
      <c r="B254" s="569"/>
      <c r="C254" s="247"/>
      <c r="D254" s="569"/>
      <c r="E254" s="247"/>
      <c r="F254" s="569"/>
      <c r="G254" s="247"/>
      <c r="H254" s="569"/>
      <c r="I254" s="569"/>
      <c r="J254" s="569"/>
      <c r="K254" s="247"/>
    </row>
    <row r="255" spans="1:11" ht="9.9499999999999993" customHeight="1" x14ac:dyDescent="0.2">
      <c r="A255" s="569"/>
      <c r="B255" s="569"/>
      <c r="C255" s="247"/>
      <c r="D255" s="569"/>
      <c r="E255" s="247"/>
      <c r="F255" s="569"/>
      <c r="G255" s="247"/>
      <c r="H255" s="569"/>
      <c r="I255" s="569"/>
      <c r="J255" s="569"/>
      <c r="K255" s="247"/>
    </row>
    <row r="256" spans="1:11" ht="9.9499999999999993" customHeight="1" x14ac:dyDescent="0.2">
      <c r="A256" s="569"/>
      <c r="B256" s="569"/>
      <c r="C256" s="247"/>
      <c r="D256" s="569"/>
      <c r="E256" s="247"/>
      <c r="F256" s="569"/>
      <c r="G256" s="247"/>
      <c r="H256" s="569"/>
      <c r="I256" s="569"/>
      <c r="J256" s="569"/>
      <c r="K256" s="247"/>
    </row>
    <row r="257" spans="1:11" ht="9.9499999999999993" customHeight="1" x14ac:dyDescent="0.2">
      <c r="A257" s="569"/>
      <c r="B257" s="569"/>
      <c r="C257" s="247"/>
      <c r="D257" s="569"/>
      <c r="E257" s="247"/>
      <c r="F257" s="569"/>
      <c r="G257" s="247"/>
      <c r="H257" s="569"/>
      <c r="I257" s="569"/>
      <c r="J257" s="569"/>
      <c r="K257" s="247"/>
    </row>
    <row r="258" spans="1:11" ht="9.9499999999999993" customHeight="1" x14ac:dyDescent="0.2">
      <c r="A258" s="569"/>
      <c r="B258" s="569"/>
      <c r="C258" s="247"/>
      <c r="D258" s="569"/>
      <c r="E258" s="247"/>
      <c r="F258" s="569"/>
      <c r="G258" s="247"/>
      <c r="H258" s="569"/>
      <c r="I258" s="569"/>
      <c r="J258" s="569"/>
      <c r="K258" s="247"/>
    </row>
    <row r="259" spans="1:11" ht="9.9499999999999993" customHeight="1" x14ac:dyDescent="0.2">
      <c r="A259" s="569"/>
      <c r="B259" s="569"/>
      <c r="C259" s="247"/>
      <c r="D259" s="569"/>
      <c r="E259" s="247"/>
      <c r="F259" s="569"/>
      <c r="G259" s="247"/>
      <c r="H259" s="569"/>
      <c r="I259" s="569"/>
      <c r="J259" s="569"/>
      <c r="K259" s="247"/>
    </row>
    <row r="260" spans="1:11" ht="9.9499999999999993" customHeight="1" x14ac:dyDescent="0.2">
      <c r="A260" s="569"/>
      <c r="B260" s="569"/>
      <c r="C260" s="247"/>
      <c r="D260" s="569"/>
      <c r="E260" s="247"/>
      <c r="F260" s="569"/>
      <c r="G260" s="247"/>
      <c r="H260" s="569"/>
      <c r="I260" s="569"/>
      <c r="J260" s="569"/>
      <c r="K260" s="247"/>
    </row>
    <row r="261" spans="1:11" ht="9.9499999999999993" customHeight="1" x14ac:dyDescent="0.2">
      <c r="A261" s="569"/>
      <c r="B261" s="569"/>
      <c r="C261" s="247"/>
      <c r="D261" s="569"/>
      <c r="E261" s="247"/>
      <c r="F261" s="569"/>
      <c r="G261" s="247"/>
      <c r="H261" s="569"/>
      <c r="I261" s="569"/>
      <c r="J261" s="569"/>
      <c r="K261" s="247"/>
    </row>
    <row r="262" spans="1:11" ht="9.9499999999999993" customHeight="1" x14ac:dyDescent="0.2">
      <c r="A262" s="569"/>
      <c r="B262" s="569"/>
      <c r="C262" s="247"/>
      <c r="D262" s="569"/>
      <c r="E262" s="247"/>
      <c r="F262" s="569"/>
      <c r="G262" s="247"/>
      <c r="H262" s="569"/>
      <c r="I262" s="569"/>
      <c r="J262" s="569"/>
      <c r="K262" s="247"/>
    </row>
    <row r="263" spans="1:11" ht="9.9499999999999993" customHeight="1" x14ac:dyDescent="0.2">
      <c r="A263" s="569"/>
      <c r="B263" s="569"/>
      <c r="C263" s="247"/>
      <c r="D263" s="569"/>
      <c r="E263" s="247"/>
      <c r="F263" s="569"/>
      <c r="G263" s="247"/>
      <c r="H263" s="569"/>
      <c r="I263" s="569"/>
      <c r="J263" s="569"/>
      <c r="K263" s="247"/>
    </row>
    <row r="264" spans="1:11" ht="9.9499999999999993" customHeight="1" x14ac:dyDescent="0.2">
      <c r="A264" s="569"/>
      <c r="B264" s="569"/>
      <c r="C264" s="247"/>
      <c r="D264" s="569"/>
      <c r="E264" s="247"/>
      <c r="F264" s="569"/>
      <c r="G264" s="247"/>
      <c r="H264" s="569"/>
      <c r="I264" s="569"/>
      <c r="J264" s="569"/>
      <c r="K264" s="247"/>
    </row>
    <row r="265" spans="1:11" ht="9.9499999999999993" customHeight="1" x14ac:dyDescent="0.2">
      <c r="A265" s="569"/>
      <c r="B265" s="569"/>
      <c r="C265" s="247"/>
      <c r="D265" s="569"/>
      <c r="E265" s="247"/>
      <c r="F265" s="569"/>
      <c r="G265" s="247"/>
      <c r="H265" s="569"/>
      <c r="I265" s="569"/>
      <c r="J265" s="569"/>
      <c r="K265" s="247"/>
    </row>
    <row r="266" spans="1:11" ht="9.9499999999999993" customHeight="1" x14ac:dyDescent="0.2">
      <c r="A266" s="569"/>
      <c r="B266" s="569"/>
      <c r="C266" s="247"/>
      <c r="D266" s="569"/>
      <c r="E266" s="247"/>
      <c r="F266" s="569"/>
      <c r="G266" s="247"/>
      <c r="H266" s="569"/>
      <c r="I266" s="569"/>
      <c r="J266" s="569"/>
      <c r="K266" s="247"/>
    </row>
    <row r="267" spans="1:11" ht="9.9499999999999993" customHeight="1" x14ac:dyDescent="0.2">
      <c r="A267" s="569"/>
      <c r="B267" s="569"/>
      <c r="C267" s="247"/>
      <c r="D267" s="569"/>
      <c r="E267" s="247"/>
      <c r="F267" s="569"/>
      <c r="G267" s="247"/>
      <c r="H267" s="569"/>
      <c r="I267" s="569"/>
      <c r="J267" s="569"/>
      <c r="K267" s="247"/>
    </row>
    <row r="268" spans="1:11" ht="9.9499999999999993" customHeight="1" x14ac:dyDescent="0.2">
      <c r="A268" s="569"/>
      <c r="B268" s="569"/>
      <c r="C268" s="247"/>
      <c r="D268" s="569"/>
      <c r="E268" s="247"/>
      <c r="F268" s="569"/>
      <c r="G268" s="247"/>
      <c r="H268" s="569"/>
      <c r="I268" s="569"/>
      <c r="J268" s="569"/>
      <c r="K268" s="247"/>
    </row>
    <row r="269" spans="1:11" ht="9.9499999999999993" customHeight="1" x14ac:dyDescent="0.2">
      <c r="A269" s="569"/>
      <c r="B269" s="569"/>
      <c r="C269" s="247"/>
      <c r="D269" s="569"/>
      <c r="E269" s="247"/>
      <c r="F269" s="569"/>
      <c r="G269" s="247"/>
      <c r="H269" s="569"/>
      <c r="I269" s="569"/>
      <c r="J269" s="569"/>
      <c r="K269" s="247"/>
    </row>
    <row r="270" spans="1:11" ht="9.9499999999999993" customHeight="1" x14ac:dyDescent="0.2">
      <c r="A270" s="569"/>
      <c r="B270" s="569"/>
      <c r="C270" s="247"/>
      <c r="D270" s="569"/>
      <c r="E270" s="247"/>
      <c r="F270" s="569"/>
      <c r="G270" s="247"/>
      <c r="H270" s="569"/>
      <c r="I270" s="569"/>
      <c r="J270" s="569"/>
      <c r="K270" s="247"/>
    </row>
    <row r="271" spans="1:11" ht="9.9499999999999993" customHeight="1" x14ac:dyDescent="0.2">
      <c r="A271" s="569"/>
      <c r="B271" s="569"/>
      <c r="C271" s="247"/>
      <c r="D271" s="569"/>
      <c r="E271" s="247"/>
      <c r="F271" s="569"/>
      <c r="G271" s="247"/>
      <c r="H271" s="569"/>
      <c r="I271" s="569"/>
      <c r="J271" s="569"/>
      <c r="K271" s="247"/>
    </row>
    <row r="272" spans="1:11" ht="9.9499999999999993" customHeight="1" x14ac:dyDescent="0.2">
      <c r="A272" s="569"/>
      <c r="B272" s="569"/>
      <c r="C272" s="247"/>
      <c r="D272" s="569"/>
      <c r="E272" s="247"/>
      <c r="F272" s="569"/>
      <c r="G272" s="247"/>
      <c r="H272" s="569"/>
      <c r="I272" s="569"/>
      <c r="J272" s="569"/>
      <c r="K272" s="247"/>
    </row>
    <row r="273" spans="1:11" ht="9.9499999999999993" customHeight="1" x14ac:dyDescent="0.2">
      <c r="A273" s="569"/>
      <c r="B273" s="569"/>
      <c r="C273" s="247"/>
      <c r="D273" s="569"/>
      <c r="E273" s="247"/>
      <c r="F273" s="569"/>
      <c r="G273" s="247"/>
      <c r="H273" s="569"/>
      <c r="I273" s="569"/>
      <c r="J273" s="569"/>
      <c r="K273" s="247"/>
    </row>
    <row r="274" spans="1:11" ht="9.9499999999999993" customHeight="1" x14ac:dyDescent="0.2">
      <c r="A274" s="569"/>
      <c r="B274" s="569"/>
      <c r="C274" s="247"/>
      <c r="D274" s="569"/>
      <c r="E274" s="247"/>
      <c r="F274" s="569"/>
      <c r="G274" s="247"/>
      <c r="H274" s="569"/>
      <c r="I274" s="569"/>
      <c r="J274" s="569"/>
      <c r="K274" s="247"/>
    </row>
    <row r="275" spans="1:11" ht="9.9499999999999993" customHeight="1" x14ac:dyDescent="0.2">
      <c r="A275" s="569"/>
      <c r="B275" s="569"/>
      <c r="C275" s="247"/>
      <c r="D275" s="569"/>
      <c r="E275" s="247"/>
      <c r="F275" s="569"/>
      <c r="G275" s="247"/>
      <c r="H275" s="569"/>
      <c r="I275" s="569"/>
      <c r="J275" s="569"/>
      <c r="K275" s="247"/>
    </row>
    <row r="276" spans="1:11" ht="9.9499999999999993" customHeight="1" x14ac:dyDescent="0.2">
      <c r="A276" s="569"/>
      <c r="B276" s="569"/>
      <c r="C276" s="247"/>
      <c r="D276" s="569"/>
      <c r="E276" s="247"/>
      <c r="F276" s="569"/>
      <c r="G276" s="247"/>
      <c r="H276" s="569"/>
      <c r="I276" s="569"/>
      <c r="J276" s="569"/>
      <c r="K276" s="247"/>
    </row>
    <row r="277" spans="1:11" ht="9.9499999999999993" customHeight="1" x14ac:dyDescent="0.2">
      <c r="A277" s="569"/>
      <c r="B277" s="569"/>
      <c r="C277" s="247"/>
      <c r="D277" s="569"/>
      <c r="E277" s="247"/>
      <c r="F277" s="569"/>
      <c r="G277" s="247"/>
      <c r="H277" s="569"/>
      <c r="I277" s="569"/>
      <c r="J277" s="569"/>
      <c r="K277" s="247"/>
    </row>
    <row r="278" spans="1:11" ht="9.9499999999999993" customHeight="1" x14ac:dyDescent="0.2">
      <c r="A278" s="569"/>
      <c r="B278" s="569"/>
      <c r="C278" s="247"/>
      <c r="D278" s="569"/>
      <c r="E278" s="247"/>
      <c r="F278" s="569"/>
      <c r="G278" s="247"/>
      <c r="H278" s="569"/>
      <c r="I278" s="569"/>
      <c r="J278" s="569"/>
      <c r="K278" s="247"/>
    </row>
    <row r="279" spans="1:11" ht="9.9499999999999993" customHeight="1" x14ac:dyDescent="0.2">
      <c r="A279" s="569"/>
      <c r="B279" s="569"/>
      <c r="C279" s="247"/>
      <c r="D279" s="569"/>
      <c r="E279" s="247"/>
      <c r="F279" s="569"/>
      <c r="G279" s="247"/>
      <c r="H279" s="569"/>
      <c r="I279" s="569"/>
      <c r="J279" s="569"/>
      <c r="K279" s="247"/>
    </row>
    <row r="280" spans="1:11" ht="9.9499999999999993" customHeight="1" x14ac:dyDescent="0.2">
      <c r="A280" s="569"/>
      <c r="B280" s="569"/>
      <c r="C280" s="247"/>
      <c r="D280" s="569"/>
      <c r="E280" s="247"/>
      <c r="F280" s="569"/>
      <c r="G280" s="247"/>
      <c r="H280" s="569"/>
      <c r="I280" s="569"/>
      <c r="J280" s="569"/>
      <c r="K280" s="247"/>
    </row>
    <row r="281" spans="1:11" ht="9.9499999999999993" customHeight="1" x14ac:dyDescent="0.2">
      <c r="A281" s="569"/>
      <c r="B281" s="569"/>
      <c r="C281" s="247"/>
      <c r="D281" s="569"/>
      <c r="E281" s="247"/>
      <c r="F281" s="569"/>
      <c r="G281" s="247"/>
      <c r="H281" s="569"/>
      <c r="I281" s="569"/>
      <c r="J281" s="569"/>
      <c r="K281" s="247"/>
    </row>
    <row r="282" spans="1:11" ht="9.9499999999999993" customHeight="1" x14ac:dyDescent="0.2">
      <c r="A282" s="569"/>
      <c r="B282" s="569"/>
      <c r="C282" s="247"/>
      <c r="D282" s="569"/>
      <c r="E282" s="247"/>
      <c r="F282" s="569"/>
      <c r="G282" s="247"/>
      <c r="H282" s="569"/>
      <c r="I282" s="569"/>
      <c r="J282" s="569"/>
      <c r="K282" s="247"/>
    </row>
    <row r="283" spans="1:11" ht="9.9499999999999993" customHeight="1" x14ac:dyDescent="0.2">
      <c r="A283" s="569"/>
      <c r="B283" s="569"/>
      <c r="C283" s="247"/>
      <c r="D283" s="569"/>
      <c r="E283" s="247"/>
      <c r="F283" s="569"/>
      <c r="G283" s="247"/>
      <c r="H283" s="569"/>
      <c r="I283" s="569"/>
      <c r="J283" s="569"/>
      <c r="K283" s="247"/>
    </row>
    <row r="284" spans="1:11" ht="9.9499999999999993" customHeight="1" x14ac:dyDescent="0.2">
      <c r="A284" s="569"/>
      <c r="B284" s="569"/>
      <c r="C284" s="247"/>
      <c r="D284" s="569"/>
      <c r="E284" s="247"/>
      <c r="F284" s="569"/>
      <c r="G284" s="247"/>
      <c r="H284" s="569"/>
      <c r="I284" s="569"/>
      <c r="J284" s="569"/>
      <c r="K284" s="247"/>
    </row>
    <row r="285" spans="1:11" ht="9.9499999999999993" customHeight="1" x14ac:dyDescent="0.2">
      <c r="A285" s="569"/>
      <c r="B285" s="569"/>
      <c r="C285" s="247"/>
      <c r="D285" s="569"/>
      <c r="E285" s="247"/>
      <c r="F285" s="569"/>
      <c r="G285" s="247"/>
      <c r="H285" s="569"/>
      <c r="I285" s="569"/>
      <c r="J285" s="569"/>
      <c r="K285" s="247"/>
    </row>
    <row r="286" spans="1:11" ht="9.9499999999999993" customHeight="1" x14ac:dyDescent="0.2">
      <c r="A286" s="569"/>
      <c r="B286" s="569"/>
      <c r="C286" s="247"/>
      <c r="D286" s="569"/>
      <c r="E286" s="247"/>
      <c r="F286" s="569"/>
      <c r="G286" s="247"/>
      <c r="H286" s="569"/>
      <c r="I286" s="569"/>
      <c r="J286" s="569"/>
      <c r="K286" s="247"/>
    </row>
    <row r="287" spans="1:11" ht="9.9499999999999993" customHeight="1" x14ac:dyDescent="0.2">
      <c r="A287" s="569"/>
      <c r="B287" s="569"/>
      <c r="C287" s="247"/>
      <c r="D287" s="569"/>
      <c r="E287" s="247"/>
      <c r="F287" s="569"/>
      <c r="G287" s="247"/>
      <c r="H287" s="569"/>
      <c r="I287" s="569"/>
      <c r="J287" s="569"/>
      <c r="K287" s="247"/>
    </row>
    <row r="288" spans="1:11" ht="9.9499999999999993" customHeight="1" x14ac:dyDescent="0.2">
      <c r="A288" s="569"/>
      <c r="B288" s="569"/>
      <c r="C288" s="247"/>
      <c r="D288" s="569"/>
      <c r="E288" s="247"/>
      <c r="F288" s="569"/>
      <c r="G288" s="247"/>
      <c r="H288" s="569"/>
      <c r="I288" s="569"/>
      <c r="J288" s="569"/>
      <c r="K288" s="247"/>
    </row>
    <row r="289" spans="1:11" ht="9.9499999999999993" customHeight="1" x14ac:dyDescent="0.2">
      <c r="A289" s="569"/>
      <c r="B289" s="569"/>
      <c r="C289" s="247"/>
      <c r="D289" s="569"/>
      <c r="E289" s="247"/>
      <c r="F289" s="569"/>
      <c r="G289" s="247"/>
      <c r="H289" s="569"/>
      <c r="I289" s="569"/>
      <c r="J289" s="569"/>
      <c r="K289" s="247"/>
    </row>
    <row r="290" spans="1:11" ht="9.9499999999999993" customHeight="1" x14ac:dyDescent="0.2">
      <c r="A290" s="569"/>
      <c r="B290" s="569"/>
      <c r="C290" s="247"/>
      <c r="D290" s="569"/>
      <c r="E290" s="247"/>
      <c r="F290" s="569"/>
      <c r="G290" s="247"/>
      <c r="H290" s="569"/>
      <c r="I290" s="569"/>
      <c r="J290" s="569"/>
      <c r="K290" s="247"/>
    </row>
    <row r="291" spans="1:11" ht="9.9499999999999993" customHeight="1" x14ac:dyDescent="0.2">
      <c r="A291" s="569"/>
      <c r="B291" s="569"/>
      <c r="C291" s="247"/>
      <c r="D291" s="569"/>
      <c r="E291" s="247"/>
      <c r="F291" s="569"/>
      <c r="G291" s="247"/>
      <c r="H291" s="569"/>
      <c r="I291" s="569"/>
      <c r="J291" s="569"/>
      <c r="K291" s="247"/>
    </row>
    <row r="292" spans="1:11" ht="9.9499999999999993" customHeight="1" x14ac:dyDescent="0.2">
      <c r="A292" s="569"/>
      <c r="B292" s="569"/>
      <c r="C292" s="247"/>
      <c r="D292" s="569"/>
      <c r="E292" s="247"/>
      <c r="F292" s="569"/>
      <c r="G292" s="247"/>
      <c r="H292" s="569"/>
      <c r="I292" s="569"/>
      <c r="J292" s="569"/>
      <c r="K292" s="247"/>
    </row>
    <row r="293" spans="1:11" ht="9.9499999999999993" customHeight="1" x14ac:dyDescent="0.2">
      <c r="A293" s="569"/>
      <c r="B293" s="569"/>
      <c r="C293" s="247"/>
      <c r="D293" s="569"/>
      <c r="E293" s="247"/>
      <c r="F293" s="569"/>
      <c r="G293" s="247"/>
      <c r="H293" s="569"/>
      <c r="I293" s="569"/>
      <c r="J293" s="569"/>
      <c r="K293" s="247"/>
    </row>
    <row r="294" spans="1:11" ht="9.9499999999999993" customHeight="1" x14ac:dyDescent="0.2">
      <c r="A294" s="569"/>
      <c r="B294" s="569"/>
      <c r="C294" s="247"/>
      <c r="D294" s="569"/>
      <c r="E294" s="247"/>
      <c r="F294" s="569"/>
      <c r="G294" s="247"/>
      <c r="H294" s="569"/>
      <c r="I294" s="569"/>
      <c r="J294" s="569"/>
      <c r="K294" s="247"/>
    </row>
    <row r="295" spans="1:11" ht="9.9499999999999993" customHeight="1" x14ac:dyDescent="0.2">
      <c r="A295" s="569"/>
      <c r="B295" s="569"/>
      <c r="C295" s="247"/>
      <c r="D295" s="569"/>
      <c r="E295" s="247"/>
      <c r="F295" s="569"/>
      <c r="G295" s="247"/>
      <c r="H295" s="569"/>
      <c r="I295" s="569"/>
      <c r="J295" s="569"/>
      <c r="K295" s="247"/>
    </row>
    <row r="296" spans="1:11" ht="9.9499999999999993" customHeight="1" x14ac:dyDescent="0.2">
      <c r="A296" s="569"/>
      <c r="B296" s="569"/>
      <c r="C296" s="247"/>
      <c r="D296" s="569"/>
      <c r="E296" s="247"/>
      <c r="F296" s="569"/>
      <c r="G296" s="247"/>
      <c r="H296" s="569"/>
      <c r="I296" s="569"/>
      <c r="J296" s="569"/>
      <c r="K296" s="247"/>
    </row>
    <row r="297" spans="1:11" ht="9.9499999999999993" customHeight="1" x14ac:dyDescent="0.2">
      <c r="A297" s="569"/>
      <c r="B297" s="569"/>
      <c r="C297" s="247"/>
      <c r="D297" s="569"/>
      <c r="E297" s="247"/>
      <c r="F297" s="569"/>
      <c r="G297" s="247"/>
      <c r="H297" s="569"/>
      <c r="I297" s="569"/>
      <c r="J297" s="569"/>
      <c r="K297" s="247"/>
    </row>
    <row r="298" spans="1:11" ht="9.9499999999999993" customHeight="1" x14ac:dyDescent="0.2">
      <c r="A298" s="569"/>
      <c r="B298" s="569"/>
      <c r="C298" s="247"/>
      <c r="D298" s="569"/>
      <c r="E298" s="247"/>
      <c r="F298" s="569"/>
      <c r="G298" s="247"/>
      <c r="H298" s="569"/>
      <c r="I298" s="569"/>
      <c r="J298" s="569"/>
      <c r="K298" s="247"/>
    </row>
    <row r="299" spans="1:11" ht="9.9499999999999993" customHeight="1" x14ac:dyDescent="0.2">
      <c r="A299" s="569"/>
      <c r="B299" s="569"/>
      <c r="C299" s="247"/>
      <c r="D299" s="569"/>
      <c r="E299" s="247"/>
      <c r="F299" s="569"/>
      <c r="G299" s="247"/>
      <c r="H299" s="569"/>
      <c r="I299" s="569"/>
      <c r="J299" s="569"/>
      <c r="K299" s="247"/>
    </row>
    <row r="300" spans="1:11" ht="9.9499999999999993" customHeight="1" x14ac:dyDescent="0.2">
      <c r="A300" s="569"/>
      <c r="B300" s="569"/>
      <c r="C300" s="247"/>
      <c r="D300" s="569"/>
      <c r="E300" s="247"/>
      <c r="F300" s="569"/>
      <c r="G300" s="247"/>
      <c r="H300" s="569"/>
      <c r="I300" s="569"/>
      <c r="J300" s="569"/>
      <c r="K300" s="247"/>
    </row>
    <row r="301" spans="1:11" ht="9.9499999999999993" customHeight="1" x14ac:dyDescent="0.2">
      <c r="A301" s="569"/>
      <c r="B301" s="569"/>
      <c r="C301" s="247"/>
      <c r="D301" s="569"/>
      <c r="E301" s="247"/>
      <c r="F301" s="569"/>
      <c r="G301" s="247"/>
      <c r="H301" s="569"/>
      <c r="I301" s="569"/>
      <c r="J301" s="569"/>
      <c r="K301" s="247"/>
    </row>
    <row r="302" spans="1:11" ht="9.9499999999999993" customHeight="1" x14ac:dyDescent="0.2">
      <c r="A302" s="569"/>
      <c r="B302" s="569"/>
      <c r="C302" s="247"/>
      <c r="D302" s="569"/>
      <c r="E302" s="247"/>
      <c r="F302" s="569"/>
      <c r="G302" s="247"/>
      <c r="H302" s="569"/>
      <c r="I302" s="569"/>
      <c r="J302" s="569"/>
      <c r="K302" s="247"/>
    </row>
    <row r="303" spans="1:11" ht="9.9499999999999993" customHeight="1" x14ac:dyDescent="0.2">
      <c r="A303" s="569"/>
      <c r="B303" s="569"/>
      <c r="C303" s="247"/>
      <c r="D303" s="569"/>
      <c r="E303" s="247"/>
      <c r="F303" s="569"/>
      <c r="G303" s="247"/>
      <c r="H303" s="569"/>
      <c r="I303" s="569"/>
      <c r="J303" s="569"/>
      <c r="K303" s="247"/>
    </row>
    <row r="304" spans="1:11" ht="9.9499999999999993" customHeight="1" x14ac:dyDescent="0.2">
      <c r="A304" s="569"/>
      <c r="B304" s="569"/>
      <c r="C304" s="247"/>
      <c r="D304" s="569"/>
      <c r="E304" s="247"/>
      <c r="F304" s="569"/>
      <c r="G304" s="247"/>
      <c r="H304" s="569"/>
      <c r="I304" s="569"/>
      <c r="J304" s="569"/>
      <c r="K304" s="247"/>
    </row>
    <row r="305" spans="1:11" ht="9.9499999999999993" customHeight="1" x14ac:dyDescent="0.2">
      <c r="A305" s="569"/>
      <c r="B305" s="569"/>
      <c r="C305" s="247"/>
      <c r="D305" s="569"/>
      <c r="E305" s="247"/>
      <c r="F305" s="569"/>
      <c r="G305" s="247"/>
      <c r="H305" s="569"/>
      <c r="I305" s="569"/>
      <c r="J305" s="569"/>
      <c r="K305" s="247"/>
    </row>
    <row r="306" spans="1:11" ht="9.9499999999999993" customHeight="1" x14ac:dyDescent="0.2">
      <c r="A306" s="569"/>
      <c r="B306" s="569"/>
      <c r="C306" s="247"/>
      <c r="D306" s="569"/>
      <c r="E306" s="247"/>
      <c r="F306" s="569"/>
      <c r="G306" s="247"/>
      <c r="H306" s="569"/>
      <c r="I306" s="569"/>
      <c r="J306" s="569"/>
      <c r="K306" s="247"/>
    </row>
    <row r="307" spans="1:11" ht="9.9499999999999993" customHeight="1" x14ac:dyDescent="0.2">
      <c r="A307" s="569"/>
      <c r="B307" s="569"/>
      <c r="C307" s="247"/>
      <c r="D307" s="569"/>
      <c r="E307" s="247"/>
      <c r="F307" s="569"/>
      <c r="G307" s="247"/>
      <c r="H307" s="569"/>
      <c r="I307" s="569"/>
      <c r="J307" s="569"/>
      <c r="K307" s="247"/>
    </row>
    <row r="308" spans="1:11" ht="9.9499999999999993" customHeight="1" x14ac:dyDescent="0.2">
      <c r="A308" s="569"/>
      <c r="B308" s="569"/>
      <c r="C308" s="247"/>
      <c r="D308" s="569"/>
      <c r="E308" s="247"/>
      <c r="F308" s="569"/>
      <c r="G308" s="247"/>
      <c r="H308" s="569"/>
      <c r="I308" s="569"/>
      <c r="J308" s="569"/>
      <c r="K308" s="247"/>
    </row>
    <row r="309" spans="1:11" ht="9.9499999999999993" customHeight="1" x14ac:dyDescent="0.2">
      <c r="A309" s="569"/>
      <c r="B309" s="569"/>
      <c r="C309" s="247"/>
      <c r="D309" s="569"/>
      <c r="E309" s="247"/>
      <c r="F309" s="569"/>
      <c r="G309" s="247"/>
      <c r="H309" s="569"/>
      <c r="I309" s="569"/>
      <c r="J309" s="569"/>
      <c r="K309" s="247"/>
    </row>
    <row r="310" spans="1:11" ht="9.9499999999999993" customHeight="1" x14ac:dyDescent="0.2">
      <c r="A310" s="569"/>
      <c r="B310" s="569"/>
      <c r="C310" s="247"/>
      <c r="D310" s="569"/>
      <c r="E310" s="247"/>
      <c r="F310" s="569"/>
      <c r="G310" s="247"/>
      <c r="H310" s="569"/>
      <c r="I310" s="569"/>
      <c r="J310" s="569"/>
      <c r="K310" s="247"/>
    </row>
    <row r="311" spans="1:11" ht="9.9499999999999993" customHeight="1" x14ac:dyDescent="0.2">
      <c r="A311" s="569"/>
      <c r="B311" s="569"/>
      <c r="C311" s="247"/>
      <c r="D311" s="569"/>
      <c r="E311" s="247"/>
      <c r="F311" s="569"/>
      <c r="G311" s="247"/>
      <c r="H311" s="569"/>
      <c r="I311" s="569"/>
      <c r="J311" s="569"/>
      <c r="K311" s="247"/>
    </row>
    <row r="312" spans="1:11" ht="9.9499999999999993" customHeight="1" x14ac:dyDescent="0.2">
      <c r="A312" s="569"/>
      <c r="B312" s="569"/>
      <c r="C312" s="247"/>
      <c r="D312" s="569"/>
      <c r="E312" s="247"/>
      <c r="F312" s="569"/>
      <c r="G312" s="247"/>
      <c r="H312" s="569"/>
      <c r="I312" s="569"/>
      <c r="J312" s="569"/>
      <c r="K312" s="247"/>
    </row>
    <row r="313" spans="1:11" ht="9.9499999999999993" customHeight="1" x14ac:dyDescent="0.2">
      <c r="A313" s="569"/>
      <c r="B313" s="569"/>
      <c r="C313" s="247"/>
      <c r="D313" s="569"/>
      <c r="E313" s="247"/>
      <c r="F313" s="569"/>
      <c r="G313" s="247"/>
      <c r="H313" s="569"/>
      <c r="I313" s="569"/>
      <c r="J313" s="569"/>
      <c r="K313" s="247"/>
    </row>
    <row r="314" spans="1:11" ht="9.9499999999999993" customHeight="1" x14ac:dyDescent="0.2">
      <c r="A314" s="569"/>
      <c r="B314" s="569"/>
      <c r="C314" s="247"/>
      <c r="D314" s="569"/>
      <c r="E314" s="247"/>
      <c r="F314" s="569"/>
      <c r="G314" s="247"/>
      <c r="H314" s="569"/>
      <c r="I314" s="569"/>
      <c r="J314" s="569"/>
      <c r="K314" s="247"/>
    </row>
    <row r="315" spans="1:11" ht="9.9499999999999993" customHeight="1" x14ac:dyDescent="0.2">
      <c r="A315" s="569"/>
      <c r="B315" s="569"/>
      <c r="C315" s="247"/>
      <c r="D315" s="569"/>
      <c r="E315" s="247"/>
      <c r="F315" s="569"/>
      <c r="G315" s="247"/>
      <c r="H315" s="569"/>
      <c r="I315" s="569"/>
      <c r="J315" s="569"/>
      <c r="K315" s="247"/>
    </row>
    <row r="316" spans="1:11" ht="9.9499999999999993" customHeight="1" x14ac:dyDescent="0.2">
      <c r="A316" s="569"/>
      <c r="B316" s="569"/>
      <c r="C316" s="247"/>
      <c r="D316" s="569"/>
      <c r="E316" s="247"/>
      <c r="F316" s="569"/>
      <c r="G316" s="247"/>
      <c r="H316" s="569"/>
      <c r="I316" s="569"/>
      <c r="J316" s="569"/>
      <c r="K316" s="247"/>
    </row>
    <row r="317" spans="1:11" ht="9.9499999999999993" customHeight="1" x14ac:dyDescent="0.2">
      <c r="A317" s="569"/>
      <c r="B317" s="569"/>
      <c r="C317" s="247"/>
      <c r="D317" s="569"/>
      <c r="E317" s="247"/>
      <c r="F317" s="569"/>
      <c r="G317" s="247"/>
      <c r="H317" s="569"/>
      <c r="I317" s="569"/>
      <c r="J317" s="569"/>
      <c r="K317" s="247"/>
    </row>
    <row r="318" spans="1:11" ht="9.9499999999999993" customHeight="1" x14ac:dyDescent="0.2">
      <c r="A318" s="569"/>
      <c r="B318" s="569"/>
      <c r="C318" s="247"/>
      <c r="D318" s="569"/>
      <c r="E318" s="247"/>
      <c r="F318" s="569"/>
      <c r="G318" s="247"/>
      <c r="H318" s="569"/>
      <c r="I318" s="569"/>
      <c r="J318" s="569"/>
      <c r="K318" s="247"/>
    </row>
    <row r="319" spans="1:11" ht="9.9499999999999993" customHeight="1" x14ac:dyDescent="0.2">
      <c r="A319" s="569"/>
      <c r="B319" s="569"/>
      <c r="C319" s="247"/>
      <c r="D319" s="569"/>
      <c r="E319" s="247"/>
      <c r="F319" s="569"/>
      <c r="G319" s="247"/>
      <c r="H319" s="569"/>
      <c r="I319" s="569"/>
      <c r="J319" s="569"/>
      <c r="K319" s="247"/>
    </row>
    <row r="320" spans="1:11" ht="9.9499999999999993" customHeight="1" x14ac:dyDescent="0.2">
      <c r="A320" s="569"/>
      <c r="B320" s="569"/>
      <c r="C320" s="247"/>
      <c r="D320" s="569"/>
      <c r="E320" s="247"/>
      <c r="F320" s="569"/>
      <c r="G320" s="247"/>
      <c r="H320" s="569"/>
      <c r="I320" s="569"/>
      <c r="J320" s="569"/>
      <c r="K320" s="247"/>
    </row>
    <row r="321" spans="1:11" ht="9.9499999999999993" customHeight="1" x14ac:dyDescent="0.2">
      <c r="A321" s="569"/>
      <c r="B321" s="569"/>
      <c r="C321" s="247"/>
      <c r="D321" s="569"/>
      <c r="E321" s="247"/>
      <c r="F321" s="569"/>
      <c r="G321" s="247"/>
      <c r="H321" s="569"/>
      <c r="I321" s="569"/>
      <c r="J321" s="569"/>
      <c r="K321" s="247"/>
    </row>
    <row r="322" spans="1:11" ht="9.9499999999999993" customHeight="1" x14ac:dyDescent="0.2">
      <c r="A322" s="569"/>
      <c r="B322" s="569"/>
      <c r="C322" s="247"/>
      <c r="D322" s="569"/>
      <c r="E322" s="247"/>
      <c r="F322" s="569"/>
      <c r="G322" s="247"/>
      <c r="H322" s="569"/>
      <c r="I322" s="569"/>
      <c r="J322" s="569"/>
      <c r="K322" s="247"/>
    </row>
    <row r="323" spans="1:11" ht="9.9499999999999993" customHeight="1" x14ac:dyDescent="0.2">
      <c r="A323" s="569"/>
      <c r="B323" s="569"/>
      <c r="C323" s="247"/>
      <c r="D323" s="569"/>
      <c r="E323" s="247"/>
      <c r="F323" s="569"/>
      <c r="G323" s="247"/>
      <c r="H323" s="569"/>
      <c r="I323" s="569"/>
      <c r="J323" s="569"/>
      <c r="K323" s="247"/>
    </row>
    <row r="324" spans="1:11" ht="9.9499999999999993" customHeight="1" x14ac:dyDescent="0.2">
      <c r="A324" s="569"/>
      <c r="B324" s="569"/>
      <c r="C324" s="247"/>
      <c r="D324" s="569"/>
      <c r="E324" s="247"/>
      <c r="F324" s="569"/>
      <c r="G324" s="247"/>
      <c r="H324" s="569"/>
      <c r="I324" s="569"/>
      <c r="J324" s="569"/>
      <c r="K324" s="247"/>
    </row>
    <row r="325" spans="1:11" ht="9.9499999999999993" customHeight="1" x14ac:dyDescent="0.2">
      <c r="A325" s="569"/>
      <c r="B325" s="569"/>
      <c r="C325" s="247"/>
      <c r="D325" s="569"/>
      <c r="E325" s="247"/>
      <c r="F325" s="569"/>
      <c r="G325" s="247"/>
      <c r="H325" s="569"/>
      <c r="I325" s="569"/>
      <c r="J325" s="569"/>
      <c r="K325" s="247"/>
    </row>
    <row r="326" spans="1:11" ht="9.9499999999999993" customHeight="1" x14ac:dyDescent="0.2">
      <c r="A326" s="569"/>
      <c r="B326" s="569"/>
      <c r="C326" s="247"/>
      <c r="D326" s="569"/>
      <c r="E326" s="247"/>
      <c r="F326" s="569"/>
      <c r="G326" s="247"/>
      <c r="H326" s="569"/>
      <c r="I326" s="569"/>
      <c r="J326" s="569"/>
      <c r="K326" s="247"/>
    </row>
    <row r="327" spans="1:11" ht="9.9499999999999993" customHeight="1" x14ac:dyDescent="0.2">
      <c r="A327" s="569"/>
      <c r="B327" s="569"/>
      <c r="C327" s="247"/>
      <c r="D327" s="569"/>
      <c r="E327" s="247"/>
      <c r="F327" s="569"/>
      <c r="G327" s="247"/>
      <c r="H327" s="569"/>
      <c r="I327" s="569"/>
      <c r="J327" s="569"/>
      <c r="K327" s="247"/>
    </row>
    <row r="328" spans="1:11" ht="9.9499999999999993" customHeight="1" x14ac:dyDescent="0.2">
      <c r="A328" s="569"/>
      <c r="B328" s="569"/>
      <c r="C328" s="247"/>
      <c r="D328" s="569"/>
      <c r="E328" s="247"/>
      <c r="F328" s="569"/>
      <c r="G328" s="247"/>
      <c r="H328" s="569"/>
      <c r="I328" s="569"/>
      <c r="J328" s="569"/>
      <c r="K328" s="247"/>
    </row>
    <row r="329" spans="1:11" ht="9.9499999999999993" customHeight="1" x14ac:dyDescent="0.2">
      <c r="A329" s="569"/>
      <c r="B329" s="569"/>
      <c r="C329" s="247"/>
      <c r="D329" s="569"/>
      <c r="E329" s="247"/>
      <c r="F329" s="569"/>
      <c r="G329" s="247"/>
      <c r="H329" s="569"/>
      <c r="I329" s="569"/>
      <c r="J329" s="569"/>
      <c r="K329" s="247"/>
    </row>
    <row r="330" spans="1:11" ht="9.9499999999999993" customHeight="1" x14ac:dyDescent="0.2">
      <c r="A330" s="569"/>
      <c r="B330" s="569"/>
      <c r="C330" s="247"/>
      <c r="D330" s="569"/>
      <c r="E330" s="247"/>
      <c r="F330" s="569"/>
      <c r="G330" s="247"/>
      <c r="H330" s="569"/>
      <c r="I330" s="569"/>
      <c r="J330" s="569"/>
      <c r="K330" s="247"/>
    </row>
    <row r="331" spans="1:11" ht="9.9499999999999993" customHeight="1" x14ac:dyDescent="0.2">
      <c r="A331" s="569"/>
      <c r="B331" s="569"/>
      <c r="C331" s="247"/>
      <c r="D331" s="569"/>
      <c r="E331" s="247"/>
      <c r="F331" s="569"/>
      <c r="G331" s="247"/>
      <c r="H331" s="569"/>
      <c r="I331" s="569"/>
      <c r="J331" s="569"/>
      <c r="K331" s="247"/>
    </row>
    <row r="332" spans="1:11" ht="9.9499999999999993" customHeight="1" x14ac:dyDescent="0.2">
      <c r="A332" s="569"/>
      <c r="B332" s="569"/>
      <c r="C332" s="247"/>
      <c r="D332" s="569"/>
      <c r="E332" s="247"/>
      <c r="F332" s="569"/>
      <c r="G332" s="247"/>
      <c r="H332" s="569"/>
      <c r="I332" s="569"/>
      <c r="J332" s="569"/>
      <c r="K332" s="247"/>
    </row>
    <row r="333" spans="1:11" ht="9.9499999999999993" customHeight="1" x14ac:dyDescent="0.2">
      <c r="A333" s="569"/>
      <c r="B333" s="569"/>
      <c r="C333" s="247"/>
      <c r="D333" s="569"/>
      <c r="E333" s="247"/>
      <c r="F333" s="569"/>
      <c r="G333" s="247"/>
      <c r="H333" s="569"/>
      <c r="I333" s="569"/>
      <c r="J333" s="569"/>
      <c r="K333" s="247"/>
    </row>
    <row r="334" spans="1:11" ht="9.9499999999999993" customHeight="1" x14ac:dyDescent="0.2">
      <c r="A334" s="569"/>
      <c r="B334" s="569"/>
      <c r="C334" s="247"/>
      <c r="D334" s="569"/>
      <c r="E334" s="247"/>
      <c r="F334" s="569"/>
      <c r="G334" s="247"/>
      <c r="H334" s="569"/>
      <c r="I334" s="569"/>
      <c r="J334" s="569"/>
      <c r="K334" s="247"/>
    </row>
    <row r="335" spans="1:11" ht="9.9499999999999993" customHeight="1" x14ac:dyDescent="0.2">
      <c r="A335" s="569"/>
      <c r="B335" s="569"/>
      <c r="C335" s="247"/>
      <c r="D335" s="569"/>
      <c r="E335" s="247"/>
      <c r="F335" s="569"/>
      <c r="G335" s="247"/>
      <c r="H335" s="569"/>
      <c r="I335" s="569"/>
      <c r="J335" s="569"/>
      <c r="K335" s="247"/>
    </row>
    <row r="336" spans="1:11" ht="9.9499999999999993" customHeight="1" x14ac:dyDescent="0.2">
      <c r="A336" s="569"/>
      <c r="B336" s="569"/>
      <c r="C336" s="247"/>
      <c r="D336" s="569"/>
      <c r="E336" s="247"/>
      <c r="F336" s="569"/>
      <c r="G336" s="247"/>
      <c r="H336" s="569"/>
      <c r="I336" s="569"/>
      <c r="J336" s="569"/>
      <c r="K336" s="247"/>
    </row>
    <row r="337" spans="1:11" ht="9.9499999999999993" customHeight="1" x14ac:dyDescent="0.2">
      <c r="A337" s="569"/>
      <c r="B337" s="569"/>
      <c r="C337" s="247"/>
      <c r="D337" s="569"/>
      <c r="E337" s="247"/>
      <c r="F337" s="569"/>
      <c r="G337" s="247"/>
      <c r="H337" s="569"/>
      <c r="I337" s="569"/>
      <c r="J337" s="569"/>
      <c r="K337" s="247"/>
    </row>
    <row r="338" spans="1:11" ht="9.9499999999999993" customHeight="1" x14ac:dyDescent="0.2">
      <c r="A338" s="569"/>
      <c r="B338" s="569"/>
      <c r="C338" s="247"/>
      <c r="D338" s="569"/>
      <c r="E338" s="247"/>
      <c r="F338" s="569"/>
      <c r="G338" s="247"/>
      <c r="H338" s="569"/>
      <c r="I338" s="569"/>
      <c r="J338" s="569"/>
      <c r="K338" s="247"/>
    </row>
    <row r="339" spans="1:11" ht="9.9499999999999993" customHeight="1" x14ac:dyDescent="0.2">
      <c r="A339" s="569"/>
      <c r="B339" s="569"/>
      <c r="C339" s="247"/>
      <c r="D339" s="569"/>
      <c r="E339" s="247"/>
      <c r="F339" s="569"/>
      <c r="G339" s="247"/>
      <c r="H339" s="569"/>
      <c r="I339" s="569"/>
      <c r="J339" s="569"/>
      <c r="K339" s="247"/>
    </row>
    <row r="340" spans="1:11" ht="9.9499999999999993" customHeight="1" x14ac:dyDescent="0.2">
      <c r="A340" s="569"/>
      <c r="B340" s="569"/>
      <c r="C340" s="247"/>
      <c r="D340" s="569"/>
      <c r="E340" s="247"/>
      <c r="F340" s="569"/>
      <c r="G340" s="247"/>
      <c r="H340" s="569"/>
      <c r="I340" s="569"/>
      <c r="J340" s="569"/>
      <c r="K340" s="247"/>
    </row>
    <row r="341" spans="1:11" ht="9.9499999999999993" customHeight="1" x14ac:dyDescent="0.2">
      <c r="A341" s="569"/>
      <c r="B341" s="569"/>
      <c r="C341" s="247"/>
      <c r="D341" s="569"/>
      <c r="E341" s="247"/>
      <c r="F341" s="569"/>
      <c r="G341" s="247"/>
      <c r="H341" s="569"/>
      <c r="I341" s="569"/>
      <c r="J341" s="569"/>
      <c r="K341" s="247"/>
    </row>
    <row r="342" spans="1:11" ht="9.9499999999999993" customHeight="1" x14ac:dyDescent="0.2">
      <c r="A342" s="569"/>
      <c r="B342" s="569"/>
      <c r="C342" s="247"/>
      <c r="D342" s="569"/>
      <c r="E342" s="247"/>
      <c r="F342" s="569"/>
      <c r="G342" s="247"/>
      <c r="H342" s="569"/>
      <c r="I342" s="569"/>
      <c r="J342" s="569"/>
      <c r="K342" s="247"/>
    </row>
    <row r="343" spans="1:11" ht="9.9499999999999993" customHeight="1" x14ac:dyDescent="0.2">
      <c r="A343" s="569"/>
      <c r="B343" s="569"/>
      <c r="C343" s="247"/>
      <c r="D343" s="569"/>
      <c r="E343" s="247"/>
      <c r="F343" s="569"/>
      <c r="G343" s="247"/>
      <c r="H343" s="569"/>
      <c r="I343" s="569"/>
      <c r="J343" s="569"/>
      <c r="K343" s="247"/>
    </row>
    <row r="344" spans="1:11" ht="9.9499999999999993" customHeight="1" x14ac:dyDescent="0.2">
      <c r="A344" s="569"/>
      <c r="B344" s="569"/>
      <c r="C344" s="247"/>
      <c r="D344" s="569"/>
      <c r="E344" s="247"/>
      <c r="F344" s="569"/>
      <c r="G344" s="247"/>
      <c r="H344" s="569"/>
      <c r="I344" s="569"/>
      <c r="J344" s="569"/>
      <c r="K344" s="247"/>
    </row>
    <row r="345" spans="1:11" ht="9.9499999999999993" customHeight="1" x14ac:dyDescent="0.2">
      <c r="A345" s="569"/>
      <c r="B345" s="569"/>
      <c r="C345" s="247"/>
      <c r="D345" s="569"/>
      <c r="E345" s="247"/>
      <c r="F345" s="569"/>
      <c r="G345" s="247"/>
      <c r="H345" s="569"/>
      <c r="I345" s="569"/>
      <c r="J345" s="569"/>
      <c r="K345" s="247"/>
    </row>
    <row r="346" spans="1:11" ht="9.9499999999999993" customHeight="1" x14ac:dyDescent="0.2">
      <c r="A346" s="569"/>
      <c r="B346" s="569"/>
      <c r="C346" s="247"/>
      <c r="D346" s="569"/>
      <c r="E346" s="247"/>
      <c r="F346" s="569"/>
      <c r="G346" s="247"/>
      <c r="H346" s="569"/>
      <c r="I346" s="569"/>
      <c r="J346" s="569"/>
      <c r="K346" s="247"/>
    </row>
    <row r="347" spans="1:11" ht="9.9499999999999993" customHeight="1" x14ac:dyDescent="0.2">
      <c r="A347" s="569"/>
      <c r="B347" s="569"/>
      <c r="C347" s="247"/>
      <c r="D347" s="569"/>
      <c r="E347" s="247"/>
      <c r="F347" s="569"/>
      <c r="G347" s="247"/>
      <c r="H347" s="569"/>
      <c r="I347" s="569"/>
      <c r="J347" s="569"/>
      <c r="K347" s="247"/>
    </row>
    <row r="348" spans="1:11" ht="9.9499999999999993" customHeight="1" x14ac:dyDescent="0.2">
      <c r="A348" s="569"/>
      <c r="B348" s="569"/>
      <c r="C348" s="247"/>
      <c r="D348" s="569"/>
      <c r="E348" s="247"/>
      <c r="F348" s="569"/>
      <c r="G348" s="247"/>
      <c r="H348" s="569"/>
      <c r="I348" s="569"/>
      <c r="J348" s="569"/>
      <c r="K348" s="247"/>
    </row>
    <row r="349" spans="1:11" ht="9.9499999999999993" customHeight="1" x14ac:dyDescent="0.2">
      <c r="A349" s="569"/>
      <c r="B349" s="569"/>
      <c r="C349" s="247"/>
      <c r="D349" s="569"/>
      <c r="E349" s="247"/>
      <c r="F349" s="569"/>
      <c r="G349" s="247"/>
      <c r="H349" s="569"/>
      <c r="I349" s="569"/>
      <c r="J349" s="569"/>
      <c r="K349" s="247"/>
    </row>
    <row r="350" spans="1:11" ht="9.9499999999999993" customHeight="1" x14ac:dyDescent="0.2">
      <c r="A350" s="569"/>
      <c r="B350" s="569"/>
      <c r="C350" s="247"/>
      <c r="D350" s="569"/>
      <c r="E350" s="247"/>
      <c r="F350" s="569"/>
      <c r="G350" s="247"/>
      <c r="H350" s="569"/>
      <c r="I350" s="569"/>
      <c r="J350" s="569"/>
      <c r="K350" s="247"/>
    </row>
    <row r="351" spans="1:11" ht="9.9499999999999993" customHeight="1" x14ac:dyDescent="0.2">
      <c r="A351" s="569"/>
      <c r="B351" s="569"/>
      <c r="C351" s="247"/>
      <c r="D351" s="569"/>
      <c r="E351" s="247"/>
      <c r="F351" s="569"/>
      <c r="G351" s="247"/>
      <c r="H351" s="569"/>
      <c r="I351" s="569"/>
      <c r="J351" s="569"/>
      <c r="K351" s="247"/>
    </row>
    <row r="352" spans="1:11" ht="9.9499999999999993" customHeight="1" x14ac:dyDescent="0.2">
      <c r="A352" s="569"/>
      <c r="B352" s="569"/>
      <c r="C352" s="247"/>
      <c r="D352" s="569"/>
      <c r="E352" s="247"/>
      <c r="F352" s="569"/>
      <c r="G352" s="247"/>
      <c r="H352" s="569"/>
      <c r="I352" s="569"/>
      <c r="J352" s="569"/>
      <c r="K352" s="247"/>
    </row>
    <row r="353" spans="1:11" ht="9.9499999999999993" customHeight="1" x14ac:dyDescent="0.2">
      <c r="A353" s="569"/>
      <c r="B353" s="569"/>
      <c r="C353" s="247"/>
      <c r="D353" s="569"/>
      <c r="E353" s="247"/>
      <c r="F353" s="569"/>
      <c r="G353" s="247"/>
      <c r="H353" s="569"/>
      <c r="I353" s="569"/>
      <c r="J353" s="569"/>
      <c r="K353" s="247"/>
    </row>
    <row r="354" spans="1:11" ht="9.9499999999999993" customHeight="1" x14ac:dyDescent="0.2">
      <c r="A354" s="569"/>
      <c r="B354" s="569"/>
      <c r="C354" s="247"/>
      <c r="D354" s="569"/>
      <c r="E354" s="247"/>
      <c r="F354" s="569"/>
      <c r="G354" s="247"/>
      <c r="H354" s="569"/>
      <c r="I354" s="569"/>
      <c r="J354" s="569"/>
      <c r="K354" s="247"/>
    </row>
    <row r="355" spans="1:11" ht="9.9499999999999993" customHeight="1" x14ac:dyDescent="0.2">
      <c r="A355" s="569"/>
      <c r="B355" s="569"/>
      <c r="C355" s="247"/>
      <c r="D355" s="569"/>
      <c r="E355" s="247"/>
      <c r="F355" s="569"/>
      <c r="G355" s="247"/>
      <c r="H355" s="569"/>
      <c r="I355" s="569"/>
      <c r="J355" s="569"/>
      <c r="K355" s="247"/>
    </row>
    <row r="356" spans="1:11" ht="9.9499999999999993" customHeight="1" x14ac:dyDescent="0.2">
      <c r="A356" s="569"/>
      <c r="B356" s="569"/>
      <c r="C356" s="247"/>
      <c r="D356" s="569"/>
      <c r="E356" s="247"/>
      <c r="F356" s="569"/>
      <c r="G356" s="247"/>
      <c r="H356" s="569"/>
      <c r="I356" s="569"/>
      <c r="J356" s="569"/>
      <c r="K356" s="247"/>
    </row>
    <row r="357" spans="1:11" ht="9.9499999999999993" customHeight="1" x14ac:dyDescent="0.2">
      <c r="A357" s="569"/>
      <c r="B357" s="569"/>
      <c r="C357" s="247"/>
      <c r="D357" s="569"/>
      <c r="E357" s="247"/>
      <c r="F357" s="569"/>
      <c r="G357" s="247"/>
      <c r="H357" s="569"/>
      <c r="I357" s="569"/>
      <c r="J357" s="569"/>
      <c r="K357" s="247"/>
    </row>
    <row r="358" spans="1:11" ht="9.9499999999999993" customHeight="1" x14ac:dyDescent="0.2">
      <c r="A358" s="569"/>
      <c r="B358" s="569"/>
      <c r="C358" s="247"/>
      <c r="D358" s="569"/>
      <c r="E358" s="247"/>
      <c r="F358" s="569"/>
      <c r="G358" s="247"/>
      <c r="H358" s="569"/>
      <c r="I358" s="569"/>
      <c r="J358" s="569"/>
      <c r="K358" s="247"/>
    </row>
    <row r="359" spans="1:11" ht="9.9499999999999993" customHeight="1" x14ac:dyDescent="0.2">
      <c r="A359" s="569"/>
      <c r="B359" s="569"/>
      <c r="C359" s="247"/>
      <c r="D359" s="569"/>
      <c r="E359" s="247"/>
      <c r="F359" s="569"/>
      <c r="G359" s="247"/>
      <c r="H359" s="569"/>
      <c r="I359" s="569"/>
      <c r="J359" s="569"/>
      <c r="K359" s="247"/>
    </row>
    <row r="360" spans="1:11" ht="9.9499999999999993" customHeight="1" x14ac:dyDescent="0.2">
      <c r="A360" s="569"/>
      <c r="B360" s="569"/>
      <c r="C360" s="247"/>
      <c r="D360" s="569"/>
      <c r="E360" s="247"/>
      <c r="F360" s="569"/>
      <c r="G360" s="247"/>
      <c r="H360" s="569"/>
      <c r="I360" s="569"/>
      <c r="J360" s="569"/>
      <c r="K360" s="247"/>
    </row>
    <row r="361" spans="1:11" ht="9.9499999999999993" customHeight="1" x14ac:dyDescent="0.2">
      <c r="A361" s="569"/>
      <c r="B361" s="569"/>
      <c r="C361" s="247"/>
      <c r="D361" s="569"/>
      <c r="E361" s="247"/>
      <c r="F361" s="569"/>
      <c r="G361" s="247"/>
      <c r="H361" s="569"/>
      <c r="I361" s="569"/>
      <c r="J361" s="569"/>
      <c r="K361" s="247"/>
    </row>
    <row r="362" spans="1:11" ht="9.9499999999999993" customHeight="1" x14ac:dyDescent="0.2">
      <c r="A362" s="569"/>
      <c r="B362" s="569"/>
      <c r="C362" s="247"/>
      <c r="D362" s="569"/>
      <c r="E362" s="247"/>
      <c r="F362" s="569"/>
      <c r="G362" s="247"/>
      <c r="H362" s="569"/>
      <c r="I362" s="569"/>
      <c r="J362" s="569"/>
      <c r="K362" s="247"/>
    </row>
    <row r="363" spans="1:11" ht="9.9499999999999993" customHeight="1" x14ac:dyDescent="0.2">
      <c r="A363" s="569"/>
      <c r="B363" s="569"/>
      <c r="C363" s="247"/>
      <c r="D363" s="569"/>
      <c r="E363" s="247"/>
      <c r="F363" s="569"/>
      <c r="G363" s="247"/>
      <c r="H363" s="569"/>
      <c r="I363" s="569"/>
      <c r="J363" s="569"/>
      <c r="K363" s="247"/>
    </row>
    <row r="364" spans="1:11" ht="9.9499999999999993" customHeight="1" x14ac:dyDescent="0.2">
      <c r="A364" s="569"/>
      <c r="B364" s="569"/>
      <c r="C364" s="247"/>
      <c r="D364" s="569"/>
      <c r="E364" s="247"/>
      <c r="F364" s="569"/>
      <c r="G364" s="247"/>
      <c r="H364" s="569"/>
      <c r="I364" s="569"/>
      <c r="J364" s="569"/>
      <c r="K364" s="247"/>
    </row>
    <row r="365" spans="1:11" ht="9.9499999999999993" customHeight="1" x14ac:dyDescent="0.2">
      <c r="A365" s="569"/>
      <c r="B365" s="569"/>
      <c r="C365" s="247"/>
      <c r="D365" s="569"/>
      <c r="E365" s="247"/>
      <c r="F365" s="569"/>
      <c r="G365" s="247"/>
      <c r="H365" s="569"/>
      <c r="I365" s="569"/>
      <c r="J365" s="569"/>
      <c r="K365" s="247"/>
    </row>
    <row r="366" spans="1:11" ht="9.9499999999999993" customHeight="1" x14ac:dyDescent="0.2">
      <c r="A366" s="569"/>
      <c r="B366" s="569"/>
      <c r="C366" s="247"/>
      <c r="D366" s="569"/>
      <c r="E366" s="247"/>
      <c r="F366" s="569"/>
      <c r="G366" s="247"/>
      <c r="H366" s="569"/>
      <c r="I366" s="569"/>
      <c r="J366" s="569"/>
      <c r="K366" s="247"/>
    </row>
    <row r="367" spans="1:11" ht="9.9499999999999993" customHeight="1" x14ac:dyDescent="0.2">
      <c r="A367" s="569"/>
      <c r="B367" s="569"/>
      <c r="C367" s="247"/>
      <c r="D367" s="569"/>
      <c r="E367" s="247"/>
      <c r="F367" s="569"/>
      <c r="G367" s="247"/>
      <c r="H367" s="569"/>
      <c r="I367" s="569"/>
      <c r="J367" s="569"/>
      <c r="K367" s="247"/>
    </row>
    <row r="368" spans="1:11" ht="9.9499999999999993" customHeight="1" x14ac:dyDescent="0.2">
      <c r="A368" s="569"/>
      <c r="B368" s="569"/>
      <c r="C368" s="247"/>
      <c r="D368" s="569"/>
      <c r="E368" s="247"/>
      <c r="F368" s="569"/>
      <c r="G368" s="247"/>
      <c r="H368" s="569"/>
      <c r="I368" s="569"/>
      <c r="J368" s="569"/>
      <c r="K368" s="247"/>
    </row>
    <row r="369" spans="1:11" ht="9.9499999999999993" customHeight="1" x14ac:dyDescent="0.2">
      <c r="A369" s="569"/>
      <c r="B369" s="569"/>
      <c r="C369" s="247"/>
      <c r="D369" s="569"/>
      <c r="E369" s="247"/>
      <c r="F369" s="569"/>
      <c r="G369" s="247"/>
      <c r="H369" s="569"/>
      <c r="I369" s="569"/>
      <c r="J369" s="569"/>
      <c r="K369" s="247"/>
    </row>
    <row r="370" spans="1:11" ht="9.9499999999999993" customHeight="1" x14ac:dyDescent="0.2">
      <c r="A370" s="569"/>
      <c r="B370" s="569"/>
      <c r="C370" s="247"/>
      <c r="D370" s="569"/>
      <c r="E370" s="247"/>
      <c r="F370" s="569"/>
      <c r="G370" s="247"/>
      <c r="H370" s="569"/>
      <c r="I370" s="569"/>
      <c r="J370" s="569"/>
      <c r="K370" s="247"/>
    </row>
    <row r="371" spans="1:11" ht="9.9499999999999993" customHeight="1" x14ac:dyDescent="0.2">
      <c r="A371" s="569"/>
      <c r="B371" s="569"/>
      <c r="C371" s="247"/>
      <c r="D371" s="569"/>
      <c r="E371" s="247"/>
      <c r="F371" s="569"/>
      <c r="G371" s="247"/>
      <c r="H371" s="569"/>
      <c r="I371" s="569"/>
      <c r="J371" s="569"/>
      <c r="K371" s="247"/>
    </row>
    <row r="372" spans="1:11" ht="9.9499999999999993" customHeight="1" x14ac:dyDescent="0.2">
      <c r="A372" s="569"/>
      <c r="B372" s="569"/>
      <c r="C372" s="247"/>
      <c r="D372" s="569"/>
      <c r="E372" s="247"/>
      <c r="F372" s="569"/>
      <c r="G372" s="247"/>
      <c r="H372" s="569"/>
      <c r="I372" s="569"/>
      <c r="J372" s="569"/>
      <c r="K372" s="247"/>
    </row>
    <row r="373" spans="1:11" ht="9.9499999999999993" customHeight="1" x14ac:dyDescent="0.2">
      <c r="A373" s="569"/>
      <c r="B373" s="569"/>
      <c r="C373" s="247"/>
      <c r="D373" s="569"/>
      <c r="E373" s="247"/>
      <c r="F373" s="569"/>
      <c r="G373" s="247"/>
      <c r="H373" s="569"/>
      <c r="I373" s="569"/>
      <c r="J373" s="569"/>
      <c r="K373" s="247"/>
    </row>
    <row r="374" spans="1:11" ht="9.9499999999999993" customHeight="1" x14ac:dyDescent="0.2">
      <c r="A374" s="569"/>
      <c r="B374" s="569"/>
      <c r="C374" s="247"/>
      <c r="D374" s="569"/>
      <c r="E374" s="247"/>
      <c r="F374" s="569"/>
      <c r="G374" s="247"/>
      <c r="H374" s="569"/>
      <c r="I374" s="569"/>
      <c r="J374" s="569"/>
      <c r="K374" s="247"/>
    </row>
    <row r="375" spans="1:11" ht="9.9499999999999993" customHeight="1" x14ac:dyDescent="0.2">
      <c r="A375" s="569"/>
      <c r="B375" s="569"/>
      <c r="C375" s="247"/>
      <c r="D375" s="569"/>
      <c r="E375" s="247"/>
      <c r="F375" s="569"/>
      <c r="G375" s="247"/>
      <c r="H375" s="569"/>
      <c r="I375" s="569"/>
      <c r="J375" s="569"/>
      <c r="K375" s="247"/>
    </row>
    <row r="376" spans="1:11" ht="9.9499999999999993" customHeight="1" x14ac:dyDescent="0.2">
      <c r="A376" s="569"/>
      <c r="B376" s="569"/>
      <c r="C376" s="247"/>
      <c r="D376" s="569"/>
      <c r="E376" s="247"/>
      <c r="F376" s="569"/>
      <c r="G376" s="247"/>
      <c r="H376" s="569"/>
      <c r="I376" s="569"/>
      <c r="J376" s="569"/>
      <c r="K376" s="247"/>
    </row>
    <row r="377" spans="1:11" ht="9.9499999999999993" customHeight="1" x14ac:dyDescent="0.2">
      <c r="A377" s="569"/>
      <c r="B377" s="569"/>
      <c r="C377" s="247"/>
      <c r="D377" s="569"/>
      <c r="E377" s="247"/>
      <c r="F377" s="569"/>
      <c r="G377" s="247"/>
      <c r="H377" s="569"/>
      <c r="I377" s="569"/>
      <c r="J377" s="569"/>
      <c r="K377" s="247"/>
    </row>
    <row r="378" spans="1:11" ht="9.9499999999999993" customHeight="1" x14ac:dyDescent="0.2">
      <c r="A378" s="569"/>
      <c r="B378" s="569"/>
      <c r="C378" s="247"/>
      <c r="D378" s="569"/>
      <c r="E378" s="247"/>
      <c r="F378" s="569"/>
      <c r="G378" s="247"/>
      <c r="H378" s="569"/>
      <c r="I378" s="569"/>
      <c r="J378" s="569"/>
      <c r="K378" s="247"/>
    </row>
    <row r="379" spans="1:11" ht="9.9499999999999993" customHeight="1" x14ac:dyDescent="0.2">
      <c r="A379" s="569"/>
      <c r="B379" s="569"/>
      <c r="C379" s="247"/>
      <c r="D379" s="569"/>
      <c r="E379" s="247"/>
      <c r="F379" s="569"/>
      <c r="G379" s="247"/>
      <c r="H379" s="569"/>
      <c r="I379" s="569"/>
      <c r="J379" s="569"/>
      <c r="K379" s="247"/>
    </row>
    <row r="380" spans="1:11" ht="9.9499999999999993" customHeight="1" x14ac:dyDescent="0.2">
      <c r="A380" s="569"/>
      <c r="B380" s="569"/>
      <c r="C380" s="247"/>
      <c r="D380" s="569"/>
      <c r="E380" s="247"/>
      <c r="F380" s="569"/>
      <c r="G380" s="247"/>
      <c r="H380" s="569"/>
      <c r="I380" s="569"/>
      <c r="J380" s="569"/>
      <c r="K380" s="247"/>
    </row>
    <row r="381" spans="1:11" ht="9.9499999999999993" customHeight="1" x14ac:dyDescent="0.2">
      <c r="A381" s="569"/>
      <c r="B381" s="569"/>
      <c r="C381" s="247"/>
      <c r="D381" s="569"/>
      <c r="E381" s="247"/>
      <c r="F381" s="569"/>
      <c r="G381" s="247"/>
      <c r="H381" s="569"/>
      <c r="I381" s="569"/>
      <c r="J381" s="569"/>
      <c r="K381" s="247"/>
    </row>
    <row r="382" spans="1:11" ht="9.9499999999999993" customHeight="1" x14ac:dyDescent="0.2">
      <c r="A382" s="569"/>
      <c r="B382" s="569"/>
      <c r="C382" s="247"/>
      <c r="D382" s="569"/>
      <c r="E382" s="247"/>
      <c r="F382" s="569"/>
      <c r="G382" s="247"/>
      <c r="H382" s="569"/>
      <c r="I382" s="569"/>
      <c r="J382" s="569"/>
      <c r="K382" s="247"/>
    </row>
    <row r="383" spans="1:11" ht="9.9499999999999993" customHeight="1" x14ac:dyDescent="0.2">
      <c r="A383" s="569"/>
      <c r="B383" s="569"/>
      <c r="C383" s="247"/>
      <c r="D383" s="569"/>
      <c r="E383" s="247"/>
      <c r="F383" s="569"/>
      <c r="G383" s="247"/>
      <c r="H383" s="569"/>
      <c r="I383" s="569"/>
      <c r="J383" s="569"/>
      <c r="K383" s="247"/>
    </row>
    <row r="384" spans="1:11" ht="9.9499999999999993" customHeight="1" x14ac:dyDescent="0.2">
      <c r="A384" s="569"/>
      <c r="B384" s="569"/>
      <c r="C384" s="247"/>
      <c r="D384" s="569"/>
      <c r="E384" s="247"/>
      <c r="F384" s="569"/>
      <c r="G384" s="247"/>
      <c r="H384" s="569"/>
      <c r="I384" s="569"/>
      <c r="J384" s="569"/>
      <c r="K384" s="247"/>
    </row>
    <row r="385" spans="1:11" ht="9.9499999999999993" customHeight="1" x14ac:dyDescent="0.2">
      <c r="A385" s="569"/>
      <c r="B385" s="569"/>
      <c r="C385" s="247"/>
      <c r="D385" s="569"/>
      <c r="E385" s="247"/>
      <c r="F385" s="569"/>
      <c r="G385" s="247"/>
      <c r="H385" s="569"/>
      <c r="I385" s="569"/>
      <c r="J385" s="569"/>
      <c r="K385" s="247"/>
    </row>
    <row r="386" spans="1:11" ht="9.9499999999999993" customHeight="1" x14ac:dyDescent="0.2">
      <c r="A386" s="569"/>
      <c r="B386" s="569"/>
      <c r="C386" s="247"/>
      <c r="D386" s="569"/>
      <c r="E386" s="247"/>
      <c r="F386" s="569"/>
      <c r="G386" s="247"/>
      <c r="H386" s="569"/>
      <c r="I386" s="569"/>
      <c r="J386" s="569"/>
      <c r="K386" s="247"/>
    </row>
    <row r="387" spans="1:11" ht="9.9499999999999993" customHeight="1" x14ac:dyDescent="0.2">
      <c r="A387" s="569"/>
      <c r="B387" s="569"/>
      <c r="C387" s="247"/>
      <c r="D387" s="569"/>
      <c r="E387" s="247"/>
      <c r="F387" s="569"/>
      <c r="G387" s="247"/>
      <c r="H387" s="569"/>
      <c r="I387" s="569"/>
      <c r="J387" s="569"/>
      <c r="K387" s="247"/>
    </row>
    <row r="388" spans="1:11" ht="9.9499999999999993" customHeight="1" x14ac:dyDescent="0.2">
      <c r="A388" s="569"/>
      <c r="B388" s="569"/>
      <c r="C388" s="247"/>
      <c r="D388" s="569"/>
      <c r="E388" s="247"/>
      <c r="F388" s="569"/>
      <c r="G388" s="247"/>
      <c r="H388" s="569"/>
      <c r="I388" s="569"/>
      <c r="J388" s="569"/>
      <c r="K388" s="247"/>
    </row>
    <row r="389" spans="1:11" ht="9.9499999999999993" customHeight="1" x14ac:dyDescent="0.2">
      <c r="A389" s="569"/>
      <c r="B389" s="569"/>
      <c r="C389" s="247"/>
      <c r="D389" s="569"/>
      <c r="E389" s="247"/>
      <c r="F389" s="569"/>
      <c r="G389" s="247"/>
      <c r="H389" s="569"/>
      <c r="I389" s="569"/>
      <c r="J389" s="569"/>
      <c r="K389" s="247"/>
    </row>
    <row r="390" spans="1:11" ht="9.9499999999999993" customHeight="1" x14ac:dyDescent="0.2">
      <c r="A390" s="569"/>
      <c r="B390" s="569"/>
      <c r="C390" s="247"/>
      <c r="D390" s="569"/>
      <c r="E390" s="247"/>
      <c r="F390" s="569"/>
      <c r="G390" s="247"/>
      <c r="H390" s="569"/>
      <c r="I390" s="569"/>
      <c r="J390" s="569"/>
      <c r="K390" s="247"/>
    </row>
    <row r="391" spans="1:11" ht="9.9499999999999993" customHeight="1" x14ac:dyDescent="0.2">
      <c r="A391" s="569"/>
      <c r="B391" s="569"/>
      <c r="C391" s="247"/>
      <c r="D391" s="569"/>
      <c r="E391" s="247"/>
      <c r="F391" s="569"/>
      <c r="G391" s="247"/>
      <c r="H391" s="569"/>
      <c r="I391" s="569"/>
      <c r="J391" s="569"/>
      <c r="K391" s="247"/>
    </row>
    <row r="392" spans="1:11" ht="9.9499999999999993" customHeight="1" x14ac:dyDescent="0.2">
      <c r="A392" s="569"/>
      <c r="B392" s="569"/>
      <c r="C392" s="247"/>
      <c r="D392" s="569"/>
      <c r="E392" s="247"/>
      <c r="F392" s="569"/>
      <c r="G392" s="247"/>
      <c r="H392" s="569"/>
      <c r="I392" s="569"/>
      <c r="J392" s="569"/>
      <c r="K392" s="247"/>
    </row>
    <row r="393" spans="1:11" ht="9.9499999999999993" customHeight="1" x14ac:dyDescent="0.2">
      <c r="A393" s="569"/>
      <c r="B393" s="569"/>
      <c r="C393" s="247"/>
      <c r="D393" s="569"/>
      <c r="E393" s="247"/>
      <c r="F393" s="569"/>
      <c r="G393" s="247"/>
      <c r="H393" s="569"/>
      <c r="I393" s="569"/>
      <c r="J393" s="569"/>
      <c r="K393" s="247"/>
    </row>
    <row r="394" spans="1:11" ht="9.9499999999999993" customHeight="1" x14ac:dyDescent="0.2">
      <c r="A394" s="569"/>
      <c r="B394" s="569"/>
      <c r="C394" s="247"/>
      <c r="D394" s="569"/>
      <c r="E394" s="247"/>
      <c r="F394" s="569"/>
      <c r="G394" s="247"/>
      <c r="H394" s="569"/>
      <c r="I394" s="569"/>
      <c r="J394" s="569"/>
      <c r="K394" s="247"/>
    </row>
    <row r="395" spans="1:11" ht="9.9499999999999993" customHeight="1" x14ac:dyDescent="0.2">
      <c r="A395" s="569"/>
      <c r="B395" s="569"/>
      <c r="C395" s="247"/>
      <c r="D395" s="569"/>
      <c r="E395" s="247"/>
      <c r="F395" s="569"/>
      <c r="G395" s="247"/>
      <c r="H395" s="569"/>
      <c r="I395" s="569"/>
      <c r="J395" s="569"/>
      <c r="K395" s="247"/>
    </row>
    <row r="396" spans="1:11" ht="9.9499999999999993" customHeight="1" x14ac:dyDescent="0.2">
      <c r="A396" s="569"/>
      <c r="B396" s="569"/>
      <c r="C396" s="247"/>
      <c r="D396" s="569"/>
      <c r="E396" s="247"/>
      <c r="F396" s="569"/>
      <c r="G396" s="247"/>
      <c r="H396" s="569"/>
      <c r="I396" s="569"/>
      <c r="J396" s="569"/>
      <c r="K396" s="247"/>
    </row>
    <row r="397" spans="1:11" ht="9.9499999999999993" customHeight="1" x14ac:dyDescent="0.2">
      <c r="A397" s="569"/>
      <c r="B397" s="569"/>
      <c r="C397" s="247"/>
      <c r="D397" s="569"/>
      <c r="E397" s="247"/>
      <c r="F397" s="569"/>
      <c r="G397" s="247"/>
      <c r="H397" s="569"/>
      <c r="I397" s="569"/>
      <c r="J397" s="569"/>
      <c r="K397" s="247"/>
    </row>
    <row r="398" spans="1:11" ht="9.9499999999999993" customHeight="1" x14ac:dyDescent="0.2">
      <c r="A398" s="569"/>
      <c r="B398" s="569"/>
      <c r="C398" s="247"/>
      <c r="D398" s="569"/>
      <c r="E398" s="247"/>
      <c r="F398" s="569"/>
      <c r="G398" s="247"/>
      <c r="H398" s="569"/>
      <c r="I398" s="569"/>
      <c r="J398" s="569"/>
      <c r="K398" s="247"/>
    </row>
    <row r="399" spans="1:11" ht="9.9499999999999993" customHeight="1" x14ac:dyDescent="0.2">
      <c r="A399" s="569"/>
      <c r="B399" s="569"/>
      <c r="C399" s="247"/>
      <c r="D399" s="569"/>
      <c r="E399" s="247"/>
      <c r="F399" s="569"/>
      <c r="G399" s="247"/>
      <c r="H399" s="569"/>
      <c r="I399" s="569"/>
      <c r="J399" s="569"/>
      <c r="K399" s="247"/>
    </row>
    <row r="400" spans="1:11" ht="9.9499999999999993" customHeight="1" x14ac:dyDescent="0.2">
      <c r="A400" s="569"/>
      <c r="B400" s="569"/>
      <c r="C400" s="247"/>
      <c r="D400" s="569"/>
      <c r="E400" s="247"/>
      <c r="F400" s="569"/>
      <c r="G400" s="247"/>
      <c r="H400" s="569"/>
      <c r="I400" s="569"/>
      <c r="J400" s="569"/>
      <c r="K400" s="247"/>
    </row>
    <row r="401" spans="1:11" ht="9.9499999999999993" customHeight="1" x14ac:dyDescent="0.2">
      <c r="A401" s="569"/>
      <c r="B401" s="569"/>
      <c r="C401" s="247"/>
      <c r="D401" s="569"/>
      <c r="E401" s="247"/>
      <c r="F401" s="569"/>
      <c r="G401" s="247"/>
      <c r="H401" s="569"/>
      <c r="I401" s="569"/>
      <c r="J401" s="569"/>
      <c r="K401" s="247"/>
    </row>
    <row r="402" spans="1:11" ht="9.9499999999999993" customHeight="1" x14ac:dyDescent="0.2">
      <c r="A402" s="569"/>
      <c r="B402" s="569"/>
      <c r="C402" s="247"/>
      <c r="D402" s="569"/>
      <c r="E402" s="247"/>
      <c r="F402" s="569"/>
      <c r="G402" s="247"/>
      <c r="H402" s="569"/>
      <c r="I402" s="569"/>
      <c r="J402" s="569"/>
      <c r="K402" s="247"/>
    </row>
    <row r="403" spans="1:11" ht="9.9499999999999993" customHeight="1" x14ac:dyDescent="0.2">
      <c r="A403" s="569"/>
      <c r="B403" s="569"/>
      <c r="C403" s="247"/>
      <c r="D403" s="569"/>
      <c r="E403" s="247"/>
      <c r="F403" s="569"/>
      <c r="G403" s="247"/>
      <c r="H403" s="569"/>
      <c r="I403" s="569"/>
      <c r="J403" s="569"/>
      <c r="K403" s="247"/>
    </row>
    <row r="404" spans="1:11" ht="9.9499999999999993" customHeight="1" x14ac:dyDescent="0.2">
      <c r="A404" s="569"/>
      <c r="B404" s="569"/>
      <c r="C404" s="247"/>
      <c r="D404" s="569"/>
      <c r="E404" s="247"/>
      <c r="F404" s="569"/>
      <c r="G404" s="247"/>
      <c r="H404" s="569"/>
      <c r="I404" s="569"/>
      <c r="J404" s="569"/>
      <c r="K404" s="247"/>
    </row>
    <row r="405" spans="1:11" ht="9.9499999999999993" customHeight="1" x14ac:dyDescent="0.2">
      <c r="A405" s="569"/>
      <c r="B405" s="569"/>
      <c r="C405" s="247"/>
      <c r="D405" s="569"/>
      <c r="E405" s="247"/>
      <c r="F405" s="569"/>
      <c r="G405" s="247"/>
      <c r="H405" s="569"/>
      <c r="I405" s="569"/>
      <c r="J405" s="569"/>
      <c r="K405" s="247"/>
    </row>
    <row r="406" spans="1:11" ht="9.9499999999999993" customHeight="1" x14ac:dyDescent="0.2">
      <c r="A406" s="569"/>
      <c r="B406" s="569"/>
      <c r="C406" s="247"/>
      <c r="D406" s="569"/>
      <c r="E406" s="247"/>
      <c r="F406" s="569"/>
      <c r="G406" s="247"/>
      <c r="H406" s="569"/>
      <c r="I406" s="569"/>
      <c r="J406" s="569"/>
      <c r="K406" s="247"/>
    </row>
    <row r="407" spans="1:11" ht="9.9499999999999993" customHeight="1" x14ac:dyDescent="0.2">
      <c r="A407" s="569"/>
      <c r="B407" s="569"/>
      <c r="C407" s="247"/>
      <c r="D407" s="569"/>
      <c r="E407" s="247"/>
      <c r="F407" s="569"/>
      <c r="G407" s="247"/>
      <c r="H407" s="569"/>
      <c r="I407" s="569"/>
      <c r="J407" s="569"/>
      <c r="K407" s="247"/>
    </row>
    <row r="408" spans="1:11" ht="9.9499999999999993" customHeight="1" x14ac:dyDescent="0.2">
      <c r="A408" s="569"/>
      <c r="B408" s="569"/>
      <c r="C408" s="247"/>
      <c r="D408" s="569"/>
      <c r="E408" s="247"/>
      <c r="F408" s="569"/>
      <c r="G408" s="247"/>
      <c r="H408" s="569"/>
      <c r="I408" s="569"/>
      <c r="J408" s="569"/>
      <c r="K408" s="247"/>
    </row>
    <row r="409" spans="1:11" ht="9.9499999999999993" customHeight="1" x14ac:dyDescent="0.2">
      <c r="A409" s="569"/>
      <c r="B409" s="569"/>
      <c r="C409" s="247"/>
      <c r="D409" s="569"/>
      <c r="E409" s="247"/>
      <c r="F409" s="569"/>
      <c r="G409" s="247"/>
      <c r="H409" s="569"/>
      <c r="I409" s="569"/>
      <c r="J409" s="569"/>
      <c r="K409" s="247"/>
    </row>
    <row r="410" spans="1:11" ht="9.9499999999999993" customHeight="1" x14ac:dyDescent="0.2">
      <c r="A410" s="569"/>
      <c r="B410" s="569"/>
      <c r="C410" s="247"/>
      <c r="D410" s="569"/>
      <c r="E410" s="247"/>
      <c r="F410" s="569"/>
      <c r="G410" s="247"/>
      <c r="H410" s="569"/>
      <c r="I410" s="569"/>
      <c r="J410" s="569"/>
      <c r="K410" s="247"/>
    </row>
    <row r="411" spans="1:11" ht="9.9499999999999993" customHeight="1" x14ac:dyDescent="0.2">
      <c r="A411" s="569"/>
      <c r="B411" s="569"/>
      <c r="C411" s="247"/>
      <c r="D411" s="569"/>
      <c r="E411" s="247"/>
      <c r="F411" s="569"/>
      <c r="G411" s="247"/>
      <c r="H411" s="569"/>
      <c r="I411" s="569"/>
      <c r="J411" s="569"/>
      <c r="K411" s="247"/>
    </row>
    <row r="412" spans="1:11" ht="9.9499999999999993" customHeight="1" x14ac:dyDescent="0.2">
      <c r="A412" s="569"/>
      <c r="B412" s="569"/>
      <c r="C412" s="247"/>
      <c r="D412" s="569"/>
      <c r="E412" s="247"/>
      <c r="F412" s="569"/>
      <c r="G412" s="247"/>
      <c r="H412" s="569"/>
      <c r="I412" s="569"/>
      <c r="J412" s="569"/>
      <c r="K412" s="247"/>
    </row>
    <row r="413" spans="1:11" ht="9.9499999999999993" customHeight="1" x14ac:dyDescent="0.2">
      <c r="A413" s="569"/>
      <c r="B413" s="569"/>
      <c r="C413" s="247"/>
      <c r="D413" s="569"/>
      <c r="E413" s="247"/>
      <c r="F413" s="569"/>
      <c r="G413" s="247"/>
      <c r="H413" s="569"/>
      <c r="I413" s="569"/>
      <c r="J413" s="569"/>
      <c r="K413" s="247"/>
    </row>
    <row r="414" spans="1:11" ht="9.9499999999999993" customHeight="1" x14ac:dyDescent="0.2">
      <c r="A414" s="569"/>
      <c r="B414" s="569"/>
      <c r="C414" s="247"/>
      <c r="D414" s="569"/>
      <c r="E414" s="247"/>
      <c r="F414" s="569"/>
      <c r="G414" s="247"/>
      <c r="H414" s="569"/>
      <c r="I414" s="569"/>
      <c r="J414" s="569"/>
      <c r="K414" s="247"/>
    </row>
    <row r="415" spans="1:11" ht="9.9499999999999993" customHeight="1" x14ac:dyDescent="0.2">
      <c r="A415" s="569"/>
      <c r="B415" s="569"/>
      <c r="C415" s="247"/>
      <c r="D415" s="569"/>
      <c r="E415" s="247"/>
      <c r="F415" s="569"/>
      <c r="G415" s="247"/>
      <c r="H415" s="569"/>
      <c r="I415" s="569"/>
      <c r="J415" s="569"/>
      <c r="K415" s="247"/>
    </row>
    <row r="416" spans="1:11" ht="9.9499999999999993" customHeight="1" x14ac:dyDescent="0.2">
      <c r="A416" s="569"/>
      <c r="B416" s="569"/>
      <c r="C416" s="247"/>
      <c r="D416" s="569"/>
      <c r="E416" s="247"/>
      <c r="F416" s="569"/>
      <c r="G416" s="247"/>
      <c r="H416" s="569"/>
      <c r="I416" s="569"/>
      <c r="J416" s="569"/>
      <c r="K416" s="247"/>
    </row>
    <row r="417" spans="1:11" ht="9.9499999999999993" customHeight="1" x14ac:dyDescent="0.2">
      <c r="A417" s="569"/>
      <c r="B417" s="569"/>
      <c r="C417" s="247"/>
      <c r="D417" s="569"/>
      <c r="E417" s="247"/>
      <c r="F417" s="569"/>
      <c r="G417" s="247"/>
      <c r="H417" s="569"/>
      <c r="I417" s="569"/>
      <c r="J417" s="569"/>
      <c r="K417" s="247"/>
    </row>
    <row r="418" spans="1:11" ht="9.9499999999999993" customHeight="1" x14ac:dyDescent="0.2">
      <c r="A418" s="569"/>
      <c r="B418" s="569"/>
      <c r="C418" s="247"/>
      <c r="D418" s="569"/>
      <c r="E418" s="247"/>
      <c r="F418" s="569"/>
      <c r="G418" s="247"/>
      <c r="H418" s="569"/>
      <c r="I418" s="569"/>
      <c r="J418" s="569"/>
      <c r="K418" s="247"/>
    </row>
    <row r="419" spans="1:11" ht="9.9499999999999993" customHeight="1" x14ac:dyDescent="0.2">
      <c r="A419" s="569"/>
      <c r="B419" s="569"/>
      <c r="C419" s="247"/>
      <c r="D419" s="569"/>
      <c r="E419" s="247"/>
      <c r="F419" s="569"/>
      <c r="G419" s="247"/>
      <c r="H419" s="569"/>
      <c r="I419" s="569"/>
      <c r="J419" s="569"/>
      <c r="K419" s="247"/>
    </row>
    <row r="420" spans="1:11" ht="9.9499999999999993" customHeight="1" x14ac:dyDescent="0.2">
      <c r="A420" s="569"/>
      <c r="B420" s="569"/>
      <c r="C420" s="247"/>
      <c r="D420" s="569"/>
      <c r="E420" s="247"/>
      <c r="F420" s="569"/>
      <c r="G420" s="247"/>
      <c r="H420" s="569"/>
      <c r="I420" s="569"/>
      <c r="J420" s="569"/>
      <c r="K420" s="247"/>
    </row>
    <row r="421" spans="1:11" ht="9.9499999999999993" customHeight="1" x14ac:dyDescent="0.2">
      <c r="A421" s="569"/>
      <c r="B421" s="569"/>
      <c r="C421" s="247"/>
      <c r="D421" s="569"/>
      <c r="E421" s="247"/>
      <c r="F421" s="569"/>
      <c r="G421" s="247"/>
      <c r="H421" s="569"/>
      <c r="I421" s="569"/>
      <c r="J421" s="569"/>
      <c r="K421" s="247"/>
    </row>
    <row r="422" spans="1:11" ht="9.9499999999999993" customHeight="1" x14ac:dyDescent="0.2">
      <c r="A422" s="569"/>
      <c r="B422" s="569"/>
      <c r="C422" s="247"/>
      <c r="D422" s="569"/>
      <c r="E422" s="247"/>
      <c r="F422" s="569"/>
      <c r="G422" s="247"/>
      <c r="H422" s="569"/>
      <c r="I422" s="569"/>
      <c r="J422" s="569"/>
      <c r="K422" s="247"/>
    </row>
    <row r="423" spans="1:11" ht="9.9499999999999993" customHeight="1" x14ac:dyDescent="0.2">
      <c r="A423" s="569"/>
      <c r="B423" s="569"/>
      <c r="C423" s="247"/>
      <c r="D423" s="569"/>
      <c r="E423" s="247"/>
      <c r="F423" s="569"/>
      <c r="G423" s="247"/>
      <c r="H423" s="569"/>
      <c r="I423" s="569"/>
      <c r="J423" s="569"/>
      <c r="K423" s="247"/>
    </row>
    <row r="424" spans="1:11" ht="9.9499999999999993" customHeight="1" x14ac:dyDescent="0.2">
      <c r="A424" s="569"/>
      <c r="B424" s="569"/>
      <c r="C424" s="247"/>
      <c r="D424" s="569"/>
      <c r="E424" s="247"/>
      <c r="F424" s="569"/>
      <c r="G424" s="247"/>
      <c r="H424" s="569"/>
      <c r="I424" s="569"/>
      <c r="J424" s="569"/>
      <c r="K424" s="247"/>
    </row>
    <row r="425" spans="1:11" ht="9.9499999999999993" customHeight="1" x14ac:dyDescent="0.2">
      <c r="A425" s="569"/>
      <c r="B425" s="569"/>
      <c r="C425" s="247"/>
      <c r="D425" s="569"/>
      <c r="E425" s="247"/>
      <c r="F425" s="569"/>
      <c r="G425" s="247"/>
      <c r="H425" s="569"/>
      <c r="I425" s="569"/>
      <c r="J425" s="569"/>
      <c r="K425" s="247"/>
    </row>
    <row r="426" spans="1:11" ht="9.9499999999999993" customHeight="1" x14ac:dyDescent="0.2">
      <c r="A426" s="569"/>
      <c r="B426" s="569"/>
      <c r="C426" s="247"/>
      <c r="D426" s="569"/>
      <c r="E426" s="247"/>
      <c r="F426" s="569"/>
      <c r="G426" s="247"/>
      <c r="H426" s="569"/>
      <c r="I426" s="569"/>
      <c r="J426" s="569"/>
      <c r="K426" s="247"/>
    </row>
    <row r="427" spans="1:11" ht="9.9499999999999993" customHeight="1" x14ac:dyDescent="0.2">
      <c r="A427" s="569"/>
      <c r="B427" s="569"/>
      <c r="C427" s="247"/>
      <c r="D427" s="569"/>
      <c r="E427" s="247"/>
      <c r="F427" s="569"/>
      <c r="G427" s="247"/>
      <c r="H427" s="569"/>
      <c r="I427" s="569"/>
      <c r="J427" s="569"/>
      <c r="K427" s="247"/>
    </row>
    <row r="428" spans="1:11" ht="9.9499999999999993" customHeight="1" x14ac:dyDescent="0.2">
      <c r="A428" s="569"/>
      <c r="B428" s="569"/>
      <c r="C428" s="247"/>
      <c r="D428" s="569"/>
      <c r="E428" s="247"/>
      <c r="F428" s="569"/>
      <c r="G428" s="247"/>
      <c r="H428" s="569"/>
      <c r="I428" s="569"/>
      <c r="J428" s="569"/>
      <c r="K428" s="247"/>
    </row>
    <row r="429" spans="1:11" ht="9.9499999999999993" customHeight="1" x14ac:dyDescent="0.2">
      <c r="A429" s="569"/>
      <c r="B429" s="569"/>
      <c r="C429" s="247"/>
      <c r="D429" s="569"/>
      <c r="E429" s="247"/>
      <c r="F429" s="569"/>
      <c r="G429" s="247"/>
      <c r="H429" s="569"/>
      <c r="I429" s="569"/>
      <c r="J429" s="569"/>
      <c r="K429" s="247"/>
    </row>
    <row r="430" spans="1:11" ht="9.9499999999999993" customHeight="1" x14ac:dyDescent="0.2">
      <c r="A430" s="569"/>
      <c r="B430" s="569"/>
      <c r="C430" s="247"/>
      <c r="D430" s="569"/>
      <c r="E430" s="247"/>
      <c r="F430" s="569"/>
      <c r="G430" s="247"/>
      <c r="H430" s="569"/>
      <c r="I430" s="569"/>
      <c r="J430" s="569"/>
      <c r="K430" s="247"/>
    </row>
    <row r="431" spans="1:11" ht="9.9499999999999993" customHeight="1" x14ac:dyDescent="0.2">
      <c r="A431" s="569"/>
      <c r="B431" s="569"/>
      <c r="C431" s="247"/>
      <c r="D431" s="569"/>
      <c r="E431" s="247"/>
      <c r="F431" s="569"/>
      <c r="G431" s="247"/>
      <c r="H431" s="569"/>
      <c r="I431" s="569"/>
      <c r="J431" s="569"/>
      <c r="K431" s="247"/>
    </row>
    <row r="432" spans="1:11" ht="9.9499999999999993" customHeight="1" x14ac:dyDescent="0.2">
      <c r="A432" s="569"/>
      <c r="B432" s="569"/>
      <c r="C432" s="247"/>
      <c r="D432" s="569"/>
      <c r="E432" s="247"/>
      <c r="F432" s="569"/>
      <c r="G432" s="247"/>
      <c r="H432" s="569"/>
      <c r="I432" s="569"/>
      <c r="J432" s="569"/>
      <c r="K432" s="247"/>
    </row>
    <row r="433" spans="1:11" ht="9.9499999999999993" customHeight="1" x14ac:dyDescent="0.2">
      <c r="A433" s="569"/>
      <c r="B433" s="569"/>
      <c r="C433" s="247"/>
      <c r="D433" s="569"/>
      <c r="E433" s="247"/>
      <c r="F433" s="569"/>
      <c r="G433" s="247"/>
      <c r="H433" s="569"/>
      <c r="I433" s="569"/>
      <c r="J433" s="569"/>
      <c r="K433" s="247"/>
    </row>
    <row r="434" spans="1:11" ht="9.9499999999999993" customHeight="1" x14ac:dyDescent="0.2">
      <c r="A434" s="569"/>
      <c r="B434" s="569"/>
      <c r="C434" s="247"/>
      <c r="D434" s="569"/>
      <c r="E434" s="247"/>
      <c r="F434" s="569"/>
      <c r="G434" s="247"/>
      <c r="H434" s="569"/>
      <c r="I434" s="569"/>
      <c r="J434" s="569"/>
      <c r="K434" s="247"/>
    </row>
    <row r="435" spans="1:11" ht="9.9499999999999993" customHeight="1" x14ac:dyDescent="0.2">
      <c r="A435" s="569"/>
      <c r="B435" s="569"/>
      <c r="C435" s="247"/>
      <c r="D435" s="569"/>
      <c r="E435" s="247"/>
      <c r="F435" s="569"/>
      <c r="G435" s="247"/>
      <c r="H435" s="569"/>
      <c r="I435" s="569"/>
      <c r="J435" s="569"/>
      <c r="K435" s="247"/>
    </row>
    <row r="436" spans="1:11" ht="9.9499999999999993" customHeight="1" x14ac:dyDescent="0.2">
      <c r="A436" s="569"/>
      <c r="B436" s="569"/>
      <c r="C436" s="247"/>
      <c r="D436" s="569"/>
      <c r="E436" s="247"/>
      <c r="F436" s="569"/>
      <c r="G436" s="247"/>
      <c r="H436" s="569"/>
      <c r="I436" s="569"/>
      <c r="J436" s="569"/>
      <c r="K436" s="247"/>
    </row>
    <row r="437" spans="1:11" ht="9.9499999999999993" customHeight="1" x14ac:dyDescent="0.2">
      <c r="A437" s="569"/>
      <c r="B437" s="569"/>
      <c r="C437" s="247"/>
      <c r="D437" s="569"/>
      <c r="E437" s="247"/>
      <c r="F437" s="569"/>
      <c r="G437" s="247"/>
      <c r="H437" s="569"/>
      <c r="I437" s="569"/>
      <c r="J437" s="569"/>
      <c r="K437" s="247"/>
    </row>
    <row r="438" spans="1:11" ht="9.9499999999999993" customHeight="1" x14ac:dyDescent="0.2">
      <c r="A438" s="569"/>
      <c r="B438" s="569"/>
      <c r="C438" s="247"/>
      <c r="D438" s="569"/>
      <c r="E438" s="247"/>
      <c r="F438" s="569"/>
      <c r="G438" s="247"/>
      <c r="H438" s="569"/>
      <c r="I438" s="569"/>
      <c r="J438" s="569"/>
      <c r="K438" s="247"/>
    </row>
    <row r="439" spans="1:11" ht="9.9499999999999993" customHeight="1" x14ac:dyDescent="0.2">
      <c r="A439" s="569"/>
      <c r="B439" s="569"/>
      <c r="C439" s="247"/>
      <c r="D439" s="569"/>
      <c r="E439" s="247"/>
      <c r="F439" s="569"/>
      <c r="G439" s="247"/>
      <c r="H439" s="569"/>
      <c r="I439" s="569"/>
      <c r="J439" s="569"/>
      <c r="K439" s="247"/>
    </row>
    <row r="440" spans="1:11" ht="9.9499999999999993" customHeight="1" x14ac:dyDescent="0.2">
      <c r="A440" s="569"/>
      <c r="B440" s="569"/>
      <c r="C440" s="247"/>
      <c r="D440" s="569"/>
      <c r="E440" s="247"/>
      <c r="F440" s="569"/>
      <c r="G440" s="247"/>
      <c r="H440" s="569"/>
      <c r="I440" s="569"/>
      <c r="J440" s="569"/>
      <c r="K440" s="247"/>
    </row>
    <row r="441" spans="1:11" ht="9.9499999999999993" customHeight="1" x14ac:dyDescent="0.2">
      <c r="A441" s="569"/>
      <c r="B441" s="569"/>
      <c r="C441" s="247"/>
      <c r="D441" s="569"/>
      <c r="E441" s="247"/>
      <c r="F441" s="569"/>
      <c r="G441" s="247"/>
      <c r="H441" s="569"/>
      <c r="I441" s="569"/>
      <c r="J441" s="569"/>
      <c r="K441" s="247"/>
    </row>
    <row r="442" spans="1:11" ht="9.9499999999999993" customHeight="1" x14ac:dyDescent="0.2">
      <c r="A442" s="569"/>
      <c r="B442" s="569"/>
      <c r="C442" s="247"/>
      <c r="D442" s="569"/>
      <c r="E442" s="247"/>
      <c r="F442" s="569"/>
      <c r="G442" s="247"/>
      <c r="H442" s="569"/>
      <c r="I442" s="569"/>
      <c r="J442" s="569"/>
      <c r="K442" s="247"/>
    </row>
    <row r="443" spans="1:11" ht="9.9499999999999993" customHeight="1" x14ac:dyDescent="0.2">
      <c r="A443" s="569"/>
      <c r="B443" s="569"/>
      <c r="C443" s="247"/>
      <c r="D443" s="569"/>
      <c r="E443" s="247"/>
      <c r="F443" s="569"/>
      <c r="G443" s="247"/>
      <c r="H443" s="569"/>
      <c r="I443" s="569"/>
      <c r="J443" s="569"/>
      <c r="K443" s="247"/>
    </row>
    <row r="444" spans="1:11" ht="9.9499999999999993" customHeight="1" x14ac:dyDescent="0.2">
      <c r="A444" s="569"/>
      <c r="B444" s="569"/>
      <c r="C444" s="247"/>
      <c r="D444" s="569"/>
      <c r="E444" s="247"/>
      <c r="F444" s="569"/>
      <c r="G444" s="247"/>
      <c r="H444" s="569"/>
      <c r="I444" s="569"/>
      <c r="J444" s="569"/>
      <c r="K444" s="247"/>
    </row>
    <row r="445" spans="1:11" ht="9.9499999999999993" customHeight="1" x14ac:dyDescent="0.2">
      <c r="A445" s="569"/>
      <c r="B445" s="569"/>
      <c r="C445" s="247"/>
      <c r="D445" s="569"/>
      <c r="E445" s="247"/>
      <c r="F445" s="569"/>
      <c r="G445" s="247"/>
      <c r="H445" s="569"/>
      <c r="I445" s="569"/>
      <c r="J445" s="569"/>
      <c r="K445" s="247"/>
    </row>
    <row r="446" spans="1:11" ht="9.9499999999999993" customHeight="1" x14ac:dyDescent="0.2">
      <c r="A446" s="569"/>
      <c r="B446" s="569"/>
      <c r="C446" s="247"/>
      <c r="D446" s="569"/>
      <c r="E446" s="247"/>
      <c r="F446" s="569"/>
      <c r="G446" s="247"/>
      <c r="H446" s="569"/>
      <c r="I446" s="569"/>
      <c r="J446" s="569"/>
      <c r="K446" s="247"/>
    </row>
    <row r="447" spans="1:11" ht="9.9499999999999993" customHeight="1" x14ac:dyDescent="0.2">
      <c r="A447" s="569"/>
      <c r="B447" s="569"/>
      <c r="C447" s="247"/>
      <c r="D447" s="569"/>
      <c r="E447" s="247"/>
      <c r="F447" s="569"/>
      <c r="G447" s="247"/>
      <c r="H447" s="569"/>
      <c r="I447" s="569"/>
      <c r="J447" s="569"/>
      <c r="K447" s="247"/>
    </row>
    <row r="448" spans="1:11" ht="9.9499999999999993" customHeight="1" x14ac:dyDescent="0.2">
      <c r="A448" s="569"/>
      <c r="B448" s="569"/>
      <c r="C448" s="247"/>
      <c r="D448" s="569"/>
      <c r="E448" s="247"/>
      <c r="F448" s="569"/>
      <c r="G448" s="247"/>
      <c r="H448" s="569"/>
      <c r="I448" s="569"/>
      <c r="J448" s="569"/>
      <c r="K448" s="247"/>
    </row>
    <row r="449" spans="1:11" ht="9.9499999999999993" customHeight="1" x14ac:dyDescent="0.2">
      <c r="A449" s="569"/>
      <c r="B449" s="569"/>
      <c r="C449" s="247"/>
      <c r="D449" s="569"/>
      <c r="E449" s="247"/>
      <c r="F449" s="569"/>
      <c r="G449" s="247"/>
      <c r="H449" s="569"/>
      <c r="I449" s="569"/>
      <c r="J449" s="569"/>
      <c r="K449" s="247"/>
    </row>
    <row r="450" spans="1:11" ht="9.9499999999999993" customHeight="1" x14ac:dyDescent="0.2">
      <c r="A450" s="569"/>
      <c r="B450" s="569"/>
      <c r="C450" s="247"/>
      <c r="D450" s="569"/>
      <c r="E450" s="247"/>
      <c r="F450" s="569"/>
      <c r="G450" s="247"/>
      <c r="H450" s="569"/>
      <c r="I450" s="569"/>
      <c r="J450" s="569"/>
      <c r="K450" s="247"/>
    </row>
    <row r="451" spans="1:11" ht="9.9499999999999993" customHeight="1" x14ac:dyDescent="0.2">
      <c r="A451" s="569"/>
      <c r="B451" s="569"/>
      <c r="C451" s="247"/>
      <c r="D451" s="569"/>
      <c r="E451" s="247"/>
      <c r="F451" s="569"/>
      <c r="G451" s="247"/>
      <c r="H451" s="569"/>
      <c r="I451" s="569"/>
      <c r="J451" s="569"/>
      <c r="K451" s="247"/>
    </row>
    <row r="452" spans="1:11" ht="9.9499999999999993" customHeight="1" x14ac:dyDescent="0.2">
      <c r="A452" s="569"/>
      <c r="B452" s="569"/>
      <c r="C452" s="247"/>
      <c r="D452" s="569"/>
      <c r="E452" s="247"/>
      <c r="F452" s="569"/>
      <c r="G452" s="247"/>
      <c r="H452" s="569"/>
      <c r="I452" s="569"/>
      <c r="J452" s="569"/>
      <c r="K452" s="247"/>
    </row>
    <row r="453" spans="1:11" ht="9.9499999999999993" customHeight="1" x14ac:dyDescent="0.2">
      <c r="A453" s="569"/>
      <c r="B453" s="569"/>
      <c r="C453" s="247"/>
      <c r="D453" s="569"/>
      <c r="E453" s="247"/>
      <c r="F453" s="569"/>
      <c r="G453" s="247"/>
      <c r="H453" s="569"/>
      <c r="I453" s="569"/>
      <c r="J453" s="569"/>
      <c r="K453" s="247"/>
    </row>
    <row r="454" spans="1:11" ht="9.9499999999999993" customHeight="1" x14ac:dyDescent="0.2">
      <c r="A454" s="569"/>
      <c r="B454" s="569"/>
      <c r="C454" s="247"/>
      <c r="D454" s="569"/>
      <c r="E454" s="247"/>
      <c r="F454" s="569"/>
      <c r="G454" s="247"/>
      <c r="H454" s="569"/>
      <c r="I454" s="569"/>
      <c r="J454" s="569"/>
      <c r="K454" s="247"/>
    </row>
    <row r="455" spans="1:11" ht="9.9499999999999993" customHeight="1" x14ac:dyDescent="0.2">
      <c r="A455" s="569"/>
      <c r="B455" s="569"/>
      <c r="C455" s="247"/>
      <c r="D455" s="569"/>
      <c r="E455" s="247"/>
      <c r="F455" s="569"/>
      <c r="G455" s="247"/>
      <c r="H455" s="569"/>
      <c r="I455" s="569"/>
      <c r="J455" s="569"/>
      <c r="K455" s="247"/>
    </row>
    <row r="456" spans="1:11" ht="9.9499999999999993" customHeight="1" x14ac:dyDescent="0.2">
      <c r="A456" s="569"/>
      <c r="B456" s="569"/>
      <c r="C456" s="247"/>
      <c r="D456" s="569"/>
      <c r="E456" s="247"/>
      <c r="F456" s="569"/>
      <c r="G456" s="247"/>
      <c r="H456" s="569"/>
      <c r="I456" s="569"/>
      <c r="J456" s="569"/>
      <c r="K456" s="247"/>
    </row>
    <row r="457" spans="1:11" ht="9.9499999999999993" customHeight="1" x14ac:dyDescent="0.2">
      <c r="A457" s="569"/>
      <c r="B457" s="569"/>
      <c r="C457" s="247"/>
      <c r="D457" s="569"/>
      <c r="E457" s="247"/>
      <c r="F457" s="569"/>
      <c r="G457" s="247"/>
      <c r="H457" s="569"/>
      <c r="I457" s="569"/>
      <c r="J457" s="569"/>
      <c r="K457" s="247"/>
    </row>
    <row r="458" spans="1:11" ht="9.9499999999999993" customHeight="1" x14ac:dyDescent="0.2">
      <c r="A458" s="569"/>
      <c r="B458" s="569"/>
      <c r="C458" s="247"/>
      <c r="D458" s="569"/>
      <c r="E458" s="247"/>
      <c r="F458" s="569"/>
      <c r="G458" s="247"/>
      <c r="H458" s="569"/>
      <c r="I458" s="569"/>
      <c r="J458" s="569"/>
      <c r="K458" s="247"/>
    </row>
    <row r="459" spans="1:11" ht="9.9499999999999993" customHeight="1" x14ac:dyDescent="0.2">
      <c r="A459" s="569"/>
      <c r="B459" s="569"/>
      <c r="C459" s="247"/>
      <c r="D459" s="569"/>
      <c r="E459" s="247"/>
      <c r="F459" s="569"/>
      <c r="G459" s="247"/>
      <c r="H459" s="569"/>
      <c r="I459" s="569"/>
      <c r="J459" s="569"/>
      <c r="K459" s="247"/>
    </row>
    <row r="460" spans="1:11" ht="9.9499999999999993" customHeight="1" x14ac:dyDescent="0.2">
      <c r="A460" s="569"/>
      <c r="B460" s="569"/>
      <c r="C460" s="247"/>
      <c r="D460" s="569"/>
      <c r="E460" s="247"/>
      <c r="F460" s="569"/>
      <c r="G460" s="247"/>
      <c r="H460" s="569"/>
      <c r="I460" s="569"/>
      <c r="J460" s="569"/>
      <c r="K460" s="247"/>
    </row>
    <row r="461" spans="1:11" ht="9.9499999999999993" customHeight="1" x14ac:dyDescent="0.2">
      <c r="A461" s="569"/>
      <c r="B461" s="569"/>
      <c r="C461" s="247"/>
      <c r="D461" s="569"/>
      <c r="E461" s="247"/>
      <c r="F461" s="569"/>
      <c r="G461" s="247"/>
      <c r="H461" s="569"/>
      <c r="I461" s="569"/>
      <c r="J461" s="569"/>
      <c r="K461" s="247"/>
    </row>
    <row r="462" spans="1:11" ht="9.9499999999999993" customHeight="1" x14ac:dyDescent="0.2">
      <c r="A462" s="569"/>
      <c r="B462" s="569"/>
      <c r="C462" s="247"/>
      <c r="D462" s="569"/>
      <c r="E462" s="247"/>
      <c r="F462" s="569"/>
      <c r="G462" s="247"/>
      <c r="H462" s="569"/>
      <c r="I462" s="569"/>
      <c r="J462" s="569"/>
      <c r="K462" s="247"/>
    </row>
    <row r="463" spans="1:11" ht="9.9499999999999993" customHeight="1" x14ac:dyDescent="0.2">
      <c r="A463" s="569"/>
      <c r="B463" s="569"/>
      <c r="C463" s="247"/>
      <c r="D463" s="569"/>
      <c r="E463" s="247"/>
      <c r="F463" s="569"/>
      <c r="G463" s="247"/>
      <c r="H463" s="569"/>
      <c r="I463" s="569"/>
      <c r="J463" s="569"/>
      <c r="K463" s="247"/>
    </row>
    <row r="464" spans="1:11" ht="9.9499999999999993" customHeight="1" x14ac:dyDescent="0.2">
      <c r="A464" s="569"/>
      <c r="B464" s="569"/>
      <c r="C464" s="247"/>
      <c r="D464" s="569"/>
      <c r="E464" s="247"/>
      <c r="F464" s="569"/>
      <c r="G464" s="247"/>
      <c r="H464" s="569"/>
      <c r="I464" s="569"/>
      <c r="J464" s="569"/>
      <c r="K464" s="247"/>
    </row>
    <row r="465" spans="1:11" ht="9.9499999999999993" customHeight="1" x14ac:dyDescent="0.2">
      <c r="A465" s="569"/>
      <c r="B465" s="569"/>
      <c r="C465" s="247"/>
      <c r="D465" s="569"/>
      <c r="E465" s="247"/>
      <c r="F465" s="569"/>
      <c r="G465" s="247"/>
      <c r="H465" s="569"/>
      <c r="I465" s="569"/>
      <c r="J465" s="569"/>
      <c r="K465" s="247"/>
    </row>
    <row r="466" spans="1:11" ht="9.9499999999999993" customHeight="1" x14ac:dyDescent="0.2">
      <c r="A466" s="569"/>
      <c r="B466" s="569"/>
      <c r="C466" s="247"/>
      <c r="D466" s="569"/>
      <c r="E466" s="247"/>
      <c r="F466" s="569"/>
      <c r="G466" s="247"/>
      <c r="H466" s="569"/>
      <c r="I466" s="569"/>
      <c r="J466" s="569"/>
      <c r="K466" s="247"/>
    </row>
    <row r="467" spans="1:11" ht="9.9499999999999993" customHeight="1" x14ac:dyDescent="0.2">
      <c r="A467" s="569"/>
      <c r="B467" s="569"/>
      <c r="C467" s="247"/>
      <c r="D467" s="569"/>
      <c r="E467" s="247"/>
      <c r="F467" s="569"/>
      <c r="G467" s="247"/>
      <c r="H467" s="569"/>
      <c r="I467" s="569"/>
      <c r="J467" s="569"/>
      <c r="K467" s="247"/>
    </row>
    <row r="468" spans="1:11" ht="9.9499999999999993" customHeight="1" x14ac:dyDescent="0.2">
      <c r="A468" s="569"/>
      <c r="B468" s="569"/>
      <c r="C468" s="247"/>
      <c r="D468" s="569"/>
      <c r="E468" s="247"/>
      <c r="F468" s="569"/>
      <c r="G468" s="247"/>
      <c r="H468" s="569"/>
      <c r="I468" s="569"/>
      <c r="J468" s="569"/>
      <c r="K468" s="247"/>
    </row>
    <row r="469" spans="1:11" ht="9.9499999999999993" customHeight="1" x14ac:dyDescent="0.2">
      <c r="A469" s="569"/>
      <c r="B469" s="569"/>
      <c r="C469" s="247"/>
      <c r="D469" s="569"/>
      <c r="E469" s="247"/>
      <c r="F469" s="569"/>
      <c r="G469" s="247"/>
      <c r="H469" s="569"/>
      <c r="I469" s="569"/>
      <c r="J469" s="569"/>
      <c r="K469" s="247"/>
    </row>
    <row r="470" spans="1:11" ht="9.9499999999999993" customHeight="1" x14ac:dyDescent="0.2">
      <c r="A470" s="569"/>
      <c r="B470" s="569"/>
      <c r="C470" s="247"/>
      <c r="D470" s="569"/>
      <c r="E470" s="247"/>
      <c r="F470" s="569"/>
      <c r="G470" s="247"/>
      <c r="H470" s="569"/>
      <c r="I470" s="569"/>
      <c r="J470" s="569"/>
      <c r="K470" s="247"/>
    </row>
    <row r="471" spans="1:11" ht="9.9499999999999993" customHeight="1" x14ac:dyDescent="0.2">
      <c r="A471" s="569"/>
      <c r="B471" s="569"/>
      <c r="C471" s="247"/>
      <c r="D471" s="569"/>
      <c r="E471" s="247"/>
      <c r="F471" s="569"/>
      <c r="G471" s="247"/>
      <c r="H471" s="569"/>
      <c r="I471" s="569"/>
      <c r="J471" s="569"/>
      <c r="K471" s="247"/>
    </row>
    <row r="472" spans="1:11" ht="9.9499999999999993" customHeight="1" x14ac:dyDescent="0.2">
      <c r="A472" s="569"/>
      <c r="B472" s="569"/>
      <c r="C472" s="247"/>
      <c r="D472" s="569"/>
      <c r="E472" s="247"/>
      <c r="F472" s="569"/>
      <c r="G472" s="247"/>
      <c r="H472" s="569"/>
      <c r="I472" s="569"/>
      <c r="J472" s="569"/>
      <c r="K472" s="247"/>
    </row>
    <row r="473" spans="1:11" ht="9.9499999999999993" customHeight="1" x14ac:dyDescent="0.2">
      <c r="A473" s="569"/>
      <c r="B473" s="569"/>
      <c r="C473" s="247"/>
      <c r="D473" s="569"/>
      <c r="E473" s="247"/>
      <c r="F473" s="569"/>
      <c r="G473" s="247"/>
      <c r="H473" s="569"/>
      <c r="I473" s="569"/>
      <c r="J473" s="569"/>
      <c r="K473" s="247"/>
    </row>
    <row r="474" spans="1:11" ht="9.9499999999999993" customHeight="1" x14ac:dyDescent="0.2">
      <c r="A474" s="569"/>
      <c r="B474" s="569"/>
      <c r="C474" s="247"/>
      <c r="D474" s="569"/>
      <c r="E474" s="247"/>
      <c r="F474" s="569"/>
      <c r="G474" s="247"/>
      <c r="H474" s="569"/>
      <c r="I474" s="569"/>
      <c r="J474" s="569"/>
      <c r="K474" s="247"/>
    </row>
    <row r="475" spans="1:11" ht="9.9499999999999993" customHeight="1" x14ac:dyDescent="0.2">
      <c r="A475" s="569"/>
      <c r="B475" s="569"/>
      <c r="C475" s="247"/>
      <c r="D475" s="569"/>
      <c r="E475" s="247"/>
      <c r="F475" s="569"/>
      <c r="G475" s="247"/>
      <c r="H475" s="569"/>
      <c r="I475" s="569"/>
      <c r="J475" s="569"/>
      <c r="K475" s="247"/>
    </row>
    <row r="476" spans="1:11" ht="9.9499999999999993" customHeight="1" x14ac:dyDescent="0.2">
      <c r="A476" s="569"/>
      <c r="B476" s="569"/>
      <c r="C476" s="247"/>
      <c r="D476" s="569"/>
      <c r="E476" s="247"/>
      <c r="F476" s="569"/>
      <c r="G476" s="247"/>
      <c r="H476" s="569"/>
      <c r="I476" s="569"/>
      <c r="J476" s="569"/>
      <c r="K476" s="247"/>
    </row>
    <row r="477" spans="1:11" ht="9.9499999999999993" customHeight="1" x14ac:dyDescent="0.2">
      <c r="A477" s="569"/>
      <c r="B477" s="569"/>
      <c r="C477" s="247"/>
      <c r="D477" s="569"/>
      <c r="E477" s="247"/>
      <c r="F477" s="569"/>
      <c r="G477" s="247"/>
      <c r="H477" s="569"/>
      <c r="I477" s="569"/>
      <c r="J477" s="569"/>
      <c r="K477" s="247"/>
    </row>
    <row r="478" spans="1:11" ht="9.9499999999999993" customHeight="1" x14ac:dyDescent="0.2">
      <c r="A478" s="569"/>
      <c r="B478" s="569"/>
      <c r="C478" s="247"/>
      <c r="D478" s="569"/>
      <c r="E478" s="247"/>
      <c r="F478" s="569"/>
      <c r="G478" s="247"/>
      <c r="H478" s="569"/>
      <c r="I478" s="569"/>
      <c r="J478" s="569"/>
      <c r="K478" s="247"/>
    </row>
    <row r="479" spans="1:11" ht="9.9499999999999993" customHeight="1" x14ac:dyDescent="0.2">
      <c r="A479" s="569"/>
      <c r="B479" s="569"/>
      <c r="C479" s="247"/>
      <c r="D479" s="569"/>
      <c r="E479" s="247"/>
      <c r="F479" s="569"/>
      <c r="G479" s="247"/>
      <c r="H479" s="569"/>
      <c r="I479" s="569"/>
      <c r="J479" s="569"/>
      <c r="K479" s="247"/>
    </row>
    <row r="480" spans="1:11" ht="9.9499999999999993" customHeight="1" x14ac:dyDescent="0.2">
      <c r="A480" s="569"/>
      <c r="B480" s="569"/>
      <c r="C480" s="247"/>
      <c r="D480" s="569"/>
      <c r="E480" s="247"/>
      <c r="F480" s="569"/>
      <c r="G480" s="247"/>
      <c r="H480" s="569"/>
      <c r="I480" s="569"/>
      <c r="J480" s="569"/>
      <c r="K480" s="247"/>
    </row>
    <row r="481" spans="1:11" ht="9.9499999999999993" customHeight="1" x14ac:dyDescent="0.2">
      <c r="A481" s="569"/>
      <c r="B481" s="569"/>
      <c r="C481" s="247"/>
      <c r="D481" s="569"/>
      <c r="E481" s="247"/>
      <c r="F481" s="569"/>
      <c r="G481" s="247"/>
      <c r="H481" s="569"/>
      <c r="I481" s="569"/>
      <c r="J481" s="569"/>
      <c r="K481" s="247"/>
    </row>
    <row r="482" spans="1:11" ht="9.9499999999999993" customHeight="1" x14ac:dyDescent="0.2">
      <c r="A482" s="569"/>
      <c r="B482" s="569"/>
      <c r="C482" s="247"/>
      <c r="D482" s="569"/>
      <c r="E482" s="247"/>
      <c r="F482" s="569"/>
      <c r="G482" s="247"/>
      <c r="H482" s="569"/>
      <c r="I482" s="569"/>
      <c r="J482" s="569"/>
      <c r="K482" s="247"/>
    </row>
    <row r="483" spans="1:11" ht="9.9499999999999993" customHeight="1" x14ac:dyDescent="0.2">
      <c r="A483" s="569"/>
      <c r="B483" s="569"/>
      <c r="C483" s="247"/>
      <c r="D483" s="569"/>
      <c r="E483" s="247"/>
      <c r="F483" s="569"/>
      <c r="G483" s="247"/>
      <c r="H483" s="569"/>
      <c r="I483" s="569"/>
      <c r="J483" s="569"/>
      <c r="K483" s="247"/>
    </row>
    <row r="484" spans="1:11" ht="9.9499999999999993" customHeight="1" x14ac:dyDescent="0.2">
      <c r="A484" s="569"/>
      <c r="B484" s="569"/>
      <c r="C484" s="247"/>
      <c r="D484" s="569"/>
      <c r="E484" s="247"/>
      <c r="F484" s="569"/>
      <c r="G484" s="247"/>
      <c r="H484" s="569"/>
      <c r="I484" s="569"/>
      <c r="J484" s="569"/>
      <c r="K484" s="247"/>
    </row>
    <row r="485" spans="1:11" ht="9.9499999999999993" customHeight="1" x14ac:dyDescent="0.2">
      <c r="A485" s="569"/>
      <c r="B485" s="569"/>
      <c r="C485" s="247"/>
      <c r="D485" s="569"/>
      <c r="E485" s="247"/>
      <c r="F485" s="569"/>
      <c r="G485" s="247"/>
      <c r="H485" s="569"/>
      <c r="I485" s="569"/>
      <c r="J485" s="569"/>
      <c r="K485" s="247"/>
    </row>
    <row r="486" spans="1:11" ht="9.9499999999999993" customHeight="1" x14ac:dyDescent="0.2">
      <c r="A486" s="569"/>
      <c r="B486" s="569"/>
      <c r="C486" s="247"/>
      <c r="D486" s="569"/>
      <c r="E486" s="247"/>
      <c r="F486" s="569"/>
      <c r="G486" s="247"/>
      <c r="H486" s="569"/>
      <c r="I486" s="569"/>
      <c r="J486" s="569"/>
      <c r="K486" s="247"/>
    </row>
    <row r="487" spans="1:11" ht="9.9499999999999993" customHeight="1" x14ac:dyDescent="0.2">
      <c r="A487" s="569"/>
      <c r="B487" s="569"/>
      <c r="C487" s="247"/>
      <c r="D487" s="569"/>
      <c r="E487" s="247"/>
      <c r="F487" s="569"/>
      <c r="G487" s="247"/>
      <c r="H487" s="569"/>
      <c r="I487" s="569"/>
      <c r="J487" s="569"/>
      <c r="K487" s="247"/>
    </row>
    <row r="488" spans="1:11" ht="9.9499999999999993" customHeight="1" x14ac:dyDescent="0.2">
      <c r="A488" s="569"/>
      <c r="B488" s="569"/>
      <c r="C488" s="247"/>
      <c r="D488" s="569"/>
      <c r="E488" s="247"/>
      <c r="F488" s="569"/>
      <c r="G488" s="247"/>
      <c r="H488" s="569"/>
      <c r="I488" s="569"/>
      <c r="J488" s="569"/>
      <c r="K488" s="247"/>
    </row>
    <row r="489" spans="1:11" ht="9.9499999999999993" customHeight="1" x14ac:dyDescent="0.2">
      <c r="A489" s="569"/>
      <c r="B489" s="569"/>
      <c r="C489" s="247"/>
      <c r="D489" s="569"/>
      <c r="E489" s="247"/>
      <c r="F489" s="569"/>
      <c r="G489" s="247"/>
      <c r="H489" s="569"/>
      <c r="I489" s="569"/>
      <c r="J489" s="569"/>
      <c r="K489" s="247"/>
    </row>
    <row r="490" spans="1:11" ht="9.9499999999999993" customHeight="1" x14ac:dyDescent="0.2">
      <c r="A490" s="569"/>
      <c r="B490" s="569"/>
      <c r="C490" s="247"/>
      <c r="D490" s="569"/>
      <c r="E490" s="247"/>
      <c r="F490" s="569"/>
      <c r="G490" s="247"/>
      <c r="H490" s="569"/>
      <c r="I490" s="569"/>
      <c r="J490" s="569"/>
      <c r="K490" s="247"/>
    </row>
    <row r="491" spans="1:11" ht="9.9499999999999993" customHeight="1" x14ac:dyDescent="0.2">
      <c r="A491" s="569"/>
      <c r="B491" s="569"/>
      <c r="C491" s="247"/>
      <c r="D491" s="569"/>
      <c r="E491" s="247"/>
      <c r="F491" s="569"/>
      <c r="G491" s="247"/>
      <c r="H491" s="569"/>
      <c r="I491" s="569"/>
      <c r="J491" s="569"/>
      <c r="K491" s="247"/>
    </row>
    <row r="492" spans="1:11" ht="9.9499999999999993" customHeight="1" x14ac:dyDescent="0.2">
      <c r="A492" s="569"/>
      <c r="B492" s="569"/>
      <c r="C492" s="247"/>
      <c r="D492" s="569"/>
      <c r="E492" s="247"/>
      <c r="F492" s="569"/>
      <c r="G492" s="247"/>
      <c r="H492" s="569"/>
      <c r="I492" s="569"/>
      <c r="J492" s="569"/>
      <c r="K492" s="247"/>
    </row>
    <row r="493" spans="1:11" ht="9.9499999999999993" customHeight="1" x14ac:dyDescent="0.2">
      <c r="A493" s="569"/>
      <c r="B493" s="569"/>
      <c r="C493" s="247"/>
      <c r="D493" s="569"/>
      <c r="E493" s="247"/>
      <c r="F493" s="569"/>
      <c r="G493" s="247"/>
      <c r="H493" s="569"/>
      <c r="I493" s="569"/>
      <c r="J493" s="569"/>
      <c r="K493" s="247"/>
    </row>
    <row r="494" spans="1:11" ht="9.9499999999999993" customHeight="1" x14ac:dyDescent="0.2">
      <c r="A494" s="569"/>
      <c r="B494" s="569"/>
      <c r="C494" s="247"/>
      <c r="D494" s="569"/>
      <c r="E494" s="247"/>
      <c r="F494" s="569"/>
      <c r="G494" s="247"/>
      <c r="H494" s="569"/>
      <c r="I494" s="569"/>
      <c r="J494" s="569"/>
      <c r="K494" s="247"/>
    </row>
    <row r="495" spans="1:11" ht="9.9499999999999993" customHeight="1" x14ac:dyDescent="0.2">
      <c r="A495" s="569"/>
      <c r="B495" s="569"/>
      <c r="C495" s="247"/>
      <c r="D495" s="569"/>
      <c r="E495" s="247"/>
      <c r="F495" s="569"/>
      <c r="G495" s="247"/>
      <c r="H495" s="569"/>
      <c r="I495" s="569"/>
      <c r="J495" s="569"/>
      <c r="K495" s="247"/>
    </row>
    <row r="496" spans="1:11" ht="9.9499999999999993" customHeight="1" x14ac:dyDescent="0.2">
      <c r="A496" s="569"/>
      <c r="B496" s="569"/>
      <c r="C496" s="247"/>
      <c r="D496" s="569"/>
      <c r="E496" s="247"/>
      <c r="F496" s="569"/>
      <c r="G496" s="247"/>
      <c r="H496" s="569"/>
      <c r="I496" s="569"/>
      <c r="J496" s="569"/>
      <c r="K496" s="247"/>
    </row>
    <row r="497" spans="1:11" ht="9.9499999999999993" customHeight="1" x14ac:dyDescent="0.2">
      <c r="A497" s="569"/>
      <c r="B497" s="569"/>
      <c r="C497" s="247"/>
      <c r="D497" s="569"/>
      <c r="E497" s="247"/>
      <c r="F497" s="569"/>
      <c r="G497" s="247"/>
      <c r="H497" s="569"/>
      <c r="I497" s="569"/>
      <c r="J497" s="569"/>
      <c r="K497" s="247"/>
    </row>
    <row r="498" spans="1:11" ht="9.9499999999999993" customHeight="1" x14ac:dyDescent="0.2">
      <c r="A498" s="569"/>
      <c r="B498" s="569"/>
      <c r="C498" s="247"/>
      <c r="D498" s="569"/>
      <c r="E498" s="247"/>
      <c r="F498" s="569"/>
      <c r="G498" s="247"/>
      <c r="H498" s="569"/>
      <c r="I498" s="569"/>
      <c r="J498" s="569"/>
      <c r="K498" s="247"/>
    </row>
    <row r="499" spans="1:11" ht="9.9499999999999993" customHeight="1" x14ac:dyDescent="0.2">
      <c r="A499" s="569"/>
      <c r="B499" s="569"/>
      <c r="C499" s="247"/>
      <c r="D499" s="569"/>
      <c r="E499" s="247"/>
      <c r="F499" s="569"/>
      <c r="G499" s="247"/>
      <c r="H499" s="569"/>
      <c r="I499" s="569"/>
      <c r="J499" s="569"/>
      <c r="K499" s="247"/>
    </row>
    <row r="500" spans="1:11" ht="9.9499999999999993" customHeight="1" x14ac:dyDescent="0.2">
      <c r="A500" s="569"/>
      <c r="B500" s="569"/>
      <c r="C500" s="247"/>
      <c r="D500" s="569"/>
      <c r="E500" s="247"/>
      <c r="F500" s="569"/>
      <c r="G500" s="247"/>
      <c r="H500" s="569"/>
      <c r="I500" s="569"/>
      <c r="J500" s="569"/>
      <c r="K500" s="247"/>
    </row>
    <row r="501" spans="1:11" ht="9.9499999999999993" customHeight="1" x14ac:dyDescent="0.2">
      <c r="A501" s="569"/>
      <c r="B501" s="569"/>
      <c r="C501" s="247"/>
      <c r="D501" s="569"/>
      <c r="E501" s="247"/>
      <c r="F501" s="569"/>
      <c r="G501" s="247"/>
      <c r="H501" s="569"/>
      <c r="I501" s="569"/>
      <c r="J501" s="569"/>
      <c r="K501" s="247"/>
    </row>
    <row r="502" spans="1:11" ht="9.9499999999999993" customHeight="1" x14ac:dyDescent="0.2">
      <c r="A502" s="569"/>
      <c r="B502" s="569"/>
      <c r="C502" s="247"/>
      <c r="D502" s="569"/>
      <c r="E502" s="247"/>
      <c r="F502" s="569"/>
      <c r="G502" s="247"/>
      <c r="H502" s="569"/>
      <c r="I502" s="569"/>
      <c r="J502" s="569"/>
      <c r="K502" s="247"/>
    </row>
    <row r="503" spans="1:11" ht="9.9499999999999993" customHeight="1" x14ac:dyDescent="0.2">
      <c r="A503" s="569"/>
      <c r="B503" s="569"/>
      <c r="C503" s="247"/>
      <c r="D503" s="569"/>
      <c r="E503" s="247"/>
      <c r="F503" s="569"/>
      <c r="G503" s="247"/>
      <c r="H503" s="569"/>
      <c r="I503" s="569"/>
      <c r="J503" s="569"/>
      <c r="K503" s="247"/>
    </row>
    <row r="504" spans="1:11" ht="9.9499999999999993" customHeight="1" x14ac:dyDescent="0.2">
      <c r="A504" s="569"/>
      <c r="B504" s="569"/>
      <c r="C504" s="247"/>
      <c r="D504" s="569"/>
      <c r="E504" s="247"/>
      <c r="F504" s="569"/>
      <c r="G504" s="247"/>
      <c r="H504" s="569"/>
      <c r="I504" s="569"/>
      <c r="J504" s="569"/>
      <c r="K504" s="247"/>
    </row>
    <row r="505" spans="1:11" ht="9.9499999999999993" customHeight="1" x14ac:dyDescent="0.2">
      <c r="A505" s="569"/>
      <c r="B505" s="569"/>
      <c r="C505" s="247"/>
      <c r="D505" s="569"/>
      <c r="E505" s="247"/>
      <c r="F505" s="569"/>
      <c r="G505" s="247"/>
      <c r="H505" s="569"/>
      <c r="I505" s="569"/>
      <c r="J505" s="569"/>
      <c r="K505" s="247"/>
    </row>
    <row r="506" spans="1:11" ht="9.9499999999999993" customHeight="1" x14ac:dyDescent="0.2">
      <c r="A506" s="569"/>
      <c r="B506" s="569"/>
      <c r="C506" s="247"/>
      <c r="D506" s="569"/>
      <c r="E506" s="247"/>
      <c r="F506" s="569"/>
      <c r="G506" s="247"/>
      <c r="H506" s="569"/>
      <c r="I506" s="569"/>
      <c r="J506" s="569"/>
      <c r="K506" s="247"/>
    </row>
    <row r="507" spans="1:11" ht="9.9499999999999993" customHeight="1" x14ac:dyDescent="0.2">
      <c r="A507" s="569"/>
      <c r="B507" s="569"/>
      <c r="C507" s="247"/>
      <c r="D507" s="569"/>
      <c r="E507" s="247"/>
      <c r="F507" s="569"/>
      <c r="G507" s="247"/>
      <c r="H507" s="569"/>
      <c r="I507" s="569"/>
      <c r="J507" s="569"/>
      <c r="K507" s="247"/>
    </row>
    <row r="508" spans="1:11" ht="9.9499999999999993" customHeight="1" x14ac:dyDescent="0.2">
      <c r="A508" s="569"/>
      <c r="B508" s="569"/>
      <c r="C508" s="247"/>
      <c r="D508" s="569"/>
      <c r="E508" s="247"/>
      <c r="F508" s="569"/>
      <c r="G508" s="247"/>
      <c r="H508" s="569"/>
      <c r="I508" s="569"/>
      <c r="J508" s="569"/>
      <c r="K508" s="247"/>
    </row>
    <row r="509" spans="1:11" ht="9.9499999999999993" customHeight="1" x14ac:dyDescent="0.2">
      <c r="A509" s="569"/>
      <c r="B509" s="569"/>
      <c r="C509" s="247"/>
      <c r="D509" s="569"/>
      <c r="E509" s="247"/>
      <c r="F509" s="569"/>
      <c r="G509" s="247"/>
      <c r="H509" s="569"/>
      <c r="I509" s="569"/>
      <c r="J509" s="569"/>
      <c r="K509" s="247"/>
    </row>
    <row r="510" spans="1:11" ht="9.9499999999999993" customHeight="1" x14ac:dyDescent="0.2">
      <c r="A510" s="569"/>
      <c r="B510" s="569"/>
      <c r="C510" s="247"/>
      <c r="D510" s="569"/>
      <c r="E510" s="247"/>
      <c r="F510" s="569"/>
      <c r="G510" s="247"/>
      <c r="H510" s="569"/>
      <c r="I510" s="569"/>
      <c r="J510" s="569"/>
      <c r="K510" s="247"/>
    </row>
    <row r="511" spans="1:11" ht="9.9499999999999993" customHeight="1" x14ac:dyDescent="0.2">
      <c r="A511" s="569"/>
      <c r="B511" s="569"/>
      <c r="C511" s="247"/>
      <c r="D511" s="569"/>
      <c r="E511" s="247"/>
      <c r="F511" s="569"/>
      <c r="G511" s="247"/>
      <c r="H511" s="569"/>
      <c r="I511" s="569"/>
      <c r="J511" s="569"/>
      <c r="K511" s="247"/>
    </row>
    <row r="512" spans="1:11" ht="9.9499999999999993" customHeight="1" x14ac:dyDescent="0.2">
      <c r="A512" s="569"/>
      <c r="B512" s="569"/>
      <c r="C512" s="247"/>
      <c r="D512" s="569"/>
      <c r="E512" s="247"/>
      <c r="F512" s="569"/>
      <c r="G512" s="247"/>
      <c r="H512" s="569"/>
      <c r="I512" s="569"/>
      <c r="J512" s="569"/>
      <c r="K512" s="247"/>
    </row>
    <row r="513" spans="1:11" ht="9.9499999999999993" customHeight="1" x14ac:dyDescent="0.2">
      <c r="A513" s="569"/>
      <c r="B513" s="569"/>
      <c r="C513" s="247"/>
      <c r="D513" s="569"/>
      <c r="E513" s="247"/>
      <c r="F513" s="569"/>
      <c r="G513" s="247"/>
      <c r="H513" s="569"/>
      <c r="I513" s="569"/>
      <c r="J513" s="569"/>
      <c r="K513" s="247"/>
    </row>
    <row r="514" spans="1:11" ht="9.9499999999999993" customHeight="1" x14ac:dyDescent="0.2">
      <c r="A514" s="569"/>
      <c r="B514" s="569"/>
      <c r="C514" s="247"/>
      <c r="D514" s="569"/>
      <c r="E514" s="247"/>
      <c r="F514" s="569"/>
      <c r="G514" s="247"/>
      <c r="H514" s="569"/>
      <c r="I514" s="569"/>
      <c r="J514" s="569"/>
      <c r="K514" s="247"/>
    </row>
    <row r="515" spans="1:11" ht="9.9499999999999993" customHeight="1" x14ac:dyDescent="0.2">
      <c r="A515" s="569"/>
      <c r="B515" s="569"/>
      <c r="C515" s="247"/>
      <c r="D515" s="569"/>
      <c r="E515" s="247"/>
      <c r="F515" s="569"/>
      <c r="G515" s="247"/>
      <c r="H515" s="569"/>
      <c r="I515" s="569"/>
      <c r="J515" s="569"/>
      <c r="K515" s="247"/>
    </row>
    <row r="516" spans="1:11" ht="9.9499999999999993" customHeight="1" x14ac:dyDescent="0.2">
      <c r="A516" s="569"/>
      <c r="B516" s="569"/>
      <c r="C516" s="247"/>
      <c r="D516" s="569"/>
      <c r="E516" s="247"/>
      <c r="F516" s="569"/>
      <c r="G516" s="247"/>
      <c r="H516" s="569"/>
      <c r="I516" s="569"/>
      <c r="J516" s="569"/>
      <c r="K516" s="247"/>
    </row>
    <row r="517" spans="1:11" ht="9.9499999999999993" customHeight="1" x14ac:dyDescent="0.2">
      <c r="A517" s="569"/>
      <c r="B517" s="569"/>
      <c r="C517" s="247"/>
      <c r="D517" s="569"/>
      <c r="E517" s="247"/>
      <c r="F517" s="569"/>
      <c r="G517" s="247"/>
      <c r="H517" s="569"/>
      <c r="I517" s="569"/>
      <c r="J517" s="569"/>
      <c r="K517" s="247"/>
    </row>
    <row r="518" spans="1:11" ht="9.9499999999999993" customHeight="1" x14ac:dyDescent="0.2">
      <c r="A518" s="569"/>
      <c r="B518" s="569"/>
      <c r="C518" s="247"/>
      <c r="D518" s="569"/>
      <c r="E518" s="247"/>
      <c r="F518" s="569"/>
      <c r="G518" s="247"/>
      <c r="H518" s="569"/>
      <c r="I518" s="569"/>
      <c r="J518" s="569"/>
      <c r="K518" s="247"/>
    </row>
    <row r="519" spans="1:11" ht="9.9499999999999993" customHeight="1" x14ac:dyDescent="0.2">
      <c r="A519" s="569"/>
      <c r="B519" s="569"/>
      <c r="C519" s="247"/>
      <c r="D519" s="569"/>
      <c r="E519" s="247"/>
      <c r="F519" s="569"/>
      <c r="G519" s="247"/>
      <c r="H519" s="569"/>
      <c r="I519" s="569"/>
      <c r="J519" s="569"/>
      <c r="K519" s="247"/>
    </row>
    <row r="520" spans="1:11" ht="9.9499999999999993" customHeight="1" x14ac:dyDescent="0.2">
      <c r="A520" s="569"/>
      <c r="B520" s="569"/>
      <c r="C520" s="247"/>
      <c r="D520" s="569"/>
      <c r="E520" s="247"/>
      <c r="F520" s="569"/>
      <c r="G520" s="247"/>
      <c r="H520" s="569"/>
      <c r="I520" s="569"/>
      <c r="J520" s="569"/>
      <c r="K520" s="247"/>
    </row>
    <row r="521" spans="1:11" ht="9.9499999999999993" customHeight="1" x14ac:dyDescent="0.2">
      <c r="A521" s="569"/>
      <c r="B521" s="569"/>
      <c r="C521" s="247"/>
      <c r="D521" s="569"/>
      <c r="E521" s="247"/>
      <c r="F521" s="569"/>
      <c r="G521" s="247"/>
      <c r="H521" s="569"/>
      <c r="I521" s="569"/>
      <c r="J521" s="569"/>
      <c r="K521" s="247"/>
    </row>
    <row r="522" spans="1:11" ht="9.9499999999999993" customHeight="1" x14ac:dyDescent="0.2">
      <c r="A522" s="569"/>
      <c r="B522" s="569"/>
      <c r="C522" s="247"/>
      <c r="D522" s="569"/>
      <c r="E522" s="247"/>
      <c r="F522" s="569"/>
      <c r="G522" s="247"/>
      <c r="H522" s="569"/>
      <c r="I522" s="569"/>
      <c r="J522" s="569"/>
      <c r="K522" s="247"/>
    </row>
    <row r="523" spans="1:11" ht="9.9499999999999993" customHeight="1" x14ac:dyDescent="0.2">
      <c r="A523" s="569"/>
      <c r="B523" s="569"/>
      <c r="C523" s="247"/>
      <c r="D523" s="569"/>
      <c r="E523" s="247"/>
      <c r="F523" s="569"/>
      <c r="G523" s="247"/>
      <c r="H523" s="569"/>
      <c r="I523" s="569"/>
      <c r="J523" s="569"/>
      <c r="K523" s="247"/>
    </row>
    <row r="524" spans="1:11" ht="9.9499999999999993" customHeight="1" x14ac:dyDescent="0.2">
      <c r="A524" s="569"/>
      <c r="B524" s="569"/>
      <c r="C524" s="247"/>
      <c r="D524" s="569"/>
      <c r="E524" s="247"/>
      <c r="F524" s="569"/>
      <c r="G524" s="247"/>
      <c r="H524" s="569"/>
      <c r="I524" s="569"/>
      <c r="J524" s="569"/>
      <c r="K524" s="247"/>
    </row>
    <row r="525" spans="1:11" ht="9.9499999999999993" customHeight="1" x14ac:dyDescent="0.2">
      <c r="A525" s="569"/>
      <c r="B525" s="569"/>
      <c r="C525" s="247"/>
      <c r="D525" s="569"/>
      <c r="E525" s="247"/>
      <c r="F525" s="569"/>
      <c r="G525" s="247"/>
      <c r="H525" s="569"/>
      <c r="I525" s="569"/>
      <c r="J525" s="569"/>
      <c r="K525" s="247"/>
    </row>
    <row r="526" spans="1:11" ht="9.9499999999999993" customHeight="1" x14ac:dyDescent="0.2">
      <c r="A526" s="569"/>
      <c r="B526" s="569"/>
      <c r="C526" s="247"/>
      <c r="D526" s="569"/>
      <c r="E526" s="247"/>
      <c r="F526" s="569"/>
      <c r="G526" s="247"/>
      <c r="H526" s="569"/>
      <c r="I526" s="569"/>
      <c r="J526" s="569"/>
      <c r="K526" s="247"/>
    </row>
    <row r="527" spans="1:11" ht="9.9499999999999993" customHeight="1" x14ac:dyDescent="0.2">
      <c r="A527" s="569"/>
      <c r="B527" s="569"/>
      <c r="C527" s="247"/>
      <c r="D527" s="569"/>
      <c r="E527" s="247"/>
      <c r="F527" s="569"/>
      <c r="G527" s="247"/>
      <c r="H527" s="569"/>
      <c r="I527" s="569"/>
      <c r="J527" s="569"/>
      <c r="K527" s="247"/>
    </row>
    <row r="528" spans="1:11" ht="9.9499999999999993" customHeight="1" x14ac:dyDescent="0.2">
      <c r="A528" s="569"/>
      <c r="B528" s="569"/>
      <c r="C528" s="247"/>
      <c r="D528" s="569"/>
      <c r="E528" s="247"/>
      <c r="F528" s="569"/>
      <c r="G528" s="247"/>
      <c r="H528" s="569"/>
      <c r="I528" s="569"/>
      <c r="J528" s="569"/>
      <c r="K528" s="247"/>
    </row>
    <row r="529" spans="1:11" ht="9.9499999999999993" customHeight="1" x14ac:dyDescent="0.2">
      <c r="A529" s="569"/>
      <c r="B529" s="569"/>
      <c r="C529" s="247"/>
      <c r="D529" s="569"/>
      <c r="E529" s="247"/>
      <c r="F529" s="569"/>
      <c r="G529" s="247"/>
      <c r="H529" s="569"/>
      <c r="I529" s="569"/>
      <c r="J529" s="569"/>
      <c r="K529" s="247"/>
    </row>
    <row r="530" spans="1:11" ht="9.9499999999999993" customHeight="1" x14ac:dyDescent="0.2">
      <c r="A530" s="569"/>
      <c r="B530" s="569"/>
      <c r="C530" s="247"/>
      <c r="D530" s="569"/>
      <c r="E530" s="247"/>
      <c r="F530" s="569"/>
      <c r="G530" s="247"/>
      <c r="H530" s="569"/>
      <c r="I530" s="569"/>
      <c r="J530" s="569"/>
      <c r="K530" s="247"/>
    </row>
    <row r="531" spans="1:11" ht="9.9499999999999993" customHeight="1" x14ac:dyDescent="0.2">
      <c r="A531" s="569"/>
      <c r="B531" s="569"/>
      <c r="C531" s="247"/>
      <c r="D531" s="569"/>
      <c r="E531" s="247"/>
      <c r="F531" s="569"/>
      <c r="G531" s="247"/>
      <c r="H531" s="569"/>
      <c r="I531" s="569"/>
      <c r="J531" s="569"/>
      <c r="K531" s="247"/>
    </row>
    <row r="532" spans="1:11" ht="9.9499999999999993" customHeight="1" x14ac:dyDescent="0.2">
      <c r="A532" s="569"/>
      <c r="B532" s="569"/>
      <c r="C532" s="247"/>
      <c r="D532" s="569"/>
      <c r="E532" s="247"/>
      <c r="F532" s="569"/>
      <c r="G532" s="247"/>
      <c r="H532" s="569"/>
      <c r="I532" s="569"/>
      <c r="J532" s="569"/>
      <c r="K532" s="247"/>
    </row>
    <row r="533" spans="1:11" ht="9.9499999999999993" customHeight="1" x14ac:dyDescent="0.2">
      <c r="A533" s="569"/>
      <c r="B533" s="569"/>
      <c r="C533" s="247"/>
      <c r="D533" s="569"/>
      <c r="E533" s="247"/>
      <c r="F533" s="569"/>
      <c r="G533" s="247"/>
      <c r="H533" s="569"/>
      <c r="I533" s="569"/>
      <c r="J533" s="569"/>
      <c r="K533" s="247"/>
    </row>
    <row r="534" spans="1:11" ht="9.9499999999999993" customHeight="1" x14ac:dyDescent="0.2">
      <c r="A534" s="569"/>
      <c r="B534" s="569"/>
      <c r="C534" s="247"/>
      <c r="D534" s="569"/>
      <c r="E534" s="247"/>
      <c r="F534" s="569"/>
      <c r="G534" s="247"/>
      <c r="H534" s="569"/>
      <c r="I534" s="569"/>
      <c r="J534" s="569"/>
      <c r="K534" s="247"/>
    </row>
    <row r="535" spans="1:11" ht="9.9499999999999993" customHeight="1" x14ac:dyDescent="0.2">
      <c r="A535" s="569"/>
      <c r="B535" s="569"/>
      <c r="C535" s="247"/>
      <c r="D535" s="569"/>
      <c r="E535" s="247"/>
      <c r="F535" s="569"/>
      <c r="G535" s="247"/>
      <c r="H535" s="569"/>
      <c r="I535" s="569"/>
      <c r="J535" s="569"/>
      <c r="K535" s="247"/>
    </row>
    <row r="536" spans="1:11" ht="9.9499999999999993" customHeight="1" x14ac:dyDescent="0.2">
      <c r="A536" s="569"/>
      <c r="B536" s="569"/>
      <c r="C536" s="247"/>
      <c r="D536" s="569"/>
      <c r="E536" s="247"/>
      <c r="F536" s="569"/>
      <c r="G536" s="247"/>
      <c r="H536" s="569"/>
      <c r="I536" s="569"/>
      <c r="J536" s="569"/>
      <c r="K536" s="247"/>
    </row>
    <row r="537" spans="1:11" ht="9.9499999999999993" customHeight="1" x14ac:dyDescent="0.2">
      <c r="A537" s="569"/>
      <c r="B537" s="569"/>
      <c r="C537" s="247"/>
      <c r="D537" s="569"/>
      <c r="E537" s="247"/>
      <c r="F537" s="569"/>
      <c r="G537" s="247"/>
      <c r="H537" s="569"/>
      <c r="I537" s="569"/>
      <c r="J537" s="569"/>
      <c r="K537" s="247"/>
    </row>
    <row r="538" spans="1:11" ht="9.9499999999999993" customHeight="1" x14ac:dyDescent="0.2">
      <c r="A538" s="569"/>
      <c r="B538" s="569"/>
      <c r="C538" s="247"/>
      <c r="D538" s="569"/>
      <c r="E538" s="247"/>
      <c r="F538" s="569"/>
      <c r="G538" s="247"/>
      <c r="H538" s="569"/>
      <c r="I538" s="569"/>
      <c r="J538" s="569"/>
      <c r="K538" s="247"/>
    </row>
    <row r="539" spans="1:11" ht="9.9499999999999993" customHeight="1" x14ac:dyDescent="0.2">
      <c r="A539" s="569"/>
      <c r="B539" s="569"/>
      <c r="C539" s="247"/>
      <c r="D539" s="569"/>
      <c r="E539" s="247"/>
      <c r="F539" s="569"/>
      <c r="G539" s="247"/>
      <c r="H539" s="569"/>
      <c r="I539" s="569"/>
      <c r="J539" s="569"/>
      <c r="K539" s="247"/>
    </row>
    <row r="540" spans="1:11" ht="9.9499999999999993" customHeight="1" x14ac:dyDescent="0.2">
      <c r="A540" s="569"/>
      <c r="B540" s="569"/>
      <c r="C540" s="247"/>
      <c r="D540" s="569"/>
      <c r="E540" s="247"/>
      <c r="F540" s="569"/>
      <c r="G540" s="247"/>
      <c r="H540" s="569"/>
      <c r="I540" s="569"/>
      <c r="J540" s="569"/>
      <c r="K540" s="247"/>
    </row>
    <row r="541" spans="1:11" ht="9.9499999999999993" customHeight="1" x14ac:dyDescent="0.2">
      <c r="A541" s="569"/>
      <c r="B541" s="569"/>
      <c r="C541" s="247"/>
      <c r="D541" s="569"/>
      <c r="E541" s="247"/>
      <c r="F541" s="569"/>
      <c r="G541" s="247"/>
      <c r="H541" s="569"/>
      <c r="I541" s="569"/>
      <c r="J541" s="569"/>
      <c r="K541" s="247"/>
    </row>
    <row r="542" spans="1:11" ht="9.9499999999999993" customHeight="1" x14ac:dyDescent="0.2">
      <c r="A542" s="569"/>
      <c r="B542" s="569"/>
      <c r="C542" s="247"/>
      <c r="D542" s="569"/>
      <c r="E542" s="247"/>
      <c r="F542" s="569"/>
      <c r="G542" s="247"/>
      <c r="H542" s="569"/>
      <c r="I542" s="569"/>
      <c r="J542" s="569"/>
      <c r="K542" s="247"/>
    </row>
    <row r="543" spans="1:11" ht="9.9499999999999993" customHeight="1" x14ac:dyDescent="0.2">
      <c r="A543" s="569"/>
      <c r="B543" s="569"/>
      <c r="C543" s="247"/>
      <c r="D543" s="569"/>
      <c r="E543" s="247"/>
      <c r="F543" s="569"/>
      <c r="G543" s="247"/>
      <c r="H543" s="569"/>
      <c r="I543" s="569"/>
      <c r="J543" s="569"/>
      <c r="K543" s="247"/>
    </row>
    <row r="544" spans="1:11" ht="9.9499999999999993" customHeight="1" x14ac:dyDescent="0.2">
      <c r="A544" s="569"/>
      <c r="B544" s="569"/>
      <c r="C544" s="247"/>
      <c r="D544" s="569"/>
      <c r="E544" s="247"/>
      <c r="F544" s="569"/>
      <c r="G544" s="247"/>
      <c r="H544" s="569"/>
      <c r="I544" s="569"/>
      <c r="J544" s="569"/>
      <c r="K544" s="247"/>
    </row>
    <row r="545" spans="1:11" ht="9.9499999999999993" customHeight="1" x14ac:dyDescent="0.2">
      <c r="A545" s="569"/>
      <c r="B545" s="569"/>
      <c r="C545" s="247"/>
      <c r="D545" s="569"/>
      <c r="E545" s="247"/>
      <c r="F545" s="569"/>
      <c r="G545" s="247"/>
      <c r="H545" s="569"/>
      <c r="I545" s="569"/>
      <c r="J545" s="569"/>
      <c r="K545" s="247"/>
    </row>
    <row r="546" spans="1:11" ht="9.9499999999999993" customHeight="1" x14ac:dyDescent="0.2">
      <c r="A546" s="569"/>
      <c r="B546" s="569"/>
      <c r="C546" s="247"/>
      <c r="D546" s="569"/>
      <c r="E546" s="247"/>
      <c r="F546" s="569"/>
      <c r="G546" s="247"/>
      <c r="H546" s="569"/>
      <c r="I546" s="569"/>
      <c r="J546" s="569"/>
      <c r="K546" s="247"/>
    </row>
    <row r="547" spans="1:11" ht="9.9499999999999993" customHeight="1" x14ac:dyDescent="0.2">
      <c r="A547" s="569"/>
      <c r="B547" s="569"/>
      <c r="C547" s="247"/>
      <c r="D547" s="569"/>
      <c r="E547" s="247"/>
      <c r="F547" s="569"/>
      <c r="G547" s="247"/>
      <c r="H547" s="569"/>
      <c r="I547" s="569"/>
      <c r="J547" s="569"/>
      <c r="K547" s="247"/>
    </row>
    <row r="548" spans="1:11" ht="9.9499999999999993" customHeight="1" x14ac:dyDescent="0.2">
      <c r="A548" s="569"/>
      <c r="B548" s="569"/>
      <c r="C548" s="247"/>
      <c r="D548" s="569"/>
      <c r="E548" s="247"/>
      <c r="F548" s="569"/>
      <c r="G548" s="247"/>
      <c r="H548" s="569"/>
      <c r="I548" s="569"/>
      <c r="J548" s="569"/>
      <c r="K548" s="247"/>
    </row>
    <row r="549" spans="1:11" ht="9.9499999999999993" customHeight="1" x14ac:dyDescent="0.2">
      <c r="A549" s="569"/>
      <c r="B549" s="569"/>
      <c r="C549" s="247"/>
      <c r="D549" s="569"/>
      <c r="E549" s="247"/>
      <c r="F549" s="569"/>
      <c r="G549" s="247"/>
      <c r="H549" s="569"/>
      <c r="I549" s="569"/>
      <c r="J549" s="569"/>
      <c r="K549" s="247"/>
    </row>
    <row r="550" spans="1:11" ht="9.9499999999999993" customHeight="1" x14ac:dyDescent="0.2">
      <c r="A550" s="569"/>
      <c r="B550" s="569"/>
      <c r="C550" s="247"/>
      <c r="D550" s="569"/>
      <c r="E550" s="247"/>
      <c r="F550" s="569"/>
      <c r="G550" s="247"/>
      <c r="H550" s="569"/>
      <c r="I550" s="569"/>
      <c r="J550" s="569"/>
      <c r="K550" s="247"/>
    </row>
    <row r="551" spans="1:11" ht="9.9499999999999993" customHeight="1" x14ac:dyDescent="0.2">
      <c r="A551" s="569"/>
      <c r="B551" s="569"/>
      <c r="C551" s="247"/>
      <c r="D551" s="569"/>
      <c r="E551" s="247"/>
      <c r="F551" s="569"/>
      <c r="G551" s="247"/>
      <c r="H551" s="569"/>
      <c r="I551" s="569"/>
      <c r="J551" s="569"/>
      <c r="K551" s="247"/>
    </row>
    <row r="552" spans="1:11" ht="9.9499999999999993" customHeight="1" x14ac:dyDescent="0.2">
      <c r="A552" s="569"/>
      <c r="B552" s="569"/>
      <c r="C552" s="247"/>
      <c r="D552" s="569"/>
      <c r="E552" s="247"/>
      <c r="F552" s="569"/>
      <c r="G552" s="247"/>
      <c r="H552" s="569"/>
      <c r="I552" s="569"/>
      <c r="J552" s="569"/>
      <c r="K552" s="247"/>
    </row>
    <row r="553" spans="1:11" ht="9.9499999999999993" customHeight="1" x14ac:dyDescent="0.2">
      <c r="A553" s="569"/>
      <c r="B553" s="569"/>
      <c r="C553" s="247"/>
      <c r="D553" s="569"/>
      <c r="E553" s="247"/>
      <c r="F553" s="569"/>
      <c r="G553" s="247"/>
      <c r="H553" s="569"/>
      <c r="I553" s="569"/>
      <c r="J553" s="569"/>
      <c r="K553" s="247"/>
    </row>
    <row r="554" spans="1:11" ht="9.9499999999999993" customHeight="1" x14ac:dyDescent="0.2">
      <c r="A554" s="569"/>
      <c r="B554" s="569"/>
      <c r="C554" s="247"/>
      <c r="D554" s="569"/>
      <c r="E554" s="247"/>
      <c r="F554" s="569"/>
      <c r="G554" s="247"/>
      <c r="H554" s="569"/>
      <c r="I554" s="569"/>
      <c r="J554" s="569"/>
      <c r="K554" s="247"/>
    </row>
    <row r="555" spans="1:11" ht="9.9499999999999993" customHeight="1" x14ac:dyDescent="0.2">
      <c r="A555" s="569"/>
      <c r="B555" s="569"/>
      <c r="C555" s="247"/>
      <c r="D555" s="569"/>
      <c r="E555" s="247"/>
      <c r="F555" s="569"/>
      <c r="G555" s="247"/>
      <c r="H555" s="569"/>
      <c r="I555" s="569"/>
      <c r="J555" s="569"/>
      <c r="K555" s="247"/>
    </row>
    <row r="556" spans="1:11" ht="9.9499999999999993" customHeight="1" x14ac:dyDescent="0.2">
      <c r="A556" s="569"/>
      <c r="B556" s="569"/>
      <c r="C556" s="247"/>
      <c r="D556" s="569"/>
      <c r="E556" s="247"/>
      <c r="F556" s="569"/>
      <c r="G556" s="247"/>
      <c r="H556" s="569"/>
      <c r="I556" s="569"/>
      <c r="J556" s="569"/>
      <c r="K556" s="247"/>
    </row>
    <row r="557" spans="1:11" ht="9.9499999999999993" customHeight="1" x14ac:dyDescent="0.2">
      <c r="A557" s="569"/>
      <c r="B557" s="569"/>
      <c r="C557" s="247"/>
      <c r="D557" s="569"/>
      <c r="E557" s="247"/>
      <c r="F557" s="569"/>
      <c r="G557" s="247"/>
      <c r="H557" s="569"/>
      <c r="I557" s="569"/>
      <c r="J557" s="569"/>
      <c r="K557" s="247"/>
    </row>
    <row r="558" spans="1:11" ht="9.9499999999999993" customHeight="1" x14ac:dyDescent="0.2">
      <c r="A558" s="569"/>
      <c r="B558" s="569"/>
      <c r="C558" s="247"/>
      <c r="D558" s="569"/>
      <c r="E558" s="247"/>
      <c r="F558" s="569"/>
      <c r="G558" s="247"/>
      <c r="H558" s="569"/>
      <c r="I558" s="569"/>
      <c r="J558" s="569"/>
      <c r="K558" s="247"/>
    </row>
    <row r="559" spans="1:11" ht="9.9499999999999993" customHeight="1" x14ac:dyDescent="0.2">
      <c r="A559" s="569"/>
      <c r="B559" s="569"/>
      <c r="C559" s="247"/>
      <c r="D559" s="569"/>
      <c r="E559" s="247"/>
      <c r="F559" s="569"/>
      <c r="G559" s="247"/>
      <c r="H559" s="569"/>
      <c r="I559" s="569"/>
      <c r="J559" s="569"/>
      <c r="K559" s="247"/>
    </row>
    <row r="560" spans="1:11" ht="9.9499999999999993" customHeight="1" x14ac:dyDescent="0.2">
      <c r="A560" s="569"/>
      <c r="B560" s="569"/>
      <c r="C560" s="247"/>
      <c r="D560" s="569"/>
      <c r="E560" s="247"/>
      <c r="F560" s="569"/>
      <c r="G560" s="247"/>
      <c r="H560" s="569"/>
      <c r="I560" s="569"/>
      <c r="J560" s="569"/>
      <c r="K560" s="247"/>
    </row>
    <row r="561" spans="1:11" ht="9.9499999999999993" customHeight="1" x14ac:dyDescent="0.2">
      <c r="A561" s="569"/>
      <c r="B561" s="569"/>
      <c r="C561" s="247"/>
      <c r="D561" s="569"/>
      <c r="E561" s="247"/>
      <c r="F561" s="569"/>
      <c r="G561" s="247"/>
      <c r="H561" s="569"/>
      <c r="I561" s="569"/>
      <c r="J561" s="569"/>
      <c r="K561" s="247"/>
    </row>
    <row r="562" spans="1:11" ht="9.9499999999999993" customHeight="1" x14ac:dyDescent="0.2">
      <c r="A562" s="569"/>
      <c r="B562" s="569"/>
      <c r="C562" s="247"/>
      <c r="D562" s="569"/>
      <c r="E562" s="247"/>
      <c r="F562" s="569"/>
      <c r="G562" s="247"/>
      <c r="H562" s="569"/>
      <c r="I562" s="569"/>
      <c r="J562" s="569"/>
      <c r="K562" s="247"/>
    </row>
    <row r="563" spans="1:11" ht="9.9499999999999993" customHeight="1" x14ac:dyDescent="0.2">
      <c r="A563" s="569"/>
      <c r="B563" s="569"/>
      <c r="C563" s="247"/>
      <c r="D563" s="569"/>
      <c r="E563" s="247"/>
      <c r="F563" s="569"/>
      <c r="G563" s="247"/>
      <c r="H563" s="569"/>
      <c r="I563" s="569"/>
      <c r="J563" s="569"/>
      <c r="K563" s="247"/>
    </row>
    <row r="564" spans="1:11" ht="9.9499999999999993" customHeight="1" x14ac:dyDescent="0.2">
      <c r="A564" s="569"/>
      <c r="B564" s="569"/>
      <c r="C564" s="247"/>
      <c r="D564" s="569"/>
      <c r="E564" s="247"/>
      <c r="F564" s="569"/>
      <c r="G564" s="247"/>
      <c r="H564" s="569"/>
      <c r="I564" s="569"/>
      <c r="J564" s="569"/>
      <c r="K564" s="247"/>
    </row>
    <row r="565" spans="1:11" ht="9.9499999999999993" customHeight="1" x14ac:dyDescent="0.2">
      <c r="A565" s="569"/>
      <c r="B565" s="569"/>
      <c r="C565" s="247"/>
      <c r="D565" s="569"/>
      <c r="E565" s="247"/>
      <c r="F565" s="569"/>
      <c r="G565" s="247"/>
      <c r="H565" s="569"/>
      <c r="I565" s="569"/>
      <c r="J565" s="569"/>
      <c r="K565" s="247"/>
    </row>
    <row r="566" spans="1:11" ht="9.9499999999999993" customHeight="1" x14ac:dyDescent="0.2">
      <c r="A566" s="569"/>
      <c r="B566" s="569"/>
      <c r="C566" s="247"/>
      <c r="D566" s="569"/>
      <c r="E566" s="247"/>
      <c r="F566" s="569"/>
      <c r="G566" s="247"/>
      <c r="H566" s="569"/>
      <c r="I566" s="569"/>
      <c r="J566" s="569"/>
      <c r="K566" s="247"/>
    </row>
    <row r="567" spans="1:11" ht="9.9499999999999993" customHeight="1" x14ac:dyDescent="0.2">
      <c r="A567" s="569"/>
      <c r="B567" s="569"/>
      <c r="C567" s="247"/>
      <c r="D567" s="569"/>
      <c r="E567" s="247"/>
      <c r="F567" s="569"/>
      <c r="G567" s="247"/>
      <c r="H567" s="569"/>
      <c r="I567" s="569"/>
      <c r="J567" s="569"/>
      <c r="K567" s="247"/>
    </row>
    <row r="568" spans="1:11" ht="9.9499999999999993" customHeight="1" x14ac:dyDescent="0.2">
      <c r="A568" s="569"/>
      <c r="B568" s="569"/>
      <c r="C568" s="247"/>
      <c r="D568" s="569"/>
      <c r="E568" s="247"/>
      <c r="F568" s="569"/>
      <c r="G568" s="247"/>
      <c r="H568" s="569"/>
      <c r="I568" s="569"/>
      <c r="J568" s="569"/>
      <c r="K568" s="247"/>
    </row>
    <row r="569" spans="1:11" ht="9.9499999999999993" customHeight="1" x14ac:dyDescent="0.2">
      <c r="A569" s="569"/>
      <c r="B569" s="569"/>
      <c r="C569" s="247"/>
      <c r="D569" s="569"/>
      <c r="E569" s="247"/>
      <c r="F569" s="569"/>
      <c r="G569" s="247"/>
      <c r="H569" s="569"/>
      <c r="I569" s="569"/>
      <c r="J569" s="569"/>
      <c r="K569" s="247"/>
    </row>
    <row r="570" spans="1:11" ht="9.9499999999999993" customHeight="1" x14ac:dyDescent="0.2">
      <c r="A570" s="569"/>
      <c r="B570" s="569"/>
      <c r="C570" s="247"/>
      <c r="D570" s="569"/>
      <c r="E570" s="247"/>
      <c r="F570" s="569"/>
      <c r="G570" s="247"/>
      <c r="H570" s="569"/>
      <c r="I570" s="569"/>
      <c r="J570" s="569"/>
      <c r="K570" s="247"/>
    </row>
    <row r="571" spans="1:11" ht="9.9499999999999993" customHeight="1" x14ac:dyDescent="0.2">
      <c r="A571" s="569"/>
      <c r="B571" s="569"/>
      <c r="C571" s="247"/>
      <c r="D571" s="569"/>
      <c r="E571" s="247"/>
      <c r="F571" s="569"/>
      <c r="G571" s="247"/>
      <c r="H571" s="569"/>
      <c r="I571" s="569"/>
      <c r="J571" s="569"/>
      <c r="K571" s="247"/>
    </row>
    <row r="572" spans="1:11" ht="9.9499999999999993" customHeight="1" x14ac:dyDescent="0.2">
      <c r="A572" s="569"/>
      <c r="B572" s="569"/>
      <c r="C572" s="247"/>
      <c r="D572" s="569"/>
      <c r="E572" s="247"/>
      <c r="F572" s="569"/>
      <c r="G572" s="247"/>
      <c r="H572" s="569"/>
      <c r="I572" s="569"/>
      <c r="J572" s="569"/>
      <c r="K572" s="247"/>
    </row>
    <row r="573" spans="1:11" ht="9.9499999999999993" customHeight="1" x14ac:dyDescent="0.2">
      <c r="A573" s="569"/>
      <c r="B573" s="569"/>
      <c r="C573" s="247"/>
      <c r="D573" s="569"/>
      <c r="E573" s="247"/>
      <c r="F573" s="569"/>
      <c r="G573" s="247"/>
      <c r="H573" s="569"/>
      <c r="I573" s="569"/>
      <c r="J573" s="569"/>
      <c r="K573" s="247"/>
    </row>
    <row r="574" spans="1:11" ht="9.9499999999999993" customHeight="1" x14ac:dyDescent="0.2">
      <c r="A574" s="569"/>
      <c r="B574" s="569"/>
      <c r="C574" s="247"/>
      <c r="D574" s="569"/>
      <c r="E574" s="247"/>
      <c r="F574" s="569"/>
      <c r="G574" s="247"/>
      <c r="H574" s="569"/>
      <c r="I574" s="569"/>
      <c r="J574" s="569"/>
      <c r="K574" s="247"/>
    </row>
    <row r="575" spans="1:11" ht="9.9499999999999993" customHeight="1" x14ac:dyDescent="0.2">
      <c r="A575" s="569"/>
      <c r="B575" s="569"/>
      <c r="C575" s="247"/>
      <c r="D575" s="569"/>
      <c r="E575" s="247"/>
      <c r="F575" s="569"/>
      <c r="G575" s="247"/>
      <c r="H575" s="569"/>
      <c r="I575" s="569"/>
      <c r="J575" s="569"/>
      <c r="K575" s="247"/>
    </row>
    <row r="576" spans="1:11" ht="9.9499999999999993" customHeight="1" x14ac:dyDescent="0.2">
      <c r="A576" s="569"/>
      <c r="B576" s="569"/>
      <c r="C576" s="247"/>
      <c r="D576" s="569"/>
      <c r="E576" s="247"/>
      <c r="F576" s="569"/>
      <c r="G576" s="247"/>
      <c r="H576" s="569"/>
      <c r="I576" s="569"/>
      <c r="J576" s="569"/>
      <c r="K576" s="247"/>
    </row>
    <row r="577" spans="1:11" ht="9.9499999999999993" customHeight="1" x14ac:dyDescent="0.2">
      <c r="A577" s="569"/>
      <c r="B577" s="569"/>
      <c r="C577" s="247"/>
      <c r="D577" s="569"/>
      <c r="E577" s="247"/>
      <c r="F577" s="569"/>
      <c r="G577" s="247"/>
      <c r="H577" s="569"/>
      <c r="I577" s="569"/>
      <c r="J577" s="569"/>
      <c r="K577" s="247"/>
    </row>
    <row r="578" spans="1:11" ht="9.9499999999999993" customHeight="1" x14ac:dyDescent="0.2">
      <c r="A578" s="569"/>
      <c r="B578" s="569"/>
      <c r="C578" s="247"/>
      <c r="D578" s="569"/>
      <c r="E578" s="247"/>
      <c r="F578" s="569"/>
      <c r="G578" s="247"/>
      <c r="H578" s="569"/>
      <c r="I578" s="569"/>
      <c r="J578" s="569"/>
      <c r="K578" s="247"/>
    </row>
    <row r="579" spans="1:11" ht="9.9499999999999993" customHeight="1" x14ac:dyDescent="0.2">
      <c r="A579" s="569"/>
      <c r="B579" s="569"/>
      <c r="C579" s="247"/>
      <c r="D579" s="569"/>
      <c r="E579" s="247"/>
      <c r="F579" s="569"/>
      <c r="G579" s="247"/>
      <c r="H579" s="569"/>
      <c r="I579" s="569"/>
      <c r="J579" s="569"/>
      <c r="K579" s="247"/>
    </row>
    <row r="580" spans="1:11" ht="9.9499999999999993" customHeight="1" x14ac:dyDescent="0.2">
      <c r="A580" s="569"/>
      <c r="B580" s="569"/>
      <c r="C580" s="247"/>
      <c r="D580" s="569"/>
      <c r="E580" s="247"/>
      <c r="F580" s="569"/>
      <c r="G580" s="247"/>
      <c r="H580" s="569"/>
      <c r="I580" s="569"/>
      <c r="J580" s="569"/>
      <c r="K580" s="247"/>
    </row>
    <row r="581" spans="1:11" ht="9.9499999999999993" customHeight="1" x14ac:dyDescent="0.2">
      <c r="A581" s="569"/>
      <c r="B581" s="569"/>
      <c r="C581" s="247"/>
      <c r="D581" s="569"/>
      <c r="E581" s="247"/>
      <c r="F581" s="569"/>
      <c r="G581" s="247"/>
      <c r="H581" s="569"/>
      <c r="I581" s="569"/>
      <c r="J581" s="569"/>
      <c r="K581" s="247"/>
    </row>
    <row r="582" spans="1:11" ht="9.9499999999999993" customHeight="1" x14ac:dyDescent="0.2">
      <c r="A582" s="569"/>
      <c r="B582" s="569"/>
      <c r="C582" s="247"/>
      <c r="D582" s="569"/>
      <c r="E582" s="247"/>
      <c r="F582" s="569"/>
      <c r="G582" s="247"/>
      <c r="H582" s="569"/>
      <c r="I582" s="569"/>
      <c r="J582" s="569"/>
      <c r="K582" s="247"/>
    </row>
    <row r="583" spans="1:11" ht="9.9499999999999993" customHeight="1" x14ac:dyDescent="0.2">
      <c r="A583" s="569"/>
      <c r="B583" s="569"/>
      <c r="C583" s="247"/>
      <c r="D583" s="569"/>
      <c r="E583" s="247"/>
      <c r="F583" s="569"/>
      <c r="G583" s="247"/>
      <c r="H583" s="569"/>
      <c r="I583" s="569"/>
      <c r="J583" s="569"/>
      <c r="K583" s="247"/>
    </row>
    <row r="584" spans="1:11" ht="9.9499999999999993" customHeight="1" x14ac:dyDescent="0.2">
      <c r="A584" s="569"/>
      <c r="B584" s="569"/>
      <c r="C584" s="247"/>
      <c r="D584" s="569"/>
      <c r="E584" s="247"/>
      <c r="F584" s="569"/>
      <c r="G584" s="247"/>
      <c r="H584" s="569"/>
      <c r="I584" s="569"/>
      <c r="J584" s="569"/>
      <c r="K584" s="247"/>
    </row>
    <row r="585" spans="1:11" ht="9.9499999999999993" customHeight="1" x14ac:dyDescent="0.2">
      <c r="A585" s="569"/>
      <c r="B585" s="569"/>
      <c r="C585" s="247"/>
      <c r="D585" s="569"/>
      <c r="E585" s="247"/>
      <c r="F585" s="569"/>
      <c r="G585" s="247"/>
      <c r="H585" s="569"/>
      <c r="I585" s="569"/>
      <c r="J585" s="569"/>
      <c r="K585" s="247"/>
    </row>
    <row r="586" spans="1:11" ht="9.9499999999999993" customHeight="1" x14ac:dyDescent="0.2">
      <c r="A586" s="569"/>
      <c r="B586" s="569"/>
      <c r="C586" s="247"/>
      <c r="D586" s="569"/>
      <c r="E586" s="247"/>
      <c r="F586" s="569"/>
      <c r="G586" s="247"/>
      <c r="H586" s="569"/>
      <c r="I586" s="569"/>
      <c r="J586" s="569"/>
      <c r="K586" s="247"/>
    </row>
    <row r="587" spans="1:11" ht="9.9499999999999993" customHeight="1" x14ac:dyDescent="0.2">
      <c r="A587" s="569"/>
      <c r="B587" s="569"/>
      <c r="C587" s="247"/>
      <c r="D587" s="569"/>
      <c r="E587" s="247"/>
      <c r="F587" s="569"/>
      <c r="G587" s="247"/>
      <c r="H587" s="569"/>
      <c r="I587" s="569"/>
      <c r="J587" s="569"/>
      <c r="K587" s="247"/>
    </row>
    <row r="588" spans="1:11" ht="9.9499999999999993" customHeight="1" x14ac:dyDescent="0.2">
      <c r="A588" s="569"/>
      <c r="B588" s="569"/>
      <c r="C588" s="247"/>
      <c r="D588" s="569"/>
      <c r="E588" s="247"/>
      <c r="F588" s="569"/>
      <c r="G588" s="247"/>
      <c r="H588" s="569"/>
      <c r="I588" s="569"/>
      <c r="J588" s="569"/>
      <c r="K588" s="247"/>
    </row>
    <row r="589" spans="1:11" ht="9.9499999999999993" customHeight="1" x14ac:dyDescent="0.2">
      <c r="A589" s="569"/>
      <c r="B589" s="569"/>
      <c r="C589" s="247"/>
      <c r="D589" s="569"/>
      <c r="E589" s="247"/>
      <c r="F589" s="569"/>
      <c r="G589" s="247"/>
      <c r="H589" s="569"/>
      <c r="I589" s="569"/>
      <c r="J589" s="569"/>
      <c r="K589" s="247"/>
    </row>
    <row r="590" spans="1:11" ht="9.9499999999999993" customHeight="1" x14ac:dyDescent="0.2">
      <c r="A590" s="569"/>
      <c r="B590" s="569"/>
      <c r="C590" s="247"/>
      <c r="D590" s="569"/>
      <c r="E590" s="247"/>
      <c r="F590" s="569"/>
      <c r="G590" s="247"/>
      <c r="H590" s="569"/>
      <c r="I590" s="569"/>
      <c r="J590" s="569"/>
      <c r="K590" s="247"/>
    </row>
    <row r="591" spans="1:11" ht="9.9499999999999993" customHeight="1" x14ac:dyDescent="0.2">
      <c r="A591" s="569"/>
      <c r="B591" s="569"/>
      <c r="C591" s="247"/>
      <c r="D591" s="569"/>
      <c r="E591" s="247"/>
      <c r="F591" s="569"/>
      <c r="G591" s="247"/>
      <c r="H591" s="569"/>
      <c r="I591" s="569"/>
      <c r="J591" s="569"/>
      <c r="K591" s="247"/>
    </row>
    <row r="592" spans="1:11" ht="9.9499999999999993" customHeight="1" x14ac:dyDescent="0.2">
      <c r="A592" s="569"/>
      <c r="B592" s="569"/>
      <c r="C592" s="247"/>
      <c r="D592" s="569"/>
      <c r="E592" s="247"/>
      <c r="F592" s="569"/>
      <c r="G592" s="247"/>
      <c r="H592" s="569"/>
      <c r="I592" s="569"/>
      <c r="J592" s="569"/>
      <c r="K592" s="247"/>
    </row>
    <row r="593" spans="1:11" ht="9.9499999999999993" customHeight="1" x14ac:dyDescent="0.2">
      <c r="A593" s="569"/>
      <c r="B593" s="569"/>
      <c r="C593" s="247"/>
      <c r="D593" s="569"/>
      <c r="E593" s="247"/>
      <c r="F593" s="569"/>
      <c r="G593" s="247"/>
      <c r="H593" s="569"/>
      <c r="I593" s="569"/>
      <c r="J593" s="569"/>
      <c r="K593" s="247"/>
    </row>
    <row r="594" spans="1:11" ht="9.9499999999999993" customHeight="1" x14ac:dyDescent="0.2">
      <c r="A594" s="569"/>
      <c r="B594" s="569"/>
      <c r="C594" s="247"/>
      <c r="D594" s="569"/>
      <c r="E594" s="247"/>
      <c r="F594" s="569"/>
      <c r="G594" s="247"/>
      <c r="H594" s="569"/>
      <c r="I594" s="569"/>
      <c r="J594" s="569"/>
      <c r="K594" s="247"/>
    </row>
    <row r="595" spans="1:11" ht="9.9499999999999993" customHeight="1" x14ac:dyDescent="0.2">
      <c r="A595" s="569"/>
      <c r="B595" s="569"/>
      <c r="C595" s="247"/>
      <c r="D595" s="569"/>
      <c r="E595" s="247"/>
      <c r="F595" s="569"/>
      <c r="G595" s="247"/>
      <c r="H595" s="569"/>
      <c r="I595" s="569"/>
      <c r="J595" s="569"/>
      <c r="K595" s="247"/>
    </row>
    <row r="596" spans="1:11" ht="9.9499999999999993" customHeight="1" x14ac:dyDescent="0.2">
      <c r="A596" s="569"/>
      <c r="B596" s="569"/>
      <c r="C596" s="247"/>
      <c r="D596" s="569"/>
      <c r="E596" s="247"/>
      <c r="F596" s="569"/>
      <c r="G596" s="247"/>
      <c r="H596" s="569"/>
      <c r="I596" s="569"/>
      <c r="J596" s="569"/>
      <c r="K596" s="247"/>
    </row>
    <row r="597" spans="1:11" ht="9.9499999999999993" customHeight="1" x14ac:dyDescent="0.2">
      <c r="A597" s="569"/>
      <c r="B597" s="569"/>
      <c r="C597" s="247"/>
      <c r="D597" s="569"/>
      <c r="E597" s="247"/>
      <c r="F597" s="569"/>
      <c r="G597" s="247"/>
      <c r="H597" s="569"/>
      <c r="I597" s="569"/>
      <c r="J597" s="569"/>
      <c r="K597" s="247"/>
    </row>
    <row r="598" spans="1:11" ht="9.9499999999999993" customHeight="1" x14ac:dyDescent="0.2">
      <c r="A598" s="569"/>
      <c r="B598" s="569"/>
      <c r="C598" s="247"/>
      <c r="D598" s="569"/>
      <c r="E598" s="247"/>
      <c r="F598" s="569"/>
      <c r="G598" s="247"/>
      <c r="H598" s="569"/>
      <c r="I598" s="569"/>
      <c r="J598" s="569"/>
      <c r="K598" s="247"/>
    </row>
    <row r="599" spans="1:11" ht="9.9499999999999993" customHeight="1" x14ac:dyDescent="0.2">
      <c r="A599" s="569"/>
      <c r="B599" s="569"/>
      <c r="C599" s="247"/>
      <c r="D599" s="569"/>
      <c r="E599" s="247"/>
      <c r="F599" s="569"/>
      <c r="G599" s="247"/>
      <c r="H599" s="569"/>
      <c r="I599" s="569"/>
      <c r="J599" s="569"/>
      <c r="K599" s="247"/>
    </row>
    <row r="600" spans="1:11" ht="9.9499999999999993" customHeight="1" x14ac:dyDescent="0.2">
      <c r="A600" s="569"/>
      <c r="B600" s="569"/>
      <c r="C600" s="247"/>
      <c r="D600" s="569"/>
      <c r="E600" s="247"/>
      <c r="F600" s="569"/>
      <c r="G600" s="247"/>
      <c r="H600" s="569"/>
      <c r="I600" s="569"/>
      <c r="J600" s="569"/>
      <c r="K600" s="247"/>
    </row>
    <row r="601" spans="1:11" ht="9.9499999999999993" customHeight="1" x14ac:dyDescent="0.2">
      <c r="A601" s="569"/>
      <c r="B601" s="569"/>
      <c r="C601" s="247"/>
      <c r="D601" s="569"/>
      <c r="E601" s="247"/>
      <c r="F601" s="569"/>
      <c r="G601" s="247"/>
      <c r="H601" s="569"/>
      <c r="I601" s="569"/>
      <c r="J601" s="569"/>
      <c r="K601" s="247"/>
    </row>
    <row r="602" spans="1:11" ht="9.9499999999999993" customHeight="1" x14ac:dyDescent="0.2">
      <c r="A602" s="569"/>
      <c r="B602" s="569"/>
      <c r="C602" s="247"/>
      <c r="D602" s="569"/>
      <c r="E602" s="247"/>
      <c r="F602" s="569"/>
      <c r="G602" s="247"/>
      <c r="H602" s="569"/>
      <c r="I602" s="569"/>
      <c r="J602" s="569"/>
      <c r="K602" s="247"/>
    </row>
    <row r="603" spans="1:11" ht="9.9499999999999993" customHeight="1" x14ac:dyDescent="0.2">
      <c r="A603" s="569"/>
      <c r="B603" s="569"/>
      <c r="C603" s="247"/>
      <c r="D603" s="569"/>
      <c r="E603" s="247"/>
      <c r="F603" s="569"/>
      <c r="G603" s="247"/>
      <c r="H603" s="569"/>
      <c r="I603" s="569"/>
      <c r="J603" s="569"/>
      <c r="K603" s="247"/>
    </row>
    <row r="604" spans="1:11" ht="9.9499999999999993" customHeight="1" x14ac:dyDescent="0.2">
      <c r="A604" s="569"/>
      <c r="B604" s="569"/>
      <c r="C604" s="247"/>
      <c r="D604" s="569"/>
      <c r="E604" s="247"/>
      <c r="F604" s="569"/>
      <c r="G604" s="247"/>
      <c r="H604" s="569"/>
      <c r="I604" s="569"/>
      <c r="J604" s="569"/>
      <c r="K604" s="247"/>
    </row>
    <row r="605" spans="1:11" ht="9.9499999999999993" customHeight="1" x14ac:dyDescent="0.2">
      <c r="A605" s="569"/>
      <c r="B605" s="569"/>
      <c r="C605" s="247"/>
      <c r="D605" s="569"/>
      <c r="E605" s="247"/>
      <c r="F605" s="569"/>
      <c r="G605" s="247"/>
      <c r="H605" s="569"/>
      <c r="I605" s="569"/>
      <c r="J605" s="569"/>
      <c r="K605" s="247"/>
    </row>
    <row r="606" spans="1:11" ht="9.9499999999999993" customHeight="1" x14ac:dyDescent="0.2">
      <c r="A606" s="569"/>
      <c r="B606" s="569"/>
      <c r="C606" s="247"/>
      <c r="D606" s="569"/>
      <c r="E606" s="247"/>
      <c r="F606" s="569"/>
      <c r="G606" s="247"/>
      <c r="H606" s="569"/>
      <c r="I606" s="569"/>
      <c r="J606" s="569"/>
      <c r="K606" s="247"/>
    </row>
    <row r="607" spans="1:11" ht="9.9499999999999993" customHeight="1" x14ac:dyDescent="0.2">
      <c r="A607" s="569"/>
      <c r="B607" s="569"/>
      <c r="C607" s="247"/>
      <c r="D607" s="569"/>
      <c r="E607" s="247"/>
      <c r="F607" s="569"/>
      <c r="G607" s="247"/>
      <c r="H607" s="569"/>
      <c r="I607" s="569"/>
      <c r="J607" s="569"/>
      <c r="K607" s="247"/>
    </row>
    <row r="608" spans="1:11" ht="9.9499999999999993" customHeight="1" x14ac:dyDescent="0.2">
      <c r="A608" s="569"/>
      <c r="B608" s="569"/>
      <c r="C608" s="247"/>
      <c r="D608" s="569"/>
      <c r="E608" s="247"/>
      <c r="F608" s="569"/>
      <c r="G608" s="247"/>
      <c r="H608" s="569"/>
      <c r="I608" s="569"/>
      <c r="J608" s="569"/>
      <c r="K608" s="247"/>
    </row>
    <row r="609" spans="1:11" ht="9.9499999999999993" customHeight="1" x14ac:dyDescent="0.2">
      <c r="A609" s="569"/>
      <c r="B609" s="569"/>
      <c r="C609" s="247"/>
      <c r="D609" s="569"/>
      <c r="E609" s="247"/>
      <c r="F609" s="569"/>
      <c r="G609" s="247"/>
      <c r="H609" s="569"/>
      <c r="I609" s="569"/>
      <c r="J609" s="569"/>
      <c r="K609" s="247"/>
    </row>
    <row r="610" spans="1:11" ht="9.9499999999999993" customHeight="1" x14ac:dyDescent="0.2">
      <c r="A610" s="569"/>
      <c r="B610" s="569"/>
      <c r="C610" s="247"/>
      <c r="D610" s="569"/>
      <c r="E610" s="247"/>
      <c r="F610" s="569"/>
      <c r="G610" s="247"/>
      <c r="H610" s="569"/>
      <c r="I610" s="569"/>
      <c r="J610" s="569"/>
      <c r="K610" s="247"/>
    </row>
    <row r="611" spans="1:11" ht="9.9499999999999993" customHeight="1" x14ac:dyDescent="0.2">
      <c r="A611" s="569"/>
      <c r="B611" s="569"/>
      <c r="C611" s="247"/>
      <c r="D611" s="569"/>
      <c r="E611" s="247"/>
      <c r="F611" s="569"/>
      <c r="G611" s="247"/>
      <c r="H611" s="569"/>
      <c r="I611" s="569"/>
      <c r="J611" s="569"/>
      <c r="K611" s="247"/>
    </row>
    <row r="612" spans="1:11" ht="9.9499999999999993" customHeight="1" x14ac:dyDescent="0.2">
      <c r="A612" s="569"/>
      <c r="B612" s="569"/>
      <c r="C612" s="247"/>
      <c r="D612" s="569"/>
      <c r="E612" s="247"/>
      <c r="F612" s="569"/>
      <c r="G612" s="247"/>
      <c r="H612" s="569"/>
      <c r="I612" s="569"/>
      <c r="J612" s="569"/>
      <c r="K612" s="247"/>
    </row>
    <row r="613" spans="1:11" ht="9.9499999999999993" customHeight="1" x14ac:dyDescent="0.2">
      <c r="A613" s="569"/>
      <c r="B613" s="569"/>
      <c r="C613" s="247"/>
      <c r="D613" s="569"/>
      <c r="E613" s="247"/>
      <c r="F613" s="569"/>
      <c r="G613" s="247"/>
      <c r="H613" s="569"/>
      <c r="I613" s="569"/>
      <c r="J613" s="569"/>
      <c r="K613" s="247"/>
    </row>
    <row r="614" spans="1:11" ht="9.9499999999999993" customHeight="1" x14ac:dyDescent="0.2">
      <c r="A614" s="569"/>
      <c r="B614" s="569"/>
      <c r="C614" s="247"/>
      <c r="D614" s="569"/>
      <c r="E614" s="247"/>
      <c r="F614" s="569"/>
      <c r="G614" s="247"/>
      <c r="H614" s="569"/>
      <c r="I614" s="569"/>
      <c r="J614" s="569"/>
      <c r="K614" s="247"/>
    </row>
    <row r="615" spans="1:11" ht="9.9499999999999993" customHeight="1" x14ac:dyDescent="0.2">
      <c r="A615" s="569"/>
      <c r="B615" s="569"/>
      <c r="C615" s="247"/>
      <c r="D615" s="569"/>
      <c r="E615" s="247"/>
      <c r="F615" s="569"/>
      <c r="G615" s="247"/>
      <c r="H615" s="569"/>
      <c r="I615" s="569"/>
      <c r="J615" s="569"/>
      <c r="K615" s="247"/>
    </row>
    <row r="616" spans="1:11" ht="9.9499999999999993" customHeight="1" x14ac:dyDescent="0.2">
      <c r="A616" s="569"/>
      <c r="B616" s="569"/>
      <c r="C616" s="247"/>
      <c r="D616" s="569"/>
      <c r="E616" s="247"/>
      <c r="F616" s="569"/>
      <c r="G616" s="247"/>
      <c r="H616" s="569"/>
      <c r="I616" s="569"/>
      <c r="J616" s="569"/>
      <c r="K616" s="247"/>
    </row>
    <row r="617" spans="1:11" ht="9.9499999999999993" customHeight="1" x14ac:dyDescent="0.2">
      <c r="A617" s="569"/>
      <c r="B617" s="569"/>
      <c r="C617" s="247"/>
      <c r="D617" s="569"/>
      <c r="E617" s="247"/>
      <c r="F617" s="569"/>
      <c r="G617" s="247"/>
      <c r="H617" s="569"/>
      <c r="I617" s="569"/>
      <c r="J617" s="569"/>
      <c r="K617" s="247"/>
    </row>
    <row r="618" spans="1:11" ht="9.9499999999999993" customHeight="1" x14ac:dyDescent="0.2">
      <c r="A618" s="569"/>
      <c r="B618" s="569"/>
      <c r="C618" s="247"/>
      <c r="D618" s="569"/>
      <c r="E618" s="247"/>
      <c r="F618" s="569"/>
      <c r="G618" s="247"/>
      <c r="H618" s="569"/>
      <c r="I618" s="569"/>
      <c r="J618" s="569"/>
      <c r="K618" s="247"/>
    </row>
    <row r="619" spans="1:11" ht="9.9499999999999993" customHeight="1" x14ac:dyDescent="0.2">
      <c r="A619" s="569"/>
      <c r="B619" s="569"/>
      <c r="C619" s="247"/>
      <c r="D619" s="569"/>
      <c r="E619" s="247"/>
      <c r="F619" s="569"/>
      <c r="G619" s="247"/>
      <c r="H619" s="569"/>
      <c r="I619" s="569"/>
      <c r="J619" s="569"/>
      <c r="K619" s="247"/>
    </row>
    <row r="620" spans="1:11" ht="9.9499999999999993" customHeight="1" x14ac:dyDescent="0.2">
      <c r="A620" s="569"/>
      <c r="B620" s="569"/>
      <c r="C620" s="247"/>
      <c r="D620" s="569"/>
      <c r="E620" s="247"/>
      <c r="F620" s="569"/>
      <c r="G620" s="247"/>
      <c r="H620" s="569"/>
      <c r="I620" s="569"/>
      <c r="J620" s="569"/>
      <c r="K620" s="247"/>
    </row>
    <row r="621" spans="1:11" ht="9.9499999999999993" customHeight="1" x14ac:dyDescent="0.2">
      <c r="A621" s="569"/>
      <c r="B621" s="569"/>
      <c r="C621" s="247"/>
      <c r="D621" s="569"/>
      <c r="E621" s="247"/>
      <c r="F621" s="569"/>
      <c r="G621" s="247"/>
      <c r="H621" s="569"/>
      <c r="I621" s="569"/>
      <c r="J621" s="569"/>
      <c r="K621" s="247"/>
    </row>
    <row r="622" spans="1:11" ht="9.9499999999999993" customHeight="1" x14ac:dyDescent="0.2">
      <c r="A622" s="569"/>
      <c r="B622" s="569"/>
      <c r="C622" s="247"/>
      <c r="D622" s="569"/>
      <c r="E622" s="247"/>
      <c r="F622" s="569"/>
      <c r="G622" s="247"/>
      <c r="H622" s="569"/>
      <c r="I622" s="569"/>
      <c r="J622" s="569"/>
      <c r="K622" s="247"/>
    </row>
    <row r="623" spans="1:11" ht="9.9499999999999993" customHeight="1" x14ac:dyDescent="0.2">
      <c r="A623" s="569"/>
      <c r="B623" s="569"/>
      <c r="C623" s="247"/>
      <c r="D623" s="569"/>
      <c r="E623" s="247"/>
      <c r="F623" s="569"/>
      <c r="G623" s="247"/>
      <c r="H623" s="569"/>
      <c r="I623" s="569"/>
      <c r="J623" s="569"/>
      <c r="K623" s="247"/>
    </row>
    <row r="624" spans="1:11" ht="9.9499999999999993" customHeight="1" x14ac:dyDescent="0.2">
      <c r="A624" s="569"/>
      <c r="B624" s="569"/>
      <c r="C624" s="247"/>
      <c r="D624" s="569"/>
      <c r="E624" s="247"/>
      <c r="F624" s="569"/>
      <c r="G624" s="247"/>
      <c r="H624" s="569"/>
      <c r="I624" s="569"/>
      <c r="J624" s="569"/>
      <c r="K624" s="247"/>
    </row>
    <row r="625" spans="1:11" ht="9.9499999999999993" customHeight="1" x14ac:dyDescent="0.2">
      <c r="A625" s="569"/>
      <c r="B625" s="569"/>
      <c r="C625" s="247"/>
      <c r="D625" s="569"/>
      <c r="E625" s="247"/>
      <c r="F625" s="569"/>
      <c r="G625" s="247"/>
      <c r="H625" s="569"/>
      <c r="I625" s="569"/>
      <c r="J625" s="569"/>
      <c r="K625" s="247"/>
    </row>
    <row r="626" spans="1:11" ht="9.9499999999999993" customHeight="1" x14ac:dyDescent="0.2">
      <c r="A626" s="569"/>
      <c r="B626" s="569"/>
      <c r="C626" s="247"/>
      <c r="D626" s="569"/>
      <c r="E626" s="247"/>
      <c r="F626" s="569"/>
      <c r="G626" s="247"/>
      <c r="H626" s="569"/>
      <c r="I626" s="569"/>
      <c r="J626" s="569"/>
      <c r="K626" s="247"/>
    </row>
    <row r="627" spans="1:11" ht="9.9499999999999993" customHeight="1" x14ac:dyDescent="0.2">
      <c r="A627" s="569"/>
      <c r="B627" s="569"/>
      <c r="C627" s="247"/>
      <c r="D627" s="569"/>
      <c r="E627" s="247"/>
      <c r="F627" s="569"/>
      <c r="G627" s="247"/>
      <c r="H627" s="569"/>
      <c r="I627" s="569"/>
      <c r="J627" s="569"/>
      <c r="K627" s="247"/>
    </row>
    <row r="628" spans="1:11" ht="9.9499999999999993" customHeight="1" x14ac:dyDescent="0.2">
      <c r="A628" s="569"/>
      <c r="B628" s="569"/>
      <c r="C628" s="247"/>
      <c r="D628" s="569"/>
      <c r="E628" s="247"/>
      <c r="F628" s="569"/>
      <c r="G628" s="247"/>
      <c r="H628" s="569"/>
      <c r="I628" s="569"/>
      <c r="J628" s="569"/>
      <c r="K628" s="247"/>
    </row>
    <row r="629" spans="1:11" ht="9.9499999999999993" customHeight="1" x14ac:dyDescent="0.2">
      <c r="A629" s="569"/>
      <c r="B629" s="569"/>
      <c r="C629" s="247"/>
      <c r="D629" s="569"/>
      <c r="E629" s="247"/>
      <c r="F629" s="569"/>
      <c r="G629" s="247"/>
      <c r="H629" s="569"/>
      <c r="I629" s="569"/>
      <c r="J629" s="569"/>
      <c r="K629" s="247"/>
    </row>
    <row r="630" spans="1:11" ht="9.9499999999999993" customHeight="1" x14ac:dyDescent="0.2">
      <c r="A630" s="569"/>
      <c r="B630" s="569"/>
      <c r="C630" s="247"/>
      <c r="D630" s="569"/>
      <c r="E630" s="247"/>
      <c r="F630" s="569"/>
      <c r="G630" s="247"/>
      <c r="H630" s="569"/>
      <c r="I630" s="569"/>
      <c r="J630" s="569"/>
      <c r="K630" s="247"/>
    </row>
    <row r="631" spans="1:11" ht="9.9499999999999993" customHeight="1" x14ac:dyDescent="0.2">
      <c r="A631" s="569"/>
      <c r="B631" s="569"/>
      <c r="C631" s="247"/>
      <c r="D631" s="569"/>
      <c r="E631" s="247"/>
      <c r="F631" s="569"/>
      <c r="G631" s="247"/>
      <c r="H631" s="569"/>
      <c r="I631" s="569"/>
      <c r="J631" s="569"/>
      <c r="K631" s="247"/>
    </row>
    <row r="632" spans="1:11" ht="9.9499999999999993" customHeight="1" x14ac:dyDescent="0.2">
      <c r="A632" s="569"/>
      <c r="B632" s="569"/>
      <c r="C632" s="247"/>
      <c r="D632" s="569"/>
      <c r="E632" s="247"/>
      <c r="F632" s="569"/>
      <c r="G632" s="247"/>
      <c r="H632" s="569"/>
      <c r="I632" s="569"/>
      <c r="J632" s="569"/>
      <c r="K632" s="247"/>
    </row>
    <row r="633" spans="1:11" ht="9.9499999999999993" customHeight="1" x14ac:dyDescent="0.2">
      <c r="A633" s="569"/>
      <c r="B633" s="569"/>
      <c r="C633" s="247"/>
      <c r="D633" s="569"/>
      <c r="E633" s="247"/>
      <c r="F633" s="569"/>
      <c r="G633" s="247"/>
      <c r="H633" s="569"/>
      <c r="I633" s="569"/>
      <c r="J633" s="569"/>
      <c r="K633" s="247"/>
    </row>
    <row r="634" spans="1:11" ht="9.9499999999999993" customHeight="1" x14ac:dyDescent="0.2">
      <c r="A634" s="569"/>
      <c r="B634" s="569"/>
      <c r="C634" s="247"/>
      <c r="D634" s="569"/>
      <c r="E634" s="247"/>
      <c r="F634" s="569"/>
      <c r="G634" s="247"/>
      <c r="H634" s="569"/>
      <c r="I634" s="569"/>
      <c r="J634" s="569"/>
      <c r="K634" s="247"/>
    </row>
    <row r="635" spans="1:11" ht="9.9499999999999993" customHeight="1" x14ac:dyDescent="0.2">
      <c r="A635" s="569"/>
      <c r="B635" s="569"/>
      <c r="C635" s="247"/>
      <c r="D635" s="569"/>
      <c r="E635" s="247"/>
      <c r="F635" s="569"/>
      <c r="G635" s="247"/>
      <c r="H635" s="569"/>
      <c r="I635" s="569"/>
      <c r="J635" s="569"/>
      <c r="K635" s="247"/>
    </row>
    <row r="636" spans="1:11" ht="9.9499999999999993" customHeight="1" x14ac:dyDescent="0.2">
      <c r="A636" s="569"/>
      <c r="B636" s="569"/>
      <c r="C636" s="247"/>
      <c r="D636" s="569"/>
      <c r="E636" s="247"/>
      <c r="F636" s="569"/>
      <c r="G636" s="247"/>
      <c r="H636" s="569"/>
      <c r="I636" s="569"/>
      <c r="J636" s="569"/>
      <c r="K636" s="247"/>
    </row>
    <row r="637" spans="1:11" ht="9.9499999999999993" customHeight="1" x14ac:dyDescent="0.2">
      <c r="A637" s="569"/>
      <c r="B637" s="569"/>
      <c r="C637" s="247"/>
      <c r="D637" s="569"/>
      <c r="E637" s="247"/>
      <c r="F637" s="569"/>
      <c r="G637" s="247"/>
      <c r="H637" s="569"/>
      <c r="I637" s="569"/>
      <c r="J637" s="569"/>
      <c r="K637" s="247"/>
    </row>
    <row r="638" spans="1:11" ht="9.9499999999999993" customHeight="1" x14ac:dyDescent="0.2">
      <c r="A638" s="569"/>
      <c r="B638" s="569"/>
      <c r="C638" s="247"/>
      <c r="D638" s="569"/>
      <c r="E638" s="247"/>
      <c r="F638" s="569"/>
      <c r="G638" s="247"/>
      <c r="H638" s="569"/>
      <c r="I638" s="569"/>
      <c r="J638" s="569"/>
      <c r="K638" s="247"/>
    </row>
    <row r="639" spans="1:11" ht="9.9499999999999993" customHeight="1" x14ac:dyDescent="0.2">
      <c r="A639" s="569"/>
      <c r="B639" s="569"/>
      <c r="C639" s="247"/>
      <c r="D639" s="569"/>
      <c r="E639" s="247"/>
      <c r="F639" s="569"/>
      <c r="G639" s="247"/>
      <c r="H639" s="569"/>
      <c r="I639" s="569"/>
      <c r="J639" s="569"/>
      <c r="K639" s="247"/>
    </row>
    <row r="640" spans="1:11" ht="9.9499999999999993" customHeight="1" x14ac:dyDescent="0.2">
      <c r="A640" s="569"/>
      <c r="B640" s="569"/>
      <c r="C640" s="247"/>
      <c r="D640" s="569"/>
      <c r="E640" s="247"/>
      <c r="F640" s="569"/>
      <c r="G640" s="247"/>
      <c r="H640" s="569"/>
      <c r="I640" s="569"/>
      <c r="J640" s="569"/>
      <c r="K640" s="247"/>
    </row>
    <row r="641" spans="1:11" ht="9.9499999999999993" customHeight="1" x14ac:dyDescent="0.2">
      <c r="A641" s="569"/>
      <c r="B641" s="569"/>
      <c r="C641" s="247"/>
      <c r="D641" s="569"/>
      <c r="E641" s="247"/>
      <c r="F641" s="569"/>
      <c r="G641" s="247"/>
      <c r="H641" s="569"/>
      <c r="I641" s="569"/>
      <c r="J641" s="569"/>
      <c r="K641" s="247"/>
    </row>
    <row r="642" spans="1:11" ht="9.9499999999999993" customHeight="1" x14ac:dyDescent="0.2">
      <c r="A642" s="569"/>
      <c r="B642" s="569"/>
      <c r="C642" s="247"/>
      <c r="D642" s="569"/>
      <c r="E642" s="247"/>
      <c r="F642" s="569"/>
      <c r="G642" s="247"/>
      <c r="H642" s="569"/>
      <c r="I642" s="569"/>
      <c r="J642" s="569"/>
      <c r="K642" s="247"/>
    </row>
    <row r="643" spans="1:11" ht="9.9499999999999993" customHeight="1" x14ac:dyDescent="0.2">
      <c r="A643" s="569"/>
      <c r="B643" s="569"/>
      <c r="C643" s="247"/>
      <c r="D643" s="569"/>
      <c r="E643" s="247"/>
      <c r="F643" s="569"/>
      <c r="G643" s="247"/>
      <c r="H643" s="569"/>
      <c r="I643" s="569"/>
      <c r="J643" s="569"/>
      <c r="K643" s="247"/>
    </row>
    <row r="644" spans="1:11" ht="9.9499999999999993" customHeight="1" x14ac:dyDescent="0.2">
      <c r="A644" s="569"/>
      <c r="B644" s="569"/>
      <c r="C644" s="247"/>
      <c r="D644" s="569"/>
      <c r="E644" s="247"/>
      <c r="F644" s="569"/>
      <c r="G644" s="247"/>
      <c r="H644" s="569"/>
      <c r="I644" s="569"/>
      <c r="J644" s="569"/>
      <c r="K644" s="247"/>
    </row>
    <row r="645" spans="1:11" ht="9.9499999999999993" customHeight="1" x14ac:dyDescent="0.2">
      <c r="A645" s="569"/>
      <c r="B645" s="569"/>
      <c r="C645" s="247"/>
      <c r="D645" s="569"/>
      <c r="E645" s="247"/>
      <c r="F645" s="569"/>
      <c r="G645" s="247"/>
      <c r="H645" s="569"/>
      <c r="I645" s="569"/>
      <c r="J645" s="569"/>
      <c r="K645" s="247"/>
    </row>
    <row r="646" spans="1:11" ht="9.9499999999999993" customHeight="1" x14ac:dyDescent="0.2">
      <c r="A646" s="569"/>
      <c r="B646" s="569"/>
      <c r="C646" s="247"/>
      <c r="D646" s="569"/>
      <c r="E646" s="247"/>
      <c r="F646" s="569"/>
      <c r="G646" s="247"/>
      <c r="H646" s="569"/>
      <c r="I646" s="569"/>
      <c r="J646" s="569"/>
      <c r="K646" s="247"/>
    </row>
    <row r="647" spans="1:11" ht="9.9499999999999993" customHeight="1" x14ac:dyDescent="0.2">
      <c r="A647" s="569"/>
      <c r="B647" s="569"/>
      <c r="C647" s="247"/>
      <c r="D647" s="569"/>
      <c r="E647" s="247"/>
      <c r="F647" s="569"/>
      <c r="G647" s="247"/>
      <c r="H647" s="569"/>
      <c r="I647" s="569"/>
      <c r="J647" s="569"/>
      <c r="K647" s="247"/>
    </row>
    <row r="648" spans="1:11" ht="9.9499999999999993" customHeight="1" x14ac:dyDescent="0.2">
      <c r="A648" s="569"/>
      <c r="B648" s="569"/>
      <c r="C648" s="247"/>
      <c r="D648" s="569"/>
      <c r="E648" s="247"/>
      <c r="F648" s="569"/>
      <c r="G648" s="247"/>
      <c r="H648" s="569"/>
      <c r="I648" s="569"/>
      <c r="J648" s="569"/>
      <c r="K648" s="247"/>
    </row>
    <row r="649" spans="1:11" ht="9.9499999999999993" customHeight="1" x14ac:dyDescent="0.2">
      <c r="A649" s="569"/>
      <c r="B649" s="569"/>
      <c r="C649" s="247"/>
      <c r="D649" s="569"/>
      <c r="E649" s="247"/>
      <c r="F649" s="569"/>
      <c r="G649" s="247"/>
      <c r="H649" s="569"/>
      <c r="I649" s="569"/>
      <c r="J649" s="569"/>
      <c r="K649" s="247"/>
    </row>
    <row r="650" spans="1:11" ht="9.9499999999999993" customHeight="1" x14ac:dyDescent="0.2">
      <c r="A650" s="569"/>
      <c r="B650" s="569"/>
      <c r="C650" s="247"/>
      <c r="D650" s="569"/>
      <c r="E650" s="247"/>
      <c r="F650" s="569"/>
      <c r="G650" s="247"/>
      <c r="H650" s="569"/>
      <c r="I650" s="569"/>
      <c r="J650" s="569"/>
      <c r="K650" s="247"/>
    </row>
    <row r="651" spans="1:11" ht="9.9499999999999993" customHeight="1" x14ac:dyDescent="0.2">
      <c r="A651" s="569"/>
      <c r="B651" s="569"/>
      <c r="C651" s="247"/>
      <c r="D651" s="569"/>
      <c r="E651" s="247"/>
      <c r="F651" s="569"/>
      <c r="G651" s="247"/>
      <c r="H651" s="569"/>
      <c r="I651" s="569"/>
      <c r="J651" s="569"/>
      <c r="K651" s="247"/>
    </row>
    <row r="652" spans="1:11" ht="9.9499999999999993" customHeight="1" x14ac:dyDescent="0.2">
      <c r="A652" s="569"/>
      <c r="B652" s="569"/>
      <c r="C652" s="247"/>
      <c r="D652" s="569"/>
      <c r="E652" s="247"/>
      <c r="F652" s="569"/>
      <c r="G652" s="247"/>
      <c r="H652" s="569"/>
      <c r="I652" s="569"/>
      <c r="J652" s="569"/>
      <c r="K652" s="247"/>
    </row>
    <row r="653" spans="1:11" ht="9.9499999999999993" customHeight="1" x14ac:dyDescent="0.2">
      <c r="A653" s="569"/>
      <c r="B653" s="569"/>
      <c r="C653" s="247"/>
      <c r="D653" s="569"/>
      <c r="E653" s="247"/>
      <c r="F653" s="569"/>
      <c r="G653" s="247"/>
      <c r="H653" s="569"/>
      <c r="I653" s="569"/>
      <c r="J653" s="569"/>
      <c r="K653" s="247"/>
    </row>
    <row r="654" spans="1:11" ht="9.9499999999999993" customHeight="1" x14ac:dyDescent="0.2">
      <c r="A654" s="569"/>
      <c r="B654" s="569"/>
      <c r="C654" s="247"/>
      <c r="D654" s="569"/>
      <c r="E654" s="247"/>
      <c r="F654" s="569"/>
      <c r="G654" s="247"/>
      <c r="H654" s="569"/>
      <c r="I654" s="569"/>
      <c r="J654" s="569"/>
      <c r="K654" s="247"/>
    </row>
    <row r="655" spans="1:11" ht="9.9499999999999993" customHeight="1" x14ac:dyDescent="0.2">
      <c r="A655" s="569"/>
      <c r="B655" s="569"/>
      <c r="C655" s="247"/>
      <c r="D655" s="569"/>
      <c r="E655" s="247"/>
      <c r="F655" s="569"/>
      <c r="G655" s="247"/>
      <c r="H655" s="569"/>
      <c r="I655" s="569"/>
      <c r="J655" s="569"/>
      <c r="K655" s="247"/>
    </row>
    <row r="656" spans="1:11" ht="9.9499999999999993" customHeight="1" x14ac:dyDescent="0.2">
      <c r="A656" s="569"/>
      <c r="B656" s="569"/>
      <c r="C656" s="247"/>
      <c r="D656" s="569"/>
      <c r="E656" s="247"/>
      <c r="F656" s="569"/>
      <c r="G656" s="247"/>
      <c r="H656" s="569"/>
      <c r="I656" s="569"/>
      <c r="J656" s="569"/>
      <c r="K656" s="247"/>
    </row>
    <row r="657" spans="1:11" ht="9.9499999999999993" customHeight="1" x14ac:dyDescent="0.2">
      <c r="A657" s="569"/>
      <c r="B657" s="569"/>
      <c r="C657" s="247"/>
      <c r="D657" s="569"/>
      <c r="E657" s="247"/>
      <c r="F657" s="569"/>
      <c r="G657" s="247"/>
      <c r="H657" s="569"/>
      <c r="I657" s="569"/>
      <c r="J657" s="569"/>
      <c r="K657" s="247"/>
    </row>
    <row r="658" spans="1:11" ht="9.9499999999999993" customHeight="1" x14ac:dyDescent="0.2">
      <c r="A658" s="569"/>
      <c r="B658" s="569"/>
      <c r="C658" s="247"/>
      <c r="D658" s="569"/>
      <c r="E658" s="247"/>
      <c r="F658" s="569"/>
      <c r="G658" s="247"/>
      <c r="H658" s="569"/>
      <c r="I658" s="569"/>
      <c r="J658" s="569"/>
      <c r="K658" s="247"/>
    </row>
    <row r="659" spans="1:11" ht="9.9499999999999993" customHeight="1" x14ac:dyDescent="0.2">
      <c r="A659" s="569"/>
      <c r="B659" s="569"/>
      <c r="C659" s="247"/>
      <c r="D659" s="569"/>
      <c r="E659" s="247"/>
      <c r="F659" s="569"/>
      <c r="G659" s="247"/>
      <c r="H659" s="569"/>
      <c r="I659" s="569"/>
      <c r="J659" s="569"/>
      <c r="K659" s="247"/>
    </row>
    <row r="660" spans="1:11" ht="9.9499999999999993" customHeight="1" x14ac:dyDescent="0.2">
      <c r="A660" s="569"/>
      <c r="B660" s="569"/>
      <c r="C660" s="247"/>
      <c r="D660" s="569"/>
      <c r="E660" s="247"/>
      <c r="F660" s="569"/>
      <c r="G660" s="247"/>
      <c r="H660" s="569"/>
      <c r="I660" s="569"/>
      <c r="J660" s="569"/>
      <c r="K660" s="247"/>
    </row>
    <row r="661" spans="1:11" ht="9.9499999999999993" customHeight="1" x14ac:dyDescent="0.2">
      <c r="A661" s="569"/>
      <c r="B661" s="569"/>
      <c r="C661" s="247"/>
      <c r="D661" s="569"/>
      <c r="E661" s="247"/>
      <c r="F661" s="569"/>
      <c r="G661" s="247"/>
      <c r="H661" s="569"/>
      <c r="I661" s="569"/>
      <c r="J661" s="569"/>
      <c r="K661" s="247"/>
    </row>
    <row r="662" spans="1:11" ht="9.9499999999999993" customHeight="1" x14ac:dyDescent="0.2">
      <c r="A662" s="569"/>
      <c r="B662" s="569"/>
      <c r="C662" s="247"/>
      <c r="D662" s="569"/>
      <c r="E662" s="247"/>
      <c r="F662" s="569"/>
      <c r="G662" s="247"/>
      <c r="H662" s="569"/>
      <c r="I662" s="569"/>
      <c r="J662" s="569"/>
      <c r="K662" s="247"/>
    </row>
    <row r="663" spans="1:11" ht="9.9499999999999993" customHeight="1" x14ac:dyDescent="0.2">
      <c r="A663" s="569"/>
      <c r="B663" s="569"/>
      <c r="C663" s="247"/>
      <c r="D663" s="569"/>
      <c r="E663" s="247"/>
      <c r="F663" s="569"/>
      <c r="G663" s="247"/>
      <c r="H663" s="569"/>
      <c r="I663" s="569"/>
      <c r="J663" s="569"/>
      <c r="K663" s="247"/>
    </row>
    <row r="664" spans="1:11" ht="9.9499999999999993" customHeight="1" x14ac:dyDescent="0.2">
      <c r="A664" s="569"/>
      <c r="B664" s="569"/>
      <c r="C664" s="247"/>
      <c r="D664" s="569"/>
      <c r="E664" s="247"/>
      <c r="F664" s="569"/>
      <c r="G664" s="247"/>
      <c r="H664" s="569"/>
      <c r="I664" s="569"/>
      <c r="J664" s="569"/>
      <c r="K664" s="247"/>
    </row>
    <row r="665" spans="1:11" ht="9.9499999999999993" customHeight="1" x14ac:dyDescent="0.2">
      <c r="A665" s="569"/>
      <c r="B665" s="569"/>
      <c r="C665" s="247"/>
      <c r="D665" s="569"/>
      <c r="E665" s="247"/>
      <c r="F665" s="569"/>
      <c r="G665" s="247"/>
      <c r="H665" s="569"/>
      <c r="I665" s="569"/>
      <c r="J665" s="569"/>
      <c r="K665" s="247"/>
    </row>
    <row r="666" spans="1:11" ht="9.9499999999999993" customHeight="1" x14ac:dyDescent="0.2">
      <c r="A666" s="569"/>
      <c r="B666" s="569"/>
      <c r="C666" s="247"/>
      <c r="D666" s="569"/>
      <c r="E666" s="247"/>
      <c r="F666" s="569"/>
      <c r="G666" s="247"/>
      <c r="H666" s="569"/>
      <c r="I666" s="569"/>
      <c r="J666" s="569"/>
      <c r="K666" s="247"/>
    </row>
    <row r="667" spans="1:11" ht="9.9499999999999993" customHeight="1" x14ac:dyDescent="0.2">
      <c r="A667" s="569"/>
      <c r="B667" s="569"/>
      <c r="C667" s="247"/>
      <c r="D667" s="569"/>
      <c r="E667" s="247"/>
      <c r="F667" s="569"/>
      <c r="G667" s="247"/>
      <c r="H667" s="569"/>
      <c r="I667" s="569"/>
      <c r="J667" s="569"/>
      <c r="K667" s="247"/>
    </row>
    <row r="668" spans="1:11" ht="9.9499999999999993" customHeight="1" x14ac:dyDescent="0.2">
      <c r="A668" s="569"/>
      <c r="B668" s="569"/>
      <c r="C668" s="247"/>
      <c r="D668" s="569"/>
      <c r="E668" s="247"/>
      <c r="F668" s="569"/>
      <c r="G668" s="247"/>
      <c r="H668" s="569"/>
      <c r="I668" s="569"/>
      <c r="J668" s="569"/>
      <c r="K668" s="247"/>
    </row>
    <row r="669" spans="1:11" ht="9.9499999999999993" customHeight="1" x14ac:dyDescent="0.2">
      <c r="A669" s="569"/>
      <c r="B669" s="569"/>
      <c r="C669" s="247"/>
      <c r="D669" s="569"/>
      <c r="E669" s="247"/>
      <c r="F669" s="569"/>
      <c r="G669" s="247"/>
      <c r="H669" s="569"/>
      <c r="I669" s="569"/>
      <c r="J669" s="569"/>
      <c r="K669" s="247"/>
    </row>
    <row r="670" spans="1:11" ht="9.9499999999999993" customHeight="1" x14ac:dyDescent="0.2">
      <c r="A670" s="569"/>
      <c r="B670" s="569"/>
      <c r="C670" s="247"/>
      <c r="D670" s="569"/>
      <c r="E670" s="247"/>
      <c r="F670" s="569"/>
      <c r="G670" s="247"/>
      <c r="H670" s="569"/>
      <c r="I670" s="569"/>
      <c r="J670" s="569"/>
      <c r="K670" s="247"/>
    </row>
    <row r="671" spans="1:11" ht="9.9499999999999993" customHeight="1" x14ac:dyDescent="0.2">
      <c r="A671" s="569"/>
      <c r="B671" s="569"/>
      <c r="C671" s="247"/>
      <c r="D671" s="569"/>
      <c r="E671" s="247"/>
      <c r="F671" s="569"/>
      <c r="G671" s="247"/>
      <c r="H671" s="569"/>
      <c r="I671" s="569"/>
      <c r="J671" s="569"/>
      <c r="K671" s="247"/>
    </row>
    <row r="672" spans="1:11" ht="9.9499999999999993" customHeight="1" x14ac:dyDescent="0.2">
      <c r="A672" s="569"/>
      <c r="B672" s="569"/>
      <c r="C672" s="247"/>
      <c r="D672" s="569"/>
      <c r="E672" s="247"/>
      <c r="F672" s="569"/>
      <c r="G672" s="247"/>
      <c r="H672" s="569"/>
      <c r="I672" s="569"/>
      <c r="J672" s="569"/>
      <c r="K672" s="247"/>
    </row>
    <row r="673" spans="1:11" ht="9.9499999999999993" customHeight="1" x14ac:dyDescent="0.2">
      <c r="A673" s="569"/>
      <c r="B673" s="569"/>
      <c r="C673" s="247"/>
      <c r="D673" s="569"/>
      <c r="E673" s="247"/>
      <c r="F673" s="569"/>
      <c r="G673" s="247"/>
      <c r="H673" s="569"/>
      <c r="I673" s="569"/>
      <c r="J673" s="569"/>
      <c r="K673" s="247"/>
    </row>
    <row r="674" spans="1:11" ht="9.9499999999999993" customHeight="1" x14ac:dyDescent="0.2">
      <c r="A674" s="569"/>
      <c r="B674" s="569"/>
      <c r="C674" s="247"/>
      <c r="D674" s="569"/>
      <c r="E674" s="247"/>
      <c r="F674" s="569"/>
      <c r="G674" s="247"/>
      <c r="H674" s="569"/>
      <c r="I674" s="569"/>
      <c r="J674" s="569"/>
      <c r="K674" s="247"/>
    </row>
    <row r="675" spans="1:11" ht="9.9499999999999993" customHeight="1" x14ac:dyDescent="0.2">
      <c r="A675" s="569"/>
      <c r="B675" s="569"/>
      <c r="C675" s="247"/>
      <c r="D675" s="569"/>
      <c r="E675" s="247"/>
      <c r="F675" s="569"/>
      <c r="G675" s="247"/>
      <c r="H675" s="569"/>
      <c r="I675" s="569"/>
      <c r="J675" s="569"/>
      <c r="K675" s="247"/>
    </row>
    <row r="676" spans="1:11" ht="9.9499999999999993" customHeight="1" x14ac:dyDescent="0.2">
      <c r="A676" s="569"/>
      <c r="B676" s="569"/>
      <c r="C676" s="247"/>
      <c r="D676" s="569"/>
      <c r="E676" s="247"/>
      <c r="F676" s="569"/>
      <c r="G676" s="247"/>
      <c r="H676" s="569"/>
      <c r="I676" s="569"/>
      <c r="J676" s="569"/>
      <c r="K676" s="247"/>
    </row>
    <row r="677" spans="1:11" ht="9.9499999999999993" customHeight="1" x14ac:dyDescent="0.2">
      <c r="A677" s="569"/>
      <c r="B677" s="569"/>
      <c r="C677" s="247"/>
      <c r="D677" s="569"/>
      <c r="E677" s="247"/>
      <c r="F677" s="569"/>
      <c r="G677" s="247"/>
      <c r="H677" s="569"/>
      <c r="I677" s="569"/>
      <c r="J677" s="569"/>
      <c r="K677" s="247"/>
    </row>
    <row r="678" spans="1:11" ht="9.9499999999999993" customHeight="1" x14ac:dyDescent="0.2">
      <c r="A678" s="569"/>
      <c r="B678" s="569"/>
      <c r="C678" s="247"/>
      <c r="D678" s="569"/>
      <c r="E678" s="247"/>
      <c r="F678" s="569"/>
      <c r="G678" s="247"/>
      <c r="H678" s="569"/>
      <c r="I678" s="569"/>
      <c r="J678" s="569"/>
      <c r="K678" s="247"/>
    </row>
    <row r="679" spans="1:11" ht="9.9499999999999993" customHeight="1" x14ac:dyDescent="0.2">
      <c r="A679" s="569"/>
      <c r="B679" s="569"/>
      <c r="C679" s="247"/>
      <c r="D679" s="569"/>
      <c r="E679" s="247"/>
      <c r="F679" s="569"/>
      <c r="G679" s="247"/>
      <c r="H679" s="569"/>
      <c r="I679" s="569"/>
      <c r="J679" s="569"/>
      <c r="K679" s="247"/>
    </row>
    <row r="680" spans="1:11" ht="9.9499999999999993" customHeight="1" x14ac:dyDescent="0.2">
      <c r="A680" s="569"/>
      <c r="B680" s="569"/>
      <c r="C680" s="247"/>
      <c r="D680" s="569"/>
      <c r="E680" s="247"/>
      <c r="F680" s="569"/>
      <c r="G680" s="247"/>
      <c r="H680" s="569"/>
      <c r="I680" s="569"/>
      <c r="J680" s="569"/>
      <c r="K680" s="247"/>
    </row>
    <row r="681" spans="1:11" ht="9.9499999999999993" customHeight="1" x14ac:dyDescent="0.2">
      <c r="A681" s="569"/>
      <c r="B681" s="569"/>
      <c r="C681" s="247"/>
      <c r="D681" s="569"/>
      <c r="E681" s="247"/>
      <c r="F681" s="569"/>
      <c r="G681" s="247"/>
      <c r="H681" s="569"/>
      <c r="I681" s="569"/>
      <c r="J681" s="569"/>
      <c r="K681" s="247"/>
    </row>
    <row r="682" spans="1:11" ht="9.9499999999999993" customHeight="1" x14ac:dyDescent="0.2">
      <c r="A682" s="569"/>
      <c r="B682" s="569"/>
      <c r="C682" s="247"/>
      <c r="D682" s="569"/>
      <c r="E682" s="247"/>
      <c r="F682" s="569"/>
      <c r="G682" s="247"/>
      <c r="H682" s="569"/>
      <c r="I682" s="569"/>
      <c r="J682" s="569"/>
      <c r="K682" s="247"/>
    </row>
    <row r="683" spans="1:11" ht="9.9499999999999993" customHeight="1" x14ac:dyDescent="0.2">
      <c r="A683" s="569"/>
      <c r="B683" s="569"/>
      <c r="C683" s="247"/>
      <c r="D683" s="569"/>
      <c r="E683" s="247"/>
      <c r="F683" s="569"/>
      <c r="G683" s="247"/>
      <c r="H683" s="569"/>
      <c r="I683" s="569"/>
      <c r="J683" s="569"/>
      <c r="K683" s="247"/>
    </row>
    <row r="684" spans="1:11" ht="9.9499999999999993" customHeight="1" x14ac:dyDescent="0.2">
      <c r="A684" s="569"/>
      <c r="B684" s="569"/>
      <c r="C684" s="247"/>
      <c r="D684" s="569"/>
      <c r="E684" s="247"/>
      <c r="F684" s="569"/>
      <c r="G684" s="247"/>
      <c r="H684" s="569"/>
      <c r="I684" s="569"/>
      <c r="J684" s="569"/>
      <c r="K684" s="247"/>
    </row>
    <row r="685" spans="1:11" ht="9.9499999999999993" customHeight="1" x14ac:dyDescent="0.2">
      <c r="A685" s="569"/>
      <c r="B685" s="569"/>
      <c r="C685" s="247"/>
      <c r="D685" s="569"/>
      <c r="E685" s="247"/>
      <c r="F685" s="569"/>
      <c r="G685" s="247"/>
      <c r="H685" s="569"/>
      <c r="I685" s="569"/>
      <c r="J685" s="569"/>
      <c r="K685" s="247"/>
    </row>
    <row r="686" spans="1:11" ht="9.9499999999999993" customHeight="1" x14ac:dyDescent="0.2">
      <c r="A686" s="569"/>
      <c r="B686" s="569"/>
      <c r="C686" s="247"/>
      <c r="D686" s="569"/>
      <c r="E686" s="247"/>
      <c r="F686" s="569"/>
      <c r="G686" s="247"/>
      <c r="H686" s="569"/>
      <c r="I686" s="569"/>
      <c r="J686" s="569"/>
      <c r="K686" s="247"/>
    </row>
    <row r="687" spans="1:11" ht="9.9499999999999993" customHeight="1" x14ac:dyDescent="0.2">
      <c r="A687" s="569"/>
      <c r="B687" s="569"/>
      <c r="C687" s="247"/>
      <c r="D687" s="569"/>
      <c r="E687" s="247"/>
      <c r="F687" s="569"/>
      <c r="G687" s="247"/>
      <c r="H687" s="569"/>
      <c r="I687" s="569"/>
      <c r="J687" s="569"/>
      <c r="K687" s="247"/>
    </row>
    <row r="688" spans="1:11" ht="9.9499999999999993" customHeight="1" x14ac:dyDescent="0.2">
      <c r="A688" s="569"/>
      <c r="B688" s="569"/>
      <c r="C688" s="247"/>
      <c r="D688" s="569"/>
      <c r="E688" s="247"/>
      <c r="F688" s="569"/>
      <c r="G688" s="247"/>
      <c r="H688" s="569"/>
      <c r="I688" s="569"/>
      <c r="J688" s="569"/>
      <c r="K688" s="247"/>
    </row>
    <row r="689" spans="1:11" ht="9.9499999999999993" customHeight="1" x14ac:dyDescent="0.2">
      <c r="A689" s="569"/>
      <c r="B689" s="569"/>
      <c r="C689" s="247"/>
      <c r="D689" s="569"/>
      <c r="E689" s="247"/>
      <c r="F689" s="569"/>
      <c r="G689" s="247"/>
      <c r="H689" s="569"/>
      <c r="I689" s="569"/>
      <c r="J689" s="569"/>
      <c r="K689" s="247"/>
    </row>
    <row r="690" spans="1:11" ht="9.9499999999999993" customHeight="1" x14ac:dyDescent="0.2">
      <c r="A690" s="569"/>
      <c r="B690" s="569"/>
      <c r="C690" s="247"/>
      <c r="D690" s="569"/>
      <c r="E690" s="247"/>
      <c r="F690" s="569"/>
      <c r="G690" s="247"/>
      <c r="H690" s="569"/>
      <c r="I690" s="569"/>
      <c r="J690" s="569"/>
      <c r="K690" s="247"/>
    </row>
    <row r="691" spans="1:11" ht="9.9499999999999993" customHeight="1" x14ac:dyDescent="0.2">
      <c r="A691" s="569"/>
      <c r="B691" s="569"/>
      <c r="C691" s="247"/>
      <c r="D691" s="569"/>
      <c r="E691" s="247"/>
      <c r="F691" s="569"/>
      <c r="G691" s="247"/>
      <c r="H691" s="569"/>
      <c r="I691" s="569"/>
      <c r="J691" s="569"/>
      <c r="K691" s="247"/>
    </row>
    <row r="692" spans="1:11" ht="9.9499999999999993" customHeight="1" x14ac:dyDescent="0.2">
      <c r="A692" s="569"/>
      <c r="B692" s="569"/>
      <c r="C692" s="247"/>
      <c r="D692" s="569"/>
      <c r="E692" s="247"/>
      <c r="F692" s="569"/>
      <c r="G692" s="247"/>
      <c r="H692" s="569"/>
      <c r="I692" s="569"/>
      <c r="J692" s="569"/>
      <c r="K692" s="247"/>
    </row>
    <row r="693" spans="1:11" ht="9.9499999999999993" customHeight="1" x14ac:dyDescent="0.2">
      <c r="A693" s="569"/>
      <c r="B693" s="569"/>
      <c r="C693" s="247"/>
      <c r="D693" s="569"/>
      <c r="E693" s="247"/>
      <c r="F693" s="569"/>
      <c r="G693" s="247"/>
      <c r="H693" s="569"/>
      <c r="I693" s="569"/>
      <c r="J693" s="569"/>
      <c r="K693" s="247"/>
    </row>
    <row r="694" spans="1:11" ht="9.9499999999999993" customHeight="1" x14ac:dyDescent="0.2">
      <c r="A694" s="569"/>
      <c r="B694" s="569"/>
      <c r="C694" s="247"/>
      <c r="D694" s="569"/>
      <c r="E694" s="247"/>
      <c r="F694" s="569"/>
      <c r="G694" s="247"/>
      <c r="H694" s="569"/>
      <c r="I694" s="569"/>
      <c r="J694" s="569"/>
      <c r="K694" s="247"/>
    </row>
    <row r="695" spans="1:11" ht="9.9499999999999993" customHeight="1" x14ac:dyDescent="0.2">
      <c r="A695" s="569"/>
      <c r="B695" s="569"/>
      <c r="C695" s="247"/>
      <c r="D695" s="569"/>
      <c r="E695" s="247"/>
      <c r="F695" s="569"/>
      <c r="G695" s="247"/>
      <c r="H695" s="569"/>
      <c r="I695" s="569"/>
      <c r="J695" s="569"/>
      <c r="K695" s="247"/>
    </row>
    <row r="696" spans="1:11" ht="9.9499999999999993" customHeight="1" x14ac:dyDescent="0.2">
      <c r="A696" s="569"/>
      <c r="B696" s="569"/>
      <c r="C696" s="247"/>
      <c r="D696" s="569"/>
      <c r="E696" s="247"/>
      <c r="F696" s="569"/>
      <c r="G696" s="247"/>
      <c r="H696" s="569"/>
      <c r="I696" s="569"/>
      <c r="J696" s="569"/>
      <c r="K696" s="247"/>
    </row>
    <row r="697" spans="1:11" ht="9.9499999999999993" customHeight="1" x14ac:dyDescent="0.2">
      <c r="A697" s="569"/>
      <c r="B697" s="569"/>
      <c r="C697" s="247"/>
      <c r="D697" s="569"/>
      <c r="E697" s="247"/>
      <c r="F697" s="569"/>
      <c r="G697" s="247"/>
      <c r="H697" s="569"/>
      <c r="I697" s="569"/>
      <c r="J697" s="569"/>
      <c r="K697" s="247"/>
    </row>
    <row r="698" spans="1:11" ht="9.9499999999999993" customHeight="1" x14ac:dyDescent="0.2">
      <c r="A698" s="569"/>
      <c r="B698" s="569"/>
      <c r="C698" s="247"/>
      <c r="D698" s="569"/>
      <c r="E698" s="247"/>
      <c r="F698" s="569"/>
      <c r="G698" s="247"/>
      <c r="H698" s="569"/>
      <c r="I698" s="569"/>
      <c r="J698" s="569"/>
      <c r="K698" s="247"/>
    </row>
    <row r="699" spans="1:11" ht="9.9499999999999993" customHeight="1" x14ac:dyDescent="0.2">
      <c r="A699" s="569"/>
      <c r="B699" s="569"/>
      <c r="C699" s="247"/>
      <c r="D699" s="569"/>
      <c r="E699" s="247"/>
      <c r="F699" s="569"/>
      <c r="G699" s="247"/>
      <c r="H699" s="569"/>
      <c r="I699" s="569"/>
      <c r="J699" s="569"/>
      <c r="K699" s="247"/>
    </row>
    <row r="700" spans="1:11" ht="9.9499999999999993" customHeight="1" x14ac:dyDescent="0.2">
      <c r="A700" s="569"/>
      <c r="B700" s="569"/>
      <c r="C700" s="247"/>
      <c r="D700" s="569"/>
      <c r="E700" s="247"/>
      <c r="F700" s="569"/>
      <c r="G700" s="247"/>
      <c r="H700" s="569"/>
      <c r="I700" s="569"/>
      <c r="J700" s="569"/>
      <c r="K700" s="247"/>
    </row>
    <row r="701" spans="1:11" ht="9.9499999999999993" customHeight="1" x14ac:dyDescent="0.2">
      <c r="A701" s="569"/>
      <c r="B701" s="569"/>
      <c r="C701" s="247"/>
      <c r="D701" s="569"/>
      <c r="E701" s="247"/>
      <c r="F701" s="569"/>
      <c r="G701" s="247"/>
      <c r="H701" s="569"/>
      <c r="I701" s="569"/>
      <c r="J701" s="569"/>
      <c r="K701" s="247"/>
    </row>
    <row r="702" spans="1:11" ht="9.9499999999999993" customHeight="1" x14ac:dyDescent="0.2">
      <c r="A702" s="569"/>
      <c r="B702" s="569"/>
      <c r="C702" s="247"/>
      <c r="D702" s="569"/>
      <c r="E702" s="247"/>
      <c r="F702" s="569"/>
      <c r="G702" s="247"/>
      <c r="H702" s="569"/>
      <c r="I702" s="569"/>
      <c r="J702" s="569"/>
      <c r="K702" s="247"/>
    </row>
    <row r="703" spans="1:11" ht="9.9499999999999993" customHeight="1" x14ac:dyDescent="0.2">
      <c r="A703" s="569"/>
      <c r="B703" s="569"/>
      <c r="C703" s="247"/>
      <c r="D703" s="569"/>
      <c r="E703" s="247"/>
      <c r="F703" s="569"/>
      <c r="G703" s="247"/>
      <c r="H703" s="569"/>
      <c r="I703" s="569"/>
      <c r="J703" s="569"/>
      <c r="K703" s="247"/>
    </row>
    <row r="704" spans="1:11" ht="9.9499999999999993" customHeight="1" x14ac:dyDescent="0.2">
      <c r="A704" s="569"/>
      <c r="B704" s="569"/>
      <c r="C704" s="247"/>
      <c r="D704" s="569"/>
      <c r="E704" s="247"/>
      <c r="F704" s="569"/>
      <c r="G704" s="247"/>
      <c r="H704" s="569"/>
      <c r="I704" s="569"/>
      <c r="J704" s="569"/>
      <c r="K704" s="247"/>
    </row>
    <row r="705" spans="1:11" ht="9.9499999999999993" customHeight="1" x14ac:dyDescent="0.2">
      <c r="A705" s="569"/>
      <c r="B705" s="569"/>
      <c r="C705" s="247"/>
      <c r="D705" s="569"/>
      <c r="E705" s="247"/>
      <c r="F705" s="569"/>
      <c r="G705" s="247"/>
      <c r="H705" s="569"/>
      <c r="I705" s="569"/>
      <c r="J705" s="569"/>
      <c r="K705" s="247"/>
    </row>
    <row r="706" spans="1:11" ht="9.9499999999999993" customHeight="1" x14ac:dyDescent="0.2">
      <c r="A706" s="569"/>
      <c r="B706" s="569"/>
      <c r="C706" s="247"/>
      <c r="D706" s="569"/>
      <c r="E706" s="247"/>
      <c r="F706" s="569"/>
      <c r="G706" s="247"/>
      <c r="H706" s="569"/>
      <c r="I706" s="569"/>
      <c r="J706" s="569"/>
      <c r="K706" s="247"/>
    </row>
    <row r="707" spans="1:11" ht="9.9499999999999993" customHeight="1" x14ac:dyDescent="0.2">
      <c r="A707" s="569"/>
      <c r="B707" s="569"/>
      <c r="C707" s="247"/>
      <c r="D707" s="569"/>
      <c r="E707" s="247"/>
      <c r="F707" s="569"/>
      <c r="G707" s="247"/>
      <c r="H707" s="569"/>
      <c r="I707" s="569"/>
      <c r="J707" s="569"/>
      <c r="K707" s="247"/>
    </row>
    <row r="708" spans="1:11" ht="9.9499999999999993" customHeight="1" x14ac:dyDescent="0.2">
      <c r="A708" s="569"/>
      <c r="B708" s="569"/>
      <c r="C708" s="247"/>
      <c r="D708" s="569"/>
      <c r="E708" s="247"/>
      <c r="F708" s="569"/>
      <c r="G708" s="247"/>
      <c r="H708" s="569"/>
      <c r="I708" s="569"/>
      <c r="J708" s="569"/>
      <c r="K708" s="247"/>
    </row>
    <row r="709" spans="1:11" ht="9.9499999999999993" customHeight="1" x14ac:dyDescent="0.2">
      <c r="A709" s="569"/>
      <c r="B709" s="569"/>
      <c r="C709" s="247"/>
      <c r="D709" s="569"/>
      <c r="E709" s="247"/>
      <c r="F709" s="569"/>
      <c r="G709" s="247"/>
      <c r="H709" s="569"/>
      <c r="I709" s="569"/>
      <c r="J709" s="569"/>
      <c r="K709" s="247"/>
    </row>
    <row r="710" spans="1:11" ht="9.9499999999999993" customHeight="1" x14ac:dyDescent="0.2">
      <c r="A710" s="569"/>
      <c r="B710" s="569"/>
      <c r="C710" s="247"/>
      <c r="D710" s="569"/>
      <c r="E710" s="247"/>
      <c r="F710" s="569"/>
      <c r="G710" s="247"/>
      <c r="H710" s="569"/>
      <c r="I710" s="569"/>
      <c r="J710" s="569"/>
      <c r="K710" s="247"/>
    </row>
    <row r="711" spans="1:11" ht="9.9499999999999993" customHeight="1" x14ac:dyDescent="0.2">
      <c r="A711" s="569"/>
      <c r="B711" s="569"/>
      <c r="C711" s="247"/>
      <c r="D711" s="569"/>
      <c r="E711" s="247"/>
      <c r="F711" s="569"/>
      <c r="G711" s="247"/>
      <c r="H711" s="569"/>
      <c r="I711" s="569"/>
      <c r="J711" s="569"/>
      <c r="K711" s="247"/>
    </row>
    <row r="712" spans="1:11" ht="9.9499999999999993" customHeight="1" x14ac:dyDescent="0.2">
      <c r="A712" s="569"/>
      <c r="B712" s="569"/>
      <c r="C712" s="247"/>
      <c r="D712" s="569"/>
      <c r="E712" s="247"/>
      <c r="F712" s="569"/>
      <c r="G712" s="247"/>
      <c r="H712" s="569"/>
      <c r="I712" s="569"/>
      <c r="J712" s="569"/>
      <c r="K712" s="247"/>
    </row>
    <row r="713" spans="1:11" ht="9.9499999999999993" customHeight="1" x14ac:dyDescent="0.2">
      <c r="A713" s="569"/>
      <c r="B713" s="569"/>
      <c r="C713" s="247"/>
      <c r="D713" s="569"/>
      <c r="E713" s="247"/>
      <c r="F713" s="569"/>
      <c r="G713" s="247"/>
      <c r="H713" s="569"/>
      <c r="I713" s="569"/>
      <c r="J713" s="569"/>
      <c r="K713" s="247"/>
    </row>
    <row r="714" spans="1:11" ht="9.9499999999999993" customHeight="1" x14ac:dyDescent="0.2">
      <c r="A714" s="569"/>
      <c r="B714" s="569"/>
      <c r="C714" s="247"/>
      <c r="D714" s="569"/>
      <c r="E714" s="247"/>
      <c r="F714" s="569"/>
      <c r="G714" s="247"/>
      <c r="H714" s="569"/>
      <c r="I714" s="569"/>
      <c r="J714" s="569"/>
      <c r="K714" s="247"/>
    </row>
    <row r="715" spans="1:11" ht="9.9499999999999993" customHeight="1" x14ac:dyDescent="0.2">
      <c r="A715" s="569"/>
      <c r="B715" s="569"/>
      <c r="C715" s="247"/>
      <c r="D715" s="569"/>
      <c r="E715" s="247"/>
      <c r="F715" s="569"/>
      <c r="G715" s="247"/>
      <c r="H715" s="569"/>
      <c r="I715" s="569"/>
      <c r="J715" s="569"/>
      <c r="K715" s="247"/>
    </row>
    <row r="716" spans="1:11" ht="9.9499999999999993" customHeight="1" x14ac:dyDescent="0.2">
      <c r="A716" s="569"/>
      <c r="B716" s="569"/>
      <c r="C716" s="247"/>
      <c r="D716" s="569"/>
      <c r="E716" s="247"/>
      <c r="F716" s="569"/>
      <c r="G716" s="247"/>
      <c r="H716" s="569"/>
      <c r="I716" s="569"/>
      <c r="J716" s="569"/>
      <c r="K716" s="247"/>
    </row>
    <row r="717" spans="1:11" ht="9.9499999999999993" customHeight="1" x14ac:dyDescent="0.2">
      <c r="A717" s="569"/>
      <c r="B717" s="569"/>
      <c r="C717" s="247"/>
      <c r="D717" s="569"/>
      <c r="E717" s="247"/>
      <c r="F717" s="569"/>
      <c r="G717" s="247"/>
      <c r="H717" s="569"/>
      <c r="I717" s="569"/>
      <c r="J717" s="569"/>
      <c r="K717" s="247"/>
    </row>
    <row r="718" spans="1:11" ht="9.9499999999999993" customHeight="1" x14ac:dyDescent="0.2">
      <c r="A718" s="569"/>
      <c r="B718" s="569"/>
      <c r="C718" s="247"/>
      <c r="D718" s="569"/>
      <c r="E718" s="247"/>
      <c r="F718" s="569"/>
      <c r="G718" s="247"/>
      <c r="H718" s="569"/>
      <c r="I718" s="569"/>
      <c r="J718" s="569"/>
      <c r="K718" s="247"/>
    </row>
    <row r="719" spans="1:11" ht="9.9499999999999993" customHeight="1" x14ac:dyDescent="0.2">
      <c r="A719" s="569"/>
      <c r="B719" s="569"/>
      <c r="C719" s="247"/>
      <c r="D719" s="569"/>
      <c r="E719" s="247"/>
      <c r="F719" s="569"/>
      <c r="G719" s="247"/>
      <c r="H719" s="569"/>
      <c r="I719" s="569"/>
      <c r="J719" s="569"/>
      <c r="K719" s="247"/>
    </row>
    <row r="720" spans="1:11" ht="9.9499999999999993" customHeight="1" x14ac:dyDescent="0.2">
      <c r="A720" s="569"/>
      <c r="B720" s="569"/>
      <c r="C720" s="247"/>
      <c r="D720" s="569"/>
      <c r="E720" s="247"/>
      <c r="F720" s="569"/>
      <c r="G720" s="247"/>
      <c r="H720" s="569"/>
      <c r="I720" s="569"/>
      <c r="J720" s="569"/>
      <c r="K720" s="247"/>
    </row>
    <row r="721" spans="1:11" ht="9.9499999999999993" customHeight="1" x14ac:dyDescent="0.2">
      <c r="A721" s="569"/>
      <c r="B721" s="569"/>
      <c r="C721" s="247"/>
      <c r="D721" s="569"/>
      <c r="E721" s="247"/>
      <c r="F721" s="569"/>
      <c r="G721" s="247"/>
      <c r="H721" s="569"/>
      <c r="I721" s="569"/>
      <c r="J721" s="569"/>
      <c r="K721" s="247"/>
    </row>
    <row r="722" spans="1:11" ht="9.9499999999999993" customHeight="1" x14ac:dyDescent="0.2">
      <c r="A722" s="569"/>
      <c r="B722" s="569"/>
      <c r="C722" s="247"/>
      <c r="D722" s="569"/>
      <c r="E722" s="247"/>
      <c r="F722" s="569"/>
      <c r="G722" s="247"/>
      <c r="H722" s="569"/>
      <c r="I722" s="569"/>
      <c r="J722" s="569"/>
      <c r="K722" s="247"/>
    </row>
    <row r="723" spans="1:11" ht="9.9499999999999993" customHeight="1" x14ac:dyDescent="0.2">
      <c r="A723" s="569"/>
      <c r="B723" s="569"/>
      <c r="C723" s="247"/>
      <c r="D723" s="569"/>
      <c r="E723" s="247"/>
      <c r="F723" s="569"/>
      <c r="G723" s="247"/>
      <c r="H723" s="569"/>
      <c r="I723" s="569"/>
      <c r="J723" s="569"/>
      <c r="K723" s="247"/>
    </row>
    <row r="724" spans="1:11" ht="9.9499999999999993" customHeight="1" x14ac:dyDescent="0.2">
      <c r="A724" s="569"/>
      <c r="B724" s="569"/>
      <c r="C724" s="247"/>
      <c r="D724" s="569"/>
      <c r="E724" s="247"/>
      <c r="F724" s="569"/>
      <c r="G724" s="247"/>
      <c r="H724" s="569"/>
      <c r="I724" s="569"/>
      <c r="J724" s="569"/>
      <c r="K724" s="247"/>
    </row>
    <row r="725" spans="1:11" ht="9.9499999999999993" customHeight="1" x14ac:dyDescent="0.2">
      <c r="A725" s="569"/>
      <c r="B725" s="569"/>
      <c r="C725" s="247"/>
      <c r="D725" s="569"/>
      <c r="E725" s="247"/>
      <c r="F725" s="569"/>
      <c r="G725" s="247"/>
      <c r="H725" s="569"/>
      <c r="I725" s="569"/>
      <c r="J725" s="569"/>
      <c r="K725" s="247"/>
    </row>
    <row r="726" spans="1:11" ht="9.9499999999999993" customHeight="1" x14ac:dyDescent="0.2">
      <c r="A726" s="569"/>
      <c r="B726" s="569"/>
      <c r="C726" s="247"/>
      <c r="D726" s="569"/>
      <c r="E726" s="247"/>
      <c r="F726" s="569"/>
      <c r="G726" s="247"/>
      <c r="H726" s="569"/>
      <c r="I726" s="569"/>
      <c r="J726" s="569"/>
      <c r="K726" s="247"/>
    </row>
    <row r="727" spans="1:11" ht="9.9499999999999993" customHeight="1" x14ac:dyDescent="0.2">
      <c r="A727" s="569"/>
      <c r="B727" s="569"/>
      <c r="C727" s="247"/>
      <c r="D727" s="569"/>
      <c r="E727" s="247"/>
      <c r="F727" s="569"/>
      <c r="G727" s="247"/>
      <c r="H727" s="569"/>
      <c r="I727" s="569"/>
      <c r="J727" s="569"/>
      <c r="K727" s="247"/>
    </row>
    <row r="728" spans="1:11" ht="9.9499999999999993" customHeight="1" x14ac:dyDescent="0.2">
      <c r="A728" s="569"/>
      <c r="B728" s="569"/>
      <c r="C728" s="247"/>
      <c r="D728" s="569"/>
      <c r="E728" s="247"/>
      <c r="F728" s="569"/>
      <c r="G728" s="247"/>
      <c r="H728" s="569"/>
      <c r="I728" s="569"/>
      <c r="J728" s="569"/>
      <c r="K728" s="247"/>
    </row>
    <row r="729" spans="1:11" ht="9.9499999999999993" customHeight="1" x14ac:dyDescent="0.2">
      <c r="A729" s="569"/>
      <c r="B729" s="569"/>
      <c r="C729" s="247"/>
      <c r="D729" s="569"/>
      <c r="E729" s="247"/>
      <c r="F729" s="569"/>
      <c r="G729" s="247"/>
      <c r="H729" s="569"/>
      <c r="I729" s="569"/>
      <c r="J729" s="569"/>
      <c r="K729" s="247"/>
    </row>
    <row r="730" spans="1:11" ht="9.9499999999999993" customHeight="1" x14ac:dyDescent="0.2">
      <c r="A730" s="569"/>
      <c r="B730" s="569"/>
      <c r="C730" s="247"/>
      <c r="D730" s="569"/>
      <c r="E730" s="247"/>
      <c r="F730" s="569"/>
      <c r="G730" s="247"/>
      <c r="H730" s="569"/>
      <c r="I730" s="569"/>
      <c r="J730" s="569"/>
      <c r="K730" s="247"/>
    </row>
    <row r="731" spans="1:11" ht="9.9499999999999993" customHeight="1" x14ac:dyDescent="0.2">
      <c r="A731" s="569"/>
      <c r="B731" s="569"/>
      <c r="C731" s="247"/>
      <c r="D731" s="569"/>
      <c r="E731" s="247"/>
      <c r="F731" s="569"/>
      <c r="G731" s="247"/>
      <c r="H731" s="569"/>
      <c r="I731" s="569"/>
      <c r="J731" s="569"/>
      <c r="K731" s="247"/>
    </row>
    <row r="732" spans="1:11" ht="9.9499999999999993" customHeight="1" x14ac:dyDescent="0.2">
      <c r="A732" s="569"/>
      <c r="B732" s="569"/>
      <c r="C732" s="247"/>
      <c r="D732" s="569"/>
      <c r="E732" s="247"/>
      <c r="F732" s="569"/>
      <c r="G732" s="247"/>
      <c r="H732" s="569"/>
      <c r="I732" s="569"/>
      <c r="J732" s="569"/>
      <c r="K732" s="247"/>
    </row>
    <row r="733" spans="1:11" ht="9.9499999999999993" customHeight="1" x14ac:dyDescent="0.2">
      <c r="A733" s="569"/>
      <c r="B733" s="569"/>
      <c r="C733" s="247"/>
      <c r="D733" s="569"/>
      <c r="E733" s="247"/>
      <c r="F733" s="569"/>
      <c r="G733" s="247"/>
      <c r="H733" s="569"/>
      <c r="I733" s="569"/>
      <c r="J733" s="569"/>
      <c r="K733" s="247"/>
    </row>
    <row r="734" spans="1:11" ht="9.9499999999999993" customHeight="1" x14ac:dyDescent="0.2">
      <c r="A734" s="569"/>
      <c r="B734" s="569"/>
      <c r="C734" s="247"/>
      <c r="D734" s="569"/>
      <c r="E734" s="247"/>
      <c r="F734" s="569"/>
      <c r="G734" s="247"/>
      <c r="H734" s="569"/>
      <c r="I734" s="569"/>
      <c r="J734" s="569"/>
      <c r="K734" s="247"/>
    </row>
    <row r="735" spans="1:11" ht="9.9499999999999993" customHeight="1" x14ac:dyDescent="0.2">
      <c r="A735" s="569"/>
      <c r="B735" s="569"/>
      <c r="C735" s="247"/>
      <c r="D735" s="569"/>
      <c r="E735" s="247"/>
      <c r="F735" s="569"/>
      <c r="G735" s="247"/>
      <c r="H735" s="569"/>
      <c r="I735" s="569"/>
      <c r="J735" s="569"/>
      <c r="K735" s="247"/>
    </row>
    <row r="736" spans="1:11" ht="9.9499999999999993" customHeight="1" x14ac:dyDescent="0.2">
      <c r="A736" s="569"/>
      <c r="B736" s="569"/>
      <c r="C736" s="247"/>
      <c r="D736" s="569"/>
      <c r="E736" s="247"/>
      <c r="F736" s="569"/>
      <c r="G736" s="247"/>
      <c r="H736" s="569"/>
      <c r="I736" s="569"/>
      <c r="J736" s="569"/>
      <c r="K736" s="247"/>
    </row>
    <row r="737" spans="1:11" ht="9.9499999999999993" customHeight="1" x14ac:dyDescent="0.2">
      <c r="A737" s="569"/>
      <c r="B737" s="569"/>
      <c r="C737" s="247"/>
      <c r="D737" s="569"/>
      <c r="E737" s="247"/>
      <c r="F737" s="569"/>
      <c r="G737" s="247"/>
      <c r="H737" s="569"/>
      <c r="I737" s="569"/>
      <c r="J737" s="569"/>
      <c r="K737" s="247"/>
    </row>
    <row r="738" spans="1:11" ht="9.9499999999999993" customHeight="1" x14ac:dyDescent="0.2">
      <c r="A738" s="569"/>
      <c r="B738" s="569"/>
      <c r="C738" s="247"/>
      <c r="D738" s="569"/>
      <c r="E738" s="247"/>
      <c r="F738" s="569"/>
      <c r="G738" s="247"/>
      <c r="H738" s="569"/>
      <c r="I738" s="569"/>
      <c r="J738" s="569"/>
      <c r="K738" s="247"/>
    </row>
    <row r="739" spans="1:11" ht="9.9499999999999993" customHeight="1" x14ac:dyDescent="0.2">
      <c r="A739" s="569"/>
      <c r="B739" s="569"/>
      <c r="C739" s="247"/>
      <c r="D739" s="569"/>
      <c r="E739" s="247"/>
      <c r="F739" s="569"/>
      <c r="G739" s="247"/>
      <c r="H739" s="569"/>
      <c r="I739" s="569"/>
      <c r="J739" s="569"/>
      <c r="K739" s="247"/>
    </row>
    <row r="740" spans="1:11" ht="9.9499999999999993" customHeight="1" x14ac:dyDescent="0.2">
      <c r="A740" s="569"/>
      <c r="B740" s="569"/>
      <c r="C740" s="247"/>
      <c r="D740" s="569"/>
      <c r="E740" s="247"/>
      <c r="F740" s="569"/>
      <c r="G740" s="247"/>
      <c r="H740" s="569"/>
      <c r="I740" s="569"/>
      <c r="J740" s="569"/>
      <c r="K740" s="247"/>
    </row>
    <row r="741" spans="1:11" ht="9.9499999999999993" customHeight="1" x14ac:dyDescent="0.2">
      <c r="A741" s="569"/>
      <c r="B741" s="569"/>
      <c r="C741" s="247"/>
      <c r="D741" s="569"/>
      <c r="E741" s="247"/>
      <c r="F741" s="569"/>
      <c r="G741" s="247"/>
      <c r="H741" s="569"/>
      <c r="I741" s="569"/>
      <c r="J741" s="569"/>
      <c r="K741" s="247"/>
    </row>
    <row r="742" spans="1:11" ht="9.9499999999999993" customHeight="1" x14ac:dyDescent="0.2">
      <c r="A742" s="569"/>
      <c r="B742" s="569"/>
      <c r="C742" s="247"/>
      <c r="D742" s="569"/>
      <c r="E742" s="247"/>
      <c r="F742" s="569"/>
      <c r="G742" s="247"/>
      <c r="H742" s="569"/>
      <c r="I742" s="569"/>
      <c r="J742" s="569"/>
      <c r="K742" s="247"/>
    </row>
    <row r="743" spans="1:11" ht="9.9499999999999993" customHeight="1" x14ac:dyDescent="0.2">
      <c r="A743" s="569"/>
      <c r="B743" s="569"/>
      <c r="C743" s="247"/>
      <c r="D743" s="569"/>
      <c r="E743" s="247"/>
      <c r="F743" s="569"/>
      <c r="G743" s="247"/>
      <c r="H743" s="569"/>
      <c r="I743" s="569"/>
      <c r="J743" s="569"/>
      <c r="K743" s="247"/>
    </row>
    <row r="744" spans="1:11" ht="9.9499999999999993" customHeight="1" x14ac:dyDescent="0.2">
      <c r="A744" s="569"/>
      <c r="B744" s="569"/>
      <c r="C744" s="247"/>
      <c r="D744" s="569"/>
      <c r="E744" s="247"/>
      <c r="F744" s="569"/>
      <c r="G744" s="247"/>
      <c r="H744" s="569"/>
      <c r="I744" s="569"/>
      <c r="J744" s="569"/>
      <c r="K744" s="247"/>
    </row>
    <row r="745" spans="1:11" ht="9.9499999999999993" customHeight="1" x14ac:dyDescent="0.2">
      <c r="A745" s="569"/>
      <c r="B745" s="569"/>
      <c r="C745" s="247"/>
      <c r="D745" s="569"/>
      <c r="E745" s="247"/>
      <c r="F745" s="569"/>
      <c r="G745" s="247"/>
      <c r="H745" s="569"/>
      <c r="I745" s="569"/>
      <c r="J745" s="569"/>
      <c r="K745" s="247"/>
    </row>
    <row r="746" spans="1:11" ht="9.9499999999999993" customHeight="1" x14ac:dyDescent="0.2">
      <c r="A746" s="569"/>
      <c r="B746" s="569"/>
      <c r="C746" s="247"/>
      <c r="D746" s="569"/>
      <c r="E746" s="247"/>
      <c r="F746" s="569"/>
      <c r="G746" s="247"/>
      <c r="H746" s="569"/>
      <c r="I746" s="569"/>
      <c r="J746" s="569"/>
      <c r="K746" s="247"/>
    </row>
    <row r="747" spans="1:11" ht="9.9499999999999993" customHeight="1" x14ac:dyDescent="0.2">
      <c r="A747" s="569"/>
      <c r="B747" s="569"/>
      <c r="C747" s="247"/>
      <c r="D747" s="569"/>
      <c r="E747" s="247"/>
      <c r="F747" s="569"/>
      <c r="G747" s="247"/>
      <c r="H747" s="569"/>
      <c r="I747" s="569"/>
      <c r="J747" s="569"/>
      <c r="K747" s="247"/>
    </row>
    <row r="748" spans="1:11" ht="9.9499999999999993" customHeight="1" x14ac:dyDescent="0.2">
      <c r="A748" s="569"/>
      <c r="B748" s="569"/>
      <c r="C748" s="247"/>
      <c r="D748" s="569"/>
      <c r="E748" s="247"/>
      <c r="F748" s="569"/>
      <c r="G748" s="247"/>
      <c r="H748" s="569"/>
      <c r="I748" s="569"/>
      <c r="J748" s="569"/>
      <c r="K748" s="247"/>
    </row>
    <row r="749" spans="1:11" ht="9.9499999999999993" customHeight="1" x14ac:dyDescent="0.2">
      <c r="A749" s="569"/>
      <c r="B749" s="569"/>
      <c r="C749" s="247"/>
      <c r="D749" s="569"/>
      <c r="E749" s="247"/>
      <c r="F749" s="569"/>
      <c r="G749" s="247"/>
      <c r="H749" s="569"/>
      <c r="I749" s="569"/>
      <c r="J749" s="569"/>
      <c r="K749" s="247"/>
    </row>
    <row r="750" spans="1:11" ht="9.9499999999999993" customHeight="1" x14ac:dyDescent="0.2">
      <c r="A750" s="569"/>
      <c r="B750" s="569"/>
      <c r="C750" s="247"/>
      <c r="D750" s="569"/>
      <c r="E750" s="247"/>
      <c r="F750" s="569"/>
      <c r="G750" s="247"/>
      <c r="H750" s="569"/>
      <c r="I750" s="569"/>
      <c r="J750" s="569"/>
      <c r="K750" s="247"/>
    </row>
    <row r="751" spans="1:11" ht="9.9499999999999993" customHeight="1" x14ac:dyDescent="0.2">
      <c r="A751" s="569"/>
      <c r="B751" s="569"/>
      <c r="C751" s="247"/>
      <c r="D751" s="569"/>
      <c r="E751" s="247"/>
      <c r="F751" s="569"/>
      <c r="G751" s="247"/>
      <c r="H751" s="569"/>
      <c r="I751" s="569"/>
      <c r="J751" s="569"/>
      <c r="K751" s="247"/>
    </row>
    <row r="752" spans="1:11" ht="9.9499999999999993" customHeight="1" x14ac:dyDescent="0.2">
      <c r="A752" s="569"/>
      <c r="B752" s="569"/>
      <c r="C752" s="247"/>
      <c r="D752" s="569"/>
      <c r="E752" s="247"/>
      <c r="F752" s="569"/>
      <c r="G752" s="247"/>
      <c r="H752" s="569"/>
      <c r="I752" s="569"/>
      <c r="J752" s="569"/>
      <c r="K752" s="247"/>
    </row>
    <row r="753" spans="1:11" ht="9.9499999999999993" customHeight="1" x14ac:dyDescent="0.2">
      <c r="A753" s="569"/>
      <c r="B753" s="569"/>
      <c r="C753" s="247"/>
      <c r="D753" s="569"/>
      <c r="E753" s="247"/>
      <c r="F753" s="569"/>
      <c r="G753" s="247"/>
      <c r="H753" s="569"/>
      <c r="I753" s="569"/>
      <c r="J753" s="569"/>
      <c r="K753" s="247"/>
    </row>
    <row r="754" spans="1:11" ht="9.9499999999999993" customHeight="1" x14ac:dyDescent="0.2">
      <c r="A754" s="569"/>
      <c r="B754" s="569"/>
      <c r="C754" s="247"/>
      <c r="D754" s="569"/>
      <c r="E754" s="247"/>
      <c r="F754" s="569"/>
      <c r="G754" s="247"/>
      <c r="H754" s="569"/>
      <c r="I754" s="569"/>
      <c r="J754" s="569"/>
      <c r="K754" s="247"/>
    </row>
    <row r="755" spans="1:11" ht="9.9499999999999993" customHeight="1" x14ac:dyDescent="0.2">
      <c r="A755" s="569"/>
      <c r="B755" s="569"/>
      <c r="C755" s="247"/>
      <c r="D755" s="569"/>
      <c r="E755" s="247"/>
      <c r="F755" s="569"/>
      <c r="G755" s="247"/>
      <c r="H755" s="569"/>
      <c r="I755" s="569"/>
      <c r="J755" s="569"/>
      <c r="K755" s="247"/>
    </row>
    <row r="756" spans="1:11" ht="9.9499999999999993" customHeight="1" x14ac:dyDescent="0.2">
      <c r="A756" s="569"/>
      <c r="B756" s="569"/>
      <c r="C756" s="247"/>
      <c r="D756" s="569"/>
      <c r="E756" s="247"/>
      <c r="F756" s="569"/>
      <c r="G756" s="247"/>
      <c r="H756" s="569"/>
      <c r="I756" s="569"/>
      <c r="J756" s="569"/>
      <c r="K756" s="247"/>
    </row>
    <row r="757" spans="1:11" ht="9.9499999999999993" customHeight="1" x14ac:dyDescent="0.2">
      <c r="A757" s="569"/>
      <c r="B757" s="569"/>
      <c r="C757" s="247"/>
      <c r="D757" s="569"/>
      <c r="E757" s="247"/>
      <c r="F757" s="569"/>
      <c r="G757" s="247"/>
      <c r="H757" s="569"/>
      <c r="I757" s="569"/>
      <c r="J757" s="569"/>
      <c r="K757" s="247"/>
    </row>
    <row r="758" spans="1:11" ht="9.9499999999999993" customHeight="1" x14ac:dyDescent="0.2">
      <c r="A758" s="569"/>
      <c r="B758" s="569"/>
      <c r="C758" s="247"/>
      <c r="D758" s="569"/>
      <c r="E758" s="247"/>
      <c r="F758" s="569"/>
      <c r="G758" s="247"/>
      <c r="H758" s="569"/>
      <c r="I758" s="569"/>
      <c r="J758" s="569"/>
      <c r="K758" s="247"/>
    </row>
    <row r="759" spans="1:11" ht="9.9499999999999993" customHeight="1" x14ac:dyDescent="0.2">
      <c r="A759" s="569"/>
      <c r="B759" s="569"/>
      <c r="C759" s="247"/>
      <c r="D759" s="569"/>
      <c r="E759" s="247"/>
      <c r="F759" s="569"/>
      <c r="G759" s="247"/>
      <c r="H759" s="569"/>
      <c r="I759" s="569"/>
      <c r="J759" s="569"/>
      <c r="K759" s="247"/>
    </row>
    <row r="760" spans="1:11" ht="9.9499999999999993" customHeight="1" x14ac:dyDescent="0.2">
      <c r="A760" s="569"/>
      <c r="B760" s="569"/>
      <c r="C760" s="247"/>
      <c r="D760" s="569"/>
      <c r="E760" s="247"/>
      <c r="F760" s="569"/>
      <c r="G760" s="247"/>
      <c r="H760" s="569"/>
      <c r="I760" s="569"/>
      <c r="J760" s="569"/>
      <c r="K760" s="247"/>
    </row>
    <row r="761" spans="1:11" ht="9.9499999999999993" customHeight="1" x14ac:dyDescent="0.2">
      <c r="A761" s="569"/>
      <c r="B761" s="569"/>
      <c r="C761" s="247"/>
      <c r="D761" s="569"/>
      <c r="E761" s="247"/>
      <c r="F761" s="569"/>
      <c r="G761" s="247"/>
      <c r="H761" s="569"/>
      <c r="I761" s="569"/>
      <c r="J761" s="569"/>
      <c r="K761" s="247"/>
    </row>
    <row r="762" spans="1:11" ht="9.9499999999999993" customHeight="1" x14ac:dyDescent="0.2">
      <c r="A762" s="569"/>
      <c r="B762" s="569"/>
      <c r="C762" s="247"/>
      <c r="D762" s="569"/>
      <c r="E762" s="247"/>
      <c r="F762" s="569"/>
      <c r="G762" s="247"/>
      <c r="H762" s="569"/>
      <c r="I762" s="569"/>
      <c r="J762" s="569"/>
      <c r="K762" s="247"/>
    </row>
    <row r="763" spans="1:11" ht="9.9499999999999993" customHeight="1" x14ac:dyDescent="0.2">
      <c r="A763" s="569"/>
      <c r="B763" s="569"/>
      <c r="C763" s="247"/>
      <c r="D763" s="569"/>
      <c r="E763" s="247"/>
      <c r="F763" s="569"/>
      <c r="G763" s="247"/>
      <c r="H763" s="569"/>
      <c r="I763" s="569"/>
      <c r="J763" s="569"/>
      <c r="K763" s="247"/>
    </row>
    <row r="764" spans="1:11" ht="9.9499999999999993" customHeight="1" x14ac:dyDescent="0.2">
      <c r="A764" s="569"/>
      <c r="B764" s="569"/>
      <c r="C764" s="247"/>
      <c r="D764" s="569"/>
      <c r="E764" s="247"/>
      <c r="F764" s="569"/>
      <c r="G764" s="247"/>
      <c r="H764" s="569"/>
      <c r="I764" s="569"/>
      <c r="J764" s="569"/>
      <c r="K764" s="247"/>
    </row>
    <row r="765" spans="1:11" ht="9.9499999999999993" customHeight="1" x14ac:dyDescent="0.2">
      <c r="A765" s="569"/>
      <c r="B765" s="569"/>
      <c r="C765" s="247"/>
      <c r="D765" s="569"/>
      <c r="E765" s="247"/>
      <c r="F765" s="569"/>
      <c r="G765" s="247"/>
      <c r="H765" s="569"/>
      <c r="I765" s="569"/>
      <c r="J765" s="569"/>
      <c r="K765" s="247"/>
    </row>
    <row r="766" spans="1:11" ht="9.9499999999999993" customHeight="1" x14ac:dyDescent="0.2">
      <c r="A766" s="569"/>
      <c r="B766" s="569"/>
      <c r="C766" s="247"/>
      <c r="D766" s="569"/>
      <c r="E766" s="247"/>
      <c r="F766" s="569"/>
      <c r="G766" s="247"/>
      <c r="H766" s="569"/>
      <c r="I766" s="569"/>
      <c r="J766" s="569"/>
      <c r="K766" s="247"/>
    </row>
    <row r="767" spans="1:11" ht="9.9499999999999993" customHeight="1" x14ac:dyDescent="0.2">
      <c r="A767" s="569"/>
      <c r="B767" s="569"/>
      <c r="C767" s="247"/>
      <c r="D767" s="569"/>
      <c r="E767" s="247"/>
      <c r="F767" s="569"/>
      <c r="G767" s="247"/>
      <c r="H767" s="569"/>
      <c r="I767" s="569"/>
      <c r="J767" s="569"/>
      <c r="K767" s="247"/>
    </row>
    <row r="768" spans="1:11" ht="9.9499999999999993" customHeight="1" x14ac:dyDescent="0.2">
      <c r="A768" s="569"/>
      <c r="B768" s="569"/>
      <c r="C768" s="247"/>
      <c r="D768" s="569"/>
      <c r="E768" s="247"/>
      <c r="F768" s="569"/>
      <c r="G768" s="247"/>
      <c r="H768" s="569"/>
      <c r="I768" s="569"/>
      <c r="J768" s="569"/>
      <c r="K768" s="247"/>
    </row>
    <row r="769" spans="1:11" ht="9.9499999999999993" customHeight="1" x14ac:dyDescent="0.2">
      <c r="A769" s="569"/>
      <c r="B769" s="569"/>
      <c r="C769" s="247"/>
      <c r="D769" s="569"/>
      <c r="E769" s="247"/>
      <c r="F769" s="569"/>
      <c r="G769" s="247"/>
      <c r="H769" s="569"/>
      <c r="I769" s="569"/>
      <c r="J769" s="569"/>
      <c r="K769" s="247"/>
    </row>
    <row r="770" spans="1:11" ht="9.9499999999999993" customHeight="1" x14ac:dyDescent="0.2">
      <c r="A770" s="569"/>
      <c r="B770" s="569"/>
      <c r="C770" s="247"/>
      <c r="D770" s="569"/>
      <c r="E770" s="247"/>
      <c r="F770" s="569"/>
      <c r="G770" s="247"/>
      <c r="H770" s="569"/>
      <c r="I770" s="569"/>
      <c r="J770" s="569"/>
      <c r="K770" s="247"/>
    </row>
    <row r="771" spans="1:11" ht="9.9499999999999993" customHeight="1" x14ac:dyDescent="0.2">
      <c r="A771" s="569"/>
      <c r="B771" s="569"/>
      <c r="C771" s="247"/>
      <c r="D771" s="569"/>
      <c r="E771" s="247"/>
      <c r="F771" s="569"/>
      <c r="G771" s="247"/>
      <c r="H771" s="569"/>
      <c r="I771" s="569"/>
      <c r="J771" s="569"/>
      <c r="K771" s="247"/>
    </row>
    <row r="772" spans="1:11" ht="9.9499999999999993" customHeight="1" x14ac:dyDescent="0.2">
      <c r="A772" s="569"/>
      <c r="B772" s="569"/>
      <c r="C772" s="247"/>
      <c r="D772" s="569"/>
      <c r="E772" s="247"/>
      <c r="F772" s="569"/>
      <c r="G772" s="247"/>
      <c r="H772" s="569"/>
      <c r="I772" s="569"/>
      <c r="J772" s="569"/>
      <c r="K772" s="247"/>
    </row>
    <row r="773" spans="1:11" ht="9.9499999999999993" customHeight="1" x14ac:dyDescent="0.2">
      <c r="A773" s="569"/>
      <c r="B773" s="569"/>
      <c r="C773" s="247"/>
      <c r="D773" s="569"/>
      <c r="E773" s="247"/>
      <c r="F773" s="569"/>
      <c r="G773" s="247"/>
      <c r="H773" s="569"/>
      <c r="I773" s="569"/>
      <c r="J773" s="569"/>
      <c r="K773" s="247"/>
    </row>
    <row r="774" spans="1:11" ht="9.9499999999999993" customHeight="1" x14ac:dyDescent="0.2">
      <c r="A774" s="569"/>
      <c r="B774" s="569"/>
      <c r="C774" s="247"/>
      <c r="D774" s="569"/>
      <c r="E774" s="247"/>
      <c r="F774" s="569"/>
      <c r="G774" s="247"/>
      <c r="H774" s="569"/>
      <c r="I774" s="569"/>
      <c r="J774" s="569"/>
      <c r="K774" s="247"/>
    </row>
    <row r="775" spans="1:11" ht="9.9499999999999993" customHeight="1" x14ac:dyDescent="0.2">
      <c r="A775" s="569"/>
      <c r="B775" s="569"/>
      <c r="C775" s="247"/>
      <c r="D775" s="569"/>
      <c r="E775" s="247"/>
      <c r="F775" s="569"/>
      <c r="G775" s="247"/>
      <c r="H775" s="569"/>
      <c r="I775" s="569"/>
      <c r="J775" s="569"/>
      <c r="K775" s="247"/>
    </row>
    <row r="776" spans="1:11" ht="9.9499999999999993" customHeight="1" x14ac:dyDescent="0.2">
      <c r="A776" s="569"/>
      <c r="B776" s="569"/>
      <c r="C776" s="247"/>
      <c r="D776" s="569"/>
      <c r="E776" s="247"/>
      <c r="F776" s="569"/>
      <c r="G776" s="247"/>
      <c r="H776" s="569"/>
      <c r="I776" s="569"/>
      <c r="J776" s="569"/>
      <c r="K776" s="247"/>
    </row>
    <row r="777" spans="1:11" ht="9.9499999999999993" customHeight="1" x14ac:dyDescent="0.2">
      <c r="A777" s="569"/>
      <c r="B777" s="569"/>
      <c r="C777" s="247"/>
      <c r="D777" s="569"/>
      <c r="E777" s="247"/>
      <c r="F777" s="569"/>
      <c r="G777" s="247"/>
      <c r="H777" s="569"/>
      <c r="I777" s="569"/>
      <c r="J777" s="569"/>
      <c r="K777" s="247"/>
    </row>
    <row r="778" spans="1:11" ht="9.9499999999999993" customHeight="1" x14ac:dyDescent="0.2">
      <c r="A778" s="569"/>
      <c r="B778" s="569"/>
      <c r="C778" s="247"/>
      <c r="D778" s="569"/>
      <c r="E778" s="247"/>
      <c r="F778" s="569"/>
      <c r="G778" s="247"/>
      <c r="H778" s="569"/>
      <c r="I778" s="569"/>
      <c r="J778" s="569"/>
      <c r="K778" s="247"/>
    </row>
    <row r="779" spans="1:11" ht="9.9499999999999993" customHeight="1" x14ac:dyDescent="0.2">
      <c r="A779" s="569"/>
      <c r="B779" s="569"/>
      <c r="C779" s="247"/>
      <c r="D779" s="569"/>
      <c r="E779" s="247"/>
      <c r="F779" s="569"/>
      <c r="G779" s="247"/>
      <c r="H779" s="569"/>
      <c r="I779" s="569"/>
      <c r="J779" s="569"/>
      <c r="K779" s="247"/>
    </row>
    <row r="780" spans="1:11" ht="9.9499999999999993" customHeight="1" x14ac:dyDescent="0.2">
      <c r="A780" s="569"/>
      <c r="B780" s="569"/>
      <c r="C780" s="247"/>
      <c r="D780" s="569"/>
      <c r="E780" s="247"/>
      <c r="F780" s="569"/>
      <c r="G780" s="247"/>
      <c r="H780" s="569"/>
      <c r="I780" s="569"/>
      <c r="J780" s="569"/>
      <c r="K780" s="247"/>
    </row>
    <row r="781" spans="1:11" ht="9.9499999999999993" customHeight="1" x14ac:dyDescent="0.2">
      <c r="A781" s="569"/>
      <c r="B781" s="569"/>
      <c r="C781" s="247"/>
      <c r="D781" s="569"/>
      <c r="E781" s="247"/>
      <c r="F781" s="569"/>
      <c r="G781" s="247"/>
      <c r="H781" s="569"/>
      <c r="I781" s="569"/>
      <c r="J781" s="569"/>
      <c r="K781" s="247"/>
    </row>
    <row r="782" spans="1:11" ht="9.9499999999999993" customHeight="1" x14ac:dyDescent="0.2">
      <c r="A782" s="569"/>
      <c r="B782" s="569"/>
      <c r="C782" s="247"/>
      <c r="D782" s="569"/>
      <c r="E782" s="247"/>
      <c r="F782" s="569"/>
      <c r="G782" s="247"/>
      <c r="H782" s="569"/>
      <c r="I782" s="569"/>
      <c r="J782" s="569"/>
      <c r="K782" s="247"/>
    </row>
    <row r="783" spans="1:11" ht="9.9499999999999993" customHeight="1" x14ac:dyDescent="0.2">
      <c r="A783" s="569"/>
      <c r="B783" s="569"/>
      <c r="C783" s="247"/>
      <c r="D783" s="569"/>
      <c r="E783" s="247"/>
      <c r="F783" s="569"/>
      <c r="G783" s="247"/>
      <c r="H783" s="569"/>
      <c r="I783" s="569"/>
      <c r="J783" s="569"/>
      <c r="K783" s="247"/>
    </row>
    <row r="784" spans="1:11" ht="9.9499999999999993" customHeight="1" x14ac:dyDescent="0.2">
      <c r="A784" s="569"/>
      <c r="B784" s="569"/>
      <c r="C784" s="247"/>
      <c r="D784" s="569"/>
      <c r="E784" s="247"/>
      <c r="F784" s="569"/>
      <c r="G784" s="247"/>
      <c r="H784" s="569"/>
      <c r="I784" s="569"/>
      <c r="J784" s="569"/>
      <c r="K784" s="247"/>
    </row>
    <row r="785" spans="1:11" ht="9.9499999999999993" customHeight="1" x14ac:dyDescent="0.2">
      <c r="A785" s="569"/>
      <c r="B785" s="569"/>
      <c r="C785" s="247"/>
      <c r="D785" s="569"/>
      <c r="E785" s="247"/>
      <c r="F785" s="569"/>
      <c r="G785" s="247"/>
      <c r="H785" s="569"/>
      <c r="I785" s="569"/>
      <c r="J785" s="569"/>
      <c r="K785" s="247"/>
    </row>
    <row r="786" spans="1:11" ht="9.9499999999999993" customHeight="1" x14ac:dyDescent="0.2">
      <c r="A786" s="569"/>
      <c r="B786" s="569"/>
      <c r="C786" s="247"/>
      <c r="D786" s="569"/>
      <c r="E786" s="247"/>
      <c r="F786" s="569"/>
      <c r="G786" s="247"/>
      <c r="H786" s="569"/>
      <c r="I786" s="569"/>
      <c r="J786" s="569"/>
      <c r="K786" s="247"/>
    </row>
    <row r="787" spans="1:11" ht="9.9499999999999993" customHeight="1" x14ac:dyDescent="0.2">
      <c r="A787" s="569"/>
      <c r="B787" s="569"/>
      <c r="C787" s="247"/>
      <c r="D787" s="569"/>
      <c r="E787" s="247"/>
      <c r="F787" s="569"/>
      <c r="G787" s="247"/>
      <c r="H787" s="569"/>
      <c r="I787" s="569"/>
      <c r="J787" s="569"/>
      <c r="K787" s="247"/>
    </row>
    <row r="788" spans="1:11" ht="9.9499999999999993" customHeight="1" x14ac:dyDescent="0.2">
      <c r="A788" s="569"/>
      <c r="B788" s="569"/>
      <c r="C788" s="247"/>
      <c r="D788" s="569"/>
      <c r="E788" s="247"/>
      <c r="F788" s="569"/>
      <c r="G788" s="247"/>
      <c r="H788" s="569"/>
      <c r="I788" s="569"/>
      <c r="J788" s="569"/>
      <c r="K788" s="247"/>
    </row>
    <row r="789" spans="1:11" ht="9.9499999999999993" customHeight="1" x14ac:dyDescent="0.2">
      <c r="A789" s="569"/>
      <c r="B789" s="569"/>
      <c r="C789" s="247"/>
      <c r="D789" s="569"/>
      <c r="E789" s="247"/>
      <c r="F789" s="569"/>
      <c r="G789" s="247"/>
      <c r="H789" s="569"/>
      <c r="I789" s="569"/>
      <c r="J789" s="569"/>
      <c r="K789" s="247"/>
    </row>
    <row r="790" spans="1:11" ht="9.9499999999999993" customHeight="1" x14ac:dyDescent="0.2">
      <c r="A790" s="569"/>
      <c r="B790" s="569"/>
      <c r="C790" s="247"/>
      <c r="D790" s="569"/>
      <c r="E790" s="247"/>
      <c r="F790" s="569"/>
      <c r="G790" s="247"/>
      <c r="H790" s="569"/>
      <c r="I790" s="569"/>
      <c r="J790" s="569"/>
      <c r="K790" s="247"/>
    </row>
    <row r="791" spans="1:11" ht="9.9499999999999993" customHeight="1" x14ac:dyDescent="0.2">
      <c r="A791" s="569"/>
      <c r="B791" s="569"/>
      <c r="C791" s="247"/>
      <c r="D791" s="569"/>
      <c r="E791" s="247"/>
      <c r="F791" s="569"/>
      <c r="G791" s="247"/>
      <c r="H791" s="569"/>
      <c r="I791" s="569"/>
      <c r="J791" s="569"/>
      <c r="K791" s="247"/>
    </row>
    <row r="792" spans="1:11" ht="9.9499999999999993" customHeight="1" x14ac:dyDescent="0.2">
      <c r="A792" s="569"/>
      <c r="B792" s="569"/>
      <c r="C792" s="247"/>
      <c r="D792" s="569"/>
      <c r="E792" s="247"/>
      <c r="F792" s="569"/>
      <c r="G792" s="247"/>
      <c r="H792" s="569"/>
      <c r="I792" s="569"/>
      <c r="J792" s="569"/>
      <c r="K792" s="247"/>
    </row>
    <row r="793" spans="1:11" ht="9.9499999999999993" customHeight="1" x14ac:dyDescent="0.2">
      <c r="A793" s="569"/>
      <c r="B793" s="569"/>
      <c r="C793" s="247"/>
      <c r="D793" s="569"/>
      <c r="E793" s="247"/>
      <c r="F793" s="569"/>
      <c r="G793" s="247"/>
      <c r="H793" s="569"/>
      <c r="I793" s="569"/>
      <c r="J793" s="569"/>
      <c r="K793" s="247"/>
    </row>
    <row r="794" spans="1:11" ht="9.9499999999999993" customHeight="1" x14ac:dyDescent="0.2">
      <c r="A794" s="569"/>
      <c r="B794" s="569"/>
      <c r="C794" s="247"/>
      <c r="D794" s="569"/>
      <c r="E794" s="247"/>
      <c r="F794" s="569"/>
      <c r="G794" s="247"/>
      <c r="H794" s="569"/>
      <c r="I794" s="569"/>
      <c r="J794" s="569"/>
      <c r="K794" s="247"/>
    </row>
    <row r="795" spans="1:11" ht="9.9499999999999993" customHeight="1" x14ac:dyDescent="0.2">
      <c r="A795" s="569"/>
      <c r="B795" s="569"/>
      <c r="C795" s="247"/>
      <c r="D795" s="569"/>
      <c r="E795" s="247"/>
      <c r="F795" s="569"/>
      <c r="G795" s="247"/>
      <c r="H795" s="569"/>
      <c r="I795" s="569"/>
      <c r="J795" s="569"/>
      <c r="K795" s="247"/>
    </row>
    <row r="796" spans="1:11" ht="9.9499999999999993" customHeight="1" x14ac:dyDescent="0.2">
      <c r="A796" s="569"/>
      <c r="B796" s="569"/>
      <c r="C796" s="247"/>
      <c r="D796" s="569"/>
      <c r="E796" s="247"/>
      <c r="F796" s="569"/>
      <c r="G796" s="247"/>
      <c r="H796" s="569"/>
      <c r="I796" s="569"/>
      <c r="J796" s="569"/>
      <c r="K796" s="247"/>
    </row>
    <row r="797" spans="1:11" ht="9.9499999999999993" customHeight="1" x14ac:dyDescent="0.2">
      <c r="A797" s="569"/>
      <c r="B797" s="569"/>
      <c r="C797" s="247"/>
      <c r="D797" s="569"/>
      <c r="E797" s="247"/>
      <c r="F797" s="569"/>
      <c r="G797" s="247"/>
      <c r="H797" s="569"/>
      <c r="I797" s="569"/>
      <c r="J797" s="569"/>
      <c r="K797" s="247"/>
    </row>
    <row r="798" spans="1:11" ht="9.9499999999999993" customHeight="1" x14ac:dyDescent="0.2">
      <c r="A798" s="569"/>
      <c r="B798" s="569"/>
      <c r="C798" s="247"/>
      <c r="D798" s="569"/>
      <c r="E798" s="247"/>
      <c r="F798" s="569"/>
      <c r="G798" s="247"/>
      <c r="H798" s="569"/>
      <c r="I798" s="569"/>
      <c r="J798" s="569"/>
      <c r="K798" s="247"/>
    </row>
    <row r="799" spans="1:11" ht="9.9499999999999993" customHeight="1" x14ac:dyDescent="0.2">
      <c r="A799" s="569"/>
      <c r="B799" s="569"/>
      <c r="C799" s="247"/>
      <c r="D799" s="569"/>
      <c r="E799" s="247"/>
      <c r="F799" s="569"/>
      <c r="G799" s="247"/>
      <c r="H799" s="569"/>
      <c r="I799" s="569"/>
      <c r="J799" s="569"/>
      <c r="K799" s="247"/>
    </row>
    <row r="800" spans="1:11" ht="9.9499999999999993" customHeight="1" x14ac:dyDescent="0.2">
      <c r="A800" s="569"/>
      <c r="B800" s="569"/>
      <c r="C800" s="247"/>
      <c r="D800" s="569"/>
      <c r="E800" s="247"/>
      <c r="F800" s="569"/>
      <c r="G800" s="247"/>
      <c r="H800" s="569"/>
      <c r="I800" s="569"/>
      <c r="J800" s="569"/>
      <c r="K800" s="247"/>
    </row>
    <row r="801" spans="1:11" ht="9.9499999999999993" customHeight="1" x14ac:dyDescent="0.2">
      <c r="A801" s="569"/>
      <c r="B801" s="569"/>
      <c r="C801" s="247"/>
      <c r="D801" s="569"/>
      <c r="E801" s="247"/>
      <c r="F801" s="569"/>
      <c r="G801" s="247"/>
      <c r="H801" s="569"/>
      <c r="I801" s="569"/>
      <c r="J801" s="569"/>
      <c r="K801" s="247"/>
    </row>
    <row r="802" spans="1:11" ht="9.9499999999999993" customHeight="1" x14ac:dyDescent="0.2">
      <c r="A802" s="569"/>
      <c r="B802" s="569"/>
      <c r="C802" s="247"/>
      <c r="D802" s="569"/>
      <c r="E802" s="247"/>
      <c r="F802" s="569"/>
      <c r="G802" s="247"/>
      <c r="H802" s="569"/>
      <c r="I802" s="569"/>
      <c r="J802" s="569"/>
      <c r="K802" s="247"/>
    </row>
    <row r="803" spans="1:11" ht="9.9499999999999993" customHeight="1" x14ac:dyDescent="0.2">
      <c r="A803" s="569"/>
      <c r="B803" s="569"/>
      <c r="C803" s="247"/>
      <c r="D803" s="569"/>
      <c r="E803" s="247"/>
      <c r="F803" s="569"/>
      <c r="G803" s="247"/>
      <c r="H803" s="569"/>
      <c r="I803" s="569"/>
      <c r="J803" s="569"/>
      <c r="K803" s="247"/>
    </row>
    <row r="804" spans="1:11" ht="9.9499999999999993" customHeight="1" x14ac:dyDescent="0.2">
      <c r="A804" s="569"/>
      <c r="B804" s="569"/>
      <c r="C804" s="247"/>
      <c r="D804" s="569"/>
      <c r="E804" s="247"/>
      <c r="F804" s="569"/>
      <c r="G804" s="247"/>
      <c r="H804" s="569"/>
      <c r="I804" s="569"/>
      <c r="J804" s="569"/>
      <c r="K804" s="247"/>
    </row>
    <row r="805" spans="1:11" ht="9.9499999999999993" customHeight="1" x14ac:dyDescent="0.2">
      <c r="A805" s="569"/>
      <c r="B805" s="569"/>
      <c r="C805" s="247"/>
      <c r="D805" s="569"/>
      <c r="E805" s="247"/>
      <c r="F805" s="569"/>
      <c r="G805" s="247"/>
      <c r="H805" s="569"/>
      <c r="I805" s="569"/>
      <c r="J805" s="569"/>
      <c r="K805" s="247"/>
    </row>
    <row r="806" spans="1:11" ht="9.9499999999999993" customHeight="1" x14ac:dyDescent="0.2">
      <c r="A806" s="569"/>
      <c r="B806" s="569"/>
      <c r="C806" s="247"/>
      <c r="D806" s="569"/>
      <c r="E806" s="247"/>
      <c r="F806" s="569"/>
      <c r="G806" s="247"/>
      <c r="H806" s="569"/>
      <c r="I806" s="569"/>
      <c r="J806" s="569"/>
      <c r="K806" s="247"/>
    </row>
    <row r="807" spans="1:11" ht="9.9499999999999993" customHeight="1" x14ac:dyDescent="0.2">
      <c r="A807" s="569"/>
      <c r="B807" s="569"/>
      <c r="C807" s="247"/>
      <c r="D807" s="569"/>
      <c r="E807" s="247"/>
      <c r="F807" s="569"/>
      <c r="G807" s="247"/>
      <c r="H807" s="569"/>
      <c r="I807" s="569"/>
      <c r="J807" s="569"/>
      <c r="K807" s="247"/>
    </row>
    <row r="808" spans="1:11" ht="9.9499999999999993" customHeight="1" x14ac:dyDescent="0.2">
      <c r="A808" s="569"/>
      <c r="B808" s="569"/>
      <c r="C808" s="247"/>
      <c r="D808" s="569"/>
      <c r="E808" s="247"/>
      <c r="F808" s="569"/>
      <c r="G808" s="247"/>
      <c r="H808" s="569"/>
      <c r="I808" s="569"/>
      <c r="J808" s="569"/>
      <c r="K808" s="247"/>
    </row>
    <row r="809" spans="1:11" ht="9.9499999999999993" customHeight="1" x14ac:dyDescent="0.2">
      <c r="A809" s="569"/>
      <c r="B809" s="569"/>
      <c r="C809" s="247"/>
      <c r="D809" s="569"/>
      <c r="E809" s="247"/>
      <c r="F809" s="569"/>
      <c r="G809" s="247"/>
      <c r="H809" s="569"/>
      <c r="I809" s="569"/>
      <c r="J809" s="569"/>
      <c r="K809" s="247"/>
    </row>
    <row r="810" spans="1:11" ht="9.9499999999999993" customHeight="1" x14ac:dyDescent="0.2">
      <c r="A810" s="569"/>
      <c r="B810" s="569"/>
      <c r="C810" s="247"/>
      <c r="D810" s="569"/>
      <c r="E810" s="247"/>
      <c r="F810" s="569"/>
      <c r="G810" s="247"/>
      <c r="H810" s="569"/>
      <c r="I810" s="569"/>
      <c r="J810" s="569"/>
      <c r="K810" s="247"/>
    </row>
    <row r="811" spans="1:11" ht="9.9499999999999993" customHeight="1" x14ac:dyDescent="0.2">
      <c r="A811" s="569"/>
      <c r="B811" s="569"/>
      <c r="C811" s="247"/>
      <c r="D811" s="569"/>
      <c r="E811" s="247"/>
      <c r="F811" s="569"/>
      <c r="G811" s="247"/>
      <c r="H811" s="569"/>
      <c r="I811" s="569"/>
      <c r="J811" s="569"/>
      <c r="K811" s="247"/>
    </row>
    <row r="812" spans="1:11" ht="9.9499999999999993" customHeight="1" x14ac:dyDescent="0.2">
      <c r="A812" s="569"/>
      <c r="B812" s="569"/>
      <c r="C812" s="247"/>
      <c r="D812" s="569"/>
      <c r="E812" s="247"/>
      <c r="F812" s="569"/>
      <c r="G812" s="247"/>
      <c r="H812" s="569"/>
      <c r="I812" s="569"/>
      <c r="J812" s="569"/>
      <c r="K812" s="247"/>
    </row>
    <row r="813" spans="1:11" ht="9.9499999999999993" customHeight="1" x14ac:dyDescent="0.2">
      <c r="A813" s="569"/>
      <c r="B813" s="569"/>
      <c r="C813" s="247"/>
      <c r="D813" s="569"/>
      <c r="E813" s="247"/>
      <c r="F813" s="569"/>
      <c r="G813" s="247"/>
      <c r="H813" s="569"/>
      <c r="I813" s="569"/>
      <c r="J813" s="569"/>
      <c r="K813" s="247"/>
    </row>
    <row r="814" spans="1:11" ht="9.9499999999999993" customHeight="1" x14ac:dyDescent="0.2">
      <c r="A814" s="569"/>
      <c r="B814" s="569"/>
      <c r="C814" s="247"/>
      <c r="D814" s="569"/>
      <c r="E814" s="247"/>
      <c r="F814" s="569"/>
      <c r="G814" s="247"/>
      <c r="H814" s="569"/>
      <c r="I814" s="569"/>
      <c r="J814" s="569"/>
      <c r="K814" s="247"/>
    </row>
    <row r="815" spans="1:11" ht="9.9499999999999993" customHeight="1" x14ac:dyDescent="0.2">
      <c r="A815" s="569"/>
      <c r="B815" s="569"/>
      <c r="C815" s="247"/>
      <c r="D815" s="569"/>
      <c r="E815" s="247"/>
      <c r="F815" s="569"/>
      <c r="G815" s="247"/>
      <c r="H815" s="569"/>
      <c r="I815" s="569"/>
      <c r="J815" s="569"/>
      <c r="K815" s="247"/>
    </row>
    <row r="816" spans="1:11" ht="9.9499999999999993" customHeight="1" x14ac:dyDescent="0.2">
      <c r="A816" s="569"/>
      <c r="B816" s="569"/>
      <c r="C816" s="247"/>
      <c r="D816" s="569"/>
      <c r="E816" s="247"/>
      <c r="F816" s="569"/>
      <c r="G816" s="247"/>
      <c r="H816" s="569"/>
      <c r="I816" s="569"/>
      <c r="J816" s="569"/>
      <c r="K816" s="247"/>
    </row>
    <row r="817" spans="1:11" ht="9.9499999999999993" customHeight="1" x14ac:dyDescent="0.2">
      <c r="A817" s="569"/>
      <c r="B817" s="569"/>
      <c r="C817" s="247"/>
      <c r="D817" s="569"/>
      <c r="E817" s="247"/>
      <c r="F817" s="569"/>
      <c r="G817" s="247"/>
      <c r="H817" s="569"/>
      <c r="I817" s="569"/>
      <c r="J817" s="569"/>
      <c r="K817" s="247"/>
    </row>
    <row r="818" spans="1:11" ht="9.9499999999999993" customHeight="1" x14ac:dyDescent="0.2">
      <c r="A818" s="569"/>
      <c r="B818" s="569"/>
      <c r="C818" s="247"/>
      <c r="D818" s="569"/>
      <c r="E818" s="247"/>
      <c r="F818" s="569"/>
      <c r="G818" s="247"/>
      <c r="H818" s="569"/>
      <c r="I818" s="569"/>
      <c r="J818" s="569"/>
      <c r="K818" s="247"/>
    </row>
    <row r="819" spans="1:11" ht="9.9499999999999993" customHeight="1" x14ac:dyDescent="0.2">
      <c r="A819" s="569"/>
      <c r="B819" s="569"/>
      <c r="C819" s="247"/>
      <c r="D819" s="569"/>
      <c r="E819" s="247"/>
      <c r="F819" s="569"/>
      <c r="G819" s="247"/>
      <c r="H819" s="569"/>
      <c r="I819" s="569"/>
      <c r="J819" s="569"/>
      <c r="K819" s="247"/>
    </row>
    <row r="820" spans="1:11" ht="9.9499999999999993" customHeight="1" x14ac:dyDescent="0.2">
      <c r="A820" s="569"/>
      <c r="B820" s="569"/>
      <c r="C820" s="247"/>
      <c r="D820" s="569"/>
      <c r="E820" s="247"/>
      <c r="F820" s="569"/>
      <c r="G820" s="247"/>
      <c r="H820" s="569"/>
      <c r="I820" s="569"/>
      <c r="J820" s="569"/>
      <c r="K820" s="247"/>
    </row>
    <row r="821" spans="1:11" ht="9.9499999999999993" customHeight="1" x14ac:dyDescent="0.2">
      <c r="A821" s="569"/>
      <c r="B821" s="569"/>
      <c r="C821" s="247"/>
      <c r="D821" s="569"/>
      <c r="E821" s="247"/>
      <c r="F821" s="569"/>
      <c r="G821" s="247"/>
      <c r="H821" s="569"/>
      <c r="I821" s="569"/>
      <c r="J821" s="569"/>
      <c r="K821" s="247"/>
    </row>
    <row r="822" spans="1:11" ht="9.9499999999999993" customHeight="1" x14ac:dyDescent="0.2">
      <c r="A822" s="569"/>
      <c r="B822" s="569"/>
      <c r="C822" s="247"/>
      <c r="D822" s="569"/>
      <c r="E822" s="247"/>
      <c r="F822" s="569"/>
      <c r="G822" s="247"/>
      <c r="H822" s="569"/>
      <c r="I822" s="569"/>
      <c r="J822" s="569"/>
      <c r="K822" s="247"/>
    </row>
    <row r="823" spans="1:11" ht="9.9499999999999993" customHeight="1" x14ac:dyDescent="0.2">
      <c r="A823" s="569"/>
      <c r="B823" s="569"/>
      <c r="C823" s="247"/>
      <c r="D823" s="569"/>
      <c r="E823" s="247"/>
      <c r="F823" s="569"/>
      <c r="G823" s="247"/>
      <c r="H823" s="569"/>
      <c r="I823" s="569"/>
      <c r="J823" s="569"/>
      <c r="K823" s="247"/>
    </row>
    <row r="824" spans="1:11" ht="9.9499999999999993" customHeight="1" x14ac:dyDescent="0.2">
      <c r="A824" s="569"/>
      <c r="B824" s="569"/>
      <c r="C824" s="247"/>
      <c r="D824" s="569"/>
      <c r="E824" s="247"/>
      <c r="F824" s="569"/>
      <c r="G824" s="247"/>
      <c r="H824" s="569"/>
      <c r="I824" s="569"/>
      <c r="J824" s="569"/>
      <c r="K824" s="247"/>
    </row>
    <row r="825" spans="1:11" ht="9.9499999999999993" customHeight="1" x14ac:dyDescent="0.2">
      <c r="A825" s="569"/>
      <c r="B825" s="569"/>
      <c r="C825" s="247"/>
      <c r="D825" s="569"/>
      <c r="E825" s="247"/>
      <c r="F825" s="569"/>
      <c r="G825" s="247"/>
      <c r="H825" s="569"/>
      <c r="I825" s="569"/>
      <c r="J825" s="569"/>
      <c r="K825" s="247"/>
    </row>
    <row r="826" spans="1:11" ht="9.9499999999999993" customHeight="1" x14ac:dyDescent="0.2">
      <c r="A826" s="569"/>
      <c r="B826" s="569"/>
      <c r="C826" s="247"/>
      <c r="D826" s="569"/>
      <c r="E826" s="247"/>
      <c r="F826" s="569"/>
      <c r="G826" s="247"/>
      <c r="H826" s="569"/>
      <c r="I826" s="569"/>
      <c r="J826" s="569"/>
      <c r="K826" s="247"/>
    </row>
    <row r="827" spans="1:11" ht="9.9499999999999993" customHeight="1" x14ac:dyDescent="0.2">
      <c r="A827" s="569"/>
      <c r="B827" s="569"/>
      <c r="C827" s="247"/>
      <c r="D827" s="569"/>
      <c r="E827" s="247"/>
      <c r="F827" s="569"/>
      <c r="G827" s="247"/>
      <c r="H827" s="569"/>
      <c r="I827" s="569"/>
      <c r="J827" s="569"/>
      <c r="K827" s="247"/>
    </row>
    <row r="828" spans="1:11" ht="9.9499999999999993" customHeight="1" x14ac:dyDescent="0.2">
      <c r="A828" s="569"/>
      <c r="B828" s="569"/>
      <c r="C828" s="247"/>
      <c r="D828" s="569"/>
      <c r="E828" s="247"/>
      <c r="F828" s="569"/>
      <c r="G828" s="247"/>
      <c r="H828" s="569"/>
      <c r="I828" s="569"/>
      <c r="J828" s="569"/>
      <c r="K828" s="247"/>
    </row>
    <row r="829" spans="1:11" ht="9.9499999999999993" customHeight="1" x14ac:dyDescent="0.2">
      <c r="A829" s="569"/>
      <c r="B829" s="569"/>
      <c r="C829" s="247"/>
      <c r="D829" s="569"/>
      <c r="E829" s="247"/>
      <c r="F829" s="569"/>
      <c r="G829" s="247"/>
      <c r="H829" s="569"/>
      <c r="I829" s="569"/>
      <c r="J829" s="569"/>
      <c r="K829" s="247"/>
    </row>
    <row r="830" spans="1:11" ht="9.9499999999999993" customHeight="1" x14ac:dyDescent="0.2">
      <c r="A830" s="569"/>
      <c r="B830" s="569"/>
      <c r="C830" s="247"/>
      <c r="D830" s="569"/>
      <c r="E830" s="247"/>
      <c r="F830" s="569"/>
      <c r="G830" s="247"/>
      <c r="H830" s="569"/>
      <c r="I830" s="569"/>
      <c r="J830" s="569"/>
      <c r="K830" s="247"/>
    </row>
  </sheetData>
  <mergeCells count="2">
    <mergeCell ref="A1:K1"/>
    <mergeCell ref="A4:G4"/>
  </mergeCells>
  <phoneticPr fontId="9" type="noConversion"/>
  <printOptions horizontalCentered="1"/>
  <pageMargins left="0.5" right="0.5" top="0.5" bottom="0.625" header="0.5" footer="0.5"/>
  <pageSetup scale="84"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3">
    <tabColor theme="6" tint="0.39997558519241921"/>
  </sheetPr>
  <dimension ref="A1:II221"/>
  <sheetViews>
    <sheetView view="pageBreakPreview" zoomScaleNormal="100" zoomScaleSheetLayoutView="100" workbookViewId="0">
      <pane xSplit="1" ySplit="11" topLeftCell="B77" activePane="bottomRight" state="frozen"/>
      <selection activeCell="Z13" activeCellId="3" sqref="Z18 Z17 Z15 Z13"/>
      <selection pane="topRight" activeCell="Z13" activeCellId="3" sqref="Z18 Z17 Z15 Z13"/>
      <selection pane="bottomLeft" activeCell="Z13" activeCellId="3" sqref="Z18 Z17 Z15 Z13"/>
      <selection pane="bottomRight" activeCell="A102" sqref="A102"/>
    </sheetView>
  </sheetViews>
  <sheetFormatPr defaultColWidth="9.140625" defaultRowHeight="12.75" x14ac:dyDescent="0.2"/>
  <cols>
    <col min="1" max="1" width="41.7109375" style="434" customWidth="1"/>
    <col min="2" max="2" width="1.5703125" style="434" customWidth="1"/>
    <col min="3" max="3" width="17.5703125" style="437" customWidth="1"/>
    <col min="4" max="4" width="1.5703125" style="437" customWidth="1"/>
    <col min="5" max="5" width="17.5703125" style="437" customWidth="1"/>
    <col min="6" max="6" width="1.5703125" style="437" customWidth="1"/>
    <col min="7" max="7" width="17.5703125" style="437" customWidth="1"/>
    <col min="8" max="8" width="1.5703125" style="437" customWidth="1"/>
    <col min="9" max="9" width="17.5703125" style="437" customWidth="1"/>
    <col min="10" max="10" width="1.5703125" style="437" customWidth="1"/>
    <col min="11" max="11" width="17.5703125" style="437" customWidth="1"/>
    <col min="12" max="12" width="1.5703125" style="437" customWidth="1"/>
    <col min="13" max="13" width="17.5703125" style="437" customWidth="1"/>
    <col min="14" max="14" width="1.5703125" style="437" customWidth="1"/>
    <col min="15" max="15" width="17.5703125" style="437" customWidth="1"/>
    <col min="16" max="16" width="37.85546875" style="202" customWidth="1"/>
    <col min="17" max="16384" width="9.140625" style="202"/>
  </cols>
  <sheetData>
    <row r="1" spans="1:17" s="462" customFormat="1" ht="16.5" customHeight="1" thickBot="1" x14ac:dyDescent="0.25">
      <c r="A1" s="1582" t="s">
        <v>1033</v>
      </c>
      <c r="B1" s="1582"/>
      <c r="C1" s="1582"/>
      <c r="D1" s="1582"/>
      <c r="E1" s="1582"/>
      <c r="F1" s="1582"/>
      <c r="G1" s="1582"/>
      <c r="H1" s="1582"/>
      <c r="I1" s="1582"/>
      <c r="J1" s="1582"/>
      <c r="K1" s="1582"/>
      <c r="L1" s="1582"/>
      <c r="M1" s="1582"/>
      <c r="N1" s="1582"/>
      <c r="O1" s="1582"/>
    </row>
    <row r="2" spans="1:17" s="531" customFormat="1" ht="15" customHeight="1" x14ac:dyDescent="0.2">
      <c r="A2" s="700" t="s">
        <v>1118</v>
      </c>
      <c r="C2" s="722"/>
      <c r="D2" s="722"/>
      <c r="E2" s="722"/>
      <c r="F2" s="722"/>
      <c r="G2" s="722"/>
      <c r="H2" s="722"/>
      <c r="I2" s="722"/>
      <c r="J2" s="722"/>
      <c r="K2" s="722"/>
      <c r="L2" s="722"/>
      <c r="M2" s="722"/>
      <c r="N2" s="722"/>
      <c r="O2" s="722"/>
    </row>
    <row r="3" spans="1:17" s="531" customFormat="1" ht="15" customHeight="1" x14ac:dyDescent="0.2">
      <c r="A3" s="700" t="s">
        <v>1714</v>
      </c>
      <c r="C3" s="722"/>
      <c r="D3" s="722"/>
      <c r="E3" s="722"/>
      <c r="F3" s="722"/>
      <c r="G3" s="722"/>
      <c r="H3" s="722"/>
      <c r="I3" s="722"/>
      <c r="J3" s="722"/>
      <c r="K3" s="722"/>
      <c r="L3" s="722"/>
      <c r="M3" s="722"/>
      <c r="N3" s="722"/>
      <c r="O3" s="722"/>
    </row>
    <row r="4" spans="1:17" s="532" customFormat="1" ht="12.95" customHeight="1" x14ac:dyDescent="0.2">
      <c r="A4" s="506" t="s">
        <v>1724</v>
      </c>
      <c r="C4" s="733"/>
      <c r="D4" s="733"/>
      <c r="E4" s="733"/>
      <c r="F4" s="506"/>
      <c r="G4" s="506"/>
      <c r="H4" s="733"/>
      <c r="I4" s="733"/>
      <c r="J4" s="733"/>
      <c r="K4" s="733"/>
      <c r="L4" s="733"/>
      <c r="M4" s="733"/>
      <c r="N4" s="733"/>
      <c r="O4" s="733"/>
    </row>
    <row r="5" spans="1:17" s="253" customFormat="1" ht="12" customHeight="1" x14ac:dyDescent="0.2">
      <c r="A5" s="253" t="s">
        <v>972</v>
      </c>
      <c r="B5" s="725"/>
      <c r="C5" s="725"/>
    </row>
    <row r="6" spans="1:17" s="314" customFormat="1" ht="12.6" customHeight="1" x14ac:dyDescent="0.2">
      <c r="A6" s="394"/>
      <c r="B6" s="247"/>
      <c r="C6" s="465"/>
      <c r="D6" s="465"/>
      <c r="E6" s="465"/>
      <c r="F6" s="465"/>
      <c r="G6" s="465"/>
      <c r="H6" s="465"/>
      <c r="I6" s="465"/>
      <c r="J6" s="465"/>
      <c r="K6" s="465"/>
      <c r="L6" s="465"/>
      <c r="M6" s="465"/>
      <c r="N6" s="465"/>
      <c r="O6" s="465"/>
    </row>
    <row r="7" spans="1:17" s="470" customFormat="1" ht="12.6" customHeight="1" x14ac:dyDescent="0.2">
      <c r="A7" s="310"/>
      <c r="B7" s="310"/>
      <c r="C7" s="1576" t="s">
        <v>600</v>
      </c>
      <c r="D7" s="1576"/>
      <c r="E7" s="1576"/>
      <c r="F7" s="1576"/>
      <c r="G7" s="1576"/>
      <c r="H7" s="467"/>
      <c r="I7" s="467"/>
      <c r="J7" s="467"/>
      <c r="K7" s="467"/>
      <c r="L7" s="467"/>
      <c r="N7" s="467"/>
      <c r="O7" s="467"/>
    </row>
    <row r="8" spans="1:17" s="470" customFormat="1" ht="12.6" customHeight="1" x14ac:dyDescent="0.2">
      <c r="A8" s="310"/>
      <c r="B8" s="310"/>
      <c r="C8" s="310"/>
      <c r="D8" s="310"/>
      <c r="E8" s="310"/>
      <c r="F8" s="310"/>
      <c r="G8" s="310"/>
      <c r="H8" s="467"/>
      <c r="I8" s="467"/>
      <c r="J8" s="467"/>
      <c r="K8" s="467"/>
      <c r="L8" s="467"/>
      <c r="N8" s="467"/>
      <c r="O8" s="467"/>
    </row>
    <row r="9" spans="1:17" s="470" customFormat="1" ht="12.6" customHeight="1" x14ac:dyDescent="0.2">
      <c r="A9" s="310"/>
      <c r="B9" s="310"/>
      <c r="C9" s="467" t="s">
        <v>326</v>
      </c>
      <c r="D9" s="467"/>
      <c r="E9" s="336"/>
      <c r="F9" s="467"/>
      <c r="G9" s="467"/>
      <c r="H9" s="467"/>
      <c r="I9" s="468"/>
      <c r="J9" s="467"/>
      <c r="K9" s="467" t="s">
        <v>256</v>
      </c>
      <c r="L9" s="467"/>
      <c r="M9" s="467" t="s">
        <v>861</v>
      </c>
      <c r="N9" s="467"/>
      <c r="O9" s="467" t="s">
        <v>671</v>
      </c>
    </row>
    <row r="10" spans="1:17" s="470" customFormat="1" ht="12.6" customHeight="1" x14ac:dyDescent="0.2">
      <c r="A10" s="310"/>
      <c r="B10" s="310"/>
      <c r="C10" s="467" t="s">
        <v>306</v>
      </c>
      <c r="D10" s="467"/>
      <c r="E10" s="310" t="s">
        <v>325</v>
      </c>
      <c r="F10" s="467"/>
      <c r="G10" s="467" t="s">
        <v>328</v>
      </c>
      <c r="I10" s="467" t="s">
        <v>335</v>
      </c>
      <c r="J10" s="467"/>
      <c r="K10" s="467" t="s">
        <v>58</v>
      </c>
      <c r="L10" s="467"/>
      <c r="M10" s="467" t="s">
        <v>228</v>
      </c>
      <c r="N10" s="467"/>
      <c r="O10" s="467" t="s">
        <v>58</v>
      </c>
    </row>
    <row r="11" spans="1:17" s="470" customFormat="1" ht="12.6" customHeight="1" x14ac:dyDescent="0.2">
      <c r="A11" s="310"/>
      <c r="B11" s="310"/>
      <c r="C11" s="471" t="s">
        <v>327</v>
      </c>
      <c r="D11" s="467"/>
      <c r="E11" s="574" t="s">
        <v>232</v>
      </c>
      <c r="F11" s="467"/>
      <c r="G11" s="471" t="s">
        <v>329</v>
      </c>
      <c r="I11" s="471" t="s">
        <v>838</v>
      </c>
      <c r="J11" s="467"/>
      <c r="K11" s="471" t="s">
        <v>838</v>
      </c>
      <c r="L11" s="467"/>
      <c r="M11" s="471" t="s">
        <v>838</v>
      </c>
      <c r="N11" s="467"/>
      <c r="O11" s="471" t="s">
        <v>977</v>
      </c>
    </row>
    <row r="12" spans="1:17" s="439" customFormat="1" ht="9.9499999999999993" customHeight="1" x14ac:dyDescent="0.2">
      <c r="A12" s="480" t="s">
        <v>672</v>
      </c>
      <c r="B12" s="418"/>
      <c r="C12" s="438"/>
      <c r="D12" s="438"/>
      <c r="E12" s="438"/>
      <c r="F12" s="438"/>
      <c r="G12" s="438"/>
      <c r="H12" s="438"/>
      <c r="I12" s="438"/>
      <c r="J12" s="438"/>
      <c r="K12" s="438"/>
      <c r="L12" s="438"/>
      <c r="M12" s="438"/>
      <c r="N12" s="438"/>
      <c r="O12" s="438"/>
    </row>
    <row r="13" spans="1:17" s="439" customFormat="1" ht="9.9499999999999993" customHeight="1" x14ac:dyDescent="0.2">
      <c r="A13" s="701" t="s">
        <v>61</v>
      </c>
      <c r="B13" s="418"/>
      <c r="C13" s="438"/>
      <c r="D13" s="438"/>
      <c r="E13" s="438"/>
      <c r="F13" s="438"/>
      <c r="G13" s="438"/>
      <c r="H13" s="438"/>
      <c r="I13" s="438"/>
      <c r="J13" s="438"/>
      <c r="K13" s="438"/>
      <c r="L13" s="438"/>
      <c r="M13" s="450"/>
      <c r="N13" s="438"/>
      <c r="O13" s="438"/>
    </row>
    <row r="14" spans="1:17" s="439" customFormat="1" ht="9.9499999999999993" customHeight="1" x14ac:dyDescent="0.2">
      <c r="A14" s="702" t="s">
        <v>373</v>
      </c>
      <c r="B14" s="418"/>
      <c r="C14" s="438"/>
      <c r="D14" s="438"/>
      <c r="E14" s="438"/>
      <c r="F14" s="438"/>
      <c r="G14" s="438"/>
      <c r="H14" s="438"/>
      <c r="I14" s="438"/>
      <c r="J14" s="438"/>
      <c r="K14" s="438"/>
      <c r="L14" s="438"/>
      <c r="M14" s="450"/>
      <c r="N14" s="438"/>
      <c r="O14" s="438"/>
    </row>
    <row r="15" spans="1:17" s="439" customFormat="1" ht="9.9499999999999993" customHeight="1" x14ac:dyDescent="0.2">
      <c r="A15" s="704" t="s">
        <v>673</v>
      </c>
      <c r="B15" s="418"/>
      <c r="C15" s="461">
        <v>8029</v>
      </c>
      <c r="D15" s="448"/>
      <c r="E15" s="461">
        <v>8074</v>
      </c>
      <c r="F15" s="448"/>
      <c r="G15" s="461">
        <v>9444</v>
      </c>
      <c r="H15" s="447"/>
      <c r="I15" s="461">
        <v>2036</v>
      </c>
      <c r="J15" s="448"/>
      <c r="K15" s="1528">
        <v>31059</v>
      </c>
      <c r="L15" s="448"/>
      <c r="M15" s="461">
        <v>218</v>
      </c>
      <c r="N15" s="448"/>
      <c r="O15" s="461">
        <f t="shared" ref="O15:O23" si="0">SUM(C15:M15)</f>
        <v>58860</v>
      </c>
      <c r="Q15" s="461"/>
    </row>
    <row r="16" spans="1:17" s="439" customFormat="1" ht="9.9499999999999993" customHeight="1" x14ac:dyDescent="0.2">
      <c r="A16" s="704" t="s">
        <v>674</v>
      </c>
      <c r="B16" s="418"/>
      <c r="C16" s="450">
        <v>27074</v>
      </c>
      <c r="D16" s="450"/>
      <c r="E16" s="450">
        <v>27457</v>
      </c>
      <c r="F16" s="450"/>
      <c r="G16" s="450">
        <v>32145</v>
      </c>
      <c r="H16" s="450"/>
      <c r="I16" s="450">
        <v>7072</v>
      </c>
      <c r="J16" s="450"/>
      <c r="K16" s="1533">
        <v>104166</v>
      </c>
      <c r="L16" s="450"/>
      <c r="M16" s="450">
        <v>1713</v>
      </c>
      <c r="N16" s="450"/>
      <c r="O16" s="273">
        <f t="shared" si="0"/>
        <v>199627</v>
      </c>
      <c r="P16" s="1053"/>
      <c r="Q16" s="450"/>
    </row>
    <row r="17" spans="1:17" s="439" customFormat="1" ht="9.9499999999999993" customHeight="1" x14ac:dyDescent="0.2">
      <c r="A17" s="704" t="s">
        <v>252</v>
      </c>
      <c r="B17" s="418"/>
      <c r="C17" s="450">
        <v>192</v>
      </c>
      <c r="D17" s="450"/>
      <c r="E17" s="450">
        <v>170</v>
      </c>
      <c r="F17" s="450"/>
      <c r="G17" s="450">
        <v>253</v>
      </c>
      <c r="H17" s="450"/>
      <c r="I17" s="450">
        <v>196</v>
      </c>
      <c r="J17" s="450"/>
      <c r="K17" s="1533">
        <v>843</v>
      </c>
      <c r="L17" s="450"/>
      <c r="M17" s="450">
        <v>11</v>
      </c>
      <c r="N17" s="450">
        <v>-35957</v>
      </c>
      <c r="O17" s="273">
        <f t="shared" si="0"/>
        <v>1665</v>
      </c>
      <c r="Q17" s="450"/>
    </row>
    <row r="18" spans="1:17" s="439" customFormat="1" ht="9.9499999999999993" customHeight="1" x14ac:dyDescent="0.2">
      <c r="A18" s="704" t="s">
        <v>763</v>
      </c>
      <c r="B18" s="418"/>
      <c r="C18" s="450"/>
      <c r="D18" s="450"/>
      <c r="E18" s="450"/>
      <c r="F18" s="450"/>
      <c r="G18" s="450"/>
      <c r="H18" s="450"/>
      <c r="I18" s="450">
        <v>258</v>
      </c>
      <c r="J18" s="450"/>
      <c r="K18" s="1533">
        <v>3295</v>
      </c>
      <c r="L18" s="450"/>
      <c r="M18" s="450"/>
      <c r="N18" s="450"/>
      <c r="O18" s="273">
        <f t="shared" si="0"/>
        <v>3553</v>
      </c>
      <c r="Q18" s="450"/>
    </row>
    <row r="19" spans="1:17" s="439" customFormat="1" ht="9.9499999999999993" customHeight="1" x14ac:dyDescent="0.2">
      <c r="A19" s="704" t="s">
        <v>683</v>
      </c>
      <c r="B19" s="418"/>
      <c r="C19" s="450">
        <v>268</v>
      </c>
      <c r="D19" s="450"/>
      <c r="E19" s="450"/>
      <c r="F19" s="450"/>
      <c r="G19" s="450">
        <v>36</v>
      </c>
      <c r="H19" s="450"/>
      <c r="I19" s="450"/>
      <c r="J19" s="450"/>
      <c r="K19" s="1526"/>
      <c r="L19" s="450"/>
      <c r="M19" s="450"/>
      <c r="N19" s="450"/>
      <c r="O19" s="273">
        <f t="shared" si="0"/>
        <v>304</v>
      </c>
      <c r="Q19" s="450"/>
    </row>
    <row r="20" spans="1:17" s="439" customFormat="1" ht="9.9499999999999993" customHeight="1" x14ac:dyDescent="0.2">
      <c r="A20" s="704" t="s">
        <v>679</v>
      </c>
      <c r="B20" s="418"/>
      <c r="C20" s="450"/>
      <c r="D20" s="450"/>
      <c r="E20" s="450">
        <v>5191</v>
      </c>
      <c r="F20" s="450"/>
      <c r="G20" s="450"/>
      <c r="H20" s="450"/>
      <c r="I20" s="450">
        <v>5258</v>
      </c>
      <c r="J20" s="450"/>
      <c r="K20" s="1533">
        <v>0</v>
      </c>
      <c r="L20" s="450"/>
      <c r="M20" s="450">
        <v>3</v>
      </c>
      <c r="N20" s="450"/>
      <c r="O20" s="273">
        <f t="shared" si="0"/>
        <v>10452</v>
      </c>
      <c r="Q20" s="450"/>
    </row>
    <row r="21" spans="1:17" s="439" customFormat="1" ht="9.9499999999999993" customHeight="1" x14ac:dyDescent="0.2">
      <c r="A21" s="704" t="s">
        <v>1773</v>
      </c>
      <c r="B21" s="418"/>
      <c r="C21" s="450"/>
      <c r="D21" s="450"/>
      <c r="E21" s="450"/>
      <c r="F21" s="450"/>
      <c r="G21" s="450"/>
      <c r="H21" s="450"/>
      <c r="I21" s="450">
        <v>140</v>
      </c>
      <c r="J21" s="450"/>
      <c r="K21" s="1533">
        <v>145</v>
      </c>
      <c r="L21" s="450"/>
      <c r="M21" s="450"/>
      <c r="N21" s="450"/>
      <c r="O21" s="273">
        <f t="shared" si="0"/>
        <v>285</v>
      </c>
      <c r="Q21" s="450"/>
    </row>
    <row r="22" spans="1:17" s="439" customFormat="1" ht="9.9499999999999993" hidden="1" customHeight="1" x14ac:dyDescent="0.2">
      <c r="A22" s="427" t="s">
        <v>63</v>
      </c>
      <c r="B22" s="418"/>
      <c r="C22" s="450"/>
      <c r="D22" s="450"/>
      <c r="E22" s="450"/>
      <c r="F22" s="450"/>
      <c r="G22" s="450"/>
      <c r="H22" s="450"/>
      <c r="I22" s="450"/>
      <c r="J22" s="450"/>
      <c r="K22" s="1533">
        <v>0</v>
      </c>
      <c r="L22" s="450"/>
      <c r="M22" s="450"/>
      <c r="N22" s="450"/>
      <c r="O22" s="273">
        <f t="shared" si="0"/>
        <v>0</v>
      </c>
      <c r="Q22" s="450"/>
    </row>
    <row r="23" spans="1:17" s="439" customFormat="1" ht="9.9499999999999993" customHeight="1" x14ac:dyDescent="0.2">
      <c r="A23" s="427" t="s">
        <v>1216</v>
      </c>
      <c r="B23" s="418"/>
      <c r="C23" s="450"/>
      <c r="D23" s="450"/>
      <c r="E23" s="450"/>
      <c r="F23" s="450"/>
      <c r="G23" s="450"/>
      <c r="H23" s="450"/>
      <c r="I23" s="450">
        <v>184</v>
      </c>
      <c r="J23" s="450"/>
      <c r="K23" s="1533">
        <v>101</v>
      </c>
      <c r="L23" s="450"/>
      <c r="M23" s="450"/>
      <c r="N23" s="450"/>
      <c r="O23" s="273">
        <f t="shared" si="0"/>
        <v>285</v>
      </c>
      <c r="Q23" s="450"/>
    </row>
    <row r="24" spans="1:17" s="439" customFormat="1" ht="5.0999999999999996" customHeight="1" x14ac:dyDescent="0.2">
      <c r="A24" s="418"/>
      <c r="B24" s="418"/>
      <c r="C24" s="452"/>
      <c r="D24" s="450"/>
      <c r="E24" s="452"/>
      <c r="F24" s="450"/>
      <c r="G24" s="452"/>
      <c r="H24" s="450"/>
      <c r="I24" s="452"/>
      <c r="J24" s="450"/>
      <c r="K24" s="1532"/>
      <c r="L24" s="450"/>
      <c r="M24" s="452"/>
      <c r="N24" s="450"/>
      <c r="O24" s="452"/>
      <c r="Q24" s="452"/>
    </row>
    <row r="25" spans="1:17" s="439" customFormat="1" ht="11.1" customHeight="1" x14ac:dyDescent="0.2">
      <c r="A25" s="708" t="s">
        <v>757</v>
      </c>
      <c r="B25" s="418"/>
      <c r="C25" s="455">
        <f>SUM(C15:C23)</f>
        <v>35563</v>
      </c>
      <c r="D25" s="450"/>
      <c r="E25" s="455">
        <f>SUM(E15:E23)</f>
        <v>40892</v>
      </c>
      <c r="F25" s="450"/>
      <c r="G25" s="455">
        <f>SUM(G15:G23)</f>
        <v>41878</v>
      </c>
      <c r="H25" s="450"/>
      <c r="I25" s="455">
        <f>SUM(I15:I23)</f>
        <v>15144</v>
      </c>
      <c r="J25" s="450"/>
      <c r="K25" s="1525">
        <f>SUM(K15:K23)</f>
        <v>139609</v>
      </c>
      <c r="L25" s="450"/>
      <c r="M25" s="455">
        <f>SUM(M15:M23)</f>
        <v>1945</v>
      </c>
      <c r="N25" s="450"/>
      <c r="O25" s="455">
        <f>SUM(O15:O23)</f>
        <v>275031</v>
      </c>
      <c r="Q25" s="455"/>
    </row>
    <row r="26" spans="1:17" s="439" customFormat="1" ht="5.0999999999999996" customHeight="1" x14ac:dyDescent="0.2">
      <c r="A26" s="418"/>
      <c r="B26" s="418"/>
      <c r="C26" s="450"/>
      <c r="D26" s="450"/>
      <c r="E26" s="450"/>
      <c r="F26" s="450"/>
      <c r="G26" s="450"/>
      <c r="H26" s="450"/>
      <c r="I26" s="450"/>
      <c r="J26" s="450"/>
      <c r="K26" s="1533"/>
      <c r="L26" s="450"/>
      <c r="M26" s="450"/>
      <c r="N26" s="450"/>
      <c r="O26" s="450"/>
      <c r="Q26" s="450"/>
    </row>
    <row r="27" spans="1:17" s="318" customFormat="1" ht="9.9499999999999993" customHeight="1" x14ac:dyDescent="0.2">
      <c r="A27" s="702" t="s">
        <v>71</v>
      </c>
      <c r="B27" s="324"/>
      <c r="C27" s="324"/>
      <c r="D27" s="481"/>
      <c r="E27" s="273"/>
      <c r="F27" s="481"/>
      <c r="G27" s="324"/>
      <c r="H27" s="273"/>
      <c r="I27" s="273">
        <v>0</v>
      </c>
      <c r="J27" s="273"/>
      <c r="K27" s="1231"/>
      <c r="L27" s="323"/>
      <c r="M27" s="702"/>
      <c r="N27" s="324"/>
    </row>
    <row r="28" spans="1:17" s="318" customFormat="1" ht="9.9499999999999993" customHeight="1" x14ac:dyDescent="0.2">
      <c r="A28" s="704" t="s">
        <v>72</v>
      </c>
      <c r="B28" s="324"/>
      <c r="C28" s="324"/>
      <c r="D28" s="481"/>
      <c r="E28" s="273"/>
      <c r="F28" s="481"/>
      <c r="G28" s="324"/>
      <c r="H28" s="324"/>
      <c r="I28" s="324"/>
      <c r="J28" s="324"/>
      <c r="K28" s="1529"/>
      <c r="L28" s="323"/>
      <c r="M28" s="704"/>
      <c r="N28" s="324"/>
    </row>
    <row r="29" spans="1:17" s="492" customFormat="1" ht="9.9499999999999993" customHeight="1" x14ac:dyDescent="0.2">
      <c r="A29" s="706" t="s">
        <v>673</v>
      </c>
      <c r="B29" s="324"/>
      <c r="C29" s="488"/>
      <c r="D29" s="450"/>
      <c r="E29" s="273"/>
      <c r="F29" s="450"/>
      <c r="G29" s="450"/>
      <c r="H29" s="450"/>
      <c r="I29" s="450"/>
      <c r="J29" s="273"/>
      <c r="K29" s="1232">
        <v>74</v>
      </c>
      <c r="L29" s="254"/>
      <c r="M29" s="706"/>
      <c r="N29" s="488"/>
      <c r="O29" s="273">
        <f t="shared" ref="O29:O33" si="1">SUM(C29:M29)</f>
        <v>74</v>
      </c>
    </row>
    <row r="30" spans="1:17" s="492" customFormat="1" ht="9.9499999999999993" customHeight="1" x14ac:dyDescent="0.2">
      <c r="A30" s="706" t="s">
        <v>674</v>
      </c>
      <c r="B30" s="324"/>
      <c r="C30" s="488"/>
      <c r="D30" s="450"/>
      <c r="E30" s="273"/>
      <c r="F30" s="450"/>
      <c r="G30" s="450"/>
      <c r="H30" s="450"/>
      <c r="I30" s="450"/>
      <c r="J30" s="273"/>
      <c r="K30" s="1232">
        <v>4</v>
      </c>
      <c r="L30" s="254"/>
      <c r="M30" s="706"/>
      <c r="N30" s="488"/>
      <c r="O30" s="273">
        <f t="shared" si="1"/>
        <v>4</v>
      </c>
    </row>
    <row r="31" spans="1:17" s="492" customFormat="1" ht="9.9499999999999993" customHeight="1" x14ac:dyDescent="0.2">
      <c r="A31" s="704" t="s">
        <v>73</v>
      </c>
      <c r="B31" s="324"/>
      <c r="C31" s="488"/>
      <c r="D31" s="450"/>
      <c r="E31" s="273"/>
      <c r="F31" s="450"/>
      <c r="G31" s="450"/>
      <c r="H31" s="450"/>
      <c r="I31" s="450"/>
      <c r="J31" s="273"/>
      <c r="K31" s="1232"/>
      <c r="L31" s="254"/>
      <c r="M31" s="706"/>
      <c r="N31" s="488"/>
      <c r="O31" s="273">
        <f t="shared" si="1"/>
        <v>0</v>
      </c>
    </row>
    <row r="32" spans="1:17" s="492" customFormat="1" ht="9.9499999999999993" customHeight="1" x14ac:dyDescent="0.2">
      <c r="A32" s="706" t="s">
        <v>673</v>
      </c>
      <c r="B32" s="324"/>
      <c r="C32" s="488"/>
      <c r="D32" s="450"/>
      <c r="E32" s="273"/>
      <c r="F32" s="450"/>
      <c r="G32" s="450"/>
      <c r="H32" s="450"/>
      <c r="I32" s="450"/>
      <c r="J32" s="273"/>
      <c r="K32" s="1232">
        <v>34</v>
      </c>
      <c r="L32" s="254"/>
      <c r="M32" s="706"/>
      <c r="N32" s="488"/>
      <c r="O32" s="273">
        <f t="shared" si="1"/>
        <v>34</v>
      </c>
    </row>
    <row r="33" spans="1:243" s="492" customFormat="1" ht="9.9499999999999993" customHeight="1" x14ac:dyDescent="0.2">
      <c r="A33" s="706" t="s">
        <v>674</v>
      </c>
      <c r="B33" s="324"/>
      <c r="C33" s="488"/>
      <c r="D33" s="450"/>
      <c r="E33" s="273"/>
      <c r="F33" s="450"/>
      <c r="G33" s="450"/>
      <c r="H33" s="450"/>
      <c r="I33" s="450"/>
      <c r="J33" s="273"/>
      <c r="K33" s="1232">
        <v>116</v>
      </c>
      <c r="L33" s="254"/>
      <c r="M33" s="706"/>
      <c r="N33" s="488"/>
      <c r="O33" s="273">
        <f t="shared" si="1"/>
        <v>116</v>
      </c>
    </row>
    <row r="34" spans="1:243" s="439" customFormat="1" ht="5.0999999999999996" customHeight="1" x14ac:dyDescent="0.2">
      <c r="A34" s="418"/>
      <c r="B34" s="418"/>
      <c r="C34" s="452"/>
      <c r="D34" s="450"/>
      <c r="E34" s="452"/>
      <c r="F34" s="450"/>
      <c r="G34" s="452"/>
      <c r="H34" s="450"/>
      <c r="I34" s="452"/>
      <c r="J34" s="450"/>
      <c r="K34" s="1532"/>
      <c r="L34" s="450"/>
      <c r="M34" s="452"/>
      <c r="N34" s="450"/>
      <c r="O34" s="452"/>
      <c r="Q34" s="452"/>
    </row>
    <row r="35" spans="1:243" s="318" customFormat="1" ht="9.9499999999999993" customHeight="1" x14ac:dyDescent="0.2">
      <c r="A35" s="708" t="s">
        <v>76</v>
      </c>
      <c r="B35" s="273"/>
      <c r="C35" s="273">
        <f>SUM(C28:C33)</f>
        <v>0</v>
      </c>
      <c r="D35" s="362"/>
      <c r="E35" s="273">
        <f>SUM(E28:E33)</f>
        <v>0</v>
      </c>
      <c r="F35" s="362"/>
      <c r="G35" s="273">
        <f>SUM(G28:G33)</f>
        <v>0</v>
      </c>
      <c r="H35" s="362"/>
      <c r="I35" s="273">
        <f>SUM(I28:I33)</f>
        <v>0</v>
      </c>
      <c r="J35" s="362"/>
      <c r="K35" s="1232">
        <f>SUM(K28:K33)</f>
        <v>228</v>
      </c>
      <c r="L35" s="362"/>
      <c r="M35" s="273">
        <f>SUM(M28:M33)</f>
        <v>0</v>
      </c>
      <c r="N35" s="362"/>
      <c r="O35" s="273">
        <f>SUM(O28:O33)</f>
        <v>228</v>
      </c>
    </row>
    <row r="36" spans="1:243" s="318" customFormat="1" ht="5.0999999999999996" customHeight="1" x14ac:dyDescent="0.2">
      <c r="A36" s="253"/>
      <c r="B36" s="273"/>
      <c r="C36" s="340"/>
      <c r="D36" s="362"/>
      <c r="E36" s="340"/>
      <c r="F36" s="362"/>
      <c r="G36" s="340"/>
      <c r="H36" s="362"/>
      <c r="I36" s="340"/>
      <c r="J36" s="362"/>
      <c r="K36" s="1234"/>
      <c r="L36" s="362"/>
      <c r="M36" s="340"/>
      <c r="N36" s="362"/>
      <c r="O36" s="340"/>
    </row>
    <row r="37" spans="1:243" s="318" customFormat="1" ht="9.9499999999999993" customHeight="1" x14ac:dyDescent="0.2">
      <c r="A37" s="707" t="s">
        <v>64</v>
      </c>
      <c r="B37" s="273"/>
      <c r="C37" s="273">
        <f>+C25+C35</f>
        <v>35563</v>
      </c>
      <c r="D37" s="362"/>
      <c r="E37" s="273">
        <f>+E25+E35</f>
        <v>40892</v>
      </c>
      <c r="F37" s="362"/>
      <c r="G37" s="273">
        <f>+G25+G35</f>
        <v>41878</v>
      </c>
      <c r="H37" s="362"/>
      <c r="I37" s="273">
        <f>+I25+I35</f>
        <v>15144</v>
      </c>
      <c r="J37" s="362"/>
      <c r="K37" s="1232">
        <f>+K25+K35</f>
        <v>139837</v>
      </c>
      <c r="L37" s="362"/>
      <c r="M37" s="273">
        <f>+M25+M35</f>
        <v>1945</v>
      </c>
      <c r="N37" s="362"/>
      <c r="O37" s="273">
        <f>+O25+O35</f>
        <v>275259</v>
      </c>
    </row>
    <row r="38" spans="1:243" s="439" customFormat="1" ht="5.0999999999999996" customHeight="1" x14ac:dyDescent="0.2">
      <c r="A38" s="418"/>
      <c r="B38" s="418"/>
      <c r="C38" s="452"/>
      <c r="D38" s="450"/>
      <c r="E38" s="452"/>
      <c r="F38" s="450"/>
      <c r="G38" s="452"/>
      <c r="H38" s="450"/>
      <c r="I38" s="340"/>
      <c r="J38" s="450"/>
      <c r="K38" s="1234"/>
      <c r="L38" s="450"/>
      <c r="M38" s="340"/>
      <c r="N38" s="450"/>
      <c r="O38" s="452"/>
      <c r="Q38" s="452"/>
    </row>
    <row r="39" spans="1:243" s="439" customFormat="1" ht="9.9499999999999993" customHeight="1" x14ac:dyDescent="0.2">
      <c r="A39" s="701" t="s">
        <v>70</v>
      </c>
      <c r="B39" s="418"/>
      <c r="C39" s="438"/>
      <c r="D39" s="438"/>
      <c r="E39" s="438"/>
      <c r="F39" s="438"/>
      <c r="G39" s="438"/>
      <c r="H39" s="438"/>
      <c r="I39" s="438"/>
      <c r="J39" s="438"/>
      <c r="K39" s="1543"/>
      <c r="L39" s="438"/>
      <c r="M39" s="450"/>
      <c r="N39" s="438"/>
      <c r="O39" s="438"/>
    </row>
    <row r="40" spans="1:243" s="439" customFormat="1" ht="9.9499999999999993" customHeight="1" x14ac:dyDescent="0.2">
      <c r="A40" s="703" t="s">
        <v>686</v>
      </c>
      <c r="B40" s="418"/>
      <c r="C40" s="450"/>
      <c r="D40" s="450"/>
      <c r="E40" s="450"/>
      <c r="F40" s="450"/>
      <c r="G40" s="450"/>
      <c r="H40" s="450"/>
      <c r="I40" s="450"/>
      <c r="J40" s="450"/>
      <c r="K40" s="1533"/>
      <c r="L40" s="450"/>
      <c r="M40" s="450"/>
      <c r="N40" s="450"/>
      <c r="O40" s="450">
        <f>SUM(E40:I40)</f>
        <v>0</v>
      </c>
      <c r="Q40" s="450"/>
      <c r="II40" s="451">
        <f>SUM(I40:IH40)</f>
        <v>0</v>
      </c>
    </row>
    <row r="41" spans="1:243" s="439" customFormat="1" ht="9.9499999999999993" customHeight="1" x14ac:dyDescent="0.2">
      <c r="A41" s="704" t="s">
        <v>1756</v>
      </c>
      <c r="B41" s="418"/>
      <c r="C41" s="450"/>
      <c r="D41" s="450"/>
      <c r="E41" s="450"/>
      <c r="F41" s="450"/>
      <c r="G41" s="450"/>
      <c r="H41" s="450"/>
      <c r="I41" s="450"/>
      <c r="J41" s="450"/>
      <c r="K41" s="1533"/>
      <c r="L41" s="450"/>
      <c r="M41" s="450"/>
      <c r="N41" s="450"/>
      <c r="O41" s="450"/>
      <c r="Q41" s="450"/>
      <c r="II41" s="451"/>
    </row>
    <row r="42" spans="1:243" s="439" customFormat="1" ht="9.9499999999999993" hidden="1" customHeight="1" x14ac:dyDescent="0.2">
      <c r="A42" s="704" t="s">
        <v>77</v>
      </c>
      <c r="B42" s="418"/>
      <c r="C42" s="450"/>
      <c r="D42" s="450"/>
      <c r="E42" s="450"/>
      <c r="F42" s="450"/>
      <c r="G42" s="450"/>
      <c r="H42" s="450"/>
      <c r="I42" s="450"/>
      <c r="J42" s="450"/>
      <c r="K42" s="1533"/>
      <c r="L42" s="450"/>
      <c r="M42" s="450"/>
      <c r="N42" s="450"/>
      <c r="O42" s="273">
        <f t="shared" ref="O42" si="2">SUM(C42:M42)</f>
        <v>0</v>
      </c>
      <c r="Q42" s="450"/>
      <c r="II42" s="451"/>
    </row>
    <row r="43" spans="1:243" s="439" customFormat="1" ht="9.9499999999999993" customHeight="1" x14ac:dyDescent="0.2">
      <c r="A43" s="706" t="s">
        <v>994</v>
      </c>
      <c r="B43" s="418"/>
      <c r="C43" s="450"/>
      <c r="D43" s="450"/>
      <c r="E43" s="450"/>
      <c r="F43" s="450"/>
      <c r="G43" s="450"/>
      <c r="H43" s="450"/>
      <c r="I43" s="450">
        <v>21</v>
      </c>
      <c r="J43" s="450"/>
      <c r="K43" s="1232">
        <v>158</v>
      </c>
      <c r="L43" s="450"/>
      <c r="M43" s="450"/>
      <c r="N43" s="450"/>
      <c r="O43" s="273">
        <f>SUM(C43:M43)</f>
        <v>179</v>
      </c>
      <c r="Q43" s="450"/>
      <c r="II43" s="451">
        <f>SUM(I43:IH43)</f>
        <v>358</v>
      </c>
    </row>
    <row r="44" spans="1:243" s="439" customFormat="1" ht="9.9499999999999993" customHeight="1" x14ac:dyDescent="0.2">
      <c r="A44" s="706" t="s">
        <v>975</v>
      </c>
      <c r="B44" s="418"/>
      <c r="C44" s="450"/>
      <c r="D44" s="450"/>
      <c r="E44" s="450"/>
      <c r="F44" s="450"/>
      <c r="G44" s="450"/>
      <c r="H44" s="450"/>
      <c r="I44" s="450">
        <v>0</v>
      </c>
      <c r="J44" s="450"/>
      <c r="K44" s="1232">
        <v>715</v>
      </c>
      <c r="L44" s="450"/>
      <c r="M44" s="450"/>
      <c r="N44" s="450"/>
      <c r="O44" s="273">
        <f t="shared" ref="O44:O48" si="3">SUM(C44:M44)</f>
        <v>715</v>
      </c>
      <c r="Q44" s="450"/>
    </row>
    <row r="45" spans="1:243" s="439" customFormat="1" ht="9.9499999999999993" customHeight="1" x14ac:dyDescent="0.2">
      <c r="A45" s="706" t="s">
        <v>995</v>
      </c>
      <c r="B45" s="418"/>
      <c r="C45" s="450"/>
      <c r="D45" s="450"/>
      <c r="E45" s="450">
        <v>10</v>
      </c>
      <c r="F45" s="450"/>
      <c r="G45" s="450">
        <v>50</v>
      </c>
      <c r="H45" s="450"/>
      <c r="I45" s="450">
        <v>6924</v>
      </c>
      <c r="J45" s="450"/>
      <c r="K45" s="1232">
        <v>395230</v>
      </c>
      <c r="L45" s="450"/>
      <c r="M45" s="450">
        <v>408</v>
      </c>
      <c r="N45" s="450"/>
      <c r="O45" s="273">
        <f t="shared" si="3"/>
        <v>402622</v>
      </c>
      <c r="Q45" s="450"/>
    </row>
    <row r="46" spans="1:243" s="439" customFormat="1" ht="12" customHeight="1" x14ac:dyDescent="0.2">
      <c r="A46" s="706" t="s">
        <v>1096</v>
      </c>
      <c r="B46" s="418"/>
      <c r="C46" s="450"/>
      <c r="D46" s="450"/>
      <c r="E46" s="450"/>
      <c r="F46" s="450"/>
      <c r="G46" s="450"/>
      <c r="H46" s="450"/>
      <c r="I46" s="450"/>
      <c r="J46" s="450"/>
      <c r="K46" s="1533"/>
      <c r="L46" s="450"/>
      <c r="M46" s="450">
        <v>250</v>
      </c>
      <c r="N46" s="450"/>
      <c r="O46" s="273">
        <f t="shared" si="3"/>
        <v>250</v>
      </c>
      <c r="Q46" s="450"/>
    </row>
    <row r="47" spans="1:243" s="439" customFormat="1" ht="12" hidden="1" customHeight="1" x14ac:dyDescent="0.2">
      <c r="A47" s="706" t="s">
        <v>1322</v>
      </c>
      <c r="B47" s="418"/>
      <c r="C47" s="450"/>
      <c r="D47" s="450"/>
      <c r="E47" s="450"/>
      <c r="F47" s="450"/>
      <c r="G47" s="450"/>
      <c r="H47" s="450"/>
      <c r="I47" s="450"/>
      <c r="J47" s="450"/>
      <c r="K47" s="1533"/>
      <c r="L47" s="450"/>
      <c r="M47" s="450"/>
      <c r="N47" s="450"/>
      <c r="O47" s="273">
        <f t="shared" si="3"/>
        <v>0</v>
      </c>
      <c r="Q47" s="450"/>
    </row>
    <row r="48" spans="1:243" s="439" customFormat="1" ht="9.9499999999999993" hidden="1" customHeight="1" x14ac:dyDescent="0.2">
      <c r="A48" s="706" t="s">
        <v>993</v>
      </c>
      <c r="B48" s="418"/>
      <c r="C48" s="450"/>
      <c r="D48" s="450"/>
      <c r="E48" s="450"/>
      <c r="F48" s="450"/>
      <c r="G48" s="450"/>
      <c r="H48" s="450"/>
      <c r="I48" s="450"/>
      <c r="J48" s="450"/>
      <c r="K48" s="1533"/>
      <c r="L48" s="450"/>
      <c r="M48" s="450"/>
      <c r="N48" s="450"/>
      <c r="O48" s="273">
        <f t="shared" si="3"/>
        <v>0</v>
      </c>
      <c r="Q48" s="450"/>
    </row>
    <row r="49" spans="1:17" s="439" customFormat="1" ht="9.9499999999999993" customHeight="1" x14ac:dyDescent="0.2">
      <c r="A49" s="706" t="s">
        <v>996</v>
      </c>
      <c r="B49" s="418"/>
      <c r="C49" s="450">
        <f>SUM(C42:C48)</f>
        <v>0</v>
      </c>
      <c r="D49" s="450"/>
      <c r="E49" s="450">
        <v>10</v>
      </c>
      <c r="F49" s="450"/>
      <c r="G49" s="450">
        <v>49</v>
      </c>
      <c r="H49" s="450"/>
      <c r="I49" s="450">
        <v>6879</v>
      </c>
      <c r="J49" s="450"/>
      <c r="K49" s="1533">
        <v>252744</v>
      </c>
      <c r="L49" s="450"/>
      <c r="M49" s="450">
        <v>527</v>
      </c>
      <c r="N49" s="450"/>
      <c r="O49" s="273">
        <f t="shared" ref="O49" si="4">SUM(C49:M49)</f>
        <v>260209</v>
      </c>
      <c r="Q49" s="452"/>
    </row>
    <row r="50" spans="1:17" ht="5.0999999999999996" customHeight="1" x14ac:dyDescent="0.2">
      <c r="C50" s="1450"/>
      <c r="E50" s="1450"/>
      <c r="G50" s="1450"/>
      <c r="I50" s="1450"/>
      <c r="K50" s="1450"/>
      <c r="M50" s="1450"/>
      <c r="O50" s="1450"/>
    </row>
    <row r="51" spans="1:17" s="439" customFormat="1" ht="9.9499999999999993" customHeight="1" x14ac:dyDescent="0.2">
      <c r="A51" s="704" t="s">
        <v>1755</v>
      </c>
      <c r="B51" s="418"/>
      <c r="C51" s="450">
        <f>SUM(C42:C48)-C49</f>
        <v>0</v>
      </c>
      <c r="D51" s="450"/>
      <c r="E51" s="450">
        <f>SUM(E42:E48)-E49</f>
        <v>0</v>
      </c>
      <c r="F51" s="450"/>
      <c r="G51" s="450">
        <f>SUM(G42:G48)-G49</f>
        <v>1</v>
      </c>
      <c r="H51" s="450"/>
      <c r="I51" s="450">
        <f>SUM(I42:I48)-I49</f>
        <v>66</v>
      </c>
      <c r="J51" s="450"/>
      <c r="K51" s="450">
        <f>SUM(K42:K48)-K49</f>
        <v>143359</v>
      </c>
      <c r="L51" s="450"/>
      <c r="M51" s="450">
        <f>SUM(M42:M48)-M49</f>
        <v>131</v>
      </c>
      <c r="N51" s="450"/>
      <c r="O51" s="450">
        <f>SUM(O42:O48)-O49</f>
        <v>143557</v>
      </c>
      <c r="Q51" s="455"/>
    </row>
    <row r="52" spans="1:17" ht="5.0999999999999996" customHeight="1" x14ac:dyDescent="0.2">
      <c r="C52" s="1450"/>
      <c r="E52" s="1450"/>
      <c r="G52" s="1450"/>
      <c r="I52" s="1450"/>
      <c r="K52" s="1544"/>
      <c r="M52" s="1450"/>
      <c r="O52" s="1450"/>
    </row>
    <row r="53" spans="1:17" s="439" customFormat="1" ht="9.9499999999999993" customHeight="1" x14ac:dyDescent="0.2">
      <c r="A53" s="704" t="s">
        <v>1614</v>
      </c>
      <c r="B53" s="418"/>
      <c r="C53" s="450"/>
      <c r="D53" s="450"/>
      <c r="E53" s="450"/>
      <c r="F53" s="450"/>
      <c r="G53" s="450"/>
      <c r="H53" s="450"/>
      <c r="I53" s="450">
        <v>31597</v>
      </c>
      <c r="J53" s="450"/>
      <c r="K53" s="1533">
        <v>138</v>
      </c>
      <c r="L53" s="450"/>
      <c r="M53" s="450">
        <v>29</v>
      </c>
      <c r="N53" s="450"/>
      <c r="O53" s="273">
        <f t="shared" ref="O53:O54" si="5">SUM(C53:M53)</f>
        <v>31764</v>
      </c>
      <c r="Q53" s="450"/>
    </row>
    <row r="54" spans="1:17" s="439" customFormat="1" ht="9.9499999999999993" customHeight="1" x14ac:dyDescent="0.2">
      <c r="A54" s="706" t="s">
        <v>1585</v>
      </c>
      <c r="B54" s="418"/>
      <c r="C54" s="450"/>
      <c r="D54" s="450"/>
      <c r="E54" s="450"/>
      <c r="F54" s="450"/>
      <c r="G54" s="450"/>
      <c r="H54" s="450"/>
      <c r="I54" s="450">
        <v>4261</v>
      </c>
      <c r="J54" s="450"/>
      <c r="K54" s="1533">
        <v>54</v>
      </c>
      <c r="L54" s="450"/>
      <c r="M54" s="450">
        <v>15</v>
      </c>
      <c r="N54" s="450"/>
      <c r="O54" s="273">
        <f t="shared" si="5"/>
        <v>4330</v>
      </c>
      <c r="Q54" s="450"/>
    </row>
    <row r="55" spans="1:17" s="439" customFormat="1" ht="5.0999999999999996" customHeight="1" x14ac:dyDescent="0.2">
      <c r="A55" s="1339"/>
      <c r="B55" s="418"/>
      <c r="C55" s="452"/>
      <c r="D55" s="450"/>
      <c r="E55" s="452"/>
      <c r="F55" s="450"/>
      <c r="G55" s="452"/>
      <c r="H55" s="450"/>
      <c r="I55" s="452"/>
      <c r="J55" s="450"/>
      <c r="K55" s="1532"/>
      <c r="L55" s="450"/>
      <c r="M55" s="452"/>
      <c r="N55" s="450"/>
      <c r="O55" s="452"/>
      <c r="Q55" s="452"/>
    </row>
    <row r="56" spans="1:17" ht="9.9499999999999993" customHeight="1" x14ac:dyDescent="0.2">
      <c r="A56" s="705" t="s">
        <v>1612</v>
      </c>
      <c r="C56" s="450">
        <f>+C54+C53</f>
        <v>0</v>
      </c>
      <c r="E56" s="450">
        <f t="shared" ref="E56" si="6">+E54+E53</f>
        <v>0</v>
      </c>
      <c r="G56" s="450">
        <f t="shared" ref="G56" si="7">+G54+G53</f>
        <v>0</v>
      </c>
      <c r="I56" s="450">
        <v>27336</v>
      </c>
      <c r="K56" s="1533">
        <f>+K53-K54</f>
        <v>84</v>
      </c>
      <c r="M56" s="450">
        <v>14</v>
      </c>
      <c r="O56" s="450">
        <f t="shared" ref="O56" si="8">+O53-O54</f>
        <v>27434</v>
      </c>
    </row>
    <row r="57" spans="1:17" ht="5.0999999999999996" customHeight="1" x14ac:dyDescent="0.2">
      <c r="A57" s="711"/>
      <c r="C57" s="1552"/>
      <c r="E57" s="1552"/>
      <c r="G57" s="1552"/>
      <c r="I57" s="1552"/>
      <c r="K57" s="1552"/>
      <c r="M57" s="1552"/>
      <c r="O57" s="1552"/>
    </row>
    <row r="58" spans="1:17" s="439" customFormat="1" ht="9.9499999999999993" customHeight="1" x14ac:dyDescent="0.2">
      <c r="A58" s="704" t="s">
        <v>1645</v>
      </c>
      <c r="B58" s="418"/>
      <c r="C58" s="437"/>
      <c r="D58" s="437"/>
      <c r="E58" s="437"/>
      <c r="F58" s="437"/>
      <c r="G58" s="437"/>
      <c r="H58" s="450"/>
      <c r="I58" s="450">
        <v>33707</v>
      </c>
      <c r="J58" s="450"/>
      <c r="K58" s="1533">
        <v>609</v>
      </c>
      <c r="L58" s="450"/>
      <c r="M58" s="450">
        <v>219</v>
      </c>
      <c r="N58" s="450"/>
      <c r="O58" s="273">
        <f t="shared" ref="O58:O59" si="9">SUM(C58:M58)</f>
        <v>34535</v>
      </c>
      <c r="Q58" s="450"/>
    </row>
    <row r="59" spans="1:17" s="439" customFormat="1" ht="9.9499999999999993" customHeight="1" x14ac:dyDescent="0.2">
      <c r="A59" s="706" t="s">
        <v>1585</v>
      </c>
      <c r="B59" s="418"/>
      <c r="C59" s="450"/>
      <c r="D59" s="450"/>
      <c r="E59" s="450"/>
      <c r="F59" s="450"/>
      <c r="G59" s="450"/>
      <c r="H59" s="450"/>
      <c r="I59" s="450">
        <v>9606</v>
      </c>
      <c r="J59" s="450"/>
      <c r="K59" s="1533">
        <v>398</v>
      </c>
      <c r="L59" s="450"/>
      <c r="M59" s="450">
        <v>114</v>
      </c>
      <c r="N59" s="450"/>
      <c r="O59" s="273">
        <f t="shared" si="9"/>
        <v>10118</v>
      </c>
      <c r="Q59" s="450"/>
    </row>
    <row r="60" spans="1:17" s="439" customFormat="1" ht="5.0999999999999996" customHeight="1" x14ac:dyDescent="0.2">
      <c r="A60" s="1339"/>
      <c r="B60" s="418"/>
      <c r="C60" s="452"/>
      <c r="D60" s="450"/>
      <c r="E60" s="452"/>
      <c r="F60" s="450"/>
      <c r="G60" s="452"/>
      <c r="H60" s="450"/>
      <c r="I60" s="452"/>
      <c r="J60" s="450"/>
      <c r="K60" s="1532"/>
      <c r="L60" s="450"/>
      <c r="M60" s="452"/>
      <c r="N60" s="450"/>
      <c r="O60" s="452"/>
      <c r="Q60" s="452"/>
    </row>
    <row r="61" spans="1:17" ht="9.9499999999999993" customHeight="1" x14ac:dyDescent="0.2">
      <c r="A61" s="705" t="s">
        <v>1644</v>
      </c>
      <c r="C61" s="450">
        <f>+C59+C58</f>
        <v>0</v>
      </c>
      <c r="E61" s="450">
        <f t="shared" ref="E61" si="10">+E59+E58</f>
        <v>0</v>
      </c>
      <c r="G61" s="450">
        <f t="shared" ref="G61" si="11">+G59+G58</f>
        <v>0</v>
      </c>
      <c r="I61" s="450">
        <f>+I58-I59</f>
        <v>24101</v>
      </c>
      <c r="K61" s="1533">
        <f>+K58-K59</f>
        <v>211</v>
      </c>
      <c r="M61" s="450">
        <f t="shared" ref="M61" si="12">+M58-M59</f>
        <v>105</v>
      </c>
      <c r="O61" s="450">
        <f t="shared" ref="O61" si="13">+O58-O59</f>
        <v>24417</v>
      </c>
    </row>
    <row r="62" spans="1:17" ht="5.0999999999999996" customHeight="1" x14ac:dyDescent="0.2">
      <c r="C62" s="1450"/>
      <c r="E62" s="1450"/>
      <c r="G62" s="1450"/>
      <c r="I62" s="1450"/>
      <c r="K62" s="1544"/>
      <c r="M62" s="1450"/>
      <c r="O62" s="1450"/>
    </row>
    <row r="63" spans="1:17" s="439" customFormat="1" ht="11.1" customHeight="1" x14ac:dyDescent="0.2">
      <c r="A63" s="703" t="s">
        <v>78</v>
      </c>
      <c r="B63" s="418"/>
      <c r="C63" s="450">
        <f>+C51+C56+C61</f>
        <v>0</v>
      </c>
      <c r="D63" s="450"/>
      <c r="E63" s="455">
        <f>+E51+E56+E61</f>
        <v>0</v>
      </c>
      <c r="F63" s="450"/>
      <c r="G63" s="455">
        <f t="shared" ref="G63" si="14">+G51+G56+G61</f>
        <v>1</v>
      </c>
      <c r="H63" s="450"/>
      <c r="I63" s="455">
        <f t="shared" ref="I63" si="15">+I51+I56+I61</f>
        <v>51503</v>
      </c>
      <c r="J63" s="450"/>
      <c r="K63" s="455">
        <f t="shared" ref="K63" si="16">+K51+K56+K61</f>
        <v>143654</v>
      </c>
      <c r="L63" s="450"/>
      <c r="M63" s="455">
        <f t="shared" ref="M63" si="17">+M51+M56+M61</f>
        <v>250</v>
      </c>
      <c r="N63" s="450"/>
      <c r="O63" s="455">
        <f t="shared" ref="O63" si="18">+O51+O56+O61</f>
        <v>195408</v>
      </c>
      <c r="Q63" s="455"/>
    </row>
    <row r="64" spans="1:17" s="439" customFormat="1" ht="5.0999999999999996" customHeight="1" x14ac:dyDescent="0.2">
      <c r="A64" s="1339"/>
      <c r="B64" s="418"/>
      <c r="C64" s="452"/>
      <c r="D64" s="450"/>
      <c r="E64" s="452"/>
      <c r="F64" s="450"/>
      <c r="G64" s="450"/>
      <c r="H64" s="450"/>
      <c r="I64" s="452"/>
      <c r="J64" s="450"/>
      <c r="K64" s="1532"/>
      <c r="L64" s="450"/>
      <c r="M64" s="452"/>
      <c r="N64" s="450"/>
      <c r="O64" s="452"/>
      <c r="Q64" s="452"/>
    </row>
    <row r="65" spans="1:17" ht="9.9499999999999993" customHeight="1" x14ac:dyDescent="0.2">
      <c r="A65" s="702" t="s">
        <v>1773</v>
      </c>
      <c r="C65" s="1482"/>
      <c r="E65" s="1482"/>
      <c r="G65" s="1482"/>
      <c r="I65" s="450">
        <v>1513</v>
      </c>
      <c r="K65" s="1348">
        <v>40</v>
      </c>
      <c r="M65" s="450"/>
      <c r="O65" s="450">
        <f>SUM(C65:M65)</f>
        <v>1553</v>
      </c>
    </row>
    <row r="66" spans="1:17" ht="5.0999999999999996" customHeight="1" x14ac:dyDescent="0.2">
      <c r="A66" s="1551"/>
      <c r="C66" s="1450"/>
      <c r="E66" s="1450"/>
      <c r="G66" s="1450"/>
      <c r="I66" s="1450"/>
      <c r="K66" s="1450"/>
      <c r="M66" s="1450"/>
      <c r="O66" s="1450"/>
    </row>
    <row r="67" spans="1:17" s="439" customFormat="1" ht="9.9499999999999993" customHeight="1" x14ac:dyDescent="0.2">
      <c r="A67" s="707" t="s">
        <v>976</v>
      </c>
      <c r="B67" s="418"/>
      <c r="C67" s="450">
        <f>+C63+C56+C65+C61</f>
        <v>0</v>
      </c>
      <c r="D67" s="450"/>
      <c r="E67" s="450">
        <f>+E63+E56+E65+E61</f>
        <v>0</v>
      </c>
      <c r="F67" s="450"/>
      <c r="G67" s="450">
        <f>+G63+G65</f>
        <v>1</v>
      </c>
      <c r="H67" s="450"/>
      <c r="I67" s="450">
        <f t="shared" ref="I67" si="19">+I63+I65</f>
        <v>53016</v>
      </c>
      <c r="J67" s="450"/>
      <c r="K67" s="450">
        <f t="shared" ref="K67" si="20">+K63+K65</f>
        <v>143694</v>
      </c>
      <c r="L67" s="450"/>
      <c r="M67" s="450">
        <f t="shared" ref="M67" si="21">+M63+M65</f>
        <v>250</v>
      </c>
      <c r="N67" s="450"/>
      <c r="O67" s="450">
        <f t="shared" ref="O67" si="22">+O63+O65</f>
        <v>196961</v>
      </c>
      <c r="Q67" s="450"/>
    </row>
    <row r="68" spans="1:17" s="439" customFormat="1" ht="5.0999999999999996" customHeight="1" x14ac:dyDescent="0.2">
      <c r="B68" s="418"/>
      <c r="C68" s="452"/>
      <c r="D68" s="450"/>
      <c r="E68" s="452"/>
      <c r="F68" s="450"/>
      <c r="G68" s="452"/>
      <c r="H68" s="450"/>
      <c r="I68" s="452"/>
      <c r="J68" s="450"/>
      <c r="K68" s="1532"/>
      <c r="L68" s="450"/>
      <c r="M68" s="452"/>
      <c r="N68" s="450"/>
      <c r="O68" s="452"/>
      <c r="Q68" s="450"/>
    </row>
    <row r="69" spans="1:17" s="439" customFormat="1" ht="11.1" customHeight="1" x14ac:dyDescent="0.2">
      <c r="A69" s="748" t="s">
        <v>687</v>
      </c>
      <c r="B69" s="418"/>
      <c r="C69" s="455">
        <f>+C37+C67</f>
        <v>35563</v>
      </c>
      <c r="D69" s="450"/>
      <c r="E69" s="455">
        <f t="shared" ref="E69" si="23">+E37+E67</f>
        <v>40892</v>
      </c>
      <c r="F69" s="450"/>
      <c r="G69" s="455">
        <f t="shared" ref="G69" si="24">+G37+G67</f>
        <v>41879</v>
      </c>
      <c r="H69" s="450"/>
      <c r="I69" s="455">
        <f t="shared" ref="I69" si="25">+I37+I67</f>
        <v>68160</v>
      </c>
      <c r="J69" s="450"/>
      <c r="K69" s="455">
        <f t="shared" ref="K69" si="26">+K37+K67</f>
        <v>283531</v>
      </c>
      <c r="L69" s="450"/>
      <c r="M69" s="455">
        <f t="shared" ref="M69" si="27">+M37+M67</f>
        <v>2195</v>
      </c>
      <c r="N69" s="450"/>
      <c r="O69" s="455">
        <f t="shared" ref="O69" si="28">+O37+O67</f>
        <v>472220</v>
      </c>
      <c r="Q69" s="455"/>
    </row>
    <row r="70" spans="1:17" s="439" customFormat="1" ht="5.0999999999999996" customHeight="1" x14ac:dyDescent="0.2">
      <c r="B70" s="418"/>
      <c r="C70" s="450"/>
      <c r="D70" s="450"/>
      <c r="E70" s="452"/>
      <c r="F70" s="450"/>
      <c r="G70" s="450"/>
      <c r="H70" s="450"/>
      <c r="I70" s="452"/>
      <c r="J70" s="450"/>
      <c r="K70" s="1532"/>
      <c r="L70" s="450"/>
      <c r="M70" s="452"/>
      <c r="N70" s="450"/>
      <c r="O70" s="450"/>
      <c r="Q70" s="452"/>
    </row>
    <row r="71" spans="1:17" s="439" customFormat="1" ht="11.1" customHeight="1" x14ac:dyDescent="0.2">
      <c r="A71" s="748" t="s">
        <v>1133</v>
      </c>
      <c r="B71" s="418"/>
      <c r="C71" s="455">
        <v>796</v>
      </c>
      <c r="D71" s="450"/>
      <c r="E71" s="455">
        <v>710</v>
      </c>
      <c r="F71" s="450"/>
      <c r="G71" s="455">
        <v>682</v>
      </c>
      <c r="H71" s="450"/>
      <c r="I71" s="455">
        <v>11678</v>
      </c>
      <c r="J71" s="450"/>
      <c r="K71" s="1525">
        <v>10611</v>
      </c>
      <c r="L71" s="450"/>
      <c r="M71" s="455">
        <v>6299</v>
      </c>
      <c r="N71" s="450"/>
      <c r="O71" s="455">
        <f>SUM(C71:M71)</f>
        <v>30776</v>
      </c>
      <c r="Q71" s="455"/>
    </row>
    <row r="72" spans="1:17" s="439" customFormat="1" ht="5.0999999999999996" customHeight="1" x14ac:dyDescent="0.2">
      <c r="A72" s="748"/>
      <c r="B72" s="418"/>
      <c r="H72" s="450"/>
      <c r="J72" s="450"/>
      <c r="L72" s="450"/>
      <c r="N72" s="450"/>
      <c r="O72" s="450"/>
      <c r="Q72" s="450"/>
    </row>
    <row r="73" spans="1:17" s="314" customFormat="1" ht="12.6" customHeight="1" x14ac:dyDescent="0.2">
      <c r="A73" s="394"/>
      <c r="B73" s="247"/>
      <c r="C73" s="465"/>
      <c r="D73" s="465"/>
      <c r="E73" s="465"/>
      <c r="F73" s="465"/>
      <c r="G73" s="465"/>
      <c r="H73" s="465"/>
      <c r="I73" s="465"/>
      <c r="J73" s="465"/>
      <c r="K73" s="465"/>
      <c r="L73" s="465"/>
      <c r="M73" s="465"/>
      <c r="N73" s="465"/>
      <c r="O73" s="671" t="s">
        <v>1454</v>
      </c>
    </row>
    <row r="74" spans="1:17" s="462" customFormat="1" ht="16.5" customHeight="1" thickBot="1" x14ac:dyDescent="0.25">
      <c r="A74" s="1582" t="s">
        <v>1033</v>
      </c>
      <c r="B74" s="1582"/>
      <c r="C74" s="1582"/>
      <c r="D74" s="1582"/>
      <c r="E74" s="1582"/>
      <c r="F74" s="1582"/>
      <c r="G74" s="1582"/>
      <c r="H74" s="1582"/>
      <c r="I74" s="1582"/>
      <c r="J74" s="1582"/>
      <c r="K74" s="1582"/>
      <c r="L74" s="1582"/>
      <c r="M74" s="1582"/>
      <c r="N74" s="1582"/>
      <c r="O74" s="1582"/>
    </row>
    <row r="75" spans="1:17" s="531" customFormat="1" ht="15" customHeight="1" x14ac:dyDescent="0.2">
      <c r="A75" s="700" t="s">
        <v>1118</v>
      </c>
      <c r="C75" s="722"/>
      <c r="D75" s="722"/>
      <c r="E75" s="722"/>
      <c r="F75" s="722"/>
      <c r="G75" s="722"/>
      <c r="H75" s="722"/>
      <c r="I75" s="722"/>
      <c r="J75" s="722"/>
      <c r="K75" s="722"/>
      <c r="L75" s="722"/>
      <c r="M75" s="722"/>
      <c r="N75" s="722"/>
      <c r="O75" s="722"/>
    </row>
    <row r="76" spans="1:17" s="531" customFormat="1" ht="15" customHeight="1" x14ac:dyDescent="0.2">
      <c r="A76" s="700" t="s">
        <v>1704</v>
      </c>
      <c r="C76" s="722"/>
      <c r="D76" s="722"/>
      <c r="E76" s="722"/>
      <c r="F76" s="722"/>
      <c r="G76" s="722"/>
      <c r="H76" s="722"/>
      <c r="I76" s="722"/>
      <c r="J76" s="722"/>
      <c r="K76" s="722"/>
      <c r="L76" s="722"/>
      <c r="M76" s="722"/>
      <c r="N76" s="722"/>
      <c r="O76" s="722"/>
    </row>
    <row r="77" spans="1:17" s="532" customFormat="1" ht="12.95" customHeight="1" x14ac:dyDescent="0.2">
      <c r="A77" s="506" t="s">
        <v>1724</v>
      </c>
      <c r="C77" s="733"/>
      <c r="D77" s="733"/>
      <c r="E77" s="733"/>
      <c r="F77" s="506"/>
      <c r="G77" s="506"/>
      <c r="H77" s="733"/>
      <c r="I77" s="733"/>
      <c r="J77" s="733"/>
      <c r="K77" s="733"/>
      <c r="L77" s="733"/>
      <c r="M77" s="733"/>
      <c r="N77" s="733"/>
      <c r="O77" s="733"/>
    </row>
    <row r="78" spans="1:17" s="253" customFormat="1" ht="12" customHeight="1" x14ac:dyDescent="0.2">
      <c r="A78" s="253" t="s">
        <v>972</v>
      </c>
      <c r="B78" s="725"/>
      <c r="C78" s="725"/>
    </row>
    <row r="79" spans="1:17" s="314" customFormat="1" ht="12.6" customHeight="1" x14ac:dyDescent="0.2">
      <c r="A79" s="394"/>
      <c r="B79" s="247"/>
      <c r="C79" s="465"/>
      <c r="D79" s="465"/>
      <c r="E79" s="465"/>
      <c r="F79" s="465"/>
      <c r="G79" s="465"/>
      <c r="H79" s="465"/>
      <c r="I79" s="465"/>
      <c r="J79" s="465"/>
      <c r="K79" s="465"/>
      <c r="L79" s="465"/>
      <c r="M79" s="465"/>
      <c r="N79" s="465"/>
      <c r="O79" s="465"/>
    </row>
    <row r="80" spans="1:17" s="470" customFormat="1" ht="12.6" customHeight="1" x14ac:dyDescent="0.2">
      <c r="A80" s="310"/>
      <c r="B80" s="310"/>
      <c r="C80" s="1576" t="s">
        <v>600</v>
      </c>
      <c r="D80" s="1576"/>
      <c r="E80" s="1576"/>
      <c r="F80" s="1576"/>
      <c r="G80" s="1576"/>
      <c r="H80" s="467"/>
      <c r="I80" s="467"/>
      <c r="J80" s="467"/>
      <c r="K80" s="467"/>
      <c r="L80" s="467"/>
      <c r="N80" s="467"/>
      <c r="O80" s="467"/>
    </row>
    <row r="81" spans="1:17" s="470" customFormat="1" ht="12.6" customHeight="1" x14ac:dyDescent="0.2">
      <c r="A81" s="310"/>
      <c r="B81" s="310"/>
      <c r="C81" s="310"/>
      <c r="D81" s="310"/>
      <c r="E81" s="310"/>
      <c r="F81" s="310"/>
      <c r="G81" s="310"/>
      <c r="H81" s="467"/>
      <c r="I81" s="467"/>
      <c r="J81" s="467"/>
      <c r="K81" s="467"/>
      <c r="L81" s="467"/>
      <c r="N81" s="467"/>
      <c r="O81" s="467"/>
    </row>
    <row r="82" spans="1:17" s="470" customFormat="1" ht="12.6" customHeight="1" x14ac:dyDescent="0.2">
      <c r="A82" s="310"/>
      <c r="B82" s="310"/>
      <c r="C82" s="467" t="s">
        <v>326</v>
      </c>
      <c r="D82" s="467"/>
      <c r="E82" s="336"/>
      <c r="F82" s="467"/>
      <c r="G82" s="467"/>
      <c r="H82" s="467"/>
      <c r="I82" s="468"/>
      <c r="J82" s="467"/>
      <c r="K82" s="467" t="s">
        <v>256</v>
      </c>
      <c r="L82" s="467"/>
      <c r="M82" s="467" t="s">
        <v>861</v>
      </c>
      <c r="N82" s="467"/>
      <c r="O82" s="467" t="s">
        <v>671</v>
      </c>
    </row>
    <row r="83" spans="1:17" s="470" customFormat="1" ht="12.6" customHeight="1" x14ac:dyDescent="0.2">
      <c r="A83" s="310"/>
      <c r="B83" s="310"/>
      <c r="C83" s="467" t="s">
        <v>306</v>
      </c>
      <c r="D83" s="467"/>
      <c r="E83" s="310" t="s">
        <v>325</v>
      </c>
      <c r="F83" s="467"/>
      <c r="G83" s="467" t="s">
        <v>328</v>
      </c>
      <c r="I83" s="467" t="s">
        <v>335</v>
      </c>
      <c r="J83" s="467"/>
      <c r="K83" s="467" t="s">
        <v>58</v>
      </c>
      <c r="L83" s="467"/>
      <c r="M83" s="467" t="s">
        <v>228</v>
      </c>
      <c r="N83" s="467"/>
      <c r="O83" s="467" t="s">
        <v>58</v>
      </c>
    </row>
    <row r="84" spans="1:17" s="470" customFormat="1" ht="12.6" customHeight="1" x14ac:dyDescent="0.2">
      <c r="A84" s="310"/>
      <c r="B84" s="310"/>
      <c r="C84" s="471" t="s">
        <v>327</v>
      </c>
      <c r="D84" s="467"/>
      <c r="E84" s="574" t="s">
        <v>232</v>
      </c>
      <c r="F84" s="467"/>
      <c r="G84" s="471" t="s">
        <v>329</v>
      </c>
      <c r="I84" s="471" t="s">
        <v>838</v>
      </c>
      <c r="J84" s="467"/>
      <c r="K84" s="471" t="s">
        <v>838</v>
      </c>
      <c r="L84" s="467"/>
      <c r="M84" s="471" t="s">
        <v>838</v>
      </c>
      <c r="N84" s="467"/>
      <c r="O84" s="471" t="s">
        <v>977</v>
      </c>
    </row>
    <row r="85" spans="1:17" s="439" customFormat="1" ht="9.9499999999999993" customHeight="1" x14ac:dyDescent="0.2">
      <c r="A85" s="322" t="s">
        <v>751</v>
      </c>
      <c r="B85" s="418"/>
      <c r="C85" s="450"/>
      <c r="D85" s="450"/>
      <c r="E85" s="450"/>
      <c r="F85" s="450"/>
      <c r="G85" s="450"/>
      <c r="H85" s="450"/>
      <c r="I85" s="450"/>
      <c r="J85" s="450"/>
      <c r="K85" s="450"/>
      <c r="L85" s="450"/>
      <c r="M85" s="450"/>
      <c r="N85" s="450"/>
      <c r="O85" s="450"/>
      <c r="Q85" s="450"/>
    </row>
    <row r="86" spans="1:17" s="439" customFormat="1" ht="9.9499999999999993" customHeight="1" x14ac:dyDescent="0.2">
      <c r="A86" s="701" t="s">
        <v>80</v>
      </c>
      <c r="B86" s="418"/>
      <c r="C86" s="450"/>
      <c r="D86" s="450"/>
      <c r="E86" s="450"/>
      <c r="F86" s="450"/>
      <c r="G86" s="450"/>
      <c r="H86" s="450"/>
      <c r="I86" s="450"/>
      <c r="J86" s="450"/>
      <c r="K86" s="450"/>
      <c r="L86" s="450"/>
      <c r="M86" s="450"/>
      <c r="N86" s="450"/>
      <c r="O86" s="450"/>
      <c r="Q86" s="450"/>
    </row>
    <row r="87" spans="1:17" s="439" customFormat="1" ht="9.9499999999999993" customHeight="1" x14ac:dyDescent="0.2">
      <c r="A87" s="702" t="s">
        <v>758</v>
      </c>
      <c r="B87" s="418"/>
      <c r="C87" s="450"/>
      <c r="D87" s="450"/>
      <c r="E87" s="450"/>
      <c r="F87" s="450"/>
      <c r="G87" s="450"/>
      <c r="H87" s="450"/>
      <c r="I87" s="450"/>
      <c r="J87" s="450"/>
      <c r="K87" s="450"/>
      <c r="L87" s="450"/>
      <c r="M87" s="450"/>
      <c r="N87" s="450"/>
      <c r="O87" s="450"/>
      <c r="Q87" s="450"/>
    </row>
    <row r="88" spans="1:17" s="907" customFormat="1" ht="9.9499999999999993" customHeight="1" x14ac:dyDescent="0.2">
      <c r="A88" s="703" t="s">
        <v>688</v>
      </c>
      <c r="B88" s="454"/>
      <c r="C88" s="454">
        <v>9866</v>
      </c>
      <c r="D88" s="454"/>
      <c r="E88" s="454">
        <v>1598</v>
      </c>
      <c r="F88" s="454"/>
      <c r="G88" s="454">
        <v>338</v>
      </c>
      <c r="H88" s="346"/>
      <c r="I88" s="1535">
        <v>792</v>
      </c>
      <c r="J88" s="454"/>
      <c r="K88" s="1545">
        <v>5318</v>
      </c>
      <c r="L88" s="454"/>
      <c r="M88" s="1535">
        <v>59</v>
      </c>
      <c r="N88" s="454"/>
      <c r="O88" s="802">
        <f t="shared" ref="O88:O103" si="29">SUM(C88:M88)</f>
        <v>17971</v>
      </c>
      <c r="Q88" s="454"/>
    </row>
    <row r="89" spans="1:17" s="439" customFormat="1" ht="9.9499999999999993" customHeight="1" x14ac:dyDescent="0.2">
      <c r="A89" s="703" t="s">
        <v>847</v>
      </c>
      <c r="B89" s="418"/>
      <c r="C89" s="1216">
        <v>529</v>
      </c>
      <c r="D89" s="1216"/>
      <c r="E89" s="1216">
        <v>364</v>
      </c>
      <c r="F89" s="1216"/>
      <c r="G89" s="1216">
        <v>193</v>
      </c>
      <c r="H89" s="538"/>
      <c r="I89" s="1216">
        <v>1323</v>
      </c>
      <c r="J89" s="533"/>
      <c r="K89" s="1546">
        <v>437</v>
      </c>
      <c r="L89" s="533"/>
      <c r="M89" s="450">
        <v>206</v>
      </c>
      <c r="N89" s="533"/>
      <c r="O89" s="273">
        <f t="shared" si="29"/>
        <v>3052</v>
      </c>
      <c r="P89" s="439">
        <v>124511</v>
      </c>
      <c r="Q89" s="450"/>
    </row>
    <row r="90" spans="1:17" s="439" customFormat="1" ht="9.9499999999999993" customHeight="1" x14ac:dyDescent="0.2">
      <c r="A90" s="703" t="s">
        <v>254</v>
      </c>
      <c r="B90" s="418"/>
      <c r="C90" s="1216">
        <v>10849</v>
      </c>
      <c r="D90" s="1216"/>
      <c r="E90" s="1216">
        <v>11881</v>
      </c>
      <c r="F90" s="1216"/>
      <c r="G90" s="1216">
        <v>7635</v>
      </c>
      <c r="H90" s="538"/>
      <c r="I90" s="1216"/>
      <c r="J90" s="533"/>
      <c r="K90" s="1546"/>
      <c r="L90" s="533"/>
      <c r="M90" s="1216"/>
      <c r="N90" s="533"/>
      <c r="O90" s="273">
        <f t="shared" si="29"/>
        <v>30365</v>
      </c>
      <c r="Q90" s="450"/>
    </row>
    <row r="91" spans="1:17" s="439" customFormat="1" ht="9.9499999999999993" customHeight="1" x14ac:dyDescent="0.2">
      <c r="A91" s="703" t="s">
        <v>690</v>
      </c>
      <c r="B91" s="418"/>
      <c r="C91" s="1216">
        <v>45</v>
      </c>
      <c r="D91" s="1216"/>
      <c r="E91" s="1216">
        <v>50</v>
      </c>
      <c r="F91" s="1216"/>
      <c r="G91" s="1216">
        <v>49</v>
      </c>
      <c r="H91" s="538"/>
      <c r="I91" s="450">
        <v>857</v>
      </c>
      <c r="J91" s="533"/>
      <c r="K91" s="1546">
        <v>722</v>
      </c>
      <c r="L91" s="533"/>
      <c r="M91" s="450">
        <v>429</v>
      </c>
      <c r="N91" s="533"/>
      <c r="O91" s="273">
        <f t="shared" si="29"/>
        <v>2152</v>
      </c>
      <c r="Q91" s="450"/>
    </row>
    <row r="92" spans="1:17" s="439" customFormat="1" ht="9.9499999999999993" customHeight="1" x14ac:dyDescent="0.2">
      <c r="A92" s="703" t="s">
        <v>676</v>
      </c>
      <c r="B92" s="418"/>
      <c r="C92" s="1216"/>
      <c r="D92" s="1216"/>
      <c r="E92" s="1216"/>
      <c r="F92" s="1216"/>
      <c r="G92" s="1216"/>
      <c r="H92" s="538"/>
      <c r="I92" s="1216"/>
      <c r="J92" s="533"/>
      <c r="K92" s="1546">
        <v>34</v>
      </c>
      <c r="L92" s="533"/>
      <c r="M92" s="1216"/>
      <c r="N92" s="533"/>
      <c r="O92" s="273">
        <f t="shared" si="29"/>
        <v>34</v>
      </c>
      <c r="Q92" s="450"/>
    </row>
    <row r="93" spans="1:17" s="439" customFormat="1" ht="9.9499999999999993" hidden="1" customHeight="1" x14ac:dyDescent="0.2">
      <c r="A93" s="1261" t="s">
        <v>1222</v>
      </c>
      <c r="B93" s="418"/>
      <c r="C93" s="1216"/>
      <c r="D93" s="1216"/>
      <c r="E93" s="1216"/>
      <c r="F93" s="1216"/>
      <c r="G93" s="1216"/>
      <c r="H93" s="538"/>
      <c r="I93" s="1216"/>
      <c r="J93" s="533"/>
      <c r="K93" s="1546"/>
      <c r="L93" s="533"/>
      <c r="M93" s="1216"/>
      <c r="N93" s="533"/>
      <c r="O93" s="273">
        <f t="shared" si="29"/>
        <v>0</v>
      </c>
      <c r="Q93" s="450"/>
    </row>
    <row r="94" spans="1:17" s="439" customFormat="1" ht="9.9499999999999993" hidden="1" customHeight="1" x14ac:dyDescent="0.2">
      <c r="A94" s="1069" t="s">
        <v>1223</v>
      </c>
      <c r="B94" s="418"/>
      <c r="C94" s="1216"/>
      <c r="D94" s="1216"/>
      <c r="E94" s="1216"/>
      <c r="F94" s="1216"/>
      <c r="G94" s="1216"/>
      <c r="H94" s="538"/>
      <c r="I94" s="1216"/>
      <c r="J94" s="533"/>
      <c r="K94" s="1546"/>
      <c r="L94" s="533"/>
      <c r="M94" s="1216"/>
      <c r="N94" s="533"/>
      <c r="O94" s="273">
        <f t="shared" si="29"/>
        <v>0</v>
      </c>
      <c r="Q94" s="450"/>
    </row>
    <row r="95" spans="1:17" s="439" customFormat="1" ht="9.9499999999999993" customHeight="1" x14ac:dyDescent="0.2">
      <c r="A95" s="703" t="s">
        <v>850</v>
      </c>
      <c r="B95" s="418"/>
      <c r="C95" s="450">
        <v>121</v>
      </c>
      <c r="D95" s="1216"/>
      <c r="E95" s="450">
        <v>124</v>
      </c>
      <c r="F95" s="1216"/>
      <c r="G95" s="450">
        <v>83</v>
      </c>
      <c r="H95" s="538"/>
      <c r="I95" s="450">
        <v>2139</v>
      </c>
      <c r="J95" s="533"/>
      <c r="K95" s="1546">
        <v>1470</v>
      </c>
      <c r="L95" s="533"/>
      <c r="M95" s="450">
        <v>928</v>
      </c>
      <c r="N95" s="533"/>
      <c r="O95" s="273">
        <f t="shared" si="29"/>
        <v>4865</v>
      </c>
      <c r="Q95" s="450"/>
    </row>
    <row r="96" spans="1:17" s="439" customFormat="1" ht="9.9499999999999993" customHeight="1" x14ac:dyDescent="0.2">
      <c r="A96" s="703" t="s">
        <v>692</v>
      </c>
      <c r="B96" s="418"/>
      <c r="C96" s="1216"/>
      <c r="D96" s="1216"/>
      <c r="E96" s="1216"/>
      <c r="F96" s="1216"/>
      <c r="G96" s="1216"/>
      <c r="H96" s="538"/>
      <c r="I96" s="1216">
        <v>30</v>
      </c>
      <c r="J96" s="646"/>
      <c r="K96" s="1546">
        <v>6</v>
      </c>
      <c r="L96" s="533"/>
      <c r="M96" s="1216"/>
      <c r="N96" s="533"/>
      <c r="O96" s="273">
        <f t="shared" si="29"/>
        <v>36</v>
      </c>
      <c r="Q96" s="450"/>
    </row>
    <row r="97" spans="1:24" s="439" customFormat="1" ht="9.9499999999999993" customHeight="1" x14ac:dyDescent="0.2">
      <c r="A97" s="703" t="s">
        <v>1586</v>
      </c>
      <c r="B97" s="418"/>
      <c r="C97" s="1216"/>
      <c r="D97" s="1216"/>
      <c r="E97" s="1216"/>
      <c r="F97" s="1216"/>
      <c r="G97" s="1216"/>
      <c r="H97" s="450"/>
      <c r="I97" s="1356">
        <v>901</v>
      </c>
      <c r="J97" s="450"/>
      <c r="K97" s="1546">
        <v>20</v>
      </c>
      <c r="L97" s="450"/>
      <c r="M97" s="1216">
        <v>6</v>
      </c>
      <c r="N97" s="450"/>
      <c r="O97" s="273">
        <f t="shared" si="29"/>
        <v>927</v>
      </c>
      <c r="Q97" s="1012"/>
    </row>
    <row r="98" spans="1:24" s="439" customFormat="1" ht="9.9499999999999993" customHeight="1" x14ac:dyDescent="0.2">
      <c r="A98" s="703" t="s">
        <v>1647</v>
      </c>
      <c r="B98" s="418"/>
      <c r="C98" s="1216"/>
      <c r="D98" s="1216"/>
      <c r="E98" s="1216"/>
      <c r="F98" s="1216"/>
      <c r="G98" s="1216"/>
      <c r="H98" s="450"/>
      <c r="I98" s="1356">
        <v>8962</v>
      </c>
      <c r="J98" s="450"/>
      <c r="K98" s="1546">
        <v>110</v>
      </c>
      <c r="L98" s="450"/>
      <c r="M98" s="1216">
        <v>64</v>
      </c>
      <c r="N98" s="450"/>
      <c r="O98" s="273">
        <f t="shared" si="29"/>
        <v>9136</v>
      </c>
      <c r="Q98" s="1012"/>
    </row>
    <row r="99" spans="1:24" s="439" customFormat="1" ht="9.9499999999999993" hidden="1" customHeight="1" x14ac:dyDescent="0.2">
      <c r="A99" s="703" t="s">
        <v>1602</v>
      </c>
      <c r="B99" s="418"/>
      <c r="C99" s="1216"/>
      <c r="D99" s="1216"/>
      <c r="E99" s="1216"/>
      <c r="F99" s="1216"/>
      <c r="G99" s="1216"/>
      <c r="H99" s="450"/>
      <c r="I99" s="1356"/>
      <c r="J99" s="450"/>
      <c r="K99" s="1546"/>
      <c r="L99" s="450"/>
      <c r="M99" s="1216"/>
      <c r="N99" s="450"/>
      <c r="O99" s="273">
        <f t="shared" si="29"/>
        <v>0</v>
      </c>
      <c r="Q99" s="1012"/>
    </row>
    <row r="100" spans="1:24" s="439" customFormat="1" ht="9.9499999999999993" hidden="1" customHeight="1" x14ac:dyDescent="0.2">
      <c r="A100" s="703" t="s">
        <v>1215</v>
      </c>
      <c r="B100" s="418"/>
      <c r="C100" s="450"/>
      <c r="D100" s="450"/>
      <c r="E100" s="450"/>
      <c r="F100" s="450"/>
      <c r="G100" s="450"/>
      <c r="H100" s="450"/>
      <c r="I100" s="1216"/>
      <c r="J100" s="450"/>
      <c r="K100" s="1547"/>
      <c r="L100" s="450"/>
      <c r="M100" s="1012"/>
      <c r="N100" s="450"/>
      <c r="O100" s="273">
        <f t="shared" si="29"/>
        <v>0</v>
      </c>
      <c r="Q100" s="1012"/>
    </row>
    <row r="101" spans="1:24" s="439" customFormat="1" ht="9.9499999999999993" hidden="1" customHeight="1" x14ac:dyDescent="0.2">
      <c r="A101" s="703" t="s">
        <v>1267</v>
      </c>
      <c r="B101" s="418"/>
      <c r="C101" s="450"/>
      <c r="D101" s="450"/>
      <c r="E101" s="450"/>
      <c r="F101" s="450"/>
      <c r="G101" s="450"/>
      <c r="H101" s="450"/>
      <c r="I101" s="1216"/>
      <c r="J101" s="450"/>
      <c r="K101" s="1533">
        <v>0</v>
      </c>
      <c r="L101" s="450"/>
      <c r="M101" s="1012"/>
      <c r="N101" s="450"/>
      <c r="O101" s="273">
        <f t="shared" si="29"/>
        <v>0</v>
      </c>
      <c r="Q101" s="1012"/>
    </row>
    <row r="102" spans="1:24" s="439" customFormat="1" ht="9.9499999999999993" customHeight="1" x14ac:dyDescent="0.2">
      <c r="A102" s="703" t="s">
        <v>1434</v>
      </c>
      <c r="B102" s="418"/>
      <c r="C102" s="450"/>
      <c r="D102" s="450"/>
      <c r="E102" s="450"/>
      <c r="F102" s="450"/>
      <c r="G102" s="450"/>
      <c r="H102" s="450"/>
      <c r="I102" s="1216"/>
      <c r="J102" s="450"/>
      <c r="K102" s="1533">
        <v>263</v>
      </c>
      <c r="L102" s="450"/>
      <c r="M102" s="1012"/>
      <c r="N102" s="450"/>
      <c r="O102" s="273">
        <f t="shared" si="29"/>
        <v>263</v>
      </c>
      <c r="Q102" s="1012"/>
    </row>
    <row r="103" spans="1:24" s="439" customFormat="1" ht="9.9499999999999993" hidden="1" customHeight="1" x14ac:dyDescent="0.2">
      <c r="A103" s="426" t="s">
        <v>604</v>
      </c>
      <c r="B103" s="418"/>
      <c r="C103" s="450"/>
      <c r="D103" s="450"/>
      <c r="E103" s="450"/>
      <c r="F103" s="450"/>
      <c r="G103" s="450"/>
      <c r="H103" s="450"/>
      <c r="I103" s="1218"/>
      <c r="J103" s="450"/>
      <c r="K103" s="1533">
        <v>0</v>
      </c>
      <c r="L103" s="450"/>
      <c r="M103" s="450"/>
      <c r="N103" s="450"/>
      <c r="O103" s="273">
        <f t="shared" si="29"/>
        <v>0</v>
      </c>
      <c r="Q103" s="450"/>
    </row>
    <row r="104" spans="1:24" s="439" customFormat="1" ht="9.9499999999999993" hidden="1" customHeight="1" x14ac:dyDescent="0.2">
      <c r="A104" s="426" t="s">
        <v>593</v>
      </c>
      <c r="B104" s="418"/>
      <c r="C104" s="450"/>
      <c r="D104" s="450"/>
      <c r="E104" s="450"/>
      <c r="F104" s="450"/>
      <c r="G104" s="450"/>
      <c r="H104" s="450"/>
      <c r="I104" s="450"/>
      <c r="J104" s="450"/>
      <c r="K104" s="1533"/>
      <c r="L104" s="450"/>
      <c r="M104" s="450"/>
      <c r="N104" s="450"/>
      <c r="O104" s="273">
        <f t="shared" ref="O104" si="30">SUM(C104:M104)</f>
        <v>0</v>
      </c>
      <c r="Q104" s="450"/>
    </row>
    <row r="105" spans="1:24" s="439" customFormat="1" ht="5.0999999999999996" customHeight="1" x14ac:dyDescent="0.2">
      <c r="A105" s="253"/>
      <c r="B105" s="418"/>
      <c r="C105" s="452"/>
      <c r="D105" s="450"/>
      <c r="E105" s="452"/>
      <c r="F105" s="450"/>
      <c r="G105" s="452"/>
      <c r="H105" s="450"/>
      <c r="I105" s="452"/>
      <c r="J105" s="450"/>
      <c r="K105" s="1532"/>
      <c r="L105" s="450"/>
      <c r="M105" s="452"/>
      <c r="N105" s="450">
        <v>853</v>
      </c>
      <c r="O105" s="452"/>
      <c r="Q105" s="452"/>
    </row>
    <row r="106" spans="1:24" s="439" customFormat="1" ht="11.1" customHeight="1" x14ac:dyDescent="0.2">
      <c r="A106" s="702" t="s">
        <v>759</v>
      </c>
      <c r="B106" s="418"/>
      <c r="C106" s="455">
        <f>SUM(C88:C104)</f>
        <v>21410</v>
      </c>
      <c r="D106" s="450"/>
      <c r="E106" s="455">
        <f>SUM(E88:E104)</f>
        <v>14017</v>
      </c>
      <c r="F106" s="450"/>
      <c r="G106" s="455">
        <f>SUM(G88:G104)</f>
        <v>8298</v>
      </c>
      <c r="H106" s="450"/>
      <c r="I106" s="455">
        <f>SUM(I88:I104)</f>
        <v>15004</v>
      </c>
      <c r="J106" s="450"/>
      <c r="K106" s="1525">
        <f>SUM(K88:K104)</f>
        <v>8380</v>
      </c>
      <c r="L106" s="450"/>
      <c r="M106" s="455">
        <f>SUM(M88:M104)</f>
        <v>1692</v>
      </c>
      <c r="N106" s="450"/>
      <c r="O106" s="455">
        <f>SUM(O88:O104)</f>
        <v>68801</v>
      </c>
      <c r="Q106" s="455"/>
      <c r="T106" s="439">
        <v>188</v>
      </c>
      <c r="V106" s="439">
        <v>437</v>
      </c>
      <c r="X106" s="439">
        <v>6252</v>
      </c>
    </row>
    <row r="107" spans="1:24" s="439" customFormat="1" ht="5.0999999999999996" customHeight="1" x14ac:dyDescent="0.2">
      <c r="A107" s="577"/>
      <c r="B107" s="418"/>
      <c r="C107" s="450"/>
      <c r="D107" s="450"/>
      <c r="E107" s="450"/>
      <c r="F107" s="450"/>
      <c r="G107" s="450"/>
      <c r="H107" s="450"/>
      <c r="I107" s="450"/>
      <c r="J107" s="450"/>
      <c r="K107" s="1533"/>
      <c r="L107" s="450"/>
      <c r="M107" s="450"/>
      <c r="N107" s="450"/>
      <c r="O107" s="450"/>
      <c r="Q107" s="450"/>
    </row>
    <row r="108" spans="1:24" s="439" customFormat="1" ht="11.1" customHeight="1" x14ac:dyDescent="0.2">
      <c r="A108" s="702" t="s">
        <v>27</v>
      </c>
      <c r="B108" s="418"/>
      <c r="C108" s="450"/>
      <c r="D108" s="450"/>
      <c r="E108" s="450"/>
      <c r="F108" s="450"/>
      <c r="G108" s="450"/>
      <c r="H108" s="450"/>
      <c r="I108" s="450"/>
      <c r="J108" s="450"/>
      <c r="K108" s="1533"/>
      <c r="L108" s="450"/>
      <c r="M108" s="450"/>
      <c r="N108" s="450"/>
      <c r="O108" s="450"/>
      <c r="Q108" s="450"/>
    </row>
    <row r="109" spans="1:24" s="439" customFormat="1" ht="11.1" customHeight="1" x14ac:dyDescent="0.2">
      <c r="A109" s="1069" t="s">
        <v>1222</v>
      </c>
      <c r="B109" s="418"/>
      <c r="C109" s="450"/>
      <c r="D109" s="450"/>
      <c r="E109" s="450"/>
      <c r="F109" s="450"/>
      <c r="G109" s="450"/>
      <c r="H109" s="450"/>
      <c r="I109" s="450"/>
      <c r="J109" s="450"/>
      <c r="K109" s="1533"/>
      <c r="L109" s="450"/>
      <c r="M109" s="450"/>
      <c r="N109" s="450"/>
      <c r="O109" s="450"/>
      <c r="Q109" s="450"/>
    </row>
    <row r="110" spans="1:24" s="439" customFormat="1" ht="11.1" customHeight="1" x14ac:dyDescent="0.2">
      <c r="A110" s="1104" t="s">
        <v>1223</v>
      </c>
      <c r="B110" s="418"/>
      <c r="C110" s="450"/>
      <c r="D110" s="450"/>
      <c r="E110" s="450"/>
      <c r="F110" s="450"/>
      <c r="G110" s="450"/>
      <c r="H110" s="450"/>
      <c r="I110" s="450"/>
      <c r="J110" s="450"/>
      <c r="K110" s="1533">
        <v>222</v>
      </c>
      <c r="L110" s="450"/>
      <c r="M110" s="450"/>
      <c r="N110" s="450"/>
      <c r="O110" s="273">
        <f t="shared" ref="O110" si="31">SUM(C110:M110)</f>
        <v>222</v>
      </c>
      <c r="Q110" s="450"/>
    </row>
    <row r="111" spans="1:24" s="439" customFormat="1" ht="5.0999999999999996" customHeight="1" x14ac:dyDescent="0.2">
      <c r="A111" s="577"/>
      <c r="B111" s="418"/>
      <c r="C111" s="452"/>
      <c r="D111" s="450"/>
      <c r="E111" s="452"/>
      <c r="F111" s="450"/>
      <c r="G111" s="452"/>
      <c r="H111" s="450"/>
      <c r="I111" s="452"/>
      <c r="J111" s="450"/>
      <c r="K111" s="1532"/>
      <c r="L111" s="450"/>
      <c r="M111" s="452"/>
      <c r="N111" s="450"/>
      <c r="O111" s="452"/>
      <c r="Q111" s="450"/>
    </row>
    <row r="112" spans="1:24" s="439" customFormat="1" ht="11.1" customHeight="1" x14ac:dyDescent="0.2">
      <c r="A112" s="702" t="s">
        <v>28</v>
      </c>
      <c r="B112" s="418"/>
      <c r="C112" s="450">
        <f>SUM(C109:C110)</f>
        <v>0</v>
      </c>
      <c r="D112" s="450"/>
      <c r="E112" s="450">
        <f>SUM(E109:E110)</f>
        <v>0</v>
      </c>
      <c r="F112" s="450"/>
      <c r="G112" s="450">
        <f>SUM(G109:G110)</f>
        <v>0</v>
      </c>
      <c r="H112" s="450"/>
      <c r="I112" s="450">
        <f>SUM(I109:I110)</f>
        <v>0</v>
      </c>
      <c r="J112" s="450"/>
      <c r="K112" s="1533">
        <f>SUM(K109:K110)</f>
        <v>222</v>
      </c>
      <c r="L112" s="450"/>
      <c r="M112" s="450">
        <f>SUM(M109:M110)</f>
        <v>0</v>
      </c>
      <c r="N112" s="450"/>
      <c r="O112" s="450">
        <f>SUM(O109:O110)</f>
        <v>222</v>
      </c>
      <c r="Q112" s="450"/>
    </row>
    <row r="113" spans="1:17" s="439" customFormat="1" ht="5.0999999999999996" customHeight="1" x14ac:dyDescent="0.2">
      <c r="A113" s="577"/>
      <c r="B113" s="418"/>
      <c r="C113" s="452"/>
      <c r="D113" s="450"/>
      <c r="E113" s="452"/>
      <c r="F113" s="450"/>
      <c r="G113" s="452"/>
      <c r="H113" s="450"/>
      <c r="I113" s="452"/>
      <c r="J113" s="450"/>
      <c r="K113" s="1532"/>
      <c r="L113" s="450"/>
      <c r="M113" s="452"/>
      <c r="N113" s="450"/>
      <c r="O113" s="452"/>
      <c r="Q113" s="450"/>
    </row>
    <row r="114" spans="1:17" s="439" customFormat="1" ht="11.1" customHeight="1" x14ac:dyDescent="0.2">
      <c r="A114" s="707" t="s">
        <v>81</v>
      </c>
      <c r="B114" s="418"/>
      <c r="C114" s="450">
        <f>+C112+C106</f>
        <v>21410</v>
      </c>
      <c r="D114" s="450"/>
      <c r="E114" s="450">
        <f>+E112+E106</f>
        <v>14017</v>
      </c>
      <c r="F114" s="450"/>
      <c r="G114" s="450">
        <f>+G112+G106</f>
        <v>8298</v>
      </c>
      <c r="H114" s="450"/>
      <c r="I114" s="450">
        <f>+I112+I106</f>
        <v>15004</v>
      </c>
      <c r="J114" s="450"/>
      <c r="K114" s="1533">
        <f>+K112+K106</f>
        <v>8602</v>
      </c>
      <c r="L114" s="450"/>
      <c r="M114" s="450">
        <f>+M112+M106</f>
        <v>1692</v>
      </c>
      <c r="N114" s="450"/>
      <c r="O114" s="450">
        <f>+O112+O106</f>
        <v>69023</v>
      </c>
      <c r="Q114" s="450"/>
    </row>
    <row r="115" spans="1:17" s="439" customFormat="1" ht="5.0999999999999996" customHeight="1" x14ac:dyDescent="0.2">
      <c r="A115" s="418"/>
      <c r="B115" s="418"/>
      <c r="C115" s="452"/>
      <c r="D115" s="450"/>
      <c r="E115" s="452"/>
      <c r="F115" s="450"/>
      <c r="G115" s="452"/>
      <c r="H115" s="450"/>
      <c r="I115" s="452"/>
      <c r="J115" s="450"/>
      <c r="K115" s="1532"/>
      <c r="L115" s="450"/>
      <c r="M115" s="452"/>
      <c r="N115" s="450"/>
      <c r="O115" s="452"/>
      <c r="Q115" s="450"/>
    </row>
    <row r="116" spans="1:17" s="439" customFormat="1" ht="9.9499999999999993" customHeight="1" x14ac:dyDescent="0.2">
      <c r="A116" s="701" t="s">
        <v>1038</v>
      </c>
      <c r="B116" s="418"/>
      <c r="C116" s="450"/>
      <c r="D116" s="450"/>
      <c r="E116" s="450"/>
      <c r="F116" s="450"/>
      <c r="G116" s="450"/>
      <c r="H116" s="450"/>
      <c r="I116" s="450"/>
      <c r="J116" s="450"/>
      <c r="K116" s="1533"/>
      <c r="L116" s="450"/>
      <c r="M116" s="450"/>
      <c r="N116" s="450">
        <v>-8</v>
      </c>
      <c r="O116" s="450"/>
      <c r="Q116" s="450"/>
    </row>
    <row r="117" spans="1:17" s="439" customFormat="1" ht="9.9499999999999993" customHeight="1" x14ac:dyDescent="0.2">
      <c r="A117" s="703" t="s">
        <v>1297</v>
      </c>
      <c r="B117" s="418"/>
      <c r="C117" s="450"/>
      <c r="D117" s="450"/>
      <c r="E117" s="450"/>
      <c r="F117" s="450"/>
      <c r="G117" s="450"/>
      <c r="H117" s="450"/>
      <c r="I117" s="450"/>
      <c r="J117" s="450"/>
      <c r="K117" s="1533"/>
      <c r="L117" s="450"/>
      <c r="M117" s="450"/>
      <c r="N117" s="450"/>
      <c r="O117" s="273">
        <f t="shared" ref="O117:O126" si="32">SUM(C117:M117)</f>
        <v>0</v>
      </c>
      <c r="Q117" s="450"/>
    </row>
    <row r="118" spans="1:17" s="439" customFormat="1" ht="9.9499999999999993" customHeight="1" x14ac:dyDescent="0.2">
      <c r="A118" s="704" t="s">
        <v>1296</v>
      </c>
      <c r="B118" s="418"/>
      <c r="C118" s="450"/>
      <c r="D118" s="450"/>
      <c r="E118" s="450"/>
      <c r="F118" s="450"/>
      <c r="G118" s="450"/>
      <c r="H118" s="450"/>
      <c r="I118" s="450"/>
      <c r="J118" s="450"/>
      <c r="K118" s="1533">
        <v>4008</v>
      </c>
      <c r="L118" s="450"/>
      <c r="M118" s="450"/>
      <c r="N118" s="450"/>
      <c r="O118" s="273">
        <f t="shared" ref="O118:O125" si="33">SUM(C118:M118)</f>
        <v>4008</v>
      </c>
      <c r="Q118" s="450"/>
    </row>
    <row r="119" spans="1:17" s="439" customFormat="1" ht="9.9499999999999993" customHeight="1" x14ac:dyDescent="0.2">
      <c r="A119" s="703" t="s">
        <v>1295</v>
      </c>
      <c r="B119" s="418"/>
      <c r="C119" s="450"/>
      <c r="D119" s="450"/>
      <c r="E119" s="450">
        <v>28763</v>
      </c>
      <c r="F119" s="450"/>
      <c r="G119" s="450">
        <v>30654</v>
      </c>
      <c r="H119" s="450"/>
      <c r="I119" s="450"/>
      <c r="J119" s="450"/>
      <c r="K119" s="1533"/>
      <c r="L119" s="450"/>
      <c r="M119" s="450"/>
      <c r="N119" s="450"/>
      <c r="O119" s="273">
        <f t="shared" si="33"/>
        <v>59417</v>
      </c>
      <c r="Q119" s="450"/>
    </row>
    <row r="120" spans="1:17" s="439" customFormat="1" ht="9.9499999999999993" customHeight="1" x14ac:dyDescent="0.2">
      <c r="A120" s="703" t="s">
        <v>357</v>
      </c>
      <c r="B120" s="418"/>
      <c r="C120" s="450">
        <v>79</v>
      </c>
      <c r="D120" s="450"/>
      <c r="E120" s="450">
        <v>24</v>
      </c>
      <c r="F120" s="450"/>
      <c r="G120" s="450">
        <v>0</v>
      </c>
      <c r="H120" s="450"/>
      <c r="I120" s="450">
        <v>1275</v>
      </c>
      <c r="J120" s="450"/>
      <c r="K120" s="1533">
        <v>167</v>
      </c>
      <c r="L120" s="450"/>
      <c r="M120" s="450">
        <v>290</v>
      </c>
      <c r="N120" s="450"/>
      <c r="O120" s="273">
        <f t="shared" si="33"/>
        <v>1835</v>
      </c>
      <c r="Q120" s="450"/>
    </row>
    <row r="121" spans="1:17" s="439" customFormat="1" ht="9.9499999999999993" customHeight="1" x14ac:dyDescent="0.2">
      <c r="A121" s="703" t="s">
        <v>1587</v>
      </c>
      <c r="B121" s="418"/>
      <c r="C121" s="450"/>
      <c r="D121" s="450"/>
      <c r="E121" s="450"/>
      <c r="F121" s="450"/>
      <c r="G121" s="450"/>
      <c r="H121" s="450"/>
      <c r="I121" s="450">
        <v>28018</v>
      </c>
      <c r="J121" s="450"/>
      <c r="K121" s="1533">
        <v>66</v>
      </c>
      <c r="L121" s="450"/>
      <c r="M121" s="450">
        <v>8</v>
      </c>
      <c r="N121" s="450"/>
      <c r="O121" s="273">
        <f t="shared" si="33"/>
        <v>28092</v>
      </c>
      <c r="Q121" s="450"/>
    </row>
    <row r="122" spans="1:17" s="439" customFormat="1" ht="9.9499999999999993" customHeight="1" x14ac:dyDescent="0.2">
      <c r="A122" s="703" t="s">
        <v>1648</v>
      </c>
      <c r="B122" s="418"/>
      <c r="C122" s="450"/>
      <c r="D122" s="450"/>
      <c r="E122" s="450"/>
      <c r="F122" s="450"/>
      <c r="G122" s="450"/>
      <c r="H122" s="450"/>
      <c r="I122" s="450">
        <v>13136</v>
      </c>
      <c r="J122" s="450"/>
      <c r="K122" s="1533">
        <v>5</v>
      </c>
      <c r="L122" s="450"/>
      <c r="M122" s="450">
        <v>16</v>
      </c>
      <c r="N122" s="450"/>
      <c r="O122" s="273">
        <f t="shared" si="33"/>
        <v>13157</v>
      </c>
      <c r="Q122" s="450"/>
    </row>
    <row r="123" spans="1:17" s="439" customFormat="1" ht="9.9499999999999993" hidden="1" customHeight="1" x14ac:dyDescent="0.2">
      <c r="A123" s="703" t="s">
        <v>1604</v>
      </c>
      <c r="B123" s="418"/>
      <c r="C123" s="450"/>
      <c r="D123" s="450"/>
      <c r="E123" s="450"/>
      <c r="F123" s="450"/>
      <c r="G123" s="450"/>
      <c r="H123" s="450"/>
      <c r="I123" s="450"/>
      <c r="J123" s="450"/>
      <c r="K123" s="1533"/>
      <c r="L123" s="450"/>
      <c r="M123" s="450"/>
      <c r="N123" s="450"/>
      <c r="O123" s="273"/>
      <c r="Q123" s="450"/>
    </row>
    <row r="124" spans="1:17" s="439" customFormat="1" ht="9.9499999999999993" customHeight="1" x14ac:dyDescent="0.2">
      <c r="A124" s="703" t="s">
        <v>1343</v>
      </c>
      <c r="B124" s="418"/>
      <c r="C124" s="450">
        <v>2737</v>
      </c>
      <c r="D124" s="450"/>
      <c r="E124" s="450">
        <v>2801</v>
      </c>
      <c r="F124" s="450"/>
      <c r="G124" s="450">
        <v>2607</v>
      </c>
      <c r="H124" s="450"/>
      <c r="I124" s="450">
        <v>46272</v>
      </c>
      <c r="J124" s="450"/>
      <c r="K124" s="1533">
        <v>41512</v>
      </c>
      <c r="L124" s="450"/>
      <c r="M124" s="450">
        <v>24253</v>
      </c>
      <c r="N124" s="450"/>
      <c r="O124" s="273">
        <f t="shared" si="33"/>
        <v>120182</v>
      </c>
      <c r="Q124" s="450"/>
    </row>
    <row r="125" spans="1:17" s="439" customFormat="1" ht="9.9499999999999993" customHeight="1" x14ac:dyDescent="0.2">
      <c r="A125" s="703" t="s">
        <v>1448</v>
      </c>
      <c r="B125" s="418"/>
      <c r="C125" s="450"/>
      <c r="D125" s="450"/>
      <c r="E125" s="450"/>
      <c r="F125" s="450"/>
      <c r="G125" s="450"/>
      <c r="H125" s="450"/>
      <c r="I125" s="450"/>
      <c r="J125" s="450"/>
      <c r="K125" s="1533">
        <v>1825</v>
      </c>
      <c r="L125" s="450"/>
      <c r="M125" s="450"/>
      <c r="N125" s="450"/>
      <c r="O125" s="273">
        <f t="shared" si="33"/>
        <v>1825</v>
      </c>
      <c r="Q125" s="450"/>
    </row>
    <row r="126" spans="1:17" s="439" customFormat="1" ht="9.9499999999999993" hidden="1" customHeight="1" x14ac:dyDescent="0.2">
      <c r="A126" s="703" t="s">
        <v>1272</v>
      </c>
      <c r="B126" s="418"/>
      <c r="C126" s="450"/>
      <c r="D126" s="450"/>
      <c r="E126" s="450"/>
      <c r="F126" s="450"/>
      <c r="G126" s="450"/>
      <c r="H126" s="450"/>
      <c r="I126" s="450"/>
      <c r="J126" s="450"/>
      <c r="K126" s="1533">
        <v>0</v>
      </c>
      <c r="L126" s="450"/>
      <c r="M126" s="450"/>
      <c r="N126" s="450"/>
      <c r="O126" s="273">
        <f t="shared" si="32"/>
        <v>0</v>
      </c>
      <c r="Q126" s="450"/>
    </row>
    <row r="127" spans="1:17" s="439" customFormat="1" ht="5.0999999999999996" customHeight="1" x14ac:dyDescent="0.2">
      <c r="A127" s="418"/>
      <c r="B127" s="418"/>
      <c r="C127" s="452"/>
      <c r="D127" s="450"/>
      <c r="E127" s="452"/>
      <c r="F127" s="450"/>
      <c r="G127" s="452"/>
      <c r="H127" s="450"/>
      <c r="I127" s="452"/>
      <c r="J127" s="450"/>
      <c r="K127" s="1532"/>
      <c r="L127" s="450"/>
      <c r="M127" s="452"/>
      <c r="N127" s="450"/>
      <c r="O127" s="452"/>
      <c r="Q127" s="452"/>
    </row>
    <row r="128" spans="1:17" s="439" customFormat="1" ht="11.1" customHeight="1" x14ac:dyDescent="0.2">
      <c r="A128" s="707" t="s">
        <v>82</v>
      </c>
      <c r="B128" s="418"/>
      <c r="C128" s="455">
        <f>SUM(C117:C126)</f>
        <v>2816</v>
      </c>
      <c r="D128" s="450"/>
      <c r="E128" s="455">
        <f>SUM(E117:E126)</f>
        <v>31588</v>
      </c>
      <c r="F128" s="450"/>
      <c r="G128" s="455">
        <f>SUM(G117:G126)</f>
        <v>33261</v>
      </c>
      <c r="H128" s="450"/>
      <c r="I128" s="455">
        <f>SUM(I117:I127)</f>
        <v>88701</v>
      </c>
      <c r="J128" s="450"/>
      <c r="K128" s="1525">
        <f>SUM(K117:K127)</f>
        <v>47583</v>
      </c>
      <c r="L128" s="450"/>
      <c r="M128" s="455">
        <f>SUM(M117:M127)</f>
        <v>24567</v>
      </c>
      <c r="N128" s="450"/>
      <c r="O128" s="455">
        <f>SUM(O117:O126)</f>
        <v>228516</v>
      </c>
      <c r="Q128" s="455"/>
    </row>
    <row r="129" spans="1:17" s="439" customFormat="1" ht="5.0999999999999996" customHeight="1" x14ac:dyDescent="0.2">
      <c r="A129" s="418"/>
      <c r="B129" s="418"/>
      <c r="C129" s="450"/>
      <c r="D129" s="450"/>
      <c r="E129" s="452"/>
      <c r="F129" s="450"/>
      <c r="G129" s="450"/>
      <c r="H129" s="450"/>
      <c r="I129" s="452"/>
      <c r="J129" s="450"/>
      <c r="K129" s="1532"/>
      <c r="L129" s="450"/>
      <c r="M129" s="452"/>
      <c r="N129" s="450"/>
      <c r="O129" s="450"/>
      <c r="Q129" s="452"/>
    </row>
    <row r="130" spans="1:17" s="439" customFormat="1" ht="11.1" customHeight="1" x14ac:dyDescent="0.2">
      <c r="A130" s="644" t="s">
        <v>702</v>
      </c>
      <c r="B130" s="418"/>
      <c r="C130" s="455">
        <f>+C128+C114</f>
        <v>24226</v>
      </c>
      <c r="D130" s="450"/>
      <c r="E130" s="455">
        <f>+E128+E114</f>
        <v>45605</v>
      </c>
      <c r="F130" s="450"/>
      <c r="G130" s="455">
        <f>+G128+G114</f>
        <v>41559</v>
      </c>
      <c r="H130" s="450"/>
      <c r="I130" s="455">
        <f>+I128+I114</f>
        <v>103705</v>
      </c>
      <c r="J130" s="450"/>
      <c r="K130" s="1525">
        <f>+K128+K114</f>
        <v>56185</v>
      </c>
      <c r="L130" s="450"/>
      <c r="M130" s="455">
        <f>+M128+M114</f>
        <v>26259</v>
      </c>
      <c r="N130" s="450"/>
      <c r="O130" s="455">
        <f>+O128+O114</f>
        <v>297539</v>
      </c>
      <c r="Q130" s="455"/>
    </row>
    <row r="131" spans="1:17" s="439" customFormat="1" ht="5.0999999999999996" customHeight="1" x14ac:dyDescent="0.2">
      <c r="A131" s="253"/>
      <c r="B131" s="418"/>
      <c r="C131" s="452"/>
      <c r="D131" s="450"/>
      <c r="E131" s="452"/>
      <c r="F131" s="450"/>
      <c r="G131" s="452"/>
      <c r="H131" s="450"/>
      <c r="I131" s="452"/>
      <c r="J131" s="450"/>
      <c r="K131" s="1532"/>
      <c r="L131" s="450"/>
      <c r="M131" s="452"/>
      <c r="N131" s="450">
        <v>853</v>
      </c>
      <c r="O131" s="452"/>
      <c r="Q131" s="452"/>
    </row>
    <row r="132" spans="1:17" s="439" customFormat="1" ht="11.1" customHeight="1" x14ac:dyDescent="0.2">
      <c r="A132" s="644" t="s">
        <v>1209</v>
      </c>
      <c r="B132" s="418"/>
      <c r="C132" s="455">
        <v>859</v>
      </c>
      <c r="D132" s="450"/>
      <c r="E132" s="455">
        <v>836</v>
      </c>
      <c r="F132" s="450"/>
      <c r="G132" s="455">
        <v>768</v>
      </c>
      <c r="H132" s="450"/>
      <c r="I132" s="455">
        <v>13671</v>
      </c>
      <c r="J132" s="450"/>
      <c r="K132" s="1525">
        <v>12244</v>
      </c>
      <c r="L132" s="450"/>
      <c r="M132" s="455">
        <v>6523</v>
      </c>
      <c r="N132" s="450"/>
      <c r="O132" s="455">
        <f>SUM(C132:M132)</f>
        <v>34901</v>
      </c>
      <c r="Q132" s="455"/>
    </row>
    <row r="133" spans="1:17" s="439" customFormat="1" ht="5.0999999999999996" customHeight="1" x14ac:dyDescent="0.2">
      <c r="A133" s="418"/>
      <c r="B133" s="418"/>
      <c r="C133" s="450"/>
      <c r="D133" s="450"/>
      <c r="E133" s="450"/>
      <c r="F133" s="450"/>
      <c r="G133" s="450"/>
      <c r="H133" s="450"/>
      <c r="I133" s="450"/>
      <c r="J133" s="450"/>
      <c r="K133" s="450"/>
      <c r="L133" s="450"/>
      <c r="M133" s="450"/>
      <c r="N133" s="450">
        <v>45</v>
      </c>
      <c r="O133" s="450"/>
      <c r="Q133" s="450"/>
    </row>
    <row r="134" spans="1:17" s="439" customFormat="1" ht="9.9499999999999993" customHeight="1" x14ac:dyDescent="0.2">
      <c r="A134" s="322" t="s">
        <v>1482</v>
      </c>
      <c r="B134" s="418"/>
      <c r="C134" s="450"/>
      <c r="D134" s="450"/>
      <c r="E134" s="450"/>
      <c r="F134" s="450"/>
      <c r="G134" s="450"/>
      <c r="H134" s="450"/>
      <c r="N134" s="450">
        <v>94</v>
      </c>
    </row>
    <row r="135" spans="1:17" s="439" customFormat="1" ht="9.9499999999999993" customHeight="1" x14ac:dyDescent="0.2">
      <c r="A135" s="577" t="s">
        <v>1110</v>
      </c>
      <c r="B135" s="418"/>
      <c r="C135" s="450">
        <f>+C63-C97-C98-C121-C122+C32+C33-C110-C118</f>
        <v>0</v>
      </c>
      <c r="D135" s="450"/>
      <c r="E135" s="450">
        <f>+E63-E97-E98-E121-E122+E32+E33-E110-E118</f>
        <v>0</v>
      </c>
      <c r="F135" s="450"/>
      <c r="G135" s="450">
        <f>+G63-G97-G98-G121-G122+G32+G33-G110-G118</f>
        <v>1</v>
      </c>
      <c r="H135" s="450"/>
      <c r="I135" s="450">
        <f>+I63-I97-I98-I121-I122+I32+I33-I110-I118</f>
        <v>486</v>
      </c>
      <c r="J135" s="450"/>
      <c r="K135" s="450">
        <f>+K63-K97-K98-K121-K122+K32+K33-K110-K118</f>
        <v>139373</v>
      </c>
      <c r="L135" s="450"/>
      <c r="M135" s="450">
        <f>+M63-M97-M98-M121-M122+M32+M33-M110-M118</f>
        <v>156</v>
      </c>
      <c r="N135" s="450">
        <v>385</v>
      </c>
      <c r="O135" s="273">
        <f>SUM(C135:M135)</f>
        <v>140016</v>
      </c>
    </row>
    <row r="136" spans="1:17" s="439" customFormat="1" ht="9.9499999999999993" customHeight="1" x14ac:dyDescent="0.2">
      <c r="A136" s="577" t="s">
        <v>83</v>
      </c>
      <c r="B136" s="418"/>
      <c r="C136" s="450"/>
      <c r="D136" s="450"/>
      <c r="E136" s="450"/>
      <c r="F136" s="450"/>
      <c r="G136" s="450"/>
      <c r="H136" s="450"/>
      <c r="I136" s="450"/>
      <c r="J136" s="450"/>
      <c r="K136" s="450"/>
      <c r="L136" s="450"/>
      <c r="N136" s="450"/>
      <c r="O136" s="273">
        <f t="shared" ref="O136:O138" si="34">SUM(C136:M136)</f>
        <v>0</v>
      </c>
    </row>
    <row r="137" spans="1:17" s="439" customFormat="1" ht="9.9499999999999993" customHeight="1" x14ac:dyDescent="0.2">
      <c r="A137" s="703" t="s">
        <v>756</v>
      </c>
      <c r="B137" s="418"/>
      <c r="C137" s="450"/>
      <c r="D137" s="450"/>
      <c r="E137" s="450"/>
      <c r="F137" s="450"/>
      <c r="G137" s="450"/>
      <c r="H137" s="450"/>
      <c r="I137" s="450"/>
      <c r="J137" s="450"/>
      <c r="K137" s="450">
        <v>44</v>
      </c>
      <c r="L137" s="450"/>
      <c r="N137" s="450"/>
      <c r="O137" s="273">
        <f t="shared" si="34"/>
        <v>44</v>
      </c>
    </row>
    <row r="138" spans="1:17" s="439" customFormat="1" ht="9.9499999999999993" customHeight="1" x14ac:dyDescent="0.2">
      <c r="A138" s="703" t="s">
        <v>706</v>
      </c>
      <c r="B138" s="418"/>
      <c r="C138" s="450"/>
      <c r="D138" s="450"/>
      <c r="E138" s="450"/>
      <c r="F138" s="450"/>
      <c r="G138" s="450"/>
      <c r="H138" s="450"/>
      <c r="I138" s="450"/>
      <c r="J138" s="450"/>
      <c r="K138" s="1356">
        <v>150</v>
      </c>
      <c r="L138" s="450"/>
      <c r="N138" s="450"/>
      <c r="O138" s="487">
        <f t="shared" si="34"/>
        <v>150</v>
      </c>
    </row>
    <row r="139" spans="1:17" s="439" customFormat="1" ht="9.9499999999999993" customHeight="1" x14ac:dyDescent="0.2">
      <c r="A139" s="577" t="s">
        <v>1273</v>
      </c>
      <c r="B139" s="418"/>
      <c r="C139" s="455">
        <v>11274</v>
      </c>
      <c r="D139" s="450"/>
      <c r="E139" s="455">
        <v>-4839</v>
      </c>
      <c r="F139" s="450"/>
      <c r="G139" s="455">
        <v>233</v>
      </c>
      <c r="H139" s="450"/>
      <c r="I139" s="455">
        <v>-38024</v>
      </c>
      <c r="J139" s="450"/>
      <c r="K139" s="455">
        <v>86146</v>
      </c>
      <c r="L139" s="450"/>
      <c r="M139" s="455">
        <v>-24444</v>
      </c>
      <c r="N139" s="450"/>
      <c r="O139" s="273">
        <f>SUM(C139:M139)</f>
        <v>30346</v>
      </c>
      <c r="Q139" s="1081"/>
    </row>
    <row r="140" spans="1:17" s="439" customFormat="1" ht="5.0999999999999996" customHeight="1" x14ac:dyDescent="0.2">
      <c r="A140" s="418"/>
      <c r="B140" s="418"/>
      <c r="C140" s="438"/>
      <c r="D140" s="438"/>
      <c r="E140" s="438"/>
      <c r="F140" s="438"/>
      <c r="G140" s="438"/>
      <c r="H140" s="438"/>
      <c r="I140" s="438"/>
      <c r="J140" s="438"/>
      <c r="K140" s="438"/>
      <c r="L140" s="438"/>
      <c r="M140" s="1016"/>
      <c r="N140" s="438"/>
      <c r="O140" s="452"/>
      <c r="Q140" s="1072"/>
    </row>
    <row r="141" spans="1:17" s="439" customFormat="1" ht="11.1" customHeight="1" thickBot="1" x14ac:dyDescent="0.25">
      <c r="A141" s="417" t="s">
        <v>1483</v>
      </c>
      <c r="B141" s="418"/>
      <c r="C141" s="453">
        <f>SUM(C134:C139)</f>
        <v>11274</v>
      </c>
      <c r="D141" s="448"/>
      <c r="E141" s="453">
        <f>SUM(E134:E139)</f>
        <v>-4839</v>
      </c>
      <c r="F141" s="448"/>
      <c r="G141" s="453">
        <f>SUM(G134:G139)</f>
        <v>234</v>
      </c>
      <c r="H141" s="448"/>
      <c r="I141" s="453">
        <f>SUM(I134:I139)</f>
        <v>-37538</v>
      </c>
      <c r="J141" s="448"/>
      <c r="K141" s="453">
        <f>SUM(K134:K139)</f>
        <v>225713</v>
      </c>
      <c r="L141" s="448"/>
      <c r="M141" s="453">
        <f>SUM(M134:M139)</f>
        <v>-24288</v>
      </c>
      <c r="N141" s="448"/>
      <c r="O141" s="453">
        <f>SUM(O134:O139)</f>
        <v>170556</v>
      </c>
      <c r="Q141" s="1072"/>
    </row>
    <row r="142" spans="1:17" s="439" customFormat="1" ht="5.0999999999999996" customHeight="1" thickTop="1" x14ac:dyDescent="0.2">
      <c r="A142" s="418"/>
      <c r="B142" s="418"/>
      <c r="C142" s="438"/>
      <c r="D142" s="438"/>
      <c r="E142" s="438"/>
      <c r="F142" s="438"/>
      <c r="G142" s="438"/>
      <c r="H142" s="438"/>
      <c r="I142" s="438"/>
      <c r="J142" s="438"/>
      <c r="K142" s="438"/>
      <c r="L142" s="438"/>
      <c r="M142" s="438"/>
      <c r="N142" s="438"/>
      <c r="O142" s="438"/>
      <c r="Q142" s="1072"/>
    </row>
    <row r="143" spans="1:17" s="439" customFormat="1" ht="9.9499999999999993" customHeight="1" x14ac:dyDescent="0.2">
      <c r="A143" s="418"/>
      <c r="B143" s="418"/>
      <c r="C143" s="438"/>
      <c r="D143" s="438"/>
      <c r="E143" s="438"/>
      <c r="F143" s="438"/>
      <c r="G143" s="438"/>
      <c r="H143" s="438"/>
      <c r="I143" s="438"/>
      <c r="J143" s="438"/>
      <c r="K143" s="438"/>
      <c r="L143" s="438"/>
      <c r="M143" s="438"/>
      <c r="N143" s="438"/>
      <c r="O143" s="438"/>
      <c r="Q143" s="1072"/>
    </row>
    <row r="144" spans="1:17" s="441" customFormat="1" ht="9.9499999999999993" customHeight="1" x14ac:dyDescent="0.2">
      <c r="A144" s="647"/>
      <c r="B144" s="647"/>
      <c r="C144" s="440">
        <f>SUM(C69-C130-C141-C132+C71)</f>
        <v>0</v>
      </c>
      <c r="D144" s="440"/>
      <c r="E144" s="440">
        <f>SUM(E69-E130-E141-E132+E71)</f>
        <v>0</v>
      </c>
      <c r="F144" s="440"/>
      <c r="G144" s="440">
        <f>SUM(G69-G130-G141-G132+G71)</f>
        <v>0</v>
      </c>
      <c r="H144" s="440"/>
      <c r="I144" s="440">
        <f>SUM(I69-I130-I141-I132+I71)</f>
        <v>0</v>
      </c>
      <c r="J144" s="440"/>
      <c r="K144" s="440">
        <f>SUM(K69-K130-K141-K132+K71)</f>
        <v>0</v>
      </c>
      <c r="L144" s="440"/>
      <c r="M144" s="440">
        <f>SUM(M69-M130-M141-M132+M71)</f>
        <v>0</v>
      </c>
      <c r="N144" s="440"/>
      <c r="O144" s="1524">
        <f>SUM(O69-O130-O141-O132+O71)</f>
        <v>0</v>
      </c>
    </row>
    <row r="145" spans="1:23" s="439" customFormat="1" ht="12" x14ac:dyDescent="0.2">
      <c r="A145" s="418"/>
      <c r="B145" s="418"/>
      <c r="C145" s="438"/>
      <c r="D145" s="438"/>
      <c r="E145" s="438"/>
      <c r="F145" s="438"/>
      <c r="G145" s="438"/>
      <c r="H145" s="438"/>
      <c r="I145" s="438"/>
      <c r="J145" s="438"/>
      <c r="K145" s="438"/>
      <c r="L145" s="438"/>
      <c r="M145" s="438"/>
      <c r="N145" s="438"/>
      <c r="O145" s="438"/>
    </row>
    <row r="146" spans="1:23" s="439" customFormat="1" ht="12" x14ac:dyDescent="0.2">
      <c r="A146" s="418"/>
      <c r="B146" s="418"/>
      <c r="C146" s="440">
        <f>+C88+C89+C90*0+C91+C119*0-SONPws!BT50</f>
        <v>0</v>
      </c>
      <c r="D146" s="438"/>
      <c r="E146" s="440">
        <f>+E88+E89+E90*0+E91-SONPws!BU50+E119*0</f>
        <v>0</v>
      </c>
      <c r="F146" s="440"/>
      <c r="G146" s="440">
        <f>+G88+G89+G90*0+G91+G119*0-SONPws!BV50</f>
        <v>0</v>
      </c>
      <c r="H146" s="440"/>
      <c r="I146" s="440">
        <f>+I88+I89+I90+I91-SONPws!BW50</f>
        <v>0</v>
      </c>
      <c r="J146" s="440"/>
      <c r="K146" s="440">
        <f>+K88+K89+K90+K91-SONPws!BX50</f>
        <v>0</v>
      </c>
      <c r="L146" s="440"/>
      <c r="M146" s="440">
        <f>+M88+M89+M90+M91-SONPws!BY50</f>
        <v>0</v>
      </c>
      <c r="N146" s="440"/>
      <c r="O146" s="440"/>
    </row>
    <row r="147" spans="1:23" s="439" customFormat="1" ht="12" x14ac:dyDescent="0.2">
      <c r="A147" s="418"/>
      <c r="B147" s="418"/>
      <c r="C147" s="438"/>
      <c r="D147" s="438"/>
      <c r="E147" s="438"/>
      <c r="F147" s="438"/>
      <c r="G147" s="438"/>
      <c r="H147" s="438"/>
      <c r="I147" s="438"/>
      <c r="J147" s="438"/>
      <c r="K147" s="438"/>
      <c r="L147" s="438"/>
      <c r="M147" s="438"/>
      <c r="N147" s="438"/>
      <c r="O147" s="438"/>
      <c r="Q147" s="439">
        <v>3106</v>
      </c>
      <c r="S147" s="439">
        <v>2738</v>
      </c>
      <c r="T147" s="439">
        <v>2255</v>
      </c>
      <c r="U147" s="439">
        <v>45144</v>
      </c>
      <c r="V147" s="439">
        <v>29993</v>
      </c>
      <c r="W147" s="439">
        <v>21867</v>
      </c>
    </row>
    <row r="148" spans="1:23" s="439" customFormat="1" ht="12" x14ac:dyDescent="0.2">
      <c r="A148" s="418"/>
      <c r="B148" s="418"/>
      <c r="C148" s="440">
        <f>+C63+C56-C94-C97-C123-C121</f>
        <v>0</v>
      </c>
      <c r="D148" s="440"/>
      <c r="E148" s="440">
        <f>+E63+E56-E94-E97-E123-E121</f>
        <v>0</v>
      </c>
      <c r="F148" s="440"/>
      <c r="G148" s="440">
        <f>+G63+G56-G94-G97-G123-G121</f>
        <v>1</v>
      </c>
      <c r="H148" s="440"/>
      <c r="I148" s="1524">
        <f>+I63+I56-I94-I97-I123-I121</f>
        <v>49920</v>
      </c>
      <c r="J148" s="440"/>
      <c r="K148" s="440">
        <f>+K63+K56-K94-K97-K123-K121</f>
        <v>143652</v>
      </c>
      <c r="L148" s="440"/>
      <c r="M148" s="440">
        <f>+M63+M56-M94-M97-M123-M121</f>
        <v>250</v>
      </c>
      <c r="N148" s="440"/>
      <c r="O148" s="440"/>
    </row>
    <row r="149" spans="1:23" s="439" customFormat="1" ht="12" x14ac:dyDescent="0.2">
      <c r="A149" s="418"/>
      <c r="B149" s="418"/>
      <c r="C149" s="438">
        <f>+C88+C89+C91</f>
        <v>10440</v>
      </c>
      <c r="D149" s="438"/>
      <c r="E149" s="438">
        <f t="shared" ref="E149" si="35">+E88+E89+E91</f>
        <v>2012</v>
      </c>
      <c r="F149" s="438"/>
      <c r="G149" s="438">
        <f t="shared" ref="G149" si="36">+G88+G89+G91</f>
        <v>580</v>
      </c>
      <c r="H149" s="438"/>
      <c r="I149" s="438">
        <f t="shared" ref="I149" si="37">+I88+I89+I91</f>
        <v>2972</v>
      </c>
      <c r="J149" s="438"/>
      <c r="K149" s="438">
        <f t="shared" ref="K149" si="38">+K88+K89+K91</f>
        <v>6477</v>
      </c>
      <c r="L149" s="438"/>
      <c r="M149" s="438">
        <f t="shared" ref="M149" si="39">+M88+M89+M91</f>
        <v>694</v>
      </c>
      <c r="N149" s="438"/>
      <c r="O149" s="438">
        <f>SUM(C149:M149)</f>
        <v>23175</v>
      </c>
    </row>
    <row r="150" spans="1:23" s="439" customFormat="1" ht="12" x14ac:dyDescent="0.2">
      <c r="A150" s="418"/>
      <c r="B150" s="418"/>
      <c r="C150" s="438"/>
      <c r="D150" s="438"/>
      <c r="E150" s="438"/>
      <c r="F150" s="438"/>
      <c r="G150" s="438"/>
      <c r="H150" s="438"/>
      <c r="I150" s="438"/>
      <c r="J150" s="438"/>
      <c r="K150" s="438"/>
      <c r="L150" s="438"/>
      <c r="M150" s="438"/>
      <c r="N150" s="438"/>
      <c r="O150" s="438"/>
    </row>
    <row r="151" spans="1:23" s="439" customFormat="1" ht="12" x14ac:dyDescent="0.2">
      <c r="A151" s="418"/>
      <c r="B151" s="418"/>
      <c r="C151" s="438"/>
      <c r="D151" s="438"/>
      <c r="E151" s="438"/>
      <c r="F151" s="438"/>
      <c r="G151" s="438"/>
      <c r="H151" s="438"/>
      <c r="I151" s="438"/>
      <c r="J151" s="438"/>
      <c r="K151" s="438">
        <f>121900-117457</f>
        <v>4443</v>
      </c>
      <c r="L151" s="438"/>
      <c r="M151" s="438"/>
      <c r="N151" s="438"/>
      <c r="O151" s="438"/>
      <c r="P151" s="963" t="s">
        <v>918</v>
      </c>
      <c r="Q151" s="963" t="s">
        <v>919</v>
      </c>
      <c r="R151" s="963" t="s">
        <v>920</v>
      </c>
      <c r="S151" s="963" t="s">
        <v>921</v>
      </c>
      <c r="T151" s="963" t="s">
        <v>922</v>
      </c>
      <c r="U151" s="963" t="s">
        <v>881</v>
      </c>
    </row>
    <row r="152" spans="1:23" s="439" customFormat="1" ht="12" x14ac:dyDescent="0.2">
      <c r="A152" s="418"/>
      <c r="B152" s="418"/>
      <c r="C152" s="438"/>
      <c r="D152" s="438"/>
      <c r="E152" s="438"/>
      <c r="F152" s="438"/>
      <c r="G152" s="438"/>
      <c r="H152" s="438"/>
      <c r="I152" s="438"/>
      <c r="J152" s="438"/>
      <c r="K152" s="438">
        <f>+K63-K110-K118</f>
        <v>139424</v>
      </c>
      <c r="L152" s="438"/>
      <c r="M152" s="438"/>
      <c r="N152" s="438"/>
      <c r="O152" s="438"/>
      <c r="P152" s="963"/>
      <c r="Q152" s="963"/>
      <c r="R152" s="963"/>
      <c r="S152" s="963"/>
      <c r="T152" s="963"/>
      <c r="U152" s="963"/>
    </row>
    <row r="153" spans="1:23" s="439" customFormat="1" ht="12" x14ac:dyDescent="0.2">
      <c r="A153" s="418"/>
      <c r="B153" s="418"/>
      <c r="C153" s="438"/>
      <c r="D153" s="438"/>
      <c r="E153" s="438"/>
      <c r="F153" s="438"/>
      <c r="G153" s="438"/>
      <c r="H153" s="438"/>
      <c r="I153" s="438"/>
      <c r="J153" s="438"/>
      <c r="K153" s="438"/>
      <c r="L153" s="438"/>
      <c r="M153" s="438"/>
      <c r="N153" s="438"/>
      <c r="O153" s="438"/>
      <c r="P153" s="963"/>
      <c r="Q153" s="963"/>
      <c r="R153" s="963"/>
      <c r="S153" s="963"/>
      <c r="T153" s="963"/>
      <c r="U153" s="963"/>
    </row>
    <row r="154" spans="1:23" s="439" customFormat="1" ht="12" x14ac:dyDescent="0.2">
      <c r="A154" s="418"/>
      <c r="B154" s="418"/>
      <c r="C154" s="438"/>
      <c r="D154" s="438"/>
      <c r="E154" s="438"/>
      <c r="F154" s="438"/>
      <c r="G154" s="438"/>
      <c r="H154" s="438"/>
      <c r="I154" s="438"/>
      <c r="J154" s="438"/>
      <c r="K154" s="438">
        <f>+K135-K152</f>
        <v>-51</v>
      </c>
      <c r="L154" s="438"/>
      <c r="M154" s="438"/>
      <c r="N154" s="438"/>
      <c r="O154" s="438"/>
      <c r="P154" s="963">
        <v>2871</v>
      </c>
      <c r="Q154" s="963">
        <v>2484</v>
      </c>
      <c r="R154" s="963">
        <v>4555</v>
      </c>
      <c r="S154" s="963">
        <v>1210</v>
      </c>
      <c r="T154" s="963">
        <v>7329</v>
      </c>
      <c r="U154" s="963">
        <v>450</v>
      </c>
    </row>
    <row r="155" spans="1:23" s="439" customFormat="1" ht="12" x14ac:dyDescent="0.2">
      <c r="A155" s="418"/>
      <c r="B155" s="418"/>
      <c r="C155" s="438"/>
      <c r="D155" s="438"/>
      <c r="E155" s="438"/>
      <c r="F155" s="438"/>
      <c r="G155" s="438"/>
      <c r="H155" s="438"/>
      <c r="I155" s="438"/>
      <c r="J155" s="438"/>
      <c r="K155" s="438"/>
      <c r="L155" s="438"/>
      <c r="M155" s="438"/>
      <c r="N155" s="438"/>
      <c r="O155" s="438"/>
    </row>
    <row r="156" spans="1:23" s="439" customFormat="1" ht="12" x14ac:dyDescent="0.2">
      <c r="A156" s="418"/>
      <c r="B156" s="418"/>
      <c r="C156" s="438"/>
      <c r="D156" s="438"/>
      <c r="E156" s="438"/>
      <c r="F156" s="438"/>
      <c r="G156" s="438"/>
      <c r="H156" s="438"/>
      <c r="I156" s="438"/>
      <c r="J156" s="438"/>
      <c r="K156" s="438"/>
      <c r="L156" s="438"/>
      <c r="M156" s="438"/>
      <c r="N156" s="438"/>
      <c r="O156" s="438"/>
    </row>
    <row r="157" spans="1:23" s="318" customFormat="1" ht="9.9499999999999993" customHeight="1" x14ac:dyDescent="0.2">
      <c r="A157" s="707"/>
      <c r="B157" s="273"/>
      <c r="C157" s="273"/>
      <c r="D157" s="362"/>
      <c r="E157" s="273"/>
      <c r="F157" s="362"/>
      <c r="G157" s="273"/>
      <c r="H157" s="273"/>
      <c r="I157" s="273"/>
      <c r="J157" s="273"/>
      <c r="K157" s="273"/>
      <c r="L157" s="323"/>
      <c r="M157" s="702"/>
      <c r="N157" s="324"/>
    </row>
    <row r="158" spans="1:23" s="318" customFormat="1" ht="9.9499999999999993" customHeight="1" x14ac:dyDescent="0.2">
      <c r="A158" s="702"/>
      <c r="B158" s="324"/>
      <c r="C158" s="273"/>
      <c r="D158" s="481"/>
      <c r="E158" s="273"/>
      <c r="F158" s="481"/>
      <c r="G158" s="324"/>
      <c r="H158" s="273"/>
      <c r="I158" s="273"/>
      <c r="J158" s="273"/>
      <c r="K158" s="273"/>
      <c r="L158" s="323"/>
      <c r="M158" s="704"/>
      <c r="N158" s="488"/>
    </row>
    <row r="159" spans="1:23" s="318" customFormat="1" ht="9.9499999999999993" customHeight="1" x14ac:dyDescent="0.2">
      <c r="A159" s="704"/>
      <c r="B159" s="324"/>
      <c r="C159" s="273"/>
      <c r="D159" s="481"/>
      <c r="E159" s="273"/>
      <c r="F159" s="481"/>
      <c r="G159" s="324"/>
      <c r="H159" s="273"/>
      <c r="I159" s="273"/>
      <c r="J159" s="273"/>
      <c r="K159" s="273"/>
      <c r="L159" s="323"/>
      <c r="M159" s="704"/>
      <c r="N159" s="488"/>
    </row>
    <row r="160" spans="1:23" s="318" customFormat="1" ht="9.9499999999999993" customHeight="1" x14ac:dyDescent="0.2">
      <c r="A160" s="706"/>
      <c r="B160" s="324"/>
      <c r="C160" s="488"/>
      <c r="D160" s="481"/>
      <c r="E160" s="273"/>
      <c r="F160" s="481"/>
      <c r="G160" s="450"/>
      <c r="H160" s="273"/>
      <c r="I160" s="273"/>
      <c r="J160" s="273"/>
      <c r="K160" s="273"/>
      <c r="L160" s="323"/>
      <c r="M160" s="704"/>
      <c r="N160" s="488"/>
    </row>
    <row r="161" spans="1:14" s="318" customFormat="1" ht="9.9499999999999993" customHeight="1" x14ac:dyDescent="0.2">
      <c r="A161" s="706"/>
      <c r="B161" s="324"/>
      <c r="C161" s="488"/>
      <c r="D161" s="481"/>
      <c r="E161" s="273"/>
      <c r="F161" s="481"/>
      <c r="G161" s="450"/>
      <c r="H161" s="273"/>
      <c r="I161" s="273"/>
      <c r="J161" s="273"/>
      <c r="K161" s="273"/>
      <c r="L161" s="323"/>
      <c r="M161" s="704"/>
      <c r="N161" s="488"/>
    </row>
    <row r="162" spans="1:14" s="318" customFormat="1" ht="9.9499999999999993" customHeight="1" x14ac:dyDescent="0.2">
      <c r="A162" s="706"/>
      <c r="B162" s="324"/>
      <c r="C162" s="488"/>
      <c r="D162" s="481"/>
      <c r="E162" s="273"/>
      <c r="F162" s="481"/>
      <c r="G162" s="450"/>
      <c r="H162" s="273"/>
      <c r="I162" s="273"/>
      <c r="J162" s="273"/>
      <c r="K162" s="273"/>
      <c r="L162" s="323"/>
      <c r="M162" s="704"/>
      <c r="N162" s="488"/>
    </row>
    <row r="163" spans="1:14" s="326" customFormat="1" ht="9.9499999999999993" customHeight="1" x14ac:dyDescent="0.2">
      <c r="B163" s="327"/>
      <c r="D163" s="327"/>
      <c r="F163" s="327"/>
      <c r="J163" s="327"/>
      <c r="L163" s="328"/>
    </row>
    <row r="164" spans="1:14" s="326" customFormat="1" ht="9.9499999999999993" customHeight="1" x14ac:dyDescent="0.2">
      <c r="B164" s="327"/>
      <c r="D164" s="327"/>
      <c r="F164" s="327"/>
      <c r="J164" s="327"/>
      <c r="L164" s="328"/>
    </row>
    <row r="165" spans="1:14" s="326" customFormat="1" ht="9.9499999999999993" customHeight="1" x14ac:dyDescent="0.2">
      <c r="B165" s="327"/>
      <c r="D165" s="327"/>
      <c r="F165" s="327"/>
      <c r="J165" s="327"/>
      <c r="L165" s="328"/>
    </row>
    <row r="166" spans="1:14" s="326" customFormat="1" ht="9.9499999999999993" customHeight="1" x14ac:dyDescent="0.2">
      <c r="B166" s="327"/>
      <c r="D166" s="327"/>
      <c r="F166" s="327"/>
      <c r="J166" s="327"/>
      <c r="L166" s="328"/>
    </row>
    <row r="167" spans="1:14" s="326" customFormat="1" ht="9.9499999999999993" customHeight="1" x14ac:dyDescent="0.2">
      <c r="B167" s="327"/>
      <c r="D167" s="327"/>
      <c r="F167" s="327"/>
      <c r="J167" s="327"/>
      <c r="L167" s="328"/>
    </row>
    <row r="168" spans="1:14" s="326" customFormat="1" ht="9.9499999999999993" customHeight="1" x14ac:dyDescent="0.2">
      <c r="B168" s="327"/>
      <c r="D168" s="327"/>
      <c r="F168" s="327"/>
      <c r="J168" s="327"/>
      <c r="L168" s="328"/>
    </row>
    <row r="169" spans="1:14" s="326" customFormat="1" ht="9.9499999999999993" customHeight="1" x14ac:dyDescent="0.2">
      <c r="B169" s="327"/>
      <c r="D169" s="327"/>
      <c r="F169" s="327"/>
      <c r="J169" s="327"/>
      <c r="L169" s="328"/>
    </row>
    <row r="170" spans="1:14" s="326" customFormat="1" ht="9.9499999999999993" customHeight="1" x14ac:dyDescent="0.2">
      <c r="B170" s="327"/>
      <c r="D170" s="327"/>
      <c r="F170" s="327"/>
      <c r="J170" s="327"/>
      <c r="L170" s="328"/>
    </row>
    <row r="171" spans="1:14" s="326" customFormat="1" ht="9.9499999999999993" customHeight="1" x14ac:dyDescent="0.2">
      <c r="B171" s="327"/>
      <c r="D171" s="327"/>
      <c r="F171" s="327"/>
      <c r="J171" s="327"/>
      <c r="L171" s="328"/>
    </row>
    <row r="172" spans="1:14" s="326" customFormat="1" ht="9.9499999999999993" customHeight="1" x14ac:dyDescent="0.2">
      <c r="B172" s="327"/>
      <c r="D172" s="327"/>
      <c r="F172" s="327"/>
      <c r="J172" s="327"/>
      <c r="L172" s="328"/>
    </row>
    <row r="173" spans="1:14" s="326" customFormat="1" ht="9.9499999999999993" customHeight="1" x14ac:dyDescent="0.2">
      <c r="B173" s="327"/>
      <c r="D173" s="327"/>
      <c r="F173" s="327"/>
      <c r="J173" s="327"/>
      <c r="L173" s="328"/>
    </row>
    <row r="174" spans="1:14" s="326" customFormat="1" ht="9.9499999999999993" customHeight="1" x14ac:dyDescent="0.2">
      <c r="B174" s="327"/>
      <c r="D174" s="327"/>
      <c r="F174" s="327"/>
      <c r="J174" s="327"/>
      <c r="L174" s="328"/>
    </row>
    <row r="175" spans="1:14" s="326" customFormat="1" ht="9.9499999999999993" customHeight="1" x14ac:dyDescent="0.2">
      <c r="B175" s="327"/>
      <c r="D175" s="327"/>
      <c r="F175" s="327"/>
      <c r="J175" s="327"/>
      <c r="L175" s="328"/>
    </row>
    <row r="176" spans="1:14" s="326" customFormat="1" ht="9.9499999999999993" customHeight="1" x14ac:dyDescent="0.2">
      <c r="B176" s="327"/>
      <c r="D176" s="327"/>
      <c r="F176" s="327"/>
      <c r="J176" s="327"/>
      <c r="L176" s="328"/>
    </row>
    <row r="177" spans="2:12" s="326" customFormat="1" ht="9.9499999999999993" customHeight="1" x14ac:dyDescent="0.2">
      <c r="B177" s="327"/>
      <c r="D177" s="327"/>
      <c r="F177" s="327"/>
      <c r="J177" s="327"/>
      <c r="L177" s="328"/>
    </row>
    <row r="178" spans="2:12" s="326" customFormat="1" ht="9.9499999999999993" customHeight="1" x14ac:dyDescent="0.2">
      <c r="B178" s="327"/>
      <c r="D178" s="327"/>
      <c r="F178" s="327"/>
      <c r="J178" s="327"/>
      <c r="L178" s="328"/>
    </row>
    <row r="179" spans="2:12" s="326" customFormat="1" ht="9.9499999999999993" customHeight="1" x14ac:dyDescent="0.2">
      <c r="B179" s="327"/>
      <c r="D179" s="327"/>
      <c r="F179" s="327"/>
      <c r="J179" s="327"/>
      <c r="L179" s="328"/>
    </row>
    <row r="180" spans="2:12" s="326" customFormat="1" ht="9.9499999999999993" customHeight="1" x14ac:dyDescent="0.2">
      <c r="B180" s="327"/>
      <c r="D180" s="327"/>
      <c r="F180" s="327"/>
      <c r="J180" s="327"/>
      <c r="L180" s="328"/>
    </row>
    <row r="181" spans="2:12" s="326" customFormat="1" ht="9.9499999999999993" customHeight="1" x14ac:dyDescent="0.2">
      <c r="B181" s="327"/>
      <c r="D181" s="327"/>
      <c r="F181" s="327"/>
      <c r="J181" s="327"/>
      <c r="L181" s="328"/>
    </row>
    <row r="182" spans="2:12" s="326" customFormat="1" ht="9.9499999999999993" customHeight="1" x14ac:dyDescent="0.2">
      <c r="B182" s="327"/>
      <c r="D182" s="327"/>
      <c r="F182" s="327"/>
      <c r="J182" s="327"/>
      <c r="L182" s="328"/>
    </row>
    <row r="183" spans="2:12" s="326" customFormat="1" ht="9.9499999999999993" customHeight="1" x14ac:dyDescent="0.2">
      <c r="B183" s="327"/>
      <c r="D183" s="327"/>
      <c r="F183" s="327"/>
      <c r="J183" s="327"/>
      <c r="L183" s="328"/>
    </row>
    <row r="184" spans="2:12" s="326" customFormat="1" ht="9.9499999999999993" customHeight="1" x14ac:dyDescent="0.2">
      <c r="B184" s="327"/>
      <c r="D184" s="327"/>
      <c r="F184" s="327"/>
      <c r="J184" s="327"/>
      <c r="L184" s="328"/>
    </row>
    <row r="185" spans="2:12" s="326" customFormat="1" ht="9.9499999999999993" customHeight="1" x14ac:dyDescent="0.2">
      <c r="B185" s="327"/>
      <c r="D185" s="327"/>
      <c r="F185" s="327"/>
      <c r="J185" s="327"/>
      <c r="L185" s="328"/>
    </row>
    <row r="186" spans="2:12" s="326" customFormat="1" ht="9.9499999999999993" customHeight="1" x14ac:dyDescent="0.2">
      <c r="B186" s="327"/>
      <c r="D186" s="327"/>
      <c r="F186" s="327"/>
      <c r="J186" s="327"/>
      <c r="L186" s="328"/>
    </row>
    <row r="187" spans="2:12" s="326" customFormat="1" ht="9.9499999999999993" customHeight="1" x14ac:dyDescent="0.2">
      <c r="B187" s="327"/>
      <c r="D187" s="327"/>
      <c r="F187" s="327"/>
      <c r="J187" s="327"/>
      <c r="L187" s="328"/>
    </row>
    <row r="188" spans="2:12" s="326" customFormat="1" ht="9.9499999999999993" customHeight="1" x14ac:dyDescent="0.2">
      <c r="B188" s="327"/>
      <c r="D188" s="327"/>
      <c r="F188" s="327"/>
      <c r="J188" s="327"/>
      <c r="L188" s="328"/>
    </row>
    <row r="189" spans="2:12" s="326" customFormat="1" ht="9.9499999999999993" customHeight="1" x14ac:dyDescent="0.2">
      <c r="B189" s="327"/>
      <c r="D189" s="327"/>
      <c r="F189" s="327"/>
      <c r="J189" s="327"/>
      <c r="L189" s="328"/>
    </row>
    <row r="190" spans="2:12" s="326" customFormat="1" ht="9.9499999999999993" customHeight="1" x14ac:dyDescent="0.2">
      <c r="B190" s="327"/>
      <c r="D190" s="327"/>
      <c r="F190" s="327"/>
      <c r="J190" s="327"/>
      <c r="L190" s="328"/>
    </row>
    <row r="191" spans="2:12" s="326" customFormat="1" ht="9.9499999999999993" customHeight="1" x14ac:dyDescent="0.2">
      <c r="B191" s="327"/>
      <c r="D191" s="327"/>
      <c r="F191" s="327"/>
      <c r="J191" s="327"/>
      <c r="L191" s="328"/>
    </row>
    <row r="192" spans="2:12" s="326" customFormat="1" ht="9.9499999999999993" customHeight="1" x14ac:dyDescent="0.2">
      <c r="B192" s="327"/>
      <c r="D192" s="327"/>
      <c r="F192" s="327"/>
      <c r="J192" s="327"/>
      <c r="L192" s="328"/>
    </row>
    <row r="193" spans="1:15" s="326" customFormat="1" ht="9.9499999999999993" customHeight="1" x14ac:dyDescent="0.2">
      <c r="B193" s="327"/>
      <c r="D193" s="327"/>
      <c r="F193" s="327"/>
      <c r="J193" s="327"/>
      <c r="L193" s="328"/>
    </row>
    <row r="194" spans="1:15" s="439" customFormat="1" ht="12" x14ac:dyDescent="0.2">
      <c r="A194" s="418"/>
      <c r="B194" s="418"/>
      <c r="C194" s="438"/>
      <c r="D194" s="438"/>
      <c r="E194" s="438"/>
      <c r="F194" s="438"/>
      <c r="G194" s="438"/>
      <c r="H194" s="438"/>
      <c r="I194" s="438"/>
      <c r="J194" s="438"/>
      <c r="K194" s="438"/>
      <c r="L194" s="438"/>
      <c r="M194" s="438"/>
      <c r="N194" s="438"/>
      <c r="O194" s="438"/>
    </row>
    <row r="195" spans="1:15" s="439" customFormat="1" ht="12" x14ac:dyDescent="0.2">
      <c r="A195" s="418"/>
      <c r="B195" s="418"/>
      <c r="C195" s="438"/>
      <c r="D195" s="438"/>
      <c r="E195" s="438"/>
      <c r="F195" s="438"/>
      <c r="G195" s="438"/>
      <c r="H195" s="438"/>
      <c r="I195" s="438"/>
      <c r="J195" s="438"/>
      <c r="K195" s="438"/>
      <c r="L195" s="438"/>
      <c r="M195" s="438"/>
      <c r="N195" s="438"/>
      <c r="O195" s="438"/>
    </row>
    <row r="196" spans="1:15" s="439" customFormat="1" ht="12" x14ac:dyDescent="0.2">
      <c r="A196" s="418"/>
      <c r="B196" s="418"/>
      <c r="C196" s="438"/>
      <c r="D196" s="438"/>
      <c r="E196" s="438"/>
      <c r="F196" s="438"/>
      <c r="G196" s="438"/>
      <c r="H196" s="438"/>
      <c r="I196" s="438"/>
      <c r="J196" s="438"/>
      <c r="K196" s="438"/>
      <c r="L196" s="438"/>
      <c r="M196" s="438"/>
      <c r="N196" s="438"/>
      <c r="O196" s="438"/>
    </row>
    <row r="197" spans="1:15" s="439" customFormat="1" ht="12" x14ac:dyDescent="0.2">
      <c r="A197" s="418"/>
      <c r="B197" s="418"/>
      <c r="C197" s="438"/>
      <c r="D197" s="438"/>
      <c r="E197" s="438"/>
      <c r="F197" s="438"/>
      <c r="G197" s="438"/>
      <c r="H197" s="438"/>
      <c r="I197" s="438"/>
      <c r="J197" s="438"/>
      <c r="K197" s="438"/>
      <c r="L197" s="438"/>
      <c r="M197" s="438"/>
      <c r="N197" s="438"/>
      <c r="O197" s="438"/>
    </row>
    <row r="198" spans="1:15" s="439" customFormat="1" ht="12" x14ac:dyDescent="0.2">
      <c r="A198" s="418"/>
      <c r="B198" s="418"/>
      <c r="C198" s="438"/>
      <c r="D198" s="438"/>
      <c r="E198" s="438"/>
      <c r="F198" s="438"/>
      <c r="G198" s="438"/>
      <c r="H198" s="438"/>
      <c r="I198" s="438"/>
      <c r="J198" s="438"/>
      <c r="K198" s="438"/>
      <c r="L198" s="438"/>
      <c r="M198" s="438"/>
      <c r="N198" s="438"/>
      <c r="O198" s="438"/>
    </row>
    <row r="199" spans="1:15" s="439" customFormat="1" ht="12" x14ac:dyDescent="0.2">
      <c r="A199" s="418"/>
      <c r="B199" s="418"/>
      <c r="C199" s="438"/>
      <c r="D199" s="438"/>
      <c r="E199" s="438"/>
      <c r="F199" s="438"/>
      <c r="G199" s="438"/>
      <c r="H199" s="438"/>
      <c r="I199" s="438"/>
      <c r="J199" s="438"/>
      <c r="K199" s="438"/>
      <c r="L199" s="438"/>
      <c r="M199" s="438"/>
      <c r="N199" s="438"/>
      <c r="O199" s="438"/>
    </row>
    <row r="200" spans="1:15" s="439" customFormat="1" ht="12" x14ac:dyDescent="0.2">
      <c r="A200" s="418"/>
      <c r="B200" s="418"/>
      <c r="C200" s="438"/>
      <c r="D200" s="438"/>
      <c r="E200" s="438"/>
      <c r="F200" s="438"/>
      <c r="G200" s="438"/>
      <c r="H200" s="438"/>
      <c r="I200" s="438"/>
      <c r="J200" s="438"/>
      <c r="K200" s="438"/>
      <c r="L200" s="438"/>
      <c r="M200" s="438"/>
      <c r="N200" s="438"/>
      <c r="O200" s="438"/>
    </row>
    <row r="201" spans="1:15" s="439" customFormat="1" ht="12" x14ac:dyDescent="0.2">
      <c r="A201" s="418"/>
      <c r="B201" s="418"/>
      <c r="C201" s="438"/>
      <c r="D201" s="438"/>
      <c r="E201" s="438"/>
      <c r="F201" s="438"/>
      <c r="G201" s="438"/>
      <c r="H201" s="438"/>
      <c r="I201" s="438"/>
      <c r="J201" s="438"/>
      <c r="K201" s="438"/>
      <c r="L201" s="438"/>
      <c r="M201" s="438"/>
      <c r="N201" s="438"/>
      <c r="O201" s="438"/>
    </row>
    <row r="202" spans="1:15" s="439" customFormat="1" ht="12" x14ac:dyDescent="0.2">
      <c r="A202" s="418"/>
      <c r="B202" s="418"/>
      <c r="C202" s="438"/>
      <c r="D202" s="438"/>
      <c r="E202" s="438"/>
      <c r="F202" s="438"/>
      <c r="G202" s="438"/>
      <c r="H202" s="438"/>
      <c r="I202" s="438"/>
      <c r="J202" s="438"/>
      <c r="K202" s="438"/>
      <c r="L202" s="438"/>
      <c r="M202" s="438"/>
      <c r="N202" s="438"/>
      <c r="O202" s="438"/>
    </row>
    <row r="203" spans="1:15" s="439" customFormat="1" ht="12" x14ac:dyDescent="0.2">
      <c r="A203" s="418"/>
      <c r="B203" s="418"/>
      <c r="C203" s="438"/>
      <c r="D203" s="438"/>
      <c r="E203" s="438"/>
      <c r="F203" s="438"/>
      <c r="G203" s="438"/>
      <c r="H203" s="438"/>
      <c r="I203" s="438"/>
      <c r="J203" s="438"/>
      <c r="K203" s="438"/>
      <c r="L203" s="438"/>
      <c r="M203" s="438"/>
      <c r="N203" s="438"/>
      <c r="O203" s="438"/>
    </row>
    <row r="204" spans="1:15" s="439" customFormat="1" ht="12" x14ac:dyDescent="0.2">
      <c r="A204" s="418"/>
      <c r="B204" s="418"/>
      <c r="C204" s="438"/>
      <c r="D204" s="438"/>
      <c r="E204" s="438"/>
      <c r="F204" s="438"/>
      <c r="G204" s="438"/>
      <c r="H204" s="438"/>
      <c r="I204" s="438"/>
      <c r="J204" s="438"/>
      <c r="K204" s="438"/>
      <c r="L204" s="438"/>
      <c r="M204" s="438"/>
      <c r="N204" s="438"/>
      <c r="O204" s="438"/>
    </row>
    <row r="205" spans="1:15" s="439" customFormat="1" ht="12" x14ac:dyDescent="0.2">
      <c r="A205" s="418"/>
      <c r="B205" s="418"/>
      <c r="C205" s="438"/>
      <c r="D205" s="438"/>
      <c r="E205" s="438"/>
      <c r="F205" s="438"/>
      <c r="G205" s="438"/>
      <c r="H205" s="438"/>
      <c r="I205" s="438"/>
      <c r="J205" s="438"/>
      <c r="K205" s="438"/>
      <c r="L205" s="438"/>
      <c r="M205" s="438"/>
      <c r="N205" s="438"/>
      <c r="O205" s="438"/>
    </row>
    <row r="206" spans="1:15" s="439" customFormat="1" ht="12" x14ac:dyDescent="0.2">
      <c r="A206" s="418"/>
      <c r="B206" s="418"/>
      <c r="C206" s="438"/>
      <c r="D206" s="438"/>
      <c r="E206" s="438"/>
      <c r="F206" s="438"/>
      <c r="G206" s="438"/>
      <c r="H206" s="438"/>
      <c r="I206" s="438"/>
      <c r="J206" s="438"/>
      <c r="K206" s="438"/>
      <c r="L206" s="438"/>
      <c r="M206" s="438"/>
      <c r="N206" s="438"/>
      <c r="O206" s="438"/>
    </row>
    <row r="207" spans="1:15" s="439" customFormat="1" ht="12" x14ac:dyDescent="0.2">
      <c r="A207" s="418"/>
      <c r="B207" s="418"/>
      <c r="C207" s="438"/>
      <c r="D207" s="438"/>
      <c r="E207" s="438"/>
      <c r="F207" s="438"/>
      <c r="G207" s="438"/>
      <c r="H207" s="438"/>
      <c r="I207" s="438"/>
      <c r="J207" s="438"/>
      <c r="K207" s="438"/>
      <c r="L207" s="438"/>
      <c r="M207" s="438"/>
      <c r="N207" s="438"/>
      <c r="O207" s="438"/>
    </row>
    <row r="208" spans="1:15" s="439" customFormat="1" ht="12" x14ac:dyDescent="0.2">
      <c r="A208" s="418"/>
      <c r="B208" s="418"/>
      <c r="C208" s="438"/>
      <c r="D208" s="438"/>
      <c r="E208" s="438"/>
      <c r="F208" s="438"/>
      <c r="G208" s="438"/>
      <c r="H208" s="438"/>
      <c r="I208" s="438"/>
      <c r="J208" s="438"/>
      <c r="K208" s="438"/>
      <c r="L208" s="438"/>
      <c r="M208" s="438"/>
      <c r="N208" s="438"/>
      <c r="O208" s="438"/>
    </row>
    <row r="209" spans="1:15" s="439" customFormat="1" ht="12" x14ac:dyDescent="0.2">
      <c r="A209" s="418"/>
      <c r="B209" s="418"/>
      <c r="C209" s="438"/>
      <c r="D209" s="438"/>
      <c r="E209" s="438"/>
      <c r="F209" s="438"/>
      <c r="G209" s="438"/>
      <c r="H209" s="438"/>
      <c r="I209" s="438"/>
      <c r="J209" s="438"/>
      <c r="K209" s="438"/>
      <c r="L209" s="438"/>
      <c r="M209" s="438"/>
      <c r="N209" s="438"/>
      <c r="O209" s="438"/>
    </row>
    <row r="210" spans="1:15" s="439" customFormat="1" ht="12" x14ac:dyDescent="0.2">
      <c r="A210" s="418"/>
      <c r="B210" s="418"/>
      <c r="C210" s="438"/>
      <c r="D210" s="438"/>
      <c r="E210" s="438"/>
      <c r="F210" s="438"/>
      <c r="G210" s="438"/>
      <c r="H210" s="438"/>
      <c r="I210" s="438"/>
      <c r="J210" s="438"/>
      <c r="K210" s="438"/>
      <c r="L210" s="438"/>
      <c r="M210" s="438"/>
      <c r="N210" s="438"/>
      <c r="O210" s="438"/>
    </row>
    <row r="211" spans="1:15" s="439" customFormat="1" ht="12" x14ac:dyDescent="0.2">
      <c r="A211" s="418"/>
      <c r="B211" s="418"/>
      <c r="C211" s="438"/>
      <c r="D211" s="438"/>
      <c r="E211" s="438"/>
      <c r="F211" s="438"/>
      <c r="G211" s="438"/>
      <c r="H211" s="438"/>
      <c r="I211" s="438"/>
      <c r="J211" s="438"/>
      <c r="K211" s="438"/>
      <c r="L211" s="438"/>
      <c r="M211" s="438"/>
      <c r="N211" s="438"/>
      <c r="O211" s="438"/>
    </row>
    <row r="212" spans="1:15" s="439" customFormat="1" ht="12" x14ac:dyDescent="0.2">
      <c r="A212" s="418"/>
      <c r="B212" s="418"/>
      <c r="C212" s="438"/>
      <c r="D212" s="438"/>
      <c r="E212" s="438"/>
      <c r="F212" s="438"/>
      <c r="G212" s="438"/>
      <c r="H212" s="438"/>
      <c r="I212" s="438"/>
      <c r="J212" s="438"/>
      <c r="K212" s="438"/>
      <c r="L212" s="438"/>
      <c r="M212" s="438"/>
      <c r="N212" s="438"/>
      <c r="O212" s="438"/>
    </row>
    <row r="213" spans="1:15" s="439" customFormat="1" ht="12" x14ac:dyDescent="0.2">
      <c r="A213" s="418"/>
      <c r="B213" s="418"/>
      <c r="C213" s="438"/>
      <c r="D213" s="438"/>
      <c r="E213" s="438"/>
      <c r="F213" s="438"/>
      <c r="G213" s="438"/>
      <c r="H213" s="438"/>
      <c r="I213" s="438"/>
      <c r="J213" s="438"/>
      <c r="K213" s="438"/>
      <c r="L213" s="438"/>
      <c r="M213" s="438"/>
      <c r="N213" s="438"/>
      <c r="O213" s="438"/>
    </row>
    <row r="214" spans="1:15" s="439" customFormat="1" ht="12" x14ac:dyDescent="0.2">
      <c r="A214" s="418"/>
      <c r="B214" s="418"/>
      <c r="C214" s="438"/>
      <c r="D214" s="438"/>
      <c r="E214" s="438"/>
      <c r="F214" s="438"/>
      <c r="G214" s="438"/>
      <c r="H214" s="438"/>
      <c r="I214" s="438"/>
      <c r="J214" s="438"/>
      <c r="K214" s="438"/>
      <c r="L214" s="438"/>
      <c r="M214" s="438"/>
      <c r="N214" s="438"/>
      <c r="O214" s="438"/>
    </row>
    <row r="215" spans="1:15" s="439" customFormat="1" ht="12" x14ac:dyDescent="0.2">
      <c r="A215" s="418"/>
      <c r="B215" s="418"/>
      <c r="C215" s="438"/>
      <c r="D215" s="438"/>
      <c r="E215" s="438"/>
      <c r="F215" s="438"/>
      <c r="G215" s="438"/>
      <c r="H215" s="438"/>
      <c r="I215" s="438"/>
      <c r="J215" s="438"/>
      <c r="K215" s="438"/>
      <c r="L215" s="438"/>
      <c r="M215" s="438"/>
      <c r="N215" s="438"/>
      <c r="O215" s="438"/>
    </row>
    <row r="216" spans="1:15" s="439" customFormat="1" ht="12" x14ac:dyDescent="0.2">
      <c r="A216" s="418"/>
      <c r="B216" s="418"/>
      <c r="C216" s="438"/>
      <c r="D216" s="438"/>
      <c r="E216" s="438"/>
      <c r="F216" s="438"/>
      <c r="G216" s="438"/>
      <c r="H216" s="438"/>
      <c r="I216" s="438"/>
      <c r="J216" s="438"/>
      <c r="K216" s="438"/>
      <c r="L216" s="438"/>
      <c r="M216" s="438"/>
      <c r="N216" s="438"/>
      <c r="O216" s="438"/>
    </row>
    <row r="217" spans="1:15" s="439" customFormat="1" ht="12" x14ac:dyDescent="0.2">
      <c r="A217" s="418"/>
      <c r="B217" s="418"/>
      <c r="C217" s="438"/>
      <c r="D217" s="438"/>
      <c r="E217" s="438"/>
      <c r="F217" s="438"/>
      <c r="G217" s="438"/>
      <c r="H217" s="438"/>
      <c r="I217" s="438"/>
      <c r="J217" s="438"/>
      <c r="K217" s="438"/>
      <c r="L217" s="438"/>
      <c r="M217" s="438"/>
      <c r="N217" s="438"/>
      <c r="O217" s="438"/>
    </row>
    <row r="218" spans="1:15" s="439" customFormat="1" ht="12" x14ac:dyDescent="0.2">
      <c r="A218" s="418"/>
      <c r="B218" s="418"/>
      <c r="C218" s="438"/>
      <c r="D218" s="438"/>
      <c r="E218" s="438"/>
      <c r="F218" s="438"/>
      <c r="G218" s="438"/>
      <c r="H218" s="438"/>
      <c r="I218" s="438"/>
      <c r="J218" s="438"/>
      <c r="K218" s="438"/>
      <c r="L218" s="438"/>
      <c r="M218" s="438"/>
      <c r="N218" s="438"/>
      <c r="O218" s="438"/>
    </row>
    <row r="219" spans="1:15" s="439" customFormat="1" ht="12" x14ac:dyDescent="0.2">
      <c r="A219" s="418"/>
      <c r="B219" s="418"/>
      <c r="C219" s="438"/>
      <c r="D219" s="438"/>
      <c r="E219" s="438"/>
      <c r="F219" s="438"/>
      <c r="G219" s="438"/>
      <c r="H219" s="438"/>
      <c r="I219" s="438"/>
      <c r="J219" s="438"/>
      <c r="K219" s="438"/>
      <c r="L219" s="438"/>
      <c r="M219" s="438"/>
      <c r="N219" s="438"/>
      <c r="O219" s="438"/>
    </row>
    <row r="220" spans="1:15" s="439" customFormat="1" ht="12" x14ac:dyDescent="0.2">
      <c r="A220" s="418"/>
      <c r="B220" s="418"/>
      <c r="C220" s="438"/>
      <c r="D220" s="438"/>
      <c r="E220" s="438"/>
      <c r="F220" s="438"/>
      <c r="G220" s="438"/>
      <c r="H220" s="438"/>
      <c r="I220" s="438"/>
      <c r="J220" s="438"/>
      <c r="K220" s="438"/>
      <c r="L220" s="438"/>
      <c r="M220" s="438"/>
      <c r="N220" s="438"/>
      <c r="O220" s="438"/>
    </row>
    <row r="221" spans="1:15" s="439" customFormat="1" ht="12" x14ac:dyDescent="0.2">
      <c r="A221" s="418"/>
      <c r="B221" s="418"/>
      <c r="C221" s="438"/>
      <c r="D221" s="438"/>
      <c r="E221" s="438"/>
      <c r="F221" s="438"/>
      <c r="G221" s="438"/>
      <c r="H221" s="438"/>
      <c r="I221" s="438"/>
      <c r="J221" s="438"/>
      <c r="K221" s="438"/>
      <c r="L221" s="438"/>
      <c r="M221" s="438"/>
      <c r="N221" s="438"/>
      <c r="O221" s="438"/>
    </row>
  </sheetData>
  <mergeCells count="4">
    <mergeCell ref="C7:G7"/>
    <mergeCell ref="A1:O1"/>
    <mergeCell ref="A74:O74"/>
    <mergeCell ref="C80:G80"/>
  </mergeCells>
  <phoneticPr fontId="9" type="noConversion"/>
  <printOptions horizontalCentered="1"/>
  <pageMargins left="0.5" right="0.5" top="0.5" bottom="0.625" header="0.5" footer="0.5"/>
  <pageSetup scale="74" fitToHeight="2" orientation="landscape" r:id="rId1"/>
  <headerFooter alignWithMargins="0"/>
  <rowBreaks count="1" manualBreakCount="1">
    <brk id="73"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tabColor theme="6" tint="0.39997558519241921"/>
    <pageSetUpPr fitToPage="1"/>
  </sheetPr>
  <dimension ref="A1:Z131"/>
  <sheetViews>
    <sheetView view="pageBreakPreview" zoomScale="115" zoomScaleNormal="100" zoomScaleSheetLayoutView="115" workbookViewId="0">
      <pane xSplit="1" ySplit="11" topLeftCell="B12" activePane="bottomRight" state="frozen"/>
      <selection activeCell="Z13" activeCellId="3" sqref="Z18 Z17 Z15 Z13"/>
      <selection pane="topRight" activeCell="Z13" activeCellId="3" sqref="Z18 Z17 Z15 Z13"/>
      <selection pane="bottomLeft" activeCell="Z13" activeCellId="3" sqref="Z18 Z17 Z15 Z13"/>
      <selection pane="bottomRight" activeCell="Z13" activeCellId="3" sqref="Z18 Z17 Z15 Z13"/>
    </sheetView>
  </sheetViews>
  <sheetFormatPr defaultColWidth="9.140625" defaultRowHeight="12.75" x14ac:dyDescent="0.2"/>
  <cols>
    <col min="1" max="1" width="41.42578125" style="434" customWidth="1"/>
    <col min="2" max="2" width="1.5703125" style="434" customWidth="1"/>
    <col min="3" max="3" width="14.42578125" style="437" customWidth="1"/>
    <col min="4" max="4" width="1.5703125" style="437" customWidth="1"/>
    <col min="5" max="5" width="14.42578125" style="437" customWidth="1"/>
    <col min="6" max="6" width="1.5703125" style="437" customWidth="1"/>
    <col min="7" max="7" width="14.42578125" style="437" customWidth="1"/>
    <col min="8" max="8" width="1.5703125" style="437" customWidth="1"/>
    <col min="9" max="9" width="14.42578125" style="437" customWidth="1"/>
    <col min="10" max="10" width="1.5703125" style="437" customWidth="1"/>
    <col min="11" max="11" width="14.42578125" style="437" customWidth="1"/>
    <col min="12" max="12" width="1.5703125" style="437" customWidth="1"/>
    <col min="13" max="13" width="14.42578125" style="437" customWidth="1"/>
    <col min="14" max="14" width="1.5703125" style="437" customWidth="1"/>
    <col min="15" max="15" width="15.140625" style="437" customWidth="1"/>
    <col min="16" max="16384" width="9.140625" style="202"/>
  </cols>
  <sheetData>
    <row r="1" spans="1:16" s="462" customFormat="1" ht="16.5" customHeight="1" thickBot="1" x14ac:dyDescent="0.25">
      <c r="A1" s="1582" t="s">
        <v>1033</v>
      </c>
      <c r="B1" s="1582"/>
      <c r="C1" s="1582"/>
      <c r="D1" s="1582"/>
      <c r="E1" s="1582"/>
      <c r="F1" s="1582"/>
      <c r="G1" s="1582"/>
      <c r="H1" s="1582"/>
      <c r="I1" s="1582"/>
      <c r="J1" s="1582"/>
      <c r="K1" s="1582"/>
      <c r="L1" s="1582"/>
      <c r="M1" s="1582"/>
      <c r="N1" s="1582"/>
      <c r="O1" s="1582"/>
      <c r="P1" s="728"/>
    </row>
    <row r="2" spans="1:16" s="531" customFormat="1" ht="15" customHeight="1" x14ac:dyDescent="0.2">
      <c r="A2" s="700" t="s">
        <v>1777</v>
      </c>
      <c r="C2" s="722"/>
      <c r="D2" s="722"/>
      <c r="E2" s="722"/>
      <c r="F2" s="722"/>
      <c r="G2" s="722"/>
      <c r="H2" s="722"/>
      <c r="I2" s="722"/>
      <c r="J2" s="722"/>
      <c r="K2" s="722"/>
      <c r="L2" s="722"/>
      <c r="M2" s="722"/>
      <c r="N2" s="722"/>
      <c r="O2" s="722"/>
      <c r="P2" s="716"/>
    </row>
    <row r="3" spans="1:16" s="531" customFormat="1" ht="15" customHeight="1" x14ac:dyDescent="0.2">
      <c r="A3" s="700" t="s">
        <v>599</v>
      </c>
      <c r="C3" s="722"/>
      <c r="D3" s="722"/>
      <c r="E3" s="722"/>
      <c r="F3" s="722"/>
      <c r="G3" s="722"/>
      <c r="H3" s="722"/>
      <c r="I3" s="722"/>
      <c r="J3" s="722"/>
      <c r="K3" s="722"/>
      <c r="L3" s="722"/>
      <c r="M3" s="722"/>
      <c r="N3" s="722"/>
      <c r="O3" s="722"/>
      <c r="P3" s="716"/>
    </row>
    <row r="4" spans="1:16" s="532" customFormat="1" ht="12.95" customHeight="1" x14ac:dyDescent="0.2">
      <c r="A4" s="1579" t="s">
        <v>1725</v>
      </c>
      <c r="B4" s="1579"/>
      <c r="C4" s="1579"/>
      <c r="D4" s="733"/>
      <c r="E4" s="733"/>
      <c r="F4" s="506"/>
      <c r="G4" s="506"/>
      <c r="H4" s="733"/>
      <c r="I4" s="733"/>
      <c r="J4" s="733"/>
      <c r="K4" s="733"/>
      <c r="L4" s="733"/>
      <c r="M4" s="733"/>
      <c r="N4" s="733"/>
      <c r="O4" s="733"/>
      <c r="P4" s="736"/>
    </row>
    <row r="5" spans="1:16" s="253" customFormat="1" ht="12" customHeight="1" x14ac:dyDescent="0.2">
      <c r="A5" s="253" t="s">
        <v>972</v>
      </c>
      <c r="B5" s="718"/>
      <c r="C5" s="725"/>
    </row>
    <row r="6" spans="1:16" s="508" customFormat="1" ht="12.6" customHeight="1" x14ac:dyDescent="0.2">
      <c r="A6" s="336"/>
      <c r="B6" s="212"/>
      <c r="C6" s="468"/>
      <c r="D6" s="468"/>
      <c r="E6" s="468"/>
      <c r="F6" s="468"/>
      <c r="G6" s="468"/>
      <c r="H6" s="468"/>
      <c r="I6" s="468"/>
      <c r="J6" s="468"/>
      <c r="K6" s="468"/>
      <c r="L6" s="468"/>
      <c r="M6" s="468"/>
      <c r="N6" s="468"/>
      <c r="O6" s="468"/>
      <c r="P6" s="469"/>
    </row>
    <row r="7" spans="1:16" s="470" customFormat="1" ht="12.6" customHeight="1" x14ac:dyDescent="0.2">
      <c r="A7" s="310"/>
      <c r="B7" s="310"/>
      <c r="C7" s="1576" t="s">
        <v>600</v>
      </c>
      <c r="D7" s="1576"/>
      <c r="E7" s="1576"/>
      <c r="F7" s="1576"/>
      <c r="G7" s="1576"/>
      <c r="H7" s="467"/>
      <c r="I7" s="467"/>
      <c r="J7" s="467"/>
      <c r="K7" s="467"/>
      <c r="L7" s="467"/>
      <c r="M7" s="467"/>
      <c r="N7" s="467"/>
      <c r="O7" s="467"/>
      <c r="P7" s="469"/>
    </row>
    <row r="8" spans="1:16" s="470" customFormat="1" ht="12.6" customHeight="1" x14ac:dyDescent="0.2">
      <c r="A8" s="310"/>
      <c r="B8" s="310"/>
      <c r="C8" s="310"/>
      <c r="D8" s="310"/>
      <c r="E8" s="310"/>
      <c r="F8" s="310"/>
      <c r="G8" s="310"/>
      <c r="H8" s="467"/>
      <c r="I8" s="467"/>
      <c r="J8" s="467"/>
      <c r="K8" s="467"/>
      <c r="L8" s="467"/>
      <c r="N8" s="467"/>
      <c r="O8" s="467"/>
      <c r="P8" s="469"/>
    </row>
    <row r="9" spans="1:16" s="470" customFormat="1" ht="12.6" customHeight="1" x14ac:dyDescent="0.2">
      <c r="A9" s="310"/>
      <c r="B9" s="310"/>
      <c r="C9" s="467" t="s">
        <v>326</v>
      </c>
      <c r="D9" s="467"/>
      <c r="E9" s="336"/>
      <c r="F9" s="467"/>
      <c r="G9" s="467"/>
      <c r="H9" s="467"/>
      <c r="I9" s="468"/>
      <c r="J9" s="467"/>
      <c r="K9" s="467" t="s">
        <v>256</v>
      </c>
      <c r="L9" s="467"/>
      <c r="M9" s="467" t="s">
        <v>861</v>
      </c>
      <c r="N9" s="467"/>
      <c r="O9" s="467" t="s">
        <v>671</v>
      </c>
      <c r="P9" s="469"/>
    </row>
    <row r="10" spans="1:16" s="470" customFormat="1" ht="12.6" customHeight="1" x14ac:dyDescent="0.2">
      <c r="A10" s="310"/>
      <c r="B10" s="310"/>
      <c r="C10" s="467" t="s">
        <v>306</v>
      </c>
      <c r="D10" s="467"/>
      <c r="E10" s="310" t="s">
        <v>325</v>
      </c>
      <c r="F10" s="467"/>
      <c r="G10" s="467" t="s">
        <v>328</v>
      </c>
      <c r="I10" s="467" t="s">
        <v>335</v>
      </c>
      <c r="J10" s="467"/>
      <c r="K10" s="467" t="s">
        <v>58</v>
      </c>
      <c r="L10" s="467"/>
      <c r="M10" s="467" t="s">
        <v>228</v>
      </c>
      <c r="N10" s="467"/>
      <c r="O10" s="467" t="s">
        <v>58</v>
      </c>
      <c r="P10" s="469"/>
    </row>
    <row r="11" spans="1:16" s="470" customFormat="1" ht="12.6" customHeight="1" x14ac:dyDescent="0.2">
      <c r="A11" s="310"/>
      <c r="B11" s="310"/>
      <c r="C11" s="471" t="s">
        <v>327</v>
      </c>
      <c r="D11" s="467"/>
      <c r="E11" s="574" t="s">
        <v>232</v>
      </c>
      <c r="F11" s="467"/>
      <c r="G11" s="471" t="s">
        <v>329</v>
      </c>
      <c r="H11" s="467"/>
      <c r="I11" s="471" t="s">
        <v>838</v>
      </c>
      <c r="J11" s="467"/>
      <c r="K11" s="471" t="s">
        <v>838</v>
      </c>
      <c r="L11" s="467"/>
      <c r="M11" s="471" t="s">
        <v>838</v>
      </c>
      <c r="N11" s="467"/>
      <c r="O11" s="471" t="s">
        <v>977</v>
      </c>
      <c r="P11" s="469"/>
    </row>
    <row r="12" spans="1:16" s="439" customFormat="1" ht="9.9499999999999993" customHeight="1" x14ac:dyDescent="0.2">
      <c r="A12" s="644" t="s">
        <v>1018</v>
      </c>
      <c r="B12" s="418"/>
      <c r="C12" s="438"/>
      <c r="D12" s="438"/>
      <c r="E12" s="438"/>
      <c r="F12" s="438"/>
      <c r="G12" s="438"/>
      <c r="H12" s="438"/>
      <c r="I12" s="438"/>
      <c r="J12" s="438"/>
      <c r="K12" s="438"/>
      <c r="L12" s="438"/>
      <c r="M12" s="438"/>
      <c r="N12" s="438"/>
      <c r="O12" s="438"/>
    </row>
    <row r="13" spans="1:16" s="439" customFormat="1" ht="9.9499999999999993" customHeight="1" x14ac:dyDescent="0.2">
      <c r="A13" s="425" t="s">
        <v>948</v>
      </c>
      <c r="B13" s="418"/>
      <c r="C13" s="1372">
        <v>184192</v>
      </c>
      <c r="D13" s="448"/>
      <c r="E13" s="339">
        <v>19458</v>
      </c>
      <c r="F13" s="448"/>
      <c r="G13" s="649">
        <v>14760</v>
      </c>
      <c r="H13" s="448"/>
      <c r="I13" s="649">
        <v>87106</v>
      </c>
      <c r="J13" s="448"/>
      <c r="K13" s="1548">
        <v>146483</v>
      </c>
      <c r="L13" s="448"/>
      <c r="M13" s="1537">
        <v>28421</v>
      </c>
      <c r="N13" s="448"/>
      <c r="O13" s="649">
        <f>SUM(C13:M13)</f>
        <v>480420</v>
      </c>
      <c r="P13" s="440">
        <f>+C13+E13+G13+I13+K13+M13-O13</f>
        <v>0</v>
      </c>
    </row>
    <row r="14" spans="1:16" s="439" customFormat="1" ht="5.0999999999999996" customHeight="1" x14ac:dyDescent="0.2">
      <c r="A14" s="418"/>
      <c r="B14" s="418"/>
      <c r="C14" s="1012"/>
      <c r="D14" s="438"/>
      <c r="E14" s="366"/>
      <c r="F14" s="438"/>
      <c r="G14" s="438"/>
      <c r="H14" s="438"/>
      <c r="I14" s="438"/>
      <c r="J14" s="438"/>
      <c r="K14" s="1543"/>
      <c r="L14" s="438"/>
      <c r="M14" s="438"/>
      <c r="N14" s="438"/>
      <c r="O14" s="448"/>
    </row>
    <row r="15" spans="1:16" s="439" customFormat="1" ht="11.1" customHeight="1" x14ac:dyDescent="0.2">
      <c r="A15" s="644" t="s">
        <v>372</v>
      </c>
      <c r="B15" s="450"/>
      <c r="C15" s="455">
        <f>SUM(C13:C14)</f>
        <v>184192</v>
      </c>
      <c r="D15" s="450"/>
      <c r="E15" s="341">
        <f>SUM(E13:E14)</f>
        <v>19458</v>
      </c>
      <c r="F15" s="450"/>
      <c r="G15" s="455">
        <f>SUM(G13:G13)</f>
        <v>14760</v>
      </c>
      <c r="H15" s="450"/>
      <c r="I15" s="455">
        <f>SUM(I13:I13)</f>
        <v>87106</v>
      </c>
      <c r="J15" s="450"/>
      <c r="K15" s="1525">
        <f>SUM(K13:K13)</f>
        <v>146483</v>
      </c>
      <c r="L15" s="450"/>
      <c r="M15" s="455">
        <f>SUM(M13:M13)</f>
        <v>28421</v>
      </c>
      <c r="N15" s="450"/>
      <c r="O15" s="455">
        <f>SUM(O13:O13)</f>
        <v>480420</v>
      </c>
    </row>
    <row r="16" spans="1:16" s="439" customFormat="1" ht="5.0999999999999996" customHeight="1" x14ac:dyDescent="0.2">
      <c r="A16" s="418"/>
      <c r="B16" s="450"/>
      <c r="C16" s="1012"/>
      <c r="D16" s="450"/>
      <c r="E16" s="273"/>
      <c r="F16" s="450"/>
      <c r="G16" s="450"/>
      <c r="H16" s="450"/>
      <c r="I16" s="450"/>
      <c r="J16" s="450"/>
      <c r="K16" s="1533"/>
      <c r="L16" s="450"/>
      <c r="M16" s="450"/>
      <c r="N16" s="450"/>
      <c r="O16" s="450"/>
    </row>
    <row r="17" spans="1:16" s="439" customFormat="1" ht="9.9499999999999993" customHeight="1" x14ac:dyDescent="0.2">
      <c r="A17" s="417" t="s">
        <v>601</v>
      </c>
      <c r="B17" s="450"/>
      <c r="C17" s="1012"/>
      <c r="D17" s="450"/>
      <c r="E17" s="273"/>
      <c r="F17" s="450"/>
      <c r="G17" s="450"/>
      <c r="H17" s="450"/>
      <c r="I17" s="450"/>
      <c r="J17" s="450"/>
      <c r="K17" s="1533"/>
      <c r="L17" s="450"/>
      <c r="M17" s="450"/>
      <c r="N17" s="450"/>
      <c r="O17" s="450"/>
    </row>
    <row r="18" spans="1:16" s="439" customFormat="1" ht="9.9499999999999993" customHeight="1" x14ac:dyDescent="0.2">
      <c r="A18" s="425" t="s">
        <v>375</v>
      </c>
      <c r="B18" s="450"/>
      <c r="C18" s="1012">
        <v>12708</v>
      </c>
      <c r="D18" s="450"/>
      <c r="E18" s="273">
        <v>2478</v>
      </c>
      <c r="F18" s="450"/>
      <c r="G18" s="450">
        <v>2184</v>
      </c>
      <c r="H18" s="450"/>
      <c r="I18" s="450">
        <v>41624</v>
      </c>
      <c r="J18" s="450"/>
      <c r="K18" s="1533">
        <v>39550</v>
      </c>
      <c r="L18" s="450"/>
      <c r="M18" s="1538">
        <v>20963</v>
      </c>
      <c r="N18" s="450"/>
      <c r="O18" s="450">
        <f t="shared" ref="O18:O24" si="0">SUM(C18:M18)</f>
        <v>119507</v>
      </c>
      <c r="P18" s="440">
        <f t="shared" ref="P18:P24" si="1">+C18+E18+G18+I18+K18+M18-O18</f>
        <v>0</v>
      </c>
    </row>
    <row r="19" spans="1:16" s="439" customFormat="1" ht="9.9499999999999993" customHeight="1" x14ac:dyDescent="0.2">
      <c r="A19" s="425" t="s">
        <v>376</v>
      </c>
      <c r="B19" s="450"/>
      <c r="C19" s="1012">
        <v>16635</v>
      </c>
      <c r="D19" s="450"/>
      <c r="E19" s="273">
        <v>221</v>
      </c>
      <c r="F19" s="450"/>
      <c r="G19" s="450">
        <v>2238</v>
      </c>
      <c r="H19" s="450"/>
      <c r="I19" s="450">
        <v>25121</v>
      </c>
      <c r="J19" s="450"/>
      <c r="K19" s="1533">
        <v>10494</v>
      </c>
      <c r="L19" s="450"/>
      <c r="M19" s="1539">
        <v>1088</v>
      </c>
      <c r="N19" s="450"/>
      <c r="O19" s="450">
        <f t="shared" si="0"/>
        <v>55797</v>
      </c>
      <c r="P19" s="440">
        <f t="shared" si="1"/>
        <v>0</v>
      </c>
    </row>
    <row r="20" spans="1:16" s="439" customFormat="1" ht="9.9499999999999993" customHeight="1" x14ac:dyDescent="0.2">
      <c r="A20" s="425" t="s">
        <v>377</v>
      </c>
      <c r="B20" s="450"/>
      <c r="C20" s="1012">
        <v>73</v>
      </c>
      <c r="D20" s="450"/>
      <c r="E20" s="273">
        <v>29</v>
      </c>
      <c r="F20" s="450"/>
      <c r="G20" s="450">
        <v>48</v>
      </c>
      <c r="H20" s="450"/>
      <c r="I20" s="450">
        <v>1152</v>
      </c>
      <c r="J20" s="450"/>
      <c r="K20" s="1533">
        <v>2320</v>
      </c>
      <c r="L20" s="450"/>
      <c r="M20" s="1538">
        <v>418</v>
      </c>
      <c r="N20" s="450"/>
      <c r="O20" s="450">
        <f t="shared" si="0"/>
        <v>4040</v>
      </c>
      <c r="P20" s="440">
        <f t="shared" si="1"/>
        <v>0</v>
      </c>
    </row>
    <row r="21" spans="1:16" s="439" customFormat="1" ht="9.9499999999999993" customHeight="1" x14ac:dyDescent="0.2">
      <c r="A21" s="425" t="s">
        <v>1131</v>
      </c>
      <c r="B21" s="450"/>
      <c r="C21" s="1012"/>
      <c r="D21" s="450"/>
      <c r="E21" s="273"/>
      <c r="F21" s="450"/>
      <c r="G21" s="450"/>
      <c r="H21" s="450"/>
      <c r="I21" s="450"/>
      <c r="J21" s="450"/>
      <c r="K21" s="1533">
        <v>36655</v>
      </c>
      <c r="L21" s="450"/>
      <c r="M21" s="450"/>
      <c r="N21" s="450"/>
      <c r="O21" s="450">
        <f t="shared" si="0"/>
        <v>36655</v>
      </c>
      <c r="P21" s="440">
        <f t="shared" si="1"/>
        <v>0</v>
      </c>
    </row>
    <row r="22" spans="1:16" s="439" customFormat="1" ht="9.9499999999999993" customHeight="1" x14ac:dyDescent="0.2">
      <c r="A22" s="425" t="s">
        <v>367</v>
      </c>
      <c r="B22" s="450"/>
      <c r="C22" s="1012">
        <v>166391</v>
      </c>
      <c r="D22" s="450"/>
      <c r="E22" s="273">
        <v>16259</v>
      </c>
      <c r="F22" s="450"/>
      <c r="G22" s="450">
        <v>11083</v>
      </c>
      <c r="H22" s="450"/>
      <c r="I22" s="450"/>
      <c r="J22" s="450"/>
      <c r="K22" s="1533"/>
      <c r="L22" s="450"/>
      <c r="M22" s="450"/>
      <c r="N22" s="450"/>
      <c r="O22" s="450">
        <f t="shared" si="0"/>
        <v>193733</v>
      </c>
      <c r="P22" s="440">
        <f t="shared" si="1"/>
        <v>0</v>
      </c>
    </row>
    <row r="23" spans="1:16" s="439" customFormat="1" ht="9.9499999999999993" customHeight="1" x14ac:dyDescent="0.2">
      <c r="A23" s="425" t="s">
        <v>678</v>
      </c>
      <c r="B23" s="450"/>
      <c r="C23" s="1012">
        <v>3871</v>
      </c>
      <c r="D23" s="450"/>
      <c r="E23" s="273">
        <v>10639</v>
      </c>
      <c r="F23" s="450"/>
      <c r="G23" s="450">
        <v>1368</v>
      </c>
      <c r="H23" s="450"/>
      <c r="I23" s="450">
        <v>20241</v>
      </c>
      <c r="J23" s="450"/>
      <c r="K23" s="1533">
        <v>22088</v>
      </c>
      <c r="L23" s="450"/>
      <c r="M23" s="450">
        <v>4861</v>
      </c>
      <c r="N23" s="450"/>
      <c r="O23" s="450">
        <f t="shared" si="0"/>
        <v>63068</v>
      </c>
      <c r="P23" s="440">
        <f t="shared" si="1"/>
        <v>0</v>
      </c>
    </row>
    <row r="24" spans="1:16" s="439" customFormat="1" ht="9.9499999999999993" customHeight="1" x14ac:dyDescent="0.2">
      <c r="A24" s="425" t="s">
        <v>378</v>
      </c>
      <c r="B24" s="450"/>
      <c r="C24" s="1013"/>
      <c r="D24" s="450"/>
      <c r="E24" s="273"/>
      <c r="F24" s="450"/>
      <c r="G24" s="455">
        <v>10</v>
      </c>
      <c r="H24" s="450"/>
      <c r="I24" s="455">
        <v>47</v>
      </c>
      <c r="J24" s="450"/>
      <c r="K24" s="1525">
        <v>37478</v>
      </c>
      <c r="L24" s="450"/>
      <c r="M24" s="455">
        <v>47</v>
      </c>
      <c r="N24" s="450"/>
      <c r="O24" s="450">
        <f t="shared" si="0"/>
        <v>37582</v>
      </c>
      <c r="P24" s="440">
        <f t="shared" si="1"/>
        <v>0</v>
      </c>
    </row>
    <row r="25" spans="1:16" s="439" customFormat="1" ht="5.0999999999999996" customHeight="1" x14ac:dyDescent="0.2">
      <c r="A25" s="418"/>
      <c r="B25" s="450"/>
      <c r="C25" s="1012"/>
      <c r="D25" s="450"/>
      <c r="E25" s="366"/>
      <c r="F25" s="450"/>
      <c r="G25" s="438"/>
      <c r="H25" s="450"/>
      <c r="I25" s="438"/>
      <c r="J25" s="450"/>
      <c r="K25" s="1543"/>
      <c r="L25" s="450"/>
      <c r="M25" s="438"/>
      <c r="N25" s="450"/>
      <c r="O25" s="452"/>
    </row>
    <row r="26" spans="1:16" s="439" customFormat="1" ht="11.1" customHeight="1" x14ac:dyDescent="0.2">
      <c r="A26" s="417" t="s">
        <v>379</v>
      </c>
      <c r="B26" s="450"/>
      <c r="C26" s="455">
        <f>SUM(C18:C24)</f>
        <v>199678</v>
      </c>
      <c r="D26" s="450"/>
      <c r="E26" s="455">
        <f>SUM(E18:E24)</f>
        <v>29626</v>
      </c>
      <c r="F26" s="450"/>
      <c r="G26" s="455">
        <f>SUM(G18:G24)</f>
        <v>16931</v>
      </c>
      <c r="H26" s="450"/>
      <c r="I26" s="455">
        <f>SUM(I18:I24)</f>
        <v>88185</v>
      </c>
      <c r="J26" s="450"/>
      <c r="K26" s="1525">
        <f>SUM(K18:K24)</f>
        <v>148585</v>
      </c>
      <c r="L26" s="450"/>
      <c r="M26" s="455">
        <f>SUM(M18:M24)</f>
        <v>27377</v>
      </c>
      <c r="N26" s="450"/>
      <c r="O26" s="455">
        <f>SUM(O18:O24)</f>
        <v>510382</v>
      </c>
      <c r="P26" s="440">
        <f>+C26+E26+G26+I26+K26+M26-O26</f>
        <v>0</v>
      </c>
    </row>
    <row r="27" spans="1:16" s="439" customFormat="1" ht="5.0999999999999996" customHeight="1" x14ac:dyDescent="0.2">
      <c r="A27" s="418"/>
      <c r="B27" s="450"/>
      <c r="C27" s="1012"/>
      <c r="D27" s="450"/>
      <c r="E27" s="366"/>
      <c r="F27" s="450"/>
      <c r="G27" s="438"/>
      <c r="H27" s="450"/>
      <c r="I27" s="438"/>
      <c r="J27" s="450"/>
      <c r="K27" s="1543"/>
      <c r="L27" s="450"/>
      <c r="M27" s="438"/>
      <c r="N27" s="450"/>
      <c r="O27" s="450"/>
    </row>
    <row r="28" spans="1:16" s="439" customFormat="1" ht="11.1" customHeight="1" x14ac:dyDescent="0.2">
      <c r="A28" s="644" t="s">
        <v>380</v>
      </c>
      <c r="B28" s="450"/>
      <c r="C28" s="455">
        <f>C15-C26</f>
        <v>-15486</v>
      </c>
      <c r="D28" s="450"/>
      <c r="E28" s="455">
        <f>SUM(E15-E26)</f>
        <v>-10168</v>
      </c>
      <c r="F28" s="450"/>
      <c r="G28" s="455">
        <f>SUM(G15-G26)</f>
        <v>-2171</v>
      </c>
      <c r="H28" s="450"/>
      <c r="I28" s="455">
        <f>SUM(I15-I26)</f>
        <v>-1079</v>
      </c>
      <c r="J28" s="450"/>
      <c r="K28" s="1525">
        <f>SUM(K15-K26)</f>
        <v>-2102</v>
      </c>
      <c r="L28" s="450"/>
      <c r="M28" s="455">
        <f>+M15-M26</f>
        <v>1044</v>
      </c>
      <c r="N28" s="450"/>
      <c r="O28" s="455">
        <f>SUM(O15-O26)</f>
        <v>-29962</v>
      </c>
      <c r="P28" s="440">
        <f>+C28+E28+G28+I28+K28+M28-O28</f>
        <v>0</v>
      </c>
    </row>
    <row r="29" spans="1:16" s="439" customFormat="1" ht="5.0999999999999996" customHeight="1" x14ac:dyDescent="0.2">
      <c r="A29" s="418"/>
      <c r="B29" s="450"/>
      <c r="C29" s="1012"/>
      <c r="D29" s="450"/>
      <c r="E29" s="450"/>
      <c r="F29" s="450"/>
      <c r="G29" s="450"/>
      <c r="H29" s="450"/>
      <c r="I29" s="450"/>
      <c r="J29" s="450"/>
      <c r="K29" s="1533"/>
      <c r="L29" s="450"/>
      <c r="M29" s="450"/>
      <c r="N29" s="450"/>
      <c r="O29" s="450"/>
    </row>
    <row r="30" spans="1:16" s="439" customFormat="1" ht="9.9499999999999993" customHeight="1" x14ac:dyDescent="0.2">
      <c r="A30" s="644" t="s">
        <v>602</v>
      </c>
      <c r="B30" s="450"/>
      <c r="C30" s="1012"/>
      <c r="D30" s="450"/>
      <c r="E30" s="450"/>
      <c r="F30" s="450"/>
      <c r="G30" s="450"/>
      <c r="H30" s="450"/>
      <c r="I30" s="450"/>
      <c r="J30" s="450"/>
      <c r="K30" s="1533"/>
      <c r="L30" s="450"/>
      <c r="M30" s="450"/>
      <c r="N30" s="450"/>
      <c r="O30" s="450"/>
    </row>
    <row r="31" spans="1:16" s="439" customFormat="1" ht="9.9499999999999993" customHeight="1" x14ac:dyDescent="0.2">
      <c r="A31" s="425" t="s">
        <v>1664</v>
      </c>
      <c r="B31" s="450"/>
      <c r="C31" s="1012">
        <v>1884</v>
      </c>
      <c r="D31" s="450"/>
      <c r="E31" s="450">
        <v>1927</v>
      </c>
      <c r="F31" s="450"/>
      <c r="G31" s="450">
        <v>2091</v>
      </c>
      <c r="H31" s="450"/>
      <c r="I31" s="450">
        <v>360</v>
      </c>
      <c r="J31" s="450"/>
      <c r="K31" s="1533">
        <v>8349</v>
      </c>
      <c r="L31" s="450"/>
      <c r="M31" s="450">
        <v>1</v>
      </c>
      <c r="N31" s="450"/>
      <c r="O31" s="450">
        <f>SUM(C31:M31)</f>
        <v>14612</v>
      </c>
      <c r="P31" s="440">
        <f>+C31+E31+G31+I31+K31+M31-O31</f>
        <v>0</v>
      </c>
    </row>
    <row r="32" spans="1:16" s="439" customFormat="1" ht="9.9499999999999993" customHeight="1" x14ac:dyDescent="0.2">
      <c r="A32" s="425" t="s">
        <v>381</v>
      </c>
      <c r="B32" s="450"/>
      <c r="C32" s="1012">
        <v>19517</v>
      </c>
      <c r="D32" s="450"/>
      <c r="E32" s="450">
        <v>7</v>
      </c>
      <c r="F32" s="450"/>
      <c r="G32" s="450">
        <v>380</v>
      </c>
      <c r="H32" s="450"/>
      <c r="I32" s="450">
        <v>960</v>
      </c>
      <c r="J32" s="450"/>
      <c r="K32" s="1533">
        <v>759</v>
      </c>
      <c r="L32" s="450"/>
      <c r="M32" s="450">
        <v>9</v>
      </c>
      <c r="N32" s="450"/>
      <c r="O32" s="450">
        <f>SUM(C32:M32)</f>
        <v>21632</v>
      </c>
      <c r="P32" s="440">
        <f>+C32+E32+G32+I32+K32+M32-O32</f>
        <v>0</v>
      </c>
    </row>
    <row r="33" spans="1:16" s="439" customFormat="1" ht="9.9499999999999993" customHeight="1" x14ac:dyDescent="0.2">
      <c r="A33" s="425" t="s">
        <v>1060</v>
      </c>
      <c r="B33" s="450"/>
      <c r="C33" s="1012"/>
      <c r="D33" s="450"/>
      <c r="E33" s="450"/>
      <c r="F33" s="450"/>
      <c r="G33" s="450"/>
      <c r="H33" s="450"/>
      <c r="I33" s="450">
        <v>28</v>
      </c>
      <c r="J33" s="450"/>
      <c r="K33" s="1533">
        <v>3827</v>
      </c>
      <c r="L33" s="450"/>
      <c r="M33" s="450"/>
      <c r="N33" s="450"/>
      <c r="O33" s="450">
        <f>SUM(C33:M33)</f>
        <v>3855</v>
      </c>
      <c r="P33" s="440">
        <f>+C33+E33+G33+I33+K33+M33-O33</f>
        <v>0</v>
      </c>
    </row>
    <row r="34" spans="1:16" s="439" customFormat="1" ht="9.9499999999999993" customHeight="1" x14ac:dyDescent="0.2">
      <c r="A34" s="425" t="s">
        <v>382</v>
      </c>
      <c r="B34" s="450"/>
      <c r="C34" s="1012"/>
      <c r="D34" s="450"/>
      <c r="E34" s="450"/>
      <c r="F34" s="450"/>
      <c r="G34" s="450"/>
      <c r="H34" s="450"/>
      <c r="I34" s="450"/>
      <c r="J34" s="450"/>
      <c r="K34" s="1533">
        <v>-212</v>
      </c>
      <c r="L34" s="450"/>
      <c r="M34" s="450"/>
      <c r="N34" s="450"/>
      <c r="O34" s="450">
        <f>SUM(C34:M34)</f>
        <v>-212</v>
      </c>
    </row>
    <row r="35" spans="1:16" s="439" customFormat="1" ht="9.9499999999999993" customHeight="1" x14ac:dyDescent="0.2">
      <c r="A35" s="425" t="s">
        <v>383</v>
      </c>
      <c r="B35" s="450"/>
      <c r="C35" s="450"/>
      <c r="D35" s="450"/>
      <c r="E35" s="450">
        <v>-24</v>
      </c>
      <c r="F35" s="450"/>
      <c r="G35" s="450"/>
      <c r="H35" s="450"/>
      <c r="I35" s="450"/>
      <c r="J35" s="450"/>
      <c r="K35" s="1533"/>
      <c r="L35" s="450"/>
      <c r="M35" s="450"/>
      <c r="N35" s="450"/>
      <c r="O35" s="450">
        <f>SUM(C35:M35)</f>
        <v>-24</v>
      </c>
    </row>
    <row r="36" spans="1:16" s="439" customFormat="1" ht="5.0999999999999996" customHeight="1" x14ac:dyDescent="0.2">
      <c r="A36" s="418"/>
      <c r="B36" s="450"/>
      <c r="C36" s="1540"/>
      <c r="D36" s="450"/>
      <c r="E36" s="1540"/>
      <c r="F36" s="450"/>
      <c r="G36" s="1540"/>
      <c r="H36" s="450"/>
      <c r="I36" s="1540"/>
      <c r="J36" s="450"/>
      <c r="K36" s="1549"/>
      <c r="L36" s="450"/>
      <c r="M36" s="1540"/>
      <c r="N36" s="450"/>
      <c r="O36" s="452"/>
    </row>
    <row r="37" spans="1:16" s="439" customFormat="1" ht="11.1" customHeight="1" x14ac:dyDescent="0.2">
      <c r="A37" s="644" t="s">
        <v>1293</v>
      </c>
      <c r="B37" s="450"/>
      <c r="C37" s="455">
        <f>SUM(C31:C35)</f>
        <v>21401</v>
      </c>
      <c r="D37" s="450"/>
      <c r="E37" s="455">
        <f>SUM(E31:E35)</f>
        <v>1910</v>
      </c>
      <c r="F37" s="450"/>
      <c r="G37" s="455">
        <f>SUM(G31:G35)</f>
        <v>2471</v>
      </c>
      <c r="H37" s="450"/>
      <c r="I37" s="455">
        <f>SUM(I31:I35)</f>
        <v>1348</v>
      </c>
      <c r="J37" s="450"/>
      <c r="K37" s="1525">
        <f>SUM(K31:K35)</f>
        <v>12723</v>
      </c>
      <c r="L37" s="450"/>
      <c r="M37" s="455">
        <f>SUM(M31:M35)</f>
        <v>10</v>
      </c>
      <c r="N37" s="450"/>
      <c r="O37" s="455">
        <f>SUM(O31:O35)</f>
        <v>39863</v>
      </c>
      <c r="P37" s="440">
        <f>+C37+E37+G37+I37+K37+M37-O37</f>
        <v>0</v>
      </c>
    </row>
    <row r="38" spans="1:16" s="439" customFormat="1" ht="5.0999999999999996" customHeight="1" x14ac:dyDescent="0.2">
      <c r="A38" s="418"/>
      <c r="B38" s="450"/>
      <c r="C38" s="450"/>
      <c r="D38" s="450"/>
      <c r="E38" s="450"/>
      <c r="F38" s="450"/>
      <c r="G38" s="450"/>
      <c r="H38" s="450"/>
      <c r="I38" s="450"/>
      <c r="J38" s="450"/>
      <c r="K38" s="1533"/>
      <c r="L38" s="450"/>
      <c r="M38" s="450"/>
      <c r="N38" s="450"/>
      <c r="O38" s="450">
        <f>SUM(E38:I38)</f>
        <v>0</v>
      </c>
    </row>
    <row r="39" spans="1:16" s="439" customFormat="1" ht="11.1" customHeight="1" x14ac:dyDescent="0.2">
      <c r="A39" s="644" t="s">
        <v>1187</v>
      </c>
      <c r="B39" s="450"/>
      <c r="C39" s="455">
        <f>SUM(C28+C37)</f>
        <v>5915</v>
      </c>
      <c r="D39" s="450"/>
      <c r="E39" s="455">
        <f>SUM(E28+E37)</f>
        <v>-8258</v>
      </c>
      <c r="F39" s="450"/>
      <c r="G39" s="455">
        <f>SUM(G28+G37)</f>
        <v>300</v>
      </c>
      <c r="H39" s="450"/>
      <c r="I39" s="455">
        <f>SUM(I28+I37)</f>
        <v>269</v>
      </c>
      <c r="J39" s="450"/>
      <c r="K39" s="1525">
        <f>SUM(K28+K37)</f>
        <v>10621</v>
      </c>
      <c r="L39" s="450"/>
      <c r="M39" s="455">
        <f>+M28+M37</f>
        <v>1054</v>
      </c>
      <c r="N39" s="450"/>
      <c r="O39" s="455">
        <f>SUM(O28+O37)</f>
        <v>9901</v>
      </c>
      <c r="P39" s="440">
        <f>+C39+E39+G39+I39+K39+M39-O39</f>
        <v>0</v>
      </c>
    </row>
    <row r="40" spans="1:16" s="439" customFormat="1" ht="5.0999999999999996" customHeight="1" x14ac:dyDescent="0.2">
      <c r="A40" s="418"/>
      <c r="B40" s="450"/>
      <c r="C40" s="450"/>
      <c r="D40" s="450"/>
      <c r="E40" s="450"/>
      <c r="F40" s="450"/>
      <c r="G40" s="450"/>
      <c r="H40" s="450"/>
      <c r="I40" s="450"/>
      <c r="J40" s="450"/>
      <c r="K40" s="1533"/>
      <c r="L40" s="450"/>
      <c r="M40" s="450"/>
      <c r="N40" s="450"/>
      <c r="O40" s="450"/>
    </row>
    <row r="41" spans="1:16" s="439" customFormat="1" ht="9.9499999999999993" customHeight="1" x14ac:dyDescent="0.2">
      <c r="A41" s="644" t="s">
        <v>43</v>
      </c>
      <c r="B41" s="450"/>
      <c r="C41" s="450"/>
      <c r="D41" s="450"/>
      <c r="E41" s="450"/>
      <c r="F41" s="450"/>
      <c r="G41" s="450"/>
      <c r="H41" s="450"/>
      <c r="I41" s="450"/>
      <c r="J41" s="450"/>
      <c r="K41" s="1533"/>
      <c r="L41" s="450"/>
      <c r="M41" s="450"/>
      <c r="N41" s="450"/>
      <c r="O41" s="450"/>
    </row>
    <row r="42" spans="1:16" s="439" customFormat="1" ht="9.9499999999999993" customHeight="1" x14ac:dyDescent="0.2">
      <c r="A42" s="425" t="s">
        <v>21</v>
      </c>
      <c r="B42" s="450"/>
      <c r="C42" s="450"/>
      <c r="D42" s="450"/>
      <c r="E42" s="450">
        <v>7000</v>
      </c>
      <c r="F42" s="450"/>
      <c r="G42" s="450">
        <v>6080</v>
      </c>
      <c r="H42" s="450"/>
      <c r="I42" s="450">
        <v>765</v>
      </c>
      <c r="J42" s="450"/>
      <c r="K42" s="1533">
        <v>11212</v>
      </c>
      <c r="L42" s="450"/>
      <c r="M42" s="450">
        <v>30</v>
      </c>
      <c r="N42" s="450"/>
      <c r="O42" s="450">
        <f>SUM(C42:M42)</f>
        <v>25087</v>
      </c>
    </row>
    <row r="43" spans="1:16" s="439" customFormat="1" ht="9.9499999999999993" customHeight="1" x14ac:dyDescent="0.2">
      <c r="A43" s="425" t="s">
        <v>22</v>
      </c>
      <c r="B43" s="450"/>
      <c r="C43" s="455">
        <v>-147</v>
      </c>
      <c r="D43" s="450"/>
      <c r="E43" s="455">
        <v>-80</v>
      </c>
      <c r="F43" s="450"/>
      <c r="G43" s="455">
        <v>-160</v>
      </c>
      <c r="H43" s="450"/>
      <c r="I43" s="455">
        <v>-474</v>
      </c>
      <c r="J43" s="450"/>
      <c r="K43" s="1525">
        <v>-4428</v>
      </c>
      <c r="L43" s="450"/>
      <c r="M43" s="455">
        <v>-698</v>
      </c>
      <c r="N43" s="450"/>
      <c r="O43" s="450">
        <f>SUM(C43:M43)</f>
        <v>-5987</v>
      </c>
    </row>
    <row r="44" spans="1:16" s="439" customFormat="1" ht="5.0999999999999996" customHeight="1" x14ac:dyDescent="0.2">
      <c r="A44" s="418"/>
      <c r="B44" s="450"/>
      <c r="C44" s="1012"/>
      <c r="D44" s="450"/>
      <c r="E44" s="366"/>
      <c r="F44" s="450"/>
      <c r="G44" s="438"/>
      <c r="H44" s="450"/>
      <c r="I44" s="450"/>
      <c r="J44" s="450"/>
      <c r="K44" s="438"/>
      <c r="L44" s="450"/>
      <c r="M44" s="450"/>
      <c r="N44" s="450"/>
      <c r="O44" s="452"/>
    </row>
    <row r="45" spans="1:16" s="439" customFormat="1" ht="11.1" customHeight="1" x14ac:dyDescent="0.2">
      <c r="A45" s="644" t="s">
        <v>1335</v>
      </c>
      <c r="B45" s="450"/>
      <c r="C45" s="455">
        <f>SUM(C42:C43)</f>
        <v>-147</v>
      </c>
      <c r="D45" s="450"/>
      <c r="E45" s="455">
        <f>SUM(E42:E43)</f>
        <v>6920</v>
      </c>
      <c r="F45" s="450"/>
      <c r="G45" s="455">
        <f>SUM(G42:G43)</f>
        <v>5920</v>
      </c>
      <c r="H45" s="450"/>
      <c r="I45" s="455">
        <f>SUM(I42:I43)</f>
        <v>291</v>
      </c>
      <c r="J45" s="450"/>
      <c r="K45" s="455">
        <f>SUM(K42:K43)</f>
        <v>6784</v>
      </c>
      <c r="L45" s="450"/>
      <c r="M45" s="455">
        <f>SUM(M42:M43)</f>
        <v>-668</v>
      </c>
      <c r="N45" s="450"/>
      <c r="O45" s="455">
        <f>SUM(O42:O44)</f>
        <v>19100</v>
      </c>
    </row>
    <row r="46" spans="1:16" s="439" customFormat="1" ht="5.0999999999999996" customHeight="1" x14ac:dyDescent="0.2">
      <c r="A46" s="418"/>
      <c r="B46" s="450"/>
      <c r="C46" s="1012"/>
      <c r="D46" s="450"/>
      <c r="E46" s="366"/>
      <c r="F46" s="450"/>
      <c r="G46" s="438"/>
      <c r="H46" s="450"/>
      <c r="I46" s="450"/>
      <c r="J46" s="450"/>
      <c r="K46" s="438"/>
      <c r="L46" s="450"/>
      <c r="M46" s="450"/>
      <c r="N46" s="450"/>
      <c r="O46" s="450"/>
    </row>
    <row r="47" spans="1:16" s="439" customFormat="1" ht="9.9499999999999993" customHeight="1" x14ac:dyDescent="0.2">
      <c r="A47" s="644" t="s">
        <v>1111</v>
      </c>
      <c r="B47" s="450"/>
      <c r="C47" s="450">
        <f>SUM(C39+C45)</f>
        <v>5768</v>
      </c>
      <c r="D47" s="450"/>
      <c r="E47" s="450">
        <f>SUM(E39+E45)</f>
        <v>-1338</v>
      </c>
      <c r="F47" s="450"/>
      <c r="G47" s="450">
        <f>SUM(G39+G45)</f>
        <v>6220</v>
      </c>
      <c r="H47" s="450"/>
      <c r="I47" s="450">
        <f>SUM(I39+I45)</f>
        <v>560</v>
      </c>
      <c r="J47" s="450"/>
      <c r="K47" s="450">
        <f>SUM(K39+K45)</f>
        <v>17405</v>
      </c>
      <c r="L47" s="450"/>
      <c r="M47" s="450">
        <f>SUM(M39+M45)</f>
        <v>386</v>
      </c>
      <c r="N47" s="450"/>
      <c r="O47" s="450">
        <f>SUM(C47:M47)</f>
        <v>29001</v>
      </c>
      <c r="P47" s="451">
        <f>+O15-O26+O37+O45</f>
        <v>29001</v>
      </c>
    </row>
    <row r="48" spans="1:16" s="439" customFormat="1" ht="5.0999999999999996" customHeight="1" x14ac:dyDescent="0.2">
      <c r="A48" s="418"/>
      <c r="B48" s="450"/>
      <c r="C48" s="1012"/>
      <c r="D48" s="450"/>
      <c r="E48" s="254"/>
      <c r="F48" s="450"/>
      <c r="G48" s="438"/>
      <c r="H48" s="450"/>
      <c r="I48" s="450"/>
      <c r="J48" s="450"/>
      <c r="K48" s="438"/>
      <c r="L48" s="450"/>
      <c r="M48" s="450"/>
      <c r="N48" s="450"/>
      <c r="O48" s="450"/>
    </row>
    <row r="49" spans="1:26" s="439" customFormat="1" ht="11.1" customHeight="1" x14ac:dyDescent="0.2">
      <c r="A49" s="398" t="s">
        <v>1692</v>
      </c>
      <c r="B49" s="450"/>
      <c r="C49" s="455">
        <v>5506</v>
      </c>
      <c r="D49" s="450"/>
      <c r="E49" s="455">
        <v>-3501</v>
      </c>
      <c r="F49" s="450"/>
      <c r="G49" s="455">
        <v>-5986</v>
      </c>
      <c r="H49" s="450"/>
      <c r="I49" s="455">
        <v>-38098</v>
      </c>
      <c r="J49" s="450"/>
      <c r="K49" s="455">
        <v>208308</v>
      </c>
      <c r="L49" s="450"/>
      <c r="M49" s="455">
        <v>-24674</v>
      </c>
      <c r="N49" s="450"/>
      <c r="O49" s="450">
        <f>SUM(C49:M49)</f>
        <v>141555</v>
      </c>
    </row>
    <row r="50" spans="1:26" s="253" customFormat="1" ht="5.0999999999999996" customHeight="1" x14ac:dyDescent="0.2">
      <c r="B50" s="273"/>
      <c r="C50" s="1486"/>
      <c r="D50" s="273"/>
      <c r="E50" s="340"/>
      <c r="F50" s="273"/>
      <c r="G50" s="340"/>
      <c r="H50" s="273"/>
      <c r="I50" s="273"/>
      <c r="J50" s="273"/>
      <c r="K50" s="340"/>
      <c r="L50" s="273"/>
      <c r="M50" s="273"/>
      <c r="N50" s="273"/>
      <c r="O50" s="340"/>
      <c r="P50" s="273"/>
      <c r="Q50" s="273"/>
      <c r="R50" s="273"/>
      <c r="S50" s="273"/>
      <c r="T50" s="273"/>
      <c r="U50" s="273"/>
      <c r="V50" s="273"/>
      <c r="W50" s="273"/>
      <c r="X50" s="273"/>
      <c r="Y50" s="273"/>
      <c r="Z50" s="348"/>
    </row>
    <row r="51" spans="1:26" s="253" customFormat="1" ht="9.9499999999999993" hidden="1" customHeight="1" x14ac:dyDescent="0.2">
      <c r="A51" s="253" t="s">
        <v>1715</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99"/>
    </row>
    <row r="52" spans="1:26" s="253" customFormat="1" ht="5.0999999999999996" hidden="1" customHeight="1" x14ac:dyDescent="0.2">
      <c r="B52" s="273"/>
      <c r="C52" s="399"/>
      <c r="D52" s="273"/>
      <c r="E52" s="273"/>
      <c r="F52" s="273"/>
      <c r="G52" s="273"/>
      <c r="H52" s="273"/>
      <c r="I52" s="273"/>
      <c r="J52" s="273"/>
      <c r="K52" s="273"/>
      <c r="L52" s="273"/>
      <c r="M52" s="273"/>
      <c r="N52" s="273"/>
      <c r="O52" s="273"/>
      <c r="P52" s="273"/>
      <c r="Q52" s="273"/>
      <c r="R52" s="273"/>
      <c r="S52" s="273"/>
      <c r="T52" s="273"/>
      <c r="U52" s="273"/>
      <c r="V52" s="273"/>
      <c r="W52" s="273"/>
      <c r="X52" s="273"/>
      <c r="Y52" s="273"/>
      <c r="Z52" s="348"/>
    </row>
    <row r="53" spans="1:26" s="253" customFormat="1" ht="9.9499999999999993" hidden="1" customHeight="1" x14ac:dyDescent="0.2">
      <c r="A53" s="253" t="s">
        <v>1716</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99"/>
    </row>
    <row r="54" spans="1:26" s="253" customFormat="1" ht="5.0999999999999996" hidden="1" customHeight="1" x14ac:dyDescent="0.2">
      <c r="B54" s="273"/>
      <c r="C54" s="399"/>
      <c r="D54" s="273"/>
      <c r="E54" s="273"/>
      <c r="F54" s="273"/>
      <c r="G54" s="273"/>
      <c r="H54" s="273"/>
      <c r="I54" s="273"/>
      <c r="J54" s="273"/>
      <c r="K54" s="273"/>
      <c r="L54" s="273"/>
      <c r="M54" s="273"/>
      <c r="N54" s="273"/>
      <c r="O54" s="273"/>
      <c r="P54" s="273"/>
      <c r="Q54" s="273"/>
      <c r="R54" s="273"/>
      <c r="S54" s="273"/>
      <c r="T54" s="273"/>
      <c r="U54" s="273"/>
      <c r="V54" s="273"/>
      <c r="W54" s="273"/>
      <c r="X54" s="273"/>
      <c r="Y54" s="273"/>
      <c r="Z54" s="348"/>
    </row>
    <row r="55" spans="1:26" s="253" customFormat="1" ht="9.9499999999999993" hidden="1" customHeight="1" x14ac:dyDescent="0.2">
      <c r="A55" s="253" t="s">
        <v>1717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99"/>
    </row>
    <row r="56" spans="1:26" s="253" customFormat="1" ht="5.0999999999999996" hidden="1" customHeight="1" x14ac:dyDescent="0.2">
      <c r="B56" s="273"/>
      <c r="C56" s="399"/>
      <c r="D56" s="273"/>
      <c r="E56" s="273"/>
      <c r="F56" s="273"/>
      <c r="G56" s="273"/>
      <c r="H56" s="273"/>
      <c r="I56" s="273"/>
      <c r="J56" s="273"/>
      <c r="K56" s="273"/>
      <c r="L56" s="273"/>
      <c r="M56" s="273"/>
      <c r="N56" s="273"/>
      <c r="O56" s="273"/>
      <c r="P56" s="273"/>
      <c r="Q56" s="273"/>
      <c r="R56" s="273"/>
      <c r="S56" s="273"/>
      <c r="T56" s="273"/>
      <c r="U56" s="273"/>
      <c r="V56" s="273"/>
      <c r="W56" s="273"/>
      <c r="X56" s="273"/>
      <c r="Y56" s="273"/>
      <c r="Z56" s="348"/>
    </row>
    <row r="57" spans="1:26" s="253" customFormat="1" ht="9.9499999999999993" hidden="1" customHeight="1" x14ac:dyDescent="0.2">
      <c r="A57" s="349" t="s">
        <v>1721</v>
      </c>
      <c r="B57" s="273"/>
      <c r="C57" s="273">
        <v>5506</v>
      </c>
      <c r="D57" s="273"/>
      <c r="E57" s="273">
        <v>-3501</v>
      </c>
      <c r="F57" s="273"/>
      <c r="G57" s="273">
        <v>-5986</v>
      </c>
      <c r="H57" s="273"/>
      <c r="I57" s="273">
        <f>SUM(I49:I56)</f>
        <v>-38098</v>
      </c>
      <c r="J57" s="273"/>
      <c r="K57" s="273">
        <f>SUM(K49:K56)</f>
        <v>208308</v>
      </c>
      <c r="L57" s="273"/>
      <c r="M57" s="273">
        <f>SUM(M49:M56)</f>
        <v>-24674</v>
      </c>
      <c r="N57" s="273"/>
      <c r="O57" s="273">
        <f>SUM(O49:O56)</f>
        <v>141555</v>
      </c>
      <c r="P57" s="273"/>
      <c r="Q57" s="273"/>
      <c r="R57" s="273"/>
      <c r="S57" s="273"/>
      <c r="T57" s="273"/>
      <c r="U57" s="273"/>
      <c r="V57" s="273"/>
      <c r="W57" s="273"/>
      <c r="X57" s="273"/>
      <c r="Y57" s="273"/>
      <c r="Z57" s="299"/>
    </row>
    <row r="58" spans="1:26" s="439" customFormat="1" ht="5.0999999999999996" hidden="1" customHeight="1" x14ac:dyDescent="0.2">
      <c r="A58" s="418"/>
      <c r="B58" s="450"/>
      <c r="C58" s="452"/>
      <c r="D58" s="450"/>
      <c r="E58" s="496"/>
      <c r="F58" s="450"/>
      <c r="G58" s="496"/>
      <c r="H58" s="450"/>
      <c r="I58" s="496"/>
      <c r="J58" s="450"/>
      <c r="K58" s="496"/>
      <c r="L58" s="450"/>
      <c r="M58" s="496"/>
      <c r="N58" s="450"/>
      <c r="O58" s="496"/>
    </row>
    <row r="59" spans="1:26" s="439" customFormat="1" ht="11.1" customHeight="1" thickBot="1" x14ac:dyDescent="0.25">
      <c r="A59" s="417" t="s">
        <v>1489</v>
      </c>
      <c r="B59" s="418"/>
      <c r="C59" s="453">
        <f>SUM(C47:C49)</f>
        <v>11274</v>
      </c>
      <c r="D59" s="448"/>
      <c r="E59" s="344">
        <f>+E57+E47</f>
        <v>-4839</v>
      </c>
      <c r="F59" s="448"/>
      <c r="G59" s="344">
        <f>+G57+G47</f>
        <v>234</v>
      </c>
      <c r="H59" s="448"/>
      <c r="I59" s="344">
        <f>+I57+I47</f>
        <v>-37538</v>
      </c>
      <c r="J59" s="448"/>
      <c r="K59" s="344">
        <f>+K57+K47</f>
        <v>225713</v>
      </c>
      <c r="L59" s="448"/>
      <c r="M59" s="344">
        <f>+M57+M47</f>
        <v>-24288</v>
      </c>
      <c r="N59" s="448"/>
      <c r="O59" s="344">
        <f>+O57+O47</f>
        <v>170556</v>
      </c>
    </row>
    <row r="60" spans="1:26" s="439" customFormat="1" ht="5.0999999999999996" customHeight="1" thickTop="1" x14ac:dyDescent="0.2">
      <c r="A60" s="418"/>
      <c r="B60" s="418"/>
      <c r="C60" s="438"/>
      <c r="D60" s="438"/>
      <c r="E60" s="438"/>
      <c r="F60" s="438"/>
      <c r="G60" s="438"/>
      <c r="H60" s="438"/>
      <c r="I60" s="438"/>
      <c r="J60" s="438"/>
      <c r="K60" s="438"/>
      <c r="L60" s="438"/>
      <c r="M60" s="438"/>
      <c r="N60" s="438"/>
      <c r="O60" s="438"/>
    </row>
    <row r="61" spans="1:26" s="439" customFormat="1" ht="9.9499999999999993" customHeight="1" x14ac:dyDescent="0.2">
      <c r="A61" s="418"/>
      <c r="B61" s="418"/>
      <c r="C61" s="438"/>
      <c r="D61" s="438"/>
      <c r="E61" s="438"/>
      <c r="F61" s="438"/>
      <c r="G61" s="438"/>
      <c r="H61" s="438"/>
      <c r="I61" s="438"/>
      <c r="J61" s="438"/>
      <c r="K61" s="438"/>
      <c r="L61" s="438"/>
      <c r="M61" s="438"/>
      <c r="N61" s="438"/>
      <c r="O61" s="438"/>
    </row>
    <row r="62" spans="1:26" s="442" customFormat="1" ht="9.9499999999999993" customHeight="1" x14ac:dyDescent="0.2">
      <c r="A62" s="440"/>
      <c r="B62" s="440"/>
      <c r="C62" s="440">
        <f>SUM('ISF-SONP'!C141-'ISF-SOREC'!C59)</f>
        <v>0</v>
      </c>
      <c r="D62" s="440"/>
      <c r="E62" s="440">
        <f>SUM('ISF-SONP'!E141-'ISF-SOREC'!E59)</f>
        <v>0</v>
      </c>
      <c r="F62" s="440"/>
      <c r="G62" s="440">
        <f>SUM('ISF-SONP'!G141-'ISF-SOREC'!G59)</f>
        <v>0</v>
      </c>
      <c r="H62" s="440"/>
      <c r="I62" s="440">
        <f>SUM('ISF-SONP'!I141-'ISF-SOREC'!I59)</f>
        <v>0</v>
      </c>
      <c r="J62" s="440"/>
      <c r="K62" s="440">
        <f>SUM('ISF-SONP'!K141-'ISF-SOREC'!K59)</f>
        <v>0</v>
      </c>
      <c r="L62" s="440"/>
      <c r="M62" s="440">
        <f>SUM('ISF-SONP'!M141-'ISF-SOREC'!M59)</f>
        <v>0</v>
      </c>
      <c r="N62" s="440"/>
      <c r="O62" s="440">
        <f>SUM('ISF-SONP'!O141-'ISF-SOREC'!O59)</f>
        <v>0</v>
      </c>
    </row>
    <row r="63" spans="1:26" s="439" customFormat="1" ht="12" x14ac:dyDescent="0.2">
      <c r="A63" s="418"/>
      <c r="B63" s="418"/>
      <c r="C63" s="438"/>
      <c r="D63" s="438"/>
      <c r="E63" s="438"/>
      <c r="F63" s="438"/>
      <c r="G63" s="438"/>
      <c r="H63" s="438"/>
      <c r="I63" s="438"/>
      <c r="J63" s="438"/>
      <c r="K63" s="438"/>
      <c r="L63" s="438"/>
      <c r="M63" s="438"/>
      <c r="N63" s="438"/>
      <c r="O63" s="438"/>
    </row>
    <row r="64" spans="1:26" s="439" customFormat="1" ht="12" x14ac:dyDescent="0.2">
      <c r="A64" s="418"/>
      <c r="B64" s="418"/>
      <c r="C64" s="438"/>
      <c r="D64" s="438"/>
      <c r="E64" s="438"/>
      <c r="F64" s="438"/>
      <c r="G64" s="438"/>
      <c r="H64" s="438"/>
      <c r="I64" s="438"/>
      <c r="J64" s="438"/>
      <c r="K64" s="438"/>
      <c r="L64" s="438"/>
      <c r="M64" s="438"/>
      <c r="N64" s="438"/>
      <c r="O64" s="438"/>
    </row>
    <row r="65" spans="1:15" s="439" customFormat="1" ht="12" x14ac:dyDescent="0.2">
      <c r="A65" s="418"/>
      <c r="B65" s="418"/>
      <c r="C65" s="438"/>
      <c r="D65" s="438"/>
      <c r="E65" s="438"/>
      <c r="F65" s="438"/>
      <c r="G65" s="438"/>
      <c r="H65" s="438"/>
      <c r="I65" s="438"/>
      <c r="J65" s="438"/>
      <c r="K65" s="438"/>
      <c r="L65" s="438"/>
      <c r="M65" s="438"/>
      <c r="N65" s="438"/>
      <c r="O65" s="438"/>
    </row>
    <row r="66" spans="1:15" s="439" customFormat="1" ht="12" x14ac:dyDescent="0.2">
      <c r="A66" s="418"/>
      <c r="B66" s="418"/>
      <c r="C66" s="438"/>
      <c r="D66" s="438"/>
      <c r="E66" s="438"/>
      <c r="F66" s="438"/>
      <c r="G66" s="438"/>
      <c r="H66" s="438"/>
      <c r="I66" s="438"/>
      <c r="J66" s="438"/>
      <c r="K66" s="438"/>
      <c r="L66" s="438"/>
      <c r="M66" s="438"/>
      <c r="N66" s="438"/>
      <c r="O66" s="438"/>
    </row>
    <row r="77" spans="1:15" x14ac:dyDescent="0.2">
      <c r="A77" s="202"/>
      <c r="B77" s="202"/>
      <c r="C77" s="202"/>
      <c r="D77" s="202"/>
      <c r="E77" s="202"/>
      <c r="F77" s="202"/>
      <c r="G77" s="202"/>
      <c r="H77" s="202"/>
      <c r="I77" s="202"/>
      <c r="J77" s="202"/>
      <c r="K77" s="202"/>
      <c r="L77" s="202"/>
      <c r="M77" s="202"/>
      <c r="N77" s="202"/>
      <c r="O77" s="202"/>
    </row>
    <row r="78" spans="1:15" x14ac:dyDescent="0.2">
      <c r="A78" s="202"/>
      <c r="B78" s="202"/>
      <c r="C78" s="202"/>
      <c r="D78" s="202"/>
      <c r="E78" s="202"/>
      <c r="F78" s="202"/>
      <c r="G78" s="202"/>
      <c r="H78" s="202"/>
      <c r="I78" s="202"/>
      <c r="J78" s="202"/>
      <c r="K78" s="202"/>
      <c r="L78" s="202"/>
      <c r="M78" s="202"/>
      <c r="N78" s="202"/>
      <c r="O78" s="202"/>
    </row>
    <row r="79" spans="1:15" x14ac:dyDescent="0.2">
      <c r="A79" s="202"/>
      <c r="B79" s="202"/>
      <c r="C79" s="202"/>
      <c r="D79" s="202"/>
      <c r="E79" s="202"/>
      <c r="F79" s="202"/>
      <c r="G79" s="202"/>
      <c r="H79" s="202"/>
      <c r="I79" s="202"/>
      <c r="J79" s="202"/>
      <c r="K79" s="202"/>
      <c r="L79" s="202"/>
      <c r="M79" s="202"/>
      <c r="N79" s="202"/>
      <c r="O79" s="202"/>
    </row>
    <row r="80" spans="1:15" x14ac:dyDescent="0.2">
      <c r="A80" s="202"/>
      <c r="B80" s="202"/>
      <c r="C80" s="202"/>
      <c r="D80" s="202"/>
      <c r="E80" s="202"/>
      <c r="F80" s="202"/>
      <c r="G80" s="202"/>
      <c r="H80" s="202"/>
      <c r="I80" s="202"/>
      <c r="J80" s="202"/>
      <c r="K80" s="202"/>
      <c r="L80" s="202"/>
      <c r="M80" s="202"/>
      <c r="N80" s="202"/>
      <c r="O80" s="202"/>
    </row>
    <row r="81" s="202" customFormat="1" x14ac:dyDescent="0.2"/>
    <row r="82" s="202" customFormat="1" x14ac:dyDescent="0.2"/>
    <row r="83" s="202" customFormat="1" x14ac:dyDescent="0.2"/>
    <row r="131" s="202" customFormat="1" x14ac:dyDescent="0.2"/>
  </sheetData>
  <mergeCells count="3">
    <mergeCell ref="C7:G7"/>
    <mergeCell ref="A1:O1"/>
    <mergeCell ref="A4:C4"/>
  </mergeCells>
  <phoneticPr fontId="9" type="noConversion"/>
  <printOptions horizontalCentered="1"/>
  <pageMargins left="0.5" right="0.5" top="0.5" bottom="0.625" header="0.5" footer="0.5"/>
  <pageSetup scale="83" orientation="landscape" r:id="rId1"/>
  <headerFooter alignWithMargins="0"/>
  <colBreaks count="1" manualBreakCount="1">
    <brk id="8" max="5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8">
    <tabColor theme="9" tint="0.39997558519241921"/>
  </sheetPr>
  <dimension ref="A1:AL132"/>
  <sheetViews>
    <sheetView view="pageBreakPreview" zoomScale="90" zoomScaleNormal="85" zoomScaleSheetLayoutView="90" workbookViewId="0">
      <pane xSplit="1" ySplit="5" topLeftCell="B80" activePane="bottomRight" state="frozen"/>
      <selection activeCell="H45" sqref="H45"/>
      <selection pane="topRight" activeCell="H45" sqref="H45"/>
      <selection pane="bottomLeft" activeCell="H45" sqref="H45"/>
      <selection pane="bottomRight" activeCell="B17" sqref="B17"/>
    </sheetView>
  </sheetViews>
  <sheetFormatPr defaultColWidth="9.140625" defaultRowHeight="15" x14ac:dyDescent="0.25"/>
  <cols>
    <col min="1" max="1" width="47.5703125" style="95" bestFit="1" customWidth="1"/>
    <col min="2" max="2" width="15.42578125" style="97" customWidth="1"/>
    <col min="3" max="3" width="1.5703125" style="97" customWidth="1"/>
    <col min="4" max="4" width="15.42578125" style="97" customWidth="1"/>
    <col min="5" max="5" width="1.5703125" style="97" customWidth="1"/>
    <col min="6" max="6" width="15.42578125" style="97" customWidth="1"/>
    <col min="7" max="7" width="1.5703125" style="97" hidden="1" customWidth="1"/>
    <col min="8" max="8" width="15.42578125" style="97" hidden="1" customWidth="1"/>
    <col min="9" max="9" width="1.5703125" style="97" hidden="1" customWidth="1"/>
    <col min="10" max="10" width="15.42578125" style="97" hidden="1" customWidth="1"/>
    <col min="11" max="11" width="1.5703125" style="97" customWidth="1"/>
    <col min="12" max="12" width="15.42578125" style="97" customWidth="1"/>
    <col min="13" max="13" width="1.5703125" style="97" hidden="1" customWidth="1"/>
    <col min="14" max="14" width="15.42578125" style="97" hidden="1" customWidth="1"/>
    <col min="15" max="15" width="1.5703125" style="97" hidden="1" customWidth="1"/>
    <col min="16" max="16" width="15.42578125" style="97" hidden="1" customWidth="1"/>
    <col min="17" max="17" width="2.140625" style="97" hidden="1" customWidth="1"/>
    <col min="18" max="18" width="15.5703125" style="148" hidden="1" customWidth="1"/>
    <col min="19" max="19" width="2.5703125" style="95" customWidth="1"/>
    <col min="20" max="21" width="10.5703125" style="95" customWidth="1"/>
    <col min="22" max="22" width="2.5703125" style="95" customWidth="1"/>
    <col min="23" max="24" width="10.5703125" style="95" customWidth="1"/>
    <col min="25" max="25" width="2.5703125" style="95" customWidth="1"/>
    <col min="26" max="26" width="10.5703125" style="95" customWidth="1"/>
    <col min="27" max="27" width="8.5703125" style="95" customWidth="1"/>
    <col min="28" max="28" width="2.5703125" style="95" customWidth="1"/>
    <col min="29" max="30" width="10.5703125" style="95" customWidth="1"/>
    <col min="31" max="31" width="2.5703125" style="95" customWidth="1"/>
    <col min="32" max="32" width="15.42578125" style="99" bestFit="1" customWidth="1"/>
    <col min="33" max="33" width="9.140625" style="95"/>
    <col min="34" max="34" width="10.42578125" style="95" customWidth="1"/>
    <col min="35" max="16384" width="9.140625" style="95"/>
  </cols>
  <sheetData>
    <row r="1" spans="1:38" ht="18.75" x14ac:dyDescent="0.3">
      <c r="A1" s="1570" t="s">
        <v>1094</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row>
    <row r="2" spans="1:38" ht="15.75" thickBot="1" x14ac:dyDescent="0.3">
      <c r="A2" s="784"/>
      <c r="B2" s="94"/>
      <c r="C2" s="94"/>
      <c r="D2" s="94"/>
      <c r="E2" s="94"/>
      <c r="F2" s="94"/>
      <c r="G2" s="94"/>
      <c r="H2" s="94"/>
      <c r="I2" s="94"/>
      <c r="J2" s="94"/>
      <c r="K2" s="94"/>
      <c r="L2" s="94"/>
      <c r="M2" s="94"/>
      <c r="N2" s="94"/>
      <c r="O2" s="94"/>
      <c r="P2" s="94"/>
      <c r="Q2" s="94"/>
      <c r="R2" s="96" t="s">
        <v>111</v>
      </c>
      <c r="S2" s="94"/>
      <c r="T2" s="94"/>
      <c r="U2" s="94"/>
      <c r="V2" s="94"/>
      <c r="W2" s="94"/>
      <c r="X2" s="94"/>
      <c r="Y2" s="94"/>
      <c r="Z2" s="94"/>
      <c r="AA2" s="94"/>
      <c r="AB2" s="94"/>
      <c r="AC2" s="94"/>
      <c r="AD2" s="94"/>
      <c r="AE2" s="94"/>
      <c r="AF2" s="94"/>
    </row>
    <row r="3" spans="1:38" x14ac:dyDescent="0.25">
      <c r="A3" s="117"/>
      <c r="H3" s="94"/>
      <c r="N3" s="94"/>
      <c r="R3" s="98" t="s">
        <v>112</v>
      </c>
      <c r="T3" s="1568" t="s">
        <v>839</v>
      </c>
      <c r="U3" s="1569"/>
      <c r="V3" s="99"/>
      <c r="W3" s="1568" t="s">
        <v>79</v>
      </c>
      <c r="X3" s="1569"/>
      <c r="Y3" s="99"/>
      <c r="Z3" s="1568" t="s">
        <v>15</v>
      </c>
      <c r="AA3" s="1569"/>
      <c r="AB3" s="99"/>
      <c r="AC3" s="1568" t="s">
        <v>18</v>
      </c>
      <c r="AD3" s="1569"/>
    </row>
    <row r="4" spans="1:38" x14ac:dyDescent="0.25">
      <c r="A4" s="117"/>
      <c r="H4" s="94"/>
      <c r="J4" s="94" t="s">
        <v>725</v>
      </c>
      <c r="N4" s="94"/>
      <c r="P4" s="94" t="s">
        <v>725</v>
      </c>
      <c r="R4" s="98" t="s">
        <v>113</v>
      </c>
      <c r="T4" s="100" t="s">
        <v>114</v>
      </c>
      <c r="U4" s="101" t="s">
        <v>114</v>
      </c>
      <c r="V4" s="102"/>
      <c r="W4" s="100" t="s">
        <v>114</v>
      </c>
      <c r="X4" s="101" t="s">
        <v>114</v>
      </c>
      <c r="Y4" s="102"/>
      <c r="Z4" s="100" t="s">
        <v>114</v>
      </c>
      <c r="AA4" s="101" t="s">
        <v>114</v>
      </c>
      <c r="AB4" s="102"/>
      <c r="AC4" s="100" t="s">
        <v>114</v>
      </c>
      <c r="AD4" s="101" t="s">
        <v>114</v>
      </c>
      <c r="AE4" s="99"/>
      <c r="AF4" s="99" t="s">
        <v>115</v>
      </c>
    </row>
    <row r="5" spans="1:38" ht="15.75" thickBot="1" x14ac:dyDescent="0.3">
      <c r="A5" s="103">
        <v>45565</v>
      </c>
      <c r="B5" s="104" t="s">
        <v>724</v>
      </c>
      <c r="C5" s="94"/>
      <c r="D5" s="104" t="s">
        <v>116</v>
      </c>
      <c r="E5" s="94"/>
      <c r="F5" s="104" t="s">
        <v>117</v>
      </c>
      <c r="G5" s="94"/>
      <c r="H5" s="104" t="s">
        <v>21</v>
      </c>
      <c r="I5" s="94"/>
      <c r="J5" s="104" t="s">
        <v>117</v>
      </c>
      <c r="K5" s="94"/>
      <c r="L5" s="104" t="s">
        <v>951</v>
      </c>
      <c r="M5" s="94"/>
      <c r="N5" s="104" t="s">
        <v>22</v>
      </c>
      <c r="O5" s="94"/>
      <c r="P5" s="104" t="s">
        <v>951</v>
      </c>
      <c r="Q5" s="94"/>
      <c r="R5" s="105" t="s">
        <v>118</v>
      </c>
      <c r="S5" s="99"/>
      <c r="T5" s="106">
        <v>0.1</v>
      </c>
      <c r="U5" s="107">
        <v>0.05</v>
      </c>
      <c r="V5" s="108"/>
      <c r="W5" s="106">
        <v>0.1</v>
      </c>
      <c r="X5" s="107">
        <v>0.05</v>
      </c>
      <c r="Y5" s="108"/>
      <c r="Z5" s="106">
        <v>0.1</v>
      </c>
      <c r="AA5" s="107">
        <v>0.05</v>
      </c>
      <c r="AB5" s="108"/>
      <c r="AC5" s="106">
        <v>0.1</v>
      </c>
      <c r="AD5" s="107">
        <v>0.05</v>
      </c>
      <c r="AE5" s="109"/>
      <c r="AF5" s="110" t="s">
        <v>119</v>
      </c>
    </row>
    <row r="6" spans="1:38" x14ac:dyDescent="0.25">
      <c r="A6" s="111"/>
      <c r="B6" s="94"/>
      <c r="C6" s="94"/>
      <c r="D6" s="94"/>
      <c r="E6" s="94"/>
      <c r="F6" s="94"/>
      <c r="G6" s="94"/>
      <c r="H6" s="94"/>
      <c r="I6" s="94"/>
      <c r="J6" s="94"/>
      <c r="K6" s="94"/>
      <c r="L6" s="94"/>
      <c r="M6" s="94"/>
      <c r="N6" s="94"/>
      <c r="O6" s="94"/>
      <c r="P6" s="94"/>
      <c r="Q6" s="94"/>
      <c r="R6" s="98"/>
      <c r="S6" s="99"/>
      <c r="T6" s="112"/>
      <c r="U6" s="113"/>
      <c r="V6" s="108"/>
      <c r="W6" s="112"/>
      <c r="X6" s="113"/>
      <c r="Y6" s="108"/>
      <c r="Z6" s="112"/>
      <c r="AA6" s="113"/>
      <c r="AB6" s="108"/>
      <c r="AC6" s="112"/>
      <c r="AD6" s="113"/>
      <c r="AE6" s="109"/>
    </row>
    <row r="7" spans="1:38" s="118" customFormat="1" x14ac:dyDescent="0.25">
      <c r="A7" s="869" t="s">
        <v>120</v>
      </c>
      <c r="B7" s="870">
        <f>'BSGF-major'!C32</f>
        <v>775323</v>
      </c>
      <c r="C7" s="870"/>
      <c r="D7" s="870">
        <f>'BSGF-major'!C55+'BSGF-major'!C58</f>
        <v>191923</v>
      </c>
      <c r="E7" s="870"/>
      <c r="F7" s="870">
        <f>'SORECGF-major'!C29</f>
        <v>1648377</v>
      </c>
      <c r="G7" s="870"/>
      <c r="H7" s="870"/>
      <c r="I7" s="870"/>
      <c r="J7" s="870">
        <f>F7+H7</f>
        <v>1648377</v>
      </c>
      <c r="K7" s="870"/>
      <c r="L7" s="870">
        <f>'SORECGF-major'!C58</f>
        <v>1531794</v>
      </c>
      <c r="M7" s="870"/>
      <c r="N7" s="870"/>
      <c r="O7" s="870"/>
      <c r="P7" s="870">
        <f>L7+N7</f>
        <v>1531794</v>
      </c>
      <c r="Q7" s="871"/>
      <c r="R7" s="871">
        <f>J7-P7</f>
        <v>116583</v>
      </c>
      <c r="S7" s="872"/>
      <c r="T7" s="867" t="str">
        <f>IF(B7&gt;$B$98,"YES","No")</f>
        <v>YES</v>
      </c>
      <c r="U7" s="866" t="str">
        <f>IF(B7&gt;$B$114,"YES","No")</f>
        <v>YES</v>
      </c>
      <c r="V7" s="875"/>
      <c r="W7" s="867" t="str">
        <f>IF(D7&gt;$D$98,"YES","No")</f>
        <v>YES</v>
      </c>
      <c r="X7" s="866" t="str">
        <f>IF(D7&gt;$D$114,"YES","No")</f>
        <v>YES</v>
      </c>
      <c r="Y7" s="875"/>
      <c r="Z7" s="867" t="str">
        <f>IF(J7&gt;$J$98,"Yes","No")</f>
        <v>Yes</v>
      </c>
      <c r="AA7" s="866" t="str">
        <f>IF(J7&gt;$J$114,"Yes","No")</f>
        <v>Yes</v>
      </c>
      <c r="AB7" s="875"/>
      <c r="AC7" s="867" t="str">
        <f>IF(P7&gt;$P$98,"Yes","No")</f>
        <v>Yes</v>
      </c>
      <c r="AD7" s="866" t="str">
        <f>IF(P7&gt;$P$114,"Yes","No")</f>
        <v>Yes</v>
      </c>
      <c r="AE7" s="875"/>
      <c r="AF7" s="868" t="s">
        <v>1280</v>
      </c>
      <c r="AG7" s="149"/>
      <c r="AH7" s="150" t="str">
        <f>IF(AND(T7="YES", U7="YES"),"YES","no")</f>
        <v>YES</v>
      </c>
      <c r="AI7" s="150" t="str">
        <f>IF(AND(W7="YES", X7="YES"),"YES","no")</f>
        <v>YES</v>
      </c>
      <c r="AJ7" s="150" t="str">
        <f>IF(AND(Z7="YES", AA7="YES"),"YES","no")</f>
        <v>YES</v>
      </c>
      <c r="AK7" s="150" t="str">
        <f>IF(AND(AC7="YES", AD7="YES"),"YES","no")</f>
        <v>YES</v>
      </c>
      <c r="AL7" s="150" t="str">
        <f>IF(OR(AH7="YES", AI7="YES", AJ7="YES", AK7="YES"),"YES","no")</f>
        <v>YES</v>
      </c>
    </row>
    <row r="8" spans="1:38" x14ac:dyDescent="0.25">
      <c r="B8" s="119"/>
      <c r="C8" s="119"/>
      <c r="D8" s="119"/>
      <c r="E8" s="119"/>
      <c r="F8" s="119"/>
      <c r="G8" s="119"/>
      <c r="H8" s="119"/>
      <c r="I8" s="119"/>
      <c r="J8" s="119">
        <f>F8+H8</f>
        <v>0</v>
      </c>
      <c r="K8" s="119"/>
      <c r="L8" s="119"/>
      <c r="M8" s="119"/>
      <c r="N8" s="119"/>
      <c r="O8" s="119"/>
      <c r="P8" s="119">
        <f>L8+N8</f>
        <v>0</v>
      </c>
      <c r="Q8" s="120"/>
      <c r="R8" s="121"/>
      <c r="S8" s="99"/>
      <c r="T8" s="122"/>
      <c r="U8" s="123"/>
      <c r="V8" s="109"/>
      <c r="W8" s="122"/>
      <c r="X8" s="123"/>
      <c r="Y8" s="109"/>
      <c r="Z8" s="122"/>
      <c r="AA8" s="123"/>
      <c r="AB8" s="109"/>
      <c r="AC8" s="122"/>
      <c r="AD8" s="123"/>
      <c r="AE8" s="109"/>
      <c r="AF8" s="117" t="str">
        <f>IF((AL8="YES"),"YES","")</f>
        <v/>
      </c>
    </row>
    <row r="9" spans="1:38" x14ac:dyDescent="0.25">
      <c r="A9" s="114" t="s">
        <v>819</v>
      </c>
      <c r="B9" s="124"/>
      <c r="C9" s="124"/>
      <c r="D9" s="124"/>
      <c r="E9" s="124"/>
      <c r="F9" s="124"/>
      <c r="G9" s="124"/>
      <c r="H9" s="124"/>
      <c r="I9" s="124"/>
      <c r="J9" s="119">
        <f>F9+H9</f>
        <v>0</v>
      </c>
      <c r="K9" s="124"/>
      <c r="L9" s="124"/>
      <c r="M9" s="124"/>
      <c r="N9" s="124"/>
      <c r="O9" s="124"/>
      <c r="P9" s="119">
        <f>L9+N9</f>
        <v>0</v>
      </c>
      <c r="R9" s="120"/>
      <c r="T9" s="122"/>
      <c r="U9" s="125"/>
      <c r="W9" s="122"/>
      <c r="X9" s="125"/>
      <c r="Z9" s="122"/>
      <c r="AA9" s="125"/>
      <c r="AC9" s="122"/>
      <c r="AD9" s="125"/>
      <c r="AF9" s="117" t="str">
        <f>IF((AL9="YES"),"YES","")</f>
        <v/>
      </c>
    </row>
    <row r="10" spans="1:38" x14ac:dyDescent="0.25">
      <c r="A10" s="126" t="s">
        <v>170</v>
      </c>
      <c r="B10" s="124"/>
      <c r="C10" s="124"/>
      <c r="D10" s="124"/>
      <c r="E10" s="124"/>
      <c r="F10" s="124"/>
      <c r="G10" s="124"/>
      <c r="H10" s="124"/>
      <c r="I10" s="124"/>
      <c r="J10" s="119"/>
      <c r="K10" s="124"/>
      <c r="L10" s="124"/>
      <c r="M10" s="124"/>
      <c r="N10" s="124"/>
      <c r="O10" s="124"/>
      <c r="P10" s="119"/>
      <c r="R10" s="120"/>
      <c r="T10" s="122"/>
      <c r="U10" s="125"/>
      <c r="W10" s="122"/>
      <c r="X10" s="125"/>
      <c r="Z10" s="122"/>
      <c r="AA10" s="125"/>
      <c r="AC10" s="122"/>
      <c r="AD10" s="125"/>
      <c r="AF10" s="117" t="str">
        <f>IF((AL10="YES"),"YES","")</f>
        <v/>
      </c>
    </row>
    <row r="11" spans="1:38" x14ac:dyDescent="0.25">
      <c r="A11" s="869" t="s">
        <v>1474</v>
      </c>
      <c r="B11" s="922">
        <f>'BSGF-major'!G32</f>
        <v>141160</v>
      </c>
      <c r="C11" s="922"/>
      <c r="D11" s="922">
        <f>+'BSGF-major'!G55+'BSGF-major'!G58</f>
        <v>47787</v>
      </c>
      <c r="E11" s="922"/>
      <c r="F11" s="922">
        <f>'SORECGF-major'!G29</f>
        <v>100685</v>
      </c>
      <c r="G11" s="922"/>
      <c r="H11" s="922"/>
      <c r="I11" s="922"/>
      <c r="J11" s="870"/>
      <c r="K11" s="922"/>
      <c r="L11" s="922">
        <f>'SORECGF-major'!G58</f>
        <v>80760</v>
      </c>
      <c r="M11" s="922"/>
      <c r="N11" s="922"/>
      <c r="O11" s="922"/>
      <c r="P11" s="870">
        <f t="shared" ref="P11:P49" si="0">L11+N11</f>
        <v>80760</v>
      </c>
      <c r="Q11" s="876"/>
      <c r="R11" s="871"/>
      <c r="S11" s="923"/>
      <c r="T11" s="924" t="str">
        <f t="shared" ref="T11:T16" si="1">IF(B11&gt;$B$98,"YES","No")</f>
        <v>No</v>
      </c>
      <c r="U11" s="925" t="str">
        <f t="shared" ref="U11:U16" si="2">IF(B11&gt;$B$114,"YES","No")</f>
        <v>No</v>
      </c>
      <c r="V11" s="865"/>
      <c r="W11" s="924" t="str">
        <f t="shared" ref="W11:W16" si="3">IF(D11&gt;$D$98,"YES","No")</f>
        <v>No</v>
      </c>
      <c r="X11" s="925" t="str">
        <f t="shared" ref="X11:X16" si="4">IF(D11&gt;$D$114,"YES","No")</f>
        <v>No</v>
      </c>
      <c r="Y11" s="865"/>
      <c r="Z11" s="924" t="str">
        <f>IF(J11&gt;$B$98,"YES","No")</f>
        <v>No</v>
      </c>
      <c r="AA11" s="925" t="str">
        <f>IF(J11&gt;$B$114,"YES","No")</f>
        <v>No</v>
      </c>
      <c r="AB11" s="865"/>
      <c r="AC11" s="924" t="str">
        <f>IF(K11&gt;$B$98,"YES","No")</f>
        <v>No</v>
      </c>
      <c r="AD11" s="925" t="str">
        <f>IF(K11&gt;$B$114,"YES","No")</f>
        <v>No</v>
      </c>
      <c r="AE11" s="872"/>
      <c r="AF11" s="1157" t="str">
        <f t="shared" ref="AF11:AF16" si="5">IF((AL11="YES"),"YES","NO")</f>
        <v>NO</v>
      </c>
      <c r="AH11" s="95" t="str">
        <f t="shared" ref="AH11:AH16" si="6">IF(AND(T11="YES", U11="YES"),"YES","no")</f>
        <v>no</v>
      </c>
      <c r="AI11" s="95" t="str">
        <f t="shared" ref="AI11:AI16" si="7">IF(AND(W11="YES", X11="YES"),"YES","no")</f>
        <v>no</v>
      </c>
      <c r="AJ11" s="95" t="str">
        <f t="shared" ref="AJ11:AJ16" si="8">IF(AND(Z11="YES", AA11="YES"),"YES","no")</f>
        <v>no</v>
      </c>
      <c r="AK11" s="95" t="str">
        <f t="shared" ref="AK11:AK16" si="9">IF(AND(AC11="YES", AD11="YES"),"YES","no")</f>
        <v>no</v>
      </c>
      <c r="AL11" s="95" t="str">
        <f t="shared" ref="AL11:AL16" si="10">IF(OR(AH11="YES", AI11="YES", AJ11="YES", AK11="YES"),"YES","no")</f>
        <v>no</v>
      </c>
    </row>
    <row r="12" spans="1:38" x14ac:dyDescent="0.25">
      <c r="A12" s="869" t="s">
        <v>156</v>
      </c>
      <c r="B12" s="922">
        <f>'BSGF-major'!I32</f>
        <v>64207</v>
      </c>
      <c r="C12" s="922"/>
      <c r="D12" s="922">
        <f>'BSGF-major'!I55+'BSGF-major'!I58</f>
        <v>97708</v>
      </c>
      <c r="E12" s="922"/>
      <c r="F12" s="922">
        <f>'SORECGF-major'!I29</f>
        <v>243460</v>
      </c>
      <c r="G12" s="922"/>
      <c r="H12" s="922"/>
      <c r="I12" s="922"/>
      <c r="J12" s="870">
        <f>F12+H12</f>
        <v>243460</v>
      </c>
      <c r="K12" s="922"/>
      <c r="L12" s="922">
        <f>'SORECGF-major'!I58</f>
        <v>260696</v>
      </c>
      <c r="M12" s="124"/>
      <c r="N12" s="124"/>
      <c r="O12" s="124"/>
      <c r="P12" s="119">
        <f t="shared" si="0"/>
        <v>260696</v>
      </c>
      <c r="R12" s="120">
        <f>J12-P12</f>
        <v>-17236</v>
      </c>
      <c r="S12" s="128"/>
      <c r="T12" s="924" t="str">
        <f t="shared" si="1"/>
        <v>No</v>
      </c>
      <c r="U12" s="925" t="str">
        <f t="shared" si="2"/>
        <v>No</v>
      </c>
      <c r="V12" s="865"/>
      <c r="W12" s="924" t="str">
        <f t="shared" si="3"/>
        <v>YES</v>
      </c>
      <c r="X12" s="925" t="str">
        <f t="shared" si="4"/>
        <v>YES</v>
      </c>
      <c r="Y12" s="865"/>
      <c r="Z12" s="924" t="str">
        <f>IF(J12&gt;$J$98,"Yes","No")</f>
        <v>No</v>
      </c>
      <c r="AA12" s="925" t="str">
        <f>IF(J12&gt;$J$114,"Yes","No")</f>
        <v>Yes</v>
      </c>
      <c r="AB12" s="865"/>
      <c r="AC12" s="924" t="str">
        <f>IF(P12&gt;$P$98,"Yes","No")</f>
        <v>No</v>
      </c>
      <c r="AD12" s="925" t="str">
        <f>IF(P12&gt;$P$114,"Yes","No")</f>
        <v>Yes</v>
      </c>
      <c r="AE12" s="872"/>
      <c r="AF12" s="868" t="str">
        <f t="shared" si="5"/>
        <v>YES</v>
      </c>
      <c r="AH12" s="95" t="str">
        <f t="shared" si="6"/>
        <v>no</v>
      </c>
      <c r="AI12" s="95" t="str">
        <f t="shared" si="7"/>
        <v>YES</v>
      </c>
      <c r="AJ12" s="95" t="str">
        <f t="shared" si="8"/>
        <v>no</v>
      </c>
      <c r="AK12" s="95" t="str">
        <f t="shared" si="9"/>
        <v>no</v>
      </c>
      <c r="AL12" s="95" t="str">
        <f t="shared" si="10"/>
        <v>YES</v>
      </c>
    </row>
    <row r="13" spans="1:38" x14ac:dyDescent="0.25">
      <c r="A13" s="127" t="s">
        <v>129</v>
      </c>
      <c r="B13" s="124">
        <f>'Grants BS'!E32</f>
        <v>12321</v>
      </c>
      <c r="C13" s="124"/>
      <c r="D13" s="124">
        <f>'Grants BS'!E54+'Grants BS'!E57</f>
        <v>12168</v>
      </c>
      <c r="E13" s="124"/>
      <c r="F13" s="124">
        <f>'Grants SOREC'!E28+'Grants BS'!G57</f>
        <v>15379</v>
      </c>
      <c r="G13" s="124"/>
      <c r="H13" s="124"/>
      <c r="I13" s="124"/>
      <c r="J13" s="119">
        <f>F13+H13</f>
        <v>15379</v>
      </c>
      <c r="K13" s="124"/>
      <c r="L13" s="124">
        <f>'Grants SOREC'!E57</f>
        <v>13667</v>
      </c>
      <c r="M13" s="124"/>
      <c r="N13" s="124"/>
      <c r="O13" s="124"/>
      <c r="P13" s="119">
        <f t="shared" si="0"/>
        <v>13667</v>
      </c>
      <c r="R13" s="120">
        <f>J13-P13</f>
        <v>1712</v>
      </c>
      <c r="S13" s="128"/>
      <c r="T13" s="122" t="str">
        <f t="shared" si="1"/>
        <v>No</v>
      </c>
      <c r="U13" s="123" t="str">
        <f t="shared" si="2"/>
        <v>No</v>
      </c>
      <c r="V13" s="109"/>
      <c r="W13" s="122" t="str">
        <f t="shared" si="3"/>
        <v>No</v>
      </c>
      <c r="X13" s="123" t="str">
        <f t="shared" si="4"/>
        <v>No</v>
      </c>
      <c r="Y13" s="109"/>
      <c r="Z13" s="122" t="str">
        <f>IF(J13&gt;$J$98,"Yes","No")</f>
        <v>No</v>
      </c>
      <c r="AA13" s="123" t="str">
        <f>IF(J13&gt;$J$114,"Yes","No")</f>
        <v>No</v>
      </c>
      <c r="AB13" s="109"/>
      <c r="AC13" s="122" t="str">
        <f>IF(P13&gt;$P$98,"Yes","No")</f>
        <v>No</v>
      </c>
      <c r="AD13" s="123" t="str">
        <f>IF(P13&gt;$P$114,"Yes","No")</f>
        <v>No</v>
      </c>
      <c r="AF13" s="1157" t="str">
        <f t="shared" si="5"/>
        <v>NO</v>
      </c>
      <c r="AH13" s="95" t="str">
        <f t="shared" si="6"/>
        <v>no</v>
      </c>
      <c r="AI13" s="95" t="str">
        <f t="shared" si="7"/>
        <v>no</v>
      </c>
      <c r="AJ13" s="95" t="str">
        <f t="shared" si="8"/>
        <v>no</v>
      </c>
      <c r="AK13" s="95" t="str">
        <f t="shared" si="9"/>
        <v>no</v>
      </c>
      <c r="AL13" s="95" t="str">
        <f t="shared" si="10"/>
        <v>no</v>
      </c>
    </row>
    <row r="14" spans="1:38" x14ac:dyDescent="0.25">
      <c r="A14" s="127" t="s">
        <v>126</v>
      </c>
      <c r="B14" s="129">
        <f>'Grants BS'!G32</f>
        <v>5084</v>
      </c>
      <c r="C14" s="124"/>
      <c r="D14" s="124">
        <f>'Grants BS'!G54</f>
        <v>78</v>
      </c>
      <c r="E14" s="124"/>
      <c r="F14" s="124">
        <f>'Grants SOREC'!G28</f>
        <v>1354</v>
      </c>
      <c r="G14" s="124"/>
      <c r="H14" s="124"/>
      <c r="I14" s="124"/>
      <c r="J14" s="119">
        <f>F14+H14</f>
        <v>1354</v>
      </c>
      <c r="K14" s="124"/>
      <c r="L14" s="124">
        <f>'Grants SOREC'!G57</f>
        <v>1013</v>
      </c>
      <c r="M14" s="124"/>
      <c r="N14" s="124"/>
      <c r="O14" s="124"/>
      <c r="P14" s="119">
        <f t="shared" si="0"/>
        <v>1013</v>
      </c>
      <c r="R14" s="120">
        <f>J14-P14</f>
        <v>341</v>
      </c>
      <c r="S14" s="130"/>
      <c r="T14" s="122" t="str">
        <f t="shared" si="1"/>
        <v>No</v>
      </c>
      <c r="U14" s="123" t="str">
        <f t="shared" si="2"/>
        <v>No</v>
      </c>
      <c r="V14" s="109"/>
      <c r="W14" s="122" t="str">
        <f t="shared" si="3"/>
        <v>No</v>
      </c>
      <c r="X14" s="123" t="str">
        <f t="shared" si="4"/>
        <v>No</v>
      </c>
      <c r="Y14" s="109"/>
      <c r="Z14" s="122" t="str">
        <f>IF(J14&gt;$J$98,"Yes","No")</f>
        <v>No</v>
      </c>
      <c r="AA14" s="123" t="str">
        <f>IF(J14&gt;$J$114,"Yes","No")</f>
        <v>No</v>
      </c>
      <c r="AB14" s="109"/>
      <c r="AC14" s="122" t="str">
        <f>IF(P14&gt;$P$98,"Yes","No")</f>
        <v>No</v>
      </c>
      <c r="AD14" s="123" t="str">
        <f>IF(P14&gt;$P$114,"Yes","No")</f>
        <v>No</v>
      </c>
      <c r="AE14" s="102"/>
      <c r="AF14" s="1157" t="str">
        <f t="shared" si="5"/>
        <v>NO</v>
      </c>
      <c r="AH14" s="95" t="str">
        <f t="shared" si="6"/>
        <v>no</v>
      </c>
      <c r="AI14" s="95" t="str">
        <f t="shared" si="7"/>
        <v>no</v>
      </c>
      <c r="AJ14" s="95" t="str">
        <f t="shared" si="8"/>
        <v>no</v>
      </c>
      <c r="AK14" s="95" t="str">
        <f t="shared" si="9"/>
        <v>no</v>
      </c>
      <c r="AL14" s="95" t="str">
        <f t="shared" si="10"/>
        <v>no</v>
      </c>
    </row>
    <row r="15" spans="1:38" x14ac:dyDescent="0.25">
      <c r="A15" s="127" t="s">
        <v>127</v>
      </c>
      <c r="B15" s="124">
        <f>+'Grants BS'!I32</f>
        <v>36041</v>
      </c>
      <c r="C15" s="124"/>
      <c r="D15" s="124">
        <f>+'Grants BS'!I54+'Grants BS'!I57</f>
        <v>36366</v>
      </c>
      <c r="E15" s="124"/>
      <c r="F15" s="124">
        <f>+'Grants SOREC'!I28</f>
        <v>9191</v>
      </c>
      <c r="G15" s="124"/>
      <c r="H15" s="124"/>
      <c r="I15" s="124"/>
      <c r="J15" s="119">
        <f>F15+H15</f>
        <v>9191</v>
      </c>
      <c r="K15" s="124"/>
      <c r="L15" s="124">
        <f>+'Grants SOREC'!I57</f>
        <v>9517</v>
      </c>
      <c r="M15" s="124"/>
      <c r="N15" s="124"/>
      <c r="O15" s="124"/>
      <c r="P15" s="119">
        <f t="shared" si="0"/>
        <v>9517</v>
      </c>
      <c r="R15" s="120">
        <f>J15-P15</f>
        <v>-326</v>
      </c>
      <c r="S15" s="130"/>
      <c r="T15" s="122" t="str">
        <f t="shared" si="1"/>
        <v>No</v>
      </c>
      <c r="U15" s="123" t="str">
        <f t="shared" si="2"/>
        <v>No</v>
      </c>
      <c r="V15" s="109"/>
      <c r="W15" s="122" t="str">
        <f t="shared" si="3"/>
        <v>No</v>
      </c>
      <c r="X15" s="123" t="str">
        <f t="shared" si="4"/>
        <v>No</v>
      </c>
      <c r="Y15" s="109"/>
      <c r="Z15" s="122" t="str">
        <f>IF(J15&gt;$J$98,"Yes","No")</f>
        <v>No</v>
      </c>
      <c r="AA15" s="123" t="str">
        <f>IF(J15&gt;$J$114,"Yes","No")</f>
        <v>No</v>
      </c>
      <c r="AB15" s="109"/>
      <c r="AC15" s="122" t="str">
        <f>IF(P15&gt;$P$98,"Yes","No")</f>
        <v>No</v>
      </c>
      <c r="AD15" s="123" t="str">
        <f>IF(P15&gt;$P$114,"Yes","No")</f>
        <v>No</v>
      </c>
      <c r="AE15" s="109"/>
      <c r="AF15" s="1157" t="str">
        <f t="shared" si="5"/>
        <v>NO</v>
      </c>
      <c r="AG15" s="149"/>
      <c r="AH15" s="95" t="str">
        <f t="shared" si="6"/>
        <v>no</v>
      </c>
      <c r="AI15" s="95" t="str">
        <f t="shared" si="7"/>
        <v>no</v>
      </c>
      <c r="AJ15" s="95" t="str">
        <f t="shared" si="8"/>
        <v>no</v>
      </c>
      <c r="AK15" s="95" t="str">
        <f t="shared" si="9"/>
        <v>no</v>
      </c>
      <c r="AL15" s="95" t="str">
        <f t="shared" si="10"/>
        <v>no</v>
      </c>
    </row>
    <row r="16" spans="1:38" x14ac:dyDescent="0.25">
      <c r="A16" s="127" t="s">
        <v>128</v>
      </c>
      <c r="B16" s="129">
        <f>'Grants BS'!K32</f>
        <v>0</v>
      </c>
      <c r="C16" s="124"/>
      <c r="D16" s="124">
        <f>'Grants BS'!K54</f>
        <v>0</v>
      </c>
      <c r="E16" s="124"/>
      <c r="F16" s="124">
        <f>'Grants SOREC'!K28+'Grants BS'!K57</f>
        <v>0</v>
      </c>
      <c r="G16" s="124"/>
      <c r="H16" s="124"/>
      <c r="I16" s="124"/>
      <c r="J16" s="119">
        <f>F16+H16</f>
        <v>0</v>
      </c>
      <c r="K16" s="124"/>
      <c r="L16" s="124">
        <f>'Grants SOREC'!K57</f>
        <v>0</v>
      </c>
      <c r="M16" s="124"/>
      <c r="N16" s="124"/>
      <c r="O16" s="124"/>
      <c r="P16" s="119">
        <f t="shared" si="0"/>
        <v>0</v>
      </c>
      <c r="R16" s="120">
        <f>J16-P16</f>
        <v>0</v>
      </c>
      <c r="S16" s="130"/>
      <c r="T16" s="122" t="str">
        <f t="shared" si="1"/>
        <v>No</v>
      </c>
      <c r="U16" s="123" t="str">
        <f t="shared" si="2"/>
        <v>No</v>
      </c>
      <c r="V16" s="109"/>
      <c r="W16" s="122" t="str">
        <f t="shared" si="3"/>
        <v>No</v>
      </c>
      <c r="X16" s="123" t="str">
        <f t="shared" si="4"/>
        <v>No</v>
      </c>
      <c r="Y16" s="109"/>
      <c r="Z16" s="122" t="str">
        <f>IF(J16&gt;$J$98,"Yes","No")</f>
        <v>No</v>
      </c>
      <c r="AA16" s="123" t="str">
        <f>IF(J16&gt;$J$114,"Yes","No")</f>
        <v>No</v>
      </c>
      <c r="AB16" s="109"/>
      <c r="AC16" s="122" t="str">
        <f>IF(P16&gt;$P$98,"Yes","No")</f>
        <v>No</v>
      </c>
      <c r="AD16" s="123" t="str">
        <f>IF(P16&gt;$P$114,"Yes","No")</f>
        <v>No</v>
      </c>
      <c r="AE16" s="102"/>
      <c r="AF16" s="1157" t="str">
        <f t="shared" si="5"/>
        <v>NO</v>
      </c>
      <c r="AH16" s="95" t="str">
        <f t="shared" si="6"/>
        <v>no</v>
      </c>
      <c r="AI16" s="95" t="str">
        <f t="shared" si="7"/>
        <v>no</v>
      </c>
      <c r="AJ16" s="95" t="str">
        <f t="shared" si="8"/>
        <v>no</v>
      </c>
      <c r="AK16" s="95" t="str">
        <f t="shared" si="9"/>
        <v>no</v>
      </c>
      <c r="AL16" s="95" t="str">
        <f t="shared" si="10"/>
        <v>no</v>
      </c>
    </row>
    <row r="17" spans="1:38" x14ac:dyDescent="0.25">
      <c r="A17" s="127"/>
      <c r="B17" s="129"/>
      <c r="C17" s="129"/>
      <c r="D17" s="129"/>
      <c r="E17" s="129"/>
      <c r="F17" s="129"/>
      <c r="G17" s="129"/>
      <c r="H17" s="129"/>
      <c r="I17" s="129"/>
      <c r="J17" s="119"/>
      <c r="K17" s="124"/>
      <c r="L17" s="124"/>
      <c r="M17" s="124"/>
      <c r="N17" s="124"/>
      <c r="O17" s="124"/>
      <c r="P17" s="119">
        <f t="shared" si="0"/>
        <v>0</v>
      </c>
      <c r="R17" s="120"/>
      <c r="S17" s="128"/>
      <c r="T17" s="122"/>
      <c r="U17" s="123"/>
      <c r="V17" s="109"/>
      <c r="W17" s="115"/>
      <c r="X17" s="116"/>
      <c r="Y17" s="109"/>
      <c r="Z17" s="122"/>
      <c r="AA17" s="116"/>
      <c r="AB17" s="109"/>
      <c r="AC17" s="122"/>
      <c r="AD17" s="116"/>
      <c r="AE17" s="118"/>
      <c r="AF17" s="117" t="str">
        <f>IF((AL17="YES"),"YES","")</f>
        <v/>
      </c>
    </row>
    <row r="18" spans="1:38" x14ac:dyDescent="0.25">
      <c r="A18" s="126" t="s">
        <v>171</v>
      </c>
      <c r="B18" s="129"/>
      <c r="C18" s="129"/>
      <c r="D18" s="129"/>
      <c r="E18" s="129"/>
      <c r="F18" s="129"/>
      <c r="G18" s="129"/>
      <c r="H18" s="129"/>
      <c r="I18" s="129"/>
      <c r="J18" s="119"/>
      <c r="K18" s="124"/>
      <c r="L18" s="124"/>
      <c r="M18" s="124"/>
      <c r="N18" s="124"/>
      <c r="O18" s="124"/>
      <c r="P18" s="119">
        <f t="shared" si="0"/>
        <v>0</v>
      </c>
      <c r="R18" s="120"/>
      <c r="S18" s="128"/>
      <c r="T18" s="122"/>
      <c r="U18" s="123"/>
      <c r="V18" s="109"/>
      <c r="W18" s="115"/>
      <c r="X18" s="116"/>
      <c r="Y18" s="109"/>
      <c r="Z18" s="122"/>
      <c r="AA18" s="116"/>
      <c r="AB18" s="109"/>
      <c r="AC18" s="122"/>
      <c r="AD18" s="116"/>
      <c r="AE18" s="118"/>
      <c r="AF18" s="117" t="str">
        <f>IF((AL18="YES"),"YES","")</f>
        <v/>
      </c>
    </row>
    <row r="19" spans="1:38" x14ac:dyDescent="0.25">
      <c r="A19" s="127" t="s">
        <v>132</v>
      </c>
      <c r="B19" s="124">
        <f>'Special BS'!C33</f>
        <v>16838</v>
      </c>
      <c r="C19" s="124"/>
      <c r="D19" s="124">
        <f>'Special BS'!C55</f>
        <v>180</v>
      </c>
      <c r="E19" s="124"/>
      <c r="F19" s="124">
        <f>'Special SOREC'!C29</f>
        <v>25626</v>
      </c>
      <c r="G19" s="124"/>
      <c r="H19" s="124"/>
      <c r="I19" s="124"/>
      <c r="J19" s="119">
        <f t="shared" ref="J19:J49" si="11">F19+H19</f>
        <v>25626</v>
      </c>
      <c r="K19" s="124"/>
      <c r="L19" s="124">
        <f>'Special SOREC'!C58</f>
        <v>8387</v>
      </c>
      <c r="M19" s="124"/>
      <c r="N19" s="124"/>
      <c r="O19" s="124"/>
      <c r="P19" s="119">
        <f t="shared" si="0"/>
        <v>8387</v>
      </c>
      <c r="R19" s="120">
        <f t="shared" ref="R19:R29" si="12">J19-P19</f>
        <v>17239</v>
      </c>
      <c r="S19" s="128"/>
      <c r="T19" s="122" t="str">
        <f t="shared" ref="T19:T30" si="13">IF(B19&gt;$B$98,"YES","No")</f>
        <v>No</v>
      </c>
      <c r="U19" s="123" t="str">
        <f t="shared" ref="U19:U30" si="14">IF(B19&gt;$B$114,"YES","No")</f>
        <v>No</v>
      </c>
      <c r="V19" s="109"/>
      <c r="W19" s="122" t="str">
        <f t="shared" ref="W19:W30" si="15">IF(D19&gt;$D$98,"YES","No")</f>
        <v>No</v>
      </c>
      <c r="X19" s="123" t="str">
        <f t="shared" ref="X19:X30" si="16">IF(D19&gt;$D$114,"YES","No")</f>
        <v>No</v>
      </c>
      <c r="Y19" s="109"/>
      <c r="Z19" s="122" t="str">
        <f t="shared" ref="Z19:Z30" si="17">IF(J19&gt;$J$98,"Yes","No")</f>
        <v>No</v>
      </c>
      <c r="AA19" s="123" t="str">
        <f t="shared" ref="AA19:AA30" si="18">IF(J19&gt;$J$114,"Yes","No")</f>
        <v>No</v>
      </c>
      <c r="AB19" s="109"/>
      <c r="AC19" s="122" t="str">
        <f t="shared" ref="AC19:AC30" si="19">IF(P19&gt;$P$98,"Yes","No")</f>
        <v>No</v>
      </c>
      <c r="AD19" s="123" t="str">
        <f t="shared" ref="AD19:AD30" si="20">IF(P19&gt;$P$114,"Yes","No")</f>
        <v>No</v>
      </c>
      <c r="AF19" s="1157" t="str">
        <f t="shared" ref="AF19:AF30" si="21">IF((AL19="YES"),"YES","NO")</f>
        <v>NO</v>
      </c>
      <c r="AH19" s="95" t="str">
        <f t="shared" ref="AH19:AH30" si="22">IF(AND(T19="YES", U19="YES"),"YES","no")</f>
        <v>no</v>
      </c>
      <c r="AI19" s="95" t="str">
        <f t="shared" ref="AI19:AI30" si="23">IF(AND(W19="YES", X19="YES"),"YES","no")</f>
        <v>no</v>
      </c>
      <c r="AJ19" s="95" t="str">
        <f t="shared" ref="AJ19:AJ30" si="24">IF(AND(Z19="YES", AA19="YES"),"YES","no")</f>
        <v>no</v>
      </c>
      <c r="AK19" s="95" t="str">
        <f t="shared" ref="AK19:AK30" si="25">IF(AND(AC19="YES", AD19="YES"),"YES","no")</f>
        <v>no</v>
      </c>
      <c r="AL19" s="95" t="str">
        <f t="shared" ref="AL19:AL30" si="26">IF(OR(AH19="YES", AI19="YES", AJ19="YES", AK19="YES"),"YES","no")</f>
        <v>no</v>
      </c>
    </row>
    <row r="20" spans="1:38" x14ac:dyDescent="0.25">
      <c r="A20" s="127" t="s">
        <v>121</v>
      </c>
      <c r="B20" s="129">
        <f>'Special BS'!I33</f>
        <v>210416</v>
      </c>
      <c r="C20" s="124"/>
      <c r="D20" s="124">
        <f>'Special BS'!I55+'Special BS'!I58</f>
        <v>53590</v>
      </c>
      <c r="E20" s="124"/>
      <c r="F20" s="124">
        <f>'Special SOREC'!I29</f>
        <v>136570</v>
      </c>
      <c r="G20" s="124"/>
      <c r="H20" s="124"/>
      <c r="I20" s="124"/>
      <c r="J20" s="119">
        <f t="shared" si="11"/>
        <v>136570</v>
      </c>
      <c r="K20" s="124"/>
      <c r="L20" s="124">
        <f>'Special SOREC'!I58</f>
        <v>77483</v>
      </c>
      <c r="M20" s="124"/>
      <c r="N20" s="124"/>
      <c r="O20" s="124"/>
      <c r="P20" s="119">
        <f t="shared" si="0"/>
        <v>77483</v>
      </c>
      <c r="R20" s="120">
        <f t="shared" si="12"/>
        <v>59087</v>
      </c>
      <c r="S20" s="130"/>
      <c r="T20" s="122" t="str">
        <f t="shared" si="13"/>
        <v>No</v>
      </c>
      <c r="U20" s="123" t="str">
        <f t="shared" si="14"/>
        <v>No</v>
      </c>
      <c r="V20" s="109"/>
      <c r="W20" s="122" t="str">
        <f t="shared" si="15"/>
        <v>No</v>
      </c>
      <c r="X20" s="123" t="str">
        <f t="shared" si="16"/>
        <v>No</v>
      </c>
      <c r="Y20" s="109"/>
      <c r="Z20" s="122" t="str">
        <f t="shared" si="17"/>
        <v>No</v>
      </c>
      <c r="AA20" s="123" t="str">
        <f t="shared" si="18"/>
        <v>No</v>
      </c>
      <c r="AB20" s="109"/>
      <c r="AC20" s="122" t="str">
        <f t="shared" si="19"/>
        <v>No</v>
      </c>
      <c r="AD20" s="123" t="str">
        <f t="shared" si="20"/>
        <v>No</v>
      </c>
      <c r="AE20" s="102"/>
      <c r="AF20" s="1157" t="str">
        <f t="shared" si="21"/>
        <v>NO</v>
      </c>
      <c r="AH20" s="95" t="str">
        <f t="shared" si="22"/>
        <v>no</v>
      </c>
      <c r="AI20" s="95" t="str">
        <f t="shared" si="23"/>
        <v>no</v>
      </c>
      <c r="AJ20" s="95" t="str">
        <f t="shared" si="24"/>
        <v>no</v>
      </c>
      <c r="AK20" s="95" t="str">
        <f t="shared" si="25"/>
        <v>no</v>
      </c>
      <c r="AL20" s="95" t="str">
        <f t="shared" si="26"/>
        <v>no</v>
      </c>
    </row>
    <row r="21" spans="1:38" x14ac:dyDescent="0.25">
      <c r="A21" s="127" t="s">
        <v>130</v>
      </c>
      <c r="B21" s="124">
        <f>'Special BS'!K33</f>
        <v>159513</v>
      </c>
      <c r="C21" s="124"/>
      <c r="D21" s="124">
        <f>'Special BS'!K55+'Special BS'!K58</f>
        <v>49071</v>
      </c>
      <c r="E21" s="124"/>
      <c r="F21" s="124">
        <f>'Special SOREC'!K29</f>
        <v>56943</v>
      </c>
      <c r="G21" s="124"/>
      <c r="H21" s="124"/>
      <c r="I21" s="124"/>
      <c r="J21" s="119">
        <f t="shared" si="11"/>
        <v>56943</v>
      </c>
      <c r="K21" s="124"/>
      <c r="L21" s="124">
        <f>'Special SOREC'!K58</f>
        <v>58211</v>
      </c>
      <c r="M21" s="124"/>
      <c r="N21" s="124"/>
      <c r="O21" s="124"/>
      <c r="P21" s="119">
        <f t="shared" si="0"/>
        <v>58211</v>
      </c>
      <c r="R21" s="120">
        <f t="shared" si="12"/>
        <v>-1268</v>
      </c>
      <c r="S21" s="128"/>
      <c r="T21" s="122" t="str">
        <f t="shared" si="13"/>
        <v>No</v>
      </c>
      <c r="U21" s="123" t="str">
        <f t="shared" si="14"/>
        <v>No</v>
      </c>
      <c r="V21" s="109"/>
      <c r="W21" s="122" t="str">
        <f t="shared" si="15"/>
        <v>No</v>
      </c>
      <c r="X21" s="123" t="str">
        <f t="shared" si="16"/>
        <v>No</v>
      </c>
      <c r="Y21" s="109"/>
      <c r="Z21" s="122" t="str">
        <f t="shared" si="17"/>
        <v>No</v>
      </c>
      <c r="AA21" s="123" t="str">
        <f t="shared" si="18"/>
        <v>No</v>
      </c>
      <c r="AB21" s="109"/>
      <c r="AC21" s="122" t="str">
        <f t="shared" si="19"/>
        <v>No</v>
      </c>
      <c r="AD21" s="123" t="str">
        <f t="shared" si="20"/>
        <v>No</v>
      </c>
      <c r="AF21" s="1157" t="str">
        <f t="shared" si="21"/>
        <v>NO</v>
      </c>
      <c r="AH21" s="95" t="str">
        <f t="shared" si="22"/>
        <v>no</v>
      </c>
      <c r="AI21" s="95" t="str">
        <f t="shared" si="23"/>
        <v>no</v>
      </c>
      <c r="AJ21" s="95" t="str">
        <f t="shared" si="24"/>
        <v>no</v>
      </c>
      <c r="AK21" s="95" t="str">
        <f t="shared" si="25"/>
        <v>no</v>
      </c>
      <c r="AL21" s="95" t="str">
        <f t="shared" si="26"/>
        <v>no</v>
      </c>
    </row>
    <row r="22" spans="1:38" x14ac:dyDescent="0.25">
      <c r="A22" s="127" t="s">
        <v>122</v>
      </c>
      <c r="B22" s="129">
        <f>'Special BS'!M33</f>
        <v>4074</v>
      </c>
      <c r="C22" s="124"/>
      <c r="D22" s="124">
        <f>'Special BS'!M55+'Special BS'!M58</f>
        <v>2809</v>
      </c>
      <c r="E22" s="124"/>
      <c r="F22" s="124">
        <f>'Special SOREC'!M29</f>
        <v>22572</v>
      </c>
      <c r="G22" s="124"/>
      <c r="H22" s="124"/>
      <c r="I22" s="124"/>
      <c r="J22" s="119">
        <f t="shared" si="11"/>
        <v>22572</v>
      </c>
      <c r="K22" s="124"/>
      <c r="L22" s="124">
        <f>'Special SOREC'!M58</f>
        <v>3</v>
      </c>
      <c r="M22" s="124"/>
      <c r="N22" s="124"/>
      <c r="O22" s="124"/>
      <c r="P22" s="119">
        <f t="shared" si="0"/>
        <v>3</v>
      </c>
      <c r="R22" s="120">
        <f t="shared" si="12"/>
        <v>22569</v>
      </c>
      <c r="S22" s="130"/>
      <c r="T22" s="122" t="str">
        <f t="shared" si="13"/>
        <v>No</v>
      </c>
      <c r="U22" s="123" t="str">
        <f t="shared" si="14"/>
        <v>No</v>
      </c>
      <c r="V22" s="109"/>
      <c r="W22" s="122" t="str">
        <f t="shared" si="15"/>
        <v>No</v>
      </c>
      <c r="X22" s="123" t="str">
        <f t="shared" si="16"/>
        <v>No</v>
      </c>
      <c r="Y22" s="109"/>
      <c r="Z22" s="122" t="str">
        <f t="shared" si="17"/>
        <v>No</v>
      </c>
      <c r="AA22" s="123" t="str">
        <f t="shared" si="18"/>
        <v>No</v>
      </c>
      <c r="AB22" s="109"/>
      <c r="AC22" s="122" t="str">
        <f t="shared" si="19"/>
        <v>No</v>
      </c>
      <c r="AD22" s="123" t="str">
        <f t="shared" si="20"/>
        <v>No</v>
      </c>
      <c r="AE22" s="102"/>
      <c r="AF22" s="1157" t="str">
        <f t="shared" si="21"/>
        <v>NO</v>
      </c>
      <c r="AH22" s="95" t="str">
        <f t="shared" si="22"/>
        <v>no</v>
      </c>
      <c r="AI22" s="95" t="str">
        <f t="shared" si="23"/>
        <v>no</v>
      </c>
      <c r="AJ22" s="95" t="str">
        <f t="shared" si="24"/>
        <v>no</v>
      </c>
      <c r="AK22" s="95" t="str">
        <f t="shared" si="25"/>
        <v>no</v>
      </c>
      <c r="AL22" s="95" t="str">
        <f t="shared" si="26"/>
        <v>no</v>
      </c>
    </row>
    <row r="23" spans="1:38" x14ac:dyDescent="0.25">
      <c r="A23" s="127" t="s">
        <v>157</v>
      </c>
      <c r="B23" s="129">
        <f>'Special BS'!O33</f>
        <v>21381</v>
      </c>
      <c r="C23" s="124"/>
      <c r="D23" s="124">
        <f>'Special BS'!O55</f>
        <v>0</v>
      </c>
      <c r="E23" s="124"/>
      <c r="F23" s="124">
        <f>'Special SOREC'!O29</f>
        <v>1705</v>
      </c>
      <c r="G23" s="124"/>
      <c r="H23" s="124"/>
      <c r="I23" s="124"/>
      <c r="J23" s="119">
        <f t="shared" si="11"/>
        <v>1705</v>
      </c>
      <c r="K23" s="124"/>
      <c r="L23" s="124">
        <f>'Special SOREC'!O58</f>
        <v>0</v>
      </c>
      <c r="M23" s="124"/>
      <c r="N23" s="124"/>
      <c r="O23" s="124"/>
      <c r="P23" s="119">
        <f t="shared" si="0"/>
        <v>0</v>
      </c>
      <c r="R23" s="120">
        <f t="shared" si="12"/>
        <v>1705</v>
      </c>
      <c r="S23" s="130"/>
      <c r="T23" s="122" t="str">
        <f t="shared" si="13"/>
        <v>No</v>
      </c>
      <c r="U23" s="123" t="str">
        <f t="shared" si="14"/>
        <v>No</v>
      </c>
      <c r="V23" s="109"/>
      <c r="W23" s="122" t="str">
        <f t="shared" si="15"/>
        <v>No</v>
      </c>
      <c r="X23" s="123" t="str">
        <f t="shared" si="16"/>
        <v>No</v>
      </c>
      <c r="Y23" s="109"/>
      <c r="Z23" s="122" t="str">
        <f t="shared" si="17"/>
        <v>No</v>
      </c>
      <c r="AA23" s="123" t="str">
        <f t="shared" si="18"/>
        <v>No</v>
      </c>
      <c r="AB23" s="109"/>
      <c r="AC23" s="122" t="str">
        <f t="shared" si="19"/>
        <v>No</v>
      </c>
      <c r="AD23" s="123" t="str">
        <f t="shared" si="20"/>
        <v>No</v>
      </c>
      <c r="AE23" s="102"/>
      <c r="AF23" s="1157" t="str">
        <f t="shared" si="21"/>
        <v>NO</v>
      </c>
      <c r="AH23" s="95" t="str">
        <f t="shared" si="22"/>
        <v>no</v>
      </c>
      <c r="AI23" s="95" t="str">
        <f t="shared" si="23"/>
        <v>no</v>
      </c>
      <c r="AJ23" s="95" t="str">
        <f t="shared" si="24"/>
        <v>no</v>
      </c>
      <c r="AK23" s="95" t="str">
        <f t="shared" si="25"/>
        <v>no</v>
      </c>
      <c r="AL23" s="95" t="str">
        <f t="shared" si="26"/>
        <v>no</v>
      </c>
    </row>
    <row r="24" spans="1:38" x14ac:dyDescent="0.25">
      <c r="A24" s="127" t="s">
        <v>1190</v>
      </c>
      <c r="B24" s="129">
        <f>'Special BS'!Q33</f>
        <v>8355</v>
      </c>
      <c r="C24" s="124"/>
      <c r="D24" s="124">
        <f>'Special BS'!Q55</f>
        <v>8355</v>
      </c>
      <c r="E24" s="124"/>
      <c r="F24" s="124">
        <f>'Special SOREC'!Q29</f>
        <v>88712</v>
      </c>
      <c r="G24" s="124"/>
      <c r="H24" s="124"/>
      <c r="I24" s="124"/>
      <c r="J24" s="119">
        <f t="shared" si="11"/>
        <v>88712</v>
      </c>
      <c r="K24" s="124"/>
      <c r="L24" s="124">
        <f>'Special SOREC'!Q58</f>
        <v>38310</v>
      </c>
      <c r="M24" s="124"/>
      <c r="N24" s="124"/>
      <c r="O24" s="124"/>
      <c r="P24" s="119">
        <f t="shared" si="0"/>
        <v>38310</v>
      </c>
      <c r="R24" s="120">
        <f t="shared" si="12"/>
        <v>50402</v>
      </c>
      <c r="S24" s="130"/>
      <c r="T24" s="122" t="str">
        <f t="shared" si="13"/>
        <v>No</v>
      </c>
      <c r="U24" s="123" t="str">
        <f t="shared" si="14"/>
        <v>No</v>
      </c>
      <c r="V24" s="109"/>
      <c r="W24" s="122" t="str">
        <f t="shared" si="15"/>
        <v>No</v>
      </c>
      <c r="X24" s="123" t="str">
        <f t="shared" si="16"/>
        <v>No</v>
      </c>
      <c r="Y24" s="109"/>
      <c r="Z24" s="122" t="str">
        <f t="shared" si="17"/>
        <v>No</v>
      </c>
      <c r="AA24" s="123" t="str">
        <f t="shared" si="18"/>
        <v>No</v>
      </c>
      <c r="AB24" s="109"/>
      <c r="AC24" s="122" t="str">
        <f t="shared" si="19"/>
        <v>No</v>
      </c>
      <c r="AD24" s="123" t="str">
        <f t="shared" si="20"/>
        <v>No</v>
      </c>
      <c r="AE24" s="102"/>
      <c r="AF24" s="1157" t="str">
        <f t="shared" si="21"/>
        <v>NO</v>
      </c>
      <c r="AH24" s="95" t="str">
        <f t="shared" si="22"/>
        <v>no</v>
      </c>
      <c r="AI24" s="95" t="str">
        <f t="shared" si="23"/>
        <v>no</v>
      </c>
      <c r="AJ24" s="95" t="str">
        <f t="shared" si="24"/>
        <v>no</v>
      </c>
      <c r="AK24" s="95" t="str">
        <f t="shared" si="25"/>
        <v>no</v>
      </c>
      <c r="AL24" s="95" t="str">
        <f t="shared" si="26"/>
        <v>no</v>
      </c>
    </row>
    <row r="25" spans="1:38" x14ac:dyDescent="0.25">
      <c r="A25" s="127" t="s">
        <v>1501</v>
      </c>
      <c r="B25" s="129">
        <f>'Special BS'!S33</f>
        <v>8414</v>
      </c>
      <c r="C25" s="124"/>
      <c r="D25" s="124">
        <f>'Special BS'!S55</f>
        <v>8414</v>
      </c>
      <c r="E25" s="124"/>
      <c r="F25" s="124">
        <f>'Special SOREC'!S29</f>
        <v>53216</v>
      </c>
      <c r="G25" s="124"/>
      <c r="H25" s="124"/>
      <c r="I25" s="124"/>
      <c r="J25" s="119">
        <f t="shared" si="11"/>
        <v>53216</v>
      </c>
      <c r="K25" s="124"/>
      <c r="L25" s="124">
        <f>'Special SOREC'!S58</f>
        <v>2876</v>
      </c>
      <c r="M25" s="124"/>
      <c r="N25" s="124"/>
      <c r="O25" s="124"/>
      <c r="P25" s="119">
        <f t="shared" si="0"/>
        <v>2876</v>
      </c>
      <c r="R25" s="120"/>
      <c r="S25" s="130"/>
      <c r="T25" s="122" t="str">
        <f t="shared" si="13"/>
        <v>No</v>
      </c>
      <c r="U25" s="123" t="str">
        <f t="shared" si="14"/>
        <v>No</v>
      </c>
      <c r="V25" s="109"/>
      <c r="W25" s="122" t="str">
        <f t="shared" si="15"/>
        <v>No</v>
      </c>
      <c r="X25" s="123" t="str">
        <f t="shared" si="16"/>
        <v>No</v>
      </c>
      <c r="Y25" s="109"/>
      <c r="Z25" s="122" t="str">
        <f t="shared" si="17"/>
        <v>No</v>
      </c>
      <c r="AA25" s="123" t="str">
        <f t="shared" si="18"/>
        <v>No</v>
      </c>
      <c r="AB25" s="109"/>
      <c r="AC25" s="122" t="str">
        <f t="shared" si="19"/>
        <v>No</v>
      </c>
      <c r="AD25" s="123" t="str">
        <f t="shared" si="20"/>
        <v>No</v>
      </c>
      <c r="AE25" s="102"/>
      <c r="AF25" s="1157" t="str">
        <f t="shared" ref="AF25" si="27">IF((AL25="YES"),"YES","NO")</f>
        <v>NO</v>
      </c>
      <c r="AH25" s="95" t="str">
        <f t="shared" ref="AH25" si="28">IF(AND(T25="YES", U25="YES"),"YES","no")</f>
        <v>no</v>
      </c>
      <c r="AI25" s="95" t="str">
        <f t="shared" ref="AI25" si="29">IF(AND(W25="YES", X25="YES"),"YES","no")</f>
        <v>no</v>
      </c>
      <c r="AJ25" s="95" t="str">
        <f t="shared" ref="AJ25" si="30">IF(AND(Z25="YES", AA25="YES"),"YES","no")</f>
        <v>no</v>
      </c>
      <c r="AK25" s="95" t="str">
        <f t="shared" ref="AK25" si="31">IF(AND(AC25="YES", AD25="YES"),"YES","no")</f>
        <v>no</v>
      </c>
      <c r="AL25" s="95" t="str">
        <f t="shared" ref="AL25" si="32">IF(OR(AH25="YES", AI25="YES", AJ25="YES", AK25="YES"),"YES","no")</f>
        <v>no</v>
      </c>
    </row>
    <row r="26" spans="1:38" x14ac:dyDescent="0.25">
      <c r="A26" s="127" t="s">
        <v>1030</v>
      </c>
      <c r="B26" s="124">
        <f>'Special BS'!U33</f>
        <v>4040</v>
      </c>
      <c r="C26" s="124"/>
      <c r="D26" s="124">
        <f>'Special BS'!U55</f>
        <v>95</v>
      </c>
      <c r="E26" s="124"/>
      <c r="F26" s="124">
        <f>'Special SOREC'!U29</f>
        <v>5216</v>
      </c>
      <c r="G26" s="124"/>
      <c r="H26" s="124"/>
      <c r="I26" s="124"/>
      <c r="J26" s="119">
        <f t="shared" si="11"/>
        <v>5216</v>
      </c>
      <c r="K26" s="124"/>
      <c r="L26" s="124">
        <f>'Special SOREC'!U58</f>
        <v>4003</v>
      </c>
      <c r="M26" s="124"/>
      <c r="N26" s="124"/>
      <c r="O26" s="124"/>
      <c r="P26" s="119">
        <f t="shared" si="0"/>
        <v>4003</v>
      </c>
      <c r="R26" s="120">
        <f t="shared" si="12"/>
        <v>1213</v>
      </c>
      <c r="S26" s="130"/>
      <c r="T26" s="122" t="str">
        <f t="shared" si="13"/>
        <v>No</v>
      </c>
      <c r="U26" s="123" t="str">
        <f t="shared" si="14"/>
        <v>No</v>
      </c>
      <c r="V26" s="109"/>
      <c r="W26" s="122" t="str">
        <f t="shared" si="15"/>
        <v>No</v>
      </c>
      <c r="X26" s="123" t="str">
        <f t="shared" si="16"/>
        <v>No</v>
      </c>
      <c r="Y26" s="109"/>
      <c r="Z26" s="122" t="str">
        <f t="shared" si="17"/>
        <v>No</v>
      </c>
      <c r="AA26" s="123" t="str">
        <f t="shared" si="18"/>
        <v>No</v>
      </c>
      <c r="AB26" s="109"/>
      <c r="AC26" s="122" t="str">
        <f t="shared" si="19"/>
        <v>No</v>
      </c>
      <c r="AD26" s="123" t="str">
        <f t="shared" si="20"/>
        <v>No</v>
      </c>
      <c r="AE26" s="102"/>
      <c r="AF26" s="1157" t="str">
        <f t="shared" si="21"/>
        <v>NO</v>
      </c>
      <c r="AH26" s="95" t="str">
        <f t="shared" si="22"/>
        <v>no</v>
      </c>
      <c r="AI26" s="95" t="str">
        <f t="shared" si="23"/>
        <v>no</v>
      </c>
      <c r="AJ26" s="95" t="str">
        <f t="shared" si="24"/>
        <v>no</v>
      </c>
      <c r="AK26" s="95" t="str">
        <f t="shared" si="25"/>
        <v>no</v>
      </c>
      <c r="AL26" s="95" t="str">
        <f t="shared" si="26"/>
        <v>no</v>
      </c>
    </row>
    <row r="27" spans="1:38" x14ac:dyDescent="0.25">
      <c r="A27" s="127" t="s">
        <v>139</v>
      </c>
      <c r="B27" s="124">
        <f>'Special BS'!W33</f>
        <v>12276</v>
      </c>
      <c r="C27" s="124"/>
      <c r="D27" s="124">
        <f>'Special BS'!W55+'Special BS'!W58</f>
        <v>502</v>
      </c>
      <c r="E27" s="124"/>
      <c r="F27" s="124">
        <f>'Special SOREC'!W29</f>
        <v>811</v>
      </c>
      <c r="G27" s="124"/>
      <c r="H27" s="124">
        <f>'SORECGF Perm'!E71</f>
        <v>0</v>
      </c>
      <c r="I27" s="124"/>
      <c r="J27" s="119">
        <f t="shared" si="11"/>
        <v>811</v>
      </c>
      <c r="K27" s="124"/>
      <c r="L27" s="124">
        <f>'Special SOREC'!W58</f>
        <v>1025</v>
      </c>
      <c r="M27" s="124"/>
      <c r="N27" s="124">
        <f>-'SORECGF Perm'!E72</f>
        <v>0</v>
      </c>
      <c r="O27" s="124"/>
      <c r="P27" s="119">
        <f t="shared" si="0"/>
        <v>1025</v>
      </c>
      <c r="R27" s="120">
        <f>J27-P27</f>
        <v>-214</v>
      </c>
      <c r="S27" s="128"/>
      <c r="T27" s="122" t="str">
        <f t="shared" si="13"/>
        <v>No</v>
      </c>
      <c r="U27" s="123" t="str">
        <f t="shared" si="14"/>
        <v>No</v>
      </c>
      <c r="V27" s="109"/>
      <c r="W27" s="122" t="str">
        <f t="shared" si="15"/>
        <v>No</v>
      </c>
      <c r="X27" s="123" t="str">
        <f t="shared" si="16"/>
        <v>No</v>
      </c>
      <c r="Y27" s="109"/>
      <c r="Z27" s="122" t="str">
        <f t="shared" si="17"/>
        <v>No</v>
      </c>
      <c r="AA27" s="123" t="str">
        <f t="shared" si="18"/>
        <v>No</v>
      </c>
      <c r="AB27" s="109"/>
      <c r="AC27" s="122" t="str">
        <f t="shared" si="19"/>
        <v>No</v>
      </c>
      <c r="AD27" s="123" t="str">
        <f t="shared" si="20"/>
        <v>No</v>
      </c>
      <c r="AF27" s="1157" t="str">
        <f t="shared" si="21"/>
        <v>NO</v>
      </c>
      <c r="AH27" s="95" t="str">
        <f>IF(AND(T27="YES", U27="YES"),"YES","no")</f>
        <v>no</v>
      </c>
      <c r="AI27" s="95" t="str">
        <f>IF(AND(W27="YES", X27="YES"),"YES","no")</f>
        <v>no</v>
      </c>
      <c r="AJ27" s="95" t="str">
        <f>IF(AND(Z27="YES", AA27="YES"),"YES","no")</f>
        <v>no</v>
      </c>
      <c r="AK27" s="95" t="str">
        <f>IF(AND(AC27="YES", AD27="YES"),"YES","no")</f>
        <v>no</v>
      </c>
      <c r="AL27" s="95" t="str">
        <f>IF(OR(AH27="YES", AI27="YES", AJ27="YES", AK27="YES"),"YES","no")</f>
        <v>no</v>
      </c>
    </row>
    <row r="28" spans="1:38" x14ac:dyDescent="0.25">
      <c r="A28" s="127" t="s">
        <v>124</v>
      </c>
      <c r="B28" s="129">
        <f>'Special BS'!Y33</f>
        <v>49415</v>
      </c>
      <c r="C28" s="124"/>
      <c r="D28" s="124">
        <f>'Special BS'!Y55</f>
        <v>1080</v>
      </c>
      <c r="E28" s="124"/>
      <c r="F28" s="124">
        <f>'Special SOREC'!Y29</f>
        <v>66836</v>
      </c>
      <c r="G28" s="124"/>
      <c r="H28" s="124"/>
      <c r="I28" s="124"/>
      <c r="J28" s="119">
        <f t="shared" si="11"/>
        <v>66836</v>
      </c>
      <c r="K28" s="124"/>
      <c r="L28" s="124">
        <f>'Special SOREC'!Y58</f>
        <v>46452</v>
      </c>
      <c r="M28" s="124"/>
      <c r="N28" s="124"/>
      <c r="O28" s="124"/>
      <c r="P28" s="119">
        <f t="shared" si="0"/>
        <v>46452</v>
      </c>
      <c r="R28" s="120">
        <f t="shared" si="12"/>
        <v>20384</v>
      </c>
      <c r="S28" s="130"/>
      <c r="T28" s="122" t="str">
        <f t="shared" si="13"/>
        <v>No</v>
      </c>
      <c r="U28" s="123" t="str">
        <f t="shared" si="14"/>
        <v>No</v>
      </c>
      <c r="V28" s="109"/>
      <c r="W28" s="122" t="str">
        <f t="shared" si="15"/>
        <v>No</v>
      </c>
      <c r="X28" s="123" t="str">
        <f t="shared" si="16"/>
        <v>No</v>
      </c>
      <c r="Y28" s="109"/>
      <c r="Z28" s="122" t="str">
        <f t="shared" si="17"/>
        <v>No</v>
      </c>
      <c r="AA28" s="123" t="str">
        <f t="shared" si="18"/>
        <v>No</v>
      </c>
      <c r="AB28" s="109"/>
      <c r="AC28" s="122" t="str">
        <f t="shared" si="19"/>
        <v>No</v>
      </c>
      <c r="AD28" s="123" t="str">
        <f t="shared" si="20"/>
        <v>No</v>
      </c>
      <c r="AE28" s="102"/>
      <c r="AF28" s="1157" t="str">
        <f t="shared" si="21"/>
        <v>NO</v>
      </c>
      <c r="AH28" s="95" t="str">
        <f t="shared" si="22"/>
        <v>no</v>
      </c>
      <c r="AI28" s="95" t="str">
        <f t="shared" si="23"/>
        <v>no</v>
      </c>
      <c r="AJ28" s="95" t="str">
        <f t="shared" si="24"/>
        <v>no</v>
      </c>
      <c r="AK28" s="95" t="str">
        <f t="shared" si="25"/>
        <v>no</v>
      </c>
      <c r="AL28" s="95" t="str">
        <f t="shared" si="26"/>
        <v>no</v>
      </c>
    </row>
    <row r="29" spans="1:38" x14ac:dyDescent="0.25">
      <c r="A29" s="127" t="s">
        <v>134</v>
      </c>
      <c r="B29" s="124">
        <f>'Special BS'!AC33</f>
        <v>59644</v>
      </c>
      <c r="C29" s="124"/>
      <c r="D29" s="124">
        <f>'Special BS'!AC55</f>
        <v>1056</v>
      </c>
      <c r="E29" s="124"/>
      <c r="F29" s="124">
        <f>'Special SOREC'!AC29</f>
        <v>47929</v>
      </c>
      <c r="G29" s="124"/>
      <c r="H29" s="124"/>
      <c r="I29" s="124"/>
      <c r="J29" s="119">
        <f t="shared" si="11"/>
        <v>47929</v>
      </c>
      <c r="K29" s="124"/>
      <c r="L29" s="124">
        <f>'Special SOREC'!AC58</f>
        <v>30585</v>
      </c>
      <c r="M29" s="124"/>
      <c r="N29" s="124"/>
      <c r="O29" s="124"/>
      <c r="P29" s="119">
        <f t="shared" si="0"/>
        <v>30585</v>
      </c>
      <c r="R29" s="120">
        <f t="shared" si="12"/>
        <v>17344</v>
      </c>
      <c r="S29" s="128"/>
      <c r="T29" s="122" t="str">
        <f t="shared" si="13"/>
        <v>No</v>
      </c>
      <c r="U29" s="123" t="str">
        <f t="shared" si="14"/>
        <v>No</v>
      </c>
      <c r="V29" s="109"/>
      <c r="W29" s="122" t="str">
        <f t="shared" si="15"/>
        <v>No</v>
      </c>
      <c r="X29" s="123" t="str">
        <f t="shared" si="16"/>
        <v>No</v>
      </c>
      <c r="Y29" s="109"/>
      <c r="Z29" s="122" t="str">
        <f t="shared" si="17"/>
        <v>No</v>
      </c>
      <c r="AA29" s="123" t="str">
        <f t="shared" si="18"/>
        <v>No</v>
      </c>
      <c r="AB29" s="109"/>
      <c r="AC29" s="122" t="str">
        <f t="shared" si="19"/>
        <v>No</v>
      </c>
      <c r="AD29" s="123" t="str">
        <f t="shared" si="20"/>
        <v>No</v>
      </c>
      <c r="AF29" s="1157" t="str">
        <f t="shared" si="21"/>
        <v>NO</v>
      </c>
      <c r="AH29" s="95" t="str">
        <f t="shared" si="22"/>
        <v>no</v>
      </c>
      <c r="AI29" s="95" t="str">
        <f t="shared" si="23"/>
        <v>no</v>
      </c>
      <c r="AJ29" s="95" t="str">
        <f t="shared" si="24"/>
        <v>no</v>
      </c>
      <c r="AK29" s="95" t="str">
        <f t="shared" si="25"/>
        <v>no</v>
      </c>
      <c r="AL29" s="95" t="str">
        <f t="shared" si="26"/>
        <v>no</v>
      </c>
    </row>
    <row r="30" spans="1:38" x14ac:dyDescent="0.25">
      <c r="A30" s="127" t="s">
        <v>1204</v>
      </c>
      <c r="B30" s="124">
        <f>'Special BS'!AG33</f>
        <v>929</v>
      </c>
      <c r="C30" s="124"/>
      <c r="D30" s="124">
        <f>'Special BS'!AG55</f>
        <v>1032</v>
      </c>
      <c r="E30" s="124"/>
      <c r="F30" s="124">
        <f>'Special SOREC'!AG29</f>
        <v>11360</v>
      </c>
      <c r="G30" s="124"/>
      <c r="H30" s="124"/>
      <c r="I30" s="124"/>
      <c r="J30" s="119">
        <f t="shared" si="11"/>
        <v>11360</v>
      </c>
      <c r="K30" s="124"/>
      <c r="L30" s="124">
        <f>'Special SOREC'!AG58</f>
        <v>12586</v>
      </c>
      <c r="M30" s="124"/>
      <c r="N30" s="124"/>
      <c r="O30" s="124"/>
      <c r="P30" s="119">
        <f t="shared" si="0"/>
        <v>12586</v>
      </c>
      <c r="R30" s="120"/>
      <c r="S30" s="128"/>
      <c r="T30" s="122" t="str">
        <f t="shared" si="13"/>
        <v>No</v>
      </c>
      <c r="U30" s="123" t="str">
        <f t="shared" si="14"/>
        <v>No</v>
      </c>
      <c r="V30" s="109"/>
      <c r="W30" s="122" t="str">
        <f t="shared" si="15"/>
        <v>No</v>
      </c>
      <c r="X30" s="123" t="str">
        <f t="shared" si="16"/>
        <v>No</v>
      </c>
      <c r="Y30" s="109"/>
      <c r="Z30" s="122" t="str">
        <f t="shared" si="17"/>
        <v>No</v>
      </c>
      <c r="AA30" s="123" t="str">
        <f t="shared" si="18"/>
        <v>No</v>
      </c>
      <c r="AB30" s="109"/>
      <c r="AC30" s="122" t="str">
        <f t="shared" si="19"/>
        <v>No</v>
      </c>
      <c r="AD30" s="123" t="str">
        <f t="shared" si="20"/>
        <v>No</v>
      </c>
      <c r="AF30" s="1157" t="str">
        <f t="shared" si="21"/>
        <v>NO</v>
      </c>
      <c r="AH30" s="95" t="str">
        <f t="shared" si="22"/>
        <v>no</v>
      </c>
      <c r="AI30" s="95" t="str">
        <f t="shared" si="23"/>
        <v>no</v>
      </c>
      <c r="AJ30" s="95" t="str">
        <f t="shared" si="24"/>
        <v>no</v>
      </c>
      <c r="AK30" s="95" t="str">
        <f t="shared" si="25"/>
        <v>no</v>
      </c>
      <c r="AL30" s="95" t="str">
        <f t="shared" si="26"/>
        <v>no</v>
      </c>
    </row>
    <row r="31" spans="1:38" x14ac:dyDescent="0.25">
      <c r="A31" s="131"/>
      <c r="B31" s="124"/>
      <c r="C31" s="124"/>
      <c r="D31" s="124"/>
      <c r="E31" s="124"/>
      <c r="F31" s="124"/>
      <c r="G31" s="124"/>
      <c r="H31" s="124"/>
      <c r="I31" s="124"/>
      <c r="J31" s="119">
        <f t="shared" si="11"/>
        <v>0</v>
      </c>
      <c r="K31" s="124"/>
      <c r="L31" s="124"/>
      <c r="M31" s="124"/>
      <c r="N31" s="124"/>
      <c r="O31" s="124"/>
      <c r="P31" s="119">
        <f t="shared" si="0"/>
        <v>0</v>
      </c>
      <c r="R31" s="120"/>
      <c r="S31" s="128"/>
      <c r="T31" s="122"/>
      <c r="U31" s="123"/>
      <c r="V31" s="109"/>
      <c r="W31" s="122"/>
      <c r="X31" s="123"/>
      <c r="Y31" s="109"/>
      <c r="Z31" s="122"/>
      <c r="AA31" s="123"/>
      <c r="AB31" s="109"/>
      <c r="AC31" s="122"/>
      <c r="AD31" s="123"/>
      <c r="AF31" s="117" t="str">
        <f>IF((AL31="YES"),"YES","")</f>
        <v/>
      </c>
    </row>
    <row r="32" spans="1:38" x14ac:dyDescent="0.25">
      <c r="A32" s="126" t="s">
        <v>153</v>
      </c>
      <c r="B32" s="124"/>
      <c r="C32" s="124"/>
      <c r="D32" s="124"/>
      <c r="E32" s="124"/>
      <c r="F32" s="124"/>
      <c r="G32" s="124"/>
      <c r="H32" s="124"/>
      <c r="I32" s="124"/>
      <c r="J32" s="119">
        <f t="shared" si="11"/>
        <v>0</v>
      </c>
      <c r="K32" s="124"/>
      <c r="L32" s="124"/>
      <c r="M32" s="124"/>
      <c r="N32" s="124"/>
      <c r="O32" s="124"/>
      <c r="P32" s="119">
        <f t="shared" si="0"/>
        <v>0</v>
      </c>
      <c r="R32" s="120"/>
      <c r="S32" s="128"/>
      <c r="T32" s="122"/>
      <c r="U32" s="123"/>
      <c r="V32" s="109"/>
      <c r="W32" s="122"/>
      <c r="X32" s="123"/>
      <c r="Y32" s="109"/>
      <c r="Z32" s="122"/>
      <c r="AA32" s="123"/>
      <c r="AB32" s="109"/>
      <c r="AC32" s="122"/>
      <c r="AD32" s="123"/>
      <c r="AF32" s="117" t="str">
        <f>IF((AL32="YES"),"YES","")</f>
        <v/>
      </c>
    </row>
    <row r="33" spans="1:38" x14ac:dyDescent="0.25">
      <c r="A33" s="127" t="s">
        <v>1687</v>
      </c>
      <c r="B33" s="124">
        <f>'Blended BS'!C34</f>
        <v>0</v>
      </c>
      <c r="C33" s="124"/>
      <c r="D33" s="124">
        <f>'Blended BS'!C56</f>
        <v>0</v>
      </c>
      <c r="E33" s="124"/>
      <c r="F33" s="124">
        <f>'Blended SOREC'!C30</f>
        <v>0</v>
      </c>
      <c r="G33" s="124"/>
      <c r="H33" s="124"/>
      <c r="I33" s="124"/>
      <c r="J33" s="119">
        <f t="shared" si="11"/>
        <v>0</v>
      </c>
      <c r="K33" s="124"/>
      <c r="L33" s="124">
        <f>'Blended SOREC'!C59</f>
        <v>0</v>
      </c>
      <c r="M33" s="124"/>
      <c r="N33" s="124"/>
      <c r="O33" s="124"/>
      <c r="P33" s="119">
        <f t="shared" si="0"/>
        <v>0</v>
      </c>
      <c r="R33" s="120"/>
      <c r="S33" s="128"/>
      <c r="T33" s="122" t="str">
        <f t="shared" ref="T33:T48" si="33">IF(B33&gt;$B$98,"YES","No")</f>
        <v>No</v>
      </c>
      <c r="U33" s="123" t="str">
        <f t="shared" ref="U33:U48" si="34">IF(B33&gt;$B$114,"YES","No")</f>
        <v>No</v>
      </c>
      <c r="V33" s="109"/>
      <c r="W33" s="122" t="str">
        <f t="shared" ref="W33:W48" si="35">IF(D33&gt;$D$98,"YES","No")</f>
        <v>No</v>
      </c>
      <c r="X33" s="123" t="str">
        <f t="shared" ref="X33:X48" si="36">IF(D33&gt;$D$114,"YES","No")</f>
        <v>No</v>
      </c>
      <c r="Y33" s="109"/>
      <c r="Z33" s="122" t="str">
        <f t="shared" ref="Z33:Z48" si="37">IF(J33&gt;$J$98,"Yes","No")</f>
        <v>No</v>
      </c>
      <c r="AA33" s="123" t="str">
        <f t="shared" ref="AA33:AA48" si="38">IF(J33&gt;$J$114,"Yes","No")</f>
        <v>No</v>
      </c>
      <c r="AB33" s="109"/>
      <c r="AC33" s="122" t="str">
        <f t="shared" ref="AC33:AC48" si="39">IF(P33&gt;$P$98,"Yes","No")</f>
        <v>No</v>
      </c>
      <c r="AD33" s="123" t="str">
        <f t="shared" ref="AD33:AD48" si="40">IF(P33&gt;$P$114,"Yes","No")</f>
        <v>No</v>
      </c>
      <c r="AE33" s="99"/>
      <c r="AF33" s="1157" t="str">
        <f>IF((AL33="YES"),"YES","NO")</f>
        <v>NO</v>
      </c>
      <c r="AH33" s="95" t="str">
        <f t="shared" ref="AH33:AH41" si="41">IF(AND(T33="YES", U33="YES"),"YES","no")</f>
        <v>no</v>
      </c>
      <c r="AI33" s="95" t="str">
        <f t="shared" ref="AI33:AI41" si="42">IF(AND(W33="YES", X33="YES"),"YES","no")</f>
        <v>no</v>
      </c>
      <c r="AJ33" s="95" t="str">
        <f t="shared" ref="AJ33:AJ41" si="43">IF(AND(Z33="YES", AA33="YES"),"YES","no")</f>
        <v>no</v>
      </c>
      <c r="AK33" s="95" t="str">
        <f t="shared" ref="AK33:AK41" si="44">IF(AND(AC33="YES", AD33="YES"),"YES","no")</f>
        <v>no</v>
      </c>
      <c r="AL33" s="95" t="str">
        <f t="shared" ref="AL33:AL41" si="45">IF(OR(AH33="YES", AI33="YES", AJ33="YES", AK33="YES"),"YES","no")</f>
        <v>no</v>
      </c>
    </row>
    <row r="34" spans="1:38" x14ac:dyDescent="0.25">
      <c r="A34" s="127" t="s">
        <v>555</v>
      </c>
      <c r="B34" s="124">
        <f>'Blended BS'!G34</f>
        <v>293</v>
      </c>
      <c r="C34" s="124"/>
      <c r="D34" s="124">
        <f>'Blended BS'!G56</f>
        <v>0</v>
      </c>
      <c r="E34" s="124"/>
      <c r="F34" s="124">
        <f>'Blended SOREC'!G30</f>
        <v>27</v>
      </c>
      <c r="G34" s="124"/>
      <c r="H34" s="124"/>
      <c r="I34" s="124"/>
      <c r="J34" s="119">
        <f t="shared" si="11"/>
        <v>27</v>
      </c>
      <c r="K34" s="124"/>
      <c r="L34" s="124">
        <f>'Blended SOREC'!G59</f>
        <v>1</v>
      </c>
      <c r="M34" s="124"/>
      <c r="N34" s="124"/>
      <c r="O34" s="124"/>
      <c r="P34" s="119">
        <f t="shared" si="0"/>
        <v>1</v>
      </c>
      <c r="R34" s="120"/>
      <c r="S34" s="128"/>
      <c r="T34" s="122" t="str">
        <f t="shared" si="33"/>
        <v>No</v>
      </c>
      <c r="U34" s="123" t="str">
        <f t="shared" si="34"/>
        <v>No</v>
      </c>
      <c r="V34" s="109"/>
      <c r="W34" s="122" t="str">
        <f t="shared" si="35"/>
        <v>No</v>
      </c>
      <c r="X34" s="123" t="str">
        <f t="shared" si="36"/>
        <v>No</v>
      </c>
      <c r="Y34" s="109"/>
      <c r="Z34" s="122" t="str">
        <f t="shared" si="37"/>
        <v>No</v>
      </c>
      <c r="AA34" s="123" t="str">
        <f t="shared" si="38"/>
        <v>No</v>
      </c>
      <c r="AB34" s="109"/>
      <c r="AC34" s="122" t="str">
        <f t="shared" si="39"/>
        <v>No</v>
      </c>
      <c r="AD34" s="123" t="str">
        <f t="shared" si="40"/>
        <v>No</v>
      </c>
      <c r="AE34" s="99"/>
      <c r="AF34" s="1157" t="str">
        <f t="shared" ref="AF34:AF45" si="46">IF((AL34="YES"),"YES","NO")</f>
        <v>NO</v>
      </c>
      <c r="AH34" s="95" t="str">
        <f t="shared" si="41"/>
        <v>no</v>
      </c>
      <c r="AI34" s="95" t="str">
        <f t="shared" si="42"/>
        <v>no</v>
      </c>
      <c r="AJ34" s="95" t="str">
        <f t="shared" si="43"/>
        <v>no</v>
      </c>
      <c r="AK34" s="95" t="str">
        <f t="shared" si="44"/>
        <v>no</v>
      </c>
      <c r="AL34" s="95" t="str">
        <f t="shared" si="45"/>
        <v>no</v>
      </c>
    </row>
    <row r="35" spans="1:38" x14ac:dyDescent="0.25">
      <c r="A35" s="127" t="s">
        <v>978</v>
      </c>
      <c r="B35" s="124"/>
      <c r="C35" s="124"/>
      <c r="D35" s="124"/>
      <c r="E35" s="124"/>
      <c r="F35" s="124"/>
      <c r="G35" s="124"/>
      <c r="H35" s="124"/>
      <c r="I35" s="124"/>
      <c r="J35" s="119">
        <f t="shared" si="11"/>
        <v>0</v>
      </c>
      <c r="K35" s="124"/>
      <c r="L35" s="124"/>
      <c r="M35" s="124"/>
      <c r="N35" s="124"/>
      <c r="O35" s="124"/>
      <c r="P35" s="119">
        <f t="shared" si="0"/>
        <v>0</v>
      </c>
      <c r="R35" s="120"/>
      <c r="S35" s="128"/>
      <c r="T35" s="122" t="str">
        <f t="shared" si="33"/>
        <v>No</v>
      </c>
      <c r="U35" s="123" t="str">
        <f t="shared" si="34"/>
        <v>No</v>
      </c>
      <c r="V35" s="109"/>
      <c r="W35" s="122" t="str">
        <f t="shared" si="35"/>
        <v>No</v>
      </c>
      <c r="X35" s="123" t="str">
        <f t="shared" si="36"/>
        <v>No</v>
      </c>
      <c r="Y35" s="109"/>
      <c r="Z35" s="122" t="str">
        <f t="shared" si="37"/>
        <v>No</v>
      </c>
      <c r="AA35" s="123" t="str">
        <f t="shared" si="38"/>
        <v>No</v>
      </c>
      <c r="AB35" s="109"/>
      <c r="AC35" s="122" t="str">
        <f t="shared" si="39"/>
        <v>No</v>
      </c>
      <c r="AD35" s="123" t="str">
        <f t="shared" si="40"/>
        <v>No</v>
      </c>
      <c r="AE35" s="99"/>
      <c r="AF35" s="1157" t="str">
        <f t="shared" si="46"/>
        <v>NO</v>
      </c>
      <c r="AH35" s="95" t="str">
        <f t="shared" si="41"/>
        <v>no</v>
      </c>
      <c r="AI35" s="95" t="str">
        <f t="shared" si="42"/>
        <v>no</v>
      </c>
      <c r="AJ35" s="95" t="str">
        <f t="shared" si="43"/>
        <v>no</v>
      </c>
      <c r="AK35" s="95" t="str">
        <f t="shared" si="44"/>
        <v>no</v>
      </c>
      <c r="AL35" s="95" t="str">
        <f t="shared" si="45"/>
        <v>no</v>
      </c>
    </row>
    <row r="36" spans="1:38" x14ac:dyDescent="0.25">
      <c r="A36" s="127" t="s">
        <v>131</v>
      </c>
      <c r="B36" s="124">
        <f>'Blended BS'!I34</f>
        <v>7</v>
      </c>
      <c r="C36" s="124"/>
      <c r="D36" s="124">
        <f>'Blended BS'!I56</f>
        <v>0</v>
      </c>
      <c r="E36" s="124"/>
      <c r="F36" s="124">
        <f>'Blended SOREC'!I30</f>
        <v>0</v>
      </c>
      <c r="G36" s="124"/>
      <c r="H36" s="124"/>
      <c r="I36" s="124"/>
      <c r="J36" s="119">
        <f t="shared" si="11"/>
        <v>0</v>
      </c>
      <c r="K36" s="124"/>
      <c r="L36" s="124">
        <f>'Blended SOREC'!I59</f>
        <v>0</v>
      </c>
      <c r="M36" s="124"/>
      <c r="N36" s="124"/>
      <c r="O36" s="124"/>
      <c r="P36" s="119">
        <f t="shared" si="0"/>
        <v>0</v>
      </c>
      <c r="R36" s="120"/>
      <c r="S36" s="128"/>
      <c r="T36" s="122" t="str">
        <f t="shared" si="33"/>
        <v>No</v>
      </c>
      <c r="U36" s="123" t="str">
        <f t="shared" si="34"/>
        <v>No</v>
      </c>
      <c r="V36" s="109"/>
      <c r="W36" s="122" t="str">
        <f t="shared" si="35"/>
        <v>No</v>
      </c>
      <c r="X36" s="123" t="str">
        <f t="shared" si="36"/>
        <v>No</v>
      </c>
      <c r="Y36" s="109"/>
      <c r="Z36" s="122" t="str">
        <f t="shared" si="37"/>
        <v>No</v>
      </c>
      <c r="AA36" s="123" t="str">
        <f t="shared" si="38"/>
        <v>No</v>
      </c>
      <c r="AB36" s="109"/>
      <c r="AC36" s="122" t="str">
        <f t="shared" si="39"/>
        <v>No</v>
      </c>
      <c r="AD36" s="123" t="str">
        <f t="shared" si="40"/>
        <v>No</v>
      </c>
      <c r="AE36" s="99"/>
      <c r="AF36" s="1157" t="str">
        <f t="shared" si="46"/>
        <v>NO</v>
      </c>
      <c r="AH36" s="95" t="str">
        <f t="shared" si="41"/>
        <v>no</v>
      </c>
      <c r="AI36" s="95" t="str">
        <f t="shared" si="42"/>
        <v>no</v>
      </c>
      <c r="AJ36" s="95" t="str">
        <f t="shared" si="43"/>
        <v>no</v>
      </c>
      <c r="AK36" s="95" t="str">
        <f t="shared" si="44"/>
        <v>no</v>
      </c>
      <c r="AL36" s="95" t="str">
        <f t="shared" si="45"/>
        <v>no</v>
      </c>
    </row>
    <row r="37" spans="1:38" x14ac:dyDescent="0.25">
      <c r="A37" s="127" t="s">
        <v>792</v>
      </c>
      <c r="B37" s="124">
        <f>'Blended BS'!K34</f>
        <v>29</v>
      </c>
      <c r="C37" s="124"/>
      <c r="D37" s="124">
        <f>'Blended BS'!K56</f>
        <v>0</v>
      </c>
      <c r="E37" s="124"/>
      <c r="F37" s="124">
        <f>'Blended SOREC'!K30</f>
        <v>0</v>
      </c>
      <c r="G37" s="124"/>
      <c r="H37" s="124"/>
      <c r="I37" s="124"/>
      <c r="J37" s="119">
        <f t="shared" si="11"/>
        <v>0</v>
      </c>
      <c r="K37" s="124"/>
      <c r="L37" s="124">
        <f>'Blended SOREC'!K59</f>
        <v>0</v>
      </c>
      <c r="M37" s="124"/>
      <c r="N37" s="124"/>
      <c r="O37" s="124"/>
      <c r="P37" s="119">
        <f t="shared" si="0"/>
        <v>0</v>
      </c>
      <c r="R37" s="120"/>
      <c r="S37" s="128"/>
      <c r="T37" s="122" t="str">
        <f t="shared" si="33"/>
        <v>No</v>
      </c>
      <c r="U37" s="123" t="str">
        <f t="shared" si="34"/>
        <v>No</v>
      </c>
      <c r="V37" s="109"/>
      <c r="W37" s="122" t="str">
        <f t="shared" si="35"/>
        <v>No</v>
      </c>
      <c r="X37" s="123" t="str">
        <f t="shared" si="36"/>
        <v>No</v>
      </c>
      <c r="Y37" s="109"/>
      <c r="Z37" s="122" t="str">
        <f t="shared" si="37"/>
        <v>No</v>
      </c>
      <c r="AA37" s="123" t="str">
        <f t="shared" si="38"/>
        <v>No</v>
      </c>
      <c r="AB37" s="109"/>
      <c r="AC37" s="122" t="str">
        <f t="shared" si="39"/>
        <v>No</v>
      </c>
      <c r="AD37" s="123" t="str">
        <f t="shared" si="40"/>
        <v>No</v>
      </c>
      <c r="AE37" s="99"/>
      <c r="AF37" s="1157" t="str">
        <f t="shared" si="46"/>
        <v>NO</v>
      </c>
      <c r="AH37" s="95" t="str">
        <f t="shared" si="41"/>
        <v>no</v>
      </c>
      <c r="AI37" s="95" t="str">
        <f t="shared" si="42"/>
        <v>no</v>
      </c>
      <c r="AJ37" s="95" t="str">
        <f t="shared" si="43"/>
        <v>no</v>
      </c>
      <c r="AK37" s="95" t="str">
        <f t="shared" si="44"/>
        <v>no</v>
      </c>
      <c r="AL37" s="95" t="str">
        <f t="shared" si="45"/>
        <v>no</v>
      </c>
    </row>
    <row r="38" spans="1:38" x14ac:dyDescent="0.25">
      <c r="A38" s="127" t="s">
        <v>1142</v>
      </c>
      <c r="B38" s="124">
        <f>'Blended BS'!M34</f>
        <v>6013</v>
      </c>
      <c r="C38" s="124"/>
      <c r="D38" s="124">
        <f>'Blended BS'!M56</f>
        <v>1524</v>
      </c>
      <c r="E38" s="124"/>
      <c r="F38" s="124">
        <f>'Blended SOREC'!M$30</f>
        <v>21502</v>
      </c>
      <c r="G38" s="124"/>
      <c r="H38" s="124"/>
      <c r="I38" s="124"/>
      <c r="J38" s="119">
        <f t="shared" si="11"/>
        <v>21502</v>
      </c>
      <c r="K38" s="124"/>
      <c r="L38" s="124">
        <f>'Blended SOREC'!M59</f>
        <v>28900</v>
      </c>
      <c r="M38" s="124"/>
      <c r="N38" s="124"/>
      <c r="O38" s="124"/>
      <c r="P38" s="119">
        <f t="shared" si="0"/>
        <v>28900</v>
      </c>
      <c r="R38" s="120"/>
      <c r="S38" s="128"/>
      <c r="T38" s="122" t="str">
        <f t="shared" si="33"/>
        <v>No</v>
      </c>
      <c r="U38" s="123" t="str">
        <f t="shared" si="34"/>
        <v>No</v>
      </c>
      <c r="V38" s="109"/>
      <c r="W38" s="122" t="str">
        <f t="shared" si="35"/>
        <v>No</v>
      </c>
      <c r="X38" s="123" t="str">
        <f t="shared" si="36"/>
        <v>No</v>
      </c>
      <c r="Y38" s="109"/>
      <c r="Z38" s="122" t="str">
        <f t="shared" si="37"/>
        <v>No</v>
      </c>
      <c r="AA38" s="123" t="str">
        <f t="shared" si="38"/>
        <v>No</v>
      </c>
      <c r="AB38" s="109"/>
      <c r="AC38" s="122" t="str">
        <f t="shared" si="39"/>
        <v>No</v>
      </c>
      <c r="AD38" s="123" t="str">
        <f t="shared" si="40"/>
        <v>No</v>
      </c>
      <c r="AF38" s="1157" t="str">
        <f t="shared" si="46"/>
        <v>NO</v>
      </c>
      <c r="AH38" s="95" t="str">
        <f t="shared" si="41"/>
        <v>no</v>
      </c>
      <c r="AI38" s="95" t="str">
        <f t="shared" si="42"/>
        <v>no</v>
      </c>
      <c r="AJ38" s="95" t="str">
        <f t="shared" si="43"/>
        <v>no</v>
      </c>
      <c r="AK38" s="95" t="str">
        <f t="shared" si="44"/>
        <v>no</v>
      </c>
      <c r="AL38" s="95" t="str">
        <f t="shared" si="45"/>
        <v>no</v>
      </c>
    </row>
    <row r="39" spans="1:38" x14ac:dyDescent="0.25">
      <c r="A39" s="127" t="s">
        <v>159</v>
      </c>
      <c r="B39" s="124">
        <f>'Blended BS'!O34</f>
        <v>24228</v>
      </c>
      <c r="C39" s="124"/>
      <c r="D39" s="124">
        <f>'Blended BS'!O56</f>
        <v>10</v>
      </c>
      <c r="E39" s="124"/>
      <c r="F39" s="124">
        <f>'Blended SOREC'!O$30</f>
        <v>1660</v>
      </c>
      <c r="G39" s="124"/>
      <c r="H39" s="124"/>
      <c r="I39" s="124"/>
      <c r="J39" s="119">
        <f t="shared" si="11"/>
        <v>1660</v>
      </c>
      <c r="K39" s="124"/>
      <c r="L39" s="124">
        <f>'Blended SOREC'!O59</f>
        <v>37015</v>
      </c>
      <c r="M39" s="124"/>
      <c r="N39" s="124"/>
      <c r="O39" s="124"/>
      <c r="P39" s="119">
        <f t="shared" si="0"/>
        <v>37015</v>
      </c>
      <c r="R39" s="120"/>
      <c r="S39" s="130"/>
      <c r="T39" s="122" t="str">
        <f t="shared" si="33"/>
        <v>No</v>
      </c>
      <c r="U39" s="123" t="str">
        <f t="shared" si="34"/>
        <v>No</v>
      </c>
      <c r="V39" s="109"/>
      <c r="W39" s="122" t="str">
        <f t="shared" si="35"/>
        <v>No</v>
      </c>
      <c r="X39" s="123" t="str">
        <f t="shared" si="36"/>
        <v>No</v>
      </c>
      <c r="Y39" s="109"/>
      <c r="Z39" s="122" t="str">
        <f t="shared" si="37"/>
        <v>No</v>
      </c>
      <c r="AA39" s="123" t="str">
        <f t="shared" si="38"/>
        <v>No</v>
      </c>
      <c r="AB39" s="109"/>
      <c r="AC39" s="122" t="str">
        <f t="shared" si="39"/>
        <v>No</v>
      </c>
      <c r="AD39" s="123" t="str">
        <f t="shared" si="40"/>
        <v>No</v>
      </c>
      <c r="AE39" s="99"/>
      <c r="AF39" s="1157" t="str">
        <f t="shared" si="46"/>
        <v>NO</v>
      </c>
      <c r="AH39" s="95" t="str">
        <f t="shared" si="41"/>
        <v>no</v>
      </c>
      <c r="AI39" s="95" t="str">
        <f t="shared" si="42"/>
        <v>no</v>
      </c>
      <c r="AJ39" s="95" t="str">
        <f t="shared" si="43"/>
        <v>no</v>
      </c>
      <c r="AK39" s="95" t="str">
        <f t="shared" si="44"/>
        <v>no</v>
      </c>
      <c r="AL39" s="95" t="str">
        <f t="shared" si="45"/>
        <v>no</v>
      </c>
    </row>
    <row r="40" spans="1:38" x14ac:dyDescent="0.25">
      <c r="A40" s="127" t="s">
        <v>158</v>
      </c>
      <c r="B40" s="124">
        <f>'Blended BS'!Q34</f>
        <v>294</v>
      </c>
      <c r="C40" s="124"/>
      <c r="D40" s="124">
        <f>'Blended BS'!Q56</f>
        <v>0</v>
      </c>
      <c r="E40" s="124"/>
      <c r="F40" s="124">
        <f>'Blended SOREC'!Q$30</f>
        <v>36</v>
      </c>
      <c r="G40" s="124"/>
      <c r="H40" s="124"/>
      <c r="I40" s="124"/>
      <c r="J40" s="119">
        <f t="shared" si="11"/>
        <v>36</v>
      </c>
      <c r="K40" s="124"/>
      <c r="L40" s="124">
        <f>'Blended SOREC'!Q59</f>
        <v>1664</v>
      </c>
      <c r="M40" s="124"/>
      <c r="N40" s="124"/>
      <c r="O40" s="124"/>
      <c r="P40" s="119">
        <f t="shared" si="0"/>
        <v>1664</v>
      </c>
      <c r="R40" s="120">
        <f>J40-P40</f>
        <v>-1628</v>
      </c>
      <c r="S40" s="130"/>
      <c r="T40" s="122" t="str">
        <f t="shared" si="33"/>
        <v>No</v>
      </c>
      <c r="U40" s="123" t="str">
        <f t="shared" si="34"/>
        <v>No</v>
      </c>
      <c r="V40" s="109"/>
      <c r="W40" s="122" t="str">
        <f t="shared" si="35"/>
        <v>No</v>
      </c>
      <c r="X40" s="123" t="str">
        <f t="shared" si="36"/>
        <v>No</v>
      </c>
      <c r="Y40" s="109"/>
      <c r="Z40" s="122" t="str">
        <f t="shared" si="37"/>
        <v>No</v>
      </c>
      <c r="AA40" s="123" t="str">
        <f t="shared" si="38"/>
        <v>No</v>
      </c>
      <c r="AB40" s="109"/>
      <c r="AC40" s="122" t="str">
        <f t="shared" si="39"/>
        <v>No</v>
      </c>
      <c r="AD40" s="123" t="str">
        <f t="shared" si="40"/>
        <v>No</v>
      </c>
      <c r="AE40" s="99"/>
      <c r="AF40" s="1157" t="str">
        <f t="shared" si="46"/>
        <v>NO</v>
      </c>
      <c r="AH40" s="95" t="str">
        <f t="shared" si="41"/>
        <v>no</v>
      </c>
      <c r="AI40" s="95" t="str">
        <f t="shared" si="42"/>
        <v>no</v>
      </c>
      <c r="AJ40" s="95" t="str">
        <f t="shared" si="43"/>
        <v>no</v>
      </c>
      <c r="AK40" s="95" t="str">
        <f t="shared" si="44"/>
        <v>no</v>
      </c>
      <c r="AL40" s="95" t="str">
        <f t="shared" si="45"/>
        <v>no</v>
      </c>
    </row>
    <row r="41" spans="1:38" x14ac:dyDescent="0.25">
      <c r="A41" s="127" t="s">
        <v>791</v>
      </c>
      <c r="B41" s="124">
        <f>+'Blended BS'!S34</f>
        <v>2625</v>
      </c>
      <c r="C41" s="124"/>
      <c r="D41" s="124">
        <f>+'Blended BS'!S56+'Blended BS'!S59</f>
        <v>864</v>
      </c>
      <c r="E41" s="124"/>
      <c r="F41" s="124">
        <f>'Blended SOREC'!S$30</f>
        <v>7</v>
      </c>
      <c r="G41" s="124"/>
      <c r="H41" s="124"/>
      <c r="I41" s="124"/>
      <c r="J41" s="119">
        <f t="shared" si="11"/>
        <v>7</v>
      </c>
      <c r="K41" s="124"/>
      <c r="L41" s="124">
        <f>'Blended SOREC'!S59</f>
        <v>259</v>
      </c>
      <c r="M41" s="124"/>
      <c r="N41" s="124"/>
      <c r="O41" s="124"/>
      <c r="P41" s="119">
        <f t="shared" si="0"/>
        <v>259</v>
      </c>
      <c r="R41" s="120"/>
      <c r="S41" s="130"/>
      <c r="T41" s="122" t="str">
        <f t="shared" si="33"/>
        <v>No</v>
      </c>
      <c r="U41" s="123" t="str">
        <f t="shared" si="34"/>
        <v>No</v>
      </c>
      <c r="V41" s="109"/>
      <c r="W41" s="122" t="str">
        <f t="shared" si="35"/>
        <v>No</v>
      </c>
      <c r="X41" s="123" t="str">
        <f t="shared" si="36"/>
        <v>No</v>
      </c>
      <c r="Y41" s="109"/>
      <c r="Z41" s="122" t="str">
        <f t="shared" si="37"/>
        <v>No</v>
      </c>
      <c r="AA41" s="123" t="str">
        <f t="shared" si="38"/>
        <v>No</v>
      </c>
      <c r="AB41" s="109"/>
      <c r="AC41" s="122" t="str">
        <f t="shared" si="39"/>
        <v>No</v>
      </c>
      <c r="AD41" s="123" t="str">
        <f t="shared" si="40"/>
        <v>No</v>
      </c>
      <c r="AE41" s="99"/>
      <c r="AF41" s="1157" t="str">
        <f t="shared" si="46"/>
        <v>NO</v>
      </c>
      <c r="AH41" s="95" t="str">
        <f t="shared" si="41"/>
        <v>no</v>
      </c>
      <c r="AI41" s="95" t="str">
        <f t="shared" si="42"/>
        <v>no</v>
      </c>
      <c r="AJ41" s="95" t="str">
        <f t="shared" si="43"/>
        <v>no</v>
      </c>
      <c r="AK41" s="95" t="str">
        <f t="shared" si="44"/>
        <v>no</v>
      </c>
      <c r="AL41" s="95" t="str">
        <f t="shared" si="45"/>
        <v>no</v>
      </c>
    </row>
    <row r="42" spans="1:38" x14ac:dyDescent="0.25">
      <c r="A42" s="127" t="s">
        <v>1143</v>
      </c>
      <c r="B42" s="124">
        <f>'Blended BS'!U34</f>
        <v>0</v>
      </c>
      <c r="C42" s="124"/>
      <c r="D42" s="124">
        <f>+'Blended BS'!U56</f>
        <v>0</v>
      </c>
      <c r="E42" s="124"/>
      <c r="F42" s="124">
        <f>'Blended SOREC'!U30</f>
        <v>0</v>
      </c>
      <c r="G42" s="124"/>
      <c r="H42" s="124"/>
      <c r="I42" s="124"/>
      <c r="J42" s="119">
        <f t="shared" si="11"/>
        <v>0</v>
      </c>
      <c r="K42" s="124"/>
      <c r="L42" s="124">
        <f>'Blended SOREC'!U59</f>
        <v>0</v>
      </c>
      <c r="M42" s="124"/>
      <c r="N42" s="124"/>
      <c r="O42" s="124"/>
      <c r="P42" s="119">
        <f t="shared" si="0"/>
        <v>0</v>
      </c>
      <c r="R42" s="120"/>
      <c r="S42" s="128"/>
      <c r="T42" s="122" t="str">
        <f t="shared" si="33"/>
        <v>No</v>
      </c>
      <c r="U42" s="123" t="str">
        <f t="shared" si="34"/>
        <v>No</v>
      </c>
      <c r="V42" s="109"/>
      <c r="W42" s="122" t="str">
        <f t="shared" si="35"/>
        <v>No</v>
      </c>
      <c r="X42" s="123" t="str">
        <f t="shared" si="36"/>
        <v>No</v>
      </c>
      <c r="Y42" s="109"/>
      <c r="Z42" s="122" t="str">
        <f t="shared" si="37"/>
        <v>No</v>
      </c>
      <c r="AA42" s="123" t="str">
        <f t="shared" si="38"/>
        <v>No</v>
      </c>
      <c r="AB42" s="109"/>
      <c r="AC42" s="122" t="str">
        <f t="shared" si="39"/>
        <v>No</v>
      </c>
      <c r="AD42" s="123" t="str">
        <f t="shared" si="40"/>
        <v>No</v>
      </c>
      <c r="AE42" s="99"/>
      <c r="AF42" s="1157" t="str">
        <f t="shared" si="46"/>
        <v>NO</v>
      </c>
    </row>
    <row r="43" spans="1:38" x14ac:dyDescent="0.25">
      <c r="A43" s="127" t="s">
        <v>793</v>
      </c>
      <c r="B43" s="124"/>
      <c r="C43" s="124"/>
      <c r="D43" s="124"/>
      <c r="E43" s="124"/>
      <c r="F43" s="124"/>
      <c r="G43" s="124"/>
      <c r="H43" s="124"/>
      <c r="I43" s="124"/>
      <c r="J43" s="119">
        <f t="shared" si="11"/>
        <v>0</v>
      </c>
      <c r="K43" s="124"/>
      <c r="L43" s="124"/>
      <c r="M43" s="124"/>
      <c r="N43" s="124"/>
      <c r="O43" s="124"/>
      <c r="P43" s="119">
        <f t="shared" si="0"/>
        <v>0</v>
      </c>
      <c r="R43" s="120"/>
      <c r="S43" s="130"/>
      <c r="T43" s="122" t="str">
        <f t="shared" si="33"/>
        <v>No</v>
      </c>
      <c r="U43" s="123" t="str">
        <f t="shared" si="34"/>
        <v>No</v>
      </c>
      <c r="V43" s="109"/>
      <c r="W43" s="122" t="str">
        <f t="shared" si="35"/>
        <v>No</v>
      </c>
      <c r="X43" s="123" t="str">
        <f t="shared" si="36"/>
        <v>No</v>
      </c>
      <c r="Y43" s="109"/>
      <c r="Z43" s="122" t="str">
        <f t="shared" si="37"/>
        <v>No</v>
      </c>
      <c r="AA43" s="123" t="str">
        <f t="shared" si="38"/>
        <v>No</v>
      </c>
      <c r="AB43" s="109"/>
      <c r="AC43" s="122" t="str">
        <f t="shared" si="39"/>
        <v>No</v>
      </c>
      <c r="AD43" s="123" t="str">
        <f t="shared" si="40"/>
        <v>No</v>
      </c>
      <c r="AE43" s="99"/>
      <c r="AF43" s="1157" t="str">
        <f t="shared" si="46"/>
        <v>NO</v>
      </c>
      <c r="AH43" s="95" t="str">
        <f>IF(AND(T43="YES", U43="YES"),"YES","no")</f>
        <v>no</v>
      </c>
      <c r="AI43" s="95" t="str">
        <f>IF(AND(W43="YES", X43="YES"),"YES","no")</f>
        <v>no</v>
      </c>
      <c r="AJ43" s="95" t="str">
        <f>IF(AND(Z43="YES", AA43="YES"),"YES","no")</f>
        <v>no</v>
      </c>
      <c r="AK43" s="95" t="str">
        <f>IF(AND(AC43="YES", AD43="YES"),"YES","no")</f>
        <v>no</v>
      </c>
      <c r="AL43" s="95" t="str">
        <f>IF(OR(AH43="YES", AI43="YES", AJ43="YES", AK43="YES"),"YES","no")</f>
        <v>no</v>
      </c>
    </row>
    <row r="44" spans="1:38" x14ac:dyDescent="0.25">
      <c r="A44" s="127" t="s">
        <v>1098</v>
      </c>
      <c r="B44" s="124">
        <f>'Blended BS'!Y34</f>
        <v>10276</v>
      </c>
      <c r="C44" s="124"/>
      <c r="D44" s="124">
        <f>'Blended BS'!Y56+'Blended BS'!Y59</f>
        <v>6065</v>
      </c>
      <c r="E44" s="124"/>
      <c r="F44" s="124">
        <f>'Blended SOREC'!Y30</f>
        <v>4796</v>
      </c>
      <c r="G44" s="124"/>
      <c r="H44" s="124"/>
      <c r="I44" s="124"/>
      <c r="J44" s="119">
        <f t="shared" si="11"/>
        <v>4796</v>
      </c>
      <c r="K44" s="124"/>
      <c r="L44" s="124">
        <f>'Blended SOREC'!Y59</f>
        <v>4216</v>
      </c>
      <c r="M44" s="124"/>
      <c r="N44" s="124"/>
      <c r="O44" s="124"/>
      <c r="P44" s="119">
        <f t="shared" si="0"/>
        <v>4216</v>
      </c>
      <c r="R44" s="120"/>
      <c r="S44" s="128"/>
      <c r="T44" s="122" t="str">
        <f t="shared" si="33"/>
        <v>No</v>
      </c>
      <c r="U44" s="123" t="str">
        <f t="shared" si="34"/>
        <v>No</v>
      </c>
      <c r="V44" s="109"/>
      <c r="W44" s="122" t="str">
        <f t="shared" si="35"/>
        <v>No</v>
      </c>
      <c r="X44" s="123" t="str">
        <f t="shared" si="36"/>
        <v>No</v>
      </c>
      <c r="Y44" s="109"/>
      <c r="Z44" s="122" t="str">
        <f t="shared" si="37"/>
        <v>No</v>
      </c>
      <c r="AA44" s="123" t="str">
        <f t="shared" si="38"/>
        <v>No</v>
      </c>
      <c r="AB44" s="109"/>
      <c r="AC44" s="122" t="str">
        <f t="shared" si="39"/>
        <v>No</v>
      </c>
      <c r="AD44" s="123" t="str">
        <f t="shared" si="40"/>
        <v>No</v>
      </c>
      <c r="AE44" s="99"/>
      <c r="AF44" s="1157" t="str">
        <f t="shared" si="46"/>
        <v>NO</v>
      </c>
    </row>
    <row r="45" spans="1:38" x14ac:dyDescent="0.25">
      <c r="A45" s="127" t="s">
        <v>1127</v>
      </c>
      <c r="B45" s="124">
        <f>'Blended BS'!E34</f>
        <v>155893</v>
      </c>
      <c r="C45" s="124"/>
      <c r="D45" s="124">
        <f>'Blended BS'!E56</f>
        <v>25650</v>
      </c>
      <c r="E45" s="124"/>
      <c r="F45" s="124">
        <f>'Blended SOREC'!E30</f>
        <v>8973</v>
      </c>
      <c r="G45" s="124"/>
      <c r="H45" s="124"/>
      <c r="I45" s="124"/>
      <c r="J45" s="119">
        <f t="shared" si="11"/>
        <v>8973</v>
      </c>
      <c r="K45" s="124"/>
      <c r="L45" s="124">
        <f>'Blended SOREC'!E59</f>
        <v>102457</v>
      </c>
      <c r="M45" s="124"/>
      <c r="N45" s="124"/>
      <c r="O45" s="124"/>
      <c r="P45" s="119">
        <f t="shared" si="0"/>
        <v>102457</v>
      </c>
      <c r="R45" s="120"/>
      <c r="S45" s="128"/>
      <c r="T45" s="122" t="str">
        <f t="shared" si="33"/>
        <v>No</v>
      </c>
      <c r="U45" s="123" t="str">
        <f t="shared" si="34"/>
        <v>No</v>
      </c>
      <c r="V45" s="109"/>
      <c r="W45" s="122" t="str">
        <f t="shared" si="35"/>
        <v>No</v>
      </c>
      <c r="X45" s="123" t="str">
        <f t="shared" si="36"/>
        <v>No</v>
      </c>
      <c r="Y45" s="109"/>
      <c r="Z45" s="122" t="str">
        <f t="shared" si="37"/>
        <v>No</v>
      </c>
      <c r="AA45" s="123" t="str">
        <f t="shared" si="38"/>
        <v>No</v>
      </c>
      <c r="AB45" s="109"/>
      <c r="AC45" s="122" t="str">
        <f t="shared" si="39"/>
        <v>No</v>
      </c>
      <c r="AD45" s="123" t="str">
        <f t="shared" si="40"/>
        <v>No</v>
      </c>
      <c r="AE45" s="99"/>
      <c r="AF45" s="1157" t="str">
        <f t="shared" si="46"/>
        <v>NO</v>
      </c>
      <c r="AH45" s="95" t="str">
        <f>IF(AND(T45="YES", U45="YES"),"YES","no")</f>
        <v>no</v>
      </c>
      <c r="AI45" s="95" t="str">
        <f>IF(AND(W45="YES", X45="YES"),"YES","no")</f>
        <v>no</v>
      </c>
      <c r="AJ45" s="95" t="str">
        <f>IF(AND(Z45="YES", AA45="YES"),"YES","no")</f>
        <v>no</v>
      </c>
      <c r="AK45" s="95" t="str">
        <f>IF(AND(AC45="YES", AD45="YES"),"YES","no")</f>
        <v>no</v>
      </c>
      <c r="AL45" s="95" t="str">
        <f>IF(OR(AH45="YES", AI45="YES", AJ45="YES", AK45="YES"),"YES","no")</f>
        <v>no</v>
      </c>
    </row>
    <row r="46" spans="1:38" x14ac:dyDescent="0.25">
      <c r="A46" s="127" t="s">
        <v>1260</v>
      </c>
      <c r="B46" s="124">
        <f>'Blended BS'!W34</f>
        <v>31981</v>
      </c>
      <c r="C46" s="124"/>
      <c r="D46" s="124">
        <f>'Blended BS'!W56</f>
        <v>0</v>
      </c>
      <c r="E46" s="124"/>
      <c r="F46" s="124">
        <f>'Blended SOREC'!W30</f>
        <v>1713</v>
      </c>
      <c r="G46" s="124"/>
      <c r="H46" s="124"/>
      <c r="I46" s="124"/>
      <c r="J46" s="119">
        <f t="shared" si="11"/>
        <v>1713</v>
      </c>
      <c r="K46" s="124"/>
      <c r="L46" s="124">
        <f>'Blended SOREC'!W59</f>
        <v>28807</v>
      </c>
      <c r="M46" s="124"/>
      <c r="N46" s="124"/>
      <c r="O46" s="124"/>
      <c r="P46" s="119">
        <f t="shared" si="0"/>
        <v>28807</v>
      </c>
      <c r="R46" s="120"/>
      <c r="S46" s="128"/>
      <c r="T46" s="122" t="str">
        <f t="shared" si="33"/>
        <v>No</v>
      </c>
      <c r="U46" s="123" t="str">
        <f t="shared" si="34"/>
        <v>No</v>
      </c>
      <c r="V46" s="109"/>
      <c r="W46" s="122" t="str">
        <f t="shared" si="35"/>
        <v>No</v>
      </c>
      <c r="X46" s="123" t="str">
        <f t="shared" si="36"/>
        <v>No</v>
      </c>
      <c r="Y46" s="109"/>
      <c r="Z46" s="122" t="str">
        <f t="shared" si="37"/>
        <v>No</v>
      </c>
      <c r="AA46" s="123" t="str">
        <f t="shared" si="38"/>
        <v>No</v>
      </c>
      <c r="AB46" s="109"/>
      <c r="AC46" s="122" t="str">
        <f t="shared" si="39"/>
        <v>No</v>
      </c>
      <c r="AD46" s="123" t="str">
        <f t="shared" si="40"/>
        <v>No</v>
      </c>
      <c r="AE46" s="99"/>
      <c r="AF46" s="1157" t="str">
        <f>IF((AL46="YES"),"YES","NO")</f>
        <v>NO</v>
      </c>
      <c r="AH46" s="95" t="str">
        <f>IF(AND(T46="YES", U46="YES"),"YES","no")</f>
        <v>no</v>
      </c>
      <c r="AI46" s="95" t="str">
        <f>IF(AND(W46="YES", X46="YES"),"YES","no")</f>
        <v>no</v>
      </c>
      <c r="AJ46" s="95" t="str">
        <f>IF(AND(Z46="YES", AA46="YES"),"YES","no")</f>
        <v>no</v>
      </c>
      <c r="AK46" s="95" t="str">
        <f>IF(AND(AC46="YES", AD46="YES"),"YES","no")</f>
        <v>no</v>
      </c>
      <c r="AL46" s="95" t="str">
        <f>IF(OR(AH46="YES", AI46="YES", AJ46="YES", AK46="YES"),"YES","no")</f>
        <v>no</v>
      </c>
    </row>
    <row r="47" spans="1:38" x14ac:dyDescent="0.25">
      <c r="A47" s="127" t="s">
        <v>1137</v>
      </c>
      <c r="B47" s="97">
        <f>'Blended BS'!AA34</f>
        <v>2656</v>
      </c>
      <c r="D47" s="97">
        <f>'Blended BS'!AA56</f>
        <v>204</v>
      </c>
      <c r="F47" s="124">
        <f>'Blended SOREC'!AA30</f>
        <v>839</v>
      </c>
      <c r="G47" s="124"/>
      <c r="H47" s="124"/>
      <c r="I47" s="124"/>
      <c r="J47" s="119">
        <f t="shared" si="11"/>
        <v>839</v>
      </c>
      <c r="K47" s="124"/>
      <c r="L47" s="124">
        <f>'Blended SOREC'!AA59</f>
        <v>3735</v>
      </c>
      <c r="P47" s="119">
        <f t="shared" si="0"/>
        <v>3735</v>
      </c>
      <c r="T47" s="122" t="str">
        <f t="shared" si="33"/>
        <v>No</v>
      </c>
      <c r="U47" s="123" t="str">
        <f t="shared" si="34"/>
        <v>No</v>
      </c>
      <c r="V47" s="109"/>
      <c r="W47" s="122" t="str">
        <f t="shared" si="35"/>
        <v>No</v>
      </c>
      <c r="X47" s="123" t="str">
        <f t="shared" si="36"/>
        <v>No</v>
      </c>
      <c r="Y47" s="109"/>
      <c r="Z47" s="122" t="str">
        <f t="shared" si="37"/>
        <v>No</v>
      </c>
      <c r="AA47" s="123" t="str">
        <f t="shared" si="38"/>
        <v>No</v>
      </c>
      <c r="AB47" s="109"/>
      <c r="AC47" s="122" t="str">
        <f t="shared" si="39"/>
        <v>No</v>
      </c>
      <c r="AD47" s="123" t="str">
        <f t="shared" si="40"/>
        <v>No</v>
      </c>
      <c r="AE47" s="99"/>
      <c r="AF47" s="1157" t="str">
        <f>IF((AL47="YES"),"YES","NO")</f>
        <v>NO</v>
      </c>
      <c r="AH47" s="95" t="str">
        <f>IF(AND(T47="YES", U47="YES"),"YES","no")</f>
        <v>no</v>
      </c>
      <c r="AI47" s="95" t="str">
        <f>IF(AND(W47="YES", X47="YES"),"YES","no")</f>
        <v>no</v>
      </c>
      <c r="AJ47" s="95" t="str">
        <f>IF(AND(Z47="YES", AA47="YES"),"YES","no")</f>
        <v>no</v>
      </c>
      <c r="AK47" s="95" t="str">
        <f>IF(AND(AC47="YES", AD47="YES"),"YES","no")</f>
        <v>no</v>
      </c>
      <c r="AL47" s="95" t="str">
        <f>IF(OR(AH47="YES", AI47="YES", AJ47="YES", AK47="YES"),"YES","no")</f>
        <v>no</v>
      </c>
    </row>
    <row r="48" spans="1:38" x14ac:dyDescent="0.25">
      <c r="A48" s="127" t="s">
        <v>1315</v>
      </c>
      <c r="B48" s="124">
        <f>'Blended BS'!AC34</f>
        <v>12472</v>
      </c>
      <c r="D48" s="124">
        <f>'Blended BS'!AC56</f>
        <v>2528</v>
      </c>
      <c r="F48" s="124">
        <f>'Blended SOREC'!AC30</f>
        <v>2631</v>
      </c>
      <c r="G48" s="124"/>
      <c r="H48" s="124"/>
      <c r="I48" s="124"/>
      <c r="J48" s="119">
        <f t="shared" si="11"/>
        <v>2631</v>
      </c>
      <c r="K48" s="124"/>
      <c r="L48" s="124">
        <f>'Blended SOREC'!AC59</f>
        <v>30830</v>
      </c>
      <c r="P48" s="119">
        <f t="shared" si="0"/>
        <v>30830</v>
      </c>
      <c r="T48" s="122" t="str">
        <f t="shared" si="33"/>
        <v>No</v>
      </c>
      <c r="U48" s="123" t="str">
        <f t="shared" si="34"/>
        <v>No</v>
      </c>
      <c r="V48" s="109"/>
      <c r="W48" s="122" t="str">
        <f t="shared" si="35"/>
        <v>No</v>
      </c>
      <c r="X48" s="123" t="str">
        <f t="shared" si="36"/>
        <v>No</v>
      </c>
      <c r="Y48" s="109"/>
      <c r="Z48" s="122" t="str">
        <f t="shared" si="37"/>
        <v>No</v>
      </c>
      <c r="AA48" s="123" t="str">
        <f t="shared" si="38"/>
        <v>No</v>
      </c>
      <c r="AB48" s="109"/>
      <c r="AC48" s="122" t="str">
        <f t="shared" si="39"/>
        <v>No</v>
      </c>
      <c r="AD48" s="123" t="str">
        <f t="shared" si="40"/>
        <v>No</v>
      </c>
      <c r="AE48" s="99"/>
      <c r="AF48" s="1157" t="str">
        <f>IF((AL48="YES"),"YES","NO")</f>
        <v>NO</v>
      </c>
      <c r="AH48" s="95" t="str">
        <f>IF(AND(T48="YES", U48="YES"),"YES","no")</f>
        <v>no</v>
      </c>
      <c r="AI48" s="95" t="str">
        <f>IF(AND(W48="YES", X48="YES"),"YES","no")</f>
        <v>no</v>
      </c>
      <c r="AJ48" s="95" t="str">
        <f>IF(AND(Z48="YES", AA48="YES"),"YES","no")</f>
        <v>no</v>
      </c>
      <c r="AK48" s="95" t="str">
        <f>IF(AND(AC48="YES", AD48="YES"),"YES","no")</f>
        <v>no</v>
      </c>
      <c r="AL48" s="95" t="str">
        <f>IF(OR(AH48="YES", AI48="YES", AJ48="YES", AK48="YES"),"YES","no")</f>
        <v>no</v>
      </c>
    </row>
    <row r="49" spans="1:38" x14ac:dyDescent="0.25">
      <c r="A49" s="127" t="s">
        <v>1537</v>
      </c>
      <c r="B49" s="124">
        <f>'Blended BS'!AE34</f>
        <v>922</v>
      </c>
      <c r="D49" s="124">
        <f>'Blended BS'!AE56</f>
        <v>526</v>
      </c>
      <c r="F49" s="124">
        <f>'Blended SOREC'!AE30</f>
        <v>15</v>
      </c>
      <c r="G49" s="124"/>
      <c r="H49" s="124"/>
      <c r="I49" s="124"/>
      <c r="J49" s="119">
        <f t="shared" si="11"/>
        <v>15</v>
      </c>
      <c r="K49" s="124"/>
      <c r="L49" s="124">
        <f>'Blended SOREC'!AE59</f>
        <v>9359</v>
      </c>
      <c r="P49" s="119">
        <f t="shared" si="0"/>
        <v>9359</v>
      </c>
      <c r="T49" s="122"/>
      <c r="U49" s="123"/>
      <c r="V49" s="109"/>
      <c r="W49" s="122"/>
      <c r="X49" s="123"/>
      <c r="Y49" s="109"/>
      <c r="Z49" s="122"/>
      <c r="AA49" s="123"/>
      <c r="AB49" s="109"/>
      <c r="AC49" s="122"/>
      <c r="AD49" s="123"/>
      <c r="AE49" s="99"/>
      <c r="AF49" s="1157"/>
    </row>
    <row r="50" spans="1:38" s="118" customFormat="1" ht="18" customHeight="1" x14ac:dyDescent="0.25">
      <c r="A50" s="99" t="s">
        <v>135</v>
      </c>
      <c r="B50" s="132">
        <f>SUM(B11:B49)</f>
        <v>1061797</v>
      </c>
      <c r="C50" s="133"/>
      <c r="D50" s="132">
        <f>SUM(D11:D49)</f>
        <v>357662</v>
      </c>
      <c r="E50" s="133"/>
      <c r="F50" s="132">
        <f>SUM(F11:F49)</f>
        <v>929764</v>
      </c>
      <c r="G50" s="133"/>
      <c r="H50" s="132">
        <f>SUM(H12:H47)</f>
        <v>0</v>
      </c>
      <c r="I50" s="133"/>
      <c r="J50" s="132">
        <f>SUM(J12:J47)</f>
        <v>826433</v>
      </c>
      <c r="K50" s="133"/>
      <c r="L50" s="132">
        <f>SUM(L11:L49)</f>
        <v>892817</v>
      </c>
      <c r="M50" s="133"/>
      <c r="N50" s="132">
        <f>SUM(N12:N47)</f>
        <v>0</v>
      </c>
      <c r="O50" s="133"/>
      <c r="P50" s="132">
        <f>SUM(P12:P47)</f>
        <v>771868</v>
      </c>
      <c r="Q50" s="134"/>
      <c r="R50" s="135">
        <f>SUM(R19:R45)</f>
        <v>186833</v>
      </c>
      <c r="S50" s="136"/>
      <c r="T50" s="137"/>
      <c r="U50" s="138"/>
      <c r="V50" s="99"/>
      <c r="W50" s="137"/>
      <c r="X50" s="138"/>
      <c r="Y50" s="99"/>
      <c r="Z50" s="137"/>
      <c r="AA50" s="138"/>
      <c r="AB50" s="99"/>
      <c r="AC50" s="137"/>
      <c r="AD50" s="138"/>
      <c r="AE50" s="99"/>
      <c r="AF50" s="117" t="str">
        <f t="shared" ref="AF50:AF56" si="47">IF((AL50="YES"),"YES","")</f>
        <v/>
      </c>
    </row>
    <row r="51" spans="1:38" x14ac:dyDescent="0.25">
      <c r="A51" s="139"/>
      <c r="B51" s="124"/>
      <c r="C51" s="124"/>
      <c r="D51" s="124"/>
      <c r="E51" s="124"/>
      <c r="F51" s="124"/>
      <c r="G51" s="124"/>
      <c r="H51" s="124"/>
      <c r="I51" s="124"/>
      <c r="J51" s="124"/>
      <c r="K51" s="124"/>
      <c r="L51" s="124"/>
      <c r="M51" s="124"/>
      <c r="N51" s="124"/>
      <c r="O51" s="124"/>
      <c r="P51" s="124"/>
      <c r="R51" s="121"/>
      <c r="S51" s="130"/>
      <c r="T51" s="100"/>
      <c r="U51" s="101"/>
      <c r="V51" s="102"/>
      <c r="W51" s="100"/>
      <c r="X51" s="101"/>
      <c r="Y51" s="102"/>
      <c r="Z51" s="100"/>
      <c r="AA51" s="101"/>
      <c r="AB51" s="102"/>
      <c r="AC51" s="100"/>
      <c r="AD51" s="101"/>
      <c r="AE51" s="102"/>
      <c r="AF51" s="117" t="str">
        <f t="shared" si="47"/>
        <v/>
      </c>
    </row>
    <row r="52" spans="1:38" x14ac:dyDescent="0.25">
      <c r="A52" s="139"/>
      <c r="B52" s="124"/>
      <c r="C52" s="124"/>
      <c r="D52" s="124"/>
      <c r="E52" s="124"/>
      <c r="F52" s="124"/>
      <c r="G52" s="124"/>
      <c r="H52" s="124"/>
      <c r="I52" s="124"/>
      <c r="J52" s="124"/>
      <c r="K52" s="124"/>
      <c r="L52" s="124"/>
      <c r="M52" s="124"/>
      <c r="N52" s="124"/>
      <c r="O52" s="124"/>
      <c r="P52" s="124"/>
      <c r="R52" s="121"/>
      <c r="S52" s="130"/>
      <c r="T52" s="100"/>
      <c r="U52" s="101"/>
      <c r="V52" s="102"/>
      <c r="W52" s="100"/>
      <c r="X52" s="101"/>
      <c r="Y52" s="102"/>
      <c r="Z52" s="100"/>
      <c r="AA52" s="101"/>
      <c r="AB52" s="102"/>
      <c r="AC52" s="100"/>
      <c r="AD52" s="101"/>
      <c r="AE52" s="102"/>
      <c r="AF52" s="117" t="str">
        <f t="shared" si="47"/>
        <v/>
      </c>
    </row>
    <row r="53" spans="1:38" s="118" customFormat="1" x14ac:dyDescent="0.25">
      <c r="A53" s="869" t="s">
        <v>136</v>
      </c>
      <c r="B53" s="870">
        <f>+'BSGF-major'!E32</f>
        <v>59715</v>
      </c>
      <c r="C53" s="870"/>
      <c r="D53" s="870">
        <f>'BSGF-major'!E55+'BSGF-major'!E58</f>
        <v>15783</v>
      </c>
      <c r="E53" s="870"/>
      <c r="F53" s="870">
        <f>'SORECGF-major'!E29</f>
        <v>303116</v>
      </c>
      <c r="G53" s="870"/>
      <c r="H53" s="870"/>
      <c r="I53" s="870"/>
      <c r="J53" s="870">
        <f t="shared" ref="J53:J85" si="48">F53+H53</f>
        <v>303116</v>
      </c>
      <c r="K53" s="870"/>
      <c r="L53" s="870">
        <f>'SORECGF-major'!E58</f>
        <v>323958</v>
      </c>
      <c r="M53" s="870"/>
      <c r="N53" s="870"/>
      <c r="O53" s="870"/>
      <c r="P53" s="870">
        <f>L53+N53</f>
        <v>323958</v>
      </c>
      <c r="Q53" s="871"/>
      <c r="R53" s="871">
        <f>J53-P53</f>
        <v>-20842</v>
      </c>
      <c r="S53" s="872"/>
      <c r="T53" s="867" t="str">
        <f>IF(B53&gt;$B$98,"YES","No")</f>
        <v>No</v>
      </c>
      <c r="U53" s="866" t="str">
        <f>IF(B53&gt;$B$114,"YES","No")</f>
        <v>No</v>
      </c>
      <c r="V53" s="875"/>
      <c r="W53" s="867" t="str">
        <f>IF(D53&gt;$D$98,"YES","No")</f>
        <v>No</v>
      </c>
      <c r="X53" s="866" t="str">
        <f>IF(D53&gt;$D$114,"YES","No")</f>
        <v>No</v>
      </c>
      <c r="Y53" s="875"/>
      <c r="Z53" s="867" t="str">
        <f>IF(J53&gt;$J$98,"Yes","No")</f>
        <v>Yes</v>
      </c>
      <c r="AA53" s="866" t="str">
        <f>IF(J53&gt;$J$114,"Yes","No")</f>
        <v>Yes</v>
      </c>
      <c r="AB53" s="875"/>
      <c r="AC53" s="867" t="str">
        <f>IF(P53&gt;$P$98,"Yes","No")</f>
        <v>Yes</v>
      </c>
      <c r="AD53" s="866" t="str">
        <f>IF(P53&gt;$P$114,"Yes","No")</f>
        <v>Yes</v>
      </c>
      <c r="AE53" s="865"/>
      <c r="AF53" s="868" t="s">
        <v>1280</v>
      </c>
      <c r="AG53" s="149"/>
      <c r="AH53" s="150" t="str">
        <f>IF(AND(T53="YES", U53="YES"),"YES","no")</f>
        <v>no</v>
      </c>
      <c r="AI53" s="150" t="str">
        <f>IF(AND(W53="YES", X53="YES"),"YES","no")</f>
        <v>no</v>
      </c>
      <c r="AJ53" s="150" t="str">
        <f>IF(AND(Z53="YES", AA53="YES"),"YES","no")</f>
        <v>YES</v>
      </c>
      <c r="AK53" s="150" t="str">
        <f>IF(AND(AC53="YES", AD53="YES"),"YES","no")</f>
        <v>YES</v>
      </c>
      <c r="AL53" s="150" t="str">
        <f>IF(OR(AH53="YES", AI53="YES", AJ53="YES", AK53="YES"),"YES","no")</f>
        <v>YES</v>
      </c>
    </row>
    <row r="54" spans="1:38" x14ac:dyDescent="0.25">
      <c r="B54" s="124"/>
      <c r="C54" s="124"/>
      <c r="D54" s="124"/>
      <c r="E54" s="124"/>
      <c r="F54" s="124"/>
      <c r="G54" s="124"/>
      <c r="H54" s="124"/>
      <c r="I54" s="124"/>
      <c r="J54" s="119">
        <f t="shared" si="48"/>
        <v>0</v>
      </c>
      <c r="K54" s="124"/>
      <c r="L54" s="124"/>
      <c r="M54" s="124"/>
      <c r="N54" s="124"/>
      <c r="O54" s="124"/>
      <c r="P54" s="119"/>
      <c r="R54" s="121"/>
      <c r="S54" s="130"/>
      <c r="T54" s="122"/>
      <c r="U54" s="123"/>
      <c r="V54" s="109"/>
      <c r="W54" s="122"/>
      <c r="X54" s="123"/>
      <c r="Y54" s="109"/>
      <c r="Z54" s="122"/>
      <c r="AA54" s="123"/>
      <c r="AB54" s="109"/>
      <c r="AC54" s="122"/>
      <c r="AD54" s="123"/>
      <c r="AE54" s="99"/>
      <c r="AF54" s="117" t="str">
        <f t="shared" si="47"/>
        <v/>
      </c>
    </row>
    <row r="55" spans="1:38" x14ac:dyDescent="0.25">
      <c r="A55" s="114" t="s">
        <v>820</v>
      </c>
      <c r="B55" s="124"/>
      <c r="C55" s="124"/>
      <c r="D55" s="124"/>
      <c r="E55" s="124"/>
      <c r="F55" s="124"/>
      <c r="G55" s="124"/>
      <c r="H55" s="124"/>
      <c r="I55" s="124"/>
      <c r="J55" s="119">
        <f t="shared" si="48"/>
        <v>0</v>
      </c>
      <c r="K55" s="124"/>
      <c r="L55" s="124"/>
      <c r="M55" s="124"/>
      <c r="N55" s="124"/>
      <c r="O55" s="124"/>
      <c r="P55" s="119"/>
      <c r="R55" s="121"/>
      <c r="S55" s="130"/>
      <c r="T55" s="122"/>
      <c r="U55" s="123"/>
      <c r="V55" s="109"/>
      <c r="W55" s="122"/>
      <c r="X55" s="123"/>
      <c r="Y55" s="109"/>
      <c r="Z55" s="122"/>
      <c r="AA55" s="123"/>
      <c r="AB55" s="109"/>
      <c r="AC55" s="122"/>
      <c r="AD55" s="123"/>
      <c r="AE55" s="99"/>
      <c r="AF55" s="117" t="str">
        <f t="shared" si="47"/>
        <v/>
      </c>
    </row>
    <row r="56" spans="1:38" x14ac:dyDescent="0.25">
      <c r="A56" s="114"/>
      <c r="B56" s="124"/>
      <c r="C56" s="124"/>
      <c r="D56" s="124"/>
      <c r="E56" s="124"/>
      <c r="F56" s="124"/>
      <c r="G56" s="124"/>
      <c r="H56" s="124"/>
      <c r="I56" s="124"/>
      <c r="J56" s="119">
        <f t="shared" si="48"/>
        <v>0</v>
      </c>
      <c r="K56" s="124"/>
      <c r="L56" s="124"/>
      <c r="M56" s="124"/>
      <c r="N56" s="124"/>
      <c r="O56" s="124"/>
      <c r="P56" s="119"/>
      <c r="R56" s="121"/>
      <c r="S56" s="130"/>
      <c r="T56" s="122"/>
      <c r="U56" s="123"/>
      <c r="V56" s="109"/>
      <c r="W56" s="122"/>
      <c r="X56" s="123"/>
      <c r="Y56" s="109"/>
      <c r="Z56" s="122"/>
      <c r="AA56" s="123"/>
      <c r="AB56" s="109"/>
      <c r="AC56" s="122"/>
      <c r="AD56" s="123"/>
      <c r="AE56" s="99"/>
      <c r="AF56" s="117" t="str">
        <f t="shared" si="47"/>
        <v/>
      </c>
    </row>
    <row r="57" spans="1:38" x14ac:dyDescent="0.25">
      <c r="A57" s="126" t="s">
        <v>152</v>
      </c>
      <c r="B57" s="124"/>
      <c r="C57" s="124"/>
      <c r="D57" s="124"/>
      <c r="E57" s="124"/>
      <c r="F57" s="124"/>
      <c r="G57" s="124"/>
      <c r="H57" s="124"/>
      <c r="I57" s="124"/>
      <c r="J57" s="119">
        <f t="shared" si="48"/>
        <v>0</v>
      </c>
      <c r="K57" s="124"/>
      <c r="L57" s="124"/>
      <c r="M57" s="124"/>
      <c r="N57" s="124"/>
      <c r="O57" s="124"/>
      <c r="P57" s="119"/>
      <c r="R57" s="121"/>
      <c r="S57" s="130"/>
      <c r="T57" s="122"/>
      <c r="U57" s="123"/>
      <c r="V57" s="109"/>
      <c r="W57" s="122"/>
      <c r="X57" s="123"/>
      <c r="Y57" s="109"/>
      <c r="Z57" s="122"/>
      <c r="AA57" s="123"/>
      <c r="AB57" s="109"/>
      <c r="AC57" s="122"/>
      <c r="AD57" s="123"/>
      <c r="AE57" s="99"/>
      <c r="AF57" s="1157"/>
    </row>
    <row r="58" spans="1:38" hidden="1" x14ac:dyDescent="0.25">
      <c r="A58" s="127" t="s">
        <v>160</v>
      </c>
      <c r="B58" s="124"/>
      <c r="C58" s="124"/>
      <c r="D58" s="124"/>
      <c r="E58" s="124"/>
      <c r="F58" s="124"/>
      <c r="G58" s="124"/>
      <c r="H58" s="124"/>
      <c r="I58" s="124"/>
      <c r="J58" s="119">
        <f t="shared" si="48"/>
        <v>0</v>
      </c>
      <c r="K58" s="124"/>
      <c r="L58" s="124"/>
      <c r="M58" s="124"/>
      <c r="N58" s="124"/>
      <c r="O58" s="124"/>
      <c r="P58" s="119"/>
      <c r="R58" s="120"/>
      <c r="S58" s="130"/>
      <c r="T58" s="122"/>
      <c r="U58" s="123"/>
      <c r="V58" s="109"/>
      <c r="W58" s="122"/>
      <c r="X58" s="123"/>
      <c r="Y58" s="109"/>
      <c r="Z58" s="122"/>
      <c r="AA58" s="123"/>
      <c r="AB58" s="109"/>
      <c r="AC58" s="122"/>
      <c r="AD58" s="123"/>
      <c r="AE58" s="118"/>
      <c r="AF58" s="1157"/>
    </row>
    <row r="59" spans="1:38" hidden="1" x14ac:dyDescent="0.25">
      <c r="A59" s="127" t="s">
        <v>161</v>
      </c>
      <c r="B59" s="124"/>
      <c r="C59" s="124"/>
      <c r="D59" s="124"/>
      <c r="E59" s="124"/>
      <c r="F59" s="124"/>
      <c r="G59" s="124"/>
      <c r="H59" s="124"/>
      <c r="I59" s="124"/>
      <c r="J59" s="119">
        <f t="shared" si="48"/>
        <v>0</v>
      </c>
      <c r="K59" s="124"/>
      <c r="L59" s="124"/>
      <c r="M59" s="124"/>
      <c r="N59" s="124"/>
      <c r="O59" s="124"/>
      <c r="P59" s="119"/>
      <c r="R59" s="120"/>
      <c r="S59" s="130"/>
      <c r="T59" s="122"/>
      <c r="U59" s="123"/>
      <c r="V59" s="109"/>
      <c r="W59" s="122"/>
      <c r="X59" s="123"/>
      <c r="Y59" s="109"/>
      <c r="Z59" s="122"/>
      <c r="AA59" s="123"/>
      <c r="AB59" s="109"/>
      <c r="AC59" s="122"/>
      <c r="AD59" s="123"/>
      <c r="AE59" s="118"/>
      <c r="AF59" s="1157"/>
    </row>
    <row r="60" spans="1:38" hidden="1" x14ac:dyDescent="0.25">
      <c r="A60" s="127" t="s">
        <v>1325</v>
      </c>
      <c r="B60" s="124"/>
      <c r="C60" s="124"/>
      <c r="D60" s="124"/>
      <c r="E60" s="124"/>
      <c r="F60" s="124"/>
      <c r="G60" s="124"/>
      <c r="H60" s="124"/>
      <c r="I60" s="124"/>
      <c r="J60" s="119"/>
      <c r="K60" s="124"/>
      <c r="L60" s="124"/>
      <c r="M60" s="124"/>
      <c r="N60" s="124"/>
      <c r="O60" s="124"/>
      <c r="P60" s="119">
        <f>L60+N60</f>
        <v>0</v>
      </c>
      <c r="R60" s="120"/>
      <c r="S60" s="130"/>
      <c r="T60" s="122" t="str">
        <f t="shared" ref="T60:T65" si="49">IF(B60&gt;$B$98,"YES","No")</f>
        <v>No</v>
      </c>
      <c r="U60" s="123" t="str">
        <f t="shared" ref="U60:U65" si="50">IF(B60&gt;$B$114,"YES","No")</f>
        <v>No</v>
      </c>
      <c r="V60" s="109"/>
      <c r="W60" s="122" t="str">
        <f t="shared" ref="W60:W65" si="51">IF(D60&gt;$D$98,"YES","No")</f>
        <v>No</v>
      </c>
      <c r="X60" s="123" t="str">
        <f t="shared" ref="X60:X65" si="52">IF(D60&gt;$D$114,"YES","No")</f>
        <v>No</v>
      </c>
      <c r="Y60" s="109"/>
      <c r="Z60" s="122" t="str">
        <f t="shared" ref="Z60:Z65" si="53">IF(J60&gt;$J$98,"Yes","No")</f>
        <v>No</v>
      </c>
      <c r="AA60" s="123" t="str">
        <f t="shared" ref="AA60:AA65" si="54">IF(J60&gt;$J$114,"Yes","No")</f>
        <v>No</v>
      </c>
      <c r="AB60" s="109"/>
      <c r="AC60" s="122" t="str">
        <f t="shared" ref="AC60:AC65" si="55">IF(P60&gt;$P$98,"Yes","No")</f>
        <v>No</v>
      </c>
      <c r="AD60" s="123" t="str">
        <f t="shared" ref="AD60:AD65" si="56">IF(P60&gt;$P$114,"Yes","No")</f>
        <v>No</v>
      </c>
      <c r="AE60" s="118"/>
      <c r="AF60" s="1157" t="str">
        <f t="shared" ref="AF60:AF65" si="57">IF((AL60="YES"),"YES","NO")</f>
        <v>NO</v>
      </c>
      <c r="AH60" s="95" t="str">
        <f t="shared" ref="AH60:AH65" si="58">IF(AND(T60="YES", U60="YES"),"YES","no")</f>
        <v>no</v>
      </c>
      <c r="AI60" s="95" t="str">
        <f t="shared" ref="AI60:AI65" si="59">IF(AND(W60="YES", X60="YES"),"YES","no")</f>
        <v>no</v>
      </c>
      <c r="AJ60" s="95" t="str">
        <f t="shared" ref="AJ60:AJ65" si="60">IF(AND(Z60="YES", AA60="YES"),"YES","no")</f>
        <v>no</v>
      </c>
      <c r="AK60" s="95" t="str">
        <f t="shared" ref="AK60:AK65" si="61">IF(AND(AC60="YES", AD60="YES"),"YES","no")</f>
        <v>no</v>
      </c>
      <c r="AL60" s="95" t="str">
        <f t="shared" ref="AL60:AL65" si="62">IF(OR(AH60="YES", AI60="YES", AJ60="YES", AK60="YES"),"YES","no")</f>
        <v>no</v>
      </c>
    </row>
    <row r="61" spans="1:38" x14ac:dyDescent="0.25">
      <c r="A61" s="127" t="s">
        <v>1626</v>
      </c>
      <c r="B61" s="124">
        <f>'GO BS'!I33</f>
        <v>5176</v>
      </c>
      <c r="C61" s="124"/>
      <c r="D61" s="124">
        <f>'GO BS'!I55+'GO BS'!I58+'GO BS'!I58</f>
        <v>0</v>
      </c>
      <c r="E61" s="124"/>
      <c r="F61" s="124">
        <f>'GO SOREC'!I29</f>
        <v>423</v>
      </c>
      <c r="G61" s="124"/>
      <c r="H61" s="124"/>
      <c r="I61" s="124"/>
      <c r="J61" s="119">
        <f t="shared" si="48"/>
        <v>423</v>
      </c>
      <c r="K61" s="124"/>
      <c r="L61" s="124">
        <f>'GO SOREC'!I58</f>
        <v>0</v>
      </c>
      <c r="M61" s="124"/>
      <c r="N61" s="124"/>
      <c r="O61" s="124"/>
      <c r="P61" s="119">
        <f>L61+N61</f>
        <v>0</v>
      </c>
      <c r="R61" s="120"/>
      <c r="S61" s="130"/>
      <c r="T61" s="122" t="str">
        <f t="shared" si="49"/>
        <v>No</v>
      </c>
      <c r="U61" s="123" t="str">
        <f t="shared" si="50"/>
        <v>No</v>
      </c>
      <c r="V61" s="109"/>
      <c r="W61" s="122" t="str">
        <f t="shared" si="51"/>
        <v>No</v>
      </c>
      <c r="X61" s="123" t="str">
        <f t="shared" si="52"/>
        <v>No</v>
      </c>
      <c r="Y61" s="109"/>
      <c r="Z61" s="122" t="str">
        <f t="shared" si="53"/>
        <v>No</v>
      </c>
      <c r="AA61" s="123" t="str">
        <f t="shared" si="54"/>
        <v>No</v>
      </c>
      <c r="AB61" s="109"/>
      <c r="AC61" s="122" t="str">
        <f t="shared" si="55"/>
        <v>No</v>
      </c>
      <c r="AD61" s="123" t="str">
        <f t="shared" si="56"/>
        <v>No</v>
      </c>
      <c r="AE61" s="109"/>
      <c r="AF61" s="1157" t="str">
        <f t="shared" si="57"/>
        <v>NO</v>
      </c>
      <c r="AG61" s="149"/>
      <c r="AH61" s="95" t="str">
        <f t="shared" si="58"/>
        <v>no</v>
      </c>
      <c r="AI61" s="95" t="str">
        <f t="shared" si="59"/>
        <v>no</v>
      </c>
      <c r="AJ61" s="95" t="str">
        <f t="shared" si="60"/>
        <v>no</v>
      </c>
      <c r="AK61" s="95" t="str">
        <f t="shared" si="61"/>
        <v>no</v>
      </c>
      <c r="AL61" s="95" t="str">
        <f t="shared" si="62"/>
        <v>no</v>
      </c>
    </row>
    <row r="62" spans="1:38" x14ac:dyDescent="0.25">
      <c r="A62" s="127" t="s">
        <v>1085</v>
      </c>
      <c r="B62" s="124">
        <f>'GO BS'!K33</f>
        <v>16696</v>
      </c>
      <c r="C62" s="124"/>
      <c r="D62" s="124">
        <f>'GO BS'!K55</f>
        <v>0</v>
      </c>
      <c r="E62" s="124"/>
      <c r="F62" s="124">
        <f>'GO SOREC'!K29</f>
        <v>1216</v>
      </c>
      <c r="G62" s="124"/>
      <c r="H62" s="124"/>
      <c r="I62" s="124"/>
      <c r="J62" s="119">
        <f t="shared" si="48"/>
        <v>1216</v>
      </c>
      <c r="K62" s="124"/>
      <c r="L62" s="124">
        <f>'GO SOREC'!K58</f>
        <v>0</v>
      </c>
      <c r="M62" s="124"/>
      <c r="N62" s="124"/>
      <c r="O62" s="124"/>
      <c r="P62" s="119">
        <f>L62+N62</f>
        <v>0</v>
      </c>
      <c r="R62" s="120"/>
      <c r="S62" s="130"/>
      <c r="T62" s="122" t="str">
        <f t="shared" si="49"/>
        <v>No</v>
      </c>
      <c r="U62" s="123" t="str">
        <f t="shared" si="50"/>
        <v>No</v>
      </c>
      <c r="V62" s="109"/>
      <c r="W62" s="122" t="str">
        <f t="shared" si="51"/>
        <v>No</v>
      </c>
      <c r="X62" s="123" t="str">
        <f t="shared" si="52"/>
        <v>No</v>
      </c>
      <c r="Y62" s="109"/>
      <c r="Z62" s="122" t="str">
        <f t="shared" si="53"/>
        <v>No</v>
      </c>
      <c r="AA62" s="123" t="str">
        <f t="shared" si="54"/>
        <v>No</v>
      </c>
      <c r="AB62" s="109"/>
      <c r="AC62" s="122" t="str">
        <f t="shared" si="55"/>
        <v>No</v>
      </c>
      <c r="AD62" s="123" t="str">
        <f t="shared" si="56"/>
        <v>No</v>
      </c>
      <c r="AE62" s="109"/>
      <c r="AF62" s="1157" t="str">
        <f t="shared" si="57"/>
        <v>NO</v>
      </c>
      <c r="AG62" s="149"/>
      <c r="AH62" s="95" t="str">
        <f t="shared" si="58"/>
        <v>no</v>
      </c>
      <c r="AI62" s="95" t="str">
        <f t="shared" si="59"/>
        <v>no</v>
      </c>
      <c r="AJ62" s="95" t="str">
        <f t="shared" si="60"/>
        <v>no</v>
      </c>
      <c r="AK62" s="95" t="str">
        <f t="shared" si="61"/>
        <v>no</v>
      </c>
      <c r="AL62" s="95" t="str">
        <f t="shared" si="62"/>
        <v>no</v>
      </c>
    </row>
    <row r="63" spans="1:38" s="118" customFormat="1" x14ac:dyDescent="0.25">
      <c r="A63" s="869" t="s">
        <v>1570</v>
      </c>
      <c r="B63" s="870">
        <f>'BSGF-major'!S32</f>
        <v>378916</v>
      </c>
      <c r="C63" s="870"/>
      <c r="D63" s="870">
        <f>'BSGF-major'!S55+'BSGF-major'!S58</f>
        <v>3025</v>
      </c>
      <c r="E63" s="870"/>
      <c r="F63" s="870">
        <f>'SORECGF-major'!S29</f>
        <v>14525</v>
      </c>
      <c r="G63" s="870"/>
      <c r="H63" s="870"/>
      <c r="I63" s="870"/>
      <c r="J63" s="870">
        <f t="shared" si="48"/>
        <v>14525</v>
      </c>
      <c r="K63" s="870"/>
      <c r="L63" s="870">
        <f>'SORECGF-major'!S58</f>
        <v>1180</v>
      </c>
      <c r="M63" s="870"/>
      <c r="N63" s="870"/>
      <c r="O63" s="870"/>
      <c r="P63" s="870">
        <f>L63+N63</f>
        <v>1180</v>
      </c>
      <c r="Q63" s="871"/>
      <c r="R63" s="871"/>
      <c r="S63" s="872"/>
      <c r="T63" s="867" t="str">
        <f t="shared" si="49"/>
        <v>YES</v>
      </c>
      <c r="U63" s="866" t="str">
        <f t="shared" si="50"/>
        <v>YES</v>
      </c>
      <c r="V63" s="875"/>
      <c r="W63" s="867" t="str">
        <f t="shared" si="51"/>
        <v>No</v>
      </c>
      <c r="X63" s="866" t="str">
        <f t="shared" si="52"/>
        <v>No</v>
      </c>
      <c r="Y63" s="875"/>
      <c r="Z63" s="867" t="str">
        <f t="shared" si="53"/>
        <v>No</v>
      </c>
      <c r="AA63" s="866" t="str">
        <f t="shared" si="54"/>
        <v>No</v>
      </c>
      <c r="AB63" s="875"/>
      <c r="AC63" s="867" t="str">
        <f t="shared" si="55"/>
        <v>No</v>
      </c>
      <c r="AD63" s="866" t="str">
        <f t="shared" si="56"/>
        <v>No</v>
      </c>
      <c r="AE63" s="865"/>
      <c r="AF63" s="868" t="str">
        <f t="shared" si="57"/>
        <v>YES</v>
      </c>
      <c r="AG63" s="149"/>
      <c r="AH63" s="150" t="str">
        <f t="shared" si="58"/>
        <v>YES</v>
      </c>
      <c r="AI63" s="150" t="str">
        <f t="shared" si="59"/>
        <v>no</v>
      </c>
      <c r="AJ63" s="150" t="str">
        <f t="shared" si="60"/>
        <v>no</v>
      </c>
      <c r="AK63" s="150" t="str">
        <f t="shared" si="61"/>
        <v>no</v>
      </c>
      <c r="AL63" s="150" t="str">
        <f t="shared" si="62"/>
        <v>YES</v>
      </c>
    </row>
    <row r="64" spans="1:38" x14ac:dyDescent="0.25">
      <c r="A64" s="127" t="s">
        <v>1313</v>
      </c>
      <c r="B64" s="124">
        <f>'GO BS'!M33</f>
        <v>156021</v>
      </c>
      <c r="C64" s="124"/>
      <c r="D64" s="124">
        <f>'GO BS'!M55</f>
        <v>2429</v>
      </c>
      <c r="E64" s="124"/>
      <c r="F64" s="124">
        <f>'GO SOREC'!M29</f>
        <v>12343</v>
      </c>
      <c r="G64" s="124"/>
      <c r="H64" s="124"/>
      <c r="I64" s="124"/>
      <c r="J64" s="119">
        <f t="shared" si="48"/>
        <v>12343</v>
      </c>
      <c r="K64" s="124"/>
      <c r="L64" s="124">
        <f>'GO SOREC'!M58</f>
        <v>2429</v>
      </c>
      <c r="M64" s="124"/>
      <c r="N64" s="124"/>
      <c r="O64" s="124"/>
      <c r="P64" s="119">
        <f>L64+N64</f>
        <v>2429</v>
      </c>
      <c r="R64" s="120"/>
      <c r="S64" s="130"/>
      <c r="T64" s="122" t="str">
        <f t="shared" si="49"/>
        <v>No</v>
      </c>
      <c r="U64" s="123" t="str">
        <f t="shared" si="50"/>
        <v>No</v>
      </c>
      <c r="V64" s="109"/>
      <c r="W64" s="122" t="str">
        <f t="shared" si="51"/>
        <v>No</v>
      </c>
      <c r="X64" s="123" t="str">
        <f t="shared" si="52"/>
        <v>No</v>
      </c>
      <c r="Y64" s="109"/>
      <c r="Z64" s="122" t="str">
        <f t="shared" si="53"/>
        <v>No</v>
      </c>
      <c r="AA64" s="123" t="str">
        <f t="shared" si="54"/>
        <v>No</v>
      </c>
      <c r="AB64" s="109"/>
      <c r="AC64" s="122" t="str">
        <f t="shared" si="55"/>
        <v>No</v>
      </c>
      <c r="AD64" s="123" t="str">
        <f t="shared" si="56"/>
        <v>No</v>
      </c>
      <c r="AE64" s="109"/>
      <c r="AF64" s="1157" t="str">
        <f t="shared" si="57"/>
        <v>NO</v>
      </c>
      <c r="AG64" s="149"/>
      <c r="AH64" s="95" t="str">
        <f t="shared" si="58"/>
        <v>no</v>
      </c>
      <c r="AI64" s="95" t="str">
        <f t="shared" si="59"/>
        <v>no</v>
      </c>
      <c r="AJ64" s="95" t="str">
        <f t="shared" si="60"/>
        <v>no</v>
      </c>
      <c r="AK64" s="95" t="str">
        <f t="shared" si="61"/>
        <v>no</v>
      </c>
      <c r="AL64" s="95" t="str">
        <f t="shared" si="62"/>
        <v>no</v>
      </c>
    </row>
    <row r="65" spans="1:38" x14ac:dyDescent="0.25">
      <c r="A65" s="127" t="s">
        <v>162</v>
      </c>
      <c r="B65" s="124">
        <f>'GO BS'!O33</f>
        <v>37930</v>
      </c>
      <c r="C65" s="124"/>
      <c r="D65" s="124">
        <f>'GO BS'!O55+'GO BS'!O58</f>
        <v>47064</v>
      </c>
      <c r="E65" s="124"/>
      <c r="F65" s="124">
        <f>'GO SOREC'!O29</f>
        <v>19790</v>
      </c>
      <c r="G65" s="124"/>
      <c r="H65" s="124"/>
      <c r="I65" s="124"/>
      <c r="J65" s="119">
        <f t="shared" si="48"/>
        <v>19790</v>
      </c>
      <c r="K65" s="124"/>
      <c r="L65" s="124">
        <f>'GO SOREC'!O58</f>
        <v>262327</v>
      </c>
      <c r="M65" s="124"/>
      <c r="N65" s="124"/>
      <c r="O65" s="124"/>
      <c r="P65" s="119">
        <f t="shared" ref="P65:P85" si="63">L65+N65</f>
        <v>262327</v>
      </c>
      <c r="R65" s="120"/>
      <c r="S65" s="130"/>
      <c r="T65" s="122" t="str">
        <f t="shared" si="49"/>
        <v>No</v>
      </c>
      <c r="U65" s="123" t="str">
        <f t="shared" si="50"/>
        <v>No</v>
      </c>
      <c r="V65" s="109"/>
      <c r="W65" s="122" t="str">
        <f t="shared" si="51"/>
        <v>No</v>
      </c>
      <c r="X65" s="123" t="str">
        <f t="shared" si="52"/>
        <v>No</v>
      </c>
      <c r="Y65" s="109"/>
      <c r="Z65" s="122" t="str">
        <f t="shared" si="53"/>
        <v>No</v>
      </c>
      <c r="AA65" s="123" t="str">
        <f t="shared" si="54"/>
        <v>No</v>
      </c>
      <c r="AB65" s="109"/>
      <c r="AC65" s="122" t="str">
        <f t="shared" si="55"/>
        <v>No</v>
      </c>
      <c r="AD65" s="123" t="str">
        <f t="shared" si="56"/>
        <v>Yes</v>
      </c>
      <c r="AE65" s="109"/>
      <c r="AF65" s="1157" t="str">
        <f t="shared" si="57"/>
        <v>NO</v>
      </c>
      <c r="AG65" s="149"/>
      <c r="AH65" s="95" t="str">
        <f t="shared" si="58"/>
        <v>no</v>
      </c>
      <c r="AI65" s="95" t="str">
        <f t="shared" si="59"/>
        <v>no</v>
      </c>
      <c r="AJ65" s="95" t="str">
        <f t="shared" si="60"/>
        <v>no</v>
      </c>
      <c r="AK65" s="95" t="str">
        <f t="shared" si="61"/>
        <v>no</v>
      </c>
      <c r="AL65" s="95" t="str">
        <f t="shared" si="62"/>
        <v>no</v>
      </c>
    </row>
    <row r="66" spans="1:38" x14ac:dyDescent="0.25">
      <c r="A66" s="127"/>
      <c r="B66" s="124"/>
      <c r="C66" s="124"/>
      <c r="D66" s="124"/>
      <c r="E66" s="124"/>
      <c r="F66" s="124"/>
      <c r="G66" s="124"/>
      <c r="H66" s="124"/>
      <c r="I66" s="124"/>
      <c r="J66" s="119">
        <f t="shared" si="48"/>
        <v>0</v>
      </c>
      <c r="K66" s="124"/>
      <c r="L66" s="124"/>
      <c r="M66" s="124"/>
      <c r="N66" s="124"/>
      <c r="O66" s="124"/>
      <c r="P66" s="119">
        <f t="shared" si="63"/>
        <v>0</v>
      </c>
      <c r="R66" s="120"/>
      <c r="S66" s="130"/>
      <c r="T66" s="122"/>
      <c r="U66" s="123"/>
      <c r="V66" s="109"/>
      <c r="W66" s="122"/>
      <c r="X66" s="123"/>
      <c r="Y66" s="109"/>
      <c r="Z66" s="122"/>
      <c r="AA66" s="123"/>
      <c r="AB66" s="109"/>
      <c r="AC66" s="122"/>
      <c r="AD66" s="123"/>
      <c r="AE66" s="118"/>
      <c r="AF66" s="117" t="str">
        <f>IF((AL66="YES"),"YES","")</f>
        <v/>
      </c>
    </row>
    <row r="67" spans="1:38" x14ac:dyDescent="0.25">
      <c r="A67" s="126" t="s">
        <v>151</v>
      </c>
      <c r="B67" s="124"/>
      <c r="C67" s="124"/>
      <c r="D67" s="124"/>
      <c r="E67" s="124"/>
      <c r="F67" s="124"/>
      <c r="G67" s="124"/>
      <c r="H67" s="124"/>
      <c r="I67" s="124"/>
      <c r="J67" s="119">
        <f t="shared" si="48"/>
        <v>0</v>
      </c>
      <c r="K67" s="124"/>
      <c r="L67" s="124"/>
      <c r="M67" s="124"/>
      <c r="N67" s="124"/>
      <c r="O67" s="124"/>
      <c r="P67" s="119">
        <f t="shared" si="63"/>
        <v>0</v>
      </c>
      <c r="R67" s="120"/>
      <c r="S67" s="130"/>
      <c r="T67" s="122"/>
      <c r="U67" s="123"/>
      <c r="V67" s="109"/>
      <c r="W67" s="122"/>
      <c r="X67" s="123"/>
      <c r="Y67" s="109"/>
      <c r="Z67" s="122"/>
      <c r="AA67" s="123"/>
      <c r="AB67" s="109"/>
      <c r="AC67" s="122"/>
      <c r="AD67" s="123"/>
      <c r="AE67" s="118"/>
      <c r="AF67" s="117" t="str">
        <f>IF((AL67="YES"),"YES","")</f>
        <v/>
      </c>
    </row>
    <row r="68" spans="1:38" x14ac:dyDescent="0.25">
      <c r="A68" s="127" t="s">
        <v>1573</v>
      </c>
      <c r="B68" s="124"/>
      <c r="C68" s="124"/>
      <c r="D68" s="124"/>
      <c r="E68" s="124"/>
      <c r="F68" s="124"/>
      <c r="G68" s="124"/>
      <c r="H68" s="124"/>
      <c r="I68" s="124"/>
      <c r="J68" s="119"/>
      <c r="K68" s="124"/>
      <c r="L68" s="124"/>
      <c r="M68" s="124"/>
      <c r="N68" s="124"/>
      <c r="O68" s="124"/>
      <c r="P68" s="119">
        <f t="shared" si="63"/>
        <v>0</v>
      </c>
      <c r="R68" s="120"/>
      <c r="S68" s="130"/>
      <c r="T68" s="122" t="str">
        <f>IF(B68&gt;$B$98,"YES","No")</f>
        <v>No</v>
      </c>
      <c r="U68" s="123" t="str">
        <f>IF(B68&gt;$B$114,"YES","No")</f>
        <v>No</v>
      </c>
      <c r="V68" s="109"/>
      <c r="W68" s="122" t="str">
        <f>IF(D68&gt;$D$98,"YES","No")</f>
        <v>No</v>
      </c>
      <c r="X68" s="123" t="str">
        <f>IF(D68&gt;$D$114,"YES","No")</f>
        <v>No</v>
      </c>
      <c r="Y68" s="109"/>
      <c r="Z68" s="122" t="str">
        <f>IF(J68&gt;$J$98,"Yes","No")</f>
        <v>No</v>
      </c>
      <c r="AA68" s="123" t="str">
        <f>IF(J68&gt;$J$114,"Yes","No")</f>
        <v>No</v>
      </c>
      <c r="AB68" s="109"/>
      <c r="AC68" s="122" t="str">
        <f>IF(P68&gt;$P$98,"Yes","No")</f>
        <v>No</v>
      </c>
      <c r="AD68" s="123" t="str">
        <f>IF(P68&gt;$P$114,"Yes","No")</f>
        <v>No</v>
      </c>
      <c r="AE68" s="118"/>
      <c r="AF68" s="1157" t="str">
        <f t="shared" ref="AF68:AF77" si="64">IF((AL68="YES"),"YES","NO")</f>
        <v>NO</v>
      </c>
      <c r="AH68" s="95" t="str">
        <f>IF(AND(T68="YES", U68="YES"),"YES","no")</f>
        <v>no</v>
      </c>
      <c r="AI68" s="95" t="str">
        <f>IF(AND(W68="YES", X68="YES"),"YES","no")</f>
        <v>no</v>
      </c>
      <c r="AJ68" s="95" t="str">
        <f>IF(AND(Z68="YES", AA68="YES"),"YES","no")</f>
        <v>no</v>
      </c>
      <c r="AK68" s="95" t="str">
        <f>IF(AND(AC68="YES", AD68="YES"),"YES","no")</f>
        <v>no</v>
      </c>
      <c r="AL68" s="95" t="str">
        <f>IF(OR(AH68="YES", AI68="YES", AJ68="YES", AK68="YES"),"YES","no")</f>
        <v>no</v>
      </c>
    </row>
    <row r="69" spans="1:38" x14ac:dyDescent="0.25">
      <c r="A69" s="127" t="s">
        <v>1624</v>
      </c>
      <c r="B69" s="124">
        <f>'CO BS'!E33</f>
        <v>0</v>
      </c>
      <c r="C69" s="124"/>
      <c r="D69" s="124">
        <f>'CO BS'!E56</f>
        <v>0</v>
      </c>
      <c r="E69" s="124"/>
      <c r="F69" s="124">
        <f>'CO SOREC'!E29</f>
        <v>0</v>
      </c>
      <c r="G69" s="124"/>
      <c r="H69" s="124"/>
      <c r="I69" s="124"/>
      <c r="J69" s="119">
        <f t="shared" si="48"/>
        <v>0</v>
      </c>
      <c r="K69" s="124"/>
      <c r="L69" s="124">
        <f>'CO SOREC'!E58</f>
        <v>0</v>
      </c>
      <c r="M69" s="124"/>
      <c r="N69" s="124"/>
      <c r="O69" s="124"/>
      <c r="P69" s="119">
        <f t="shared" si="63"/>
        <v>0</v>
      </c>
      <c r="R69" s="120"/>
      <c r="S69" s="130"/>
      <c r="T69" s="122" t="str">
        <f>IF(B69&gt;$B$98,"YES","No")</f>
        <v>No</v>
      </c>
      <c r="U69" s="123" t="str">
        <f>IF(B69&gt;$B$114,"YES","No")</f>
        <v>No</v>
      </c>
      <c r="V69" s="109"/>
      <c r="W69" s="122" t="str">
        <f>IF(D69&gt;$D$98,"YES","No")</f>
        <v>No</v>
      </c>
      <c r="X69" s="123" t="str">
        <f>IF(D69&gt;$D$114,"YES","No")</f>
        <v>No</v>
      </c>
      <c r="Y69" s="109"/>
      <c r="Z69" s="122" t="str">
        <f>IF(J69&gt;$J$98,"Yes","No")</f>
        <v>No</v>
      </c>
      <c r="AA69" s="123" t="str">
        <f>IF(J69&gt;$J$114,"Yes","No")</f>
        <v>No</v>
      </c>
      <c r="AB69" s="109"/>
      <c r="AC69" s="122" t="str">
        <f>IF(P69&gt;$P$98,"Yes","No")</f>
        <v>No</v>
      </c>
      <c r="AD69" s="123" t="str">
        <f>IF(P69&gt;$P$114,"Yes","No")</f>
        <v>No</v>
      </c>
      <c r="AE69" s="118"/>
      <c r="AF69" s="1157" t="str">
        <f t="shared" si="64"/>
        <v>NO</v>
      </c>
      <c r="AH69" s="95" t="str">
        <f>IF(AND(T69="YES", U69="YES"),"YES","no")</f>
        <v>no</v>
      </c>
      <c r="AI69" s="95" t="str">
        <f>IF(AND(W69="YES", X69="YES"),"YES","no")</f>
        <v>no</v>
      </c>
      <c r="AJ69" s="95" t="str">
        <f>IF(AND(Z69="YES", AA69="YES"),"YES","no")</f>
        <v>no</v>
      </c>
      <c r="AK69" s="95" t="str">
        <f>IF(AND(AC69="YES", AD69="YES"),"YES","no")</f>
        <v>no</v>
      </c>
      <c r="AL69" s="95" t="str">
        <f>IF(OR(AH69="YES", AI69="YES", AJ69="YES", AK69="YES"),"YES","no")</f>
        <v>no</v>
      </c>
    </row>
    <row r="70" spans="1:38" x14ac:dyDescent="0.25">
      <c r="A70" s="127" t="s">
        <v>1730</v>
      </c>
      <c r="B70" s="124">
        <f>'CO BS'!G33</f>
        <v>37456</v>
      </c>
      <c r="C70" s="124"/>
      <c r="D70" s="124">
        <f>'CO BS'!G56</f>
        <v>0</v>
      </c>
      <c r="E70" s="124"/>
      <c r="F70" s="124">
        <f>'CO SOREC'!G29</f>
        <v>3098</v>
      </c>
      <c r="G70" s="124"/>
      <c r="H70" s="124"/>
      <c r="I70" s="124"/>
      <c r="J70" s="119">
        <f t="shared" si="48"/>
        <v>3098</v>
      </c>
      <c r="K70" s="124"/>
      <c r="L70" s="124">
        <f>'CO SOREC'!G58</f>
        <v>0</v>
      </c>
      <c r="M70" s="124"/>
      <c r="N70" s="124"/>
      <c r="O70" s="124"/>
      <c r="P70" s="119">
        <f t="shared" si="63"/>
        <v>0</v>
      </c>
      <c r="R70" s="120"/>
      <c r="S70" s="130"/>
      <c r="T70" s="122" t="str">
        <f>IF(B70&gt;$B$98,"YES","No")</f>
        <v>No</v>
      </c>
      <c r="U70" s="123" t="str">
        <f>IF(B70&gt;$B$114,"YES","No")</f>
        <v>No</v>
      </c>
      <c r="V70" s="109"/>
      <c r="W70" s="122" t="str">
        <f>IF(D70&gt;$D$98,"YES","No")</f>
        <v>No</v>
      </c>
      <c r="X70" s="123" t="str">
        <f>IF(D70&gt;$D$114,"YES","No")</f>
        <v>No</v>
      </c>
      <c r="Y70" s="109"/>
      <c r="Z70" s="122" t="str">
        <f>IF(J70&gt;$J$98,"Yes","No")</f>
        <v>No</v>
      </c>
      <c r="AA70" s="123" t="str">
        <f>IF(J70&gt;$J$114,"Yes","No")</f>
        <v>No</v>
      </c>
      <c r="AB70" s="109"/>
      <c r="AC70" s="122" t="str">
        <f>IF(P70&gt;$P$98,"Yes","No")</f>
        <v>No</v>
      </c>
      <c r="AD70" s="123" t="str">
        <f>IF(P70&gt;$P$114,"Yes","No")</f>
        <v>No</v>
      </c>
      <c r="AE70" s="118"/>
      <c r="AF70" s="1157" t="str">
        <f t="shared" si="64"/>
        <v>NO</v>
      </c>
      <c r="AH70" s="95" t="str">
        <f>IF(AND(T70="YES", U70="YES"),"YES","no")</f>
        <v>no</v>
      </c>
      <c r="AI70" s="95" t="str">
        <f>IF(AND(W70="YES", X70="YES"),"YES","no")</f>
        <v>no</v>
      </c>
      <c r="AJ70" s="95" t="str">
        <f>IF(AND(Z70="YES", AA70="YES"),"YES","no")</f>
        <v>no</v>
      </c>
      <c r="AK70" s="95" t="str">
        <f>IF(AND(AC70="YES", AD70="YES"),"YES","no")</f>
        <v>no</v>
      </c>
      <c r="AL70" s="95" t="str">
        <f>IF(OR(AH70="YES", AI70="YES", AJ70="YES", AK70="YES"),"YES","no")</f>
        <v>no</v>
      </c>
    </row>
    <row r="71" spans="1:38" x14ac:dyDescent="0.25">
      <c r="A71" s="127" t="s">
        <v>1438</v>
      </c>
      <c r="B71" s="124">
        <f>'CO BS'!I33</f>
        <v>1321</v>
      </c>
      <c r="C71" s="124"/>
      <c r="D71" s="124">
        <f>'CO BS'!I56</f>
        <v>258</v>
      </c>
      <c r="E71" s="124"/>
      <c r="F71" s="124">
        <f>'CO SOREC'!I29</f>
        <v>152</v>
      </c>
      <c r="G71" s="124"/>
      <c r="H71" s="124"/>
      <c r="I71" s="124"/>
      <c r="J71" s="119">
        <f t="shared" si="48"/>
        <v>152</v>
      </c>
      <c r="K71" s="124"/>
      <c r="L71" s="124">
        <f>'CO SOREC'!I58</f>
        <v>258</v>
      </c>
      <c r="M71" s="124"/>
      <c r="N71" s="124"/>
      <c r="O71" s="124"/>
      <c r="P71" s="119">
        <f t="shared" si="63"/>
        <v>258</v>
      </c>
      <c r="R71" s="120"/>
      <c r="S71" s="130"/>
      <c r="T71" s="122" t="str">
        <f t="shared" ref="T71:T72" si="65">IF(B71&gt;$B$98,"YES","No")</f>
        <v>No</v>
      </c>
      <c r="U71" s="123" t="str">
        <f t="shared" ref="U71:U72" si="66">IF(B71&gt;$B$114,"YES","No")</f>
        <v>No</v>
      </c>
      <c r="V71" s="109"/>
      <c r="W71" s="122" t="str">
        <f t="shared" ref="W71:W72" si="67">IF(D71&gt;$D$98,"YES","No")</f>
        <v>No</v>
      </c>
      <c r="X71" s="123" t="str">
        <f t="shared" ref="X71:X72" si="68">IF(D71&gt;$D$114,"YES","No")</f>
        <v>No</v>
      </c>
      <c r="Y71" s="109"/>
      <c r="Z71" s="122" t="str">
        <f t="shared" ref="Z71:Z72" si="69">IF(J71&gt;$J$98,"Yes","No")</f>
        <v>No</v>
      </c>
      <c r="AA71" s="123" t="str">
        <f t="shared" ref="AA71:AA72" si="70">IF(J71&gt;$J$114,"Yes","No")</f>
        <v>No</v>
      </c>
      <c r="AB71" s="109"/>
      <c r="AC71" s="122" t="str">
        <f t="shared" ref="AC71:AC72" si="71">IF(P71&gt;$P$98,"Yes","No")</f>
        <v>No</v>
      </c>
      <c r="AD71" s="123" t="str">
        <f t="shared" ref="AD71:AD72" si="72">IF(P71&gt;$P$114,"Yes","No")</f>
        <v>No</v>
      </c>
      <c r="AE71" s="118"/>
      <c r="AF71" s="1157" t="str">
        <f t="shared" ref="AF71:AF72" si="73">IF((AL71="YES"),"YES","NO")</f>
        <v>NO</v>
      </c>
      <c r="AH71" s="95" t="str">
        <f t="shared" ref="AH71:AH72" si="74">IF(AND(T71="YES", U71="YES"),"YES","no")</f>
        <v>no</v>
      </c>
      <c r="AI71" s="95" t="str">
        <f t="shared" ref="AI71:AI72" si="75">IF(AND(W71="YES", X71="YES"),"YES","no")</f>
        <v>no</v>
      </c>
      <c r="AJ71" s="95" t="str">
        <f t="shared" ref="AJ71:AJ72" si="76">IF(AND(Z71="YES", AA71="YES"),"YES","no")</f>
        <v>no</v>
      </c>
      <c r="AK71" s="95" t="str">
        <f t="shared" ref="AK71:AK72" si="77">IF(AND(AC71="YES", AD71="YES"),"YES","no")</f>
        <v>no</v>
      </c>
      <c r="AL71" s="95" t="str">
        <f t="shared" ref="AL71:AL72" si="78">IF(OR(AH71="YES", AI71="YES", AJ71="YES", AK71="YES"),"YES","no")</f>
        <v>no</v>
      </c>
    </row>
    <row r="72" spans="1:38" x14ac:dyDescent="0.25">
      <c r="A72" s="127" t="s">
        <v>1459</v>
      </c>
      <c r="B72" s="124">
        <f>'CO BS'!K33</f>
        <v>1910</v>
      </c>
      <c r="C72" s="124"/>
      <c r="D72" s="124">
        <f>'CO BS'!K56</f>
        <v>0</v>
      </c>
      <c r="E72" s="124"/>
      <c r="F72" s="124">
        <f>'CO SOREC'!K29</f>
        <v>280</v>
      </c>
      <c r="G72" s="124"/>
      <c r="H72" s="124"/>
      <c r="I72" s="124"/>
      <c r="J72" s="119">
        <f t="shared" si="48"/>
        <v>280</v>
      </c>
      <c r="K72" s="124"/>
      <c r="L72" s="124">
        <f>'CO SOREC'!K58</f>
        <v>0</v>
      </c>
      <c r="M72" s="124"/>
      <c r="N72" s="124"/>
      <c r="O72" s="124"/>
      <c r="P72" s="119">
        <f t="shared" si="63"/>
        <v>0</v>
      </c>
      <c r="R72" s="120"/>
      <c r="S72" s="130"/>
      <c r="T72" s="122" t="str">
        <f t="shared" si="65"/>
        <v>No</v>
      </c>
      <c r="U72" s="123" t="str">
        <f t="shared" si="66"/>
        <v>No</v>
      </c>
      <c r="V72" s="109"/>
      <c r="W72" s="122" t="str">
        <f t="shared" si="67"/>
        <v>No</v>
      </c>
      <c r="X72" s="123" t="str">
        <f t="shared" si="68"/>
        <v>No</v>
      </c>
      <c r="Y72" s="109"/>
      <c r="Z72" s="122" t="str">
        <f t="shared" si="69"/>
        <v>No</v>
      </c>
      <c r="AA72" s="123" t="str">
        <f t="shared" si="70"/>
        <v>No</v>
      </c>
      <c r="AB72" s="109"/>
      <c r="AC72" s="122" t="str">
        <f t="shared" si="71"/>
        <v>No</v>
      </c>
      <c r="AD72" s="123" t="str">
        <f t="shared" si="72"/>
        <v>No</v>
      </c>
      <c r="AE72" s="118"/>
      <c r="AF72" s="1157" t="str">
        <f t="shared" si="73"/>
        <v>NO</v>
      </c>
      <c r="AH72" s="95" t="str">
        <f t="shared" si="74"/>
        <v>no</v>
      </c>
      <c r="AI72" s="95" t="str">
        <f t="shared" si="75"/>
        <v>no</v>
      </c>
      <c r="AJ72" s="95" t="str">
        <f t="shared" si="76"/>
        <v>no</v>
      </c>
      <c r="AK72" s="95" t="str">
        <f t="shared" si="77"/>
        <v>no</v>
      </c>
      <c r="AL72" s="95" t="str">
        <f t="shared" si="78"/>
        <v>no</v>
      </c>
    </row>
    <row r="73" spans="1:38" x14ac:dyDescent="0.25">
      <c r="A73" s="127" t="s">
        <v>1504</v>
      </c>
      <c r="B73" s="124">
        <f>'CO BS'!M33</f>
        <v>10018</v>
      </c>
      <c r="C73" s="124"/>
      <c r="D73" s="124">
        <f>'CO BS'!M56</f>
        <v>0</v>
      </c>
      <c r="E73" s="124"/>
      <c r="F73" s="124">
        <f>'CO SOREC'!M29</f>
        <v>1306</v>
      </c>
      <c r="G73" s="124"/>
      <c r="H73" s="124"/>
      <c r="I73" s="124"/>
      <c r="J73" s="119">
        <f t="shared" si="48"/>
        <v>1306</v>
      </c>
      <c r="K73" s="124"/>
      <c r="L73" s="124">
        <f>'CO SOREC'!M58</f>
        <v>0</v>
      </c>
      <c r="M73" s="124"/>
      <c r="N73" s="124"/>
      <c r="O73" s="124"/>
      <c r="P73" s="119">
        <f t="shared" si="63"/>
        <v>0</v>
      </c>
      <c r="R73" s="120"/>
      <c r="S73" s="130"/>
      <c r="T73" s="122" t="str">
        <f t="shared" ref="T73:T74" si="79">IF(B73&gt;$B$98,"YES","No")</f>
        <v>No</v>
      </c>
      <c r="U73" s="123" t="str">
        <f t="shared" ref="U73:U74" si="80">IF(B73&gt;$B$114,"YES","No")</f>
        <v>No</v>
      </c>
      <c r="V73" s="109"/>
      <c r="W73" s="122" t="str">
        <f t="shared" ref="W73:W74" si="81">IF(D73&gt;$D$98,"YES","No")</f>
        <v>No</v>
      </c>
      <c r="X73" s="123" t="str">
        <f t="shared" ref="X73:X74" si="82">IF(D73&gt;$D$114,"YES","No")</f>
        <v>No</v>
      </c>
      <c r="Y73" s="109"/>
      <c r="Z73" s="122" t="str">
        <f t="shared" ref="Z73:Z74" si="83">IF(J73&gt;$J$98,"Yes","No")</f>
        <v>No</v>
      </c>
      <c r="AA73" s="123" t="str">
        <f t="shared" ref="AA73:AA74" si="84">IF(J73&gt;$J$114,"Yes","No")</f>
        <v>No</v>
      </c>
      <c r="AB73" s="109"/>
      <c r="AC73" s="122" t="str">
        <f t="shared" ref="AC73:AC74" si="85">IF(P73&gt;$P$98,"Yes","No")</f>
        <v>No</v>
      </c>
      <c r="AD73" s="123" t="str">
        <f t="shared" ref="AD73:AD74" si="86">IF(P73&gt;$P$114,"Yes","No")</f>
        <v>No</v>
      </c>
      <c r="AE73" s="118"/>
      <c r="AF73" s="1157" t="str">
        <f t="shared" ref="AF73:AF74" si="87">IF((AL73="YES"),"YES","NO")</f>
        <v>NO</v>
      </c>
    </row>
    <row r="74" spans="1:38" x14ac:dyDescent="0.25">
      <c r="A74" s="127" t="s">
        <v>1566</v>
      </c>
      <c r="B74" s="124">
        <f>'CO BS'!O33</f>
        <v>18155</v>
      </c>
      <c r="C74" s="124"/>
      <c r="D74" s="124">
        <f>'CO BS'!O56</f>
        <v>0</v>
      </c>
      <c r="E74" s="124"/>
      <c r="F74" s="124">
        <f>'CO SOREC'!O29</f>
        <v>1567</v>
      </c>
      <c r="G74" s="124"/>
      <c r="H74" s="124"/>
      <c r="I74" s="124"/>
      <c r="J74" s="119">
        <f t="shared" si="48"/>
        <v>1567</v>
      </c>
      <c r="K74" s="124"/>
      <c r="L74" s="124">
        <f>'CO SOREC'!O58</f>
        <v>0</v>
      </c>
      <c r="M74" s="124"/>
      <c r="N74" s="124"/>
      <c r="O74" s="124"/>
      <c r="P74" s="119">
        <f t="shared" si="63"/>
        <v>0</v>
      </c>
      <c r="R74" s="120"/>
      <c r="S74" s="130"/>
      <c r="T74" s="122" t="str">
        <f t="shared" si="79"/>
        <v>No</v>
      </c>
      <c r="U74" s="123" t="str">
        <f t="shared" si="80"/>
        <v>No</v>
      </c>
      <c r="V74" s="109"/>
      <c r="W74" s="122" t="str">
        <f t="shared" si="81"/>
        <v>No</v>
      </c>
      <c r="X74" s="123" t="str">
        <f t="shared" si="82"/>
        <v>No</v>
      </c>
      <c r="Y74" s="109"/>
      <c r="Z74" s="122" t="str">
        <f t="shared" si="83"/>
        <v>No</v>
      </c>
      <c r="AA74" s="123" t="str">
        <f t="shared" si="84"/>
        <v>No</v>
      </c>
      <c r="AB74" s="109"/>
      <c r="AC74" s="122" t="str">
        <f t="shared" si="85"/>
        <v>No</v>
      </c>
      <c r="AD74" s="123" t="str">
        <f t="shared" si="86"/>
        <v>No</v>
      </c>
      <c r="AE74" s="118"/>
      <c r="AF74" s="1157" t="str">
        <f t="shared" si="87"/>
        <v>NO</v>
      </c>
    </row>
    <row r="75" spans="1:38" x14ac:dyDescent="0.25">
      <c r="A75" s="127" t="s">
        <v>1620</v>
      </c>
      <c r="B75" s="124">
        <f>BSGFws!AP22</f>
        <v>947</v>
      </c>
      <c r="C75" s="124"/>
      <c r="D75" s="124">
        <f>BSGFws!AP45</f>
        <v>0</v>
      </c>
      <c r="E75" s="124"/>
      <c r="F75" s="124">
        <f>SORECGFws!AP19</f>
        <v>248</v>
      </c>
      <c r="G75" s="124"/>
      <c r="H75" s="124"/>
      <c r="I75" s="124"/>
      <c r="J75" s="119"/>
      <c r="K75" s="124"/>
      <c r="L75" s="124">
        <f>SORECGFws!AP47</f>
        <v>13</v>
      </c>
      <c r="M75" s="124"/>
      <c r="N75" s="124"/>
      <c r="O75" s="124"/>
      <c r="P75" s="119"/>
      <c r="R75" s="120"/>
      <c r="S75" s="130"/>
      <c r="T75" s="122" t="str">
        <f t="shared" ref="T75" si="88">IF(B75&gt;$B$98,"YES","No")</f>
        <v>No</v>
      </c>
      <c r="U75" s="123" t="str">
        <f t="shared" ref="U75" si="89">IF(B75&gt;$B$114,"YES","No")</f>
        <v>No</v>
      </c>
      <c r="V75" s="109"/>
      <c r="W75" s="122" t="str">
        <f t="shared" ref="W75" si="90">IF(D75&gt;$D$98,"YES","No")</f>
        <v>No</v>
      </c>
      <c r="X75" s="123" t="str">
        <f t="shared" ref="X75" si="91">IF(D75&gt;$D$114,"YES","No")</f>
        <v>No</v>
      </c>
      <c r="Y75" s="109"/>
      <c r="Z75" s="122" t="str">
        <f t="shared" ref="Z75" si="92">IF(J75&gt;$J$98,"Yes","No")</f>
        <v>No</v>
      </c>
      <c r="AA75" s="123" t="str">
        <f t="shared" ref="AA75" si="93">IF(J75&gt;$J$114,"Yes","No")</f>
        <v>No</v>
      </c>
      <c r="AB75" s="109"/>
      <c r="AC75" s="122" t="str">
        <f t="shared" ref="AC75" si="94">IF(P75&gt;$P$98,"Yes","No")</f>
        <v>No</v>
      </c>
      <c r="AD75" s="123" t="str">
        <f t="shared" ref="AD75" si="95">IF(P75&gt;$P$114,"Yes","No")</f>
        <v>No</v>
      </c>
      <c r="AE75" s="118"/>
      <c r="AF75" s="1157" t="str">
        <f t="shared" ref="AF75" si="96">IF((AL75="YES"),"YES","NO")</f>
        <v>NO</v>
      </c>
    </row>
    <row r="76" spans="1:38" x14ac:dyDescent="0.25">
      <c r="A76" s="127" t="s">
        <v>1731</v>
      </c>
      <c r="B76" s="124">
        <f>'CO BS'!S33</f>
        <v>91452</v>
      </c>
      <c r="C76" s="124"/>
      <c r="D76" s="124">
        <f>'CO BS'!S56+'CO BS'!S59</f>
        <v>0</v>
      </c>
      <c r="E76" s="124"/>
      <c r="F76" s="124">
        <f>'CO SOREC'!S29</f>
        <v>223</v>
      </c>
      <c r="G76" s="124"/>
      <c r="H76" s="124"/>
      <c r="I76" s="124"/>
      <c r="J76" s="119">
        <f t="shared" ref="J76" si="97">F76+H76</f>
        <v>223</v>
      </c>
      <c r="K76" s="124"/>
      <c r="L76" s="124">
        <f>'CO SOREC'!S58</f>
        <v>1001</v>
      </c>
      <c r="M76" s="124"/>
      <c r="N76" s="124"/>
      <c r="O76" s="124"/>
      <c r="P76" s="119"/>
      <c r="R76" s="120"/>
      <c r="S76" s="130"/>
      <c r="T76" s="122" t="str">
        <f t="shared" ref="T76" si="98">IF(B76&gt;$B$98,"YES","No")</f>
        <v>No</v>
      </c>
      <c r="U76" s="123" t="str">
        <f t="shared" ref="U76" si="99">IF(B76&gt;$B$114,"YES","No")</f>
        <v>No</v>
      </c>
      <c r="V76" s="109"/>
      <c r="W76" s="122" t="str">
        <f t="shared" ref="W76" si="100">IF(D76&gt;$D$98,"YES","No")</f>
        <v>No</v>
      </c>
      <c r="X76" s="123" t="str">
        <f t="shared" ref="X76" si="101">IF(D76&gt;$D$114,"YES","No")</f>
        <v>No</v>
      </c>
      <c r="Y76" s="109"/>
      <c r="Z76" s="122" t="str">
        <f t="shared" ref="Z76" si="102">IF(J76&gt;$J$98,"Yes","No")</f>
        <v>No</v>
      </c>
      <c r="AA76" s="123" t="str">
        <f t="shared" ref="AA76" si="103">IF(J76&gt;$J$114,"Yes","No")</f>
        <v>No</v>
      </c>
      <c r="AB76" s="109"/>
      <c r="AC76" s="122" t="str">
        <f t="shared" ref="AC76" si="104">IF(P76&gt;$P$98,"Yes","No")</f>
        <v>No</v>
      </c>
      <c r="AD76" s="123" t="str">
        <f t="shared" ref="AD76" si="105">IF(P76&gt;$P$114,"Yes","No")</f>
        <v>No</v>
      </c>
      <c r="AE76" s="118"/>
      <c r="AF76" s="1157" t="str">
        <f t="shared" ref="AF76" si="106">IF((AL76="YES"),"YES","NO")</f>
        <v>NO</v>
      </c>
    </row>
    <row r="77" spans="1:38" x14ac:dyDescent="0.25">
      <c r="A77" s="127" t="s">
        <v>163</v>
      </c>
      <c r="B77" s="124">
        <f>'CO BS'!U33</f>
        <v>3151</v>
      </c>
      <c r="C77" s="124"/>
      <c r="D77" s="124">
        <f>'CO BS'!U56+'CO BS'!U59</f>
        <v>3658</v>
      </c>
      <c r="E77" s="124"/>
      <c r="F77" s="124">
        <f>'CO SOREC'!U29</f>
        <v>163</v>
      </c>
      <c r="G77" s="124"/>
      <c r="H77" s="124"/>
      <c r="I77" s="124"/>
      <c r="J77" s="119">
        <f t="shared" si="48"/>
        <v>163</v>
      </c>
      <c r="K77" s="124"/>
      <c r="L77" s="124">
        <f>'CO SOREC'!U58</f>
        <v>49618</v>
      </c>
      <c r="M77" s="124"/>
      <c r="N77" s="124"/>
      <c r="O77" s="124"/>
      <c r="P77" s="119">
        <f t="shared" si="63"/>
        <v>49618</v>
      </c>
      <c r="R77" s="120"/>
      <c r="S77" s="130"/>
      <c r="T77" s="122" t="str">
        <f>IF(B77&gt;$B$98,"YES","No")</f>
        <v>No</v>
      </c>
      <c r="U77" s="123" t="str">
        <f>IF(B77&gt;$B$114,"YES","No")</f>
        <v>No</v>
      </c>
      <c r="V77" s="109"/>
      <c r="W77" s="122" t="str">
        <f>IF(D77&gt;$D$98,"YES","No")</f>
        <v>No</v>
      </c>
      <c r="X77" s="123" t="str">
        <f>IF(D77&gt;$D$114,"YES","No")</f>
        <v>No</v>
      </c>
      <c r="Y77" s="109"/>
      <c r="Z77" s="122" t="str">
        <f>IF(J77&gt;$J$98,"Yes","No")</f>
        <v>No</v>
      </c>
      <c r="AA77" s="123" t="str">
        <f>IF(J77&gt;$J$114,"Yes","No")</f>
        <v>No</v>
      </c>
      <c r="AB77" s="109"/>
      <c r="AC77" s="122" t="str">
        <f>IF(P77&gt;$P$98,"Yes","No")</f>
        <v>No</v>
      </c>
      <c r="AD77" s="123" t="str">
        <f>IF(P77&gt;$P$114,"Yes","No")</f>
        <v>No</v>
      </c>
      <c r="AE77" s="118"/>
      <c r="AF77" s="1157" t="str">
        <f t="shared" si="64"/>
        <v>NO</v>
      </c>
      <c r="AH77" s="95" t="str">
        <f t="shared" ref="AH77:AH84" si="107">IF(AND(T77="YES", U77="YES"),"YES","no")</f>
        <v>no</v>
      </c>
      <c r="AI77" s="95" t="str">
        <f t="shared" ref="AI77:AI84" si="108">IF(AND(W77="YES", X77="YES"),"YES","no")</f>
        <v>no</v>
      </c>
      <c r="AJ77" s="95" t="str">
        <f t="shared" ref="AJ77:AJ84" si="109">IF(AND(Z77="YES", AA77="YES"),"YES","no")</f>
        <v>no</v>
      </c>
      <c r="AK77" s="95" t="str">
        <f t="shared" ref="AK77:AK84" si="110">IF(AND(AC77="YES", AD77="YES"),"YES","no")</f>
        <v>no</v>
      </c>
      <c r="AL77" s="95" t="str">
        <f t="shared" ref="AL77:AL84" si="111">IF(OR(AH77="YES", AI77="YES", AJ77="YES", AK77="YES"),"YES","no")</f>
        <v>no</v>
      </c>
    </row>
    <row r="78" spans="1:38" x14ac:dyDescent="0.25">
      <c r="A78" s="127"/>
      <c r="B78" s="124"/>
      <c r="C78" s="124"/>
      <c r="D78" s="124"/>
      <c r="E78" s="124"/>
      <c r="F78" s="124"/>
      <c r="G78" s="124"/>
      <c r="H78" s="124"/>
      <c r="I78" s="124"/>
      <c r="J78" s="119">
        <f t="shared" si="48"/>
        <v>0</v>
      </c>
      <c r="K78" s="124"/>
      <c r="L78" s="124"/>
      <c r="M78" s="124"/>
      <c r="N78" s="124"/>
      <c r="O78" s="124"/>
      <c r="P78" s="119">
        <f t="shared" si="63"/>
        <v>0</v>
      </c>
      <c r="R78" s="120"/>
      <c r="S78" s="130"/>
      <c r="T78" s="122"/>
      <c r="U78" s="123"/>
      <c r="V78" s="109"/>
      <c r="W78" s="122"/>
      <c r="X78" s="123"/>
      <c r="Y78" s="109"/>
      <c r="Z78" s="122"/>
      <c r="AA78" s="123"/>
      <c r="AB78" s="109"/>
      <c r="AC78" s="122"/>
      <c r="AD78" s="123"/>
      <c r="AE78" s="118"/>
      <c r="AF78" s="117"/>
      <c r="AH78" s="95" t="str">
        <f t="shared" si="107"/>
        <v>no</v>
      </c>
      <c r="AI78" s="95" t="str">
        <f t="shared" si="108"/>
        <v>no</v>
      </c>
      <c r="AJ78" s="95" t="str">
        <f t="shared" si="109"/>
        <v>no</v>
      </c>
      <c r="AK78" s="95" t="str">
        <f t="shared" si="110"/>
        <v>no</v>
      </c>
      <c r="AL78" s="95" t="str">
        <f t="shared" si="111"/>
        <v>no</v>
      </c>
    </row>
    <row r="79" spans="1:38" x14ac:dyDescent="0.25">
      <c r="A79" s="126" t="s">
        <v>149</v>
      </c>
      <c r="B79" s="124"/>
      <c r="C79" s="124"/>
      <c r="D79" s="124"/>
      <c r="E79" s="124"/>
      <c r="F79" s="124"/>
      <c r="G79" s="124"/>
      <c r="H79" s="124"/>
      <c r="I79" s="124"/>
      <c r="J79" s="119">
        <f t="shared" si="48"/>
        <v>0</v>
      </c>
      <c r="K79" s="124"/>
      <c r="L79" s="124"/>
      <c r="M79" s="124"/>
      <c r="N79" s="124"/>
      <c r="O79" s="124"/>
      <c r="P79" s="119">
        <f t="shared" si="63"/>
        <v>0</v>
      </c>
      <c r="R79" s="120"/>
      <c r="S79" s="130"/>
      <c r="T79" s="122"/>
      <c r="U79" s="123"/>
      <c r="V79" s="109"/>
      <c r="W79" s="122"/>
      <c r="X79" s="123"/>
      <c r="Y79" s="109"/>
      <c r="Z79" s="122"/>
      <c r="AA79" s="123"/>
      <c r="AB79" s="109"/>
      <c r="AC79" s="122"/>
      <c r="AD79" s="123"/>
      <c r="AE79" s="118"/>
      <c r="AF79" s="117"/>
      <c r="AH79" s="95" t="str">
        <f t="shared" si="107"/>
        <v>no</v>
      </c>
      <c r="AI79" s="95" t="str">
        <f t="shared" si="108"/>
        <v>no</v>
      </c>
      <c r="AJ79" s="95" t="str">
        <f t="shared" si="109"/>
        <v>no</v>
      </c>
      <c r="AK79" s="95" t="str">
        <f t="shared" si="110"/>
        <v>no</v>
      </c>
      <c r="AL79" s="95" t="str">
        <f t="shared" si="111"/>
        <v>no</v>
      </c>
    </row>
    <row r="80" spans="1:38" x14ac:dyDescent="0.25">
      <c r="A80" s="127" t="s">
        <v>164</v>
      </c>
      <c r="B80" s="124">
        <f>+'Capital BS'!C33</f>
        <v>0</v>
      </c>
      <c r="C80" s="124"/>
      <c r="D80" s="124">
        <f>+'Capital BS'!C55</f>
        <v>0</v>
      </c>
      <c r="E80" s="124"/>
      <c r="F80" s="124">
        <f>'Capital SOREC'!C29</f>
        <v>0</v>
      </c>
      <c r="G80" s="124"/>
      <c r="H80" s="124"/>
      <c r="I80" s="124"/>
      <c r="J80" s="119">
        <f t="shared" si="48"/>
        <v>0</v>
      </c>
      <c r="K80" s="124"/>
      <c r="L80" s="124">
        <f>'Capital SOREC'!C58</f>
        <v>0</v>
      </c>
      <c r="M80" s="124"/>
      <c r="N80" s="124"/>
      <c r="O80" s="124"/>
      <c r="P80" s="119">
        <f t="shared" si="63"/>
        <v>0</v>
      </c>
      <c r="R80" s="120">
        <f>J80-P80</f>
        <v>0</v>
      </c>
      <c r="S80" s="130"/>
      <c r="T80" s="122" t="str">
        <f t="shared" ref="T80:T85" si="112">IF(B80&gt;$B$98,"YES","No")</f>
        <v>No</v>
      </c>
      <c r="U80" s="123" t="str">
        <f t="shared" ref="U80:U85" si="113">IF(B80&gt;$B$114,"YES","No")</f>
        <v>No</v>
      </c>
      <c r="V80" s="109"/>
      <c r="W80" s="122" t="str">
        <f t="shared" ref="W80:W85" si="114">IF(D80&gt;$D$98,"YES","No")</f>
        <v>No</v>
      </c>
      <c r="X80" s="123" t="str">
        <f t="shared" ref="X80:X85" si="115">IF(D80&gt;$D$114,"YES","No")</f>
        <v>No</v>
      </c>
      <c r="Y80" s="109"/>
      <c r="Z80" s="122" t="str">
        <f t="shared" ref="Z80:Z85" si="116">IF(J80&gt;$J$98,"Yes","No")</f>
        <v>No</v>
      </c>
      <c r="AA80" s="123" t="str">
        <f t="shared" ref="AA80:AA85" si="117">IF(J80&gt;$J$114,"Yes","No")</f>
        <v>No</v>
      </c>
      <c r="AB80" s="109"/>
      <c r="AC80" s="122" t="str">
        <f t="shared" ref="AC80:AC85" si="118">IF(P80&gt;$P$98,"Yes","No")</f>
        <v>No</v>
      </c>
      <c r="AD80" s="123" t="str">
        <f t="shared" ref="AD80:AD85" si="119">IF(P80&gt;$P$114,"Yes","No")</f>
        <v>No</v>
      </c>
      <c r="AE80" s="118"/>
      <c r="AF80" s="1157" t="str">
        <f t="shared" ref="AF80:AF85" si="120">IF((AL80="YES"),"YES","NO")</f>
        <v>NO</v>
      </c>
      <c r="AH80" s="95" t="str">
        <f t="shared" si="107"/>
        <v>no</v>
      </c>
      <c r="AI80" s="95" t="str">
        <f t="shared" si="108"/>
        <v>no</v>
      </c>
      <c r="AJ80" s="95" t="str">
        <f t="shared" si="109"/>
        <v>no</v>
      </c>
      <c r="AK80" s="95" t="str">
        <f t="shared" si="110"/>
        <v>no</v>
      </c>
      <c r="AL80" s="95" t="str">
        <f t="shared" si="111"/>
        <v>no</v>
      </c>
    </row>
    <row r="81" spans="1:38" x14ac:dyDescent="0.25">
      <c r="A81" s="127" t="s">
        <v>165</v>
      </c>
      <c r="B81" s="124">
        <f>+'Capital BS'!G33</f>
        <v>22500</v>
      </c>
      <c r="C81" s="124"/>
      <c r="D81" s="124">
        <f>+'Capital BS'!G55+'Capital BS'!G58</f>
        <v>32755</v>
      </c>
      <c r="E81" s="124"/>
      <c r="F81" s="124">
        <f>'Capital SOREC'!G29</f>
        <v>7940</v>
      </c>
      <c r="G81" s="124"/>
      <c r="H81" s="124"/>
      <c r="I81" s="124"/>
      <c r="J81" s="119">
        <f t="shared" si="48"/>
        <v>7940</v>
      </c>
      <c r="K81" s="124"/>
      <c r="L81" s="124">
        <f>'Capital SOREC'!G58</f>
        <v>240432</v>
      </c>
      <c r="M81" s="124"/>
      <c r="N81" s="124"/>
      <c r="O81" s="124"/>
      <c r="P81" s="119">
        <f t="shared" si="63"/>
        <v>240432</v>
      </c>
      <c r="R81" s="120">
        <f>J81-P81</f>
        <v>-232492</v>
      </c>
      <c r="S81" s="130"/>
      <c r="T81" s="122" t="str">
        <f t="shared" si="112"/>
        <v>No</v>
      </c>
      <c r="U81" s="123" t="str">
        <f t="shared" si="113"/>
        <v>No</v>
      </c>
      <c r="V81" s="109"/>
      <c r="W81" s="122" t="str">
        <f t="shared" si="114"/>
        <v>No</v>
      </c>
      <c r="X81" s="123" t="str">
        <f t="shared" si="115"/>
        <v>No</v>
      </c>
      <c r="Y81" s="109"/>
      <c r="Z81" s="122" t="str">
        <f t="shared" si="116"/>
        <v>No</v>
      </c>
      <c r="AA81" s="123" t="str">
        <f t="shared" si="117"/>
        <v>No</v>
      </c>
      <c r="AB81" s="109"/>
      <c r="AC81" s="122" t="str">
        <f t="shared" si="118"/>
        <v>No</v>
      </c>
      <c r="AD81" s="123" t="str">
        <f t="shared" si="119"/>
        <v>Yes</v>
      </c>
      <c r="AE81" s="118"/>
      <c r="AF81" s="1157" t="str">
        <f t="shared" si="120"/>
        <v>NO</v>
      </c>
      <c r="AH81" s="95" t="str">
        <f t="shared" si="107"/>
        <v>no</v>
      </c>
      <c r="AI81" s="95" t="str">
        <f t="shared" si="108"/>
        <v>no</v>
      </c>
      <c r="AJ81" s="95" t="str">
        <f t="shared" si="109"/>
        <v>no</v>
      </c>
      <c r="AK81" s="95" t="str">
        <f t="shared" si="110"/>
        <v>no</v>
      </c>
      <c r="AL81" s="95" t="str">
        <f t="shared" si="111"/>
        <v>no</v>
      </c>
    </row>
    <row r="82" spans="1:38" x14ac:dyDescent="0.25">
      <c r="A82" s="127" t="s">
        <v>166</v>
      </c>
      <c r="B82" s="124">
        <f>+'Capital BS'!I33</f>
        <v>110</v>
      </c>
      <c r="C82" s="124"/>
      <c r="D82" s="124">
        <f>+'Capital BS'!I55</f>
        <v>0</v>
      </c>
      <c r="E82" s="124"/>
      <c r="F82" s="124">
        <f>'Capital SOREC'!I29</f>
        <v>17</v>
      </c>
      <c r="G82" s="124"/>
      <c r="H82" s="124"/>
      <c r="I82" s="124"/>
      <c r="J82" s="119">
        <f t="shared" si="48"/>
        <v>17</v>
      </c>
      <c r="K82" s="124"/>
      <c r="L82" s="124">
        <f>'Capital SOREC'!I58</f>
        <v>0</v>
      </c>
      <c r="M82" s="124"/>
      <c r="N82" s="124"/>
      <c r="O82" s="124"/>
      <c r="P82" s="119">
        <f t="shared" si="63"/>
        <v>0</v>
      </c>
      <c r="R82" s="120">
        <f>J82-P82</f>
        <v>17</v>
      </c>
      <c r="S82" s="130"/>
      <c r="T82" s="122" t="str">
        <f t="shared" si="112"/>
        <v>No</v>
      </c>
      <c r="U82" s="123" t="str">
        <f t="shared" si="113"/>
        <v>No</v>
      </c>
      <c r="V82" s="109"/>
      <c r="W82" s="122" t="str">
        <f t="shared" si="114"/>
        <v>No</v>
      </c>
      <c r="X82" s="123" t="str">
        <f t="shared" si="115"/>
        <v>No</v>
      </c>
      <c r="Y82" s="109"/>
      <c r="Z82" s="122" t="str">
        <f t="shared" si="116"/>
        <v>No</v>
      </c>
      <c r="AA82" s="123" t="str">
        <f t="shared" si="117"/>
        <v>No</v>
      </c>
      <c r="AB82" s="109"/>
      <c r="AC82" s="122" t="str">
        <f t="shared" si="118"/>
        <v>No</v>
      </c>
      <c r="AD82" s="123" t="str">
        <f t="shared" si="119"/>
        <v>No</v>
      </c>
      <c r="AE82" s="118"/>
      <c r="AF82" s="1157" t="str">
        <f t="shared" si="120"/>
        <v>NO</v>
      </c>
      <c r="AH82" s="95" t="str">
        <f t="shared" si="107"/>
        <v>no</v>
      </c>
      <c r="AI82" s="95" t="str">
        <f t="shared" si="108"/>
        <v>no</v>
      </c>
      <c r="AJ82" s="95" t="str">
        <f t="shared" si="109"/>
        <v>no</v>
      </c>
      <c r="AK82" s="95" t="str">
        <f t="shared" si="110"/>
        <v>no</v>
      </c>
      <c r="AL82" s="95" t="str">
        <f t="shared" si="111"/>
        <v>no</v>
      </c>
    </row>
    <row r="83" spans="1:38" x14ac:dyDescent="0.25">
      <c r="A83" s="127" t="s">
        <v>123</v>
      </c>
      <c r="B83" s="124"/>
      <c r="C83" s="124"/>
      <c r="D83" s="124"/>
      <c r="E83" s="124"/>
      <c r="F83" s="124"/>
      <c r="G83" s="124"/>
      <c r="H83" s="124"/>
      <c r="I83" s="124"/>
      <c r="J83" s="119"/>
      <c r="K83" s="124"/>
      <c r="L83" s="124"/>
      <c r="M83" s="124"/>
      <c r="N83" s="124"/>
      <c r="O83" s="124"/>
      <c r="P83" s="119">
        <f t="shared" si="63"/>
        <v>0</v>
      </c>
      <c r="R83" s="120">
        <f>J83-P83</f>
        <v>0</v>
      </c>
      <c r="S83" s="130"/>
      <c r="T83" s="122" t="str">
        <f t="shared" si="112"/>
        <v>No</v>
      </c>
      <c r="U83" s="123" t="str">
        <f t="shared" si="113"/>
        <v>No</v>
      </c>
      <c r="V83" s="109"/>
      <c r="W83" s="122" t="str">
        <f t="shared" si="114"/>
        <v>No</v>
      </c>
      <c r="X83" s="123" t="str">
        <f t="shared" si="115"/>
        <v>No</v>
      </c>
      <c r="Y83" s="109"/>
      <c r="Z83" s="122" t="str">
        <f t="shared" si="116"/>
        <v>No</v>
      </c>
      <c r="AA83" s="123" t="str">
        <f t="shared" si="117"/>
        <v>No</v>
      </c>
      <c r="AB83" s="109"/>
      <c r="AC83" s="122" t="str">
        <f t="shared" si="118"/>
        <v>No</v>
      </c>
      <c r="AD83" s="123" t="str">
        <f t="shared" si="119"/>
        <v>No</v>
      </c>
      <c r="AE83" s="118"/>
      <c r="AF83" s="1157" t="str">
        <f t="shared" si="120"/>
        <v>NO</v>
      </c>
      <c r="AH83" s="95" t="str">
        <f t="shared" si="107"/>
        <v>no</v>
      </c>
      <c r="AI83" s="95" t="str">
        <f t="shared" si="108"/>
        <v>no</v>
      </c>
      <c r="AJ83" s="95" t="str">
        <f t="shared" si="109"/>
        <v>no</v>
      </c>
      <c r="AK83" s="95" t="str">
        <f t="shared" si="110"/>
        <v>no</v>
      </c>
      <c r="AL83" s="95" t="str">
        <f t="shared" si="111"/>
        <v>no</v>
      </c>
    </row>
    <row r="84" spans="1:38" x14ac:dyDescent="0.25">
      <c r="A84" s="127" t="s">
        <v>167</v>
      </c>
      <c r="B84" s="124">
        <f>+'Capital BS'!M33</f>
        <v>57171</v>
      </c>
      <c r="C84" s="124"/>
      <c r="D84" s="124">
        <f>+'Capital BS'!M55</f>
        <v>44</v>
      </c>
      <c r="E84" s="124"/>
      <c r="F84" s="124">
        <f>'Capital SOREC'!M29</f>
        <v>2376</v>
      </c>
      <c r="G84" s="124"/>
      <c r="H84" s="124"/>
      <c r="I84" s="124"/>
      <c r="J84" s="119">
        <f t="shared" si="48"/>
        <v>2376</v>
      </c>
      <c r="K84" s="124"/>
      <c r="L84" s="124">
        <f>'Capital SOREC'!M58</f>
        <v>356</v>
      </c>
      <c r="M84" s="124"/>
      <c r="N84" s="124"/>
      <c r="O84" s="124"/>
      <c r="P84" s="119">
        <f t="shared" si="63"/>
        <v>356</v>
      </c>
      <c r="R84" s="120"/>
      <c r="S84" s="130"/>
      <c r="T84" s="122" t="str">
        <f t="shared" si="112"/>
        <v>No</v>
      </c>
      <c r="U84" s="123" t="str">
        <f t="shared" si="113"/>
        <v>No</v>
      </c>
      <c r="V84" s="109"/>
      <c r="W84" s="122" t="str">
        <f t="shared" si="114"/>
        <v>No</v>
      </c>
      <c r="X84" s="123" t="str">
        <f t="shared" si="115"/>
        <v>No</v>
      </c>
      <c r="Y84" s="109"/>
      <c r="Z84" s="122" t="str">
        <f t="shared" si="116"/>
        <v>No</v>
      </c>
      <c r="AA84" s="123" t="str">
        <f t="shared" si="117"/>
        <v>No</v>
      </c>
      <c r="AB84" s="109"/>
      <c r="AC84" s="122" t="str">
        <f t="shared" si="118"/>
        <v>No</v>
      </c>
      <c r="AD84" s="123" t="str">
        <f t="shared" si="119"/>
        <v>No</v>
      </c>
      <c r="AE84" s="118"/>
      <c r="AF84" s="1157" t="str">
        <f t="shared" si="120"/>
        <v>NO</v>
      </c>
      <c r="AH84" s="95" t="str">
        <f t="shared" si="107"/>
        <v>no</v>
      </c>
      <c r="AI84" s="95" t="str">
        <f t="shared" si="108"/>
        <v>no</v>
      </c>
      <c r="AJ84" s="95" t="str">
        <f t="shared" si="109"/>
        <v>no</v>
      </c>
      <c r="AK84" s="95" t="str">
        <f t="shared" si="110"/>
        <v>no</v>
      </c>
      <c r="AL84" s="95" t="str">
        <f t="shared" si="111"/>
        <v>no</v>
      </c>
    </row>
    <row r="85" spans="1:38" x14ac:dyDescent="0.25">
      <c r="A85" s="127" t="s">
        <v>1086</v>
      </c>
      <c r="B85" s="124">
        <f>'Capital BS'!E33</f>
        <v>0</v>
      </c>
      <c r="C85" s="124"/>
      <c r="D85" s="124">
        <f>'Capital BS'!E55</f>
        <v>0</v>
      </c>
      <c r="E85" s="124"/>
      <c r="F85" s="124">
        <f>'Capital SOREC'!E29</f>
        <v>0</v>
      </c>
      <c r="G85" s="124"/>
      <c r="H85" s="124"/>
      <c r="I85" s="124"/>
      <c r="J85" s="119">
        <f t="shared" si="48"/>
        <v>0</v>
      </c>
      <c r="K85" s="124"/>
      <c r="L85" s="124">
        <f>+'Capital SOREC'!E58</f>
        <v>0</v>
      </c>
      <c r="M85" s="124"/>
      <c r="N85" s="124"/>
      <c r="O85" s="124"/>
      <c r="P85" s="119">
        <f t="shared" si="63"/>
        <v>0</v>
      </c>
      <c r="R85" s="120"/>
      <c r="S85" s="130"/>
      <c r="T85" s="122" t="str">
        <f t="shared" si="112"/>
        <v>No</v>
      </c>
      <c r="U85" s="123" t="str">
        <f t="shared" si="113"/>
        <v>No</v>
      </c>
      <c r="V85" s="109"/>
      <c r="W85" s="122" t="str">
        <f t="shared" si="114"/>
        <v>No</v>
      </c>
      <c r="X85" s="123" t="str">
        <f t="shared" si="115"/>
        <v>No</v>
      </c>
      <c r="Y85" s="109"/>
      <c r="Z85" s="122" t="str">
        <f t="shared" si="116"/>
        <v>No</v>
      </c>
      <c r="AA85" s="123" t="str">
        <f t="shared" si="117"/>
        <v>No</v>
      </c>
      <c r="AB85" s="109"/>
      <c r="AC85" s="122" t="str">
        <f t="shared" si="118"/>
        <v>No</v>
      </c>
      <c r="AD85" s="123" t="str">
        <f t="shared" si="119"/>
        <v>No</v>
      </c>
      <c r="AE85" s="118"/>
      <c r="AF85" s="1157" t="str">
        <f t="shared" si="120"/>
        <v>NO</v>
      </c>
      <c r="AH85" s="95" t="str">
        <f>IF(AND(T85="YES", U85="YES"),"YES","no")</f>
        <v>no</v>
      </c>
      <c r="AI85" s="95" t="str">
        <f>IF(AND(W85="YES", X85="YES"),"YES","no")</f>
        <v>no</v>
      </c>
      <c r="AJ85" s="95" t="str">
        <f>IF(AND(Z85="YES", AA85="YES"),"YES","no")</f>
        <v>no</v>
      </c>
      <c r="AK85" s="95" t="str">
        <f>IF(AND(AC85="YES", AD85="YES"),"YES","no")</f>
        <v>no</v>
      </c>
      <c r="AL85" s="95" t="str">
        <f>IF(OR(AH85="YES", AI85="YES", AJ85="YES", AK85="YES"),"YES","no")</f>
        <v>no</v>
      </c>
    </row>
    <row r="86" spans="1:38" s="118" customFormat="1" ht="18" customHeight="1" x14ac:dyDescent="0.25">
      <c r="A86" s="99" t="s">
        <v>150</v>
      </c>
      <c r="B86" s="132">
        <f>SUM(B58:B85)</f>
        <v>838930</v>
      </c>
      <c r="C86" s="133"/>
      <c r="D86" s="132">
        <f>SUM(D58:D85)</f>
        <v>89233</v>
      </c>
      <c r="E86" s="133"/>
      <c r="F86" s="132">
        <f>SUM(F58:F85)</f>
        <v>65667</v>
      </c>
      <c r="G86" s="133"/>
      <c r="H86" s="132">
        <f>SUM(H58:H85)</f>
        <v>0</v>
      </c>
      <c r="I86" s="133"/>
      <c r="J86" s="132">
        <f>SUM(J58:J85)</f>
        <v>65419</v>
      </c>
      <c r="K86" s="133"/>
      <c r="L86" s="132">
        <f>SUM(L58:L85)</f>
        <v>557614</v>
      </c>
      <c r="M86" s="133"/>
      <c r="N86" s="132">
        <f>SUM(N58:N85)</f>
        <v>0</v>
      </c>
      <c r="O86" s="133"/>
      <c r="P86" s="132">
        <f>SUM(P58:P85)</f>
        <v>556600</v>
      </c>
      <c r="Q86" s="134"/>
      <c r="R86" s="135">
        <f>SUM(R57:R82)</f>
        <v>-232475</v>
      </c>
      <c r="S86" s="136"/>
      <c r="T86" s="137"/>
      <c r="U86" s="138"/>
      <c r="V86" s="99"/>
      <c r="W86" s="137"/>
      <c r="X86" s="138"/>
      <c r="Y86" s="99"/>
      <c r="Z86" s="137"/>
      <c r="AA86" s="138"/>
      <c r="AB86" s="99"/>
      <c r="AC86" s="137"/>
      <c r="AD86" s="138"/>
      <c r="AE86" s="99"/>
      <c r="AF86" s="117" t="str">
        <f t="shared" ref="AF86:AF101" si="121">IF((AL86="YES"),"YES","")</f>
        <v/>
      </c>
    </row>
    <row r="87" spans="1:38" x14ac:dyDescent="0.25">
      <c r="B87" s="124"/>
      <c r="C87" s="124"/>
      <c r="D87" s="124"/>
      <c r="E87" s="124"/>
      <c r="F87" s="124"/>
      <c r="G87" s="124"/>
      <c r="H87" s="124"/>
      <c r="I87" s="124"/>
      <c r="J87" s="124"/>
      <c r="K87" s="124"/>
      <c r="L87" s="124"/>
      <c r="M87" s="124"/>
      <c r="N87" s="124"/>
      <c r="O87" s="124"/>
      <c r="P87" s="124"/>
      <c r="R87" s="121"/>
      <c r="S87" s="130"/>
      <c r="T87" s="137"/>
      <c r="U87" s="138"/>
      <c r="V87" s="99"/>
      <c r="W87" s="137"/>
      <c r="X87" s="138"/>
      <c r="Y87" s="99"/>
      <c r="Z87" s="137"/>
      <c r="AA87" s="138"/>
      <c r="AB87" s="99"/>
      <c r="AC87" s="137"/>
      <c r="AD87" s="138"/>
      <c r="AE87" s="99"/>
      <c r="AF87" s="117" t="str">
        <f t="shared" si="121"/>
        <v/>
      </c>
    </row>
    <row r="88" spans="1:38" x14ac:dyDescent="0.25">
      <c r="A88" s="114" t="s">
        <v>155</v>
      </c>
      <c r="B88" s="124"/>
      <c r="C88" s="124"/>
      <c r="D88" s="124"/>
      <c r="E88" s="124"/>
      <c r="F88" s="124"/>
      <c r="G88" s="124"/>
      <c r="H88" s="124"/>
      <c r="I88" s="124"/>
      <c r="J88" s="124"/>
      <c r="K88" s="124"/>
      <c r="L88" s="124"/>
      <c r="M88" s="124"/>
      <c r="N88" s="124"/>
      <c r="O88" s="124"/>
      <c r="P88" s="124"/>
      <c r="R88" s="120"/>
      <c r="S88" s="130"/>
      <c r="T88" s="137"/>
      <c r="U88" s="138"/>
      <c r="V88" s="99"/>
      <c r="W88" s="137"/>
      <c r="X88" s="138"/>
      <c r="Y88" s="99"/>
      <c r="Z88" s="137"/>
      <c r="AA88" s="138"/>
      <c r="AB88" s="99"/>
      <c r="AC88" s="137"/>
      <c r="AD88" s="138"/>
      <c r="AE88" s="99"/>
      <c r="AF88" s="117" t="str">
        <f t="shared" si="121"/>
        <v/>
      </c>
    </row>
    <row r="89" spans="1:38" x14ac:dyDescent="0.25">
      <c r="A89" s="131" t="s">
        <v>137</v>
      </c>
      <c r="B89" s="124">
        <f>'BS Perm'!G31</f>
        <v>5416</v>
      </c>
      <c r="C89" s="124"/>
      <c r="D89" s="124">
        <f>'BS Perm'!G53</f>
        <v>3</v>
      </c>
      <c r="E89" s="124"/>
      <c r="F89" s="124">
        <f>'SORECGF Perm'!G28</f>
        <v>681</v>
      </c>
      <c r="G89" s="124"/>
      <c r="H89" s="124"/>
      <c r="I89" s="124"/>
      <c r="J89" s="119">
        <f t="shared" ref="J89:J93" si="122">F89+H89</f>
        <v>681</v>
      </c>
      <c r="K89" s="124"/>
      <c r="L89" s="124">
        <f>'SORECGF Perm'!G57</f>
        <v>442</v>
      </c>
      <c r="M89" s="124"/>
      <c r="N89" s="124">
        <f>-'SORECGF Perm'!G72</f>
        <v>0</v>
      </c>
      <c r="O89" s="124"/>
      <c r="P89" s="119">
        <f>L89+N89</f>
        <v>442</v>
      </c>
      <c r="R89" s="120">
        <f>J89-P89</f>
        <v>239</v>
      </c>
      <c r="S89" s="128"/>
      <c r="T89" s="122" t="str">
        <f>IF(B89&gt;$B$98,"YES","No")</f>
        <v>No</v>
      </c>
      <c r="U89" s="123" t="str">
        <f>IF(B89&gt;$B$114,"YES","No")</f>
        <v>No</v>
      </c>
      <c r="V89" s="109"/>
      <c r="W89" s="122" t="str">
        <f>IF(D89&gt;$D$98,"YES","No")</f>
        <v>No</v>
      </c>
      <c r="X89" s="123" t="str">
        <f>IF(D89&gt;$D$114,"YES","No")</f>
        <v>No</v>
      </c>
      <c r="Y89" s="109"/>
      <c r="Z89" s="122" t="str">
        <f>IF(J89&gt;$J$98,"Yes","No")</f>
        <v>No</v>
      </c>
      <c r="AA89" s="123" t="str">
        <f>IF(J89&gt;$J$114,"Yes","No")</f>
        <v>No</v>
      </c>
      <c r="AB89" s="109"/>
      <c r="AC89" s="122" t="str">
        <f>IF(P89&gt;$P$98,"Yes","No")</f>
        <v>No</v>
      </c>
      <c r="AD89" s="123" t="str">
        <f>IF(P89&gt;$P$114,"Yes","No")</f>
        <v>No</v>
      </c>
      <c r="AF89" s="1157" t="str">
        <f>IF((AL89="YES"),"YES","NO")</f>
        <v>NO</v>
      </c>
      <c r="AH89" s="95" t="str">
        <f>IF(AND(T89="YES", U89="YES"),"YES","no")</f>
        <v>no</v>
      </c>
      <c r="AI89" s="95" t="str">
        <f>IF(AND(W89="YES", X89="YES"),"YES","no")</f>
        <v>no</v>
      </c>
      <c r="AJ89" s="95" t="str">
        <f>IF(AND(Z89="YES", AA89="YES"),"YES","no")</f>
        <v>no</v>
      </c>
      <c r="AK89" s="95" t="str">
        <f>IF(AND(AC89="YES", AD89="YES"),"YES","no")</f>
        <v>no</v>
      </c>
      <c r="AL89" s="95" t="str">
        <f>IF(OR(AH89="YES", AI89="YES", AJ89="YES", AK89="YES"),"YES","no")</f>
        <v>no</v>
      </c>
    </row>
    <row r="90" spans="1:38" x14ac:dyDescent="0.25">
      <c r="A90" s="131" t="s">
        <v>138</v>
      </c>
      <c r="B90" s="124">
        <f>'BS Perm'!C31</f>
        <v>370</v>
      </c>
      <c r="C90" s="124"/>
      <c r="D90" s="124">
        <f>'BS Perm'!C53</f>
        <v>0</v>
      </c>
      <c r="E90" s="124"/>
      <c r="F90" s="124">
        <f>'SORECGF Perm'!C28</f>
        <v>21</v>
      </c>
      <c r="G90" s="124"/>
      <c r="H90" s="124">
        <f>'SORECGF Perm'!C71</f>
        <v>0</v>
      </c>
      <c r="I90" s="124"/>
      <c r="J90" s="119">
        <f t="shared" si="122"/>
        <v>21</v>
      </c>
      <c r="K90" s="124"/>
      <c r="L90" s="124">
        <f>'SORECGF Perm'!C57</f>
        <v>9</v>
      </c>
      <c r="M90" s="124"/>
      <c r="N90" s="124">
        <f>-'SORECGF Perm'!C72</f>
        <v>0</v>
      </c>
      <c r="O90" s="124"/>
      <c r="P90" s="119">
        <f t="shared" ref="P90:P93" si="123">L90+N90</f>
        <v>9</v>
      </c>
      <c r="R90" s="120">
        <f>J90-P90</f>
        <v>12</v>
      </c>
      <c r="S90" s="128"/>
      <c r="T90" s="122" t="str">
        <f>IF(B90&gt;$B$98,"YES","No")</f>
        <v>No</v>
      </c>
      <c r="U90" s="123" t="str">
        <f>IF(B90&gt;$B$114,"YES","No")</f>
        <v>No</v>
      </c>
      <c r="V90" s="109"/>
      <c r="W90" s="122" t="str">
        <f>IF(D90&gt;$D$98,"YES","No")</f>
        <v>No</v>
      </c>
      <c r="X90" s="123" t="str">
        <f>IF(D90&gt;$D$114,"YES","No")</f>
        <v>No</v>
      </c>
      <c r="Y90" s="109"/>
      <c r="Z90" s="122" t="str">
        <f>IF(J90&gt;$J$98,"Yes","No")</f>
        <v>No</v>
      </c>
      <c r="AA90" s="123" t="str">
        <f>IF(J90&gt;$J$114,"Yes","No")</f>
        <v>No</v>
      </c>
      <c r="AB90" s="109"/>
      <c r="AC90" s="122" t="str">
        <f>IF(P90&gt;$P$98,"Yes","No")</f>
        <v>No</v>
      </c>
      <c r="AD90" s="123" t="str">
        <f>IF(P90&gt;$P$114,"Yes","No")</f>
        <v>No</v>
      </c>
      <c r="AF90" s="1157" t="str">
        <f>IF((AL90="YES"),"YES","NO")</f>
        <v>NO</v>
      </c>
      <c r="AH90" s="95" t="str">
        <f>IF(AND(T90="YES", U90="YES"),"YES","no")</f>
        <v>no</v>
      </c>
      <c r="AI90" s="95" t="str">
        <f>IF(AND(W90="YES", X90="YES"),"YES","no")</f>
        <v>no</v>
      </c>
      <c r="AJ90" s="95" t="str">
        <f>IF(AND(Z90="YES", AA90="YES"),"YES","no")</f>
        <v>no</v>
      </c>
      <c r="AK90" s="95" t="str">
        <f>IF(AND(AC90="YES", AD90="YES"),"YES","no")</f>
        <v>no</v>
      </c>
      <c r="AL90" s="95" t="str">
        <f>IF(OR(AH90="YES", AI90="YES", AJ90="YES", AK90="YES"),"YES","no")</f>
        <v>no</v>
      </c>
    </row>
    <row r="91" spans="1:38" x14ac:dyDescent="0.25">
      <c r="A91" s="131" t="s">
        <v>168</v>
      </c>
      <c r="B91" s="124">
        <f>'BS Perm'!I31</f>
        <v>329</v>
      </c>
      <c r="C91" s="124"/>
      <c r="D91" s="124">
        <f>'BS Perm'!I53</f>
        <v>0</v>
      </c>
      <c r="E91" s="124"/>
      <c r="F91" s="124">
        <f>'SORECGF Perm'!I28</f>
        <v>19</v>
      </c>
      <c r="G91" s="124"/>
      <c r="H91" s="124">
        <f>'BS Perm'!I54</f>
        <v>0</v>
      </c>
      <c r="I91" s="124"/>
      <c r="J91" s="119">
        <f t="shared" si="122"/>
        <v>19</v>
      </c>
      <c r="K91" s="124"/>
      <c r="L91" s="124">
        <f>'SORECGF Perm'!I57</f>
        <v>10</v>
      </c>
      <c r="M91" s="124"/>
      <c r="N91" s="124">
        <f>-'SORECGF Perm'!I72</f>
        <v>0</v>
      </c>
      <c r="O91" s="124"/>
      <c r="P91" s="119">
        <f t="shared" si="123"/>
        <v>10</v>
      </c>
      <c r="R91" s="120"/>
      <c r="S91" s="128"/>
      <c r="T91" s="122" t="str">
        <f>IF(B91&gt;$B$98,"YES","No")</f>
        <v>No</v>
      </c>
      <c r="U91" s="123" t="str">
        <f>IF(B91&gt;$B$114,"YES","No")</f>
        <v>No</v>
      </c>
      <c r="V91" s="109"/>
      <c r="W91" s="122" t="str">
        <f>IF(D91&gt;$D$98,"YES","No")</f>
        <v>No</v>
      </c>
      <c r="X91" s="123" t="str">
        <f>IF(D91&gt;$D$114,"YES","No")</f>
        <v>No</v>
      </c>
      <c r="Y91" s="109"/>
      <c r="Z91" s="122" t="str">
        <f>IF(J91&gt;$J$98,"Yes","No")</f>
        <v>No</v>
      </c>
      <c r="AA91" s="123" t="str">
        <f>IF(J91&gt;$J$114,"Yes","No")</f>
        <v>No</v>
      </c>
      <c r="AB91" s="109"/>
      <c r="AC91" s="122" t="str">
        <f>IF(P91&gt;$P$98,"Yes","No")</f>
        <v>No</v>
      </c>
      <c r="AD91" s="123" t="str">
        <f>IF(P91&gt;$P$114,"Yes","No")</f>
        <v>No</v>
      </c>
      <c r="AF91" s="1157" t="str">
        <f>IF((AL91="YES"),"YES","NO")</f>
        <v>NO</v>
      </c>
      <c r="AH91" s="95" t="str">
        <f>IF(AND(T91="YES", U91="YES"),"YES","no")</f>
        <v>no</v>
      </c>
      <c r="AI91" s="95" t="str">
        <f>IF(AND(W91="YES", X91="YES"),"YES","no")</f>
        <v>no</v>
      </c>
      <c r="AJ91" s="95" t="str">
        <f>IF(AND(Z91="YES", AA91="YES"),"YES","no")</f>
        <v>no</v>
      </c>
      <c r="AK91" s="95" t="str">
        <f>IF(AND(AC91="YES", AD91="YES"),"YES","no")</f>
        <v>no</v>
      </c>
      <c r="AL91" s="95" t="str">
        <f>IF(OR(AH91="YES", AI91="YES", AJ91="YES", AK91="YES"),"YES","no")</f>
        <v>no</v>
      </c>
    </row>
    <row r="92" spans="1:38" x14ac:dyDescent="0.25">
      <c r="A92" s="131" t="s">
        <v>169</v>
      </c>
      <c r="B92" s="124">
        <f>'BS Perm'!K31</f>
        <v>543</v>
      </c>
      <c r="C92" s="124"/>
      <c r="D92" s="124">
        <f>'BS Perm'!K53</f>
        <v>0</v>
      </c>
      <c r="E92" s="124"/>
      <c r="F92" s="124">
        <f>'SORECGF Perm'!K28</f>
        <v>31</v>
      </c>
      <c r="G92" s="124"/>
      <c r="H92" s="124">
        <f>'SORECGF Perm'!K71</f>
        <v>0</v>
      </c>
      <c r="I92" s="124"/>
      <c r="J92" s="119">
        <f t="shared" si="122"/>
        <v>31</v>
      </c>
      <c r="K92" s="124"/>
      <c r="L92" s="124">
        <f>'SORECGF Perm'!K57</f>
        <v>16</v>
      </c>
      <c r="M92" s="124"/>
      <c r="N92" s="124">
        <f>-'SORECGF Perm'!K72</f>
        <v>0</v>
      </c>
      <c r="O92" s="124"/>
      <c r="P92" s="119">
        <f t="shared" si="123"/>
        <v>16</v>
      </c>
      <c r="R92" s="120">
        <f>J92-P92</f>
        <v>15</v>
      </c>
      <c r="S92" s="128"/>
      <c r="T92" s="122" t="str">
        <f>IF(B92&gt;$B$98,"YES","No")</f>
        <v>No</v>
      </c>
      <c r="U92" s="123" t="str">
        <f>IF(B92&gt;$B$114,"YES","No")</f>
        <v>No</v>
      </c>
      <c r="V92" s="109"/>
      <c r="W92" s="122" t="str">
        <f>IF(D92&gt;$D$98,"YES","No")</f>
        <v>No</v>
      </c>
      <c r="X92" s="123" t="str">
        <f>IF(D92&gt;$D$114,"YES","No")</f>
        <v>No</v>
      </c>
      <c r="Y92" s="109"/>
      <c r="Z92" s="122" t="str">
        <f>IF(J92&gt;$J$98,"Yes","No")</f>
        <v>No</v>
      </c>
      <c r="AA92" s="123" t="str">
        <f>IF(J92&gt;$J$114,"Yes","No")</f>
        <v>No</v>
      </c>
      <c r="AB92" s="109"/>
      <c r="AC92" s="122" t="str">
        <f>IF(P92&gt;$P$98,"Yes","No")</f>
        <v>No</v>
      </c>
      <c r="AD92" s="123" t="str">
        <f>IF(P92&gt;$P$114,"Yes","No")</f>
        <v>No</v>
      </c>
      <c r="AF92" s="1157" t="str">
        <f>IF((AL92="YES"),"YES","NO")</f>
        <v>NO</v>
      </c>
      <c r="AH92" s="95" t="str">
        <f>IF(AND(T92="YES", U92="YES"),"YES","no")</f>
        <v>no</v>
      </c>
      <c r="AI92" s="95" t="str">
        <f>IF(AND(W92="YES", X92="YES"),"YES","no")</f>
        <v>no</v>
      </c>
      <c r="AJ92" s="95" t="str">
        <f>IF(AND(Z92="YES", AA92="YES"),"YES","no")</f>
        <v>no</v>
      </c>
      <c r="AK92" s="95" t="str">
        <f>IF(AND(AC92="YES", AD92="YES"),"YES","no")</f>
        <v>no</v>
      </c>
      <c r="AL92" s="95" t="str">
        <f>IF(OR(AH92="YES", AI92="YES", AJ92="YES", AK92="YES"),"YES","no")</f>
        <v>no</v>
      </c>
    </row>
    <row r="93" spans="1:38" x14ac:dyDescent="0.25">
      <c r="A93" s="131" t="s">
        <v>1412</v>
      </c>
      <c r="B93" s="124">
        <f>'BS Perm'!M31</f>
        <v>1367</v>
      </c>
      <c r="C93" s="124"/>
      <c r="D93" s="124">
        <f>'BS Perm'!M53</f>
        <v>0</v>
      </c>
      <c r="E93" s="124"/>
      <c r="F93" s="124">
        <f>'SORECGF Perm'!M28</f>
        <v>78</v>
      </c>
      <c r="G93" s="124"/>
      <c r="H93" s="124"/>
      <c r="I93" s="124"/>
      <c r="J93" s="119">
        <f t="shared" si="122"/>
        <v>78</v>
      </c>
      <c r="K93" s="124"/>
      <c r="L93" s="124">
        <f>'SORECGF Perm'!M57</f>
        <v>0</v>
      </c>
      <c r="M93" s="124"/>
      <c r="N93" s="124"/>
      <c r="O93" s="124"/>
      <c r="P93" s="119">
        <f t="shared" si="123"/>
        <v>0</v>
      </c>
      <c r="R93" s="120"/>
      <c r="S93" s="128"/>
      <c r="T93" s="122" t="str">
        <f>IF(B93&gt;$B$98,"YES","No")</f>
        <v>No</v>
      </c>
      <c r="U93" s="123" t="str">
        <f>IF(B93&gt;$B$114,"YES","No")</f>
        <v>No</v>
      </c>
      <c r="V93" s="109"/>
      <c r="W93" s="122" t="str">
        <f>IF(D93&gt;$D$98,"YES","No")</f>
        <v>No</v>
      </c>
      <c r="X93" s="123" t="str">
        <f>IF(D93&gt;$D$114,"YES","No")</f>
        <v>No</v>
      </c>
      <c r="Y93" s="109"/>
      <c r="Z93" s="122" t="str">
        <f>IF(J93&gt;$J$98,"Yes","No")</f>
        <v>No</v>
      </c>
      <c r="AA93" s="123" t="str">
        <f>IF(J93&gt;$J$114,"Yes","No")</f>
        <v>No</v>
      </c>
      <c r="AB93" s="109"/>
      <c r="AC93" s="122" t="str">
        <f>IF(P93&gt;$P$98,"Yes","No")</f>
        <v>No</v>
      </c>
      <c r="AD93" s="123" t="str">
        <f>IF(P93&gt;$P$114,"Yes","No")</f>
        <v>No</v>
      </c>
      <c r="AF93" s="1157" t="str">
        <f>IF((AL93="YES"),"YES","NO")</f>
        <v>NO</v>
      </c>
      <c r="AH93" s="95" t="str">
        <f>IF(AND(T93="YES", U93="YES"),"YES","no")</f>
        <v>no</v>
      </c>
      <c r="AI93" s="95" t="str">
        <f>IF(AND(W93="YES", X93="YES"),"YES","no")</f>
        <v>no</v>
      </c>
      <c r="AJ93" s="95" t="str">
        <f>IF(AND(Z93="YES", AA93="YES"),"YES","no")</f>
        <v>no</v>
      </c>
      <c r="AK93" s="95" t="str">
        <f>IF(AND(AC93="YES", AD93="YES"),"YES","no")</f>
        <v>no</v>
      </c>
      <c r="AL93" s="95" t="str">
        <f>IF(OR(AH93="YES", AI93="YES", AJ93="YES", AK93="YES"),"YES","no")</f>
        <v>no</v>
      </c>
    </row>
    <row r="94" spans="1:38" s="118" customFormat="1" ht="18" customHeight="1" x14ac:dyDescent="0.25">
      <c r="A94" s="99" t="s">
        <v>140</v>
      </c>
      <c r="B94" s="140">
        <f>SUM(B89:B93)</f>
        <v>8025</v>
      </c>
      <c r="C94" s="134"/>
      <c r="D94" s="140">
        <f>SUM(D89:D93)</f>
        <v>3</v>
      </c>
      <c r="E94" s="134"/>
      <c r="F94" s="140">
        <f>SUM(F89:F93)</f>
        <v>830</v>
      </c>
      <c r="G94" s="134"/>
      <c r="H94" s="140">
        <f>SUM(H89:H92)</f>
        <v>0</v>
      </c>
      <c r="I94" s="134"/>
      <c r="J94" s="140">
        <f>SUM(J89:J92)</f>
        <v>752</v>
      </c>
      <c r="K94" s="134"/>
      <c r="L94" s="140">
        <f>SUM(L89:L93)</f>
        <v>477</v>
      </c>
      <c r="M94" s="134"/>
      <c r="N94" s="140">
        <f>SUM(N89:N92)</f>
        <v>0</v>
      </c>
      <c r="O94" s="134"/>
      <c r="P94" s="140">
        <f>SUM(P89:P92)</f>
        <v>477</v>
      </c>
      <c r="Q94" s="134"/>
      <c r="R94" s="135">
        <f>SUM(R89:R91)</f>
        <v>251</v>
      </c>
      <c r="S94" s="136"/>
      <c r="T94" s="137"/>
      <c r="U94" s="138"/>
      <c r="V94" s="99"/>
      <c r="W94" s="137"/>
      <c r="X94" s="138"/>
      <c r="Y94" s="99"/>
      <c r="Z94" s="137"/>
      <c r="AA94" s="138"/>
      <c r="AB94" s="99"/>
      <c r="AC94" s="137"/>
      <c r="AD94" s="138"/>
      <c r="AE94" s="99"/>
      <c r="AF94" s="117" t="str">
        <f t="shared" si="121"/>
        <v/>
      </c>
    </row>
    <row r="95" spans="1:38" x14ac:dyDescent="0.25">
      <c r="R95" s="121"/>
      <c r="S95" s="130"/>
      <c r="T95" s="137"/>
      <c r="U95" s="138"/>
      <c r="V95" s="99"/>
      <c r="W95" s="137"/>
      <c r="X95" s="138"/>
      <c r="Y95" s="99"/>
      <c r="Z95" s="137"/>
      <c r="AA95" s="138"/>
      <c r="AB95" s="99"/>
      <c r="AC95" s="137"/>
      <c r="AD95" s="138"/>
      <c r="AE95" s="99"/>
      <c r="AF95" s="117" t="str">
        <f t="shared" si="121"/>
        <v/>
      </c>
    </row>
    <row r="96" spans="1:38" ht="18" customHeight="1" thickBot="1" x14ac:dyDescent="0.3">
      <c r="A96" s="99" t="s">
        <v>141</v>
      </c>
      <c r="B96" s="141">
        <f>SUM(B7+B50+B53+B86+B94)</f>
        <v>2743790</v>
      </c>
      <c r="C96" s="134"/>
      <c r="D96" s="141">
        <f>SUM(D7+D50+D53+D86+D94)</f>
        <v>654604</v>
      </c>
      <c r="E96" s="134"/>
      <c r="F96" s="141">
        <f>SUM(F7+F50+F53+F86+F94)</f>
        <v>2947754</v>
      </c>
      <c r="G96" s="134"/>
      <c r="H96" s="141">
        <f>SUM(H7+H50+H53+H86+H94)</f>
        <v>0</v>
      </c>
      <c r="I96" s="134"/>
      <c r="J96" s="141">
        <f>SUM(J7+J50+J53+J86+J94)</f>
        <v>2844097</v>
      </c>
      <c r="K96" s="134"/>
      <c r="L96" s="141">
        <f>SUM(L7+L50+L53+L86+L94)</f>
        <v>3306660</v>
      </c>
      <c r="M96" s="134"/>
      <c r="N96" s="141">
        <f>SUM(N7+N50+N53+N86+N94)</f>
        <v>0</v>
      </c>
      <c r="O96" s="134"/>
      <c r="P96" s="141">
        <f>SUM(P7+P50+P53+P86+P94)</f>
        <v>3184697</v>
      </c>
      <c r="R96" s="96">
        <f>J96-P96</f>
        <v>-340600</v>
      </c>
      <c r="S96" s="128"/>
      <c r="T96" s="137"/>
      <c r="U96" s="138"/>
      <c r="W96" s="137"/>
      <c r="X96" s="138"/>
      <c r="Z96" s="137"/>
      <c r="AA96" s="138"/>
      <c r="AB96" s="99"/>
      <c r="AC96" s="137"/>
      <c r="AD96" s="138"/>
      <c r="AF96" s="117" t="str">
        <f t="shared" si="121"/>
        <v/>
      </c>
    </row>
    <row r="97" spans="1:38" ht="16.5" thickTop="1" thickBot="1" x14ac:dyDescent="0.3">
      <c r="N97" s="142"/>
      <c r="R97" s="121"/>
      <c r="T97" s="1051"/>
      <c r="U97" s="1052"/>
      <c r="W97" s="1051"/>
      <c r="X97" s="1052"/>
      <c r="Z97" s="1051"/>
      <c r="AA97" s="1052"/>
      <c r="AC97" s="1051"/>
      <c r="AD97" s="1052"/>
      <c r="AF97" s="117" t="str">
        <f t="shared" si="121"/>
        <v/>
      </c>
    </row>
    <row r="98" spans="1:38" x14ac:dyDescent="0.25">
      <c r="A98" s="884" t="s">
        <v>142</v>
      </c>
      <c r="B98" s="885">
        <f>B96*0.1</f>
        <v>274379</v>
      </c>
      <c r="C98" s="885"/>
      <c r="D98" s="885">
        <f>D96*0.1</f>
        <v>65460.4</v>
      </c>
      <c r="E98" s="885">
        <f>E96*0.1</f>
        <v>0</v>
      </c>
      <c r="F98" s="885">
        <f>F96*0.1</f>
        <v>294775.40000000002</v>
      </c>
      <c r="G98" s="885"/>
      <c r="H98" s="885">
        <f>H96*0.1</f>
        <v>0</v>
      </c>
      <c r="I98" s="885"/>
      <c r="J98" s="885">
        <f>J96*0.1</f>
        <v>284409.7</v>
      </c>
      <c r="K98" s="885">
        <f>K96*0.1</f>
        <v>0</v>
      </c>
      <c r="L98" s="885">
        <f>L96*0.1</f>
        <v>330666</v>
      </c>
      <c r="M98" s="885"/>
      <c r="N98" s="885">
        <f>N96*0.1</f>
        <v>0</v>
      </c>
      <c r="O98" s="885"/>
      <c r="P98" s="886">
        <f>P96*0.1</f>
        <v>318469.7</v>
      </c>
      <c r="Q98" s="134"/>
      <c r="R98" s="120"/>
      <c r="S98" s="143"/>
      <c r="T98" s="1568" t="s">
        <v>839</v>
      </c>
      <c r="U98" s="1569"/>
      <c r="V98" s="99"/>
      <c r="W98" s="1568" t="s">
        <v>79</v>
      </c>
      <c r="X98" s="1569"/>
      <c r="Y98" s="99"/>
      <c r="Z98" s="1568" t="s">
        <v>15</v>
      </c>
      <c r="AA98" s="1569"/>
      <c r="AB98" s="99"/>
      <c r="AC98" s="1568" t="s">
        <v>18</v>
      </c>
      <c r="AD98" s="1569"/>
      <c r="AF98" s="117" t="str">
        <f t="shared" si="121"/>
        <v/>
      </c>
    </row>
    <row r="99" spans="1:38" x14ac:dyDescent="0.25">
      <c r="A99" s="118"/>
      <c r="R99" s="121"/>
      <c r="S99" s="143"/>
      <c r="T99" s="100" t="s">
        <v>114</v>
      </c>
      <c r="U99" s="101" t="s">
        <v>114</v>
      </c>
      <c r="V99" s="102"/>
      <c r="W99" s="100" t="s">
        <v>114</v>
      </c>
      <c r="X99" s="101" t="s">
        <v>114</v>
      </c>
      <c r="Y99" s="102"/>
      <c r="Z99" s="100" t="s">
        <v>114</v>
      </c>
      <c r="AA99" s="101" t="s">
        <v>114</v>
      </c>
      <c r="AB99" s="102"/>
      <c r="AC99" s="100" t="s">
        <v>114</v>
      </c>
      <c r="AD99" s="101" t="s">
        <v>114</v>
      </c>
      <c r="AF99" s="117" t="str">
        <f t="shared" si="121"/>
        <v/>
      </c>
    </row>
    <row r="100" spans="1:38" ht="15.75" thickBot="1" x14ac:dyDescent="0.3">
      <c r="A100" s="144" t="s">
        <v>154</v>
      </c>
      <c r="R100" s="120"/>
      <c r="S100" s="128"/>
      <c r="T100" s="112">
        <v>0.1</v>
      </c>
      <c r="U100" s="113">
        <v>0.05</v>
      </c>
      <c r="V100" s="108"/>
      <c r="W100" s="112">
        <v>0.1</v>
      </c>
      <c r="X100" s="113">
        <v>0.05</v>
      </c>
      <c r="Y100" s="108"/>
      <c r="Z100" s="112">
        <v>0.1</v>
      </c>
      <c r="AA100" s="113">
        <v>0.05</v>
      </c>
      <c r="AB100" s="108"/>
      <c r="AC100" s="112">
        <v>0.1</v>
      </c>
      <c r="AD100" s="113">
        <v>0.05</v>
      </c>
      <c r="AF100" s="117" t="str">
        <f t="shared" si="121"/>
        <v/>
      </c>
    </row>
    <row r="101" spans="1:38" x14ac:dyDescent="0.25">
      <c r="A101" s="869" t="s">
        <v>148</v>
      </c>
      <c r="B101" s="870">
        <f>+SONPPF!C92+SONPPF!C94</f>
        <v>1402300</v>
      </c>
      <c r="C101" s="870"/>
      <c r="D101" s="870">
        <f>+SONPPF!C164+SONPPF!C166</f>
        <v>812753</v>
      </c>
      <c r="E101" s="870"/>
      <c r="F101" s="870">
        <f>+SORECPF!C14+SORECPF!C32+SORECPF!C33+SORECPF!C43</f>
        <v>237903</v>
      </c>
      <c r="G101" s="870"/>
      <c r="H101" s="870"/>
      <c r="I101" s="870"/>
      <c r="J101" s="870">
        <f>F101+H101</f>
        <v>237903</v>
      </c>
      <c r="K101" s="870"/>
      <c r="L101" s="870">
        <f>+SORECPF!C27-SORECPF!C35-SORECPF!C36-SORECPF!C34</f>
        <v>169825</v>
      </c>
      <c r="M101" s="870"/>
      <c r="N101" s="870"/>
      <c r="O101" s="870"/>
      <c r="P101" s="870">
        <f>L101+N101</f>
        <v>169825</v>
      </c>
      <c r="Q101" s="871"/>
      <c r="R101" s="871">
        <f>J101-P101</f>
        <v>68078</v>
      </c>
      <c r="S101" s="872"/>
      <c r="T101" s="873" t="str">
        <f>IF(B101&gt;$B$108,"YES","No")</f>
        <v>YES</v>
      </c>
      <c r="U101" s="874" t="str">
        <f>IF(B101&gt;$B$114,"YES","No")</f>
        <v>YES</v>
      </c>
      <c r="V101" s="875"/>
      <c r="W101" s="873" t="str">
        <f>IF(D101&gt;$D$108,"YES","No")</f>
        <v>YES</v>
      </c>
      <c r="X101" s="874" t="str">
        <f>IF(D101&gt;$D$114,"YES","No")</f>
        <v>YES</v>
      </c>
      <c r="Y101" s="875"/>
      <c r="Z101" s="873" t="str">
        <f>IF(J101&gt;$J$108,"Yes","No")</f>
        <v>Yes</v>
      </c>
      <c r="AA101" s="874" t="str">
        <f>IF(J101&gt;$J$114,"Yes","No")</f>
        <v>Yes</v>
      </c>
      <c r="AB101" s="875"/>
      <c r="AC101" s="873" t="str">
        <f>IF(P101&gt;$P$108,"Yes","No")</f>
        <v>Yes</v>
      </c>
      <c r="AD101" s="874" t="str">
        <f>IF(P101&gt;$P$114,"Yes","No")</f>
        <v>No</v>
      </c>
      <c r="AE101" s="865"/>
      <c r="AF101" s="868" t="str">
        <f t="shared" si="121"/>
        <v>YES</v>
      </c>
      <c r="AG101" s="149"/>
      <c r="AH101" s="150" t="str">
        <f>IF(AND(T101="YES", U101="YES"),"YES","no")</f>
        <v>YES</v>
      </c>
      <c r="AI101" s="150" t="str">
        <f>IF(AND(W101="YES", X101="YES"),"YES","no")</f>
        <v>YES</v>
      </c>
      <c r="AJ101" s="150" t="str">
        <f>IF(AND(Z101="YES", AA101="YES"),"YES","no")</f>
        <v>YES</v>
      </c>
      <c r="AK101" s="150" t="str">
        <f>IF(AND(AC101="YES", AD101="YES"),"YES","no")</f>
        <v>no</v>
      </c>
      <c r="AL101" s="150" t="str">
        <f>IF(OR(AH101="YES", AI101="YES", AJ101="YES", AK101="YES"),"YES","no")</f>
        <v>YES</v>
      </c>
    </row>
    <row r="102" spans="1:38" ht="15.75" thickBot="1" x14ac:dyDescent="0.3">
      <c r="A102" s="131" t="s">
        <v>760</v>
      </c>
      <c r="B102" s="97">
        <f>'Nonmajor Ent BS'!G92+'Nonmajor Ent BS'!G94</f>
        <v>28477</v>
      </c>
      <c r="D102" s="97">
        <f>'Nonmajor Ent BS'!G163+'Nonmajor Ent BS'!G165</f>
        <v>9993</v>
      </c>
      <c r="F102" s="124">
        <f>+'Nonmajor Ent SOREC'!G12+'Nonmajor Ent SOREC'!G30+'Nonmajor Ent SOREC'!G31+'Nonmajor Ent SOREC'!G32+'Nonmajor Ent SOREC'!G41</f>
        <v>8116</v>
      </c>
      <c r="G102" s="124"/>
      <c r="H102" s="124"/>
      <c r="I102" s="124"/>
      <c r="J102" s="119">
        <f>F102+H102</f>
        <v>8116</v>
      </c>
      <c r="K102" s="124"/>
      <c r="L102" s="124">
        <f>+'Nonmajor Ent SOREC'!G25-'Nonmajor Ent SOREC'!G33-'Nonmajor Ent SOREC'!G34</f>
        <v>9709</v>
      </c>
      <c r="P102" s="119">
        <f>L102+N102</f>
        <v>9709</v>
      </c>
      <c r="R102" s="120">
        <f>J102-P102</f>
        <v>-1593</v>
      </c>
      <c r="S102" s="128"/>
      <c r="T102" s="122" t="str">
        <f>IF(B102&gt;$B$108,"YES","No")</f>
        <v>No</v>
      </c>
      <c r="U102" s="123" t="str">
        <f>IF(B102&gt;$B$114,"YES","No")</f>
        <v>No</v>
      </c>
      <c r="V102" s="109"/>
      <c r="W102" s="122" t="str">
        <f>IF(D102&gt;$D$108,"YES","No")</f>
        <v>No</v>
      </c>
      <c r="X102" s="855" t="str">
        <f>IF(D102&gt;$D$114,"YES","No")</f>
        <v>No</v>
      </c>
      <c r="Y102" s="109"/>
      <c r="Z102" s="122" t="str">
        <f>IF(J102&gt;$J$108,"Yes","No")</f>
        <v>No</v>
      </c>
      <c r="AA102" s="123" t="str">
        <f>IF(J102&gt;$J$114,"Yes","No")</f>
        <v>No</v>
      </c>
      <c r="AB102" s="109"/>
      <c r="AC102" s="856" t="str">
        <f>IF(P102&gt;$P$108,"Yes","No")</f>
        <v>No</v>
      </c>
      <c r="AD102" s="123" t="str">
        <f>IF(P102&gt;$P$114,"Yes","No")</f>
        <v>No</v>
      </c>
      <c r="AE102" s="99"/>
      <c r="AF102" s="1157" t="str">
        <f>IF((AL102="YES"),"YES","NO")</f>
        <v>NO</v>
      </c>
      <c r="AH102" s="95" t="str">
        <f>IF(AND(T102="YES", U102="YES"),"YES","no")</f>
        <v>no</v>
      </c>
      <c r="AI102" s="95" t="str">
        <f>IF(AND(W102="YES", X102="YES"),"YES","no")</f>
        <v>no</v>
      </c>
      <c r="AJ102" s="95" t="str">
        <f>IF(AND(Z102="YES", AA102="YES"),"YES","no")</f>
        <v>no</v>
      </c>
      <c r="AK102" s="95" t="str">
        <f>IF(AND(AC102="YES", AD102="YES"),"YES","no")</f>
        <v>no</v>
      </c>
      <c r="AL102" s="95" t="str">
        <f>IF(OR(AH102="YES", AI102="YES", AJ102="YES", AK102="YES"),"YES","no")</f>
        <v>no</v>
      </c>
    </row>
    <row r="103" spans="1:38" x14ac:dyDescent="0.25">
      <c r="A103" s="869" t="s">
        <v>841</v>
      </c>
      <c r="B103" s="870">
        <f>+SONPPF!E92+SONPPF!E94</f>
        <v>59171</v>
      </c>
      <c r="C103" s="870"/>
      <c r="D103" s="870">
        <f>+SONPPF!E164+SONPPF!E166</f>
        <v>107043</v>
      </c>
      <c r="E103" s="870"/>
      <c r="F103" s="870">
        <f>+SORECPF!E14+SORECPF!E32+SORECPF!E33</f>
        <v>153404</v>
      </c>
      <c r="G103" s="870"/>
      <c r="H103" s="870"/>
      <c r="I103" s="870"/>
      <c r="J103" s="870">
        <f>F103+H103</f>
        <v>153404</v>
      </c>
      <c r="K103" s="870"/>
      <c r="L103" s="870">
        <f>+SORECPF!E27-SORECPF!E35-SORECPF!E36</f>
        <v>142479</v>
      </c>
      <c r="M103" s="870"/>
      <c r="N103" s="870"/>
      <c r="O103" s="870"/>
      <c r="P103" s="870">
        <f>L103+N103</f>
        <v>142479</v>
      </c>
      <c r="Q103" s="871"/>
      <c r="R103" s="871">
        <f>J103-P103</f>
        <v>10925</v>
      </c>
      <c r="S103" s="872"/>
      <c r="T103" s="873" t="str">
        <f>IF(B103&gt;$B$108,"YES","No")</f>
        <v>No</v>
      </c>
      <c r="U103" s="874" t="str">
        <f>IF(B103&gt;$B$114,"YES","No")</f>
        <v>No</v>
      </c>
      <c r="V103" s="875"/>
      <c r="W103" s="873" t="str">
        <f>IF(D103&gt;$D$108,"YES","No")</f>
        <v>YES</v>
      </c>
      <c r="X103" s="874" t="str">
        <f>IF(D103&gt;$D$114,"YES","No")</f>
        <v>YES</v>
      </c>
      <c r="Y103" s="875"/>
      <c r="Z103" s="873" t="str">
        <f>IF(J103&gt;$J$108,"Yes","No")</f>
        <v>Yes</v>
      </c>
      <c r="AA103" s="874" t="str">
        <f>IF(J103&gt;$J$114,"Yes","No")</f>
        <v>No</v>
      </c>
      <c r="AB103" s="875"/>
      <c r="AC103" s="873" t="str">
        <f>IF(P103&gt;$P$108,"Yes","No")</f>
        <v>Yes</v>
      </c>
      <c r="AD103" s="874" t="str">
        <f>IF(P103&gt;$P$114,"Yes","No")</f>
        <v>No</v>
      </c>
      <c r="AE103" s="865"/>
      <c r="AF103" s="868" t="str">
        <f>IF((AL103="YES"),"YES","NO")</f>
        <v>YES</v>
      </c>
      <c r="AG103" s="149"/>
      <c r="AH103" s="150" t="str">
        <f>IF(AND(T103="YES", U103="YES"),"YES","no")</f>
        <v>no</v>
      </c>
      <c r="AI103" s="150" t="str">
        <f>IF(AND(W103="YES", X103="YES"),"YES","no")</f>
        <v>YES</v>
      </c>
      <c r="AJ103" s="150" t="str">
        <f>IF(AND(Z103="YES", AA103="YES"),"YES","no")</f>
        <v>no</v>
      </c>
      <c r="AK103" s="150" t="str">
        <f>IF(AND(AC103="YES", AD103="YES"),"YES","no")</f>
        <v>no</v>
      </c>
      <c r="AL103" s="150" t="str">
        <f>IF(OR(AH103="YES", AI103="YES", AJ103="YES", AK103="YES"),"YES","no")</f>
        <v>YES</v>
      </c>
    </row>
    <row r="104" spans="1:38" x14ac:dyDescent="0.25">
      <c r="A104" s="131" t="s">
        <v>969</v>
      </c>
      <c r="B104" s="97">
        <f>'Nonmajor Ent BS'!C92+'Nonmajor Ent BS'!C94</f>
        <v>47873</v>
      </c>
      <c r="D104" s="97">
        <f>'Nonmajor Ent BS'!C163+'Nonmajor Ent BS'!C165</f>
        <v>60868</v>
      </c>
      <c r="F104" s="124">
        <f>+'Nonmajor Ent SOREC'!C12+'Nonmajor Ent SOREC'!C30+'Nonmajor Ent SOREC'!C31+'Nonmajor Ent SOREC'!C32+'Nonmajor Ent SOREC'!C41</f>
        <v>47600</v>
      </c>
      <c r="G104" s="124"/>
      <c r="H104" s="124"/>
      <c r="I104" s="124"/>
      <c r="J104" s="119">
        <f>F104+H104</f>
        <v>47600</v>
      </c>
      <c r="K104" s="124"/>
      <c r="L104" s="124">
        <f>+'Nonmajor Ent SOREC'!C25-'Nonmajor Ent SOREC'!C34-'Nonmajor Ent SOREC'!C33</f>
        <v>49739</v>
      </c>
      <c r="P104" s="119">
        <f>L104+N104</f>
        <v>49739</v>
      </c>
      <c r="R104" s="120"/>
      <c r="S104" s="128"/>
      <c r="T104" s="878" t="str">
        <f>IF(B104&gt;$B$108,"YES","No")</f>
        <v>No</v>
      </c>
      <c r="U104" s="879" t="str">
        <f>IF(B104&gt;$B$114,"YES","No")</f>
        <v>No</v>
      </c>
      <c r="V104" s="880"/>
      <c r="W104" s="878" t="str">
        <f>IF(D104&gt;$D$108,"YES","No")</f>
        <v>No</v>
      </c>
      <c r="X104" s="879" t="str">
        <f>IF(D104&gt;$D$114,"YES","No")</f>
        <v>No</v>
      </c>
      <c r="Y104" s="880"/>
      <c r="Z104" s="878" t="str">
        <f>IF(J104&gt;$J$108,"Yes","No")</f>
        <v>Yes</v>
      </c>
      <c r="AA104" s="879" t="str">
        <f>IF(J104&gt;$J$114,"Yes","No")</f>
        <v>No</v>
      </c>
      <c r="AB104" s="880"/>
      <c r="AC104" s="878" t="str">
        <f>IF(P104&gt;$P$108,"Yes","No")</f>
        <v>Yes</v>
      </c>
      <c r="AD104" s="879" t="str">
        <f>IF(P104&gt;$P$114,"Yes","No")</f>
        <v>No</v>
      </c>
      <c r="AF104" s="1157" t="str">
        <f>IF((AL104="YES"),"YES","NO")</f>
        <v>NO</v>
      </c>
    </row>
    <row r="105" spans="1:38" ht="15.75" thickBot="1" x14ac:dyDescent="0.3">
      <c r="A105" s="131" t="s">
        <v>210</v>
      </c>
      <c r="B105" s="97">
        <f>+'Nonmajor Ent BS'!E92+'Nonmajor Ent BS'!E94</f>
        <v>11991</v>
      </c>
      <c r="D105" s="97">
        <f>+'Nonmajor Ent BS'!E163+'Nonmajor Ent BS'!E165</f>
        <v>8074</v>
      </c>
      <c r="F105" s="124">
        <f>+'Nonmajor Ent SOREC'!E12+'Nonmajor Ent SOREC'!E30+'Nonmajor Ent SOREC'!E31+'Nonmajor Ent SOREC'!E41+'Nonmajor Ent SOREC'!E32</f>
        <v>2356</v>
      </c>
      <c r="G105" s="124"/>
      <c r="H105" s="124"/>
      <c r="I105" s="124"/>
      <c r="J105" s="119">
        <f>F105+H105</f>
        <v>2356</v>
      </c>
      <c r="K105" s="124"/>
      <c r="L105" s="124">
        <f>'Nonmajor Ent SOREC'!E25-'Nonmajor Ent SOREC'!E34</f>
        <v>2894</v>
      </c>
      <c r="P105" s="119">
        <f>L105+N105</f>
        <v>2894</v>
      </c>
      <c r="R105" s="120"/>
      <c r="S105" s="128"/>
      <c r="T105" s="881" t="str">
        <f>IF(B105&gt;$B$108,"YES","No")</f>
        <v>No</v>
      </c>
      <c r="U105" s="882" t="str">
        <f>IF(B105&gt;$B$114,"YES","No")</f>
        <v>No</v>
      </c>
      <c r="V105" s="883"/>
      <c r="W105" s="881" t="str">
        <f>IF(D105&gt;$D$108,"YES","No")</f>
        <v>No</v>
      </c>
      <c r="X105" s="882" t="str">
        <f>IF(D105&gt;$D$114,"YES","No")</f>
        <v>No</v>
      </c>
      <c r="Y105" s="883"/>
      <c r="Z105" s="881" t="str">
        <f>IF(J105&gt;$J$108,"Yes","No")</f>
        <v>No</v>
      </c>
      <c r="AA105" s="882" t="str">
        <f>IF(J105&gt;$J$114,"Yes","No")</f>
        <v>No</v>
      </c>
      <c r="AB105" s="883"/>
      <c r="AC105" s="881" t="str">
        <f>IF(P105&gt;$P$108,"Yes","No")</f>
        <v>No</v>
      </c>
      <c r="AD105" s="882" t="str">
        <f>IF(P105&gt;$P$114,"Yes","No")</f>
        <v>No</v>
      </c>
      <c r="AF105" s="1157" t="str">
        <f>IF((AL105="YES"),"YES","NO")</f>
        <v>NO</v>
      </c>
    </row>
    <row r="106" spans="1:38" ht="18" customHeight="1" x14ac:dyDescent="0.25">
      <c r="A106" s="145" t="s">
        <v>143</v>
      </c>
      <c r="B106" s="140">
        <f>SUM(B101:B105)</f>
        <v>1549812</v>
      </c>
      <c r="C106" s="140"/>
      <c r="D106" s="140">
        <f>SUM(D101:D105)</f>
        <v>998731</v>
      </c>
      <c r="E106" s="140"/>
      <c r="F106" s="140">
        <f>SUM(F101:F105)</f>
        <v>449379</v>
      </c>
      <c r="G106" s="140"/>
      <c r="H106" s="140">
        <f>SUM(H101:H105)</f>
        <v>0</v>
      </c>
      <c r="I106" s="140"/>
      <c r="J106" s="140">
        <f>SUM(J101:J105)</f>
        <v>449379</v>
      </c>
      <c r="K106" s="140"/>
      <c r="L106" s="140">
        <f>SUM(L101:L105)</f>
        <v>374646</v>
      </c>
      <c r="M106" s="140"/>
      <c r="N106" s="140">
        <f>SUM(N101:N105)</f>
        <v>0</v>
      </c>
      <c r="O106" s="140"/>
      <c r="P106" s="877">
        <f>SUM(P101:P105)</f>
        <v>374646</v>
      </c>
      <c r="R106" s="146">
        <f>SUM(R100:R103)</f>
        <v>77410</v>
      </c>
      <c r="S106" s="128"/>
      <c r="T106" s="109"/>
      <c r="U106" s="109"/>
      <c r="V106" s="109"/>
      <c r="W106" s="109"/>
      <c r="X106" s="775"/>
      <c r="Y106" s="109"/>
      <c r="Z106" s="775"/>
      <c r="AA106" s="109"/>
      <c r="AB106" s="109"/>
      <c r="AC106" s="775"/>
      <c r="AD106" s="109"/>
      <c r="AF106" s="117" t="str">
        <f>IF((AL106="YES"),"YES","")</f>
        <v/>
      </c>
    </row>
    <row r="107" spans="1:38" x14ac:dyDescent="0.25">
      <c r="A107" s="139"/>
      <c r="R107" s="121"/>
      <c r="S107" s="128"/>
      <c r="V107" s="118">
        <v>1</v>
      </c>
      <c r="W107" s="118" t="s">
        <v>144</v>
      </c>
      <c r="AA107" s="118"/>
      <c r="AB107" s="118"/>
      <c r="AC107" s="118"/>
      <c r="AD107" s="118"/>
      <c r="AE107" s="118"/>
    </row>
    <row r="108" spans="1:38" s="118" customFormat="1" ht="18" customHeight="1" x14ac:dyDescent="0.25">
      <c r="A108" s="884" t="s">
        <v>145</v>
      </c>
      <c r="B108" s="885">
        <f>B106*0.1</f>
        <v>154981.20000000001</v>
      </c>
      <c r="C108" s="885"/>
      <c r="D108" s="885">
        <f>D106*0.1</f>
        <v>99873.1</v>
      </c>
      <c r="E108" s="885"/>
      <c r="F108" s="885">
        <f>F106*0.1</f>
        <v>44937.9</v>
      </c>
      <c r="G108" s="885"/>
      <c r="H108" s="885">
        <f>H106*0.1</f>
        <v>0</v>
      </c>
      <c r="I108" s="885"/>
      <c r="J108" s="885">
        <f>J106*0.1</f>
        <v>44937.9</v>
      </c>
      <c r="K108" s="885"/>
      <c r="L108" s="885">
        <f>L106*0.1</f>
        <v>37464.6</v>
      </c>
      <c r="M108" s="885"/>
      <c r="N108" s="885">
        <f>N106*0.1</f>
        <v>0</v>
      </c>
      <c r="O108" s="885"/>
      <c r="P108" s="886">
        <f>P106*0.1</f>
        <v>37464.6</v>
      </c>
      <c r="Q108" s="134"/>
      <c r="R108" s="120"/>
      <c r="S108" s="147"/>
      <c r="W108" s="118" t="s">
        <v>146</v>
      </c>
      <c r="AF108" s="99"/>
    </row>
    <row r="109" spans="1:38" x14ac:dyDescent="0.25">
      <c r="R109" s="121"/>
    </row>
    <row r="110" spans="1:38" ht="18" customHeight="1" x14ac:dyDescent="0.25">
      <c r="A110" s="99" t="s">
        <v>147</v>
      </c>
      <c r="B110" s="134">
        <f>SUM(B96+B106)</f>
        <v>4293602</v>
      </c>
      <c r="C110" s="134"/>
      <c r="D110" s="134">
        <f>SUM(D96+D106)</f>
        <v>1653335</v>
      </c>
      <c r="E110" s="134"/>
      <c r="F110" s="134">
        <f>SUM(F96+F106)</f>
        <v>3397133</v>
      </c>
      <c r="G110" s="134"/>
      <c r="H110" s="134">
        <f>SUM(H96+H106)</f>
        <v>0</v>
      </c>
      <c r="I110" s="134"/>
      <c r="J110" s="134">
        <f>SUM(J96+J106)</f>
        <v>3293476</v>
      </c>
      <c r="K110" s="134"/>
      <c r="L110" s="134">
        <f>SUM(L96+L106)</f>
        <v>3681306</v>
      </c>
      <c r="M110" s="134"/>
      <c r="N110" s="134">
        <f>SUM(N96+N106)</f>
        <v>0</v>
      </c>
      <c r="O110" s="134"/>
      <c r="P110" s="134">
        <f>SUM(P96+P106)</f>
        <v>3559343</v>
      </c>
      <c r="R110" s="121"/>
      <c r="S110" s="128"/>
    </row>
    <row r="111" spans="1:38" ht="18" customHeight="1" x14ac:dyDescent="0.25">
      <c r="A111" s="99"/>
      <c r="B111" s="134"/>
      <c r="C111" s="134"/>
      <c r="D111" s="134"/>
      <c r="E111" s="134"/>
      <c r="F111" s="134"/>
      <c r="G111" s="134"/>
      <c r="H111" s="134"/>
      <c r="I111" s="134"/>
      <c r="J111" s="134"/>
      <c r="K111" s="134"/>
      <c r="L111" s="134"/>
      <c r="M111" s="134"/>
      <c r="N111" s="134"/>
      <c r="O111" s="134"/>
      <c r="P111" s="134"/>
      <c r="R111" s="121"/>
      <c r="S111" s="128"/>
    </row>
    <row r="112" spans="1:38" ht="18" customHeight="1" x14ac:dyDescent="0.25">
      <c r="A112" s="887" t="s">
        <v>1091</v>
      </c>
      <c r="B112" s="134">
        <f>B96*0.05</f>
        <v>137189.5</v>
      </c>
      <c r="C112" s="134"/>
      <c r="D112" s="134">
        <f>D96*0.05</f>
        <v>32730.2</v>
      </c>
      <c r="E112" s="134"/>
      <c r="F112" s="134">
        <f>F96*0.05</f>
        <v>147387.70000000001</v>
      </c>
      <c r="G112" s="134"/>
      <c r="H112" s="134"/>
      <c r="I112" s="134"/>
      <c r="J112" s="134">
        <f>J96*0.05</f>
        <v>142204.85</v>
      </c>
      <c r="K112" s="134"/>
      <c r="L112" s="134">
        <f>L96*0.05</f>
        <v>165333</v>
      </c>
      <c r="M112" s="134"/>
      <c r="N112" s="134"/>
      <c r="O112" s="134"/>
      <c r="P112" s="134">
        <f>P96*0.05</f>
        <v>159234.85</v>
      </c>
      <c r="R112" s="121"/>
      <c r="S112" s="128"/>
    </row>
    <row r="113" spans="1:19" ht="18" customHeight="1" x14ac:dyDescent="0.25">
      <c r="A113" s="887" t="s">
        <v>1092</v>
      </c>
      <c r="B113" s="134">
        <f>B106*0.05</f>
        <v>77490.600000000006</v>
      </c>
      <c r="C113" s="134"/>
      <c r="D113" s="134">
        <f>D106*0.05</f>
        <v>49936.55</v>
      </c>
      <c r="E113" s="134"/>
      <c r="F113" s="134">
        <f>F106*0.05</f>
        <v>22468.95</v>
      </c>
      <c r="G113" s="134"/>
      <c r="H113" s="134"/>
      <c r="I113" s="134"/>
      <c r="J113" s="134">
        <f>J106*0.05</f>
        <v>22468.95</v>
      </c>
      <c r="K113" s="134"/>
      <c r="L113" s="134">
        <f>L106*0.05</f>
        <v>18732.3</v>
      </c>
      <c r="M113" s="134"/>
      <c r="N113" s="134"/>
      <c r="O113" s="134"/>
      <c r="P113" s="134">
        <f>P106*0.05</f>
        <v>18732.3</v>
      </c>
      <c r="R113" s="121"/>
      <c r="S113" s="128"/>
    </row>
    <row r="114" spans="1:19" ht="18" customHeight="1" x14ac:dyDescent="0.25">
      <c r="A114" s="884" t="s">
        <v>1093</v>
      </c>
      <c r="B114" s="885">
        <f>SUM(B112:B113)</f>
        <v>214680.1</v>
      </c>
      <c r="C114" s="885"/>
      <c r="D114" s="885">
        <f>SUM(D112:D113)</f>
        <v>82666.75</v>
      </c>
      <c r="E114" s="885"/>
      <c r="F114" s="885">
        <f>SUM(F112:F113)</f>
        <v>169856.65000000002</v>
      </c>
      <c r="G114" s="885"/>
      <c r="H114" s="885">
        <f>SUM(H112:H113)</f>
        <v>0</v>
      </c>
      <c r="I114" s="885"/>
      <c r="J114" s="885">
        <f>SUM(J112:J113)</f>
        <v>164673.80000000002</v>
      </c>
      <c r="K114" s="885"/>
      <c r="L114" s="885">
        <f>SUM(L112:L113)</f>
        <v>184065.3</v>
      </c>
      <c r="M114" s="885"/>
      <c r="N114" s="885">
        <f>SUM(N112:N113)</f>
        <v>0</v>
      </c>
      <c r="O114" s="885"/>
      <c r="P114" s="886">
        <f>SUM(P112:P113)</f>
        <v>177967.15</v>
      </c>
      <c r="R114" s="121"/>
      <c r="S114" s="128"/>
    </row>
    <row r="115" spans="1:19" x14ac:dyDescent="0.25">
      <c r="R115" s="121"/>
    </row>
    <row r="116" spans="1:19" x14ac:dyDescent="0.25">
      <c r="A116" s="1466" t="s">
        <v>1660</v>
      </c>
      <c r="B116" s="765">
        <f>B96-'BSGF-major'!Y32</f>
        <v>0</v>
      </c>
      <c r="D116" s="765">
        <f>+D96-'BSGF-major'!Y55-'BSGF-major'!Y58</f>
        <v>0</v>
      </c>
      <c r="F116" s="765">
        <f>+F96-'SORECGF-major'!Y29</f>
        <v>0</v>
      </c>
      <c r="L116" s="765">
        <f>+L96-'SORECGF-major'!Y58</f>
        <v>0</v>
      </c>
    </row>
    <row r="117" spans="1:19" hidden="1" x14ac:dyDescent="0.25"/>
    <row r="118" spans="1:19" hidden="1" x14ac:dyDescent="0.25"/>
    <row r="119" spans="1:19" hidden="1" x14ac:dyDescent="0.25"/>
    <row r="120" spans="1:19" hidden="1" x14ac:dyDescent="0.25"/>
    <row r="121" spans="1:19" x14ac:dyDescent="0.25">
      <c r="R121" s="121"/>
    </row>
    <row r="122" spans="1:19" x14ac:dyDescent="0.25">
      <c r="A122" s="1466" t="s">
        <v>1659</v>
      </c>
      <c r="B122" s="97">
        <f>+B106-SONPPF!I92-SONPPF!I94</f>
        <v>0</v>
      </c>
      <c r="D122" s="97">
        <f>+D106-SONPPF!I164-SONPPF!I166</f>
        <v>0</v>
      </c>
      <c r="F122" s="97">
        <f>+F106-SORECPF!I16</f>
        <v>90805</v>
      </c>
      <c r="L122" s="97">
        <f>+L106-SONPPF!K164-SONPPF!K166</f>
        <v>42206</v>
      </c>
      <c r="R122" s="121"/>
    </row>
    <row r="123" spans="1:19" x14ac:dyDescent="0.25">
      <c r="R123" s="121"/>
    </row>
    <row r="124" spans="1:19" x14ac:dyDescent="0.25">
      <c r="B124" s="765">
        <f>+B96-'BSGF-major'!Y32</f>
        <v>0</v>
      </c>
      <c r="D124" s="765">
        <f>+D96-'BSGF-major'!Y55-'BSGF-major'!Y58</f>
        <v>0</v>
      </c>
      <c r="F124" s="765">
        <f>+F96-'SORECGF-major'!Y29</f>
        <v>0</v>
      </c>
      <c r="L124" s="765">
        <f>+L96-'SORECGF-major'!Y58</f>
        <v>0</v>
      </c>
      <c r="R124" s="121"/>
    </row>
    <row r="125" spans="1:19" x14ac:dyDescent="0.25">
      <c r="R125" s="121"/>
    </row>
    <row r="126" spans="1:19" x14ac:dyDescent="0.25">
      <c r="R126" s="121"/>
    </row>
    <row r="127" spans="1:19" x14ac:dyDescent="0.25">
      <c r="R127" s="121"/>
    </row>
    <row r="128" spans="1:19" x14ac:dyDescent="0.25">
      <c r="R128" s="121"/>
    </row>
    <row r="129" spans="1:18" x14ac:dyDescent="0.25">
      <c r="R129" s="121"/>
    </row>
    <row r="130" spans="1:18" x14ac:dyDescent="0.25">
      <c r="R130" s="121"/>
    </row>
    <row r="131" spans="1:18" x14ac:dyDescent="0.25">
      <c r="R131" s="121"/>
    </row>
    <row r="132" spans="1:18" x14ac:dyDescent="0.25">
      <c r="A132" s="139"/>
      <c r="R132" s="97"/>
    </row>
  </sheetData>
  <mergeCells count="9">
    <mergeCell ref="T98:U98"/>
    <mergeCell ref="W98:X98"/>
    <mergeCell ref="Z98:AA98"/>
    <mergeCell ref="AC98:AD98"/>
    <mergeCell ref="A1:AF1"/>
    <mergeCell ref="T3:U3"/>
    <mergeCell ref="W3:X3"/>
    <mergeCell ref="Z3:AA3"/>
    <mergeCell ref="AC3:AD3"/>
  </mergeCells>
  <phoneticPr fontId="9" type="noConversion"/>
  <printOptions horizontalCentered="1"/>
  <pageMargins left="0.5" right="0.5" top="0.5" bottom="0.5" header="0.5" footer="0.5"/>
  <pageSetup scale="78" fitToHeight="2" orientation="portrait" r:id="rId1"/>
  <headerFooter alignWithMargins="0"/>
  <rowBreaks count="1" manualBreakCount="1">
    <brk id="56" max="1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5">
    <tabColor theme="6" tint="0.39997558519241921"/>
  </sheetPr>
  <dimension ref="A1:P138"/>
  <sheetViews>
    <sheetView view="pageBreakPreview" zoomScale="110" zoomScaleNormal="100" zoomScaleSheetLayoutView="110" workbookViewId="0">
      <pane xSplit="1" ySplit="10" topLeftCell="B38" activePane="bottomRight" state="frozen"/>
      <selection activeCell="Z13" activeCellId="3" sqref="Z18 Z17 Z15 Z13"/>
      <selection pane="topRight" activeCell="Z13" activeCellId="3" sqref="Z18 Z17 Z15 Z13"/>
      <selection pane="bottomLeft" activeCell="Z13" activeCellId="3" sqref="Z18 Z17 Z15 Z13"/>
      <selection pane="bottomRight" activeCell="Z13" activeCellId="3" sqref="Z18 Z17 Z15 Z13"/>
    </sheetView>
  </sheetViews>
  <sheetFormatPr defaultColWidth="9.140625" defaultRowHeight="12.75" x14ac:dyDescent="0.2"/>
  <cols>
    <col min="1" max="1" width="58" style="434" customWidth="1"/>
    <col min="2" max="2" width="1.140625" style="434" customWidth="1"/>
    <col min="3" max="3" width="12.42578125" style="437" customWidth="1"/>
    <col min="4" max="4" width="1.140625" style="434" customWidth="1"/>
    <col min="5" max="5" width="14" style="437" customWidth="1"/>
    <col min="6" max="6" width="1.140625" style="434" customWidth="1"/>
    <col min="7" max="7" width="14" style="437" customWidth="1"/>
    <col min="8" max="8" width="1.140625" style="434" customWidth="1"/>
    <col min="9" max="9" width="14" style="437" customWidth="1"/>
    <col min="10" max="10" width="1.140625" style="434" customWidth="1"/>
    <col min="11" max="11" width="14" style="437" customWidth="1"/>
    <col min="12" max="12" width="1.140625" style="434" customWidth="1"/>
    <col min="13" max="13" width="14" style="437" customWidth="1"/>
    <col min="14" max="14" width="1.140625" style="434" customWidth="1"/>
    <col min="15" max="15" width="14" style="437" customWidth="1"/>
    <col min="16" max="16384" width="9.140625" style="202"/>
  </cols>
  <sheetData>
    <row r="1" spans="1:16" s="462" customFormat="1" ht="16.5" customHeight="1" thickBot="1" x14ac:dyDescent="0.25">
      <c r="A1" s="1582" t="s">
        <v>1033</v>
      </c>
      <c r="B1" s="1582"/>
      <c r="C1" s="1582"/>
      <c r="D1" s="1582"/>
      <c r="E1" s="1582"/>
      <c r="F1" s="1582"/>
      <c r="G1" s="1582"/>
      <c r="H1" s="1582"/>
      <c r="I1" s="1582"/>
      <c r="J1" s="1582"/>
      <c r="K1" s="1582"/>
      <c r="L1" s="1582"/>
      <c r="M1" s="1582"/>
      <c r="N1" s="1582"/>
      <c r="O1" s="1582"/>
      <c r="P1" s="728"/>
    </row>
    <row r="2" spans="1:16" s="531" customFormat="1" ht="15" customHeight="1" x14ac:dyDescent="0.2">
      <c r="A2" s="700" t="s">
        <v>487</v>
      </c>
      <c r="C2" s="722"/>
      <c r="E2" s="722"/>
      <c r="G2" s="722"/>
      <c r="I2" s="722"/>
      <c r="K2" s="722"/>
      <c r="M2" s="722"/>
      <c r="O2" s="722"/>
      <c r="P2" s="716"/>
    </row>
    <row r="3" spans="1:16" s="531" customFormat="1" ht="15" customHeight="1" x14ac:dyDescent="0.2">
      <c r="A3" s="700" t="s">
        <v>599</v>
      </c>
      <c r="C3" s="722"/>
      <c r="E3" s="722"/>
      <c r="G3" s="722"/>
      <c r="I3" s="722"/>
      <c r="K3" s="722"/>
      <c r="M3" s="722"/>
      <c r="O3" s="722"/>
      <c r="P3" s="716"/>
    </row>
    <row r="4" spans="1:16" s="532" customFormat="1" ht="12.95" customHeight="1" x14ac:dyDescent="0.2">
      <c r="A4" s="1579" t="s">
        <v>1725</v>
      </c>
      <c r="B4" s="1579"/>
      <c r="C4" s="1579"/>
      <c r="D4" s="1579"/>
      <c r="E4" s="1579"/>
      <c r="F4" s="1579"/>
      <c r="G4" s="1579"/>
      <c r="I4" s="733"/>
      <c r="K4" s="733"/>
      <c r="M4" s="733"/>
      <c r="O4" s="733"/>
      <c r="P4" s="736"/>
    </row>
    <row r="5" spans="1:16" s="253" customFormat="1" ht="12" customHeight="1" x14ac:dyDescent="0.2">
      <c r="A5" s="253" t="s">
        <v>972</v>
      </c>
      <c r="B5" s="725"/>
      <c r="D5" s="725"/>
      <c r="F5" s="725"/>
      <c r="H5" s="725"/>
      <c r="J5" s="725"/>
      <c r="L5" s="725"/>
      <c r="N5" s="725"/>
    </row>
    <row r="6" spans="1:16" s="470" customFormat="1" ht="12.6" customHeight="1" x14ac:dyDescent="0.2">
      <c r="A6" s="310"/>
      <c r="B6" s="310"/>
      <c r="C6" s="1576" t="s">
        <v>600</v>
      </c>
      <c r="D6" s="1576"/>
      <c r="E6" s="1576"/>
      <c r="F6" s="1576"/>
      <c r="G6" s="1576"/>
      <c r="H6" s="310"/>
      <c r="I6" s="467"/>
      <c r="J6" s="310"/>
      <c r="K6" s="467"/>
      <c r="L6" s="310"/>
      <c r="N6" s="310"/>
      <c r="O6" s="467"/>
      <c r="P6" s="469"/>
    </row>
    <row r="7" spans="1:16" s="470" customFormat="1" ht="12.6" customHeight="1" x14ac:dyDescent="0.2">
      <c r="A7" s="310"/>
      <c r="B7" s="310"/>
      <c r="C7" s="310"/>
      <c r="D7" s="310"/>
      <c r="E7" s="310"/>
      <c r="F7" s="310"/>
      <c r="G7" s="310"/>
      <c r="H7" s="310"/>
      <c r="I7" s="467"/>
      <c r="J7" s="310"/>
      <c r="K7" s="467"/>
      <c r="L7" s="310"/>
      <c r="N7" s="310"/>
      <c r="O7" s="467"/>
      <c r="P7" s="469"/>
    </row>
    <row r="8" spans="1:16" s="470" customFormat="1" ht="12.6" customHeight="1" x14ac:dyDescent="0.2">
      <c r="A8" s="310"/>
      <c r="B8" s="310"/>
      <c r="C8" s="467" t="s">
        <v>326</v>
      </c>
      <c r="D8" s="310"/>
      <c r="E8" s="336"/>
      <c r="F8" s="310"/>
      <c r="G8" s="467"/>
      <c r="H8" s="310"/>
      <c r="I8" s="468"/>
      <c r="J8" s="310"/>
      <c r="K8" s="467" t="s">
        <v>256</v>
      </c>
      <c r="L8" s="310"/>
      <c r="M8" s="467" t="s">
        <v>861</v>
      </c>
      <c r="N8" s="310"/>
      <c r="O8" s="467" t="s">
        <v>671</v>
      </c>
      <c r="P8" s="469"/>
    </row>
    <row r="9" spans="1:16" s="470" customFormat="1" ht="12.6" customHeight="1" x14ac:dyDescent="0.2">
      <c r="A9" s="310"/>
      <c r="B9" s="310"/>
      <c r="C9" s="467" t="s">
        <v>306</v>
      </c>
      <c r="D9" s="310"/>
      <c r="E9" s="310" t="s">
        <v>325</v>
      </c>
      <c r="F9" s="310"/>
      <c r="G9" s="467" t="s">
        <v>328</v>
      </c>
      <c r="H9" s="310"/>
      <c r="I9" s="467" t="s">
        <v>335</v>
      </c>
      <c r="J9" s="310"/>
      <c r="K9" s="467" t="s">
        <v>58</v>
      </c>
      <c r="L9" s="310"/>
      <c r="M9" s="467" t="s">
        <v>228</v>
      </c>
      <c r="N9" s="310"/>
      <c r="O9" s="467" t="s">
        <v>58</v>
      </c>
      <c r="P9" s="469"/>
    </row>
    <row r="10" spans="1:16" s="470" customFormat="1" ht="12.6" customHeight="1" x14ac:dyDescent="0.2">
      <c r="A10" s="310"/>
      <c r="B10" s="310"/>
      <c r="C10" s="471" t="s">
        <v>327</v>
      </c>
      <c r="D10" s="310"/>
      <c r="E10" s="574" t="s">
        <v>232</v>
      </c>
      <c r="F10" s="310"/>
      <c r="G10" s="471" t="s">
        <v>329</v>
      </c>
      <c r="H10" s="310"/>
      <c r="I10" s="471" t="s">
        <v>838</v>
      </c>
      <c r="J10" s="310"/>
      <c r="K10" s="471" t="s">
        <v>838</v>
      </c>
      <c r="L10" s="310"/>
      <c r="M10" s="471" t="s">
        <v>838</v>
      </c>
      <c r="N10" s="310"/>
      <c r="O10" s="471" t="s">
        <v>977</v>
      </c>
      <c r="P10" s="469"/>
    </row>
    <row r="11" spans="1:16" s="439" customFormat="1" ht="9.9499999999999993" customHeight="1" x14ac:dyDescent="0.2">
      <c r="A11" s="644" t="s">
        <v>603</v>
      </c>
      <c r="B11" s="418"/>
      <c r="C11" s="438"/>
      <c r="D11" s="418"/>
      <c r="E11" s="438"/>
      <c r="F11" s="418"/>
      <c r="G11" s="438"/>
      <c r="H11" s="418"/>
      <c r="I11" s="438"/>
      <c r="J11" s="418"/>
      <c r="K11" s="438"/>
      <c r="L11" s="418"/>
      <c r="M11" s="438"/>
      <c r="N11" s="418"/>
      <c r="O11" s="438"/>
    </row>
    <row r="12" spans="1:16" s="439" customFormat="1" ht="9.9499999999999993" customHeight="1" x14ac:dyDescent="0.2">
      <c r="A12" s="425" t="s">
        <v>386</v>
      </c>
      <c r="B12" s="418"/>
      <c r="C12" s="461">
        <v>184184</v>
      </c>
      <c r="D12" s="418"/>
      <c r="E12" s="461">
        <v>19458</v>
      </c>
      <c r="F12" s="418"/>
      <c r="G12" s="461">
        <v>14706</v>
      </c>
      <c r="H12" s="418"/>
      <c r="I12" s="461">
        <v>87352</v>
      </c>
      <c r="J12" s="418"/>
      <c r="K12" s="461">
        <v>146453</v>
      </c>
      <c r="L12" s="418"/>
      <c r="M12" s="1536">
        <v>28410</v>
      </c>
      <c r="N12" s="418"/>
      <c r="O12" s="461">
        <f>SUM(C12:M12)</f>
        <v>480563</v>
      </c>
    </row>
    <row r="13" spans="1:16" s="439" customFormat="1" ht="9.9499999999999993" customHeight="1" x14ac:dyDescent="0.2">
      <c r="A13" s="425" t="s">
        <v>387</v>
      </c>
      <c r="B13" s="418"/>
      <c r="C13" s="450">
        <v>-183572</v>
      </c>
      <c r="D13" s="418"/>
      <c r="E13" s="450">
        <v>-22685</v>
      </c>
      <c r="F13" s="418"/>
      <c r="G13" s="450">
        <v>-12807</v>
      </c>
      <c r="H13" s="418"/>
      <c r="I13" s="450">
        <v>-48529</v>
      </c>
      <c r="J13" s="418"/>
      <c r="K13" s="450">
        <v>-68754</v>
      </c>
      <c r="L13" s="418"/>
      <c r="M13" s="450">
        <v>-6686</v>
      </c>
      <c r="N13" s="418"/>
      <c r="O13" s="450">
        <f>SUM(C13:M13)</f>
        <v>-343033</v>
      </c>
    </row>
    <row r="14" spans="1:16" s="439" customFormat="1" ht="9.9499999999999993" customHeight="1" x14ac:dyDescent="0.2">
      <c r="A14" s="425" t="s">
        <v>388</v>
      </c>
      <c r="B14" s="418"/>
      <c r="C14" s="450">
        <v>-13106</v>
      </c>
      <c r="D14" s="418"/>
      <c r="E14" s="450">
        <v>-2461</v>
      </c>
      <c r="F14" s="418"/>
      <c r="G14" s="450">
        <v>-2311</v>
      </c>
      <c r="H14" s="418"/>
      <c r="I14" s="450">
        <v>-41822</v>
      </c>
      <c r="J14" s="418"/>
      <c r="K14" s="450">
        <v>-35950</v>
      </c>
      <c r="L14" s="418"/>
      <c r="M14" s="1541">
        <v>-21404</v>
      </c>
      <c r="N14" s="418"/>
      <c r="O14" s="450">
        <f>SUM(C14:M14)</f>
        <v>-117054</v>
      </c>
    </row>
    <row r="15" spans="1:16" s="439" customFormat="1" ht="9.9499999999999993" customHeight="1" x14ac:dyDescent="0.2">
      <c r="A15" s="425" t="s">
        <v>1274</v>
      </c>
      <c r="B15" s="418"/>
      <c r="C15" s="450">
        <v>19517</v>
      </c>
      <c r="D15" s="418"/>
      <c r="E15" s="450">
        <v>7</v>
      </c>
      <c r="F15" s="418"/>
      <c r="G15" s="450">
        <v>380</v>
      </c>
      <c r="H15" s="418"/>
      <c r="I15" s="450">
        <v>961</v>
      </c>
      <c r="J15" s="418"/>
      <c r="K15" s="450">
        <v>759</v>
      </c>
      <c r="L15" s="418"/>
      <c r="M15" s="1541">
        <v>9</v>
      </c>
      <c r="N15" s="418"/>
      <c r="O15" s="450">
        <f>SUM(C15:M15)</f>
        <v>21633</v>
      </c>
    </row>
    <row r="16" spans="1:16" s="439" customFormat="1" ht="5.0999999999999996" customHeight="1" x14ac:dyDescent="0.2">
      <c r="A16" s="418"/>
      <c r="B16" s="450"/>
      <c r="C16" s="452"/>
      <c r="D16" s="450"/>
      <c r="E16" s="452"/>
      <c r="F16" s="450"/>
      <c r="G16" s="452"/>
      <c r="H16" s="450"/>
      <c r="I16" s="452"/>
      <c r="J16" s="450"/>
      <c r="K16" s="452"/>
      <c r="L16" s="450"/>
      <c r="M16" s="452">
        <v>0</v>
      </c>
      <c r="N16" s="450"/>
      <c r="O16" s="452"/>
    </row>
    <row r="17" spans="1:15" s="439" customFormat="1" ht="11.1" customHeight="1" x14ac:dyDescent="0.2">
      <c r="A17" s="417" t="s">
        <v>1442</v>
      </c>
      <c r="B17" s="450"/>
      <c r="C17" s="455">
        <f>SUM(C12:C15)</f>
        <v>7023</v>
      </c>
      <c r="D17" s="450"/>
      <c r="E17" s="455">
        <f>SUM(E12:E15)</f>
        <v>-5681</v>
      </c>
      <c r="F17" s="450"/>
      <c r="G17" s="455">
        <f>SUM(G12:G15)</f>
        <v>-32</v>
      </c>
      <c r="H17" s="450"/>
      <c r="I17" s="455">
        <f>SUM(I12:I15)</f>
        <v>-2038</v>
      </c>
      <c r="J17" s="450"/>
      <c r="K17" s="455">
        <f>SUM(K12:K15)</f>
        <v>42508</v>
      </c>
      <c r="L17" s="450"/>
      <c r="M17" s="455">
        <f>SUM(M12:M15)</f>
        <v>329</v>
      </c>
      <c r="N17" s="450"/>
      <c r="O17" s="455">
        <f>SUM(O12:O15)</f>
        <v>42109</v>
      </c>
    </row>
    <row r="18" spans="1:15" s="439" customFormat="1" ht="5.0999999999999996" customHeight="1" x14ac:dyDescent="0.2">
      <c r="A18" s="418"/>
      <c r="B18" s="450"/>
      <c r="C18" s="450"/>
      <c r="D18" s="450"/>
      <c r="E18" s="450"/>
      <c r="F18" s="450"/>
      <c r="G18" s="450"/>
      <c r="H18" s="450"/>
      <c r="I18" s="450"/>
      <c r="J18" s="450"/>
      <c r="K18" s="450"/>
      <c r="L18" s="450"/>
      <c r="M18" s="450"/>
      <c r="N18" s="450"/>
      <c r="O18" s="450"/>
    </row>
    <row r="19" spans="1:15" s="439" customFormat="1" ht="9.9499999999999993" customHeight="1" x14ac:dyDescent="0.2">
      <c r="A19" s="644" t="s">
        <v>1020</v>
      </c>
      <c r="B19" s="450"/>
      <c r="C19" s="450"/>
      <c r="D19" s="450"/>
      <c r="E19" s="450"/>
      <c r="F19" s="450"/>
      <c r="G19" s="450"/>
      <c r="H19" s="450"/>
      <c r="I19" s="450"/>
      <c r="J19" s="450"/>
      <c r="K19" s="450"/>
      <c r="L19" s="450"/>
      <c r="M19" s="450"/>
      <c r="N19" s="450"/>
      <c r="O19" s="450"/>
    </row>
    <row r="20" spans="1:15" s="439" customFormat="1" ht="9.9499999999999993" customHeight="1" x14ac:dyDescent="0.2">
      <c r="A20" s="425" t="s">
        <v>390</v>
      </c>
      <c r="B20" s="450"/>
      <c r="C20" s="450"/>
      <c r="D20" s="450"/>
      <c r="E20" s="450">
        <v>7000</v>
      </c>
      <c r="F20" s="450"/>
      <c r="G20" s="450">
        <v>6080</v>
      </c>
      <c r="H20" s="450"/>
      <c r="I20" s="450">
        <v>765</v>
      </c>
      <c r="J20" s="450"/>
      <c r="K20" s="450">
        <v>11212</v>
      </c>
      <c r="L20" s="450"/>
      <c r="M20" s="450">
        <v>30</v>
      </c>
      <c r="N20" s="450"/>
      <c r="O20" s="450">
        <f>SUM(C20:M20)</f>
        <v>25087</v>
      </c>
    </row>
    <row r="21" spans="1:15" s="439" customFormat="1" ht="9.9499999999999993" customHeight="1" x14ac:dyDescent="0.2">
      <c r="A21" s="425" t="s">
        <v>391</v>
      </c>
      <c r="B21" s="450"/>
      <c r="C21" s="450">
        <v>-147</v>
      </c>
      <c r="D21" s="450"/>
      <c r="E21" s="450">
        <v>-80</v>
      </c>
      <c r="F21" s="450"/>
      <c r="G21" s="450">
        <v>-160</v>
      </c>
      <c r="H21" s="450"/>
      <c r="I21" s="450">
        <v>-474</v>
      </c>
      <c r="J21" s="450"/>
      <c r="K21" s="450">
        <v>-4428</v>
      </c>
      <c r="L21" s="450"/>
      <c r="M21" s="450">
        <v>-698</v>
      </c>
      <c r="N21" s="450"/>
      <c r="O21" s="450">
        <f>SUM(C21:M21)</f>
        <v>-5987</v>
      </c>
    </row>
    <row r="22" spans="1:15" s="439" customFormat="1" ht="9.9499999999999993" hidden="1" customHeight="1" x14ac:dyDescent="0.2">
      <c r="A22" s="425" t="s">
        <v>604</v>
      </c>
      <c r="B22" s="450"/>
      <c r="C22" s="450"/>
      <c r="D22" s="450"/>
      <c r="E22" s="450"/>
      <c r="F22" s="450"/>
      <c r="G22" s="450"/>
      <c r="H22" s="450"/>
      <c r="I22" s="450"/>
      <c r="J22" s="450"/>
      <c r="K22" s="450"/>
      <c r="L22" s="450"/>
      <c r="M22" s="450"/>
      <c r="N22" s="450"/>
      <c r="O22" s="450">
        <f>SUM(C22:M22)</f>
        <v>0</v>
      </c>
    </row>
    <row r="23" spans="1:15" s="439" customFormat="1" ht="9.9499999999999993" hidden="1" customHeight="1" x14ac:dyDescent="0.2">
      <c r="A23" s="425" t="s">
        <v>63</v>
      </c>
      <c r="B23" s="450"/>
      <c r="C23" s="450"/>
      <c r="D23" s="450"/>
      <c r="E23" s="450"/>
      <c r="F23" s="450"/>
      <c r="G23" s="450"/>
      <c r="H23" s="450"/>
      <c r="I23" s="450"/>
      <c r="J23" s="450"/>
      <c r="K23" s="450"/>
      <c r="L23" s="450"/>
      <c r="M23" s="450"/>
      <c r="N23" s="450"/>
      <c r="O23" s="450">
        <f>SUM(C23:M23)</f>
        <v>0</v>
      </c>
    </row>
    <row r="24" spans="1:15" s="439" customFormat="1" ht="9.9499999999999993" hidden="1" customHeight="1" x14ac:dyDescent="0.2">
      <c r="A24" s="418"/>
      <c r="B24" s="450"/>
      <c r="C24" s="450"/>
      <c r="D24" s="450"/>
      <c r="E24" s="450"/>
      <c r="F24" s="450"/>
      <c r="G24" s="450"/>
      <c r="H24" s="450"/>
      <c r="I24" s="450"/>
      <c r="J24" s="450"/>
      <c r="K24" s="450"/>
      <c r="L24" s="450"/>
      <c r="M24" s="1541"/>
      <c r="N24" s="450"/>
      <c r="O24" s="450">
        <f>SUM(C24:M24)</f>
        <v>0</v>
      </c>
    </row>
    <row r="25" spans="1:15" s="439" customFormat="1" ht="5.0999999999999996" customHeight="1" x14ac:dyDescent="0.2">
      <c r="A25" s="418"/>
      <c r="B25" s="450"/>
      <c r="C25" s="452"/>
      <c r="D25" s="450"/>
      <c r="E25" s="452"/>
      <c r="F25" s="450"/>
      <c r="G25" s="452"/>
      <c r="H25" s="450"/>
      <c r="I25" s="452"/>
      <c r="J25" s="450"/>
      <c r="K25" s="452"/>
      <c r="L25" s="450"/>
      <c r="M25" s="452"/>
      <c r="N25" s="450"/>
      <c r="O25" s="452"/>
    </row>
    <row r="26" spans="1:15" s="439" customFormat="1" ht="11.1" customHeight="1" x14ac:dyDescent="0.2">
      <c r="A26" s="417" t="s">
        <v>1019</v>
      </c>
      <c r="B26" s="450"/>
      <c r="C26" s="455">
        <f>SUM(C20:C24)</f>
        <v>-147</v>
      </c>
      <c r="D26" s="450"/>
      <c r="E26" s="455">
        <f>SUM(E20:E24)</f>
        <v>6920</v>
      </c>
      <c r="F26" s="450"/>
      <c r="G26" s="455">
        <f>SUM(G20:G24)</f>
        <v>5920</v>
      </c>
      <c r="H26" s="450"/>
      <c r="I26" s="455">
        <f>SUM(I20:I24)</f>
        <v>291</v>
      </c>
      <c r="J26" s="450"/>
      <c r="K26" s="455">
        <f>SUM(K20:K24)</f>
        <v>6784</v>
      </c>
      <c r="L26" s="450"/>
      <c r="M26" s="455">
        <f>SUM(M20:M24)</f>
        <v>-668</v>
      </c>
      <c r="N26" s="450"/>
      <c r="O26" s="455">
        <f>SUM(O20:O24)</f>
        <v>19100</v>
      </c>
    </row>
    <row r="27" spans="1:15" s="439" customFormat="1" ht="5.0999999999999996" customHeight="1" x14ac:dyDescent="0.2">
      <c r="A27" s="418"/>
      <c r="B27" s="450"/>
      <c r="C27" s="450"/>
      <c r="D27" s="450"/>
      <c r="E27" s="450"/>
      <c r="F27" s="450"/>
      <c r="G27" s="450"/>
      <c r="H27" s="450"/>
      <c r="I27" s="450"/>
      <c r="J27" s="450"/>
      <c r="K27" s="450"/>
      <c r="L27" s="450"/>
      <c r="M27" s="450"/>
      <c r="N27" s="450"/>
      <c r="O27" s="450"/>
    </row>
    <row r="28" spans="1:15" s="439" customFormat="1" ht="9.9499999999999993" customHeight="1" x14ac:dyDescent="0.2">
      <c r="A28" s="644" t="s">
        <v>605</v>
      </c>
      <c r="B28" s="450"/>
      <c r="C28" s="450"/>
      <c r="D28" s="450"/>
      <c r="E28" s="450"/>
      <c r="F28" s="450"/>
      <c r="G28" s="450"/>
      <c r="H28" s="450"/>
      <c r="I28" s="450"/>
      <c r="J28" s="450"/>
      <c r="K28" s="450"/>
      <c r="L28" s="450"/>
      <c r="M28" s="450"/>
      <c r="N28" s="450"/>
      <c r="O28" s="450"/>
    </row>
    <row r="29" spans="1:15" s="439" customFormat="1" ht="9.9499999999999993" customHeight="1" x14ac:dyDescent="0.2">
      <c r="A29" s="577" t="s">
        <v>396</v>
      </c>
      <c r="B29" s="450"/>
      <c r="C29" s="450"/>
      <c r="D29" s="450"/>
      <c r="E29" s="450"/>
      <c r="F29" s="450"/>
      <c r="G29" s="450"/>
      <c r="H29" s="450"/>
      <c r="I29" s="450">
        <v>-182</v>
      </c>
      <c r="J29" s="450"/>
      <c r="K29" s="450">
        <v>-59382</v>
      </c>
      <c r="L29" s="450"/>
      <c r="M29" s="450">
        <v>-136</v>
      </c>
      <c r="N29" s="450"/>
      <c r="O29" s="450">
        <f>SUM(C29:M29)</f>
        <v>-59700</v>
      </c>
    </row>
    <row r="30" spans="1:15" s="439" customFormat="1" ht="9.9499999999999993" hidden="1" customHeight="1" x14ac:dyDescent="0.2">
      <c r="A30" s="577" t="s">
        <v>406</v>
      </c>
      <c r="B30" s="450"/>
      <c r="C30" s="450"/>
      <c r="D30" s="450"/>
      <c r="E30" s="450"/>
      <c r="F30" s="450"/>
      <c r="G30" s="450"/>
      <c r="H30" s="450"/>
      <c r="I30" s="450"/>
      <c r="J30" s="450"/>
      <c r="K30" s="450"/>
      <c r="L30" s="450"/>
      <c r="M30" s="450"/>
      <c r="N30" s="450"/>
      <c r="O30" s="450">
        <f t="shared" ref="O30:O38" si="0">SUM(C30:M30)</f>
        <v>0</v>
      </c>
    </row>
    <row r="31" spans="1:15" s="439" customFormat="1" ht="9.9499999999999993" hidden="1" customHeight="1" x14ac:dyDescent="0.2">
      <c r="A31" s="577" t="s">
        <v>398</v>
      </c>
      <c r="B31" s="450"/>
      <c r="C31" s="450"/>
      <c r="D31" s="450"/>
      <c r="E31" s="450"/>
      <c r="F31" s="450"/>
      <c r="G31" s="450"/>
      <c r="H31" s="450"/>
      <c r="I31" s="450"/>
      <c r="J31" s="450"/>
      <c r="K31" s="450"/>
      <c r="L31" s="450"/>
      <c r="M31" s="450"/>
      <c r="N31" s="450"/>
      <c r="O31" s="450">
        <f t="shared" si="0"/>
        <v>0</v>
      </c>
    </row>
    <row r="32" spans="1:15" s="439" customFormat="1" ht="9.9499999999999993" customHeight="1" x14ac:dyDescent="0.2">
      <c r="A32" s="577" t="s">
        <v>347</v>
      </c>
      <c r="B32" s="450"/>
      <c r="C32" s="450"/>
      <c r="D32" s="450"/>
      <c r="E32" s="450"/>
      <c r="F32" s="450"/>
      <c r="G32" s="450"/>
      <c r="H32" s="450"/>
      <c r="I32" s="450"/>
      <c r="J32" s="450"/>
      <c r="K32" s="450">
        <v>-213</v>
      </c>
      <c r="L32" s="450"/>
      <c r="M32" s="450"/>
      <c r="N32" s="450"/>
      <c r="O32" s="450">
        <f t="shared" si="0"/>
        <v>-213</v>
      </c>
    </row>
    <row r="33" spans="1:15" s="439" customFormat="1" ht="9.9499999999999993" hidden="1" customHeight="1" x14ac:dyDescent="0.2">
      <c r="A33" s="577" t="s">
        <v>285</v>
      </c>
      <c r="B33" s="450"/>
      <c r="C33" s="450"/>
      <c r="D33" s="450"/>
      <c r="E33" s="450"/>
      <c r="F33" s="450"/>
      <c r="G33" s="450"/>
      <c r="H33" s="450"/>
      <c r="I33" s="450"/>
      <c r="J33" s="450"/>
      <c r="K33" s="450"/>
      <c r="L33" s="450"/>
      <c r="M33" s="450"/>
      <c r="N33" s="450"/>
      <c r="O33" s="450">
        <f t="shared" si="0"/>
        <v>0</v>
      </c>
    </row>
    <row r="34" spans="1:15" s="439" customFormat="1" ht="9.9499999999999993" customHeight="1" x14ac:dyDescent="0.2">
      <c r="A34" s="577" t="s">
        <v>1106</v>
      </c>
      <c r="B34" s="450"/>
      <c r="C34" s="450"/>
      <c r="D34" s="450"/>
      <c r="E34" s="450"/>
      <c r="F34" s="450"/>
      <c r="G34" s="450"/>
      <c r="H34" s="450"/>
      <c r="I34" s="450"/>
      <c r="J34" s="450"/>
      <c r="K34" s="450">
        <v>-213</v>
      </c>
      <c r="L34" s="450"/>
      <c r="M34" s="450"/>
      <c r="N34" s="450"/>
      <c r="O34" s="450">
        <f t="shared" si="0"/>
        <v>-213</v>
      </c>
    </row>
    <row r="35" spans="1:15" s="439" customFormat="1" ht="9.9499999999999993" hidden="1" customHeight="1" x14ac:dyDescent="0.2">
      <c r="A35" s="577" t="s">
        <v>284</v>
      </c>
      <c r="B35" s="450"/>
      <c r="C35" s="450"/>
      <c r="D35" s="450"/>
      <c r="E35" s="450"/>
      <c r="F35" s="450"/>
      <c r="G35" s="450"/>
      <c r="H35" s="450"/>
      <c r="I35" s="450"/>
      <c r="J35" s="450"/>
      <c r="K35" s="450"/>
      <c r="L35" s="450"/>
      <c r="M35" s="450"/>
      <c r="N35" s="450"/>
      <c r="O35" s="450">
        <f t="shared" si="0"/>
        <v>0</v>
      </c>
    </row>
    <row r="36" spans="1:15" s="439" customFormat="1" ht="9.9499999999999993" hidden="1" customHeight="1" x14ac:dyDescent="0.2">
      <c r="A36" s="577" t="s">
        <v>397</v>
      </c>
      <c r="B36" s="450"/>
      <c r="C36" s="450"/>
      <c r="D36" s="450"/>
      <c r="E36" s="450"/>
      <c r="F36" s="450"/>
      <c r="G36" s="450"/>
      <c r="H36" s="450"/>
      <c r="I36" s="450"/>
      <c r="J36" s="450"/>
      <c r="K36" s="450"/>
      <c r="L36" s="450"/>
      <c r="M36" s="450"/>
      <c r="N36" s="450"/>
      <c r="O36" s="450">
        <f t="shared" si="0"/>
        <v>0</v>
      </c>
    </row>
    <row r="37" spans="1:15" s="439" customFormat="1" ht="9.9499999999999993" hidden="1" customHeight="1" x14ac:dyDescent="0.2">
      <c r="A37" s="577" t="s">
        <v>348</v>
      </c>
      <c r="B37" s="450"/>
      <c r="C37" s="450"/>
      <c r="D37" s="450"/>
      <c r="E37" s="450"/>
      <c r="F37" s="450"/>
      <c r="G37" s="450"/>
      <c r="H37" s="450"/>
      <c r="I37" s="450"/>
      <c r="J37" s="450"/>
      <c r="K37" s="450"/>
      <c r="L37" s="450"/>
      <c r="M37" s="450"/>
      <c r="N37" s="450"/>
      <c r="O37" s="450">
        <f t="shared" si="0"/>
        <v>0</v>
      </c>
    </row>
    <row r="38" spans="1:15" s="439" customFormat="1" ht="9.9499999999999993" customHeight="1" x14ac:dyDescent="0.2">
      <c r="A38" s="577" t="s">
        <v>399</v>
      </c>
      <c r="B38" s="450"/>
      <c r="C38" s="450"/>
      <c r="D38" s="450"/>
      <c r="E38" s="450"/>
      <c r="F38" s="450"/>
      <c r="G38" s="450"/>
      <c r="H38" s="450"/>
      <c r="I38" s="450"/>
      <c r="J38" s="450"/>
      <c r="K38" s="450">
        <v>4500</v>
      </c>
      <c r="L38" s="450"/>
      <c r="M38" s="450"/>
      <c r="N38" s="450"/>
      <c r="O38" s="450">
        <f t="shared" si="0"/>
        <v>4500</v>
      </c>
    </row>
    <row r="39" spans="1:15" s="439" customFormat="1" ht="5.0999999999999996" customHeight="1" x14ac:dyDescent="0.2">
      <c r="A39" s="418"/>
      <c r="B39" s="450"/>
      <c r="C39" s="452"/>
      <c r="D39" s="450"/>
      <c r="E39" s="452"/>
      <c r="F39" s="450"/>
      <c r="G39" s="452"/>
      <c r="H39" s="450"/>
      <c r="I39" s="452"/>
      <c r="J39" s="450"/>
      <c r="K39" s="452"/>
      <c r="L39" s="450"/>
      <c r="M39" s="452"/>
      <c r="N39" s="450"/>
      <c r="O39" s="452"/>
    </row>
    <row r="40" spans="1:15" s="439" customFormat="1" ht="11.1" customHeight="1" x14ac:dyDescent="0.2">
      <c r="A40" s="644" t="s">
        <v>662</v>
      </c>
      <c r="B40" s="450"/>
      <c r="C40" s="455">
        <f>SUM(C29:C38)</f>
        <v>0</v>
      </c>
      <c r="D40" s="450"/>
      <c r="E40" s="455">
        <f>SUM(E29:E38)</f>
        <v>0</v>
      </c>
      <c r="F40" s="450"/>
      <c r="G40" s="455">
        <f>SUM(G29:G38)</f>
        <v>0</v>
      </c>
      <c r="H40" s="450"/>
      <c r="I40" s="455">
        <f>SUM(I29:I38)</f>
        <v>-182</v>
      </c>
      <c r="J40" s="450"/>
      <c r="K40" s="455">
        <f>SUM(K29:K38)</f>
        <v>-55308</v>
      </c>
      <c r="L40" s="450"/>
      <c r="M40" s="455">
        <f>SUM(M29:M38)</f>
        <v>-136</v>
      </c>
      <c r="N40" s="450"/>
      <c r="O40" s="455">
        <f>SUM(O29:O38)</f>
        <v>-55626</v>
      </c>
    </row>
    <row r="41" spans="1:15" s="439" customFormat="1" ht="5.0999999999999996" customHeight="1" x14ac:dyDescent="0.2">
      <c r="A41" s="418"/>
      <c r="B41" s="450"/>
      <c r="C41" s="450"/>
      <c r="D41" s="450"/>
      <c r="E41" s="450"/>
      <c r="F41" s="450"/>
      <c r="G41" s="450"/>
      <c r="H41" s="450"/>
      <c r="I41" s="450"/>
      <c r="J41" s="450"/>
      <c r="K41" s="450"/>
      <c r="L41" s="450"/>
      <c r="M41" s="450"/>
      <c r="N41" s="450"/>
      <c r="O41" s="450"/>
    </row>
    <row r="42" spans="1:15" s="439" customFormat="1" ht="9.9499999999999993" customHeight="1" x14ac:dyDescent="0.2">
      <c r="A42" s="644" t="s">
        <v>400</v>
      </c>
      <c r="B42" s="450"/>
      <c r="C42" s="450"/>
      <c r="D42" s="450"/>
      <c r="E42" s="450"/>
      <c r="F42" s="450"/>
      <c r="G42" s="450"/>
      <c r="H42" s="450"/>
      <c r="I42" s="450"/>
      <c r="J42" s="450"/>
      <c r="K42" s="450"/>
      <c r="L42" s="450"/>
      <c r="M42" s="450"/>
      <c r="N42" s="450"/>
      <c r="O42" s="450"/>
    </row>
    <row r="43" spans="1:15" s="439" customFormat="1" ht="9.9499999999999993" customHeight="1" x14ac:dyDescent="0.2">
      <c r="A43" s="425" t="s">
        <v>401</v>
      </c>
      <c r="B43" s="450"/>
      <c r="C43" s="450">
        <v>-17856</v>
      </c>
      <c r="D43" s="450"/>
      <c r="E43" s="450">
        <v>-18108</v>
      </c>
      <c r="F43" s="450"/>
      <c r="G43" s="450">
        <v>-21199</v>
      </c>
      <c r="H43" s="450"/>
      <c r="I43" s="450">
        <v>-4664</v>
      </c>
      <c r="J43" s="450"/>
      <c r="K43" s="450">
        <v>-68927</v>
      </c>
      <c r="L43" s="450"/>
      <c r="M43" s="1541">
        <v>-1129</v>
      </c>
      <c r="N43" s="450"/>
      <c r="O43" s="450">
        <f>SUM(C43:M43)</f>
        <v>-131883</v>
      </c>
    </row>
    <row r="44" spans="1:15" s="439" customFormat="1" ht="9.75" customHeight="1" x14ac:dyDescent="0.2">
      <c r="A44" s="425" t="s">
        <v>402</v>
      </c>
      <c r="B44" s="450"/>
      <c r="C44" s="450">
        <v>10903</v>
      </c>
      <c r="D44" s="450"/>
      <c r="E44" s="450">
        <v>15337</v>
      </c>
      <c r="F44" s="450"/>
      <c r="G44" s="450">
        <v>14754</v>
      </c>
      <c r="H44" s="450"/>
      <c r="I44" s="450">
        <v>5724</v>
      </c>
      <c r="J44" s="450"/>
      <c r="K44" s="450">
        <v>65854</v>
      </c>
      <c r="L44" s="450"/>
      <c r="M44" s="450">
        <v>1112</v>
      </c>
      <c r="N44" s="450"/>
      <c r="O44" s="450">
        <f>SUM(C44:M44)</f>
        <v>113684</v>
      </c>
    </row>
    <row r="45" spans="1:15" s="439" customFormat="1" ht="9.9499999999999993" customHeight="1" x14ac:dyDescent="0.2">
      <c r="A45" s="425" t="s">
        <v>774</v>
      </c>
      <c r="B45" s="450"/>
      <c r="C45" s="455">
        <v>1832</v>
      </c>
      <c r="D45" s="450"/>
      <c r="E45" s="455">
        <v>1896</v>
      </c>
      <c r="F45" s="450"/>
      <c r="G45" s="455">
        <v>2039</v>
      </c>
      <c r="H45" s="450"/>
      <c r="I45" s="455">
        <v>362</v>
      </c>
      <c r="J45" s="450"/>
      <c r="K45" s="455">
        <v>8279</v>
      </c>
      <c r="L45" s="450"/>
      <c r="M45" s="455">
        <v>22</v>
      </c>
      <c r="N45" s="450"/>
      <c r="O45" s="450">
        <f>SUM(C45:M45)</f>
        <v>14430</v>
      </c>
    </row>
    <row r="46" spans="1:15" s="439" customFormat="1" ht="5.0999999999999996" customHeight="1" x14ac:dyDescent="0.2">
      <c r="A46" s="418"/>
      <c r="B46" s="450"/>
      <c r="C46" s="450"/>
      <c r="D46" s="450"/>
      <c r="E46" s="450"/>
      <c r="F46" s="450"/>
      <c r="G46" s="450"/>
      <c r="H46" s="450"/>
      <c r="I46" s="450"/>
      <c r="J46" s="450"/>
      <c r="K46" s="450"/>
      <c r="L46" s="450"/>
      <c r="M46" s="450"/>
      <c r="N46" s="450"/>
      <c r="O46" s="452"/>
    </row>
    <row r="47" spans="1:15" s="439" customFormat="1" ht="11.1" customHeight="1" x14ac:dyDescent="0.2">
      <c r="A47" s="644" t="s">
        <v>1556</v>
      </c>
      <c r="B47" s="450"/>
      <c r="C47" s="455">
        <f>SUM(C43:C45)</f>
        <v>-5121</v>
      </c>
      <c r="D47" s="450"/>
      <c r="E47" s="455">
        <f>SUM(E43:E45)</f>
        <v>-875</v>
      </c>
      <c r="F47" s="450"/>
      <c r="G47" s="455">
        <f>SUM(G43:G45)</f>
        <v>-4406</v>
      </c>
      <c r="H47" s="450"/>
      <c r="I47" s="455">
        <f>SUM(I43:I45)</f>
        <v>1422</v>
      </c>
      <c r="J47" s="450"/>
      <c r="K47" s="455">
        <f>SUM(K43:K45)</f>
        <v>5206</v>
      </c>
      <c r="L47" s="450"/>
      <c r="M47" s="455">
        <f>SUM(M43:M45)</f>
        <v>5</v>
      </c>
      <c r="N47" s="450"/>
      <c r="O47" s="455">
        <f>SUM(O43:O45)</f>
        <v>-3769</v>
      </c>
    </row>
    <row r="48" spans="1:15" s="439" customFormat="1" ht="5.0999999999999996" customHeight="1" x14ac:dyDescent="0.2">
      <c r="A48" s="418"/>
      <c r="B48" s="450"/>
      <c r="C48" s="450"/>
      <c r="D48" s="450"/>
      <c r="E48" s="450"/>
      <c r="F48" s="450"/>
      <c r="G48" s="450"/>
      <c r="H48" s="450"/>
      <c r="I48" s="450"/>
      <c r="J48" s="450"/>
      <c r="K48" s="450"/>
      <c r="L48" s="450"/>
      <c r="M48" s="450"/>
      <c r="N48" s="450"/>
      <c r="O48" s="450"/>
    </row>
    <row r="49" spans="1:16" s="439" customFormat="1" ht="9.9499999999999993" customHeight="1" x14ac:dyDescent="0.2">
      <c r="A49" s="644" t="s">
        <v>1549</v>
      </c>
      <c r="B49" s="450"/>
      <c r="C49" s="450">
        <f>SUM(C47+C40+C26+C17)</f>
        <v>1755</v>
      </c>
      <c r="D49" s="450"/>
      <c r="E49" s="450">
        <f>SUM(E47+E40+E26+E17)</f>
        <v>364</v>
      </c>
      <c r="F49" s="450"/>
      <c r="G49" s="450">
        <f>SUM(G47+G40+G26+G17)</f>
        <v>1482</v>
      </c>
      <c r="H49" s="450"/>
      <c r="I49" s="450">
        <f>SUM(I47+I40+I26+I17)</f>
        <v>-507</v>
      </c>
      <c r="J49" s="450"/>
      <c r="K49" s="450">
        <f>SUM(K47+K40+K26+K17)</f>
        <v>-810</v>
      </c>
      <c r="L49" s="450"/>
      <c r="M49" s="450">
        <f>SUM(M47+M40+M26+M17)</f>
        <v>-470</v>
      </c>
      <c r="N49" s="450"/>
      <c r="O49" s="450">
        <f>SUM(O47+O40+O26+O17)</f>
        <v>1814</v>
      </c>
    </row>
    <row r="50" spans="1:16" s="439" customFormat="1" ht="5.0999999999999996" customHeight="1" x14ac:dyDescent="0.2">
      <c r="A50" s="418"/>
      <c r="B50" s="450"/>
      <c r="C50" s="450"/>
      <c r="D50" s="450"/>
      <c r="E50" s="450"/>
      <c r="F50" s="450"/>
      <c r="G50" s="450"/>
      <c r="H50" s="450"/>
      <c r="I50" s="450"/>
      <c r="J50" s="450"/>
      <c r="K50" s="450"/>
      <c r="L50" s="450"/>
      <c r="M50" s="450"/>
      <c r="N50" s="450"/>
      <c r="O50" s="450"/>
    </row>
    <row r="51" spans="1:16" s="439" customFormat="1" ht="9.9499999999999993" customHeight="1" x14ac:dyDescent="0.2">
      <c r="A51" s="398" t="s">
        <v>403</v>
      </c>
      <c r="B51" s="450"/>
      <c r="C51" s="455">
        <v>6274</v>
      </c>
      <c r="D51" s="450"/>
      <c r="E51" s="455">
        <v>7710</v>
      </c>
      <c r="F51" s="450"/>
      <c r="G51" s="455">
        <v>7962</v>
      </c>
      <c r="H51" s="450"/>
      <c r="I51" s="455">
        <v>2543</v>
      </c>
      <c r="J51" s="450"/>
      <c r="K51" s="455">
        <v>31977</v>
      </c>
      <c r="L51" s="450"/>
      <c r="M51" s="455">
        <v>688</v>
      </c>
      <c r="N51" s="450"/>
      <c r="O51" s="455">
        <f>SUM(C51:M51)</f>
        <v>57154</v>
      </c>
    </row>
    <row r="52" spans="1:16" s="439" customFormat="1" ht="5.0999999999999996" customHeight="1" x14ac:dyDescent="0.2">
      <c r="A52" s="418"/>
      <c r="B52" s="450"/>
      <c r="C52" s="450"/>
      <c r="D52" s="450"/>
      <c r="E52" s="450"/>
      <c r="F52" s="450"/>
      <c r="G52" s="450"/>
      <c r="H52" s="450"/>
      <c r="I52" s="450"/>
      <c r="J52" s="450"/>
      <c r="K52" s="450"/>
      <c r="L52" s="450"/>
      <c r="M52" s="450"/>
      <c r="N52" s="450"/>
      <c r="O52" s="450"/>
    </row>
    <row r="53" spans="1:16" s="439" customFormat="1" ht="9.9499999999999993" customHeight="1" thickBot="1" x14ac:dyDescent="0.25">
      <c r="A53" s="644" t="s">
        <v>405</v>
      </c>
      <c r="B53" s="450"/>
      <c r="C53" s="453">
        <f>SUM(C49:C51)</f>
        <v>8029</v>
      </c>
      <c r="D53" s="450"/>
      <c r="E53" s="453">
        <f>SUM(E49:E51)</f>
        <v>8074</v>
      </c>
      <c r="F53" s="450"/>
      <c r="G53" s="453">
        <f>SUM(G49:G51)</f>
        <v>9444</v>
      </c>
      <c r="H53" s="450"/>
      <c r="I53" s="453">
        <f>SUM(I49:I51)</f>
        <v>2036</v>
      </c>
      <c r="J53" s="450"/>
      <c r="K53" s="453">
        <f>SUM(K49:K51)</f>
        <v>31167</v>
      </c>
      <c r="L53" s="450"/>
      <c r="M53" s="453">
        <f>SUM(M49:M51)</f>
        <v>218</v>
      </c>
      <c r="N53" s="450"/>
      <c r="O53" s="453">
        <f>SUM(O49:O51)</f>
        <v>58968</v>
      </c>
    </row>
    <row r="54" spans="1:16" s="439" customFormat="1" ht="5.0999999999999996" customHeight="1" thickTop="1" x14ac:dyDescent="0.2">
      <c r="A54" s="418"/>
      <c r="B54" s="450"/>
      <c r="C54" s="438"/>
      <c r="D54" s="450"/>
      <c r="E54" s="438"/>
      <c r="F54" s="450"/>
      <c r="G54" s="438"/>
      <c r="H54" s="450"/>
      <c r="I54" s="438"/>
      <c r="J54" s="450"/>
      <c r="K54" s="438"/>
      <c r="L54" s="450"/>
      <c r="M54" s="438"/>
      <c r="N54" s="450"/>
      <c r="O54" s="438"/>
    </row>
    <row r="55" spans="1:16" s="439" customFormat="1" ht="9.9499999999999993" customHeight="1" x14ac:dyDescent="0.2">
      <c r="A55" s="644" t="s">
        <v>566</v>
      </c>
      <c r="B55" s="450"/>
      <c r="C55" s="450"/>
      <c r="D55" s="450"/>
      <c r="E55" s="450"/>
      <c r="F55" s="450"/>
      <c r="G55" s="450"/>
      <c r="H55" s="450"/>
      <c r="I55" s="450"/>
      <c r="J55" s="450"/>
      <c r="K55" s="450"/>
      <c r="L55" s="450"/>
      <c r="M55" s="450"/>
      <c r="N55" s="450"/>
      <c r="O55" s="450"/>
    </row>
    <row r="56" spans="1:16" s="439" customFormat="1" ht="9.9499999999999993" customHeight="1" x14ac:dyDescent="0.2">
      <c r="A56" s="428" t="s">
        <v>1557</v>
      </c>
      <c r="B56" s="450"/>
      <c r="C56" s="450"/>
      <c r="D56" s="450"/>
      <c r="E56" s="450"/>
      <c r="F56" s="450"/>
      <c r="G56" s="450"/>
      <c r="H56" s="450"/>
      <c r="I56" s="450"/>
      <c r="J56" s="450"/>
      <c r="K56" s="450"/>
      <c r="L56" s="450"/>
      <c r="M56" s="450"/>
      <c r="N56" s="450"/>
      <c r="O56" s="450"/>
    </row>
    <row r="57" spans="1:16" s="439" customFormat="1" ht="9.75" customHeight="1" x14ac:dyDescent="0.2">
      <c r="A57" s="426" t="s">
        <v>380</v>
      </c>
      <c r="B57" s="418"/>
      <c r="C57" s="461">
        <f>'ISF-SOREC'!C28</f>
        <v>-15486</v>
      </c>
      <c r="D57" s="418"/>
      <c r="E57" s="461">
        <f>'ISF-SOREC'!E28</f>
        <v>-10168</v>
      </c>
      <c r="F57" s="418"/>
      <c r="G57" s="461">
        <f>'ISF-SOREC'!G28</f>
        <v>-2171</v>
      </c>
      <c r="H57" s="418"/>
      <c r="I57" s="461">
        <f>'ISF-SOREC'!I28</f>
        <v>-1079</v>
      </c>
      <c r="J57" s="418"/>
      <c r="K57" s="461">
        <f>'ISF-SOREC'!K28</f>
        <v>-2102</v>
      </c>
      <c r="L57" s="418"/>
      <c r="M57" s="461">
        <f>'ISF-SOREC'!M28</f>
        <v>1044</v>
      </c>
      <c r="N57" s="418"/>
      <c r="O57" s="346">
        <f>SUM(C57:M57)</f>
        <v>-29962</v>
      </c>
    </row>
    <row r="58" spans="1:16" s="439" customFormat="1" ht="9.9499999999999993" customHeight="1" x14ac:dyDescent="0.2">
      <c r="A58" s="750" t="s">
        <v>1104</v>
      </c>
      <c r="B58" s="418"/>
      <c r="C58" s="450"/>
      <c r="D58" s="418"/>
      <c r="E58" s="450"/>
      <c r="F58" s="418"/>
      <c r="G58" s="450"/>
      <c r="H58" s="418"/>
      <c r="I58" s="450"/>
      <c r="J58" s="418"/>
      <c r="K58" s="450"/>
      <c r="L58" s="418"/>
      <c r="M58" s="450"/>
      <c r="N58" s="418"/>
      <c r="O58" s="450">
        <f>SUM(C58:M58)</f>
        <v>0</v>
      </c>
      <c r="P58" s="786"/>
    </row>
    <row r="59" spans="1:16" s="786" customFormat="1" ht="9.9499999999999993" customHeight="1" x14ac:dyDescent="0.2">
      <c r="A59" s="1137" t="s">
        <v>1498</v>
      </c>
      <c r="B59" s="785"/>
      <c r="C59" s="1388"/>
      <c r="D59" s="785"/>
      <c r="E59" s="1388"/>
      <c r="F59" s="785"/>
      <c r="G59" s="1388"/>
      <c r="H59" s="785"/>
      <c r="I59" s="1388"/>
      <c r="J59" s="785"/>
      <c r="K59" s="1388"/>
      <c r="L59" s="785"/>
      <c r="M59" s="1388"/>
      <c r="N59" s="785"/>
      <c r="O59" s="450">
        <f>SUM(C59:M59)</f>
        <v>0</v>
      </c>
      <c r="P59" s="439"/>
    </row>
    <row r="60" spans="1:16" s="439" customFormat="1" ht="9.9499999999999993" customHeight="1" x14ac:dyDescent="0.2">
      <c r="A60" s="429" t="s">
        <v>378</v>
      </c>
      <c r="B60" s="418"/>
      <c r="C60" s="450">
        <v>0</v>
      </c>
      <c r="D60" s="418"/>
      <c r="E60" s="450">
        <v>0</v>
      </c>
      <c r="F60" s="418"/>
      <c r="G60" s="450">
        <v>10</v>
      </c>
      <c r="H60" s="418"/>
      <c r="I60" s="450">
        <v>47</v>
      </c>
      <c r="J60" s="418"/>
      <c r="K60" s="450">
        <v>37478</v>
      </c>
      <c r="L60" s="418"/>
      <c r="M60" s="450">
        <v>47</v>
      </c>
      <c r="N60" s="418"/>
      <c r="O60" s="450">
        <f t="shared" ref="O60:O88" si="1">SUM(C60:M60)</f>
        <v>37582</v>
      </c>
    </row>
    <row r="61" spans="1:16" s="439" customFormat="1" ht="9.9499999999999993" customHeight="1" x14ac:dyDescent="0.2">
      <c r="A61" s="429" t="s">
        <v>389</v>
      </c>
      <c r="B61" s="418"/>
      <c r="C61" s="450">
        <v>19517</v>
      </c>
      <c r="D61" s="418"/>
      <c r="E61" s="450">
        <v>7</v>
      </c>
      <c r="F61" s="418"/>
      <c r="G61" s="1216">
        <v>380</v>
      </c>
      <c r="H61" s="418"/>
      <c r="I61" s="450">
        <v>960</v>
      </c>
      <c r="J61" s="418"/>
      <c r="K61" s="450">
        <v>759</v>
      </c>
      <c r="L61" s="418"/>
      <c r="M61" s="450">
        <v>9</v>
      </c>
      <c r="N61" s="418"/>
      <c r="O61" s="450">
        <f t="shared" si="1"/>
        <v>21632</v>
      </c>
    </row>
    <row r="62" spans="1:16" s="439" customFormat="1" ht="9.9499999999999993" customHeight="1" x14ac:dyDescent="0.2">
      <c r="A62" s="429" t="s">
        <v>1787</v>
      </c>
      <c r="B62" s="418"/>
      <c r="C62" s="450"/>
      <c r="D62" s="418"/>
      <c r="E62" s="450">
        <v>-24</v>
      </c>
      <c r="F62" s="418"/>
      <c r="G62" s="1216"/>
      <c r="H62" s="418"/>
      <c r="I62" s="450"/>
      <c r="J62" s="418"/>
      <c r="K62" s="450"/>
      <c r="L62" s="418"/>
      <c r="M62" s="450"/>
      <c r="N62" s="418"/>
      <c r="O62" s="450">
        <f t="shared" si="1"/>
        <v>-24</v>
      </c>
    </row>
    <row r="63" spans="1:16" s="439" customFormat="1" ht="9.75" customHeight="1" x14ac:dyDescent="0.2">
      <c r="A63" s="1136" t="s">
        <v>1336</v>
      </c>
      <c r="B63" s="418"/>
      <c r="C63" s="450"/>
      <c r="D63" s="418"/>
      <c r="E63" s="450"/>
      <c r="F63" s="418"/>
      <c r="G63" s="1216"/>
      <c r="H63" s="418"/>
      <c r="I63" s="450"/>
      <c r="J63" s="418"/>
      <c r="K63" s="450"/>
      <c r="L63" s="418"/>
      <c r="M63" s="450"/>
      <c r="N63" s="418"/>
      <c r="O63" s="450">
        <f t="shared" si="1"/>
        <v>0</v>
      </c>
    </row>
    <row r="64" spans="1:16" s="439" customFormat="1" ht="9.75" customHeight="1" x14ac:dyDescent="0.2">
      <c r="A64" s="1136" t="s">
        <v>1331</v>
      </c>
      <c r="B64" s="418"/>
      <c r="C64" s="450"/>
      <c r="D64" s="418"/>
      <c r="E64" s="450"/>
      <c r="F64" s="418"/>
      <c r="G64" s="1216"/>
      <c r="H64" s="418"/>
      <c r="I64" s="450"/>
      <c r="J64" s="418"/>
      <c r="K64" s="450"/>
      <c r="L64" s="418"/>
      <c r="M64" s="450"/>
      <c r="N64" s="418"/>
      <c r="O64" s="450"/>
    </row>
    <row r="65" spans="1:15" s="439" customFormat="1" ht="9.9499999999999993" customHeight="1" x14ac:dyDescent="0.2">
      <c r="A65" s="1138" t="s">
        <v>479</v>
      </c>
      <c r="B65" s="418"/>
      <c r="C65" s="450">
        <v>-8</v>
      </c>
      <c r="D65" s="418"/>
      <c r="E65" s="450"/>
      <c r="F65" s="418"/>
      <c r="G65" s="1216">
        <v>-54</v>
      </c>
      <c r="H65" s="418"/>
      <c r="I65" s="450">
        <v>260</v>
      </c>
      <c r="J65" s="418"/>
      <c r="K65" s="450">
        <v>-112</v>
      </c>
      <c r="L65" s="418"/>
      <c r="M65" s="450"/>
      <c r="N65" s="418"/>
      <c r="O65" s="450">
        <f t="shared" si="1"/>
        <v>86</v>
      </c>
    </row>
    <row r="66" spans="1:15" s="439" customFormat="1" ht="9.9499999999999993" customHeight="1" x14ac:dyDescent="0.2">
      <c r="A66" s="1138" t="s">
        <v>1776</v>
      </c>
      <c r="B66" s="418"/>
      <c r="C66" s="450"/>
      <c r="D66" s="418"/>
      <c r="E66" s="1216"/>
      <c r="F66" s="418"/>
      <c r="G66" s="1216"/>
      <c r="H66" s="418"/>
      <c r="I66" s="450">
        <v>136</v>
      </c>
      <c r="J66" s="418"/>
      <c r="K66" s="450">
        <v>138</v>
      </c>
      <c r="L66" s="418"/>
      <c r="M66" s="450"/>
      <c r="N66" s="418"/>
      <c r="O66" s="450">
        <f t="shared" si="1"/>
        <v>274</v>
      </c>
    </row>
    <row r="67" spans="1:15" s="439" customFormat="1" ht="9.9499999999999993" customHeight="1" x14ac:dyDescent="0.2">
      <c r="A67" s="1138" t="s">
        <v>1446</v>
      </c>
      <c r="B67" s="418"/>
      <c r="C67" s="450"/>
      <c r="D67" s="418"/>
      <c r="E67" s="1216"/>
      <c r="F67" s="418"/>
      <c r="G67" s="1216"/>
      <c r="H67" s="418"/>
      <c r="I67" s="450">
        <v>-19</v>
      </c>
      <c r="J67" s="418"/>
      <c r="K67" s="450">
        <v>-56</v>
      </c>
      <c r="L67" s="418"/>
      <c r="M67" s="450"/>
      <c r="N67" s="418"/>
      <c r="O67" s="450">
        <f t="shared" si="1"/>
        <v>-75</v>
      </c>
    </row>
    <row r="68" spans="1:15" s="439" customFormat="1" ht="9.9499999999999993" customHeight="1" x14ac:dyDescent="0.2">
      <c r="A68" s="1138" t="s">
        <v>1447</v>
      </c>
      <c r="B68" s="418"/>
      <c r="C68" s="450"/>
      <c r="D68" s="418"/>
      <c r="E68" s="1216"/>
      <c r="F68" s="418"/>
      <c r="G68" s="1216"/>
      <c r="H68" s="418"/>
      <c r="I68" s="450">
        <v>-258</v>
      </c>
      <c r="J68" s="418"/>
      <c r="K68" s="450">
        <v>802</v>
      </c>
      <c r="L68" s="418"/>
      <c r="M68" s="450"/>
      <c r="N68" s="418"/>
      <c r="O68" s="450">
        <f t="shared" si="1"/>
        <v>544</v>
      </c>
    </row>
    <row r="69" spans="1:15" s="439" customFormat="1" ht="9.9499999999999993" customHeight="1" x14ac:dyDescent="0.2">
      <c r="A69" s="1138" t="s">
        <v>1443</v>
      </c>
      <c r="B69" s="418"/>
      <c r="C69" s="450"/>
      <c r="D69" s="418"/>
      <c r="E69" s="1216">
        <v>1493</v>
      </c>
      <c r="F69" s="418"/>
      <c r="G69" s="1216"/>
      <c r="H69" s="418"/>
      <c r="I69" s="450">
        <v>-1295</v>
      </c>
      <c r="J69" s="418"/>
      <c r="K69" s="450"/>
      <c r="L69" s="418"/>
      <c r="M69" s="450">
        <v>-4</v>
      </c>
      <c r="N69" s="418"/>
      <c r="O69" s="450">
        <f t="shared" si="1"/>
        <v>194</v>
      </c>
    </row>
    <row r="70" spans="1:15" s="439" customFormat="1" ht="9.9499999999999993" hidden="1" customHeight="1" x14ac:dyDescent="0.2">
      <c r="A70" s="1138" t="s">
        <v>1667</v>
      </c>
      <c r="B70" s="418"/>
      <c r="C70" s="450"/>
      <c r="D70" s="418"/>
      <c r="E70" s="1216"/>
      <c r="F70" s="418"/>
      <c r="G70" s="1216"/>
      <c r="H70" s="418"/>
      <c r="I70" s="450"/>
      <c r="J70" s="418"/>
      <c r="K70" s="450"/>
      <c r="L70" s="418"/>
      <c r="M70" s="450"/>
      <c r="N70" s="418"/>
      <c r="O70" s="450">
        <f t="shared" si="1"/>
        <v>0</v>
      </c>
    </row>
    <row r="71" spans="1:15" s="439" customFormat="1" ht="9.9499999999999993" customHeight="1" x14ac:dyDescent="0.2">
      <c r="A71" s="1138" t="s">
        <v>710</v>
      </c>
      <c r="B71" s="418"/>
      <c r="C71" s="450">
        <v>1165</v>
      </c>
      <c r="D71" s="418"/>
      <c r="E71" s="1216">
        <v>954</v>
      </c>
      <c r="F71" s="418"/>
      <c r="G71" s="1216">
        <v>-288</v>
      </c>
      <c r="H71" s="418"/>
      <c r="I71" s="450">
        <v>-547</v>
      </c>
      <c r="J71" s="418"/>
      <c r="K71" s="450">
        <v>2324</v>
      </c>
      <c r="L71" s="418"/>
      <c r="M71" s="450">
        <v>-33</v>
      </c>
      <c r="N71" s="418"/>
      <c r="O71" s="450">
        <f t="shared" si="1"/>
        <v>3575</v>
      </c>
    </row>
    <row r="72" spans="1:15" s="439" customFormat="1" ht="9.9499999999999993" customHeight="1" x14ac:dyDescent="0.2">
      <c r="A72" s="1138" t="s">
        <v>1548</v>
      </c>
      <c r="B72" s="418"/>
      <c r="C72" s="450">
        <v>2382</v>
      </c>
      <c r="D72" s="418"/>
      <c r="E72" s="1216">
        <v>2118</v>
      </c>
      <c r="F72" s="418"/>
      <c r="G72" s="1216">
        <v>2129</v>
      </c>
      <c r="H72" s="418"/>
      <c r="I72" s="450"/>
      <c r="J72" s="418"/>
      <c r="K72" s="450"/>
      <c r="L72" s="418"/>
      <c r="M72" s="450"/>
      <c r="N72" s="418"/>
      <c r="O72" s="450">
        <f t="shared" si="1"/>
        <v>6629</v>
      </c>
    </row>
    <row r="73" spans="1:15" s="439" customFormat="1" ht="9.9499999999999993" customHeight="1" x14ac:dyDescent="0.2">
      <c r="A73" s="1138" t="s">
        <v>635</v>
      </c>
      <c r="B73" s="418"/>
      <c r="C73" s="450">
        <v>-149</v>
      </c>
      <c r="D73" s="418"/>
      <c r="E73" s="1216">
        <v>-77</v>
      </c>
      <c r="F73" s="418"/>
      <c r="G73" s="1216">
        <v>90</v>
      </c>
      <c r="H73" s="418"/>
      <c r="I73" s="450">
        <v>86</v>
      </c>
      <c r="J73" s="418"/>
      <c r="K73" s="450">
        <v>-306</v>
      </c>
      <c r="L73" s="418"/>
      <c r="M73" s="450">
        <v>-282</v>
      </c>
      <c r="N73" s="418"/>
      <c r="O73" s="450">
        <f t="shared" si="1"/>
        <v>-638</v>
      </c>
    </row>
    <row r="74" spans="1:15" s="439" customFormat="1" ht="9.9499999999999993" customHeight="1" x14ac:dyDescent="0.2">
      <c r="A74" s="1138" t="s">
        <v>1745</v>
      </c>
      <c r="B74" s="418"/>
      <c r="C74" s="450">
        <v>-5</v>
      </c>
      <c r="D74" s="418"/>
      <c r="E74" s="1216">
        <v>14</v>
      </c>
      <c r="F74" s="418"/>
      <c r="G74" s="1216">
        <v>11</v>
      </c>
      <c r="H74" s="418"/>
      <c r="I74" s="450">
        <v>208</v>
      </c>
      <c r="J74" s="418"/>
      <c r="K74" s="450">
        <v>229</v>
      </c>
      <c r="L74" s="418"/>
      <c r="M74" s="450">
        <v>83</v>
      </c>
      <c r="N74" s="418"/>
      <c r="O74" s="450">
        <f t="shared" si="1"/>
        <v>540</v>
      </c>
    </row>
    <row r="75" spans="1:15" s="439" customFormat="1" ht="9.9499999999999993" customHeight="1" x14ac:dyDescent="0.2">
      <c r="A75" s="1138" t="s">
        <v>1767</v>
      </c>
      <c r="B75" s="418"/>
      <c r="C75" s="450">
        <v>26</v>
      </c>
      <c r="D75" s="418"/>
      <c r="E75" s="1216">
        <v>5</v>
      </c>
      <c r="F75" s="418"/>
      <c r="G75" s="1216">
        <v>7</v>
      </c>
      <c r="H75" s="418"/>
      <c r="I75" s="450">
        <v>26</v>
      </c>
      <c r="J75" s="418"/>
      <c r="K75" s="450">
        <v>229</v>
      </c>
      <c r="L75" s="418"/>
      <c r="M75" s="450">
        <v>24</v>
      </c>
      <c r="N75" s="418"/>
      <c r="O75" s="450">
        <f t="shared" si="1"/>
        <v>317</v>
      </c>
    </row>
    <row r="76" spans="1:15" s="439" customFormat="1" ht="9.9499999999999993" hidden="1" customHeight="1" x14ac:dyDescent="0.2">
      <c r="A76" s="1138" t="s">
        <v>1255</v>
      </c>
      <c r="B76" s="418"/>
      <c r="C76" s="450"/>
      <c r="D76" s="418"/>
      <c r="E76" s="1216"/>
      <c r="F76" s="418"/>
      <c r="G76" s="1216"/>
      <c r="H76" s="418"/>
      <c r="I76" s="450"/>
      <c r="J76" s="418"/>
      <c r="K76" s="450"/>
      <c r="L76" s="418"/>
      <c r="M76" s="450"/>
      <c r="N76" s="418"/>
      <c r="O76" s="450">
        <f t="shared" si="1"/>
        <v>0</v>
      </c>
    </row>
    <row r="77" spans="1:15" s="439" customFormat="1" ht="9.9499999999999993" customHeight="1" x14ac:dyDescent="0.2">
      <c r="A77" s="1138" t="s">
        <v>1765</v>
      </c>
      <c r="B77" s="418"/>
      <c r="C77" s="450">
        <v>-681</v>
      </c>
      <c r="D77" s="418"/>
      <c r="E77" s="1216">
        <v>-253</v>
      </c>
      <c r="F77" s="418"/>
      <c r="G77" s="1216">
        <v>-380</v>
      </c>
      <c r="H77" s="418"/>
      <c r="I77" s="450">
        <v>-4514</v>
      </c>
      <c r="J77" s="418"/>
      <c r="K77" s="450">
        <v>221</v>
      </c>
      <c r="L77" s="418"/>
      <c r="M77" s="450">
        <v>-2670</v>
      </c>
      <c r="N77" s="418"/>
      <c r="O77" s="450">
        <f t="shared" si="1"/>
        <v>-8277</v>
      </c>
    </row>
    <row r="78" spans="1:15" s="439" customFormat="1" ht="9.9499999999999993" customHeight="1" x14ac:dyDescent="0.2">
      <c r="A78" s="1138" t="s">
        <v>1554</v>
      </c>
      <c r="B78" s="418"/>
      <c r="C78" s="450"/>
      <c r="D78" s="418"/>
      <c r="E78" s="1216"/>
      <c r="F78" s="418"/>
      <c r="G78" s="1216"/>
      <c r="H78" s="418"/>
      <c r="I78" s="450"/>
      <c r="J78" s="418"/>
      <c r="K78" s="450">
        <v>-17</v>
      </c>
      <c r="L78" s="418"/>
      <c r="M78" s="450"/>
      <c r="N78" s="418"/>
      <c r="O78" s="450">
        <f t="shared" si="1"/>
        <v>-17</v>
      </c>
    </row>
    <row r="79" spans="1:15" s="439" customFormat="1" ht="9.9499999999999993" hidden="1" customHeight="1" x14ac:dyDescent="0.2">
      <c r="A79" s="1138" t="s">
        <v>1555</v>
      </c>
      <c r="B79" s="418"/>
      <c r="C79" s="450"/>
      <c r="E79" s="1356"/>
      <c r="G79" s="1356"/>
      <c r="H79" s="418"/>
      <c r="I79" s="450"/>
      <c r="J79" s="418"/>
      <c r="K79" s="450"/>
      <c r="L79" s="418"/>
      <c r="M79" s="450"/>
      <c r="N79" s="418"/>
      <c r="O79" s="450">
        <f t="shared" si="1"/>
        <v>0</v>
      </c>
    </row>
    <row r="80" spans="1:15" s="439" customFormat="1" ht="9.9499999999999993" customHeight="1" x14ac:dyDescent="0.2">
      <c r="A80" s="1138" t="s">
        <v>1594</v>
      </c>
      <c r="B80" s="418"/>
      <c r="C80" s="450"/>
      <c r="D80" s="418"/>
      <c r="E80" s="1216"/>
      <c r="F80" s="418"/>
      <c r="G80" s="1216"/>
      <c r="I80" s="450"/>
      <c r="K80" s="450"/>
      <c r="M80" s="450"/>
      <c r="O80" s="450">
        <f t="shared" si="1"/>
        <v>0</v>
      </c>
    </row>
    <row r="81" spans="1:16" s="439" customFormat="1" ht="9.9499999999999993" customHeight="1" x14ac:dyDescent="0.2">
      <c r="A81" s="1381" t="s">
        <v>1490</v>
      </c>
      <c r="B81" s="418"/>
      <c r="C81" s="450">
        <v>308</v>
      </c>
      <c r="D81" s="418"/>
      <c r="E81" s="1216">
        <v>304</v>
      </c>
      <c r="F81" s="418"/>
      <c r="G81" s="1216">
        <v>277</v>
      </c>
      <c r="I81" s="450">
        <v>4830</v>
      </c>
      <c r="K81" s="450">
        <v>3721</v>
      </c>
      <c r="M81" s="450">
        <v>2354</v>
      </c>
      <c r="N81" s="418"/>
      <c r="O81" s="450">
        <f>SUM(C81:M81)</f>
        <v>11794</v>
      </c>
    </row>
    <row r="82" spans="1:16" s="439" customFormat="1" ht="9.9499999999999993" customHeight="1" x14ac:dyDescent="0.2">
      <c r="A82" s="1138" t="s">
        <v>1675</v>
      </c>
      <c r="B82" s="418"/>
      <c r="C82" s="450">
        <v>-46</v>
      </c>
      <c r="D82" s="418"/>
      <c r="E82" s="1216">
        <v>-54</v>
      </c>
      <c r="F82" s="418"/>
      <c r="G82" s="1216">
        <v>-43</v>
      </c>
      <c r="H82" s="418"/>
      <c r="I82" s="450">
        <v>-909</v>
      </c>
      <c r="J82" s="418"/>
      <c r="K82" s="450">
        <v>-800</v>
      </c>
      <c r="L82" s="418"/>
      <c r="M82" s="450">
        <v>-233</v>
      </c>
      <c r="N82" s="418"/>
      <c r="O82" s="450">
        <f>SUM(C82:M82)</f>
        <v>-2085</v>
      </c>
    </row>
    <row r="83" spans="1:16" s="439" customFormat="1" ht="9.9499999999999993" hidden="1" customHeight="1" x14ac:dyDescent="0.2">
      <c r="A83" s="1138" t="s">
        <v>1594</v>
      </c>
      <c r="B83" s="418"/>
      <c r="C83" s="437"/>
      <c r="D83" s="434"/>
      <c r="E83" s="437"/>
      <c r="F83" s="434"/>
      <c r="G83" s="450"/>
      <c r="H83" s="418"/>
      <c r="I83" s="450"/>
      <c r="J83" s="418"/>
      <c r="L83" s="418"/>
      <c r="M83" s="450"/>
      <c r="N83" s="418"/>
      <c r="O83" s="450">
        <f t="shared" si="1"/>
        <v>0</v>
      </c>
    </row>
    <row r="84" spans="1:16" s="439" customFormat="1" ht="9.9499999999999993" hidden="1" customHeight="1" x14ac:dyDescent="0.2">
      <c r="A84" s="1381" t="s">
        <v>1491</v>
      </c>
      <c r="B84" s="418"/>
      <c r="C84" s="437"/>
      <c r="D84" s="434"/>
      <c r="E84" s="437"/>
      <c r="F84" s="434"/>
      <c r="G84" s="450"/>
      <c r="H84" s="418"/>
      <c r="I84" s="450"/>
      <c r="J84" s="418"/>
      <c r="L84" s="418"/>
      <c r="M84" s="450"/>
      <c r="N84" s="418"/>
      <c r="O84" s="450">
        <f t="shared" si="1"/>
        <v>0</v>
      </c>
    </row>
    <row r="85" spans="1:16" s="439" customFormat="1" ht="9.75" hidden="1" customHeight="1" x14ac:dyDescent="0.2">
      <c r="A85" s="1138" t="s">
        <v>1493</v>
      </c>
      <c r="B85" s="418"/>
      <c r="C85" s="437"/>
      <c r="D85" s="434"/>
      <c r="E85" s="437"/>
      <c r="F85" s="434"/>
      <c r="G85" s="437"/>
      <c r="H85" s="418"/>
      <c r="I85" s="450"/>
      <c r="J85" s="418"/>
      <c r="K85" s="450"/>
      <c r="L85" s="418"/>
      <c r="M85" s="450"/>
      <c r="N85" s="418"/>
      <c r="O85" s="450">
        <f t="shared" si="1"/>
        <v>0</v>
      </c>
    </row>
    <row r="86" spans="1:16" s="439" customFormat="1" ht="9.9499999999999993" hidden="1" customHeight="1" x14ac:dyDescent="0.2">
      <c r="A86" s="1381" t="s">
        <v>1492</v>
      </c>
      <c r="B86" s="418"/>
      <c r="C86" s="450"/>
      <c r="D86" s="418"/>
      <c r="E86" s="450"/>
      <c r="F86" s="418"/>
      <c r="G86" s="450"/>
      <c r="H86" s="418"/>
      <c r="I86" s="450"/>
      <c r="J86" s="418"/>
      <c r="K86" s="450"/>
      <c r="L86" s="418"/>
      <c r="M86" s="450"/>
      <c r="N86" s="418"/>
      <c r="O86" s="450">
        <f t="shared" si="1"/>
        <v>0</v>
      </c>
    </row>
    <row r="87" spans="1:16" s="439" customFormat="1" ht="9.9499999999999993" customHeight="1" x14ac:dyDescent="0.2">
      <c r="A87" s="1138" t="s">
        <v>1741</v>
      </c>
      <c r="B87" s="418"/>
      <c r="C87" s="450"/>
      <c r="D87" s="418"/>
      <c r="E87" s="450"/>
      <c r="F87" s="418"/>
      <c r="G87" s="450"/>
      <c r="H87" s="418"/>
      <c r="I87" s="450">
        <v>30</v>
      </c>
      <c r="J87" s="418"/>
      <c r="K87" s="450"/>
      <c r="L87" s="418"/>
      <c r="M87" s="450">
        <v>-10</v>
      </c>
      <c r="N87" s="418"/>
      <c r="O87" s="450">
        <f t="shared" si="1"/>
        <v>20</v>
      </c>
    </row>
    <row r="88" spans="1:16" s="439" customFormat="1" ht="9.9499999999999993" hidden="1" customHeight="1" x14ac:dyDescent="0.2">
      <c r="A88" s="1138" t="s">
        <v>1103</v>
      </c>
      <c r="B88" s="418"/>
      <c r="C88" s="450"/>
      <c r="D88" s="418"/>
      <c r="E88" s="450"/>
      <c r="F88" s="418"/>
      <c r="G88" s="450"/>
      <c r="H88" s="418"/>
      <c r="I88" s="450"/>
      <c r="J88" s="418"/>
      <c r="K88" s="450"/>
      <c r="L88" s="418"/>
      <c r="M88" s="450"/>
      <c r="N88" s="418"/>
      <c r="O88" s="450">
        <f t="shared" si="1"/>
        <v>0</v>
      </c>
    </row>
    <row r="89" spans="1:16" s="439" customFormat="1" ht="5.0999999999999996" customHeight="1" x14ac:dyDescent="0.2">
      <c r="A89" s="425"/>
      <c r="B89" s="418"/>
      <c r="C89" s="452"/>
      <c r="D89" s="418"/>
      <c r="E89" s="452"/>
      <c r="F89" s="418"/>
      <c r="G89" s="452"/>
      <c r="H89" s="418"/>
      <c r="I89" s="452"/>
      <c r="J89" s="418"/>
      <c r="K89" s="452"/>
      <c r="L89" s="418"/>
      <c r="M89" s="452"/>
      <c r="N89" s="418"/>
      <c r="O89" s="452"/>
    </row>
    <row r="90" spans="1:16" s="439" customFormat="1" ht="11.1" customHeight="1" thickBot="1" x14ac:dyDescent="0.25">
      <c r="A90" s="417" t="s">
        <v>1442</v>
      </c>
      <c r="B90" s="418"/>
      <c r="C90" s="453">
        <f>SUM(C57:C88)</f>
        <v>7023</v>
      </c>
      <c r="D90" s="418"/>
      <c r="E90" s="453">
        <f>SUM(E57:E88)</f>
        <v>-5681</v>
      </c>
      <c r="F90" s="418"/>
      <c r="G90" s="453">
        <f>SUM(G57:G88)</f>
        <v>-32</v>
      </c>
      <c r="H90" s="448"/>
      <c r="I90" s="453">
        <f>SUM(I57:I88)</f>
        <v>-2038</v>
      </c>
      <c r="J90" s="448"/>
      <c r="K90" s="453">
        <f>SUM(K57:K88)</f>
        <v>42508</v>
      </c>
      <c r="L90" s="418"/>
      <c r="M90" s="453">
        <f>SUM(M57:M88)</f>
        <v>329</v>
      </c>
      <c r="N90" s="448"/>
      <c r="O90" s="453">
        <f>SUM(O57:O88)</f>
        <v>42109</v>
      </c>
    </row>
    <row r="91" spans="1:16" s="439" customFormat="1" ht="11.1" customHeight="1" thickTop="1" x14ac:dyDescent="0.2">
      <c r="A91" s="417"/>
      <c r="B91" s="418"/>
      <c r="C91" s="461"/>
      <c r="D91" s="418"/>
      <c r="E91" s="461"/>
      <c r="F91" s="418"/>
      <c r="G91" s="461"/>
      <c r="H91" s="418"/>
      <c r="I91" s="461"/>
      <c r="J91" s="418"/>
      <c r="K91" s="461"/>
      <c r="L91" s="418"/>
      <c r="M91" s="461"/>
      <c r="N91" s="418"/>
      <c r="O91" s="461"/>
      <c r="P91" s="318"/>
    </row>
    <row r="92" spans="1:16" s="318" customFormat="1" ht="9.9499999999999993" customHeight="1" x14ac:dyDescent="0.2">
      <c r="A92" s="480" t="s">
        <v>1712</v>
      </c>
      <c r="B92" s="482"/>
    </row>
    <row r="93" spans="1:16" s="318" customFormat="1" ht="9.9499999999999993" customHeight="1" x14ac:dyDescent="0.2">
      <c r="A93" s="577" t="s">
        <v>1711</v>
      </c>
      <c r="B93" s="482"/>
      <c r="C93" s="1334">
        <v>0</v>
      </c>
      <c r="D93" s="1327"/>
      <c r="E93" s="1334">
        <v>0</v>
      </c>
      <c r="F93" s="1327"/>
      <c r="G93" s="1334">
        <v>0</v>
      </c>
      <c r="H93" s="1327"/>
      <c r="I93" s="1334">
        <v>0</v>
      </c>
      <c r="J93" s="1327"/>
      <c r="K93" s="1331">
        <v>40</v>
      </c>
      <c r="L93" s="1327"/>
      <c r="M93" s="1331">
        <v>0</v>
      </c>
      <c r="N93" s="1327"/>
      <c r="O93" s="1331">
        <f t="shared" ref="O93:O94" si="2">SUM(C93:M93)</f>
        <v>40</v>
      </c>
      <c r="P93" s="638"/>
    </row>
    <row r="94" spans="1:16" s="638" customFormat="1" ht="9.9499999999999993" customHeight="1" x14ac:dyDescent="0.2">
      <c r="A94" s="577" t="s">
        <v>1713</v>
      </c>
      <c r="B94" s="639"/>
      <c r="I94" s="638">
        <v>26260</v>
      </c>
      <c r="K94" s="638">
        <v>206</v>
      </c>
      <c r="O94" s="638">
        <f t="shared" si="2"/>
        <v>26466</v>
      </c>
      <c r="P94" s="439"/>
    </row>
    <row r="95" spans="1:16" s="439" customFormat="1" ht="9" customHeight="1" x14ac:dyDescent="0.2">
      <c r="A95" s="577" t="s">
        <v>406</v>
      </c>
      <c r="B95" s="418"/>
      <c r="C95" s="461"/>
      <c r="D95" s="418"/>
      <c r="E95" s="461"/>
      <c r="F95" s="418"/>
      <c r="G95" s="461"/>
      <c r="H95" s="418"/>
      <c r="I95" s="461"/>
      <c r="J95" s="418"/>
      <c r="K95" s="461"/>
      <c r="L95" s="418"/>
      <c r="M95" s="461"/>
      <c r="N95" s="418"/>
      <c r="O95" s="461"/>
    </row>
    <row r="96" spans="1:16" s="439" customFormat="1" ht="5.0999999999999996" customHeight="1" x14ac:dyDescent="0.2">
      <c r="A96" s="418"/>
      <c r="B96" s="418"/>
      <c r="C96" s="438"/>
      <c r="D96" s="418"/>
      <c r="E96" s="438"/>
      <c r="F96" s="418"/>
      <c r="G96" s="438"/>
      <c r="H96" s="418"/>
      <c r="I96" s="438"/>
      <c r="J96" s="418"/>
      <c r="K96" s="438"/>
      <c r="L96" s="418"/>
      <c r="M96" s="438"/>
      <c r="N96" s="418"/>
      <c r="O96" s="438"/>
    </row>
    <row r="97" spans="1:16" s="318" customFormat="1" ht="9.9499999999999993" customHeight="1" x14ac:dyDescent="0.2">
      <c r="A97" s="480" t="s">
        <v>407</v>
      </c>
      <c r="B97" s="317"/>
      <c r="C97" s="803">
        <v>0</v>
      </c>
      <c r="D97" s="803"/>
      <c r="E97" s="803">
        <v>0</v>
      </c>
      <c r="F97" s="803"/>
      <c r="G97" s="803">
        <v>0</v>
      </c>
      <c r="H97" s="916"/>
      <c r="I97" s="803">
        <v>0</v>
      </c>
      <c r="J97" s="916"/>
      <c r="K97" s="803">
        <v>0</v>
      </c>
      <c r="M97" s="803">
        <v>0</v>
      </c>
      <c r="O97" s="803">
        <v>0</v>
      </c>
      <c r="P97" s="1060"/>
    </row>
    <row r="98" spans="1:16" s="441" customFormat="1" ht="9.9499999999999993" customHeight="1" x14ac:dyDescent="0.2">
      <c r="A98" s="648" t="s">
        <v>485</v>
      </c>
      <c r="B98" s="647"/>
      <c r="C98" s="440">
        <f>SUM(C90-C17)</f>
        <v>0</v>
      </c>
      <c r="D98" s="440"/>
      <c r="E98" s="440">
        <f>SUM(E90-E17)</f>
        <v>0</v>
      </c>
      <c r="F98" s="440"/>
      <c r="G98" s="440">
        <f>SUM(G90-G17)</f>
        <v>0</v>
      </c>
      <c r="H98" s="440"/>
      <c r="I98" s="440">
        <f>SUM(I90-I17)</f>
        <v>0</v>
      </c>
      <c r="J98" s="440"/>
      <c r="K98" s="440">
        <f>SUM(K90-K17)</f>
        <v>0</v>
      </c>
      <c r="L98" s="440"/>
      <c r="M98" s="440">
        <f>SUM(M90-M17)</f>
        <v>0</v>
      </c>
      <c r="N98" s="440"/>
      <c r="O98" s="440">
        <f>SUM(O90-O17)</f>
        <v>0</v>
      </c>
      <c r="P98" s="790"/>
    </row>
    <row r="99" spans="1:16" s="790" customFormat="1" ht="9.9499999999999993" customHeight="1" x14ac:dyDescent="0.2">
      <c r="A99" s="788" t="s">
        <v>486</v>
      </c>
      <c r="B99" s="789"/>
      <c r="C99" s="789">
        <f>+C53-'ISF-SONP'!C15-'ISF-SONP'!C29</f>
        <v>0</v>
      </c>
      <c r="D99" s="789"/>
      <c r="E99" s="789">
        <f>+E53-'ISF-SONP'!E15-'ISF-SONP'!E29</f>
        <v>0</v>
      </c>
      <c r="F99" s="789"/>
      <c r="G99" s="789">
        <f>+G53-'ISF-SONP'!G15-'ISF-SONP'!G29</f>
        <v>0</v>
      </c>
      <c r="H99" s="789"/>
      <c r="I99" s="789">
        <f>+I53-'ISF-SONP'!I15-'ISF-SONP'!I29</f>
        <v>0</v>
      </c>
      <c r="J99" s="789"/>
      <c r="K99" s="789">
        <f>+K53-'ISF-SONP'!K15-'ISF-SONP'!K29-'ISF-SONP'!K32</f>
        <v>0</v>
      </c>
      <c r="L99" s="789"/>
      <c r="M99" s="789">
        <f>+M53-'ISF-SONP'!M15-'ISF-SONP'!M29</f>
        <v>0</v>
      </c>
      <c r="N99" s="789"/>
      <c r="O99" s="789">
        <f>+O53-'ISF-SONP'!O15-'ISF-SONP'!O29-'ISF-SONP'!O32</f>
        <v>0</v>
      </c>
      <c r="P99" s="439"/>
    </row>
    <row r="100" spans="1:16" s="439" customFormat="1" ht="12" x14ac:dyDescent="0.2">
      <c r="A100" s="418"/>
      <c r="B100" s="418"/>
      <c r="C100" s="438"/>
      <c r="D100" s="418"/>
      <c r="E100" s="438"/>
      <c r="F100" s="418"/>
      <c r="G100" s="438"/>
      <c r="H100" s="418"/>
      <c r="I100" s="438"/>
      <c r="J100" s="418"/>
      <c r="K100" s="438"/>
      <c r="L100" s="418"/>
      <c r="M100" s="438"/>
      <c r="N100" s="418"/>
      <c r="O100" s="438"/>
    </row>
    <row r="101" spans="1:16" s="439" customFormat="1" ht="12" x14ac:dyDescent="0.2">
      <c r="A101" s="418"/>
      <c r="B101" s="418"/>
      <c r="C101" s="438"/>
      <c r="D101" s="418"/>
      <c r="E101" s="438"/>
      <c r="F101" s="418"/>
      <c r="G101" s="438"/>
      <c r="H101" s="418"/>
      <c r="I101" s="438"/>
      <c r="J101" s="418"/>
      <c r="K101" s="438"/>
      <c r="L101" s="418"/>
      <c r="M101" s="438"/>
      <c r="N101" s="418"/>
      <c r="O101" s="438"/>
    </row>
    <row r="102" spans="1:16" s="439" customFormat="1" ht="12" x14ac:dyDescent="0.2">
      <c r="A102" s="418"/>
      <c r="B102" s="418"/>
      <c r="C102" s="438"/>
      <c r="D102" s="418"/>
      <c r="E102" s="438"/>
      <c r="F102" s="418"/>
      <c r="G102" s="438"/>
      <c r="H102" s="418"/>
      <c r="I102" s="438"/>
      <c r="J102" s="418"/>
      <c r="K102" s="438"/>
      <c r="L102" s="418"/>
      <c r="M102" s="438"/>
      <c r="N102" s="418"/>
      <c r="O102" s="438"/>
    </row>
    <row r="103" spans="1:16" s="439" customFormat="1" ht="12" x14ac:dyDescent="0.2">
      <c r="A103" s="418"/>
      <c r="B103" s="418"/>
      <c r="C103" s="438"/>
      <c r="D103" s="418"/>
      <c r="E103" s="438"/>
      <c r="F103" s="418"/>
      <c r="G103" s="438"/>
      <c r="H103" s="418"/>
      <c r="I103" s="438"/>
      <c r="J103" s="418"/>
      <c r="K103" s="438"/>
      <c r="L103" s="418"/>
      <c r="M103" s="438"/>
      <c r="N103" s="418"/>
      <c r="O103" s="438"/>
    </row>
    <row r="104" spans="1:16" s="439" customFormat="1" ht="12" x14ac:dyDescent="0.2">
      <c r="A104" s="418"/>
      <c r="B104" s="418"/>
      <c r="C104" s="438"/>
      <c r="D104" s="418"/>
      <c r="E104" s="438"/>
      <c r="F104" s="418"/>
      <c r="G104" s="438"/>
      <c r="H104" s="418"/>
      <c r="I104" s="438"/>
      <c r="J104" s="418"/>
      <c r="K104" s="438"/>
      <c r="L104" s="418"/>
      <c r="M104" s="438"/>
      <c r="N104" s="418"/>
      <c r="O104" s="438"/>
    </row>
    <row r="105" spans="1:16" s="439" customFormat="1" ht="12" x14ac:dyDescent="0.2">
      <c r="A105" s="418"/>
      <c r="B105" s="418"/>
      <c r="C105" s="450">
        <v>-820</v>
      </c>
      <c r="D105" s="418"/>
      <c r="E105" s="1216">
        <v>-258</v>
      </c>
      <c r="F105" s="418"/>
      <c r="G105" s="1216">
        <v>440</v>
      </c>
      <c r="H105" s="418"/>
      <c r="I105" s="438"/>
      <c r="J105" s="418"/>
      <c r="K105" s="438"/>
      <c r="L105" s="418"/>
      <c r="M105" s="438"/>
      <c r="N105" s="418"/>
      <c r="O105" s="438"/>
    </row>
    <row r="106" spans="1:16" s="439" customFormat="1" ht="12" x14ac:dyDescent="0.2">
      <c r="A106" s="418"/>
      <c r="B106" s="418"/>
      <c r="C106" s="450">
        <v>665</v>
      </c>
      <c r="D106" s="418"/>
      <c r="E106" s="1216">
        <v>4150</v>
      </c>
      <c r="F106" s="418"/>
      <c r="G106" s="1216">
        <v>-2332</v>
      </c>
      <c r="H106" s="418"/>
      <c r="I106" s="438"/>
      <c r="J106" s="418"/>
      <c r="K106" s="438"/>
      <c r="L106" s="418"/>
      <c r="M106" s="438"/>
      <c r="N106" s="418"/>
      <c r="O106" s="438"/>
    </row>
    <row r="107" spans="1:16" s="439" customFormat="1" ht="12" x14ac:dyDescent="0.2">
      <c r="A107" s="418"/>
      <c r="B107" s="418"/>
      <c r="C107" s="450">
        <v>-87</v>
      </c>
      <c r="D107" s="418"/>
      <c r="E107" s="1216">
        <v>-595</v>
      </c>
      <c r="F107" s="418"/>
      <c r="G107" s="1216">
        <v>-12</v>
      </c>
      <c r="H107" s="418"/>
      <c r="I107" s="438"/>
      <c r="J107" s="418"/>
      <c r="K107" s="438"/>
      <c r="L107" s="418"/>
      <c r="M107" s="438"/>
      <c r="N107" s="418"/>
      <c r="O107" s="438"/>
    </row>
    <row r="108" spans="1:16" s="439" customFormat="1" ht="12" x14ac:dyDescent="0.2">
      <c r="A108" s="418"/>
      <c r="B108" s="418"/>
      <c r="C108" s="450">
        <v>-65</v>
      </c>
      <c r="D108" s="418"/>
      <c r="E108" s="1216">
        <v>-55</v>
      </c>
      <c r="F108" s="418"/>
      <c r="G108" s="1216">
        <v>-66</v>
      </c>
      <c r="H108" s="418"/>
      <c r="I108" s="438"/>
      <c r="J108" s="418"/>
      <c r="K108" s="438"/>
      <c r="L108" s="418"/>
      <c r="M108" s="438"/>
      <c r="N108" s="418"/>
      <c r="O108" s="438"/>
    </row>
    <row r="109" spans="1:16" s="439" customFormat="1" ht="12" x14ac:dyDescent="0.2">
      <c r="A109" s="418"/>
      <c r="B109" s="418"/>
      <c r="C109" s="450">
        <v>-20</v>
      </c>
      <c r="D109" s="418"/>
      <c r="E109" s="1216">
        <v>-1</v>
      </c>
      <c r="F109" s="418"/>
      <c r="G109" s="1216">
        <v>-17</v>
      </c>
      <c r="H109" s="418"/>
      <c r="I109" s="438"/>
      <c r="J109" s="418"/>
      <c r="K109" s="438"/>
      <c r="L109" s="418"/>
      <c r="M109" s="438"/>
      <c r="N109" s="418"/>
      <c r="O109" s="438"/>
    </row>
    <row r="110" spans="1:16" s="439" customFormat="1" ht="12" x14ac:dyDescent="0.2">
      <c r="A110" s="418"/>
      <c r="B110" s="418"/>
      <c r="C110" s="450"/>
      <c r="D110" s="418"/>
      <c r="E110" s="1216"/>
      <c r="F110" s="418"/>
      <c r="G110" s="1216"/>
      <c r="H110" s="418"/>
      <c r="I110" s="438"/>
      <c r="J110" s="418"/>
      <c r="K110" s="438"/>
      <c r="L110" s="418"/>
      <c r="M110" s="438"/>
      <c r="N110" s="418"/>
      <c r="O110" s="438"/>
    </row>
    <row r="111" spans="1:16" s="439" customFormat="1" ht="12" x14ac:dyDescent="0.2">
      <c r="A111" s="418"/>
      <c r="B111" s="418"/>
      <c r="C111" s="450">
        <v>-732</v>
      </c>
      <c r="D111" s="418"/>
      <c r="E111" s="1216">
        <v>-510</v>
      </c>
      <c r="F111" s="418"/>
      <c r="G111" s="1216">
        <v>-354</v>
      </c>
      <c r="H111" s="418"/>
      <c r="I111" s="438"/>
      <c r="J111" s="418"/>
      <c r="K111" s="438"/>
      <c r="L111" s="418"/>
      <c r="M111" s="438"/>
      <c r="N111" s="418"/>
      <c r="O111" s="438"/>
    </row>
    <row r="112" spans="1:16" s="439" customFormat="1" ht="12" x14ac:dyDescent="0.2">
      <c r="A112" s="418"/>
      <c r="B112" s="418"/>
      <c r="C112" s="450"/>
      <c r="D112" s="418"/>
      <c r="E112" s="1216"/>
      <c r="F112" s="418"/>
      <c r="G112" s="1216"/>
      <c r="H112" s="418"/>
      <c r="I112" s="438"/>
      <c r="J112" s="418"/>
      <c r="K112" s="438"/>
      <c r="L112" s="418"/>
      <c r="M112" s="438"/>
      <c r="N112" s="418"/>
      <c r="O112" s="438"/>
    </row>
    <row r="113" spans="3:7" x14ac:dyDescent="0.2">
      <c r="C113" s="450"/>
      <c r="D113" s="418"/>
      <c r="E113" s="1216"/>
      <c r="F113" s="418"/>
      <c r="G113" s="1216"/>
    </row>
    <row r="114" spans="3:7" x14ac:dyDescent="0.2">
      <c r="C114" s="450"/>
      <c r="D114" s="418"/>
      <c r="E114" s="1216"/>
      <c r="F114" s="418"/>
      <c r="G114" s="1216"/>
    </row>
    <row r="115" spans="3:7" x14ac:dyDescent="0.2">
      <c r="C115" s="450">
        <v>11</v>
      </c>
      <c r="D115" s="439"/>
      <c r="E115" s="1356">
        <v>-2</v>
      </c>
      <c r="F115" s="439"/>
      <c r="G115" s="1356">
        <v>10</v>
      </c>
    </row>
    <row r="116" spans="3:7" x14ac:dyDescent="0.2">
      <c r="C116" s="450">
        <v>312</v>
      </c>
      <c r="D116" s="418"/>
      <c r="E116" s="1216">
        <v>317</v>
      </c>
      <c r="F116" s="418"/>
      <c r="G116" s="1216">
        <v>280</v>
      </c>
    </row>
    <row r="138" spans="3:3" s="202" customFormat="1" x14ac:dyDescent="0.2">
      <c r="C138" s="437">
        <v>21</v>
      </c>
    </row>
  </sheetData>
  <mergeCells count="3">
    <mergeCell ref="C6:G6"/>
    <mergeCell ref="A1:O1"/>
    <mergeCell ref="A4:G4"/>
  </mergeCells>
  <phoneticPr fontId="9" type="noConversion"/>
  <printOptions horizontalCentered="1"/>
  <pageMargins left="0.5" right="0.5" top="0.5" bottom="0.625" header="0.5" footer="0.5"/>
  <pageSetup scale="66"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tabColor theme="6" tint="0.39997558519241921"/>
  </sheetPr>
  <dimension ref="A1:S143"/>
  <sheetViews>
    <sheetView view="pageBreakPreview" topLeftCell="A3" zoomScale="110" zoomScaleNormal="100" zoomScaleSheetLayoutView="110" workbookViewId="0">
      <pane xSplit="4" ySplit="8" topLeftCell="E11" activePane="bottomRight" state="frozen"/>
      <selection activeCell="Z13" activeCellId="3" sqref="Z18 Z17 Z15 Z13"/>
      <selection pane="topRight" activeCell="Z13" activeCellId="3" sqref="Z18 Z17 Z15 Z13"/>
      <selection pane="bottomLeft" activeCell="Z13" activeCellId="3" sqref="Z18 Z17 Z15 Z13"/>
      <selection pane="bottomRight" activeCell="H20" sqref="H20:H23"/>
    </sheetView>
  </sheetViews>
  <sheetFormatPr defaultColWidth="9.140625" defaultRowHeight="9.9499999999999993" customHeight="1" x14ac:dyDescent="0.2"/>
  <cols>
    <col min="1" max="3" width="1.5703125" style="314" customWidth="1"/>
    <col min="4" max="4" width="35.5703125" style="314" customWidth="1"/>
    <col min="5" max="5" width="1.5703125" style="314" customWidth="1"/>
    <col min="6" max="6" width="16.5703125" style="314" customWidth="1"/>
    <col min="7" max="7" width="1.5703125" style="314" customWidth="1"/>
    <col min="8" max="8" width="16.5703125" style="314" customWidth="1"/>
    <col min="9" max="9" width="1.5703125" style="314" customWidth="1"/>
    <col min="10" max="10" width="16.5703125" style="314" customWidth="1"/>
    <col min="11" max="11" width="1.5703125" style="314" customWidth="1"/>
    <col min="12" max="12" width="18.42578125" style="314" bestFit="1" customWidth="1"/>
    <col min="13" max="13" width="2.5703125" style="314" customWidth="1"/>
    <col min="14" max="14" width="22.5703125" style="314" customWidth="1"/>
    <col min="15" max="15" width="13.42578125" style="314" customWidth="1"/>
    <col min="16" max="16" width="9.140625" style="314"/>
    <col min="17" max="17" width="18" style="314" bestFit="1" customWidth="1"/>
    <col min="18" max="18" width="14.85546875" style="314" bestFit="1" customWidth="1"/>
    <col min="19" max="16384" width="9.140625" style="314"/>
  </cols>
  <sheetData>
    <row r="1" spans="1:18" s="462" customFormat="1" ht="16.5" customHeight="1" thickBot="1" x14ac:dyDescent="0.25">
      <c r="A1" s="1582" t="s">
        <v>1033</v>
      </c>
      <c r="B1" s="1582"/>
      <c r="C1" s="1582"/>
      <c r="D1" s="1582"/>
      <c r="E1" s="1582"/>
      <c r="F1" s="1582"/>
      <c r="G1" s="1582"/>
      <c r="H1" s="1582"/>
      <c r="I1" s="1582"/>
      <c r="J1" s="1582"/>
      <c r="K1" s="1582"/>
      <c r="L1" s="1582"/>
      <c r="M1" s="535"/>
      <c r="N1" s="535"/>
    </row>
    <row r="2" spans="1:18" s="531" customFormat="1" ht="15" customHeight="1" x14ac:dyDescent="0.2">
      <c r="A2" s="700" t="s">
        <v>1119</v>
      </c>
      <c r="B2" s="713"/>
      <c r="C2" s="713"/>
      <c r="D2" s="713"/>
      <c r="E2" s="713"/>
      <c r="F2" s="713"/>
      <c r="G2" s="713"/>
      <c r="H2" s="713"/>
      <c r="I2" s="713"/>
      <c r="J2" s="713"/>
      <c r="K2" s="713"/>
      <c r="L2" s="713"/>
      <c r="M2" s="713"/>
      <c r="N2" s="713"/>
    </row>
    <row r="3" spans="1:18" s="531" customFormat="1" ht="15" customHeight="1" x14ac:dyDescent="0.2">
      <c r="A3" s="700" t="s">
        <v>1564</v>
      </c>
      <c r="B3" s="713"/>
      <c r="C3" s="713"/>
      <c r="D3" s="713"/>
      <c r="E3" s="713"/>
      <c r="F3" s="713"/>
      <c r="G3" s="713"/>
      <c r="H3" s="713"/>
      <c r="I3" s="713"/>
      <c r="J3" s="713"/>
      <c r="K3" s="713"/>
      <c r="L3" s="713"/>
      <c r="M3" s="713"/>
      <c r="N3" s="713"/>
    </row>
    <row r="4" spans="1:18" s="532" customFormat="1" ht="12.95" customHeight="1" x14ac:dyDescent="0.2">
      <c r="A4" s="1579" t="s">
        <v>1724</v>
      </c>
      <c r="B4" s="1579"/>
      <c r="C4" s="1579"/>
      <c r="D4" s="1579"/>
      <c r="E4" s="506"/>
      <c r="F4" s="506"/>
      <c r="G4" s="506"/>
      <c r="H4" s="506"/>
      <c r="I4" s="506"/>
      <c r="J4" s="506"/>
      <c r="K4" s="506"/>
      <c r="L4" s="506"/>
      <c r="M4" s="506"/>
      <c r="N4" s="506"/>
    </row>
    <row r="5" spans="1:18" s="253" customFormat="1" ht="12" customHeight="1" x14ac:dyDescent="0.2">
      <c r="A5" s="738" t="s">
        <v>972</v>
      </c>
      <c r="B5" s="718"/>
      <c r="C5" s="718"/>
      <c r="D5" s="718"/>
      <c r="E5" s="721"/>
      <c r="F5" s="721"/>
      <c r="G5" s="721"/>
      <c r="H5" s="721"/>
      <c r="I5" s="721"/>
      <c r="J5" s="721"/>
      <c r="K5" s="721"/>
      <c r="L5" s="721"/>
      <c r="M5" s="721"/>
      <c r="N5" s="721"/>
    </row>
    <row r="6" spans="1:18" s="508" customFormat="1" ht="12.6" customHeight="1" x14ac:dyDescent="0.2">
      <c r="A6" s="507"/>
      <c r="B6" s="507"/>
      <c r="C6" s="507"/>
      <c r="D6" s="507"/>
      <c r="E6" s="507"/>
      <c r="F6" s="507"/>
      <c r="G6" s="507"/>
      <c r="H6" s="1417" t="s">
        <v>1559</v>
      </c>
      <c r="I6" s="507"/>
      <c r="J6" s="507"/>
      <c r="K6" s="507"/>
      <c r="L6" s="507"/>
      <c r="M6" s="507"/>
      <c r="N6" s="507"/>
    </row>
    <row r="7" spans="1:18" s="593" customFormat="1" ht="12.6" customHeight="1" x14ac:dyDescent="0.2">
      <c r="A7" s="336"/>
      <c r="B7" s="336"/>
      <c r="C7" s="336"/>
      <c r="D7" s="336"/>
      <c r="E7" s="336"/>
      <c r="F7" s="358"/>
      <c r="G7" s="336"/>
      <c r="H7" s="310" t="s">
        <v>1560</v>
      </c>
      <c r="I7" s="336"/>
      <c r="J7" s="310" t="s">
        <v>1340</v>
      </c>
      <c r="K7" s="336"/>
      <c r="L7" s="310" t="s">
        <v>671</v>
      </c>
      <c r="M7" s="336"/>
      <c r="N7" s="336"/>
    </row>
    <row r="8" spans="1:18" s="593" customFormat="1" ht="12.6" customHeight="1" x14ac:dyDescent="0.2">
      <c r="A8" s="336"/>
      <c r="B8" s="336"/>
      <c r="C8" s="336"/>
      <c r="D8" s="336"/>
      <c r="E8" s="336"/>
      <c r="F8" s="310" t="s">
        <v>217</v>
      </c>
      <c r="G8" s="336"/>
      <c r="H8" s="310" t="s">
        <v>437</v>
      </c>
      <c r="I8" s="336"/>
      <c r="J8" s="310" t="s">
        <v>437</v>
      </c>
      <c r="K8" s="336"/>
      <c r="L8" s="310" t="s">
        <v>1561</v>
      </c>
      <c r="M8" s="336"/>
      <c r="N8" s="336"/>
    </row>
    <row r="9" spans="1:18" s="593" customFormat="1" ht="12.6" customHeight="1" x14ac:dyDescent="0.2">
      <c r="A9" s="336"/>
      <c r="B9" s="336"/>
      <c r="C9" s="336"/>
      <c r="D9" s="336"/>
      <c r="E9" s="336"/>
      <c r="F9" s="310" t="s">
        <v>218</v>
      </c>
      <c r="G9" s="336"/>
      <c r="H9" s="310" t="s">
        <v>1678</v>
      </c>
      <c r="I9" s="336"/>
      <c r="J9" s="310" t="s">
        <v>1341</v>
      </c>
      <c r="K9" s="336"/>
      <c r="L9" s="310" t="s">
        <v>1563</v>
      </c>
      <c r="M9" s="336"/>
      <c r="N9" s="336"/>
    </row>
    <row r="10" spans="1:18" s="593" customFormat="1" ht="12.6" customHeight="1" x14ac:dyDescent="0.2">
      <c r="A10" s="336"/>
      <c r="B10" s="336"/>
      <c r="C10" s="336"/>
      <c r="D10" s="336"/>
      <c r="E10" s="336"/>
      <c r="F10" s="574" t="s">
        <v>336</v>
      </c>
      <c r="G10" s="336"/>
      <c r="H10" s="574" t="s">
        <v>1679</v>
      </c>
      <c r="I10" s="336"/>
      <c r="J10" s="574" t="s">
        <v>1342</v>
      </c>
      <c r="K10" s="336"/>
      <c r="L10" s="574" t="s">
        <v>1562</v>
      </c>
      <c r="M10" s="336"/>
      <c r="N10" s="336"/>
    </row>
    <row r="11" spans="1:18" s="492" customFormat="1" ht="9.9499999999999993" customHeight="1" x14ac:dyDescent="0.2">
      <c r="A11" s="1600" t="s">
        <v>672</v>
      </c>
      <c r="B11" s="1600"/>
      <c r="C11" s="1600"/>
      <c r="D11" s="1600"/>
      <c r="E11" s="253"/>
      <c r="F11" s="257"/>
      <c r="G11" s="253"/>
      <c r="H11" s="257"/>
      <c r="I11" s="253"/>
      <c r="J11" s="257"/>
      <c r="K11" s="253"/>
      <c r="L11" s="257"/>
      <c r="M11" s="253"/>
      <c r="N11" s="253"/>
    </row>
    <row r="12" spans="1:18" s="492" customFormat="1" ht="9.9499999999999993" customHeight="1" x14ac:dyDescent="0.2">
      <c r="B12" s="284" t="s">
        <v>61</v>
      </c>
      <c r="C12" s="253"/>
      <c r="D12" s="253"/>
      <c r="E12" s="253"/>
      <c r="F12" s="253"/>
      <c r="G12" s="253"/>
      <c r="H12" s="253"/>
      <c r="I12" s="253"/>
      <c r="J12" s="253"/>
      <c r="K12" s="253"/>
      <c r="L12" s="253"/>
      <c r="M12" s="253"/>
      <c r="N12" s="253"/>
      <c r="O12" s="594"/>
    </row>
    <row r="13" spans="1:18" s="492" customFormat="1" ht="9.9499999999999993" customHeight="1" x14ac:dyDescent="0.2">
      <c r="A13" s="253"/>
      <c r="C13" s="352" t="s">
        <v>673</v>
      </c>
      <c r="D13" s="352"/>
      <c r="E13" s="253"/>
      <c r="F13" s="339">
        <v>93256</v>
      </c>
      <c r="G13" s="254"/>
      <c r="H13" s="339">
        <v>5905</v>
      </c>
      <c r="I13" s="254"/>
      <c r="J13" s="533">
        <v>1465</v>
      </c>
      <c r="K13" s="254"/>
      <c r="L13" s="454">
        <f>SUM(F13:J13)</f>
        <v>100626</v>
      </c>
      <c r="M13" s="253"/>
      <c r="N13" s="253" t="s">
        <v>673</v>
      </c>
      <c r="R13" s="492">
        <v>0</v>
      </c>
    </row>
    <row r="14" spans="1:18" s="492" customFormat="1" ht="9.9499999999999993" customHeight="1" x14ac:dyDescent="0.2">
      <c r="A14" s="253"/>
      <c r="C14" s="352" t="s">
        <v>410</v>
      </c>
      <c r="D14" s="352"/>
      <c r="E14" s="254"/>
      <c r="F14" s="273">
        <v>87732</v>
      </c>
      <c r="G14" s="273"/>
      <c r="H14" s="273"/>
      <c r="I14" s="273"/>
      <c r="J14" s="533"/>
      <c r="K14" s="273"/>
      <c r="L14" s="273">
        <f t="shared" ref="L14:L28" si="0">SUM(F14:J14)</f>
        <v>87732</v>
      </c>
      <c r="M14" s="254"/>
      <c r="N14" s="253" t="s">
        <v>410</v>
      </c>
      <c r="O14" s="595"/>
    </row>
    <row r="15" spans="1:18" s="492" customFormat="1" ht="9.9499999999999993" customHeight="1" x14ac:dyDescent="0.2">
      <c r="A15" s="253"/>
      <c r="C15" s="352" t="s">
        <v>289</v>
      </c>
      <c r="D15" s="352"/>
      <c r="E15" s="254"/>
      <c r="F15" s="273"/>
      <c r="G15" s="273"/>
      <c r="H15" s="273"/>
      <c r="I15" s="273"/>
      <c r="J15" s="533"/>
      <c r="K15" s="273"/>
      <c r="L15" s="273">
        <f t="shared" si="0"/>
        <v>0</v>
      </c>
      <c r="M15" s="254"/>
      <c r="N15" s="253" t="s">
        <v>289</v>
      </c>
      <c r="O15" s="595"/>
    </row>
    <row r="16" spans="1:18" s="492" customFormat="1" ht="9.9499999999999993" customHeight="1" x14ac:dyDescent="0.2">
      <c r="A16" s="253"/>
      <c r="C16" s="352"/>
      <c r="D16" s="352" t="s">
        <v>290</v>
      </c>
      <c r="E16" s="254"/>
      <c r="F16" s="273">
        <v>1753788</v>
      </c>
      <c r="G16" s="273"/>
      <c r="H16" s="1356"/>
      <c r="I16" s="273"/>
      <c r="J16" s="533"/>
      <c r="K16" s="273"/>
      <c r="L16" s="273">
        <f t="shared" si="0"/>
        <v>1753788</v>
      </c>
      <c r="M16" s="254"/>
      <c r="N16" s="253"/>
      <c r="O16" s="595" t="s">
        <v>290</v>
      </c>
    </row>
    <row r="17" spans="1:15" s="492" customFormat="1" ht="9.9499999999999993" customHeight="1" x14ac:dyDescent="0.2">
      <c r="A17" s="253"/>
      <c r="C17" s="352"/>
      <c r="D17" s="352" t="s">
        <v>291</v>
      </c>
      <c r="E17" s="254"/>
      <c r="F17" s="273">
        <v>297642</v>
      </c>
      <c r="G17" s="273"/>
      <c r="H17" s="1356"/>
      <c r="I17" s="273"/>
      <c r="J17" s="646">
        <v>4979</v>
      </c>
      <c r="K17" s="273"/>
      <c r="L17" s="273">
        <f t="shared" si="0"/>
        <v>302621</v>
      </c>
      <c r="M17" s="254"/>
      <c r="N17" s="253"/>
      <c r="O17" s="595" t="s">
        <v>291</v>
      </c>
    </row>
    <row r="18" spans="1:15" s="492" customFormat="1" ht="9.9499999999999993" customHeight="1" x14ac:dyDescent="0.2">
      <c r="A18" s="253"/>
      <c r="C18" s="352"/>
      <c r="D18" s="352" t="s">
        <v>292</v>
      </c>
      <c r="E18" s="254"/>
      <c r="F18" s="273">
        <f>526994+406</f>
        <v>527400</v>
      </c>
      <c r="G18" s="273"/>
      <c r="H18" s="1356"/>
      <c r="I18" s="273"/>
      <c r="J18" s="533"/>
      <c r="K18" s="273"/>
      <c r="L18" s="273">
        <f t="shared" si="0"/>
        <v>527400</v>
      </c>
      <c r="M18" s="254"/>
      <c r="N18" s="253"/>
      <c r="O18" s="595" t="s">
        <v>292</v>
      </c>
    </row>
    <row r="19" spans="1:15" s="492" customFormat="1" ht="9.9499999999999993" hidden="1" customHeight="1" x14ac:dyDescent="0.2">
      <c r="A19" s="253"/>
      <c r="C19" s="352"/>
      <c r="D19" s="352" t="s">
        <v>1279</v>
      </c>
      <c r="E19" s="254"/>
      <c r="F19" s="273"/>
      <c r="G19" s="273"/>
      <c r="H19" s="1356"/>
      <c r="I19" s="273"/>
      <c r="J19" s="533"/>
      <c r="K19" s="273"/>
      <c r="L19" s="273">
        <f t="shared" si="0"/>
        <v>0</v>
      </c>
      <c r="M19" s="254"/>
      <c r="N19" s="253"/>
      <c r="O19" s="595"/>
    </row>
    <row r="20" spans="1:15" s="492" customFormat="1" ht="9.9499999999999993" customHeight="1" x14ac:dyDescent="0.2">
      <c r="A20" s="253"/>
      <c r="C20" s="352"/>
      <c r="D20" s="352" t="s">
        <v>1095</v>
      </c>
      <c r="E20" s="254"/>
      <c r="F20" s="273"/>
      <c r="G20" s="273"/>
      <c r="H20" s="1356">
        <v>103063</v>
      </c>
      <c r="I20" s="273"/>
      <c r="J20" s="533"/>
      <c r="K20" s="273"/>
      <c r="L20" s="273">
        <f t="shared" si="0"/>
        <v>103063</v>
      </c>
      <c r="M20" s="254"/>
      <c r="N20" s="253"/>
      <c r="O20" s="595" t="s">
        <v>1279</v>
      </c>
    </row>
    <row r="21" spans="1:15" s="492" customFormat="1" ht="9.9499999999999993" customHeight="1" x14ac:dyDescent="0.2">
      <c r="A21" s="253"/>
      <c r="C21" s="352"/>
      <c r="D21" s="352" t="s">
        <v>293</v>
      </c>
      <c r="E21" s="254"/>
      <c r="F21" s="273">
        <v>25120</v>
      </c>
      <c r="G21" s="273"/>
      <c r="H21" s="1356"/>
      <c r="I21" s="273"/>
      <c r="J21" s="533"/>
      <c r="K21" s="273"/>
      <c r="L21" s="273">
        <f t="shared" si="0"/>
        <v>25120</v>
      </c>
      <c r="M21" s="254"/>
      <c r="N21" s="253"/>
      <c r="O21" s="595" t="s">
        <v>1095</v>
      </c>
    </row>
    <row r="22" spans="1:15" s="492" customFormat="1" ht="9.9499999999999993" customHeight="1" x14ac:dyDescent="0.2">
      <c r="A22" s="253"/>
      <c r="C22" s="352"/>
      <c r="D22" s="352" t="s">
        <v>294</v>
      </c>
      <c r="E22" s="254"/>
      <c r="F22" s="273">
        <v>311843</v>
      </c>
      <c r="G22" s="273"/>
      <c r="H22" s="1356">
        <v>31793</v>
      </c>
      <c r="I22" s="273"/>
      <c r="J22" s="533"/>
      <c r="K22" s="273"/>
      <c r="L22" s="273">
        <f t="shared" si="0"/>
        <v>343636</v>
      </c>
      <c r="M22" s="254"/>
      <c r="N22" s="253"/>
      <c r="O22" s="595" t="s">
        <v>293</v>
      </c>
    </row>
    <row r="23" spans="1:15" s="492" customFormat="1" ht="9.9499999999999993" customHeight="1" x14ac:dyDescent="0.2">
      <c r="A23" s="253"/>
      <c r="C23" s="352"/>
      <c r="D23" s="352" t="s">
        <v>295</v>
      </c>
      <c r="E23" s="254"/>
      <c r="F23" s="273">
        <v>910898</v>
      </c>
      <c r="G23" s="273"/>
      <c r="H23" s="1356">
        <v>397108</v>
      </c>
      <c r="I23" s="273"/>
      <c r="J23" s="533"/>
      <c r="K23" s="273"/>
      <c r="L23" s="273">
        <f t="shared" si="0"/>
        <v>1308006</v>
      </c>
      <c r="M23" s="254"/>
      <c r="N23" s="253"/>
      <c r="O23" s="595" t="s">
        <v>294</v>
      </c>
    </row>
    <row r="24" spans="1:15" s="492" customFormat="1" ht="9.9499999999999993" customHeight="1" x14ac:dyDescent="0.2">
      <c r="A24" s="253"/>
      <c r="C24" s="352" t="s">
        <v>62</v>
      </c>
      <c r="D24" s="352"/>
      <c r="E24" s="254"/>
      <c r="F24" s="273"/>
      <c r="G24" s="273"/>
      <c r="H24" s="273"/>
      <c r="I24" s="273"/>
      <c r="J24" s="533"/>
      <c r="K24" s="273"/>
      <c r="L24" s="273">
        <f t="shared" si="0"/>
        <v>0</v>
      </c>
      <c r="M24" s="254"/>
      <c r="N24" s="253"/>
      <c r="O24" s="492" t="s">
        <v>295</v>
      </c>
    </row>
    <row r="25" spans="1:15" s="492" customFormat="1" ht="9.9499999999999993" customHeight="1" x14ac:dyDescent="0.2">
      <c r="A25" s="253"/>
      <c r="B25" s="352"/>
      <c r="D25" s="352" t="s">
        <v>844</v>
      </c>
      <c r="E25" s="254"/>
      <c r="F25" s="273">
        <v>3320</v>
      </c>
      <c r="G25" s="273"/>
      <c r="H25" s="273">
        <v>1856</v>
      </c>
      <c r="I25" s="273"/>
      <c r="J25" s="533">
        <v>72</v>
      </c>
      <c r="K25" s="273"/>
      <c r="L25" s="273">
        <f t="shared" si="0"/>
        <v>5248</v>
      </c>
      <c r="M25" s="254"/>
      <c r="N25" s="253" t="s">
        <v>62</v>
      </c>
    </row>
    <row r="26" spans="1:15" s="492" customFormat="1" ht="9.9499999999999993" customHeight="1" x14ac:dyDescent="0.2">
      <c r="A26" s="253"/>
      <c r="B26" s="352"/>
      <c r="D26" s="352" t="s">
        <v>676</v>
      </c>
      <c r="E26" s="254"/>
      <c r="F26" s="273">
        <v>6562</v>
      </c>
      <c r="G26" s="273"/>
      <c r="H26" s="273">
        <v>43</v>
      </c>
      <c r="I26" s="273"/>
      <c r="J26" s="533">
        <v>31</v>
      </c>
      <c r="K26" s="273"/>
      <c r="L26" s="273">
        <f t="shared" si="0"/>
        <v>6636</v>
      </c>
      <c r="M26" s="254"/>
      <c r="N26" s="253"/>
      <c r="O26" s="492" t="s">
        <v>844</v>
      </c>
    </row>
    <row r="27" spans="1:15" s="492" customFormat="1" ht="9.9499999999999993" customHeight="1" x14ac:dyDescent="0.2">
      <c r="A27" s="253"/>
      <c r="B27" s="352"/>
      <c r="D27" s="352" t="s">
        <v>677</v>
      </c>
      <c r="E27" s="254"/>
      <c r="F27" s="273">
        <v>8904</v>
      </c>
      <c r="G27" s="273"/>
      <c r="H27" s="273"/>
      <c r="I27" s="273"/>
      <c r="J27" s="1057"/>
      <c r="K27" s="273"/>
      <c r="L27" s="273">
        <f t="shared" si="0"/>
        <v>8904</v>
      </c>
      <c r="M27" s="254"/>
      <c r="N27" s="253"/>
      <c r="O27" s="492" t="s">
        <v>676</v>
      </c>
    </row>
    <row r="28" spans="1:15" s="492" customFormat="1" ht="9.9499999999999993" customHeight="1" x14ac:dyDescent="0.2">
      <c r="A28" s="253"/>
      <c r="B28" s="352"/>
      <c r="C28" s="352" t="s">
        <v>679</v>
      </c>
      <c r="D28" s="352"/>
      <c r="E28" s="254"/>
      <c r="F28" s="273"/>
      <c r="G28" s="273"/>
      <c r="H28" s="273">
        <v>41</v>
      </c>
      <c r="I28" s="273"/>
      <c r="J28" s="273"/>
      <c r="K28" s="273"/>
      <c r="L28" s="273">
        <f t="shared" si="0"/>
        <v>41</v>
      </c>
      <c r="M28" s="254"/>
      <c r="N28" s="253"/>
      <c r="O28" s="492" t="s">
        <v>677</v>
      </c>
    </row>
    <row r="29" spans="1:15" s="492" customFormat="1" ht="5.0999999999999996" customHeight="1" x14ac:dyDescent="0.2">
      <c r="A29" s="253"/>
      <c r="B29" s="352"/>
      <c r="C29" s="352"/>
      <c r="D29" s="352"/>
      <c r="E29" s="254"/>
      <c r="F29" s="340"/>
      <c r="G29" s="273"/>
      <c r="H29" s="340"/>
      <c r="I29" s="273"/>
      <c r="J29" s="340"/>
      <c r="K29" s="273"/>
      <c r="L29" s="340"/>
      <c r="M29" s="254"/>
      <c r="N29" s="253" t="s">
        <v>679</v>
      </c>
    </row>
    <row r="30" spans="1:15" s="492" customFormat="1" ht="11.1" customHeight="1" x14ac:dyDescent="0.2">
      <c r="A30" s="253"/>
      <c r="B30" s="353" t="s">
        <v>64</v>
      </c>
      <c r="C30" s="352"/>
      <c r="E30" s="254"/>
      <c r="F30" s="341">
        <f>SUM(F13:F29)</f>
        <v>4026465</v>
      </c>
      <c r="G30" s="273"/>
      <c r="H30" s="341">
        <f>SUM(H13:H29)</f>
        <v>539809</v>
      </c>
      <c r="I30" s="273"/>
      <c r="J30" s="341">
        <f>SUM(J13:J29)</f>
        <v>6547</v>
      </c>
      <c r="K30" s="273"/>
      <c r="L30" s="341">
        <f>SUM(L13:L29)</f>
        <v>4572821</v>
      </c>
      <c r="M30" s="254"/>
      <c r="N30" s="253"/>
    </row>
    <row r="31" spans="1:15" s="492" customFormat="1" ht="11.1" customHeight="1" x14ac:dyDescent="0.2">
      <c r="A31" s="253"/>
      <c r="B31" s="353"/>
      <c r="C31" s="352"/>
      <c r="E31" s="254"/>
      <c r="F31" s="273"/>
      <c r="G31" s="273"/>
      <c r="H31" s="273"/>
      <c r="I31" s="273"/>
      <c r="J31" s="273"/>
      <c r="K31" s="273"/>
      <c r="L31" s="273"/>
      <c r="M31" s="254"/>
      <c r="N31" s="253"/>
    </row>
    <row r="32" spans="1:15" s="492" customFormat="1" ht="11.1" customHeight="1" x14ac:dyDescent="0.2">
      <c r="A32" s="253"/>
      <c r="B32" s="284" t="s">
        <v>70</v>
      </c>
      <c r="C32" s="352"/>
      <c r="E32" s="254"/>
      <c r="F32" s="273"/>
      <c r="G32" s="273"/>
      <c r="H32" s="273"/>
      <c r="I32" s="273"/>
      <c r="J32" s="273"/>
      <c r="K32" s="273"/>
      <c r="L32" s="273"/>
      <c r="M32" s="254"/>
      <c r="N32" s="253"/>
    </row>
    <row r="33" spans="1:15" s="492" customFormat="1" ht="9.9499999999999993" customHeight="1" x14ac:dyDescent="0.2">
      <c r="C33" s="353" t="s">
        <v>686</v>
      </c>
      <c r="D33" s="253"/>
      <c r="E33" s="254"/>
      <c r="F33" s="273"/>
      <c r="G33" s="273"/>
      <c r="H33" s="273"/>
      <c r="I33" s="273"/>
      <c r="J33" s="273"/>
      <c r="K33" s="273"/>
      <c r="L33" s="273"/>
      <c r="M33" s="254"/>
      <c r="N33" s="253"/>
    </row>
    <row r="34" spans="1:15" s="492" customFormat="1" ht="9.9499999999999993" customHeight="1" x14ac:dyDescent="0.2">
      <c r="C34" s="353"/>
      <c r="D34" s="253" t="s">
        <v>1756</v>
      </c>
      <c r="E34" s="254"/>
      <c r="F34" s="273"/>
      <c r="G34" s="273"/>
      <c r="H34" s="273"/>
      <c r="I34" s="273"/>
      <c r="J34" s="273"/>
      <c r="K34" s="273"/>
      <c r="L34" s="273"/>
      <c r="M34" s="254"/>
      <c r="N34" s="253"/>
    </row>
    <row r="35" spans="1:15" s="492" customFormat="1" ht="9.9499999999999993" customHeight="1" x14ac:dyDescent="0.2">
      <c r="C35" s="352"/>
      <c r="D35" s="349" t="s">
        <v>77</v>
      </c>
      <c r="E35" s="254"/>
      <c r="F35" s="273"/>
      <c r="G35" s="273"/>
      <c r="H35" s="273">
        <v>14303</v>
      </c>
      <c r="I35" s="273"/>
      <c r="J35" s="273"/>
      <c r="K35" s="273"/>
      <c r="L35" s="273">
        <f>SUM(F35:J35)</f>
        <v>14303</v>
      </c>
      <c r="M35" s="254"/>
      <c r="N35" s="253"/>
    </row>
    <row r="36" spans="1:15" s="492" customFormat="1" ht="9.9499999999999993" customHeight="1" x14ac:dyDescent="0.2">
      <c r="A36" s="253"/>
      <c r="D36" s="349" t="s">
        <v>995</v>
      </c>
      <c r="E36" s="254"/>
      <c r="F36" s="273">
        <v>440</v>
      </c>
      <c r="G36" s="273"/>
      <c r="H36" s="273">
        <v>2073</v>
      </c>
      <c r="I36" s="273"/>
      <c r="J36" s="273"/>
      <c r="K36" s="273"/>
      <c r="L36" s="273">
        <f>SUM(F36:J36)</f>
        <v>2513</v>
      </c>
      <c r="M36" s="254"/>
      <c r="N36" s="253"/>
    </row>
    <row r="37" spans="1:15" s="492" customFormat="1" ht="9.9499999999999993" customHeight="1" x14ac:dyDescent="0.2">
      <c r="A37" s="253"/>
      <c r="D37" s="349" t="s">
        <v>994</v>
      </c>
      <c r="E37" s="254"/>
      <c r="F37" s="273">
        <v>790</v>
      </c>
      <c r="G37" s="273"/>
      <c r="H37" s="273">
        <v>16706</v>
      </c>
      <c r="I37" s="273"/>
      <c r="J37" s="273"/>
      <c r="K37" s="273"/>
      <c r="L37" s="273">
        <f>SUM(F37:J37)</f>
        <v>17496</v>
      </c>
      <c r="M37" s="254"/>
      <c r="N37" s="253"/>
    </row>
    <row r="38" spans="1:15" s="492" customFormat="1" ht="9.9499999999999993" hidden="1" customHeight="1" x14ac:dyDescent="0.2">
      <c r="A38" s="253"/>
      <c r="D38" s="352" t="s">
        <v>993</v>
      </c>
      <c r="E38" s="254"/>
      <c r="F38" s="273"/>
      <c r="G38" s="273"/>
      <c r="H38" s="273"/>
      <c r="I38" s="273"/>
      <c r="J38" s="273"/>
      <c r="K38" s="273"/>
      <c r="L38" s="273">
        <f>SUM(F38:J38)</f>
        <v>0</v>
      </c>
      <c r="M38" s="254"/>
      <c r="N38" s="253"/>
    </row>
    <row r="39" spans="1:15" s="492" customFormat="1" ht="9.9499999999999993" customHeight="1" x14ac:dyDescent="0.2">
      <c r="A39" s="253"/>
      <c r="C39" s="253"/>
      <c r="D39" s="349" t="s">
        <v>996</v>
      </c>
      <c r="E39" s="254"/>
      <c r="F39" s="273">
        <v>597</v>
      </c>
      <c r="G39" s="273"/>
      <c r="H39" s="273">
        <v>1738</v>
      </c>
      <c r="I39" s="273"/>
      <c r="J39" s="273"/>
      <c r="K39" s="273"/>
      <c r="L39" s="273">
        <f>SUM(F39:J39)</f>
        <v>2335</v>
      </c>
      <c r="M39" s="254"/>
      <c r="N39" s="253"/>
    </row>
    <row r="40" spans="1:15" s="492" customFormat="1" ht="5.0999999999999996" customHeight="1" x14ac:dyDescent="0.2">
      <c r="A40" s="253"/>
      <c r="C40" s="352"/>
      <c r="D40" s="352"/>
      <c r="E40" s="254"/>
      <c r="F40" s="340"/>
      <c r="G40" s="273"/>
      <c r="H40" s="340"/>
      <c r="I40" s="273"/>
      <c r="J40" s="340"/>
      <c r="K40" s="273"/>
      <c r="L40" s="340"/>
      <c r="M40" s="254"/>
      <c r="N40" s="253"/>
    </row>
    <row r="41" spans="1:15" s="492" customFormat="1" ht="9.9499999999999993" customHeight="1" x14ac:dyDescent="0.2">
      <c r="A41" s="253"/>
      <c r="D41" s="352" t="s">
        <v>1755</v>
      </c>
      <c r="E41" s="254"/>
      <c r="F41" s="273">
        <f>SUM(F35:F38)-F39</f>
        <v>633</v>
      </c>
      <c r="G41" s="273"/>
      <c r="H41" s="273">
        <f>SUM(H35:H38)-H39</f>
        <v>31344</v>
      </c>
      <c r="I41" s="273"/>
      <c r="J41" s="273">
        <f>SUM(J35:J38)-J39</f>
        <v>0</v>
      </c>
      <c r="K41" s="273"/>
      <c r="L41" s="273">
        <f>SUM(L35:L38)-L39</f>
        <v>31977</v>
      </c>
      <c r="M41" s="254"/>
      <c r="N41" s="253"/>
    </row>
    <row r="42" spans="1:15" s="202" customFormat="1" ht="5.0999999999999996" customHeight="1" x14ac:dyDescent="0.2">
      <c r="A42" s="434"/>
      <c r="B42" s="434"/>
      <c r="C42" s="437"/>
      <c r="D42" s="437"/>
      <c r="E42" s="437"/>
      <c r="F42" s="1450"/>
      <c r="G42" s="437"/>
      <c r="H42" s="1450"/>
      <c r="I42" s="437"/>
      <c r="J42" s="1450"/>
      <c r="K42" s="437"/>
      <c r="L42" s="1450"/>
      <c r="M42" s="1450"/>
      <c r="N42" s="437"/>
      <c r="O42" s="1450"/>
    </row>
    <row r="43" spans="1:15" s="492" customFormat="1" ht="11.1" customHeight="1" x14ac:dyDescent="0.2">
      <c r="A43" s="253"/>
      <c r="B43" s="353"/>
      <c r="D43" s="352" t="s">
        <v>764</v>
      </c>
      <c r="E43" s="254"/>
      <c r="F43" s="341"/>
      <c r="G43" s="273"/>
      <c r="H43" s="341">
        <v>13153</v>
      </c>
      <c r="I43" s="273"/>
      <c r="J43" s="341"/>
      <c r="K43" s="273"/>
      <c r="L43" s="273">
        <f>SUM(F43:J43)</f>
        <v>13153</v>
      </c>
      <c r="M43" s="254"/>
      <c r="N43" s="253"/>
    </row>
    <row r="44" spans="1:15" s="202" customFormat="1" ht="5.0999999999999996" customHeight="1" x14ac:dyDescent="0.2">
      <c r="A44" s="434"/>
      <c r="B44" s="434"/>
      <c r="C44" s="437"/>
      <c r="D44" s="437"/>
      <c r="E44" s="437"/>
      <c r="F44" s="1450"/>
      <c r="G44" s="437"/>
      <c r="H44" s="1450"/>
      <c r="I44" s="437"/>
      <c r="J44" s="1450"/>
      <c r="K44" s="437"/>
      <c r="L44" s="1450"/>
      <c r="M44" s="1450"/>
      <c r="N44" s="437"/>
      <c r="O44" s="1450"/>
    </row>
    <row r="45" spans="1:15" ht="9.9499999999999993" customHeight="1" x14ac:dyDescent="0.2">
      <c r="D45" s="352" t="s">
        <v>1614</v>
      </c>
      <c r="E45" s="492"/>
      <c r="F45" s="273"/>
      <c r="G45" s="273"/>
      <c r="H45" s="273">
        <v>1408</v>
      </c>
      <c r="I45" s="273"/>
      <c r="J45" s="273"/>
      <c r="K45" s="273"/>
      <c r="L45" s="273">
        <f>SUM(F45:J45)</f>
        <v>1408</v>
      </c>
    </row>
    <row r="46" spans="1:15" ht="9.9499999999999993" customHeight="1" x14ac:dyDescent="0.2">
      <c r="D46" s="1559" t="s">
        <v>1585</v>
      </c>
      <c r="F46" s="341"/>
      <c r="G46" s="273"/>
      <c r="H46" s="341">
        <v>534</v>
      </c>
      <c r="I46" s="273"/>
      <c r="J46" s="341"/>
      <c r="K46" s="273"/>
      <c r="L46" s="273">
        <f>SUM(F46:J46)</f>
        <v>534</v>
      </c>
    </row>
    <row r="47" spans="1:15" ht="9.9499999999999993" customHeight="1" x14ac:dyDescent="0.2">
      <c r="D47" s="352" t="s">
        <v>1612</v>
      </c>
      <c r="E47" s="492"/>
      <c r="F47" s="273">
        <f>+F46+F45</f>
        <v>0</v>
      </c>
      <c r="G47" s="273"/>
      <c r="H47" s="273">
        <f>+H45-H46</f>
        <v>874</v>
      </c>
      <c r="I47" s="273">
        <f>+I46+I45</f>
        <v>0</v>
      </c>
      <c r="J47" s="273">
        <f>+J46+J45</f>
        <v>0</v>
      </c>
      <c r="K47" s="340"/>
      <c r="L47" s="340">
        <f>+L45-L46</f>
        <v>874</v>
      </c>
    </row>
    <row r="48" spans="1:15" s="492" customFormat="1" ht="5.0999999999999996" customHeight="1" x14ac:dyDescent="0.2">
      <c r="A48" s="253"/>
      <c r="C48" s="253"/>
      <c r="D48" s="352"/>
      <c r="E48" s="254"/>
      <c r="F48" s="273"/>
      <c r="G48" s="273"/>
      <c r="H48" s="273"/>
      <c r="I48" s="273"/>
      <c r="J48" s="273"/>
      <c r="K48" s="273"/>
      <c r="L48" s="273"/>
      <c r="M48" s="254"/>
      <c r="N48" s="253"/>
    </row>
    <row r="49" spans="1:17" s="492" customFormat="1" ht="11.1" customHeight="1" x14ac:dyDescent="0.2">
      <c r="A49" s="253"/>
      <c r="C49" s="353" t="s">
        <v>78</v>
      </c>
      <c r="D49" s="253"/>
      <c r="E49" s="254"/>
      <c r="F49" s="341">
        <f>+F41+F43+F47</f>
        <v>633</v>
      </c>
      <c r="G49" s="273"/>
      <c r="H49" s="341">
        <f t="shared" ref="H49" si="1">+H41+H43+H47</f>
        <v>45371</v>
      </c>
      <c r="I49" s="273"/>
      <c r="J49" s="341">
        <f t="shared" ref="J49" si="2">+J41+J43+J47</f>
        <v>0</v>
      </c>
      <c r="K49" s="273"/>
      <c r="L49" s="341">
        <f t="shared" ref="L49" si="3">+L41+L43+L47</f>
        <v>46004</v>
      </c>
      <c r="M49" s="254"/>
      <c r="N49" s="253"/>
    </row>
    <row r="50" spans="1:17" s="492" customFormat="1" ht="5.0999999999999996" customHeight="1" x14ac:dyDescent="0.2">
      <c r="A50" s="253"/>
      <c r="B50" s="353"/>
      <c r="C50" s="253"/>
      <c r="E50" s="254"/>
      <c r="F50" s="273"/>
      <c r="G50" s="273"/>
      <c r="H50" s="273"/>
      <c r="I50" s="273"/>
      <c r="J50" s="273"/>
      <c r="K50" s="273"/>
      <c r="L50" s="273"/>
      <c r="M50" s="254"/>
      <c r="N50" s="253"/>
    </row>
    <row r="51" spans="1:17" s="492" customFormat="1" ht="11.1" customHeight="1" x14ac:dyDescent="0.2">
      <c r="A51" s="253"/>
      <c r="B51" s="353" t="s">
        <v>976</v>
      </c>
      <c r="C51" s="352"/>
      <c r="E51" s="254"/>
      <c r="F51" s="341">
        <f>+F49</f>
        <v>633</v>
      </c>
      <c r="G51" s="273"/>
      <c r="H51" s="341">
        <f t="shared" ref="H51" si="4">+H49</f>
        <v>45371</v>
      </c>
      <c r="I51" s="273"/>
      <c r="J51" s="341">
        <f t="shared" ref="J51" si="5">+J49</f>
        <v>0</v>
      </c>
      <c r="K51" s="273"/>
      <c r="L51" s="341">
        <f t="shared" ref="L51" si="6">+L49</f>
        <v>46004</v>
      </c>
      <c r="M51" s="254"/>
      <c r="N51" s="253"/>
    </row>
    <row r="52" spans="1:17" s="492" customFormat="1" ht="5.0999999999999996" customHeight="1" x14ac:dyDescent="0.2">
      <c r="A52" s="253"/>
      <c r="B52" s="353"/>
      <c r="C52" s="253"/>
      <c r="E52" s="254"/>
      <c r="F52" s="273"/>
      <c r="G52" s="273"/>
      <c r="H52" s="273"/>
      <c r="I52" s="273"/>
      <c r="J52" s="273"/>
      <c r="K52" s="273"/>
      <c r="L52" s="340"/>
      <c r="M52" s="254"/>
      <c r="N52" s="253"/>
    </row>
    <row r="53" spans="1:17" s="492" customFormat="1" ht="11.1" customHeight="1" x14ac:dyDescent="0.2">
      <c r="A53" s="353" t="s">
        <v>687</v>
      </c>
      <c r="B53" s="253"/>
      <c r="C53" s="253"/>
      <c r="D53" s="253"/>
      <c r="E53" s="254"/>
      <c r="F53" s="1227">
        <f>F30+F51</f>
        <v>4027098</v>
      </c>
      <c r="G53" s="273"/>
      <c r="H53" s="1227">
        <f>H30+H51</f>
        <v>585180</v>
      </c>
      <c r="I53" s="273"/>
      <c r="J53" s="1227">
        <f>J30+J51</f>
        <v>6547</v>
      </c>
      <c r="K53" s="273"/>
      <c r="L53" s="1227">
        <f>L30+L51</f>
        <v>4618825</v>
      </c>
      <c r="M53" s="254"/>
      <c r="N53" s="253"/>
    </row>
    <row r="54" spans="1:17" s="492" customFormat="1" ht="5.0999999999999996" customHeight="1" x14ac:dyDescent="0.2">
      <c r="A54" s="253"/>
      <c r="B54" s="253"/>
      <c r="C54" s="253"/>
      <c r="D54" s="253"/>
      <c r="E54" s="254"/>
      <c r="F54" s="273"/>
      <c r="G54" s="273"/>
      <c r="H54" s="273"/>
      <c r="I54" s="273"/>
      <c r="J54" s="273"/>
      <c r="K54" s="273"/>
      <c r="L54" s="273"/>
      <c r="M54" s="254"/>
      <c r="N54" s="253"/>
    </row>
    <row r="55" spans="1:17" s="492" customFormat="1" ht="9.9499999999999993" customHeight="1" x14ac:dyDescent="0.2">
      <c r="A55" s="1600" t="s">
        <v>751</v>
      </c>
      <c r="B55" s="1600"/>
      <c r="C55" s="1600"/>
      <c r="D55" s="1600"/>
      <c r="E55" s="254"/>
      <c r="F55" s="273"/>
      <c r="G55" s="273"/>
      <c r="H55" s="273"/>
      <c r="I55" s="273"/>
      <c r="J55" s="273"/>
      <c r="K55" s="273"/>
      <c r="L55" s="273"/>
      <c r="M55" s="254"/>
      <c r="N55" s="253"/>
    </row>
    <row r="56" spans="1:17" s="907" customFormat="1" ht="9.9499999999999993" customHeight="1" x14ac:dyDescent="0.2">
      <c r="A56" s="454"/>
      <c r="B56" s="352" t="s">
        <v>688</v>
      </c>
      <c r="C56" s="454"/>
      <c r="D56" s="454"/>
      <c r="E56" s="454"/>
      <c r="F56" s="454">
        <v>3315</v>
      </c>
      <c r="G56" s="533"/>
      <c r="H56" s="1488">
        <v>0</v>
      </c>
      <c r="I56" s="533"/>
      <c r="J56" s="346">
        <v>78</v>
      </c>
      <c r="K56" s="533"/>
      <c r="L56" s="454">
        <f t="shared" ref="L56:L62" si="7">SUM(F56:J56)</f>
        <v>3393</v>
      </c>
      <c r="M56" s="454"/>
      <c r="N56" s="454"/>
    </row>
    <row r="57" spans="1:17" s="492" customFormat="1" ht="9.9499999999999993" customHeight="1" x14ac:dyDescent="0.2">
      <c r="A57" s="253"/>
      <c r="B57" s="352" t="s">
        <v>847</v>
      </c>
      <c r="C57" s="253"/>
      <c r="D57" s="253"/>
      <c r="E57" s="254"/>
      <c r="F57" s="273">
        <v>12050</v>
      </c>
      <c r="G57" s="273"/>
      <c r="H57" s="273">
        <v>1341</v>
      </c>
      <c r="I57" s="273"/>
      <c r="J57" s="273">
        <v>0</v>
      </c>
      <c r="K57" s="273"/>
      <c r="L57" s="273">
        <f t="shared" si="7"/>
        <v>13391</v>
      </c>
      <c r="M57" s="254"/>
      <c r="N57" s="253"/>
      <c r="Q57" s="492" t="s">
        <v>1113</v>
      </c>
    </row>
    <row r="58" spans="1:17" s="492" customFormat="1" ht="9.9499999999999993" customHeight="1" x14ac:dyDescent="0.2">
      <c r="A58" s="253"/>
      <c r="B58" s="352" t="s">
        <v>254</v>
      </c>
      <c r="C58" s="253"/>
      <c r="D58" s="253"/>
      <c r="E58" s="254"/>
      <c r="F58" s="273"/>
      <c r="G58" s="273"/>
      <c r="H58" s="273">
        <v>4895</v>
      </c>
      <c r="I58" s="273"/>
      <c r="J58" s="273">
        <v>214</v>
      </c>
      <c r="K58" s="273"/>
      <c r="L58" s="273">
        <f t="shared" si="7"/>
        <v>5109</v>
      </c>
      <c r="M58" s="254"/>
      <c r="N58" s="253"/>
      <c r="Q58" s="492" t="s">
        <v>1299</v>
      </c>
    </row>
    <row r="59" spans="1:17" s="492" customFormat="1" ht="9.6" customHeight="1" x14ac:dyDescent="0.2">
      <c r="A59" s="253"/>
      <c r="B59" s="352" t="s">
        <v>690</v>
      </c>
      <c r="C59" s="253"/>
      <c r="D59" s="253"/>
      <c r="E59" s="254"/>
      <c r="F59" s="273">
        <v>397</v>
      </c>
      <c r="G59" s="273"/>
      <c r="H59" s="273">
        <v>50</v>
      </c>
      <c r="I59" s="273"/>
      <c r="J59" s="273"/>
      <c r="K59" s="273"/>
      <c r="L59" s="273">
        <f t="shared" si="7"/>
        <v>447</v>
      </c>
      <c r="M59" s="254"/>
      <c r="N59" s="253"/>
      <c r="Q59" s="492" t="s">
        <v>1298</v>
      </c>
    </row>
    <row r="60" spans="1:17" s="492" customFormat="1" ht="9.9499999999999993" hidden="1" customHeight="1" x14ac:dyDescent="0.2">
      <c r="A60" s="253"/>
      <c r="B60" s="352" t="s">
        <v>692</v>
      </c>
      <c r="C60" s="253"/>
      <c r="D60" s="253"/>
      <c r="E60" s="254"/>
      <c r="F60" s="273"/>
      <c r="G60" s="273"/>
      <c r="H60" s="273">
        <v>0</v>
      </c>
      <c r="I60" s="273"/>
      <c r="J60" s="273">
        <v>0</v>
      </c>
      <c r="K60" s="273"/>
      <c r="L60" s="273">
        <f t="shared" si="7"/>
        <v>0</v>
      </c>
      <c r="M60" s="254"/>
      <c r="N60" s="253"/>
      <c r="Q60" s="492" t="s">
        <v>1300</v>
      </c>
    </row>
    <row r="61" spans="1:17" s="492" customFormat="1" ht="9.9499999999999993" hidden="1" customHeight="1" x14ac:dyDescent="0.2">
      <c r="A61" s="253"/>
      <c r="B61" s="352" t="s">
        <v>604</v>
      </c>
      <c r="C61" s="253"/>
      <c r="D61" s="253"/>
      <c r="E61" s="254"/>
      <c r="F61" s="273"/>
      <c r="G61" s="273"/>
      <c r="H61" s="273"/>
      <c r="I61" s="273"/>
      <c r="J61" s="273"/>
      <c r="K61" s="273"/>
      <c r="L61" s="273">
        <f t="shared" si="7"/>
        <v>0</v>
      </c>
      <c r="M61" s="254"/>
      <c r="N61" s="253"/>
    </row>
    <row r="62" spans="1:17" s="492" customFormat="1" ht="9.9499999999999993" customHeight="1" x14ac:dyDescent="0.2">
      <c r="A62" s="253"/>
      <c r="B62" s="352" t="s">
        <v>854</v>
      </c>
      <c r="C62" s="253"/>
      <c r="D62" s="253"/>
      <c r="E62" s="254"/>
      <c r="F62" s="341">
        <v>87732</v>
      </c>
      <c r="G62" s="273"/>
      <c r="H62" s="341"/>
      <c r="I62" s="273"/>
      <c r="J62" s="341"/>
      <c r="K62" s="273"/>
      <c r="L62" s="341">
        <f t="shared" si="7"/>
        <v>87732</v>
      </c>
      <c r="M62" s="254"/>
      <c r="N62" s="253"/>
    </row>
    <row r="63" spans="1:17" s="492" customFormat="1" ht="5.0999999999999996" customHeight="1" x14ac:dyDescent="0.2">
      <c r="A63" s="253"/>
      <c r="B63" s="352"/>
      <c r="C63" s="253"/>
      <c r="D63" s="253"/>
      <c r="E63" s="254"/>
      <c r="F63" s="273"/>
      <c r="G63" s="273"/>
      <c r="H63" s="273"/>
      <c r="I63" s="273"/>
      <c r="J63" s="273"/>
      <c r="K63" s="273"/>
      <c r="L63" s="273"/>
      <c r="M63" s="254"/>
      <c r="N63" s="253"/>
    </row>
    <row r="64" spans="1:17" s="492" customFormat="1" ht="11.1" customHeight="1" x14ac:dyDescent="0.2">
      <c r="A64" s="353" t="s">
        <v>702</v>
      </c>
      <c r="C64" s="253"/>
      <c r="E64" s="254"/>
      <c r="F64" s="341">
        <f>SUM(F56:F62)</f>
        <v>103494</v>
      </c>
      <c r="G64" s="273"/>
      <c r="H64" s="341">
        <f>SUM(H56:H62)</f>
        <v>6286</v>
      </c>
      <c r="I64" s="273"/>
      <c r="J64" s="341">
        <f>SUM(J56:J62)</f>
        <v>292</v>
      </c>
      <c r="K64" s="273"/>
      <c r="L64" s="341">
        <f>SUM(L56:L62)</f>
        <v>110072</v>
      </c>
      <c r="M64" s="254"/>
      <c r="N64" s="253"/>
    </row>
    <row r="65" spans="1:17" s="492" customFormat="1" ht="5.0999999999999996" customHeight="1" x14ac:dyDescent="0.2">
      <c r="A65" s="253"/>
      <c r="B65" s="253"/>
      <c r="C65" s="253"/>
      <c r="D65" s="253"/>
      <c r="E65" s="254"/>
      <c r="F65" s="254"/>
      <c r="G65" s="273"/>
      <c r="H65" s="254"/>
      <c r="I65" s="273"/>
      <c r="J65" s="254"/>
      <c r="K65" s="273"/>
      <c r="L65" s="273"/>
      <c r="M65" s="254"/>
      <c r="N65" s="253"/>
    </row>
    <row r="66" spans="1:17" s="492" customFormat="1" ht="9.9499999999999993" customHeight="1" x14ac:dyDescent="0.2">
      <c r="A66" s="1600" t="s">
        <v>1113</v>
      </c>
      <c r="B66" s="1600"/>
      <c r="C66" s="1600"/>
      <c r="D66" s="1600"/>
      <c r="E66" s="254"/>
      <c r="F66" s="254"/>
      <c r="G66" s="273"/>
      <c r="H66" s="254"/>
      <c r="I66" s="273"/>
      <c r="J66" s="254"/>
      <c r="K66" s="273"/>
      <c r="L66" s="273"/>
      <c r="M66" s="254"/>
      <c r="N66" s="253"/>
    </row>
    <row r="67" spans="1:17" s="492" customFormat="1" ht="11.1" customHeight="1" x14ac:dyDescent="0.2">
      <c r="A67" s="253"/>
      <c r="B67" s="352" t="s">
        <v>1484</v>
      </c>
      <c r="E67" s="253"/>
      <c r="F67" s="538">
        <v>3923604</v>
      </c>
      <c r="G67" s="538"/>
      <c r="H67" s="538"/>
      <c r="I67" s="538"/>
      <c r="J67" s="538"/>
      <c r="K67" s="538"/>
      <c r="L67" s="538">
        <f>SUM(F67:J67)</f>
        <v>3923604</v>
      </c>
      <c r="M67" s="253"/>
      <c r="N67" s="253"/>
    </row>
    <row r="68" spans="1:17" s="492" customFormat="1" ht="9.9499999999999993" customHeight="1" x14ac:dyDescent="0.2">
      <c r="A68" s="253"/>
      <c r="B68" s="253" t="s">
        <v>1301</v>
      </c>
      <c r="C68" s="284"/>
      <c r="D68" s="253"/>
      <c r="E68" s="254"/>
      <c r="F68" s="345"/>
      <c r="G68" s="254"/>
      <c r="H68" s="345">
        <v>578894</v>
      </c>
      <c r="I68" s="254"/>
      <c r="J68" s="345">
        <f>J30-J64</f>
        <v>6255</v>
      </c>
      <c r="K68" s="254"/>
      <c r="L68" s="538">
        <f>SUM(F68:J68)</f>
        <v>585149</v>
      </c>
      <c r="M68" s="254"/>
      <c r="N68" s="253"/>
    </row>
    <row r="69" spans="1:17" s="492" customFormat="1" ht="5.0999999999999996" customHeight="1" x14ac:dyDescent="0.2">
      <c r="A69" s="253"/>
      <c r="B69" s="353"/>
      <c r="C69" s="253"/>
      <c r="E69" s="254"/>
      <c r="F69" s="340"/>
      <c r="G69" s="273"/>
      <c r="H69" s="340"/>
      <c r="I69" s="273"/>
      <c r="J69" s="340"/>
      <c r="K69" s="273"/>
      <c r="L69" s="340"/>
      <c r="M69" s="254"/>
      <c r="N69" s="253"/>
    </row>
    <row r="70" spans="1:17" s="492" customFormat="1" ht="11.1" customHeight="1" thickBot="1" x14ac:dyDescent="0.25">
      <c r="A70" s="353" t="s">
        <v>1116</v>
      </c>
      <c r="B70" s="253"/>
      <c r="C70" s="253"/>
      <c r="D70" s="253"/>
      <c r="E70" s="254"/>
      <c r="F70" s="460">
        <f>SUM(F67:F69)</f>
        <v>3923604</v>
      </c>
      <c r="G70" s="273"/>
      <c r="H70" s="460">
        <f>SUM(H67:H69)</f>
        <v>578894</v>
      </c>
      <c r="I70" s="273"/>
      <c r="J70" s="460">
        <f>SUM(J67:J69)</f>
        <v>6255</v>
      </c>
      <c r="K70" s="273"/>
      <c r="L70" s="460">
        <f>SUM(L67:L69)</f>
        <v>4508753</v>
      </c>
      <c r="M70" s="254"/>
      <c r="N70" s="253"/>
    </row>
    <row r="71" spans="1:17" s="492" customFormat="1" ht="5.0999999999999996" customHeight="1" thickTop="1" x14ac:dyDescent="0.2">
      <c r="A71" s="253"/>
      <c r="B71" s="253"/>
      <c r="C71" s="253"/>
      <c r="D71" s="253"/>
      <c r="E71" s="253"/>
      <c r="F71" s="253"/>
      <c r="G71" s="253"/>
      <c r="H71" s="253"/>
      <c r="I71" s="253"/>
      <c r="J71" s="253"/>
      <c r="K71" s="253"/>
      <c r="L71" s="253"/>
      <c r="M71" s="253"/>
      <c r="N71" s="253"/>
    </row>
    <row r="72" spans="1:17" s="492" customFormat="1" ht="9.9499999999999993" customHeight="1" x14ac:dyDescent="0.2">
      <c r="A72" s="253"/>
      <c r="B72" s="253"/>
      <c r="C72" s="253"/>
      <c r="D72" s="253"/>
      <c r="E72" s="253"/>
      <c r="F72" s="253"/>
      <c r="G72" s="253"/>
      <c r="H72" s="253"/>
      <c r="I72" s="253"/>
      <c r="J72" s="253"/>
      <c r="K72" s="253"/>
      <c r="L72" s="253"/>
      <c r="M72" s="253"/>
      <c r="N72" s="253"/>
    </row>
    <row r="73" spans="1:17" s="650" customFormat="1" ht="9.9499999999999993" customHeight="1" x14ac:dyDescent="0.2">
      <c r="A73" s="400"/>
      <c r="B73" s="400"/>
      <c r="C73" s="400"/>
      <c r="D73" s="401" t="s">
        <v>998</v>
      </c>
      <c r="E73" s="400"/>
      <c r="F73" s="420">
        <f>SUM(F53-F64-F70)</f>
        <v>0</v>
      </c>
      <c r="G73" s="420"/>
      <c r="H73" s="420">
        <f>SUM(H53-H64-H70)</f>
        <v>0</v>
      </c>
      <c r="I73" s="420"/>
      <c r="J73" s="420">
        <f>SUM(J53-J64-J70)</f>
        <v>0</v>
      </c>
      <c r="K73" s="420"/>
      <c r="L73" s="420">
        <f>SUM(L53-L64-L70)</f>
        <v>0</v>
      </c>
      <c r="M73" s="400"/>
      <c r="N73" s="400"/>
    </row>
    <row r="74" spans="1:17" s="492" customFormat="1" ht="9.9499999999999993" customHeight="1" x14ac:dyDescent="0.2">
      <c r="A74" s="253"/>
      <c r="B74" s="253"/>
      <c r="C74" s="253"/>
      <c r="D74" s="253"/>
      <c r="E74" s="253"/>
      <c r="F74" s="253"/>
      <c r="G74" s="253"/>
      <c r="H74" s="253"/>
      <c r="I74" s="253"/>
      <c r="J74" s="253"/>
      <c r="K74" s="253"/>
      <c r="L74" s="253"/>
      <c r="M74" s="253"/>
      <c r="N74" s="253"/>
    </row>
    <row r="75" spans="1:17" s="492" customFormat="1" ht="9.9499999999999993" customHeight="1" x14ac:dyDescent="0.2">
      <c r="A75" s="253"/>
      <c r="B75" s="253"/>
      <c r="C75" s="253"/>
      <c r="D75" s="253"/>
      <c r="E75" s="253"/>
      <c r="F75" s="253"/>
      <c r="G75" s="253"/>
      <c r="H75" s="253"/>
      <c r="I75" s="253"/>
      <c r="J75" s="253"/>
      <c r="K75" s="253"/>
      <c r="L75" s="253"/>
      <c r="M75" s="253"/>
      <c r="N75" s="253"/>
    </row>
    <row r="76" spans="1:17" s="492" customFormat="1" ht="9.9499999999999993" customHeight="1" x14ac:dyDescent="0.2">
      <c r="A76" s="253"/>
      <c r="B76" s="253"/>
      <c r="C76" s="253"/>
      <c r="D76" s="253"/>
      <c r="E76" s="253"/>
      <c r="F76" s="253"/>
      <c r="G76" s="253"/>
      <c r="H76" s="253"/>
      <c r="I76" s="253"/>
      <c r="J76" s="253"/>
      <c r="K76" s="253"/>
      <c r="L76" s="253"/>
      <c r="M76" s="253"/>
      <c r="N76" s="253"/>
    </row>
    <row r="77" spans="1:17" s="492" customFormat="1" ht="9.9499999999999993" customHeight="1" x14ac:dyDescent="0.2">
      <c r="A77" s="253"/>
      <c r="B77" s="253"/>
      <c r="C77" s="253"/>
      <c r="D77" s="253"/>
      <c r="E77" s="253"/>
      <c r="F77" s="253"/>
      <c r="G77" s="253"/>
      <c r="H77" s="253"/>
      <c r="I77" s="253"/>
      <c r="J77" s="253"/>
      <c r="K77" s="253"/>
      <c r="L77" s="253"/>
      <c r="M77" s="253"/>
      <c r="N77" s="253"/>
    </row>
    <row r="78" spans="1:17" s="492" customFormat="1" ht="9.9499999999999993" customHeight="1" x14ac:dyDescent="0.2"/>
    <row r="79" spans="1:17" s="1121" customFormat="1" ht="13.5" customHeight="1" x14ac:dyDescent="0.2">
      <c r="D79" s="1249"/>
      <c r="N79" s="1132" t="s">
        <v>1247</v>
      </c>
      <c r="O79" s="1132" t="s">
        <v>1248</v>
      </c>
      <c r="P79" s="1132" t="s">
        <v>1249</v>
      </c>
      <c r="Q79" s="1132" t="s">
        <v>1003</v>
      </c>
    </row>
    <row r="80" spans="1:17" s="1121" customFormat="1" ht="14.25" customHeight="1" x14ac:dyDescent="0.2">
      <c r="D80" s="1249"/>
      <c r="L80" s="1122" t="s">
        <v>440</v>
      </c>
      <c r="N80" s="1120">
        <v>156722203.72999999</v>
      </c>
      <c r="O80" s="1123">
        <f>N80/1000</f>
        <v>156722.20372999998</v>
      </c>
      <c r="P80" s="1124">
        <f>F13</f>
        <v>93256</v>
      </c>
      <c r="Q80" s="1123">
        <f>+P80-O80</f>
        <v>-63466.203729999979</v>
      </c>
    </row>
    <row r="81" spans="4:19" s="1121" customFormat="1" ht="14.25" customHeight="1" x14ac:dyDescent="0.2">
      <c r="D81" s="1249"/>
      <c r="L81" s="1125" t="s">
        <v>292</v>
      </c>
      <c r="N81" s="1120">
        <v>443303036.74000001</v>
      </c>
      <c r="O81" s="1123">
        <f t="shared" ref="O81:O86" si="8">N81/1000</f>
        <v>443303.03674000001</v>
      </c>
      <c r="P81" s="1126">
        <f>F18</f>
        <v>527400</v>
      </c>
      <c r="Q81" s="1123">
        <f t="shared" ref="Q81:Q86" si="9">+P81-O81</f>
        <v>84096.96325999999</v>
      </c>
    </row>
    <row r="82" spans="4:19" s="1121" customFormat="1" ht="14.25" customHeight="1" x14ac:dyDescent="0.2">
      <c r="D82" s="1249"/>
      <c r="L82" s="1127" t="s">
        <v>1244</v>
      </c>
      <c r="N82" s="1120"/>
      <c r="O82" s="1123">
        <f t="shared" si="8"/>
        <v>0</v>
      </c>
      <c r="P82" s="1126">
        <f>F17</f>
        <v>297642</v>
      </c>
      <c r="Q82" s="1123">
        <f t="shared" si="9"/>
        <v>297642</v>
      </c>
    </row>
    <row r="83" spans="4:19" s="1121" customFormat="1" ht="14.25" customHeight="1" x14ac:dyDescent="0.2">
      <c r="D83" s="1249"/>
      <c r="L83" s="1128" t="s">
        <v>290</v>
      </c>
      <c r="N83" s="1120">
        <v>1026364744.08</v>
      </c>
      <c r="O83" s="1123">
        <f t="shared" si="8"/>
        <v>1026364.7440800001</v>
      </c>
      <c r="P83" s="1126">
        <f>F16</f>
        <v>1753788</v>
      </c>
      <c r="Q83" s="1123"/>
    </row>
    <row r="84" spans="4:19" s="1121" customFormat="1" ht="14.25" customHeight="1" x14ac:dyDescent="0.2">
      <c r="D84" s="1249"/>
      <c r="L84" s="1129" t="s">
        <v>293</v>
      </c>
      <c r="N84" s="1120">
        <v>394076794.13</v>
      </c>
      <c r="O84" s="1123">
        <f t="shared" si="8"/>
        <v>394076.79412999999</v>
      </c>
      <c r="P84" s="1126">
        <f>F21</f>
        <v>25120</v>
      </c>
      <c r="Q84" s="1123">
        <f t="shared" si="9"/>
        <v>-368956.79412999999</v>
      </c>
    </row>
    <row r="85" spans="4:19" s="1121" customFormat="1" ht="14.25" customHeight="1" x14ac:dyDescent="0.2">
      <c r="D85" s="1249"/>
      <c r="L85" s="1130" t="s">
        <v>1245</v>
      </c>
      <c r="N85" s="1120">
        <v>341002213.42000002</v>
      </c>
      <c r="O85" s="1123">
        <f t="shared" si="8"/>
        <v>341002.21342000004</v>
      </c>
      <c r="P85" s="1126">
        <f>F23</f>
        <v>910898</v>
      </c>
      <c r="Q85" s="1123">
        <f t="shared" si="9"/>
        <v>569895.78657999996</v>
      </c>
    </row>
    <row r="86" spans="4:19" s="1121" customFormat="1" ht="14.25" customHeight="1" x14ac:dyDescent="0.2">
      <c r="D86" s="1249"/>
      <c r="L86" s="1130" t="s">
        <v>294</v>
      </c>
      <c r="N86" s="1120">
        <v>249564182.72999999</v>
      </c>
      <c r="O86" s="1123">
        <f t="shared" si="8"/>
        <v>249564.18273</v>
      </c>
      <c r="P86" s="1126">
        <f>F22</f>
        <v>311843</v>
      </c>
      <c r="Q86" s="1123">
        <f t="shared" si="9"/>
        <v>62278.81727</v>
      </c>
    </row>
    <row r="87" spans="4:19" s="1121" customFormat="1" ht="14.25" customHeight="1" x14ac:dyDescent="0.2">
      <c r="L87" s="1130" t="s">
        <v>1246</v>
      </c>
      <c r="N87" s="1120">
        <v>107230264.69</v>
      </c>
      <c r="P87" s="1126">
        <f>F14</f>
        <v>87732</v>
      </c>
      <c r="Q87" s="1123">
        <f>+P87-O91</f>
        <v>-85537</v>
      </c>
    </row>
    <row r="88" spans="4:19" s="1121" customFormat="1" ht="14.25" customHeight="1" x14ac:dyDescent="0.2">
      <c r="L88" s="1130"/>
      <c r="N88" s="1120">
        <v>2791491212.1500001</v>
      </c>
      <c r="O88" s="1131">
        <f>SUM(O80:O87)</f>
        <v>2611033.1748300004</v>
      </c>
      <c r="P88" s="1131">
        <f>SUM(P80:P87)</f>
        <v>4007679</v>
      </c>
      <c r="Q88" s="1131">
        <f>SUM(Q80:Q87)</f>
        <v>495953.56924999994</v>
      </c>
    </row>
    <row r="90" spans="4:19" ht="9.9499999999999993" customHeight="1" x14ac:dyDescent="0.2">
      <c r="N90" s="1131"/>
      <c r="O90" s="1131"/>
      <c r="P90" s="1131"/>
      <c r="Q90" s="1131"/>
      <c r="R90" s="1131"/>
      <c r="S90" s="1131"/>
    </row>
    <row r="91" spans="4:19" ht="9.9499999999999993" customHeight="1" x14ac:dyDescent="0.2">
      <c r="N91" s="1131"/>
      <c r="O91" s="1131">
        <v>173269</v>
      </c>
      <c r="P91" s="1131"/>
      <c r="Q91" s="1131"/>
      <c r="R91" s="1131"/>
      <c r="S91" s="1131"/>
    </row>
    <row r="92" spans="4:19" ht="9.9499999999999993" customHeight="1" x14ac:dyDescent="0.2">
      <c r="N92" s="1131"/>
      <c r="O92" s="1131">
        <v>10057</v>
      </c>
      <c r="P92" s="1131"/>
      <c r="Q92" s="1131"/>
      <c r="R92" s="1131"/>
      <c r="S92" s="1131"/>
    </row>
    <row r="93" spans="4:19" ht="9.9499999999999993" customHeight="1" x14ac:dyDescent="0.2">
      <c r="N93" s="1131"/>
      <c r="O93" s="1131">
        <v>687824</v>
      </c>
      <c r="P93" s="1131"/>
      <c r="Q93" s="1131"/>
      <c r="R93" s="1131"/>
      <c r="S93" s="1131"/>
    </row>
    <row r="94" spans="4:19" ht="9.9499999999999993" customHeight="1" x14ac:dyDescent="0.2">
      <c r="N94" s="1131"/>
      <c r="O94" s="1131">
        <v>904835</v>
      </c>
      <c r="P94" s="1131"/>
      <c r="Q94" s="1131"/>
      <c r="R94" s="1131"/>
      <c r="S94" s="1131"/>
    </row>
    <row r="95" spans="4:19" ht="9.9499999999999993" customHeight="1" x14ac:dyDescent="0.2">
      <c r="N95" s="1131"/>
      <c r="O95" s="1461">
        <f>SUM(O91:O94)</f>
        <v>1775985</v>
      </c>
      <c r="P95" s="1131" t="s">
        <v>1652</v>
      </c>
      <c r="Q95" s="1131"/>
      <c r="R95" s="1131"/>
      <c r="S95" s="1131"/>
    </row>
    <row r="96" spans="4:19" ht="9.9499999999999993" customHeight="1" x14ac:dyDescent="0.2">
      <c r="N96" s="1131"/>
      <c r="O96" s="1131"/>
      <c r="P96" s="1131"/>
      <c r="Q96" s="1131"/>
      <c r="R96" s="1131"/>
      <c r="S96" s="1131"/>
    </row>
    <row r="97" spans="14:19" ht="9.9499999999999993" customHeight="1" x14ac:dyDescent="0.2">
      <c r="N97" s="1131"/>
      <c r="O97" s="1131">
        <v>9309571</v>
      </c>
      <c r="P97" s="1131"/>
      <c r="Q97" s="1131"/>
      <c r="R97" s="1131"/>
      <c r="S97" s="1131"/>
    </row>
    <row r="98" spans="14:19" ht="9.9499999999999993" customHeight="1" x14ac:dyDescent="0.2">
      <c r="N98" s="1131"/>
      <c r="O98" s="1131">
        <v>102763</v>
      </c>
      <c r="P98" s="1131"/>
      <c r="Q98" s="1131"/>
      <c r="R98" s="1131"/>
      <c r="S98" s="1131"/>
    </row>
    <row r="99" spans="14:19" ht="9.9499999999999993" customHeight="1" x14ac:dyDescent="0.2">
      <c r="N99" s="1131"/>
      <c r="O99" s="1131">
        <v>1130835</v>
      </c>
      <c r="P99" s="1131"/>
      <c r="Q99" s="1131"/>
      <c r="R99" s="1131"/>
      <c r="S99" s="1131"/>
    </row>
    <row r="100" spans="14:19" ht="9.9499999999999993" customHeight="1" x14ac:dyDescent="0.2">
      <c r="N100" s="1131"/>
      <c r="O100" s="1461">
        <f>SUM(O97:O99)</f>
        <v>10543169</v>
      </c>
      <c r="P100" s="1131" t="s">
        <v>1653</v>
      </c>
      <c r="Q100" s="1131"/>
      <c r="R100" s="1131"/>
      <c r="S100" s="1131"/>
    </row>
    <row r="101" spans="14:19" ht="9.9499999999999993" customHeight="1" x14ac:dyDescent="0.2">
      <c r="N101" s="1131"/>
      <c r="O101" s="1131"/>
      <c r="P101" s="1131"/>
      <c r="Q101" s="1131"/>
      <c r="R101" s="1131"/>
      <c r="S101" s="1131"/>
    </row>
    <row r="102" spans="14:19" ht="9.9499999999999993" customHeight="1" x14ac:dyDescent="0.2">
      <c r="N102" s="1131"/>
      <c r="O102" s="1131">
        <v>6754480</v>
      </c>
      <c r="P102" s="1131" t="s">
        <v>1654</v>
      </c>
      <c r="Q102" s="1131"/>
      <c r="R102" s="1131"/>
      <c r="S102" s="1131"/>
    </row>
    <row r="103" spans="14:19" ht="9.9499999999999993" customHeight="1" x14ac:dyDescent="0.2">
      <c r="N103" s="1131"/>
      <c r="O103" s="1131"/>
      <c r="P103" s="1131"/>
      <c r="Q103" s="1131"/>
      <c r="R103" s="1131"/>
      <c r="S103" s="1131"/>
    </row>
    <row r="104" spans="14:19" ht="9.9499999999999993" customHeight="1" x14ac:dyDescent="0.2">
      <c r="N104" s="1131"/>
      <c r="O104" s="1131">
        <v>10588469</v>
      </c>
      <c r="P104" s="1131" t="s">
        <v>77</v>
      </c>
      <c r="Q104" s="1131"/>
      <c r="R104" s="1131"/>
      <c r="S104" s="1131"/>
    </row>
    <row r="105" spans="14:19" ht="9.9499999999999993" customHeight="1" x14ac:dyDescent="0.2">
      <c r="N105" s="1131"/>
      <c r="O105" s="1131"/>
      <c r="P105" s="1131"/>
      <c r="Q105" s="1131"/>
      <c r="R105" s="1131"/>
      <c r="S105" s="1131"/>
    </row>
    <row r="106" spans="14:19" ht="9.9499999999999993" customHeight="1" x14ac:dyDescent="0.2">
      <c r="N106" s="1131"/>
      <c r="O106" s="1131">
        <v>1407663</v>
      </c>
      <c r="P106" s="1131" t="s">
        <v>1655</v>
      </c>
      <c r="Q106" s="1131"/>
      <c r="R106" s="1131"/>
      <c r="S106" s="1131"/>
    </row>
    <row r="107" spans="14:19" ht="9.9499999999999993" customHeight="1" x14ac:dyDescent="0.2">
      <c r="N107" s="1131"/>
      <c r="O107" s="1131"/>
      <c r="P107" s="1131"/>
      <c r="Q107" s="1131"/>
      <c r="R107" s="1131"/>
      <c r="S107" s="1131"/>
    </row>
    <row r="108" spans="14:19" ht="9.9499999999999993" customHeight="1" x14ac:dyDescent="0.2">
      <c r="N108" s="1131"/>
      <c r="O108" s="1131">
        <f>+O106+O104+O102+O100+O95</f>
        <v>31069766</v>
      </c>
      <c r="P108" s="1131"/>
      <c r="Q108" s="1131"/>
      <c r="R108" s="1131"/>
      <c r="S108" s="1131"/>
    </row>
    <row r="109" spans="14:19" ht="9.9499999999999993" customHeight="1" x14ac:dyDescent="0.2">
      <c r="N109" s="1131"/>
      <c r="O109" s="1131"/>
      <c r="P109" s="1131"/>
      <c r="Q109" s="1131"/>
      <c r="R109" s="1131"/>
      <c r="S109" s="1131"/>
    </row>
    <row r="110" spans="14:19" ht="9.9499999999999993" customHeight="1" x14ac:dyDescent="0.2">
      <c r="N110" s="1131"/>
      <c r="O110" s="1131">
        <v>-2207866</v>
      </c>
      <c r="P110" s="1131" t="s">
        <v>1656</v>
      </c>
      <c r="Q110" s="1131"/>
      <c r="R110" s="1131"/>
      <c r="S110" s="1131"/>
    </row>
    <row r="111" spans="14:19" ht="9.9499999999999993" customHeight="1" x14ac:dyDescent="0.2">
      <c r="N111" s="1131"/>
      <c r="O111" s="1131"/>
      <c r="P111" s="1131"/>
      <c r="Q111" s="1131"/>
      <c r="R111" s="1131"/>
      <c r="S111" s="1131"/>
    </row>
    <row r="112" spans="14:19" ht="9.9499999999999993" customHeight="1" x14ac:dyDescent="0.2">
      <c r="N112" s="1131"/>
      <c r="O112" s="1131">
        <v>265109</v>
      </c>
      <c r="P112" s="1131" t="s">
        <v>1655</v>
      </c>
      <c r="Q112" s="1131"/>
      <c r="R112" s="1131"/>
      <c r="S112" s="1131"/>
    </row>
    <row r="113" spans="14:19" ht="9.9499999999999993" customHeight="1" x14ac:dyDescent="0.2">
      <c r="N113" s="1131"/>
      <c r="O113" s="1131"/>
      <c r="P113" s="1131"/>
      <c r="Q113" s="1131"/>
      <c r="R113" s="1131"/>
      <c r="S113" s="1131"/>
    </row>
    <row r="114" spans="14:19" ht="9.9499999999999993" customHeight="1" x14ac:dyDescent="0.2">
      <c r="N114" s="1131"/>
      <c r="O114" s="1131">
        <f>+O108+O110+O112-O106</f>
        <v>27719346</v>
      </c>
      <c r="P114" s="1131" t="s">
        <v>1657</v>
      </c>
      <c r="Q114" s="1131"/>
      <c r="R114" s="1131"/>
      <c r="S114" s="1131"/>
    </row>
    <row r="115" spans="14:19" ht="9.9499999999999993" customHeight="1" x14ac:dyDescent="0.2">
      <c r="N115" s="1131"/>
      <c r="O115" s="1131"/>
      <c r="P115" s="1131"/>
      <c r="Q115" s="1131"/>
      <c r="R115" s="1131"/>
      <c r="S115" s="1131"/>
    </row>
    <row r="116" spans="14:19" ht="9.9499999999999993" customHeight="1" x14ac:dyDescent="0.2">
      <c r="N116" s="1131"/>
      <c r="O116" s="1131"/>
      <c r="P116" s="1131"/>
      <c r="Q116" s="1131"/>
      <c r="R116" s="1131"/>
      <c r="S116" s="1131"/>
    </row>
    <row r="117" spans="14:19" ht="9.9499999999999993" customHeight="1" x14ac:dyDescent="0.2">
      <c r="N117" s="1131"/>
      <c r="O117" s="1131"/>
      <c r="P117" s="1131"/>
      <c r="Q117" s="1131"/>
      <c r="R117" s="1131"/>
      <c r="S117" s="1131"/>
    </row>
    <row r="118" spans="14:19" ht="9.9499999999999993" customHeight="1" x14ac:dyDescent="0.2">
      <c r="N118" s="1131"/>
      <c r="O118" s="1131"/>
      <c r="P118" s="1131"/>
      <c r="Q118" s="1131"/>
      <c r="R118" s="1131"/>
      <c r="S118" s="1131"/>
    </row>
    <row r="119" spans="14:19" ht="9.9499999999999993" customHeight="1" x14ac:dyDescent="0.2">
      <c r="N119" s="1131"/>
      <c r="O119" s="1131"/>
      <c r="P119" s="1131"/>
      <c r="Q119" s="1131"/>
      <c r="R119" s="1131"/>
      <c r="S119" s="1131"/>
    </row>
    <row r="143" spans="7:9" ht="9.9499999999999993" customHeight="1" x14ac:dyDescent="0.2">
      <c r="G143" s="314">
        <v>21</v>
      </c>
      <c r="I143" s="314">
        <v>21</v>
      </c>
    </row>
  </sheetData>
  <mergeCells count="5">
    <mergeCell ref="A66:D66"/>
    <mergeCell ref="A1:L1"/>
    <mergeCell ref="A4:D4"/>
    <mergeCell ref="A11:D11"/>
    <mergeCell ref="A55:D55"/>
  </mergeCells>
  <phoneticPr fontId="9" type="noConversion"/>
  <printOptions horizontalCentered="1"/>
  <pageMargins left="0.5" right="0.5" top="0.5" bottom="0.625" header="0.5" footer="0.5"/>
  <pageSetup scale="8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tabColor theme="6" tint="0.39997558519241921"/>
  </sheetPr>
  <dimension ref="A1:Z132"/>
  <sheetViews>
    <sheetView view="pageBreakPreview" zoomScaleNormal="100" workbookViewId="0">
      <selection activeCell="L56" activeCellId="2" sqref="H56 J56 L56"/>
    </sheetView>
  </sheetViews>
  <sheetFormatPr defaultColWidth="9.140625" defaultRowHeight="9.9499999999999993" customHeight="1" x14ac:dyDescent="0.2"/>
  <cols>
    <col min="1" max="5" width="1.5703125" style="572" customWidth="1"/>
    <col min="6" max="6" width="34.5703125" style="314" customWidth="1"/>
    <col min="7" max="7" width="1.5703125" style="314" customWidth="1"/>
    <col min="8" max="8" width="15.5703125" style="314" customWidth="1"/>
    <col min="9" max="9" width="1.5703125" style="314" customWidth="1"/>
    <col min="10" max="10" width="15.5703125" style="572" customWidth="1"/>
    <col min="11" max="11" width="1.5703125" style="314" customWidth="1"/>
    <col min="12" max="12" width="15.5703125" style="572" customWidth="1"/>
    <col min="13" max="13" width="1.5703125" style="572" customWidth="1"/>
    <col min="14" max="14" width="18.42578125" style="572" bestFit="1" customWidth="1"/>
    <col min="15" max="15" width="9.140625" style="572"/>
    <col min="16" max="18" width="11.7109375" style="572" customWidth="1"/>
    <col min="19" max="16384" width="9.140625" style="572"/>
  </cols>
  <sheetData>
    <row r="1" spans="1:18" s="729" customFormat="1" ht="16.5" customHeight="1" thickBot="1" x14ac:dyDescent="0.25">
      <c r="A1" s="1582" t="s">
        <v>1033</v>
      </c>
      <c r="B1" s="1582"/>
      <c r="C1" s="1582"/>
      <c r="D1" s="1582"/>
      <c r="E1" s="1582"/>
      <c r="F1" s="1582"/>
      <c r="G1" s="1582"/>
      <c r="H1" s="1582"/>
      <c r="I1" s="1582"/>
      <c r="J1" s="1582"/>
      <c r="K1" s="1582"/>
      <c r="L1" s="1582"/>
      <c r="M1" s="1582"/>
      <c r="N1" s="1582"/>
      <c r="O1" s="535"/>
    </row>
    <row r="2" spans="1:18" s="723" customFormat="1" ht="15" customHeight="1" x14ac:dyDescent="0.2">
      <c r="A2" s="700" t="s">
        <v>1159</v>
      </c>
      <c r="B2" s="713"/>
      <c r="C2" s="713"/>
      <c r="D2" s="713"/>
      <c r="E2" s="713"/>
      <c r="F2" s="713"/>
      <c r="G2" s="713"/>
      <c r="H2" s="713"/>
      <c r="I2" s="713"/>
      <c r="J2" s="713"/>
      <c r="K2" s="713"/>
      <c r="L2" s="713"/>
      <c r="M2" s="713"/>
      <c r="N2" s="713"/>
      <c r="O2" s="713"/>
    </row>
    <row r="3" spans="1:18" s="723" customFormat="1" ht="15" customHeight="1" x14ac:dyDescent="0.2">
      <c r="A3" s="700" t="s">
        <v>1564</v>
      </c>
      <c r="B3" s="713"/>
      <c r="C3" s="713"/>
      <c r="D3" s="713"/>
      <c r="E3" s="713"/>
      <c r="F3" s="713"/>
      <c r="G3" s="713"/>
      <c r="H3" s="713"/>
      <c r="I3" s="713"/>
      <c r="J3" s="713"/>
      <c r="K3" s="713"/>
      <c r="L3" s="713"/>
      <c r="M3" s="713"/>
      <c r="N3" s="713"/>
      <c r="O3" s="713"/>
    </row>
    <row r="4" spans="1:18" s="726" customFormat="1" ht="12.95" customHeight="1" x14ac:dyDescent="0.2">
      <c r="A4" s="1579" t="s">
        <v>1725</v>
      </c>
      <c r="B4" s="1579"/>
      <c r="C4" s="1579"/>
      <c r="D4" s="1579"/>
      <c r="E4" s="1579"/>
      <c r="F4" s="1579"/>
      <c r="G4" s="1579"/>
      <c r="H4" s="506"/>
      <c r="I4" s="506"/>
      <c r="J4" s="506"/>
      <c r="K4" s="506"/>
      <c r="L4" s="506"/>
      <c r="M4" s="506"/>
      <c r="N4" s="506"/>
      <c r="O4" s="506"/>
    </row>
    <row r="5" spans="1:18" s="317" customFormat="1" ht="12" customHeight="1" x14ac:dyDescent="0.2">
      <c r="A5" s="738" t="s">
        <v>972</v>
      </c>
      <c r="B5" s="718"/>
      <c r="C5" s="718"/>
      <c r="D5" s="718"/>
      <c r="E5" s="718"/>
      <c r="F5" s="718"/>
      <c r="G5" s="721"/>
      <c r="H5" s="721"/>
      <c r="I5" s="721"/>
      <c r="J5" s="721"/>
      <c r="K5" s="721"/>
      <c r="L5" s="721"/>
      <c r="M5" s="721"/>
      <c r="N5" s="721"/>
      <c r="O5" s="721"/>
    </row>
    <row r="6" spans="1:18" s="651" customFormat="1" ht="12.6" customHeight="1" x14ac:dyDescent="0.2">
      <c r="A6" s="507"/>
      <c r="B6" s="507"/>
      <c r="C6" s="507"/>
      <c r="D6" s="507"/>
      <c r="E6" s="507"/>
      <c r="F6" s="507"/>
      <c r="G6" s="507"/>
      <c r="H6" s="507"/>
      <c r="I6" s="507"/>
      <c r="J6" s="1417" t="s">
        <v>1559</v>
      </c>
      <c r="K6" s="507"/>
      <c r="L6" s="507"/>
      <c r="M6" s="507"/>
      <c r="N6" s="507"/>
      <c r="O6" s="507"/>
    </row>
    <row r="7" spans="1:18" s="474" customFormat="1" ht="12.6" customHeight="1" x14ac:dyDescent="0.2">
      <c r="A7" s="472"/>
      <c r="B7" s="472"/>
      <c r="C7" s="472"/>
      <c r="D7" s="472"/>
      <c r="E7" s="472"/>
      <c r="F7" s="336"/>
      <c r="G7" s="336"/>
      <c r="H7" s="358"/>
      <c r="I7" s="336"/>
      <c r="J7" s="310" t="s">
        <v>1560</v>
      </c>
      <c r="K7" s="336"/>
      <c r="L7" s="310" t="s">
        <v>1340</v>
      </c>
      <c r="M7" s="336"/>
      <c r="N7" s="310" t="s">
        <v>671</v>
      </c>
      <c r="O7" s="336"/>
    </row>
    <row r="8" spans="1:18" s="474" customFormat="1" ht="12.6" customHeight="1" x14ac:dyDescent="0.2">
      <c r="A8" s="472"/>
      <c r="B8" s="472"/>
      <c r="C8" s="472"/>
      <c r="D8" s="472"/>
      <c r="E8" s="472"/>
      <c r="F8" s="336"/>
      <c r="G8" s="336"/>
      <c r="H8" s="310" t="s">
        <v>217</v>
      </c>
      <c r="I8" s="336"/>
      <c r="J8" s="310" t="s">
        <v>437</v>
      </c>
      <c r="K8" s="336"/>
      <c r="L8" s="310" t="s">
        <v>437</v>
      </c>
      <c r="M8" s="336"/>
      <c r="N8" s="310" t="s">
        <v>1561</v>
      </c>
      <c r="O8" s="336"/>
    </row>
    <row r="9" spans="1:18" s="474" customFormat="1" ht="12.6" customHeight="1" x14ac:dyDescent="0.2">
      <c r="A9" s="472"/>
      <c r="B9" s="472"/>
      <c r="C9" s="472"/>
      <c r="D9" s="472"/>
      <c r="E9" s="472"/>
      <c r="F9" s="336"/>
      <c r="G9" s="336"/>
      <c r="H9" s="310" t="s">
        <v>218</v>
      </c>
      <c r="I9" s="336"/>
      <c r="J9" s="310" t="s">
        <v>1678</v>
      </c>
      <c r="K9" s="336"/>
      <c r="L9" s="310" t="s">
        <v>1341</v>
      </c>
      <c r="M9" s="336"/>
      <c r="N9" s="310" t="s">
        <v>1563</v>
      </c>
      <c r="O9" s="358"/>
    </row>
    <row r="10" spans="1:18" s="474" customFormat="1" ht="12.6" customHeight="1" x14ac:dyDescent="0.2">
      <c r="A10" s="472"/>
      <c r="B10" s="472"/>
      <c r="C10" s="472"/>
      <c r="D10" s="472"/>
      <c r="E10" s="472"/>
      <c r="F10" s="336"/>
      <c r="G10" s="336"/>
      <c r="H10" s="574" t="s">
        <v>336</v>
      </c>
      <c r="I10" s="336"/>
      <c r="J10" s="574" t="s">
        <v>1679</v>
      </c>
      <c r="K10" s="336"/>
      <c r="L10" s="574" t="s">
        <v>1342</v>
      </c>
      <c r="M10" s="336"/>
      <c r="N10" s="574" t="s">
        <v>1562</v>
      </c>
      <c r="O10" s="358"/>
    </row>
    <row r="11" spans="1:18" s="318" customFormat="1" ht="9.9499999999999993" customHeight="1" x14ac:dyDescent="0.2">
      <c r="A11" s="353" t="s">
        <v>29</v>
      </c>
      <c r="B11" s="317"/>
      <c r="C11" s="317"/>
      <c r="D11" s="317"/>
      <c r="E11" s="317"/>
      <c r="F11" s="253"/>
      <c r="G11" s="253"/>
      <c r="H11" s="253"/>
      <c r="I11" s="253"/>
      <c r="J11" s="317"/>
      <c r="K11" s="253"/>
      <c r="L11" s="317"/>
      <c r="M11" s="317"/>
      <c r="N11" s="317"/>
    </row>
    <row r="12" spans="1:18" s="318" customFormat="1" ht="9.9499999999999993" customHeight="1" x14ac:dyDescent="0.2">
      <c r="A12" s="317"/>
      <c r="B12" s="353" t="s">
        <v>422</v>
      </c>
      <c r="C12" s="482"/>
      <c r="D12" s="482"/>
      <c r="E12" s="482"/>
      <c r="F12" s="352"/>
      <c r="G12" s="254"/>
      <c r="H12" s="254"/>
      <c r="I12" s="254"/>
      <c r="J12" s="323"/>
      <c r="K12" s="254"/>
      <c r="L12" s="323"/>
      <c r="M12" s="317"/>
      <c r="N12" s="317"/>
    </row>
    <row r="13" spans="1:18" s="318" customFormat="1" ht="9.9499999999999993" customHeight="1" x14ac:dyDescent="0.2">
      <c r="A13" s="317"/>
      <c r="B13" s="482"/>
      <c r="C13" s="352" t="s">
        <v>423</v>
      </c>
      <c r="D13" s="352"/>
      <c r="E13" s="352"/>
      <c r="F13" s="352"/>
      <c r="G13" s="254"/>
      <c r="H13" s="339">
        <v>89741</v>
      </c>
      <c r="I13" s="254"/>
      <c r="J13" s="625">
        <v>47832</v>
      </c>
      <c r="K13" s="254"/>
      <c r="L13" s="625">
        <v>7085</v>
      </c>
      <c r="M13" s="317"/>
      <c r="N13" s="339">
        <f>SUM(H13:L13)</f>
        <v>144658</v>
      </c>
      <c r="R13" s="318">
        <v>0</v>
      </c>
    </row>
    <row r="14" spans="1:18" s="318" customFormat="1" ht="9.9499999999999993" customHeight="1" x14ac:dyDescent="0.2">
      <c r="A14" s="317"/>
      <c r="B14" s="482"/>
      <c r="C14" s="352" t="s">
        <v>424</v>
      </c>
      <c r="D14" s="352"/>
      <c r="E14" s="352"/>
      <c r="F14" s="352"/>
      <c r="G14" s="254"/>
      <c r="H14" s="273">
        <v>44870</v>
      </c>
      <c r="I14" s="273"/>
      <c r="J14" s="324">
        <v>23920</v>
      </c>
      <c r="K14" s="273"/>
      <c r="L14" s="324">
        <v>1536</v>
      </c>
      <c r="M14" s="317"/>
      <c r="N14" s="273">
        <f>SUM(H14:L14)</f>
        <v>70326</v>
      </c>
    </row>
    <row r="15" spans="1:18" s="318" customFormat="1" ht="9.9499999999999993" customHeight="1" x14ac:dyDescent="0.2">
      <c r="A15" s="317"/>
      <c r="B15" s="482"/>
      <c r="C15" s="352" t="s">
        <v>425</v>
      </c>
      <c r="D15" s="352"/>
      <c r="E15" s="352"/>
      <c r="F15" s="352"/>
      <c r="G15" s="254"/>
      <c r="H15" s="341"/>
      <c r="I15" s="273"/>
      <c r="J15" s="494">
        <v>2262</v>
      </c>
      <c r="K15" s="273"/>
      <c r="L15" s="494">
        <v>625</v>
      </c>
      <c r="M15" s="317"/>
      <c r="N15" s="341">
        <f>SUM(H15:L15)</f>
        <v>2887</v>
      </c>
    </row>
    <row r="16" spans="1:18" s="318" customFormat="1" ht="5.0999999999999996" customHeight="1" x14ac:dyDescent="0.2">
      <c r="A16" s="317"/>
      <c r="B16" s="482"/>
      <c r="C16" s="352"/>
      <c r="D16" s="352"/>
      <c r="E16" s="352"/>
      <c r="F16" s="352"/>
      <c r="G16" s="254"/>
      <c r="H16" s="273"/>
      <c r="I16" s="273"/>
      <c r="J16" s="496"/>
      <c r="K16" s="273"/>
      <c r="L16" s="496"/>
      <c r="M16" s="317"/>
      <c r="N16" s="340"/>
    </row>
    <row r="17" spans="1:14" s="318" customFormat="1" ht="11.1" customHeight="1" x14ac:dyDescent="0.2">
      <c r="A17" s="317"/>
      <c r="B17" s="353" t="s">
        <v>426</v>
      </c>
      <c r="C17" s="482"/>
      <c r="D17" s="482"/>
      <c r="E17" s="482"/>
      <c r="G17" s="254"/>
      <c r="H17" s="341">
        <f>SUM(H13:H15)</f>
        <v>134611</v>
      </c>
      <c r="I17" s="273"/>
      <c r="J17" s="341">
        <f>SUM(J13:J15)</f>
        <v>74014</v>
      </c>
      <c r="K17" s="273"/>
      <c r="L17" s="341">
        <f>SUM(L13:L15)</f>
        <v>9246</v>
      </c>
      <c r="M17" s="317"/>
      <c r="N17" s="341">
        <f>SUM(N13:N15)</f>
        <v>217871</v>
      </c>
    </row>
    <row r="18" spans="1:14" s="318" customFormat="1" ht="5.0999999999999996" customHeight="1" x14ac:dyDescent="0.2">
      <c r="A18" s="317"/>
      <c r="B18" s="482"/>
      <c r="C18" s="482"/>
      <c r="D18" s="482"/>
      <c r="E18" s="482"/>
      <c r="F18" s="365"/>
      <c r="G18" s="254"/>
      <c r="H18" s="273"/>
      <c r="I18" s="273"/>
      <c r="J18" s="324"/>
      <c r="K18" s="273"/>
      <c r="L18" s="324"/>
      <c r="M18" s="317"/>
      <c r="N18" s="273"/>
    </row>
    <row r="19" spans="1:14" s="318" customFormat="1" ht="9.9499999999999993" customHeight="1" x14ac:dyDescent="0.2">
      <c r="A19" s="317"/>
      <c r="B19" s="353" t="s">
        <v>427</v>
      </c>
      <c r="C19" s="482"/>
      <c r="D19" s="482"/>
      <c r="E19" s="482"/>
      <c r="F19" s="352"/>
      <c r="G19" s="254"/>
      <c r="H19" s="273"/>
      <c r="I19" s="273"/>
      <c r="J19" s="324"/>
      <c r="K19" s="273"/>
      <c r="L19" s="324"/>
      <c r="M19" s="317"/>
      <c r="N19" s="273"/>
    </row>
    <row r="20" spans="1:14" s="318" customFormat="1" ht="9.9499999999999993" customHeight="1" x14ac:dyDescent="0.2">
      <c r="A20" s="317"/>
      <c r="B20" s="482"/>
      <c r="C20" s="352" t="s">
        <v>1462</v>
      </c>
      <c r="D20" s="352"/>
      <c r="E20" s="352"/>
      <c r="F20" s="352"/>
      <c r="G20" s="254"/>
      <c r="H20" s="273">
        <v>372478</v>
      </c>
      <c r="I20" s="273"/>
      <c r="J20" s="324">
        <v>22461</v>
      </c>
      <c r="K20" s="273"/>
      <c r="L20" s="324">
        <v>112</v>
      </c>
      <c r="M20" s="317"/>
      <c r="N20" s="273">
        <f>SUM(H20:L20)</f>
        <v>395051</v>
      </c>
    </row>
    <row r="21" spans="1:14" s="318" customFormat="1" ht="9.9499999999999993" customHeight="1" x14ac:dyDescent="0.2">
      <c r="A21" s="317"/>
      <c r="B21" s="482"/>
      <c r="C21" s="352" t="s">
        <v>428</v>
      </c>
      <c r="D21" s="352"/>
      <c r="E21" s="352"/>
      <c r="F21" s="352"/>
      <c r="G21" s="254"/>
      <c r="H21" s="273">
        <v>9806</v>
      </c>
      <c r="I21" s="273"/>
      <c r="J21" s="324"/>
      <c r="K21" s="273"/>
      <c r="L21" s="324"/>
      <c r="M21" s="317"/>
      <c r="N21" s="273">
        <f>SUM(H21:L21)</f>
        <v>9806</v>
      </c>
    </row>
    <row r="22" spans="1:14" s="318" customFormat="1" ht="9.9499999999999993" customHeight="1" x14ac:dyDescent="0.2">
      <c r="A22" s="317"/>
      <c r="B22" s="482"/>
      <c r="C22" s="352" t="s">
        <v>429</v>
      </c>
      <c r="D22" s="352"/>
      <c r="E22" s="352"/>
      <c r="F22" s="352"/>
      <c r="G22" s="254"/>
      <c r="H22" s="273">
        <v>65063</v>
      </c>
      <c r="I22" s="273"/>
      <c r="J22" s="324">
        <v>1654</v>
      </c>
      <c r="K22" s="273"/>
      <c r="L22" s="324">
        <v>324</v>
      </c>
      <c r="M22" s="317"/>
      <c r="N22" s="273">
        <f>SUM(H22:L22)</f>
        <v>67041</v>
      </c>
    </row>
    <row r="23" spans="1:14" s="318" customFormat="1" ht="9.9499999999999993" customHeight="1" x14ac:dyDescent="0.2">
      <c r="A23" s="317"/>
      <c r="B23" s="482"/>
      <c r="C23" s="352" t="s">
        <v>414</v>
      </c>
      <c r="D23" s="352"/>
      <c r="E23" s="352"/>
      <c r="F23" s="352"/>
      <c r="G23" s="254"/>
      <c r="H23" s="273">
        <v>7667</v>
      </c>
      <c r="I23" s="273"/>
      <c r="J23" s="324"/>
      <c r="K23" s="273"/>
      <c r="L23" s="324"/>
      <c r="M23" s="317"/>
      <c r="N23" s="273">
        <f>SUM(H23:L23)</f>
        <v>7667</v>
      </c>
    </row>
    <row r="24" spans="1:14" s="318" customFormat="1" ht="9.9499999999999993" customHeight="1" x14ac:dyDescent="0.2">
      <c r="A24" s="317"/>
      <c r="B24" s="482"/>
      <c r="C24" s="352" t="s">
        <v>430</v>
      </c>
      <c r="D24" s="352"/>
      <c r="E24" s="352"/>
      <c r="F24" s="352"/>
      <c r="G24" s="254"/>
      <c r="H24" s="341">
        <v>57</v>
      </c>
      <c r="I24" s="273"/>
      <c r="J24" s="494">
        <v>114</v>
      </c>
      <c r="K24" s="273"/>
      <c r="L24" s="494"/>
      <c r="M24" s="317"/>
      <c r="N24" s="341">
        <f>SUM(H24:L24)</f>
        <v>171</v>
      </c>
    </row>
    <row r="25" spans="1:14" s="318" customFormat="1" ht="5.0999999999999996" customHeight="1" x14ac:dyDescent="0.2">
      <c r="A25" s="317"/>
      <c r="B25" s="482"/>
      <c r="C25" s="352"/>
      <c r="D25" s="352"/>
      <c r="E25" s="352"/>
      <c r="F25" s="352"/>
      <c r="G25" s="254"/>
      <c r="H25" s="273"/>
      <c r="I25" s="273"/>
      <c r="J25" s="324"/>
      <c r="K25" s="273"/>
      <c r="L25" s="324"/>
      <c r="M25" s="317"/>
      <c r="N25" s="273"/>
    </row>
    <row r="26" spans="1:14" s="318" customFormat="1" ht="9.9499999999999993" customHeight="1" x14ac:dyDescent="0.2">
      <c r="A26" s="317"/>
      <c r="B26" s="353" t="s">
        <v>852</v>
      </c>
      <c r="C26" s="317"/>
      <c r="D26" s="317"/>
      <c r="E26" s="317"/>
      <c r="G26" s="254"/>
      <c r="H26" s="273">
        <f>SUM(H19:H24)</f>
        <v>455071</v>
      </c>
      <c r="I26" s="273"/>
      <c r="J26" s="273">
        <f>SUM(J19:J24)</f>
        <v>24229</v>
      </c>
      <c r="K26" s="273"/>
      <c r="L26" s="273">
        <f>SUM(L19:L24)</f>
        <v>436</v>
      </c>
      <c r="M26" s="317"/>
      <c r="N26" s="273">
        <f>SUM(H26:L26)</f>
        <v>479736</v>
      </c>
    </row>
    <row r="27" spans="1:14" s="318" customFormat="1" ht="9.9499999999999993" customHeight="1" x14ac:dyDescent="0.2">
      <c r="A27" s="317"/>
      <c r="B27" s="317"/>
      <c r="C27" s="352" t="s">
        <v>887</v>
      </c>
      <c r="D27" s="352"/>
      <c r="E27" s="352"/>
      <c r="F27" s="253"/>
      <c r="G27" s="254"/>
      <c r="H27" s="273"/>
      <c r="I27" s="273"/>
      <c r="J27" s="324"/>
      <c r="K27" s="273"/>
      <c r="L27" s="324"/>
      <c r="M27" s="317"/>
      <c r="N27" s="273">
        <f>SUM(H27:L27)</f>
        <v>0</v>
      </c>
    </row>
    <row r="28" spans="1:14" s="318" customFormat="1" ht="9.9499999999999993" customHeight="1" x14ac:dyDescent="0.2">
      <c r="A28" s="317"/>
      <c r="B28" s="317"/>
      <c r="C28" s="317"/>
      <c r="D28" s="352" t="s">
        <v>431</v>
      </c>
      <c r="E28" s="352"/>
      <c r="F28" s="253"/>
      <c r="G28" s="254"/>
      <c r="H28" s="273">
        <v>-10584</v>
      </c>
      <c r="I28" s="273"/>
      <c r="J28" s="324">
        <v>-319</v>
      </c>
      <c r="K28" s="273"/>
      <c r="L28" s="324"/>
      <c r="M28" s="317"/>
      <c r="N28" s="273">
        <f>SUM(H28:L28)</f>
        <v>-10903</v>
      </c>
    </row>
    <row r="29" spans="1:14" s="318" customFormat="1" ht="9.9499999999999993" customHeight="1" x14ac:dyDescent="0.2">
      <c r="A29" s="317"/>
      <c r="B29" s="317"/>
      <c r="C29" s="352" t="s">
        <v>359</v>
      </c>
      <c r="E29" s="352"/>
      <c r="F29" s="253"/>
      <c r="G29" s="254"/>
      <c r="H29" s="273"/>
      <c r="I29" s="273"/>
      <c r="J29" s="324"/>
      <c r="K29" s="273"/>
      <c r="L29" s="324"/>
      <c r="M29" s="317"/>
      <c r="N29" s="273">
        <f>SUM(H29:L29)</f>
        <v>0</v>
      </c>
    </row>
    <row r="30" spans="1:14" s="318" customFormat="1" ht="9.9499999999999993" customHeight="1" x14ac:dyDescent="0.2">
      <c r="A30" s="317"/>
      <c r="B30" s="317"/>
      <c r="C30" s="317"/>
      <c r="D30" s="352" t="s">
        <v>352</v>
      </c>
      <c r="F30" s="253"/>
      <c r="G30" s="254"/>
      <c r="H30" s="273">
        <v>-7236</v>
      </c>
      <c r="I30" s="273"/>
      <c r="J30" s="324"/>
      <c r="K30" s="273"/>
      <c r="L30" s="324"/>
      <c r="M30" s="317"/>
      <c r="N30" s="273">
        <f>SUM(H30:L30)</f>
        <v>-7236</v>
      </c>
    </row>
    <row r="31" spans="1:14" s="318" customFormat="1" ht="5.0999999999999996" customHeight="1" x14ac:dyDescent="0.2">
      <c r="A31" s="317"/>
      <c r="B31" s="317"/>
      <c r="C31" s="317"/>
      <c r="D31" s="317"/>
      <c r="E31" s="352"/>
      <c r="F31" s="253"/>
      <c r="G31" s="254"/>
      <c r="H31" s="340"/>
      <c r="I31" s="273"/>
      <c r="J31" s="340"/>
      <c r="K31" s="273"/>
      <c r="L31" s="340"/>
      <c r="M31" s="273"/>
      <c r="N31" s="340"/>
    </row>
    <row r="32" spans="1:14" s="318" customFormat="1" ht="11.1" customHeight="1" x14ac:dyDescent="0.2">
      <c r="A32" s="317"/>
      <c r="B32" s="353" t="s">
        <v>1783</v>
      </c>
      <c r="C32" s="317"/>
      <c r="D32" s="317"/>
      <c r="E32" s="317"/>
      <c r="F32" s="492"/>
      <c r="G32" s="254"/>
      <c r="H32" s="341">
        <f>H26+(SUM(H27:H30))</f>
        <v>437251</v>
      </c>
      <c r="I32" s="273"/>
      <c r="J32" s="273">
        <f>J26+(SUM(J27:J30))</f>
        <v>23910</v>
      </c>
      <c r="K32" s="273"/>
      <c r="L32" s="273">
        <f>L26+(SUM(L27:L30))</f>
        <v>436</v>
      </c>
      <c r="M32" s="317"/>
      <c r="N32" s="341">
        <f>N26+(SUM(N27:N30))</f>
        <v>461597</v>
      </c>
    </row>
    <row r="33" spans="1:26" s="318" customFormat="1" ht="5.0999999999999996" customHeight="1" x14ac:dyDescent="0.2">
      <c r="A33" s="317"/>
      <c r="B33" s="317"/>
      <c r="C33" s="317"/>
      <c r="D33" s="317"/>
      <c r="E33" s="317"/>
      <c r="F33" s="353"/>
      <c r="G33" s="254"/>
      <c r="H33" s="273"/>
      <c r="I33" s="273"/>
      <c r="J33" s="340"/>
      <c r="K33" s="273"/>
      <c r="L33" s="340"/>
      <c r="M33" s="317"/>
      <c r="N33" s="273"/>
    </row>
    <row r="34" spans="1:26" s="318" customFormat="1" ht="11.1" customHeight="1" x14ac:dyDescent="0.2">
      <c r="A34" s="353" t="s">
        <v>432</v>
      </c>
      <c r="B34" s="317"/>
      <c r="C34" s="317"/>
      <c r="D34" s="317"/>
      <c r="E34" s="317"/>
      <c r="F34" s="253"/>
      <c r="G34" s="254"/>
      <c r="H34" s="341">
        <f>H17+H32</f>
        <v>571862</v>
      </c>
      <c r="I34" s="273"/>
      <c r="J34" s="273">
        <f>J17+J32</f>
        <v>97924</v>
      </c>
      <c r="K34" s="273"/>
      <c r="L34" s="273">
        <f>L17+L32</f>
        <v>9682</v>
      </c>
      <c r="M34" s="317"/>
      <c r="N34" s="341">
        <f>N17+N32</f>
        <v>679468</v>
      </c>
      <c r="O34" s="1067"/>
    </row>
    <row r="35" spans="1:26" s="318" customFormat="1" ht="5.0999999999999996" customHeight="1" x14ac:dyDescent="0.2">
      <c r="A35" s="317"/>
      <c r="B35" s="317"/>
      <c r="C35" s="317"/>
      <c r="D35" s="317"/>
      <c r="E35" s="317"/>
      <c r="F35" s="253"/>
      <c r="G35" s="254"/>
      <c r="H35" s="273"/>
      <c r="I35" s="273"/>
      <c r="J35" s="496"/>
      <c r="K35" s="273"/>
      <c r="L35" s="496"/>
      <c r="M35" s="317"/>
      <c r="N35" s="273"/>
    </row>
    <row r="36" spans="1:26" s="318" customFormat="1" ht="9.9499999999999993" customHeight="1" x14ac:dyDescent="0.2">
      <c r="A36" s="353" t="s">
        <v>30</v>
      </c>
      <c r="B36" s="317"/>
      <c r="C36" s="317"/>
      <c r="D36" s="317"/>
      <c r="E36" s="317"/>
      <c r="F36" s="253"/>
      <c r="G36" s="254"/>
      <c r="H36" s="273"/>
      <c r="I36" s="254"/>
      <c r="J36" s="324"/>
      <c r="K36" s="254"/>
      <c r="L36" s="324"/>
      <c r="M36" s="317"/>
      <c r="N36" s="273"/>
    </row>
    <row r="37" spans="1:26" s="318" customFormat="1" ht="9.9499999999999993" customHeight="1" x14ac:dyDescent="0.2">
      <c r="A37" s="317"/>
      <c r="B37" s="352" t="s">
        <v>433</v>
      </c>
      <c r="C37" s="317"/>
      <c r="D37" s="317"/>
      <c r="E37" s="317"/>
      <c r="F37" s="253"/>
      <c r="G37" s="254"/>
      <c r="H37" s="273">
        <v>228914</v>
      </c>
      <c r="I37" s="273"/>
      <c r="J37" s="324">
        <v>54488</v>
      </c>
      <c r="K37" s="273"/>
      <c r="L37" s="324">
        <v>8739</v>
      </c>
      <c r="M37" s="317"/>
      <c r="N37" s="273">
        <f>SUM(H37:L37)</f>
        <v>292141</v>
      </c>
    </row>
    <row r="38" spans="1:26" s="318" customFormat="1" ht="9.9499999999999993" customHeight="1" x14ac:dyDescent="0.2">
      <c r="A38" s="317"/>
      <c r="B38" s="352" t="s">
        <v>434</v>
      </c>
      <c r="C38" s="317"/>
      <c r="D38" s="317"/>
      <c r="E38" s="317"/>
      <c r="F38" s="253"/>
      <c r="G38" s="254"/>
      <c r="H38" s="273">
        <v>2211</v>
      </c>
      <c r="I38" s="273"/>
      <c r="J38" s="324"/>
      <c r="K38" s="273"/>
      <c r="L38" s="324"/>
      <c r="M38" s="317"/>
      <c r="N38" s="273">
        <f>SUM(H38:L38)</f>
        <v>2211</v>
      </c>
    </row>
    <row r="39" spans="1:26" s="318" customFormat="1" ht="9.9499999999999993" customHeight="1" x14ac:dyDescent="0.2">
      <c r="A39" s="317"/>
      <c r="B39" s="352" t="s">
        <v>718</v>
      </c>
      <c r="C39" s="317"/>
      <c r="D39" s="317"/>
      <c r="E39" s="317"/>
      <c r="F39" s="253"/>
      <c r="G39" s="254"/>
      <c r="H39" s="273">
        <v>3617</v>
      </c>
      <c r="I39" s="273"/>
      <c r="J39" s="324">
        <v>5181</v>
      </c>
      <c r="K39" s="273"/>
      <c r="L39" s="324">
        <v>1194</v>
      </c>
      <c r="M39" s="317"/>
      <c r="N39" s="273">
        <f>SUM(H39:L39)</f>
        <v>9992</v>
      </c>
    </row>
    <row r="40" spans="1:26" s="318" customFormat="1" ht="9.9499999999999993" hidden="1" customHeight="1" x14ac:dyDescent="0.2">
      <c r="A40" s="317"/>
      <c r="B40" s="352" t="s">
        <v>53</v>
      </c>
      <c r="C40" s="317"/>
      <c r="D40" s="317"/>
      <c r="E40" s="317"/>
      <c r="F40" s="253"/>
      <c r="G40" s="254"/>
      <c r="H40" s="273"/>
      <c r="I40" s="273"/>
      <c r="J40" s="324"/>
      <c r="K40" s="273"/>
      <c r="L40" s="324"/>
      <c r="M40" s="317"/>
      <c r="N40" s="273">
        <f>SUM(H40:J40)</f>
        <v>0</v>
      </c>
    </row>
    <row r="41" spans="1:26" s="318" customFormat="1" ht="5.0999999999999996" customHeight="1" x14ac:dyDescent="0.2">
      <c r="A41" s="317"/>
      <c r="B41" s="352"/>
      <c r="C41" s="317"/>
      <c r="D41" s="317"/>
      <c r="E41" s="317"/>
      <c r="F41" s="253"/>
      <c r="G41" s="254"/>
      <c r="H41" s="340"/>
      <c r="I41" s="273"/>
      <c r="J41" s="496"/>
      <c r="K41" s="273"/>
      <c r="L41" s="496"/>
      <c r="M41" s="317"/>
      <c r="N41" s="340"/>
    </row>
    <row r="42" spans="1:26" s="318" customFormat="1" ht="11.1" customHeight="1" x14ac:dyDescent="0.2">
      <c r="A42" s="353" t="s">
        <v>435</v>
      </c>
      <c r="B42" s="317"/>
      <c r="C42" s="317"/>
      <c r="D42" s="317"/>
      <c r="E42" s="317"/>
      <c r="F42" s="253"/>
      <c r="G42" s="254"/>
      <c r="H42" s="341">
        <f>SUM(H37:H40)</f>
        <v>234742</v>
      </c>
      <c r="I42" s="273"/>
      <c r="J42" s="341">
        <f>SUM(J37:J40)</f>
        <v>59669</v>
      </c>
      <c r="K42" s="273"/>
      <c r="L42" s="341">
        <f>SUM(L37:L40)</f>
        <v>9933</v>
      </c>
      <c r="M42" s="317"/>
      <c r="N42" s="341">
        <f>SUM(N37:N40)</f>
        <v>304344</v>
      </c>
    </row>
    <row r="43" spans="1:26" s="318" customFormat="1" ht="5.0999999999999996" customHeight="1" x14ac:dyDescent="0.2">
      <c r="A43" s="317"/>
      <c r="B43" s="317"/>
      <c r="C43" s="317"/>
      <c r="D43" s="317"/>
      <c r="E43" s="317"/>
      <c r="F43" s="365"/>
      <c r="G43" s="254"/>
      <c r="H43" s="273"/>
      <c r="I43" s="273"/>
      <c r="J43" s="324"/>
      <c r="K43" s="273"/>
      <c r="L43" s="324"/>
      <c r="M43" s="317"/>
      <c r="N43" s="273"/>
    </row>
    <row r="44" spans="1:26" s="318" customFormat="1" ht="9.9499999999999993" customHeight="1" x14ac:dyDescent="0.2">
      <c r="A44" s="353" t="s">
        <v>1111</v>
      </c>
      <c r="B44" s="317"/>
      <c r="C44" s="317"/>
      <c r="D44" s="317"/>
      <c r="E44" s="317"/>
      <c r="F44" s="253"/>
      <c r="G44" s="254"/>
      <c r="H44" s="273">
        <f>H34-H42</f>
        <v>337120</v>
      </c>
      <c r="I44" s="324"/>
      <c r="J44" s="273">
        <f>J34-J42</f>
        <v>38255</v>
      </c>
      <c r="K44" s="324"/>
      <c r="L44" s="273">
        <f>L34-L42</f>
        <v>-251</v>
      </c>
      <c r="M44" s="317"/>
      <c r="N44" s="273">
        <f>SUM(H44:L44)</f>
        <v>375124</v>
      </c>
    </row>
    <row r="45" spans="1:26" s="318" customFormat="1" ht="5.0999999999999996" customHeight="1" x14ac:dyDescent="0.2">
      <c r="A45" s="317"/>
      <c r="B45" s="317"/>
      <c r="C45" s="317"/>
      <c r="D45" s="317"/>
      <c r="E45" s="317"/>
      <c r="F45" s="352"/>
      <c r="G45" s="254"/>
      <c r="H45" s="273"/>
      <c r="I45" s="273"/>
      <c r="J45" s="324"/>
      <c r="K45" s="273"/>
      <c r="L45" s="324"/>
      <c r="M45" s="317"/>
      <c r="N45" s="273">
        <f>SUM(H45:J45)</f>
        <v>0</v>
      </c>
    </row>
    <row r="46" spans="1:26" s="318" customFormat="1" ht="11.1" customHeight="1" x14ac:dyDescent="0.2">
      <c r="A46" s="253" t="s">
        <v>1439</v>
      </c>
      <c r="B46" s="317"/>
      <c r="C46" s="317"/>
      <c r="D46" s="317"/>
      <c r="E46" s="317"/>
      <c r="F46" s="253"/>
      <c r="G46" s="254"/>
      <c r="H46" s="341">
        <v>3586484</v>
      </c>
      <c r="I46" s="273"/>
      <c r="J46" s="494">
        <v>540639</v>
      </c>
      <c r="K46" s="273"/>
      <c r="L46" s="494">
        <v>6506</v>
      </c>
      <c r="M46" s="317"/>
      <c r="N46" s="341">
        <f>SUM(H46:L46)</f>
        <v>4133629</v>
      </c>
    </row>
    <row r="47" spans="1:26" s="253" customFormat="1" ht="5.0999999999999996" customHeight="1" x14ac:dyDescent="0.2">
      <c r="B47" s="273"/>
      <c r="C47" s="399"/>
      <c r="D47" s="273"/>
      <c r="E47" s="273"/>
      <c r="F47" s="273"/>
      <c r="G47" s="340"/>
      <c r="H47" s="273"/>
      <c r="I47" s="273"/>
      <c r="J47" s="273"/>
      <c r="K47" s="340"/>
      <c r="L47" s="273"/>
      <c r="M47" s="273"/>
      <c r="N47" s="273"/>
      <c r="O47" s="340"/>
      <c r="P47" s="273"/>
      <c r="Q47" s="273"/>
      <c r="R47" s="273"/>
      <c r="S47" s="273"/>
      <c r="T47" s="273"/>
      <c r="U47" s="273"/>
      <c r="V47" s="273"/>
      <c r="W47" s="273"/>
      <c r="X47" s="273"/>
      <c r="Y47" s="273"/>
      <c r="Z47" s="348"/>
    </row>
    <row r="48" spans="1:26" s="253" customFormat="1" ht="9.9499999999999993" hidden="1" customHeight="1" x14ac:dyDescent="0.2">
      <c r="A48" s="253" t="s">
        <v>1715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99"/>
    </row>
    <row r="49" spans="1:26" s="253" customFormat="1" ht="5.0999999999999996" hidden="1" customHeight="1" x14ac:dyDescent="0.2">
      <c r="B49" s="273"/>
      <c r="C49" s="399"/>
      <c r="D49" s="273"/>
      <c r="E49" s="273"/>
      <c r="F49" s="273"/>
      <c r="G49" s="273"/>
      <c r="H49" s="273"/>
      <c r="I49" s="273"/>
      <c r="J49" s="273"/>
      <c r="K49" s="273"/>
      <c r="L49" s="273"/>
      <c r="M49" s="273"/>
      <c r="N49" s="273"/>
      <c r="O49" s="273"/>
      <c r="P49" s="273"/>
      <c r="Q49" s="273"/>
      <c r="R49" s="273"/>
      <c r="S49" s="273"/>
      <c r="T49" s="273"/>
      <c r="U49" s="273"/>
      <c r="V49" s="273"/>
      <c r="W49" s="273"/>
      <c r="X49" s="273"/>
      <c r="Y49" s="273"/>
      <c r="Z49" s="348"/>
    </row>
    <row r="50" spans="1:26" s="253" customFormat="1" ht="9.9499999999999993" hidden="1" customHeight="1" x14ac:dyDescent="0.2">
      <c r="A50" s="253" t="s">
        <v>1716</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99"/>
    </row>
    <row r="51" spans="1:26" s="253" customFormat="1" ht="5.0999999999999996" hidden="1" customHeight="1" x14ac:dyDescent="0.2">
      <c r="B51" s="273"/>
      <c r="C51" s="399"/>
      <c r="D51" s="273"/>
      <c r="E51" s="273"/>
      <c r="F51" s="273"/>
      <c r="G51" s="273"/>
      <c r="H51" s="273"/>
      <c r="I51" s="273"/>
      <c r="J51" s="273"/>
      <c r="K51" s="273"/>
      <c r="L51" s="273"/>
      <c r="M51" s="273"/>
      <c r="N51" s="273"/>
      <c r="O51" s="273"/>
      <c r="P51" s="273"/>
      <c r="Q51" s="273"/>
      <c r="R51" s="273"/>
      <c r="S51" s="273"/>
      <c r="T51" s="273"/>
      <c r="U51" s="273"/>
      <c r="V51" s="273"/>
      <c r="W51" s="273"/>
      <c r="X51" s="273"/>
      <c r="Y51" s="273"/>
      <c r="Z51" s="348"/>
    </row>
    <row r="52" spans="1:26" s="253" customFormat="1" ht="9.9499999999999993" hidden="1" customHeight="1" x14ac:dyDescent="0.2">
      <c r="A52" s="253" t="s">
        <v>1717</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99"/>
    </row>
    <row r="53" spans="1:26" s="253" customFormat="1" ht="5.0999999999999996" hidden="1" customHeight="1" x14ac:dyDescent="0.2">
      <c r="B53" s="273"/>
      <c r="C53" s="399"/>
      <c r="D53" s="273"/>
      <c r="E53" s="273"/>
      <c r="F53" s="273"/>
      <c r="G53" s="273"/>
      <c r="H53" s="273"/>
      <c r="I53" s="273"/>
      <c r="J53" s="273"/>
      <c r="K53" s="273"/>
      <c r="L53" s="273"/>
      <c r="M53" s="273"/>
      <c r="N53" s="273"/>
      <c r="O53" s="273"/>
      <c r="P53" s="273"/>
      <c r="Q53" s="273"/>
      <c r="R53" s="273"/>
      <c r="S53" s="273"/>
      <c r="T53" s="273"/>
      <c r="U53" s="273"/>
      <c r="V53" s="273"/>
      <c r="W53" s="273"/>
      <c r="X53" s="273"/>
      <c r="Y53" s="273"/>
      <c r="Z53" s="348"/>
    </row>
    <row r="54" spans="1:26" s="253" customFormat="1" ht="9.9499999999999993" hidden="1" customHeight="1" x14ac:dyDescent="0.2">
      <c r="A54" s="349" t="s">
        <v>1721</v>
      </c>
      <c r="D54" s="273"/>
      <c r="E54" s="273"/>
      <c r="F54" s="273"/>
      <c r="G54" s="273">
        <v>3558</v>
      </c>
      <c r="H54" s="273">
        <f>SUM(H46:H52)</f>
        <v>3586484</v>
      </c>
      <c r="I54" s="273">
        <v>-43544</v>
      </c>
      <c r="J54" s="273">
        <f>SUM(J46:J52)</f>
        <v>540639</v>
      </c>
      <c r="K54" s="273">
        <v>193381</v>
      </c>
      <c r="L54" s="273">
        <f>SUM(L46:L52)</f>
        <v>6506</v>
      </c>
      <c r="M54" s="273">
        <v>-22581</v>
      </c>
      <c r="N54" s="273">
        <f>SUM(N46:N52)</f>
        <v>4133629</v>
      </c>
      <c r="O54" s="273">
        <v>140926</v>
      </c>
      <c r="P54" s="273"/>
      <c r="Q54" s="273"/>
      <c r="R54" s="273"/>
      <c r="S54" s="273"/>
      <c r="T54" s="273"/>
      <c r="U54" s="273"/>
      <c r="V54" s="273"/>
      <c r="W54" s="273"/>
      <c r="X54" s="273"/>
      <c r="Y54" s="273"/>
      <c r="Z54" s="299"/>
    </row>
    <row r="55" spans="1:26" s="318" customFormat="1" ht="5.0999999999999996" hidden="1" customHeight="1" x14ac:dyDescent="0.2">
      <c r="A55" s="253"/>
      <c r="B55" s="317"/>
      <c r="C55" s="317"/>
      <c r="D55" s="317"/>
      <c r="E55" s="317"/>
      <c r="F55" s="253"/>
      <c r="G55" s="254"/>
      <c r="H55" s="340"/>
      <c r="I55" s="273"/>
      <c r="J55" s="340"/>
      <c r="K55" s="273"/>
      <c r="L55" s="340"/>
      <c r="M55" s="317"/>
      <c r="N55" s="340"/>
    </row>
    <row r="56" spans="1:26" s="318" customFormat="1" ht="11.1" customHeight="1" thickBot="1" x14ac:dyDescent="0.25">
      <c r="A56" s="284" t="s">
        <v>1115</v>
      </c>
      <c r="B56" s="317"/>
      <c r="C56" s="317"/>
      <c r="D56" s="317"/>
      <c r="E56" s="317"/>
      <c r="F56" s="253"/>
      <c r="G56" s="339"/>
      <c r="H56" s="344">
        <f>+H54+H44</f>
        <v>3923604</v>
      </c>
      <c r="I56" s="339"/>
      <c r="J56" s="344">
        <f>+J54+J44</f>
        <v>578894</v>
      </c>
      <c r="K56" s="339"/>
      <c r="L56" s="344">
        <f>+L54+L44</f>
        <v>6255</v>
      </c>
      <c r="M56" s="317"/>
      <c r="N56" s="344">
        <f>+N54+N44</f>
        <v>4508753</v>
      </c>
      <c r="O56" s="1131"/>
      <c r="P56" s="1131"/>
      <c r="Q56" s="1131"/>
      <c r="R56" s="1131"/>
      <c r="S56" s="1131"/>
      <c r="T56" s="1131"/>
      <c r="U56" s="1131"/>
    </row>
    <row r="57" spans="1:26" s="318" customFormat="1" ht="5.0999999999999996" customHeight="1" thickTop="1" x14ac:dyDescent="0.2">
      <c r="A57" s="317"/>
      <c r="B57" s="317"/>
      <c r="C57" s="317"/>
      <c r="D57" s="317"/>
      <c r="E57" s="317"/>
      <c r="F57" s="253"/>
      <c r="G57" s="253"/>
      <c r="H57" s="253"/>
      <c r="I57" s="253"/>
      <c r="J57" s="317"/>
      <c r="K57" s="253"/>
      <c r="L57" s="317"/>
      <c r="M57" s="317"/>
      <c r="N57" s="253"/>
      <c r="O57" s="1131"/>
      <c r="P57" s="1131"/>
      <c r="Q57" s="1131"/>
      <c r="R57" s="1131"/>
      <c r="S57" s="1131"/>
      <c r="T57" s="1131"/>
      <c r="U57" s="1131"/>
    </row>
    <row r="58" spans="1:26" s="318" customFormat="1" ht="5.0999999999999996" customHeight="1" x14ac:dyDescent="0.2">
      <c r="A58" s="317"/>
      <c r="B58" s="317"/>
      <c r="C58" s="317"/>
      <c r="D58" s="317"/>
      <c r="E58" s="317"/>
      <c r="F58" s="253"/>
      <c r="G58" s="253"/>
      <c r="H58" s="253"/>
      <c r="I58" s="253"/>
      <c r="J58" s="317"/>
      <c r="K58" s="253"/>
      <c r="L58" s="317"/>
      <c r="M58" s="317"/>
      <c r="N58" s="253"/>
      <c r="O58" s="1131"/>
      <c r="P58" s="1131"/>
      <c r="Q58" s="1131"/>
      <c r="R58" s="1131"/>
      <c r="S58" s="1131"/>
      <c r="T58" s="1131"/>
      <c r="U58" s="1131"/>
    </row>
    <row r="59" spans="1:26" s="318" customFormat="1" ht="12.75" customHeight="1" x14ac:dyDescent="0.2">
      <c r="A59" s="317"/>
      <c r="B59" s="317"/>
      <c r="C59" s="317"/>
      <c r="D59" s="317"/>
      <c r="E59" s="317"/>
      <c r="F59" s="253"/>
      <c r="G59" s="253"/>
      <c r="H59" s="253"/>
      <c r="I59" s="253"/>
      <c r="J59" s="317"/>
      <c r="K59" s="253"/>
      <c r="L59" s="317"/>
      <c r="M59" s="317"/>
      <c r="N59" s="253"/>
      <c r="O59" s="1131"/>
      <c r="P59" s="1132">
        <v>2021</v>
      </c>
      <c r="Q59" s="1132">
        <v>2022</v>
      </c>
      <c r="R59" s="1131"/>
      <c r="S59" s="1131"/>
      <c r="T59" s="1131"/>
      <c r="U59" s="1131"/>
    </row>
    <row r="60" spans="1:26" s="318" customFormat="1" ht="12" customHeight="1" x14ac:dyDescent="0.2">
      <c r="A60" s="317"/>
      <c r="B60" s="317"/>
      <c r="C60" s="317"/>
      <c r="D60" s="317"/>
      <c r="E60" s="317"/>
      <c r="F60" s="253"/>
      <c r="G60" s="253"/>
      <c r="H60" s="253"/>
      <c r="I60" s="253"/>
      <c r="J60" s="317"/>
      <c r="K60" s="253"/>
      <c r="L60" s="317"/>
      <c r="M60" s="317"/>
      <c r="N60" s="253"/>
      <c r="O60" s="1131"/>
      <c r="P60" s="1131"/>
      <c r="Q60" s="1131"/>
      <c r="R60" s="1131"/>
      <c r="S60" s="1131"/>
      <c r="T60" s="1131"/>
      <c r="U60" s="1131"/>
    </row>
    <row r="61" spans="1:26" s="318" customFormat="1" ht="9.9499999999999993" customHeight="1" x14ac:dyDescent="0.2">
      <c r="A61" s="317"/>
      <c r="B61" s="317"/>
      <c r="C61" s="317"/>
      <c r="D61" s="317"/>
      <c r="E61" s="317"/>
      <c r="F61" s="253"/>
      <c r="G61" s="253"/>
      <c r="H61" s="253"/>
      <c r="I61" s="253"/>
      <c r="J61" s="317"/>
      <c r="K61" s="253"/>
      <c r="L61" s="317"/>
      <c r="M61" s="317"/>
      <c r="N61" s="253"/>
      <c r="O61" s="1131"/>
      <c r="P61" s="1131">
        <v>42029806</v>
      </c>
      <c r="Q61" s="1131">
        <v>45073429</v>
      </c>
      <c r="R61" s="1131"/>
      <c r="S61" s="1131"/>
      <c r="T61" s="1131"/>
      <c r="U61" s="1131"/>
    </row>
    <row r="62" spans="1:26" s="318" customFormat="1" ht="9.9499999999999993" customHeight="1" x14ac:dyDescent="0.2">
      <c r="A62" s="643"/>
      <c r="B62" s="643"/>
      <c r="C62" s="643"/>
      <c r="D62" s="643"/>
      <c r="E62" s="643"/>
      <c r="F62" s="382" t="s">
        <v>490</v>
      </c>
      <c r="G62" s="381"/>
      <c r="H62" s="420">
        <f>SUM(H56-'SONPFF PensionHealth'!F70)</f>
        <v>0</v>
      </c>
      <c r="I62" s="381"/>
      <c r="J62" s="420">
        <f>SUM(J56-'SONPFF PensionHealth'!H70)</f>
        <v>0</v>
      </c>
      <c r="K62" s="381"/>
      <c r="L62" s="420">
        <f>SUM(L56-'SONPFF PensionHealth'!J70)</f>
        <v>0</v>
      </c>
      <c r="M62" s="643"/>
      <c r="N62" s="420">
        <f>SUM(N56-'SONPFF PensionHealth'!L70)</f>
        <v>0</v>
      </c>
      <c r="O62" s="1131"/>
      <c r="P62" s="1131">
        <v>21012086</v>
      </c>
      <c r="Q62" s="1131">
        <v>22532636</v>
      </c>
      <c r="R62" s="1131"/>
      <c r="S62" s="1131"/>
      <c r="T62" s="1131"/>
      <c r="U62" s="1131"/>
    </row>
    <row r="63" spans="1:26" s="318" customFormat="1" ht="9.9499999999999993" customHeight="1" x14ac:dyDescent="0.2">
      <c r="A63" s="317"/>
      <c r="B63" s="317"/>
      <c r="C63" s="317"/>
      <c r="D63" s="317"/>
      <c r="E63" s="317"/>
      <c r="F63" s="253"/>
      <c r="G63" s="253"/>
      <c r="H63" s="253"/>
      <c r="I63" s="253"/>
      <c r="J63" s="317"/>
      <c r="K63" s="253"/>
      <c r="L63" s="317"/>
      <c r="M63" s="317"/>
      <c r="N63" s="317"/>
      <c r="O63" s="1131"/>
      <c r="P63" s="1131">
        <v>1544773</v>
      </c>
      <c r="Q63" s="1131">
        <v>1920185</v>
      </c>
      <c r="R63" s="1131"/>
      <c r="S63" s="1131"/>
      <c r="T63" s="1131"/>
      <c r="U63" s="1131"/>
    </row>
    <row r="64" spans="1:26" s="318" customFormat="1" ht="9.9499999999999993" customHeight="1" x14ac:dyDescent="0.2">
      <c r="A64" s="317"/>
      <c r="B64" s="317"/>
      <c r="C64" s="317"/>
      <c r="D64" s="317"/>
      <c r="E64" s="317"/>
      <c r="F64" s="253"/>
      <c r="G64" s="253"/>
      <c r="H64" s="253"/>
      <c r="I64" s="253"/>
      <c r="J64" s="317"/>
      <c r="K64" s="253"/>
      <c r="L64" s="317"/>
      <c r="M64" s="317"/>
      <c r="N64" s="317"/>
      <c r="O64" s="1131"/>
      <c r="P64" s="1461">
        <f>SUM(P61:P63)</f>
        <v>64586665</v>
      </c>
      <c r="Q64" s="1461">
        <f>SUM(Q61:Q63)</f>
        <v>69526250</v>
      </c>
      <c r="R64" s="1131"/>
      <c r="S64" s="1131"/>
      <c r="T64" s="1131"/>
      <c r="U64" s="1131"/>
    </row>
    <row r="65" spans="1:21" s="318" customFormat="1" ht="9.9499999999999993" customHeight="1" x14ac:dyDescent="0.2">
      <c r="A65" s="317"/>
      <c r="B65" s="317"/>
      <c r="C65" s="317"/>
      <c r="D65" s="317"/>
      <c r="E65" s="317"/>
      <c r="F65" s="253"/>
      <c r="G65" s="253"/>
      <c r="H65" s="253"/>
      <c r="I65" s="253"/>
      <c r="J65" s="317"/>
      <c r="K65" s="253"/>
      <c r="L65" s="317"/>
      <c r="M65" s="317"/>
      <c r="N65" s="317"/>
      <c r="O65" s="1131"/>
      <c r="P65" s="1131"/>
      <c r="Q65" s="1131"/>
      <c r="R65" s="1131"/>
      <c r="S65" s="1131"/>
      <c r="T65" s="1131"/>
      <c r="U65" s="1131"/>
    </row>
    <row r="66" spans="1:21" s="318" customFormat="1" ht="9.9499999999999993" customHeight="1" x14ac:dyDescent="0.2">
      <c r="F66" s="492"/>
      <c r="G66" s="492"/>
      <c r="H66" s="492"/>
      <c r="I66" s="492"/>
      <c r="K66" s="492"/>
      <c r="O66" s="1131"/>
      <c r="P66" s="1131"/>
      <c r="Q66" s="1131"/>
      <c r="R66" s="1131"/>
      <c r="S66" s="1131"/>
      <c r="T66" s="1131"/>
      <c r="U66" s="1131"/>
    </row>
    <row r="67" spans="1:21" s="318" customFormat="1" ht="9.9499999999999993" customHeight="1" x14ac:dyDescent="0.2">
      <c r="F67" s="492"/>
      <c r="G67" s="492"/>
      <c r="H67" s="492"/>
      <c r="I67" s="492"/>
      <c r="K67" s="492"/>
      <c r="O67" s="1131"/>
      <c r="P67" s="1131">
        <v>55718701</v>
      </c>
      <c r="Q67" s="1131">
        <v>-46118321</v>
      </c>
      <c r="R67" s="1131"/>
      <c r="S67" s="1131"/>
      <c r="T67" s="1131"/>
      <c r="U67" s="1131"/>
    </row>
    <row r="68" spans="1:21" s="318" customFormat="1" ht="9.9499999999999993" customHeight="1" x14ac:dyDescent="0.2">
      <c r="F68" s="492"/>
      <c r="G68" s="492"/>
      <c r="H68" s="492"/>
      <c r="I68" s="492"/>
      <c r="K68" s="492"/>
      <c r="O68" s="1131"/>
      <c r="P68" s="1131">
        <v>3437478</v>
      </c>
      <c r="Q68" s="1131">
        <v>2464442</v>
      </c>
      <c r="R68" s="1131"/>
      <c r="S68" s="1131"/>
      <c r="T68" s="1131"/>
      <c r="U68" s="1131"/>
    </row>
    <row r="69" spans="1:21" ht="9.9499999999999993" customHeight="1" x14ac:dyDescent="0.2">
      <c r="O69" s="1131"/>
      <c r="P69" s="1131">
        <v>647761</v>
      </c>
      <c r="Q69" s="1131">
        <v>29649</v>
      </c>
      <c r="R69" s="1131"/>
      <c r="S69" s="1131"/>
      <c r="T69" s="1131"/>
      <c r="U69" s="1131"/>
    </row>
    <row r="70" spans="1:21" ht="9.9499999999999993" customHeight="1" x14ac:dyDescent="0.2">
      <c r="O70" s="1131"/>
      <c r="P70" s="1131">
        <v>-547461</v>
      </c>
      <c r="Q70" s="1131">
        <v>-345833</v>
      </c>
      <c r="R70" s="1131"/>
      <c r="S70" s="1131"/>
      <c r="T70" s="1131"/>
      <c r="U70" s="1131"/>
    </row>
    <row r="71" spans="1:21" ht="9.9499999999999993" customHeight="1" x14ac:dyDescent="0.2">
      <c r="O71" s="1131"/>
      <c r="P71" s="1461">
        <f>SUM(P67:P70)</f>
        <v>59256479</v>
      </c>
      <c r="Q71" s="1461">
        <f>SUM(Q67:Q70)</f>
        <v>-43970063</v>
      </c>
      <c r="R71" s="1131"/>
      <c r="S71" s="1131"/>
      <c r="T71" s="1131"/>
      <c r="U71" s="1131"/>
    </row>
    <row r="72" spans="1:21" ht="9.9499999999999993" customHeight="1" x14ac:dyDescent="0.2">
      <c r="O72" s="1131"/>
      <c r="P72" s="1131"/>
      <c r="Q72" s="1131"/>
      <c r="R72" s="1131"/>
      <c r="S72" s="1131"/>
      <c r="T72" s="1131"/>
      <c r="U72" s="1131"/>
    </row>
    <row r="73" spans="1:21" ht="9.9499999999999993" customHeight="1" x14ac:dyDescent="0.2">
      <c r="O73" s="1131"/>
      <c r="P73" s="1131">
        <f>+P64+P71</f>
        <v>123843144</v>
      </c>
      <c r="Q73" s="1131">
        <f>+Q64+Q71</f>
        <v>25556187</v>
      </c>
      <c r="R73" s="1131"/>
      <c r="S73" s="1131"/>
      <c r="T73" s="1131"/>
      <c r="U73" s="1131"/>
    </row>
    <row r="74" spans="1:21" ht="9.9499999999999993" customHeight="1" x14ac:dyDescent="0.2">
      <c r="O74" s="1131"/>
      <c r="P74" s="1131"/>
      <c r="Q74" s="1131"/>
      <c r="R74" s="1131"/>
      <c r="S74" s="1131"/>
      <c r="T74" s="1131"/>
      <c r="U74" s="1131"/>
    </row>
    <row r="75" spans="1:21" ht="9.9499999999999993" customHeight="1" x14ac:dyDescent="0.2">
      <c r="O75" s="1131"/>
      <c r="P75" s="1131">
        <v>18855478</v>
      </c>
      <c r="Q75" s="1131">
        <v>18836404</v>
      </c>
      <c r="R75" s="1131"/>
      <c r="S75" s="1131"/>
    </row>
    <row r="76" spans="1:21" ht="9.9499999999999993" customHeight="1" x14ac:dyDescent="0.2">
      <c r="O76" s="1131"/>
      <c r="P76" s="1131">
        <v>14483734</v>
      </c>
      <c r="Q76" s="1131">
        <v>16995524</v>
      </c>
      <c r="R76" s="1131"/>
      <c r="S76" s="1131"/>
    </row>
    <row r="77" spans="1:21" ht="9.9499999999999993" customHeight="1" x14ac:dyDescent="0.2">
      <c r="O77" s="1131"/>
      <c r="P77" s="1131">
        <v>6532074</v>
      </c>
      <c r="Q77" s="1131">
        <v>9238475</v>
      </c>
      <c r="R77" s="1131"/>
      <c r="S77" s="1131"/>
    </row>
    <row r="78" spans="1:21" ht="9.9499999999999993" customHeight="1" x14ac:dyDescent="0.2">
      <c r="O78" s="1131"/>
      <c r="P78" s="1461">
        <f>SUM(P75:P77)</f>
        <v>39871286</v>
      </c>
      <c r="Q78" s="1461">
        <f>SUM(Q75:Q77)</f>
        <v>45070403</v>
      </c>
      <c r="R78" s="1131" t="s">
        <v>433</v>
      </c>
      <c r="S78" s="1131"/>
    </row>
    <row r="79" spans="1:21" ht="9.9499999999999993" customHeight="1" x14ac:dyDescent="0.2">
      <c r="O79" s="1131"/>
      <c r="P79" s="1131"/>
      <c r="Q79" s="1131"/>
      <c r="R79" s="1131"/>
      <c r="S79" s="1131"/>
    </row>
    <row r="80" spans="1:21" ht="9.9499999999999993" customHeight="1" x14ac:dyDescent="0.2">
      <c r="O80" s="1131"/>
      <c r="P80" s="1131">
        <v>785515</v>
      </c>
      <c r="Q80" s="1131">
        <v>809665</v>
      </c>
      <c r="R80" s="1131"/>
      <c r="S80" s="1131"/>
    </row>
    <row r="81" spans="15:19" ht="9.9499999999999993" customHeight="1" x14ac:dyDescent="0.2">
      <c r="O81" s="1131"/>
      <c r="P81" s="1131">
        <v>1935601</v>
      </c>
      <c r="Q81" s="1131">
        <v>2004484</v>
      </c>
      <c r="R81" s="1131"/>
      <c r="S81" s="1131"/>
    </row>
    <row r="82" spans="15:19" ht="9.9499999999999993" customHeight="1" x14ac:dyDescent="0.2">
      <c r="O82" s="1131"/>
      <c r="P82" s="1131">
        <v>516949</v>
      </c>
      <c r="Q82" s="1131">
        <v>710249</v>
      </c>
      <c r="R82" s="1131"/>
      <c r="S82" s="1131"/>
    </row>
    <row r="83" spans="15:19" ht="9.9499999999999993" customHeight="1" x14ac:dyDescent="0.2">
      <c r="O83" s="1131"/>
      <c r="P83" s="1131">
        <v>14430</v>
      </c>
      <c r="Q83" s="1131">
        <v>40162</v>
      </c>
      <c r="R83" s="1131"/>
      <c r="S83" s="1131"/>
    </row>
    <row r="84" spans="15:19" ht="9.9499999999999993" customHeight="1" x14ac:dyDescent="0.2">
      <c r="O84" s="1131"/>
      <c r="P84" s="1131">
        <v>531238</v>
      </c>
      <c r="Q84" s="1131">
        <v>531015</v>
      </c>
      <c r="R84" s="1131"/>
      <c r="S84" s="1131"/>
    </row>
    <row r="85" spans="15:19" ht="9.9499999999999993" customHeight="1" x14ac:dyDescent="0.2">
      <c r="O85" s="1131"/>
      <c r="P85" s="1461">
        <f>SUM(P80:P84)</f>
        <v>3783733</v>
      </c>
      <c r="Q85" s="1461">
        <f>SUM(Q80:Q84)</f>
        <v>4095575</v>
      </c>
      <c r="R85" s="1131" t="s">
        <v>1658</v>
      </c>
      <c r="S85" s="1131"/>
    </row>
    <row r="86" spans="15:19" ht="9.9499999999999993" customHeight="1" x14ac:dyDescent="0.2">
      <c r="P86" s="1131"/>
      <c r="Q86" s="1131"/>
      <c r="R86" s="1131"/>
    </row>
    <row r="87" spans="15:19" ht="9.9499999999999993" customHeight="1" x14ac:dyDescent="0.2">
      <c r="P87" s="1131">
        <f>+P78+P85</f>
        <v>43655019</v>
      </c>
      <c r="Q87" s="1131">
        <f>+Q78+Q85</f>
        <v>49165978</v>
      </c>
      <c r="R87" s="1131" t="s">
        <v>725</v>
      </c>
    </row>
    <row r="88" spans="15:19" ht="9.9499999999999993" customHeight="1" x14ac:dyDescent="0.2">
      <c r="P88" s="1131"/>
      <c r="Q88" s="1131"/>
      <c r="R88" s="1131"/>
    </row>
    <row r="89" spans="15:19" ht="9.9499999999999993" customHeight="1" x14ac:dyDescent="0.2">
      <c r="P89" s="1131">
        <f>+P73-P87</f>
        <v>80188125</v>
      </c>
      <c r="Q89" s="1131">
        <f>+Q73-Q87</f>
        <v>-23609791</v>
      </c>
      <c r="R89" s="1131" t="s">
        <v>77</v>
      </c>
    </row>
    <row r="90" spans="15:19" ht="9.9499999999999993" customHeight="1" x14ac:dyDescent="0.2">
      <c r="P90" s="1131"/>
      <c r="Q90" s="1131"/>
      <c r="R90" s="1131"/>
    </row>
    <row r="91" spans="15:19" ht="9.9499999999999993" customHeight="1" x14ac:dyDescent="0.2">
      <c r="P91" s="1131">
        <v>154917</v>
      </c>
      <c r="Q91" s="1131">
        <v>221245</v>
      </c>
      <c r="R91" s="1131" t="s">
        <v>1655</v>
      </c>
    </row>
    <row r="92" spans="15:19" ht="9.9499999999999993" customHeight="1" x14ac:dyDescent="0.2">
      <c r="P92" s="1131"/>
      <c r="Q92" s="1131"/>
      <c r="R92" s="1131"/>
    </row>
    <row r="93" spans="15:19" ht="9.9499999999999993" customHeight="1" x14ac:dyDescent="0.2">
      <c r="P93" s="1131">
        <f>+P89-P91</f>
        <v>80033208</v>
      </c>
      <c r="Q93" s="1131">
        <f>+Q89-Q91</f>
        <v>-23831036</v>
      </c>
      <c r="R93" s="1131"/>
    </row>
    <row r="94" spans="15:19" ht="9.9499999999999993" customHeight="1" x14ac:dyDescent="0.2">
      <c r="P94" s="1131"/>
      <c r="Q94" s="1131"/>
      <c r="R94" s="1131"/>
    </row>
    <row r="95" spans="15:19" ht="9.9499999999999993" customHeight="1" x14ac:dyDescent="0.2">
      <c r="P95" s="1131"/>
      <c r="Q95" s="1131">
        <v>-2207866</v>
      </c>
      <c r="R95" s="1131" t="s">
        <v>1656</v>
      </c>
    </row>
    <row r="96" spans="15:19" ht="9.9499999999999993" customHeight="1" x14ac:dyDescent="0.2">
      <c r="P96" s="1131"/>
      <c r="Q96" s="1131"/>
      <c r="R96" s="1131"/>
    </row>
    <row r="97" spans="16:18" ht="9.9499999999999993" customHeight="1" x14ac:dyDescent="0.2">
      <c r="P97" s="1131"/>
      <c r="Q97" s="1131">
        <v>265109</v>
      </c>
      <c r="R97" s="1131" t="s">
        <v>1655</v>
      </c>
    </row>
    <row r="98" spans="16:18" ht="9.9499999999999993" customHeight="1" x14ac:dyDescent="0.2">
      <c r="P98" s="1131"/>
      <c r="Q98" s="1131"/>
      <c r="R98" s="1131"/>
    </row>
    <row r="99" spans="16:18" ht="9.9499999999999993" customHeight="1" x14ac:dyDescent="0.2">
      <c r="P99" s="1131"/>
      <c r="Q99" s="1131">
        <f>+Q93+Q95+Q97-Q91</f>
        <v>-25995038</v>
      </c>
      <c r="R99" s="1131" t="s">
        <v>1657</v>
      </c>
    </row>
    <row r="132" spans="7:7" ht="9.9499999999999993" customHeight="1" x14ac:dyDescent="0.2">
      <c r="G132" s="314">
        <v>21</v>
      </c>
    </row>
  </sheetData>
  <mergeCells count="2">
    <mergeCell ref="A1:N1"/>
    <mergeCell ref="A4:G4"/>
  </mergeCells>
  <phoneticPr fontId="9" type="noConversion"/>
  <printOptions horizontalCentered="1"/>
  <pageMargins left="0.5" right="0.5" top="0.5" bottom="0.625" header="0.5" footer="0.5"/>
  <pageSetup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05CB4-B64C-497A-81D7-FF0A3795EF00}">
  <sheetPr>
    <tabColor theme="6" tint="0.39997558519241921"/>
  </sheetPr>
  <dimension ref="A1:Z102"/>
  <sheetViews>
    <sheetView view="pageBreakPreview" zoomScale="110" zoomScaleNormal="100" zoomScaleSheetLayoutView="110" workbookViewId="0">
      <selection activeCell="X22" activeCellId="6" sqref="F22 J22 L22 P22 T22 V22 X22"/>
    </sheetView>
  </sheetViews>
  <sheetFormatPr defaultRowHeight="12.75" x14ac:dyDescent="0.2"/>
  <cols>
    <col min="1" max="3" width="1.5703125" style="314" customWidth="1"/>
    <col min="4" max="4" width="33.42578125" style="314" customWidth="1"/>
    <col min="5" max="5" width="1.5703125" style="314" customWidth="1"/>
    <col min="6" max="6" width="13.140625" style="314" customWidth="1"/>
    <col min="7" max="7" width="1.5703125" style="314" customWidth="1"/>
    <col min="8" max="8" width="13.140625" style="314" customWidth="1"/>
    <col min="9" max="9" width="1.5703125" style="314" customWidth="1"/>
    <col min="10" max="10" width="13.140625" style="314" customWidth="1"/>
    <col min="11" max="11" width="1.5703125" style="314" customWidth="1"/>
    <col min="12" max="12" width="13.140625" style="314" customWidth="1"/>
    <col min="13" max="13" width="1.5703125" style="314" hidden="1" customWidth="1"/>
    <col min="14" max="14" width="13.140625" style="314" hidden="1" customWidth="1"/>
    <col min="15" max="15" width="1.5703125" style="314" customWidth="1"/>
    <col min="16" max="16" width="13.140625" style="314" customWidth="1"/>
    <col min="17" max="17" width="1.5703125" style="314" hidden="1" customWidth="1"/>
    <col min="18" max="18" width="13.140625" style="314" hidden="1" customWidth="1"/>
    <col min="19" max="19" width="1.5703125" style="314" customWidth="1"/>
    <col min="20" max="20" width="13.140625" style="314" customWidth="1"/>
    <col min="21" max="21" width="1.5703125" style="314" customWidth="1"/>
    <col min="22" max="22" width="13.140625" style="314" customWidth="1"/>
    <col min="23" max="23" width="1.5703125" style="314" customWidth="1"/>
    <col min="24" max="24" width="13.140625" style="314" customWidth="1"/>
    <col min="25" max="25" width="1.5703125" style="314" customWidth="1"/>
    <col min="26" max="26" width="13.140625" style="314" customWidth="1"/>
  </cols>
  <sheetData>
    <row r="1" spans="1:26" ht="20.25"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row>
    <row r="2" spans="1:26" ht="17.25" x14ac:dyDescent="0.2">
      <c r="A2" s="700" t="s">
        <v>1119</v>
      </c>
      <c r="B2" s="713"/>
      <c r="C2" s="713"/>
      <c r="D2" s="713"/>
      <c r="E2" s="713"/>
      <c r="F2" s="713"/>
      <c r="G2" s="713"/>
      <c r="H2" s="713"/>
      <c r="I2" s="713"/>
      <c r="J2" s="713"/>
      <c r="K2" s="713"/>
      <c r="L2" s="713"/>
      <c r="M2" s="713"/>
      <c r="N2" s="713"/>
      <c r="O2" s="713"/>
      <c r="P2" s="713"/>
      <c r="Q2" s="713"/>
      <c r="R2" s="713"/>
      <c r="S2" s="713"/>
      <c r="T2" s="713"/>
      <c r="U2" s="713"/>
      <c r="V2" s="713"/>
      <c r="W2" s="713"/>
      <c r="X2" s="713"/>
      <c r="Y2" s="713"/>
      <c r="Z2" s="713"/>
    </row>
    <row r="3" spans="1:26" ht="17.25" x14ac:dyDescent="0.2">
      <c r="A3" s="700" t="s">
        <v>1515</v>
      </c>
      <c r="B3" s="713"/>
      <c r="C3" s="713"/>
      <c r="D3" s="713"/>
      <c r="E3" s="713"/>
      <c r="F3" s="713"/>
      <c r="G3" s="713"/>
      <c r="H3" s="713"/>
      <c r="I3" s="713"/>
      <c r="J3" s="713"/>
      <c r="K3" s="713"/>
      <c r="L3" s="713"/>
      <c r="M3" s="713"/>
      <c r="N3" s="713"/>
      <c r="O3" s="713"/>
      <c r="P3" s="713"/>
      <c r="Q3" s="713"/>
      <c r="R3" s="713"/>
      <c r="S3" s="713"/>
      <c r="T3" s="713"/>
      <c r="U3" s="713"/>
      <c r="V3" s="713"/>
      <c r="W3" s="713"/>
      <c r="X3" s="713"/>
      <c r="Y3" s="713"/>
      <c r="Z3" s="713"/>
    </row>
    <row r="4" spans="1:26" ht="15" x14ac:dyDescent="0.2">
      <c r="A4" s="1579" t="s">
        <v>1724</v>
      </c>
      <c r="B4" s="1579"/>
      <c r="C4" s="1579"/>
      <c r="D4" s="1579"/>
      <c r="E4" s="506"/>
      <c r="F4" s="506"/>
      <c r="G4" s="506"/>
      <c r="H4" s="506"/>
      <c r="I4" s="506"/>
      <c r="J4" s="506"/>
      <c r="K4" s="506"/>
      <c r="L4" s="506"/>
      <c r="M4" s="506"/>
      <c r="N4" s="506"/>
      <c r="O4" s="506"/>
      <c r="P4" s="506"/>
      <c r="Q4" s="506"/>
      <c r="R4" s="506"/>
      <c r="S4" s="506"/>
      <c r="T4" s="506"/>
      <c r="U4" s="506"/>
      <c r="V4" s="506"/>
      <c r="W4" s="506"/>
      <c r="X4" s="506"/>
      <c r="Y4" s="506"/>
      <c r="Z4" s="506"/>
    </row>
    <row r="5" spans="1:26" x14ac:dyDescent="0.2">
      <c r="A5" s="738" t="s">
        <v>972</v>
      </c>
      <c r="B5" s="718"/>
      <c r="C5" s="718"/>
      <c r="D5" s="718"/>
      <c r="E5" s="721"/>
      <c r="F5" s="721"/>
      <c r="G5" s="721"/>
      <c r="H5" s="721"/>
      <c r="I5" s="721"/>
      <c r="J5" s="721"/>
      <c r="K5" s="721"/>
      <c r="L5" s="721"/>
      <c r="M5" s="721"/>
      <c r="N5" s="721"/>
      <c r="O5" s="721"/>
      <c r="P5" s="721"/>
      <c r="Q5" s="721"/>
      <c r="R5" s="721"/>
      <c r="S5" s="721"/>
      <c r="T5" s="721"/>
      <c r="U5" s="721"/>
      <c r="V5" s="721"/>
      <c r="W5" s="721"/>
      <c r="X5" s="721"/>
      <c r="Y5" s="721"/>
      <c r="Z5" s="721"/>
    </row>
    <row r="6" spans="1:26" x14ac:dyDescent="0.2">
      <c r="A6" s="507"/>
      <c r="B6" s="507"/>
      <c r="C6" s="507"/>
      <c r="D6" s="507"/>
      <c r="E6" s="507"/>
      <c r="F6" s="507"/>
      <c r="G6" s="507"/>
      <c r="H6" s="507"/>
      <c r="I6" s="507"/>
      <c r="J6" s="507" t="s">
        <v>1050</v>
      </c>
      <c r="K6" s="507"/>
      <c r="L6" s="507"/>
      <c r="M6" s="507"/>
      <c r="N6" s="507"/>
      <c r="O6" s="507"/>
      <c r="P6" s="507"/>
      <c r="Q6" s="507"/>
      <c r="R6" s="507"/>
      <c r="S6" s="507"/>
      <c r="T6" s="507"/>
      <c r="U6" s="507"/>
      <c r="V6" s="507"/>
      <c r="W6" s="507"/>
      <c r="X6" s="507"/>
      <c r="Y6" s="507"/>
      <c r="Z6" s="507"/>
    </row>
    <row r="7" spans="1:26" s="1383" customFormat="1" x14ac:dyDescent="0.2">
      <c r="A7" s="310"/>
      <c r="B7" s="310"/>
      <c r="C7" s="310"/>
      <c r="D7" s="310"/>
      <c r="E7" s="310"/>
      <c r="F7" s="310" t="s">
        <v>1534</v>
      </c>
      <c r="G7" s="310"/>
      <c r="H7" s="310" t="s">
        <v>1526</v>
      </c>
      <c r="I7" s="310"/>
      <c r="J7" s="310" t="s">
        <v>1528</v>
      </c>
      <c r="K7" s="310"/>
      <c r="L7" s="310"/>
      <c r="M7" s="310"/>
      <c r="N7" s="310"/>
      <c r="O7" s="310"/>
      <c r="P7" s="310"/>
      <c r="Q7" s="310"/>
      <c r="R7" s="310"/>
      <c r="S7" s="310"/>
      <c r="T7" s="310"/>
      <c r="U7" s="310"/>
      <c r="V7" s="310"/>
      <c r="W7" s="310"/>
      <c r="X7" s="310"/>
      <c r="Y7" s="310"/>
      <c r="Z7" s="310"/>
    </row>
    <row r="8" spans="1:26" s="1383" customFormat="1" x14ac:dyDescent="0.2">
      <c r="A8" s="310"/>
      <c r="B8" s="310"/>
      <c r="C8" s="310"/>
      <c r="D8" s="310"/>
      <c r="E8" s="310"/>
      <c r="F8" s="310" t="s">
        <v>1000</v>
      </c>
      <c r="G8" s="310"/>
      <c r="H8" s="310" t="s">
        <v>866</v>
      </c>
      <c r="I8" s="310"/>
      <c r="J8" s="310" t="s">
        <v>1527</v>
      </c>
      <c r="K8" s="310"/>
      <c r="L8" s="310" t="s">
        <v>1050</v>
      </c>
      <c r="M8" s="310"/>
      <c r="N8" s="310" t="s">
        <v>1202</v>
      </c>
      <c r="O8" s="310"/>
      <c r="P8" s="310" t="s">
        <v>1050</v>
      </c>
      <c r="Q8" s="310"/>
      <c r="R8" s="310" t="s">
        <v>1505</v>
      </c>
      <c r="S8" s="310"/>
      <c r="T8" s="310" t="s">
        <v>1531</v>
      </c>
      <c r="U8" s="310"/>
      <c r="V8" s="310" t="s">
        <v>1050</v>
      </c>
      <c r="W8" s="310"/>
      <c r="X8" s="310" t="s">
        <v>1509</v>
      </c>
      <c r="Y8" s="310"/>
      <c r="Z8" s="310" t="s">
        <v>671</v>
      </c>
    </row>
    <row r="9" spans="1:26" s="1383" customFormat="1" x14ac:dyDescent="0.2">
      <c r="A9" s="310"/>
      <c r="B9" s="310"/>
      <c r="C9" s="310"/>
      <c r="D9" s="310"/>
      <c r="E9" s="310"/>
      <c r="F9" s="310" t="s">
        <v>1535</v>
      </c>
      <c r="G9" s="310"/>
      <c r="H9" s="310" t="s">
        <v>231</v>
      </c>
      <c r="I9" s="310"/>
      <c r="J9" s="310" t="s">
        <v>1533</v>
      </c>
      <c r="K9" s="310"/>
      <c r="L9" s="310" t="s">
        <v>1529</v>
      </c>
      <c r="M9" s="310"/>
      <c r="N9" s="310" t="s">
        <v>1530</v>
      </c>
      <c r="O9" s="310"/>
      <c r="P9" s="310" t="s">
        <v>1506</v>
      </c>
      <c r="Q9" s="310"/>
      <c r="R9" s="310" t="s">
        <v>1507</v>
      </c>
      <c r="S9" s="310"/>
      <c r="T9" s="310" t="s">
        <v>1532</v>
      </c>
      <c r="U9" s="310"/>
      <c r="V9" s="310" t="s">
        <v>1508</v>
      </c>
      <c r="W9" s="310"/>
      <c r="X9" s="310" t="s">
        <v>234</v>
      </c>
      <c r="Y9" s="310"/>
      <c r="Z9" s="310" t="s">
        <v>1525</v>
      </c>
    </row>
    <row r="10" spans="1:26" s="1383" customFormat="1" x14ac:dyDescent="0.2">
      <c r="A10" s="310"/>
      <c r="B10" s="310"/>
      <c r="C10" s="310"/>
      <c r="D10" s="310"/>
      <c r="E10" s="310"/>
      <c r="F10" s="574" t="s">
        <v>227</v>
      </c>
      <c r="G10" s="310"/>
      <c r="H10" s="574" t="s">
        <v>241</v>
      </c>
      <c r="I10" s="310"/>
      <c r="J10" s="574" t="s">
        <v>227</v>
      </c>
      <c r="K10" s="310"/>
      <c r="L10" s="574" t="s">
        <v>227</v>
      </c>
      <c r="M10" s="310"/>
      <c r="N10" s="574" t="s">
        <v>227</v>
      </c>
      <c r="O10" s="310"/>
      <c r="P10" s="574" t="s">
        <v>1510</v>
      </c>
      <c r="Q10" s="310"/>
      <c r="R10" s="574" t="s">
        <v>1511</v>
      </c>
      <c r="S10" s="310"/>
      <c r="T10" s="574" t="s">
        <v>227</v>
      </c>
      <c r="U10" s="310"/>
      <c r="V10" s="574" t="s">
        <v>1512</v>
      </c>
      <c r="W10" s="310"/>
      <c r="X10" s="574" t="s">
        <v>227</v>
      </c>
      <c r="Y10" s="310"/>
      <c r="Z10" s="574" t="s">
        <v>864</v>
      </c>
    </row>
    <row r="11" spans="1:26" x14ac:dyDescent="0.2">
      <c r="A11" s="1600" t="s">
        <v>672</v>
      </c>
      <c r="B11" s="1600"/>
      <c r="C11" s="1600"/>
      <c r="D11" s="1600"/>
      <c r="E11" s="253"/>
      <c r="F11" s="257"/>
      <c r="G11" s="253"/>
      <c r="H11" s="257"/>
      <c r="I11" s="253"/>
      <c r="J11" s="257"/>
      <c r="K11" s="253"/>
      <c r="L11" s="257"/>
      <c r="M11" s="253"/>
      <c r="N11" s="253"/>
      <c r="O11" s="253"/>
      <c r="P11" s="257"/>
      <c r="Q11" s="253"/>
      <c r="R11" s="257"/>
      <c r="S11" s="253"/>
      <c r="T11" s="257"/>
      <c r="U11" s="253"/>
      <c r="V11" s="257"/>
      <c r="W11" s="253"/>
      <c r="X11" s="257"/>
      <c r="Y11" s="253"/>
      <c r="Z11" s="257"/>
    </row>
    <row r="12" spans="1:26" x14ac:dyDescent="0.2">
      <c r="A12" s="492"/>
      <c r="B12" s="284" t="s">
        <v>61</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row>
    <row r="13" spans="1:26" x14ac:dyDescent="0.2">
      <c r="A13" s="253"/>
      <c r="B13" s="492"/>
      <c r="C13" s="352" t="s">
        <v>673</v>
      </c>
      <c r="D13" s="352"/>
      <c r="E13" s="253"/>
      <c r="F13" s="339">
        <v>319</v>
      </c>
      <c r="G13" s="254"/>
      <c r="H13" s="339">
        <v>0</v>
      </c>
      <c r="I13" s="254"/>
      <c r="J13" s="339">
        <v>1983</v>
      </c>
      <c r="K13" s="254"/>
      <c r="L13" s="339">
        <v>339</v>
      </c>
      <c r="M13" s="254"/>
      <c r="N13" s="1462"/>
      <c r="O13" s="254"/>
      <c r="P13" s="339">
        <v>261</v>
      </c>
      <c r="Q13" s="254"/>
      <c r="R13" s="1462"/>
      <c r="S13" s="254"/>
      <c r="T13" s="339">
        <v>10</v>
      </c>
      <c r="U13" s="254"/>
      <c r="V13" s="339">
        <v>318</v>
      </c>
      <c r="W13" s="254"/>
      <c r="X13" s="339">
        <v>80</v>
      </c>
      <c r="Y13" s="254"/>
      <c r="Z13" s="454">
        <f>SUM(F13:X13)</f>
        <v>3310</v>
      </c>
    </row>
    <row r="14" spans="1:26" x14ac:dyDescent="0.2">
      <c r="A14" s="253"/>
      <c r="B14" s="492"/>
      <c r="C14" s="352" t="s">
        <v>289</v>
      </c>
      <c r="D14" s="352"/>
      <c r="E14" s="254"/>
      <c r="F14" s="273"/>
      <c r="G14" s="273"/>
      <c r="H14" s="273"/>
      <c r="I14" s="273"/>
      <c r="J14" s="273"/>
      <c r="K14" s="273"/>
      <c r="L14" s="273"/>
      <c r="M14" s="273"/>
      <c r="N14" s="1463"/>
      <c r="O14" s="273"/>
      <c r="Q14" s="273"/>
      <c r="R14" s="1463"/>
      <c r="S14" s="273"/>
      <c r="T14" s="273"/>
      <c r="U14" s="273"/>
      <c r="V14" s="273"/>
      <c r="W14" s="273"/>
      <c r="X14" s="273"/>
      <c r="Y14" s="273"/>
      <c r="Z14" s="273">
        <f t="shared" ref="Z14:Z20" si="0">SUM(F14:X14)</f>
        <v>0</v>
      </c>
    </row>
    <row r="15" spans="1:26" x14ac:dyDescent="0.2">
      <c r="A15" s="253"/>
      <c r="B15" s="492"/>
      <c r="C15" s="352"/>
      <c r="D15" s="352" t="s">
        <v>291</v>
      </c>
      <c r="E15" s="254"/>
      <c r="F15" s="273">
        <v>1083</v>
      </c>
      <c r="G15" s="273"/>
      <c r="H15" s="646"/>
      <c r="I15" s="273"/>
      <c r="J15" s="646"/>
      <c r="K15" s="273"/>
      <c r="L15" s="1080"/>
      <c r="M15" s="273"/>
      <c r="N15" s="1464"/>
      <c r="O15" s="273"/>
      <c r="P15" s="273">
        <v>887</v>
      </c>
      <c r="Q15" s="273"/>
      <c r="R15" s="1464">
        <v>0</v>
      </c>
      <c r="S15" s="273"/>
      <c r="T15" s="646">
        <v>34</v>
      </c>
      <c r="U15" s="273"/>
      <c r="V15" s="646"/>
      <c r="W15" s="273"/>
      <c r="X15" s="1080">
        <v>272</v>
      </c>
      <c r="Y15" s="273"/>
      <c r="Z15" s="273">
        <f t="shared" si="0"/>
        <v>2276</v>
      </c>
    </row>
    <row r="16" spans="1:26" x14ac:dyDescent="0.2">
      <c r="A16" s="253"/>
      <c r="B16" s="492"/>
      <c r="C16" s="352" t="s">
        <v>62</v>
      </c>
      <c r="D16" s="352"/>
      <c r="E16" s="254"/>
      <c r="F16" s="273"/>
      <c r="G16" s="273"/>
      <c r="H16" s="273"/>
      <c r="I16" s="273"/>
      <c r="J16" s="273"/>
      <c r="K16" s="273"/>
      <c r="L16" s="273"/>
      <c r="M16" s="273"/>
      <c r="N16" s="1463"/>
      <c r="O16" s="273"/>
      <c r="P16" s="273"/>
      <c r="Q16" s="273"/>
      <c r="R16" s="1463">
        <v>0</v>
      </c>
      <c r="S16" s="273"/>
      <c r="T16" s="273"/>
      <c r="U16" s="273"/>
      <c r="V16" s="273"/>
      <c r="W16" s="273"/>
      <c r="X16" s="273"/>
      <c r="Y16" s="273"/>
      <c r="Z16" s="273">
        <f t="shared" si="0"/>
        <v>0</v>
      </c>
    </row>
    <row r="17" spans="1:26" x14ac:dyDescent="0.2">
      <c r="A17" s="253"/>
      <c r="B17" s="352"/>
      <c r="C17" s="492"/>
      <c r="D17" s="352" t="s">
        <v>844</v>
      </c>
      <c r="E17" s="254"/>
      <c r="F17" s="273">
        <v>829</v>
      </c>
      <c r="G17" s="273"/>
      <c r="H17" s="273">
        <v>0</v>
      </c>
      <c r="I17" s="273"/>
      <c r="J17" s="273"/>
      <c r="K17" s="273"/>
      <c r="L17" s="273"/>
      <c r="M17" s="273"/>
      <c r="N17" s="1463"/>
      <c r="O17" s="273"/>
      <c r="P17" s="273">
        <v>0</v>
      </c>
      <c r="Q17" s="273"/>
      <c r="R17" s="1463">
        <v>0</v>
      </c>
      <c r="S17" s="273"/>
      <c r="T17" s="273">
        <v>0</v>
      </c>
      <c r="U17" s="273"/>
      <c r="V17" s="273">
        <v>0</v>
      </c>
      <c r="W17" s="273"/>
      <c r="X17" s="273">
        <v>0</v>
      </c>
      <c r="Y17" s="273"/>
      <c r="Z17" s="273">
        <f t="shared" si="0"/>
        <v>829</v>
      </c>
    </row>
    <row r="18" spans="1:26" x14ac:dyDescent="0.2">
      <c r="A18" s="253"/>
      <c r="B18" s="352"/>
      <c r="C18" s="492"/>
      <c r="D18" s="352" t="s">
        <v>676</v>
      </c>
      <c r="E18" s="254"/>
      <c r="F18" s="273">
        <v>7</v>
      </c>
      <c r="G18" s="273"/>
      <c r="H18" s="273">
        <v>0</v>
      </c>
      <c r="I18" s="273"/>
      <c r="J18" s="273"/>
      <c r="K18" s="273"/>
      <c r="L18" s="273"/>
      <c r="M18" s="273"/>
      <c r="N18" s="1463"/>
      <c r="O18" s="273"/>
      <c r="P18" s="273">
        <v>5</v>
      </c>
      <c r="Q18" s="273"/>
      <c r="R18" s="1463">
        <v>0</v>
      </c>
      <c r="S18" s="273"/>
      <c r="T18" s="273">
        <v>0</v>
      </c>
      <c r="U18" s="273"/>
      <c r="V18" s="273">
        <v>0</v>
      </c>
      <c r="W18" s="273"/>
      <c r="X18" s="273">
        <v>2</v>
      </c>
      <c r="Y18" s="273"/>
      <c r="Z18" s="273">
        <f t="shared" si="0"/>
        <v>14</v>
      </c>
    </row>
    <row r="19" spans="1:26" hidden="1" x14ac:dyDescent="0.2">
      <c r="A19" s="253"/>
      <c r="B19" s="352"/>
      <c r="C19" s="492"/>
      <c r="D19" s="352" t="s">
        <v>677</v>
      </c>
      <c r="E19" s="254"/>
      <c r="F19" s="273">
        <v>0</v>
      </c>
      <c r="G19" s="273"/>
      <c r="H19" s="273"/>
      <c r="I19" s="273"/>
      <c r="J19" s="273"/>
      <c r="K19" s="273"/>
      <c r="L19" s="273"/>
      <c r="M19" s="273"/>
      <c r="N19" s="273"/>
      <c r="O19" s="273"/>
      <c r="P19" s="273"/>
      <c r="Q19" s="273"/>
      <c r="R19" s="273"/>
      <c r="S19" s="273"/>
      <c r="T19" s="273"/>
      <c r="U19" s="273"/>
      <c r="V19" s="273"/>
      <c r="W19" s="273"/>
      <c r="X19" s="273"/>
      <c r="Y19" s="273"/>
      <c r="Z19" s="273">
        <f t="shared" si="0"/>
        <v>0</v>
      </c>
    </row>
    <row r="20" spans="1:26" hidden="1" x14ac:dyDescent="0.2">
      <c r="A20" s="253"/>
      <c r="B20" s="352"/>
      <c r="C20" s="352" t="s">
        <v>679</v>
      </c>
      <c r="D20" s="352"/>
      <c r="E20" s="254"/>
      <c r="F20" s="273"/>
      <c r="G20" s="273"/>
      <c r="H20" s="273">
        <v>0</v>
      </c>
      <c r="I20" s="273"/>
      <c r="J20" s="273">
        <v>0</v>
      </c>
      <c r="K20" s="273"/>
      <c r="L20" s="273"/>
      <c r="M20" s="273"/>
      <c r="N20" s="273"/>
      <c r="O20" s="273"/>
      <c r="P20" s="273">
        <v>0</v>
      </c>
      <c r="Q20" s="273"/>
      <c r="R20" s="273"/>
      <c r="S20" s="273"/>
      <c r="T20" s="273">
        <v>0</v>
      </c>
      <c r="U20" s="273"/>
      <c r="V20" s="273">
        <v>0</v>
      </c>
      <c r="W20" s="273"/>
      <c r="X20" s="273"/>
      <c r="Y20" s="273"/>
      <c r="Z20" s="273">
        <f t="shared" si="0"/>
        <v>0</v>
      </c>
    </row>
    <row r="21" spans="1:26" ht="5.0999999999999996" customHeight="1" x14ac:dyDescent="0.2">
      <c r="A21" s="253"/>
      <c r="B21" s="352"/>
      <c r="C21" s="352"/>
      <c r="D21" s="352"/>
      <c r="E21" s="254"/>
      <c r="F21" s="340"/>
      <c r="G21" s="273"/>
      <c r="H21" s="340"/>
      <c r="I21" s="273"/>
      <c r="J21" s="340"/>
      <c r="K21" s="273"/>
      <c r="L21" s="340"/>
      <c r="M21" s="273"/>
      <c r="N21" s="340"/>
      <c r="O21" s="273"/>
      <c r="P21" s="340"/>
      <c r="Q21" s="273"/>
      <c r="R21" s="340"/>
      <c r="S21" s="273"/>
      <c r="T21" s="340"/>
      <c r="U21" s="273"/>
      <c r="V21" s="340"/>
      <c r="W21" s="273"/>
      <c r="X21" s="340"/>
      <c r="Y21" s="273"/>
      <c r="Z21" s="340"/>
    </row>
    <row r="22" spans="1:26" x14ac:dyDescent="0.2">
      <c r="A22" s="253"/>
      <c r="B22" s="353" t="s">
        <v>64</v>
      </c>
      <c r="C22" s="352"/>
      <c r="D22" s="492"/>
      <c r="E22" s="254"/>
      <c r="F22" s="341">
        <f>SUM(F13:F21)</f>
        <v>2238</v>
      </c>
      <c r="G22" s="273"/>
      <c r="H22" s="341">
        <f>SUM(H13:H21)</f>
        <v>0</v>
      </c>
      <c r="I22" s="273"/>
      <c r="J22" s="341">
        <f>SUM(J13:J21)</f>
        <v>1983</v>
      </c>
      <c r="K22" s="273"/>
      <c r="L22" s="341">
        <f>SUM(L13:L21)</f>
        <v>339</v>
      </c>
      <c r="M22" s="273"/>
      <c r="N22" s="341">
        <f>SUM(N13:N21)</f>
        <v>0</v>
      </c>
      <c r="O22" s="273"/>
      <c r="P22" s="341">
        <f>SUM(P13:P21)</f>
        <v>1153</v>
      </c>
      <c r="Q22" s="273"/>
      <c r="R22" s="341">
        <f>SUM(R13:R21)</f>
        <v>0</v>
      </c>
      <c r="S22" s="273"/>
      <c r="T22" s="341">
        <f>SUM(T13:T21)</f>
        <v>44</v>
      </c>
      <c r="U22" s="273"/>
      <c r="V22" s="341">
        <f>SUM(V13:V21)</f>
        <v>318</v>
      </c>
      <c r="W22" s="273"/>
      <c r="X22" s="341">
        <f>SUM(X13:X21)</f>
        <v>354</v>
      </c>
      <c r="Y22" s="273"/>
      <c r="Z22" s="341">
        <f>SUM(Z13:Z21)</f>
        <v>6429</v>
      </c>
    </row>
    <row r="23" spans="1:26" ht="5.0999999999999996" customHeight="1" x14ac:dyDescent="0.2">
      <c r="A23" s="253"/>
      <c r="B23" s="353"/>
      <c r="C23" s="352"/>
      <c r="D23" s="492"/>
      <c r="E23" s="254"/>
      <c r="F23" s="273"/>
      <c r="G23" s="273"/>
      <c r="H23" s="273"/>
      <c r="I23" s="273"/>
      <c r="J23" s="273"/>
      <c r="K23" s="273"/>
      <c r="L23" s="273"/>
      <c r="M23" s="273"/>
      <c r="N23" s="273"/>
      <c r="O23" s="273"/>
      <c r="P23" s="273"/>
      <c r="Q23" s="273"/>
      <c r="R23" s="273"/>
      <c r="S23" s="273"/>
      <c r="T23" s="273"/>
      <c r="U23" s="273"/>
      <c r="V23" s="273"/>
      <c r="W23" s="273"/>
      <c r="X23" s="273"/>
      <c r="Y23" s="273"/>
      <c r="Z23" s="273"/>
    </row>
    <row r="24" spans="1:26" x14ac:dyDescent="0.2">
      <c r="A24" s="353" t="s">
        <v>687</v>
      </c>
      <c r="B24" s="253"/>
      <c r="C24" s="253"/>
      <c r="D24" s="253"/>
      <c r="E24" s="254"/>
      <c r="F24" s="1227">
        <f>+F22</f>
        <v>2238</v>
      </c>
      <c r="G24" s="273"/>
      <c r="H24" s="1227">
        <f>+H22</f>
        <v>0</v>
      </c>
      <c r="I24" s="273"/>
      <c r="J24" s="1227">
        <f>+J22</f>
        <v>1983</v>
      </c>
      <c r="K24" s="273"/>
      <c r="L24" s="1227">
        <f>+L22</f>
        <v>339</v>
      </c>
      <c r="M24" s="273"/>
      <c r="N24" s="1227">
        <f>+N22</f>
        <v>0</v>
      </c>
      <c r="O24" s="273"/>
      <c r="P24" s="1227">
        <f>+P22</f>
        <v>1153</v>
      </c>
      <c r="Q24" s="273"/>
      <c r="R24" s="1227">
        <f>+R22</f>
        <v>0</v>
      </c>
      <c r="S24" s="273"/>
      <c r="T24" s="1227">
        <f>+T22</f>
        <v>44</v>
      </c>
      <c r="U24" s="273"/>
      <c r="V24" s="1227">
        <f>+V22</f>
        <v>318</v>
      </c>
      <c r="W24" s="273"/>
      <c r="X24" s="1227">
        <f>+X22</f>
        <v>354</v>
      </c>
      <c r="Y24" s="273"/>
      <c r="Z24" s="1227">
        <f>+Z22</f>
        <v>6429</v>
      </c>
    </row>
    <row r="25" spans="1:26" ht="5.0999999999999996" customHeight="1" x14ac:dyDescent="0.2">
      <c r="A25" s="353"/>
      <c r="B25" s="253"/>
      <c r="C25" s="253"/>
      <c r="D25" s="253"/>
      <c r="E25" s="254"/>
      <c r="F25" s="346"/>
      <c r="G25" s="254"/>
      <c r="H25" s="346"/>
      <c r="I25" s="254"/>
      <c r="J25" s="346"/>
      <c r="K25" s="254"/>
      <c r="L25" s="346"/>
      <c r="M25" s="254"/>
      <c r="N25" s="346"/>
      <c r="O25" s="254"/>
      <c r="P25" s="346"/>
      <c r="Q25" s="254"/>
      <c r="R25" s="346"/>
      <c r="S25" s="254"/>
      <c r="T25" s="346"/>
      <c r="U25" s="254"/>
      <c r="V25" s="346"/>
      <c r="W25" s="254"/>
      <c r="X25" s="346"/>
      <c r="Y25" s="273"/>
      <c r="Z25" s="346"/>
    </row>
    <row r="26" spans="1:26" ht="5.0999999999999996" hidden="1" customHeight="1" x14ac:dyDescent="0.2">
      <c r="A26" s="253"/>
      <c r="B26" s="253"/>
      <c r="C26" s="253"/>
      <c r="D26" s="253"/>
      <c r="E26" s="254"/>
      <c r="F26"/>
      <c r="G26" s="254"/>
      <c r="H26"/>
      <c r="I26" s="254"/>
      <c r="J26"/>
      <c r="K26" s="254"/>
      <c r="L26"/>
      <c r="M26" s="254"/>
      <c r="N26"/>
      <c r="O26" s="254"/>
      <c r="P26"/>
      <c r="Q26" s="254"/>
      <c r="R26"/>
      <c r="S26" s="254"/>
      <c r="T26"/>
      <c r="U26" s="254"/>
      <c r="V26"/>
      <c r="W26" s="254"/>
      <c r="X26"/>
      <c r="Y26" s="273"/>
      <c r="Z26" s="273"/>
    </row>
    <row r="27" spans="1:26" hidden="1" x14ac:dyDescent="0.2">
      <c r="A27" s="1600" t="s">
        <v>751</v>
      </c>
      <c r="B27" s="1600"/>
      <c r="C27" s="1600"/>
      <c r="D27" s="1600"/>
      <c r="E27" s="254"/>
      <c r="F27"/>
      <c r="G27"/>
      <c r="H27"/>
      <c r="I27"/>
      <c r="J27"/>
      <c r="K27"/>
      <c r="L27"/>
      <c r="M27"/>
      <c r="N27"/>
      <c r="O27"/>
      <c r="P27"/>
      <c r="Q27"/>
      <c r="R27"/>
      <c r="S27"/>
      <c r="T27"/>
      <c r="U27"/>
      <c r="V27"/>
      <c r="W27"/>
      <c r="X27"/>
      <c r="Y27" s="273"/>
      <c r="Z27" s="273"/>
    </row>
    <row r="28" spans="1:26" hidden="1" x14ac:dyDescent="0.2">
      <c r="A28" s="454"/>
      <c r="B28" s="352" t="s">
        <v>688</v>
      </c>
      <c r="C28" s="454"/>
      <c r="D28" s="454"/>
      <c r="E28" s="454"/>
      <c r="F28" s="454">
        <v>0</v>
      </c>
      <c r="G28" s="533"/>
      <c r="H28" s="339">
        <v>0</v>
      </c>
      <c r="I28" s="533"/>
      <c r="J28" s="339">
        <v>0</v>
      </c>
      <c r="K28" s="1330"/>
      <c r="L28" s="346">
        <v>0</v>
      </c>
      <c r="M28" s="533"/>
      <c r="N28" s="346">
        <v>0</v>
      </c>
      <c r="O28" s="533"/>
      <c r="P28" s="339">
        <v>0</v>
      </c>
      <c r="Q28" s="1330"/>
      <c r="R28" s="346">
        <v>0</v>
      </c>
      <c r="S28" s="533"/>
      <c r="T28" s="339">
        <v>0</v>
      </c>
      <c r="U28" s="533"/>
      <c r="V28" s="339">
        <v>0</v>
      </c>
      <c r="W28" s="1330"/>
      <c r="X28" s="346">
        <v>0</v>
      </c>
      <c r="Y28" s="533"/>
      <c r="Z28" s="454">
        <f t="shared" ref="Z28:Z34" si="1">SUM(F28:X28)</f>
        <v>0</v>
      </c>
    </row>
    <row r="29" spans="1:26" hidden="1" x14ac:dyDescent="0.2">
      <c r="A29" s="253"/>
      <c r="B29" s="352" t="s">
        <v>847</v>
      </c>
      <c r="C29" s="253"/>
      <c r="D29" s="253"/>
      <c r="E29" s="254"/>
      <c r="F29"/>
      <c r="G29"/>
      <c r="H29"/>
      <c r="I29"/>
      <c r="J29"/>
      <c r="K29"/>
      <c r="L29"/>
      <c r="M29"/>
      <c r="N29"/>
      <c r="O29"/>
      <c r="P29"/>
      <c r="Q29"/>
      <c r="R29"/>
      <c r="S29"/>
      <c r="T29"/>
      <c r="U29"/>
      <c r="V29"/>
      <c r="W29"/>
      <c r="X29"/>
      <c r="Y29" s="273"/>
      <c r="Z29" s="273">
        <f t="shared" si="1"/>
        <v>0</v>
      </c>
    </row>
    <row r="30" spans="1:26" hidden="1" x14ac:dyDescent="0.2">
      <c r="A30" s="253"/>
      <c r="B30" s="352" t="s">
        <v>254</v>
      </c>
      <c r="C30" s="253"/>
      <c r="D30" s="253"/>
      <c r="E30" s="254"/>
      <c r="F30"/>
      <c r="G30"/>
      <c r="H30"/>
      <c r="I30"/>
      <c r="J30"/>
      <c r="K30"/>
      <c r="L30"/>
      <c r="M30"/>
      <c r="N30"/>
      <c r="O30"/>
      <c r="P30"/>
      <c r="Q30"/>
      <c r="R30"/>
      <c r="S30"/>
      <c r="T30"/>
      <c r="U30"/>
      <c r="V30"/>
      <c r="W30"/>
      <c r="X30"/>
      <c r="Y30" s="273"/>
      <c r="Z30" s="273">
        <f t="shared" si="1"/>
        <v>0</v>
      </c>
    </row>
    <row r="31" spans="1:26" hidden="1" x14ac:dyDescent="0.2">
      <c r="A31" s="253"/>
      <c r="B31" s="352" t="s">
        <v>690</v>
      </c>
      <c r="C31" s="253"/>
      <c r="D31" s="253"/>
      <c r="E31" s="254"/>
      <c r="F31"/>
      <c r="G31"/>
      <c r="H31"/>
      <c r="I31"/>
      <c r="J31"/>
      <c r="K31"/>
      <c r="L31"/>
      <c r="M31"/>
      <c r="N31"/>
      <c r="O31"/>
      <c r="P31"/>
      <c r="Q31"/>
      <c r="R31"/>
      <c r="S31"/>
      <c r="T31"/>
      <c r="U31"/>
      <c r="V31"/>
      <c r="W31"/>
      <c r="X31"/>
      <c r="Y31" s="273"/>
      <c r="Z31" s="273">
        <f t="shared" si="1"/>
        <v>0</v>
      </c>
    </row>
    <row r="32" spans="1:26" hidden="1" x14ac:dyDescent="0.2">
      <c r="A32" s="253"/>
      <c r="B32" s="352" t="s">
        <v>692</v>
      </c>
      <c r="C32" s="253"/>
      <c r="D32" s="253"/>
      <c r="E32" s="254"/>
      <c r="F32"/>
      <c r="G32"/>
      <c r="H32"/>
      <c r="I32"/>
      <c r="J32"/>
      <c r="K32"/>
      <c r="L32"/>
      <c r="M32"/>
      <c r="N32"/>
      <c r="O32"/>
      <c r="P32"/>
      <c r="Q32"/>
      <c r="R32"/>
      <c r="S32"/>
      <c r="T32"/>
      <c r="U32"/>
      <c r="V32"/>
      <c r="W32"/>
      <c r="X32"/>
      <c r="Y32" s="273"/>
      <c r="Z32" s="273">
        <f t="shared" si="1"/>
        <v>0</v>
      </c>
    </row>
    <row r="33" spans="1:26" hidden="1" x14ac:dyDescent="0.2">
      <c r="A33" s="253"/>
      <c r="B33" s="352" t="s">
        <v>604</v>
      </c>
      <c r="C33" s="253"/>
      <c r="D33" s="253"/>
      <c r="E33" s="254"/>
      <c r="F33"/>
      <c r="G33"/>
      <c r="H33"/>
      <c r="I33"/>
      <c r="J33"/>
      <c r="K33"/>
      <c r="L33"/>
      <c r="M33"/>
      <c r="N33"/>
      <c r="O33"/>
      <c r="P33"/>
      <c r="Q33"/>
      <c r="R33"/>
      <c r="S33"/>
      <c r="T33"/>
      <c r="U33"/>
      <c r="V33"/>
      <c r="W33"/>
      <c r="X33"/>
      <c r="Y33" s="273"/>
      <c r="Z33" s="273">
        <f t="shared" si="1"/>
        <v>0</v>
      </c>
    </row>
    <row r="34" spans="1:26" hidden="1" x14ac:dyDescent="0.2">
      <c r="A34" s="253"/>
      <c r="B34" s="352" t="s">
        <v>854</v>
      </c>
      <c r="C34" s="253"/>
      <c r="D34" s="253"/>
      <c r="E34" s="254"/>
      <c r="F34" s="273"/>
      <c r="G34" s="273"/>
      <c r="H34" s="273"/>
      <c r="I34" s="273"/>
      <c r="J34" s="273"/>
      <c r="K34" s="273"/>
      <c r="L34" s="273"/>
      <c r="M34" s="273"/>
      <c r="N34" s="273"/>
      <c r="O34" s="273"/>
      <c r="P34" s="273"/>
      <c r="Q34" s="273"/>
      <c r="R34" s="273"/>
      <c r="S34" s="273"/>
      <c r="T34" s="273"/>
      <c r="U34" s="273"/>
      <c r="V34" s="273"/>
      <c r="W34" s="273"/>
      <c r="X34" s="273"/>
      <c r="Y34" s="273"/>
      <c r="Z34" s="273">
        <f t="shared" si="1"/>
        <v>0</v>
      </c>
    </row>
    <row r="35" spans="1:26" ht="5.0999999999999996" hidden="1" customHeight="1" x14ac:dyDescent="0.2">
      <c r="A35" s="253"/>
      <c r="B35" s="352"/>
      <c r="C35" s="253"/>
      <c r="D35" s="253"/>
      <c r="E35" s="254"/>
      <c r="F35" s="340"/>
      <c r="G35" s="273"/>
      <c r="H35" s="340"/>
      <c r="I35" s="273"/>
      <c r="J35" s="340"/>
      <c r="K35" s="273"/>
      <c r="L35" s="340"/>
      <c r="M35" s="273"/>
      <c r="N35" s="340"/>
      <c r="O35" s="273"/>
      <c r="P35" s="340"/>
      <c r="Q35" s="273"/>
      <c r="R35" s="340"/>
      <c r="S35" s="273"/>
      <c r="T35" s="340"/>
      <c r="U35" s="273"/>
      <c r="V35" s="340"/>
      <c r="W35" s="273"/>
      <c r="X35" s="340"/>
      <c r="Y35" s="273"/>
      <c r="Z35" s="340"/>
    </row>
    <row r="36" spans="1:26" hidden="1" x14ac:dyDescent="0.2">
      <c r="A36" s="353" t="s">
        <v>702</v>
      </c>
      <c r="B36" s="492"/>
      <c r="C36" s="253"/>
      <c r="D36" s="492"/>
      <c r="E36" s="254"/>
      <c r="F36" s="341"/>
      <c r="G36" s="273"/>
      <c r="H36" s="341"/>
      <c r="I36" s="273"/>
      <c r="J36" s="341"/>
      <c r="K36" s="273"/>
      <c r="L36" s="341"/>
      <c r="M36" s="273"/>
      <c r="N36" s="341"/>
      <c r="O36" s="273"/>
      <c r="P36" s="341"/>
      <c r="Q36" s="273"/>
      <c r="R36" s="341"/>
      <c r="S36" s="273"/>
      <c r="T36" s="341"/>
      <c r="U36" s="273"/>
      <c r="V36" s="341"/>
      <c r="W36" s="273"/>
      <c r="X36" s="341"/>
      <c r="Y36" s="273"/>
      <c r="Z36" s="341">
        <f>SUM(Z28:Z34)</f>
        <v>0</v>
      </c>
    </row>
    <row r="37" spans="1:26" ht="5.0999999999999996" hidden="1" customHeight="1" x14ac:dyDescent="0.2">
      <c r="A37" s="353"/>
      <c r="B37" s="492"/>
      <c r="C37" s="253"/>
      <c r="D37" s="492"/>
      <c r="E37" s="254"/>
      <c r="F37" s="273"/>
      <c r="G37" s="273"/>
      <c r="H37" s="273"/>
      <c r="I37" s="273"/>
      <c r="J37" s="273"/>
      <c r="K37" s="273"/>
      <c r="L37" s="273"/>
      <c r="M37" s="273"/>
      <c r="N37" s="273"/>
      <c r="O37" s="273"/>
      <c r="P37" s="273"/>
      <c r="Q37" s="273"/>
      <c r="R37" s="273"/>
      <c r="S37" s="273"/>
      <c r="T37" s="273"/>
      <c r="U37" s="273"/>
      <c r="V37" s="273"/>
      <c r="W37" s="273"/>
      <c r="X37" s="273"/>
      <c r="Y37" s="273"/>
      <c r="Z37" s="273"/>
    </row>
    <row r="38" spans="1:26" ht="5.0999999999999996" hidden="1" customHeight="1" x14ac:dyDescent="0.2">
      <c r="A38" s="253"/>
      <c r="B38" s="253"/>
      <c r="C38" s="253"/>
      <c r="D38" s="253"/>
      <c r="E38" s="254"/>
      <c r="F38"/>
      <c r="G38"/>
      <c r="H38"/>
      <c r="I38"/>
      <c r="J38"/>
      <c r="K38"/>
      <c r="L38"/>
      <c r="M38"/>
      <c r="N38"/>
      <c r="O38"/>
      <c r="P38"/>
      <c r="Q38"/>
      <c r="R38"/>
      <c r="S38"/>
      <c r="T38"/>
      <c r="U38"/>
      <c r="V38"/>
      <c r="W38"/>
      <c r="X38"/>
      <c r="Y38" s="273"/>
      <c r="Z38" s="273"/>
    </row>
    <row r="39" spans="1:26" x14ac:dyDescent="0.2">
      <c r="A39" s="1600" t="s">
        <v>1113</v>
      </c>
      <c r="B39" s="1600"/>
      <c r="C39" s="1600"/>
      <c r="D39" s="1600"/>
      <c r="E39" s="254"/>
      <c r="F39" s="254"/>
      <c r="G39" s="254"/>
      <c r="H39" s="254"/>
      <c r="I39" s="254"/>
      <c r="J39" s="254"/>
      <c r="K39" s="254"/>
      <c r="L39" s="254"/>
      <c r="M39" s="254"/>
      <c r="N39" s="254"/>
      <c r="O39" s="254"/>
      <c r="P39" s="254"/>
      <c r="Q39" s="254"/>
      <c r="R39" s="254"/>
      <c r="S39" s="254"/>
      <c r="T39" s="254"/>
      <c r="U39" s="254"/>
      <c r="V39" s="254"/>
      <c r="W39" s="254"/>
      <c r="X39" s="254"/>
      <c r="Y39" s="273"/>
      <c r="Z39" s="273"/>
    </row>
    <row r="40" spans="1:26" hidden="1" x14ac:dyDescent="0.2">
      <c r="A40" s="353"/>
      <c r="B40" s="352" t="s">
        <v>1299</v>
      </c>
      <c r="C40" s="353"/>
      <c r="D40" s="353"/>
      <c r="E40" s="254"/>
      <c r="F40" s="254"/>
      <c r="G40" s="254"/>
      <c r="H40" s="254"/>
      <c r="I40" s="254"/>
      <c r="J40" s="254"/>
      <c r="K40" s="254"/>
      <c r="L40" s="254"/>
      <c r="M40" s="254"/>
      <c r="N40" s="254"/>
      <c r="O40" s="254"/>
      <c r="P40" s="254"/>
      <c r="Q40" s="254"/>
      <c r="R40" s="254"/>
      <c r="S40" s="254"/>
      <c r="T40" s="254"/>
      <c r="U40" s="254"/>
      <c r="V40" s="254"/>
      <c r="W40" s="254"/>
      <c r="X40" s="254"/>
      <c r="Y40" s="273"/>
      <c r="Z40" s="273"/>
    </row>
    <row r="41" spans="1:26" hidden="1" x14ac:dyDescent="0.2">
      <c r="A41" s="253"/>
      <c r="B41" s="253" t="s">
        <v>1301</v>
      </c>
      <c r="C41" s="492"/>
      <c r="D41" s="492"/>
      <c r="E41" s="253"/>
      <c r="F41" s="538"/>
      <c r="G41" s="254"/>
      <c r="H41" s="538"/>
      <c r="I41" s="254"/>
      <c r="J41" s="538"/>
      <c r="K41" s="254"/>
      <c r="L41" s="538"/>
      <c r="M41" s="254"/>
      <c r="N41" s="538"/>
      <c r="O41" s="254"/>
      <c r="P41" s="538"/>
      <c r="Q41" s="254"/>
      <c r="R41" s="538"/>
      <c r="S41" s="254"/>
      <c r="T41" s="538"/>
      <c r="U41" s="254"/>
      <c r="V41" s="538"/>
      <c r="W41" s="254"/>
      <c r="X41" s="538"/>
      <c r="Y41" s="538"/>
      <c r="Z41" s="538"/>
    </row>
    <row r="42" spans="1:26" x14ac:dyDescent="0.2">
      <c r="A42" s="253"/>
      <c r="B42" s="253" t="s">
        <v>1513</v>
      </c>
      <c r="C42" s="492"/>
      <c r="D42" s="492"/>
      <c r="E42" s="253"/>
      <c r="F42" s="538"/>
      <c r="G42" s="538"/>
      <c r="H42" s="538"/>
      <c r="I42" s="538"/>
      <c r="J42" s="538"/>
      <c r="K42" s="538"/>
      <c r="L42" s="538"/>
      <c r="M42" s="538"/>
      <c r="N42" s="538"/>
      <c r="O42" s="538"/>
      <c r="P42" s="538"/>
      <c r="Q42" s="538"/>
      <c r="R42" s="538"/>
      <c r="S42" s="538"/>
      <c r="T42" s="538"/>
      <c r="U42" s="538"/>
      <c r="V42" s="538"/>
      <c r="W42" s="538"/>
      <c r="X42" s="538"/>
      <c r="Y42" s="538"/>
      <c r="Z42" s="538"/>
    </row>
    <row r="43" spans="1:26" x14ac:dyDescent="0.2">
      <c r="A43" s="253"/>
      <c r="B43" s="253" t="s">
        <v>1514</v>
      </c>
      <c r="C43" s="284"/>
      <c r="D43" s="253"/>
      <c r="E43" s="254"/>
      <c r="F43" s="345">
        <v>2238</v>
      </c>
      <c r="G43" s="254"/>
      <c r="H43" s="345">
        <v>0</v>
      </c>
      <c r="I43" s="254"/>
      <c r="J43" s="345">
        <v>1983</v>
      </c>
      <c r="K43" s="254"/>
      <c r="L43" s="345">
        <v>339</v>
      </c>
      <c r="M43" s="254"/>
      <c r="N43" s="345">
        <v>0</v>
      </c>
      <c r="O43" s="254"/>
      <c r="P43" s="345">
        <v>1153</v>
      </c>
      <c r="Q43" s="254"/>
      <c r="R43" s="345">
        <v>0</v>
      </c>
      <c r="S43" s="254"/>
      <c r="T43" s="345">
        <v>44</v>
      </c>
      <c r="U43" s="254"/>
      <c r="V43" s="345">
        <v>318</v>
      </c>
      <c r="W43" s="254"/>
      <c r="X43" s="345">
        <v>354</v>
      </c>
      <c r="Y43" s="254"/>
      <c r="Z43" s="273">
        <f t="shared" ref="Z43" si="2">SUM(F43:X43)</f>
        <v>6429</v>
      </c>
    </row>
    <row r="44" spans="1:26" ht="5.0999999999999996" customHeight="1" x14ac:dyDescent="0.2">
      <c r="A44" s="253"/>
      <c r="B44" s="353"/>
      <c r="C44" s="253"/>
      <c r="D44" s="492"/>
      <c r="E44" s="254"/>
      <c r="F44" s="340"/>
      <c r="G44" s="273"/>
      <c r="H44" s="340"/>
      <c r="I44" s="273"/>
      <c r="J44" s="340"/>
      <c r="K44" s="273"/>
      <c r="L44" s="340"/>
      <c r="M44" s="273"/>
      <c r="N44" s="340"/>
      <c r="O44" s="273"/>
      <c r="P44" s="340"/>
      <c r="Q44" s="273"/>
      <c r="R44" s="340"/>
      <c r="S44" s="273"/>
      <c r="T44" s="340"/>
      <c r="U44" s="273"/>
      <c r="V44" s="340"/>
      <c r="W44" s="273"/>
      <c r="X44" s="340"/>
      <c r="Y44" s="273"/>
      <c r="Z44" s="340"/>
    </row>
    <row r="45" spans="1:26" ht="13.5" thickBot="1" x14ac:dyDescent="0.25">
      <c r="A45" s="353" t="s">
        <v>1116</v>
      </c>
      <c r="B45" s="253"/>
      <c r="C45" s="253"/>
      <c r="D45" s="253"/>
      <c r="E45" s="254"/>
      <c r="F45" s="460">
        <f>SUM(F41:F44)</f>
        <v>2238</v>
      </c>
      <c r="G45" s="273"/>
      <c r="H45" s="460">
        <f>SUM(H41:H44)</f>
        <v>0</v>
      </c>
      <c r="I45" s="273"/>
      <c r="J45" s="460">
        <f>SUM(J41:J44)</f>
        <v>1983</v>
      </c>
      <c r="K45" s="273"/>
      <c r="L45" s="460">
        <f>SUM(L41:L44)</f>
        <v>339</v>
      </c>
      <c r="M45" s="273"/>
      <c r="N45" s="460">
        <f>SUM(N41:N44)</f>
        <v>0</v>
      </c>
      <c r="O45" s="273"/>
      <c r="P45" s="460">
        <f>SUM(P41:P44)</f>
        <v>1153</v>
      </c>
      <c r="Q45" s="273"/>
      <c r="R45" s="460">
        <f>SUM(R41:R44)</f>
        <v>0</v>
      </c>
      <c r="S45" s="273"/>
      <c r="T45" s="460">
        <f>SUM(T41:T44)</f>
        <v>44</v>
      </c>
      <c r="U45" s="273"/>
      <c r="V45" s="460">
        <f>SUM(V41:V44)</f>
        <v>318</v>
      </c>
      <c r="W45" s="273"/>
      <c r="X45" s="460">
        <f>SUM(X41:X44)</f>
        <v>354</v>
      </c>
      <c r="Y45" s="273"/>
      <c r="Z45" s="460">
        <f>SUM(Z41:Z44)</f>
        <v>6429</v>
      </c>
    </row>
    <row r="46" spans="1:26" ht="13.5" thickTop="1" x14ac:dyDescent="0.2">
      <c r="A46" s="253"/>
      <c r="B46" s="253"/>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row>
    <row r="47" spans="1:26" x14ac:dyDescent="0.2">
      <c r="A47" s="253"/>
      <c r="B47" s="253"/>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row>
    <row r="48" spans="1:26" x14ac:dyDescent="0.2">
      <c r="A48" s="400"/>
      <c r="B48" s="400"/>
      <c r="C48" s="400"/>
      <c r="D48" s="401" t="s">
        <v>998</v>
      </c>
      <c r="E48" s="400"/>
      <c r="F48" s="420">
        <f>SUM(F24-F36-F45)</f>
        <v>0</v>
      </c>
      <c r="G48" s="420"/>
      <c r="H48" s="420">
        <f>SUM(H24-H36-H45)</f>
        <v>0</v>
      </c>
      <c r="I48" s="420"/>
      <c r="J48" s="420">
        <f>SUM(J24-J36-J45)</f>
        <v>0</v>
      </c>
      <c r="K48" s="420"/>
      <c r="L48" s="420">
        <f>SUM(L24-L36-L45)</f>
        <v>0</v>
      </c>
      <c r="M48" s="420"/>
      <c r="N48" s="420">
        <f>SUM(N24-N36-N45)</f>
        <v>0</v>
      </c>
      <c r="O48" s="420"/>
      <c r="P48" s="420">
        <f>SUM(P24-P36-P45)</f>
        <v>0</v>
      </c>
      <c r="Q48" s="420"/>
      <c r="R48" s="420">
        <f>SUM(R24-R36-R45)</f>
        <v>0</v>
      </c>
      <c r="S48" s="420"/>
      <c r="T48" s="420">
        <f>SUM(T24-T36-T45)</f>
        <v>0</v>
      </c>
      <c r="U48" s="420"/>
      <c r="V48" s="420">
        <f>SUM(V24-V36-V45)</f>
        <v>0</v>
      </c>
      <c r="W48" s="420"/>
      <c r="X48" s="420">
        <f>SUM(X24-X36-X45)</f>
        <v>0</v>
      </c>
      <c r="Y48" s="420"/>
      <c r="Z48" s="420">
        <f>SUM(Z24-Z36-Z45)</f>
        <v>0</v>
      </c>
    </row>
    <row r="49" spans="1:26" x14ac:dyDescent="0.2">
      <c r="A49" s="253"/>
      <c r="B49" s="253"/>
      <c r="C49" s="253"/>
      <c r="D49" s="253"/>
      <c r="E49" s="253"/>
      <c r="F49" s="253"/>
      <c r="G49" s="253"/>
      <c r="H49" s="253"/>
      <c r="I49" s="253"/>
      <c r="J49" s="253"/>
      <c r="K49" s="253"/>
      <c r="L49" s="253"/>
      <c r="M49" s="253"/>
      <c r="N49" s="253"/>
      <c r="O49" s="253"/>
      <c r="P49" s="253"/>
      <c r="Q49" s="253"/>
      <c r="R49" s="253"/>
      <c r="S49" s="253"/>
      <c r="T49" s="253"/>
      <c r="U49" s="253"/>
      <c r="V49" s="253"/>
      <c r="W49" s="253"/>
      <c r="X49" s="253"/>
      <c r="Y49" s="253"/>
      <c r="Z49" s="253"/>
    </row>
    <row r="50" spans="1:26" x14ac:dyDescent="0.2">
      <c r="A50" s="253"/>
      <c r="B50" s="253"/>
      <c r="C50" s="253"/>
      <c r="D50" s="253"/>
      <c r="E50" s="253"/>
      <c r="F50" s="253"/>
      <c r="G50" s="253"/>
      <c r="H50" s="253"/>
      <c r="I50" s="253"/>
      <c r="J50" s="253"/>
      <c r="K50" s="253"/>
      <c r="L50" s="253"/>
      <c r="M50" s="253"/>
      <c r="N50" s="253"/>
      <c r="O50" s="253"/>
      <c r="P50" s="253"/>
      <c r="Q50" s="253"/>
      <c r="R50" s="253"/>
      <c r="S50" s="253"/>
      <c r="T50" s="253"/>
      <c r="U50" s="253"/>
      <c r="V50" s="253"/>
      <c r="W50" s="253"/>
      <c r="X50" s="253"/>
      <c r="Y50" s="253"/>
      <c r="Z50" s="253"/>
    </row>
    <row r="51" spans="1:26" x14ac:dyDescent="0.2">
      <c r="A51" s="253"/>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row>
    <row r="52" spans="1:26" x14ac:dyDescent="0.2">
      <c r="A52" s="253"/>
      <c r="B52" s="253"/>
      <c r="C52" s="253"/>
      <c r="D52" s="253"/>
      <c r="E52" s="253"/>
      <c r="F52" s="253"/>
      <c r="G52" s="253"/>
      <c r="H52" s="253"/>
      <c r="I52" s="253"/>
      <c r="J52" s="253"/>
      <c r="K52" s="253"/>
      <c r="L52" s="253"/>
      <c r="M52" s="253"/>
      <c r="N52" s="253"/>
      <c r="O52" s="253"/>
      <c r="P52" s="253"/>
      <c r="Q52" s="253"/>
      <c r="R52" s="253"/>
      <c r="S52" s="253"/>
      <c r="T52" s="253"/>
      <c r="U52" s="253"/>
      <c r="V52" s="253"/>
      <c r="W52" s="253"/>
      <c r="X52" s="253"/>
      <c r="Y52" s="253"/>
      <c r="Z52" s="253"/>
    </row>
    <row r="102" spans="7:23" x14ac:dyDescent="0.2">
      <c r="G102" s="314">
        <v>21</v>
      </c>
      <c r="W102" s="314">
        <v>21</v>
      </c>
    </row>
  </sheetData>
  <mergeCells count="5">
    <mergeCell ref="A1:Z1"/>
    <mergeCell ref="A4:D4"/>
    <mergeCell ref="A11:D11"/>
    <mergeCell ref="A27:D27"/>
    <mergeCell ref="A39:D39"/>
  </mergeCells>
  <printOptions horizontalCentered="1"/>
  <pageMargins left="0.5" right="0.5" top="0.5" bottom="0.625" header="0.5" footer="0.5"/>
  <pageSetup scale="76"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FFC-68B5-42C3-B7C7-8BF002857D22}">
  <sheetPr>
    <tabColor theme="6" tint="0.39997558519241921"/>
  </sheetPr>
  <dimension ref="A1:AB132"/>
  <sheetViews>
    <sheetView view="pageBreakPreview" zoomScale="110" zoomScaleNormal="100" zoomScaleSheetLayoutView="110" workbookViewId="0">
      <selection activeCell="AB40" activeCellId="4" sqref="AB36 AB37 AB38 AB39 AB40"/>
    </sheetView>
  </sheetViews>
  <sheetFormatPr defaultRowHeight="12.75" x14ac:dyDescent="0.2"/>
  <cols>
    <col min="1" max="5" width="1.5703125" style="572" customWidth="1"/>
    <col min="6" max="6" width="39.28515625" style="314" customWidth="1"/>
    <col min="7" max="7" width="1.5703125" style="314" customWidth="1"/>
    <col min="8" max="8" width="13.140625" style="314" customWidth="1"/>
    <col min="9" max="9" width="1.5703125" style="314" customWidth="1"/>
    <col min="10" max="10" width="13.140625" style="314" customWidth="1"/>
    <col min="11" max="11" width="1.5703125" style="314" customWidth="1"/>
    <col min="12" max="12" width="13.140625" style="314" customWidth="1"/>
    <col min="13" max="13" width="1.5703125" style="314" customWidth="1"/>
    <col min="14" max="14" width="13.140625" style="314" customWidth="1"/>
    <col min="15" max="15" width="1.5703125" style="314" hidden="1" customWidth="1"/>
    <col min="16" max="16" width="13.140625" style="314" hidden="1" customWidth="1"/>
    <col min="17" max="17" width="1.5703125" style="314" customWidth="1"/>
    <col min="18" max="18" width="13.140625" style="314" customWidth="1"/>
    <col min="19" max="19" width="1.5703125" style="314" hidden="1" customWidth="1"/>
    <col min="20" max="20" width="13.140625" style="314" hidden="1" customWidth="1"/>
    <col min="21" max="21" width="1.5703125" style="314" customWidth="1"/>
    <col min="22" max="22" width="13.140625" style="314" customWidth="1"/>
    <col min="23" max="23" width="1.5703125" style="314" customWidth="1"/>
    <col min="24" max="24" width="13.140625" style="572" customWidth="1"/>
    <col min="25" max="25" width="1.5703125" style="314" customWidth="1"/>
    <col min="26" max="26" width="13.140625" style="572" customWidth="1"/>
    <col min="27" max="27" width="1.5703125" style="572" customWidth="1"/>
    <col min="28" max="28" width="13.140625" style="572" customWidth="1"/>
  </cols>
  <sheetData>
    <row r="1" spans="1:28" ht="20.25"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row>
    <row r="2" spans="1:28" ht="17.25" x14ac:dyDescent="0.2">
      <c r="A2" s="700" t="s">
        <v>1159</v>
      </c>
      <c r="B2" s="713"/>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row>
    <row r="3" spans="1:28" ht="17.25" x14ac:dyDescent="0.2">
      <c r="A3" s="700" t="s">
        <v>1515</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row>
    <row r="4" spans="1:28" ht="15" x14ac:dyDescent="0.2">
      <c r="A4" s="1579" t="s">
        <v>1725</v>
      </c>
      <c r="B4" s="1579"/>
      <c r="C4" s="1579"/>
      <c r="D4" s="1579"/>
      <c r="E4" s="1579"/>
      <c r="F4" s="1579"/>
      <c r="G4" s="1579"/>
      <c r="H4" s="506"/>
      <c r="I4" s="506"/>
      <c r="J4" s="506"/>
      <c r="K4" s="506"/>
      <c r="L4" s="506"/>
      <c r="M4" s="506"/>
      <c r="N4" s="506"/>
      <c r="O4" s="506"/>
      <c r="P4" s="506"/>
      <c r="Q4" s="506"/>
      <c r="R4" s="506"/>
      <c r="S4" s="506"/>
      <c r="T4" s="506"/>
      <c r="U4" s="506"/>
      <c r="V4" s="506"/>
      <c r="W4" s="506"/>
      <c r="X4" s="506"/>
      <c r="Y4" s="506"/>
      <c r="Z4" s="506"/>
      <c r="AA4" s="506"/>
      <c r="AB4" s="506"/>
    </row>
    <row r="5" spans="1:28" x14ac:dyDescent="0.2">
      <c r="A5" s="738" t="s">
        <v>972</v>
      </c>
      <c r="B5" s="718"/>
      <c r="C5" s="718"/>
      <c r="D5" s="718"/>
      <c r="E5" s="718"/>
      <c r="F5" s="718"/>
      <c r="G5" s="721"/>
      <c r="H5" s="721"/>
      <c r="I5" s="721"/>
      <c r="J5" s="721"/>
      <c r="K5" s="721"/>
      <c r="L5" s="721"/>
      <c r="M5" s="721"/>
      <c r="N5" s="721"/>
      <c r="O5" s="721"/>
      <c r="P5" s="721"/>
      <c r="Q5" s="721"/>
      <c r="R5" s="721"/>
      <c r="S5" s="721"/>
      <c r="T5" s="721"/>
      <c r="U5" s="721"/>
      <c r="V5" s="721"/>
      <c r="W5" s="721"/>
      <c r="X5" s="721"/>
      <c r="Y5" s="721"/>
      <c r="Z5" s="721"/>
      <c r="AA5" s="721"/>
      <c r="AB5" s="721"/>
    </row>
    <row r="6" spans="1:28" hidden="1" x14ac:dyDescent="0.2">
      <c r="A6" s="507"/>
      <c r="B6" s="507"/>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row>
    <row r="7" spans="1:28" x14ac:dyDescent="0.2">
      <c r="A7" s="472"/>
      <c r="B7" s="472"/>
      <c r="C7" s="472"/>
      <c r="D7" s="472"/>
      <c r="E7" s="472"/>
      <c r="F7" s="336"/>
      <c r="G7" s="336"/>
      <c r="H7" s="310" t="s">
        <v>1534</v>
      </c>
      <c r="I7" s="310"/>
      <c r="J7" s="310" t="s">
        <v>1526</v>
      </c>
      <c r="K7" s="310"/>
      <c r="L7" s="310" t="s">
        <v>1528</v>
      </c>
      <c r="M7" s="310"/>
      <c r="N7" s="310"/>
      <c r="O7" s="310"/>
      <c r="P7" s="310"/>
      <c r="Q7" s="310"/>
      <c r="R7" s="310"/>
      <c r="S7" s="310"/>
      <c r="T7" s="310"/>
      <c r="U7" s="310"/>
      <c r="V7" s="310"/>
      <c r="W7" s="310"/>
      <c r="X7" s="310"/>
      <c r="Y7" s="310"/>
      <c r="Z7" s="310"/>
      <c r="AA7" s="310"/>
      <c r="AB7" s="310"/>
    </row>
    <row r="8" spans="1:28" x14ac:dyDescent="0.2">
      <c r="A8" s="472"/>
      <c r="B8" s="472"/>
      <c r="C8" s="472"/>
      <c r="D8" s="472"/>
      <c r="E8" s="472"/>
      <c r="F8" s="336"/>
      <c r="G8" s="336"/>
      <c r="H8" s="310" t="s">
        <v>1000</v>
      </c>
      <c r="I8" s="310"/>
      <c r="J8" s="310" t="s">
        <v>866</v>
      </c>
      <c r="K8" s="310"/>
      <c r="L8" s="310" t="s">
        <v>1527</v>
      </c>
      <c r="M8" s="310"/>
      <c r="N8" s="310" t="s">
        <v>1050</v>
      </c>
      <c r="O8" s="310"/>
      <c r="P8" s="310" t="s">
        <v>1202</v>
      </c>
      <c r="Q8" s="310"/>
      <c r="R8" s="310" t="s">
        <v>1050</v>
      </c>
      <c r="S8" s="310"/>
      <c r="T8" s="310" t="s">
        <v>1505</v>
      </c>
      <c r="U8" s="310"/>
      <c r="V8" s="310" t="s">
        <v>1531</v>
      </c>
      <c r="W8" s="310"/>
      <c r="X8" s="310" t="s">
        <v>1050</v>
      </c>
      <c r="Y8" s="310"/>
      <c r="Z8" s="310" t="s">
        <v>1509</v>
      </c>
      <c r="AA8" s="310"/>
      <c r="AB8" s="310" t="s">
        <v>671</v>
      </c>
    </row>
    <row r="9" spans="1:28" x14ac:dyDescent="0.2">
      <c r="A9" s="472"/>
      <c r="B9" s="472"/>
      <c r="C9" s="472"/>
      <c r="D9" s="472"/>
      <c r="E9" s="472"/>
      <c r="F9" s="336"/>
      <c r="G9" s="336"/>
      <c r="H9" s="310" t="s">
        <v>1535</v>
      </c>
      <c r="I9" s="310"/>
      <c r="J9" s="310" t="s">
        <v>231</v>
      </c>
      <c r="K9" s="310"/>
      <c r="L9" s="310" t="s">
        <v>1533</v>
      </c>
      <c r="M9" s="310"/>
      <c r="N9" s="310" t="s">
        <v>1529</v>
      </c>
      <c r="O9" s="310"/>
      <c r="P9" s="310" t="s">
        <v>1530</v>
      </c>
      <c r="Q9" s="310"/>
      <c r="R9" s="310" t="s">
        <v>1506</v>
      </c>
      <c r="S9" s="310"/>
      <c r="T9" s="310" t="s">
        <v>1507</v>
      </c>
      <c r="U9" s="310"/>
      <c r="V9" s="310" t="s">
        <v>1532</v>
      </c>
      <c r="W9" s="310"/>
      <c r="X9" s="310" t="s">
        <v>1508</v>
      </c>
      <c r="Y9" s="310"/>
      <c r="Z9" s="310" t="s">
        <v>234</v>
      </c>
      <c r="AA9" s="310"/>
      <c r="AB9" s="310" t="s">
        <v>1525</v>
      </c>
    </row>
    <row r="10" spans="1:28" x14ac:dyDescent="0.2">
      <c r="A10" s="472"/>
      <c r="B10" s="472"/>
      <c r="C10" s="472"/>
      <c r="D10" s="472"/>
      <c r="E10" s="472"/>
      <c r="F10" s="336"/>
      <c r="G10" s="336"/>
      <c r="H10" s="574" t="s">
        <v>227</v>
      </c>
      <c r="I10" s="310"/>
      <c r="J10" s="574" t="s">
        <v>241</v>
      </c>
      <c r="K10" s="310"/>
      <c r="L10" s="574" t="s">
        <v>227</v>
      </c>
      <c r="M10" s="310"/>
      <c r="N10" s="574" t="s">
        <v>227</v>
      </c>
      <c r="O10" s="310"/>
      <c r="P10" s="574" t="s">
        <v>227</v>
      </c>
      <c r="Q10" s="310"/>
      <c r="R10" s="574" t="s">
        <v>1510</v>
      </c>
      <c r="S10" s="310"/>
      <c r="T10" s="574" t="s">
        <v>1511</v>
      </c>
      <c r="U10" s="310"/>
      <c r="V10" s="574" t="s">
        <v>227</v>
      </c>
      <c r="W10" s="310"/>
      <c r="X10" s="574" t="s">
        <v>1512</v>
      </c>
      <c r="Y10" s="310"/>
      <c r="Z10" s="574" t="s">
        <v>227</v>
      </c>
      <c r="AA10" s="310"/>
      <c r="AB10" s="574" t="s">
        <v>864</v>
      </c>
    </row>
    <row r="11" spans="1:28" x14ac:dyDescent="0.2">
      <c r="A11" s="353" t="s">
        <v>29</v>
      </c>
      <c r="B11" s="317"/>
      <c r="C11" s="317"/>
      <c r="D11" s="317"/>
      <c r="E11" s="317"/>
      <c r="F11" s="253"/>
      <c r="G11" s="253"/>
      <c r="H11" s="253"/>
      <c r="I11" s="253"/>
      <c r="J11" s="317"/>
      <c r="K11" s="253"/>
      <c r="L11" s="317"/>
      <c r="M11" s="253"/>
      <c r="N11" s="317"/>
      <c r="O11" s="253"/>
      <c r="P11" s="253"/>
      <c r="Q11" s="253"/>
      <c r="R11" s="317"/>
      <c r="S11" s="253"/>
      <c r="T11" s="317"/>
      <c r="U11" s="317"/>
      <c r="V11" s="257"/>
      <c r="W11" s="253"/>
      <c r="X11" s="317"/>
      <c r="Y11" s="253"/>
      <c r="Z11" s="317"/>
      <c r="AA11" s="317"/>
      <c r="AB11" s="317"/>
    </row>
    <row r="12" spans="1:28" ht="5.0999999999999996" hidden="1" customHeight="1" x14ac:dyDescent="0.2">
      <c r="A12" s="317"/>
      <c r="B12" s="482"/>
      <c r="C12" s="482"/>
      <c r="D12" s="482"/>
      <c r="E12" s="482"/>
      <c r="F12" s="365"/>
      <c r="G12" s="254"/>
      <c r="H12" s="273"/>
      <c r="I12" s="273"/>
      <c r="J12" s="324"/>
      <c r="K12" s="273"/>
      <c r="L12" s="324"/>
      <c r="M12" s="273"/>
      <c r="N12" s="324"/>
      <c r="O12" s="273"/>
      <c r="P12" s="324"/>
      <c r="Q12" s="273"/>
      <c r="R12" s="324"/>
      <c r="S12" s="273"/>
      <c r="T12" s="324"/>
      <c r="U12" s="324"/>
      <c r="V12" s="324"/>
      <c r="W12" s="273"/>
      <c r="X12" s="324"/>
      <c r="Y12" s="273"/>
      <c r="Z12" s="324"/>
      <c r="AA12" s="317"/>
      <c r="AB12" s="273"/>
    </row>
    <row r="13" spans="1:28" x14ac:dyDescent="0.2">
      <c r="A13" s="317"/>
      <c r="B13" s="353" t="s">
        <v>427</v>
      </c>
      <c r="C13" s="482"/>
      <c r="D13" s="482"/>
      <c r="E13" s="482"/>
      <c r="F13" s="352"/>
      <c r="G13" s="254"/>
      <c r="H13" s="273"/>
      <c r="I13" s="273"/>
      <c r="J13" s="324"/>
      <c r="K13" s="273"/>
      <c r="L13" s="324"/>
      <c r="M13" s="273"/>
      <c r="N13" s="324"/>
      <c r="O13" s="273"/>
      <c r="P13" s="324"/>
      <c r="Q13" s="273"/>
      <c r="R13" s="324"/>
      <c r="S13" s="273"/>
      <c r="T13" s="324"/>
      <c r="U13" s="324"/>
      <c r="V13" s="324"/>
      <c r="W13" s="273"/>
      <c r="X13" s="324"/>
      <c r="Y13" s="273"/>
      <c r="Z13" s="324"/>
      <c r="AA13" s="317"/>
      <c r="AB13" s="273"/>
    </row>
    <row r="14" spans="1:28" x14ac:dyDescent="0.2">
      <c r="A14" s="317"/>
      <c r="B14" s="482"/>
      <c r="C14" s="352" t="s">
        <v>1462</v>
      </c>
      <c r="D14" s="352"/>
      <c r="E14" s="352"/>
      <c r="F14" s="352"/>
      <c r="G14" s="254"/>
      <c r="H14" s="1379">
        <v>17</v>
      </c>
      <c r="I14" s="273"/>
      <c r="J14" s="339">
        <v>0</v>
      </c>
      <c r="K14" s="273"/>
      <c r="L14" s="339">
        <v>0</v>
      </c>
      <c r="M14" s="273"/>
      <c r="N14" s="339">
        <v>0</v>
      </c>
      <c r="O14" s="273"/>
      <c r="P14" s="324"/>
      <c r="Q14" s="273"/>
      <c r="R14" s="1419">
        <v>16</v>
      </c>
      <c r="S14" s="273"/>
      <c r="T14" s="324"/>
      <c r="U14" s="324"/>
      <c r="V14" s="339">
        <v>0</v>
      </c>
      <c r="W14" s="273"/>
      <c r="X14" s="339">
        <v>0</v>
      </c>
      <c r="Y14" s="273"/>
      <c r="Z14" s="1419">
        <v>5</v>
      </c>
      <c r="AA14" s="317"/>
      <c r="AB14" s="1379">
        <f>SUM(H14:Z14)</f>
        <v>38</v>
      </c>
    </row>
    <row r="15" spans="1:28" s="1422" customFormat="1" x14ac:dyDescent="0.2">
      <c r="A15" s="1419"/>
      <c r="B15" s="1420"/>
      <c r="C15" s="352" t="s">
        <v>429</v>
      </c>
      <c r="D15" s="1421"/>
      <c r="E15" s="1421"/>
      <c r="F15" s="1421"/>
      <c r="G15" s="1379"/>
      <c r="H15" s="273">
        <v>42</v>
      </c>
      <c r="I15" s="273"/>
      <c r="J15" s="324"/>
      <c r="K15" s="273"/>
      <c r="L15" s="324"/>
      <c r="M15" s="273"/>
      <c r="N15" s="324"/>
      <c r="O15" s="273"/>
      <c r="P15" s="324"/>
      <c r="Q15" s="273"/>
      <c r="R15" s="324">
        <v>46</v>
      </c>
      <c r="S15" s="273"/>
      <c r="T15" s="324"/>
      <c r="U15" s="324"/>
      <c r="V15" s="324">
        <v>2</v>
      </c>
      <c r="W15" s="273"/>
      <c r="X15" s="324"/>
      <c r="Y15" s="273"/>
      <c r="Z15" s="324">
        <v>16</v>
      </c>
      <c r="AA15" s="1419"/>
      <c r="AB15" s="324">
        <f>SUM(H15:Z15)</f>
        <v>106</v>
      </c>
    </row>
    <row r="16" spans="1:28" hidden="1" x14ac:dyDescent="0.2">
      <c r="A16" s="317"/>
      <c r="B16" s="482"/>
      <c r="C16" s="352" t="s">
        <v>430</v>
      </c>
      <c r="D16" s="352"/>
      <c r="E16" s="352"/>
      <c r="F16" s="352"/>
      <c r="G16" s="254"/>
      <c r="H16" s="341"/>
      <c r="I16" s="273"/>
      <c r="J16" s="494"/>
      <c r="K16" s="273"/>
      <c r="L16" s="494"/>
      <c r="M16" s="273"/>
      <c r="N16" s="494"/>
      <c r="O16" s="273"/>
      <c r="P16" s="494"/>
      <c r="Q16" s="273"/>
      <c r="R16" s="494"/>
      <c r="S16" s="273"/>
      <c r="T16" s="494"/>
      <c r="U16" s="324"/>
      <c r="V16" s="494"/>
      <c r="W16" s="273"/>
      <c r="X16" s="494"/>
      <c r="Y16" s="273"/>
      <c r="Z16" s="494"/>
      <c r="AA16" s="317"/>
      <c r="AB16" s="341">
        <f>SUM(H16:Z16)</f>
        <v>0</v>
      </c>
    </row>
    <row r="17" spans="1:28" ht="5.0999999999999996" customHeight="1" x14ac:dyDescent="0.2">
      <c r="A17" s="317"/>
      <c r="B17" s="482"/>
      <c r="C17" s="352"/>
      <c r="D17" s="352"/>
      <c r="E17" s="352"/>
      <c r="F17" s="352"/>
      <c r="G17" s="254"/>
      <c r="H17" s="340"/>
      <c r="I17" s="273"/>
      <c r="J17" s="496"/>
      <c r="K17" s="273"/>
      <c r="L17" s="496"/>
      <c r="M17" s="273"/>
      <c r="N17" s="496"/>
      <c r="O17" s="273"/>
      <c r="P17" s="324"/>
      <c r="Q17" s="273"/>
      <c r="R17" s="496"/>
      <c r="S17" s="273"/>
      <c r="T17" s="324"/>
      <c r="U17" s="324"/>
      <c r="V17" s="496"/>
      <c r="W17" s="273"/>
      <c r="X17" s="496"/>
      <c r="Y17" s="273"/>
      <c r="Z17" s="496"/>
      <c r="AA17" s="317"/>
      <c r="AB17" s="340"/>
    </row>
    <row r="18" spans="1:28" x14ac:dyDescent="0.2">
      <c r="A18" s="317"/>
      <c r="B18" s="353" t="s">
        <v>852</v>
      </c>
      <c r="C18" s="317"/>
      <c r="D18" s="317"/>
      <c r="E18" s="317"/>
      <c r="F18" s="318"/>
      <c r="G18" s="254"/>
      <c r="H18" s="273">
        <f>SUM(H13:H16)</f>
        <v>59</v>
      </c>
      <c r="I18" s="273"/>
      <c r="J18" s="273">
        <f>SUM(J13:J16)</f>
        <v>0</v>
      </c>
      <c r="K18" s="273"/>
      <c r="L18" s="273">
        <f>SUM(L13:L16)</f>
        <v>0</v>
      </c>
      <c r="M18" s="273"/>
      <c r="N18" s="273">
        <f>SUM(N13:N16)</f>
        <v>0</v>
      </c>
      <c r="O18" s="273"/>
      <c r="P18" s="273">
        <f>SUM(P13:P16)</f>
        <v>0</v>
      </c>
      <c r="Q18" s="273"/>
      <c r="R18" s="273">
        <f>SUM(R13:R16)</f>
        <v>62</v>
      </c>
      <c r="S18" s="273"/>
      <c r="T18" s="273">
        <f>SUM(T13:T16)</f>
        <v>0</v>
      </c>
      <c r="U18" s="273"/>
      <c r="V18" s="273">
        <f>SUM(V13:V16)</f>
        <v>2</v>
      </c>
      <c r="W18" s="273"/>
      <c r="X18" s="273">
        <f>SUM(X13:X16)</f>
        <v>0</v>
      </c>
      <c r="Y18" s="273"/>
      <c r="Z18" s="273">
        <f>SUM(Z13:Z16)</f>
        <v>21</v>
      </c>
      <c r="AA18" s="317"/>
      <c r="AB18" s="273">
        <f>SUM(H18:Z18)</f>
        <v>144</v>
      </c>
    </row>
    <row r="19" spans="1:28" hidden="1" x14ac:dyDescent="0.2">
      <c r="A19" s="317"/>
      <c r="B19" s="317"/>
      <c r="C19" s="352" t="s">
        <v>887</v>
      </c>
      <c r="D19" s="352"/>
      <c r="E19" s="352"/>
      <c r="F19" s="253"/>
      <c r="G19" s="254"/>
      <c r="H19" s="273"/>
      <c r="I19" s="273"/>
      <c r="J19" s="324"/>
      <c r="K19" s="273"/>
      <c r="L19" s="324"/>
      <c r="M19" s="273"/>
      <c r="N19" s="324"/>
      <c r="O19" s="273"/>
      <c r="P19" s="324"/>
      <c r="Q19" s="273"/>
      <c r="R19" s="324"/>
      <c r="S19" s="273"/>
      <c r="T19" s="324"/>
      <c r="U19" s="324"/>
      <c r="V19" s="324"/>
      <c r="W19" s="273"/>
      <c r="X19" s="324"/>
      <c r="Y19" s="273"/>
      <c r="Z19" s="324"/>
      <c r="AA19" s="317"/>
      <c r="AB19" s="273">
        <f>SUM(H19:Z19)</f>
        <v>0</v>
      </c>
    </row>
    <row r="20" spans="1:28" hidden="1" x14ac:dyDescent="0.2">
      <c r="A20" s="317"/>
      <c r="B20" s="317"/>
      <c r="C20" s="317"/>
      <c r="D20" s="352" t="s">
        <v>431</v>
      </c>
      <c r="E20" s="352"/>
      <c r="F20" s="253"/>
      <c r="G20" s="254"/>
      <c r="H20" s="273">
        <v>0</v>
      </c>
      <c r="I20" s="273"/>
      <c r="J20" s="324"/>
      <c r="K20" s="273"/>
      <c r="L20" s="324">
        <v>0</v>
      </c>
      <c r="M20" s="273"/>
      <c r="N20" s="324"/>
      <c r="O20" s="273"/>
      <c r="P20" s="324"/>
      <c r="Q20" s="273"/>
      <c r="R20" s="324">
        <v>0</v>
      </c>
      <c r="S20" s="273"/>
      <c r="T20" s="324"/>
      <c r="U20" s="324"/>
      <c r="V20" s="324"/>
      <c r="W20" s="273"/>
      <c r="X20" s="324">
        <v>0</v>
      </c>
      <c r="Y20" s="273"/>
      <c r="Z20" s="324"/>
      <c r="AA20" s="317"/>
      <c r="AB20" s="273">
        <f>SUM(H20:Z20)</f>
        <v>0</v>
      </c>
    </row>
    <row r="21" spans="1:28" hidden="1" x14ac:dyDescent="0.2">
      <c r="A21" s="317"/>
      <c r="B21" s="317"/>
      <c r="C21" s="352" t="s">
        <v>359</v>
      </c>
      <c r="D21" s="318"/>
      <c r="E21" s="352"/>
      <c r="F21" s="253"/>
      <c r="G21" s="254"/>
      <c r="H21" s="273"/>
      <c r="I21" s="273"/>
      <c r="J21" s="324"/>
      <c r="K21" s="273"/>
      <c r="L21" s="324"/>
      <c r="M21" s="273"/>
      <c r="N21" s="324"/>
      <c r="O21" s="273"/>
      <c r="P21" s="324"/>
      <c r="Q21" s="273"/>
      <c r="R21" s="324"/>
      <c r="S21" s="273"/>
      <c r="T21" s="324"/>
      <c r="U21" s="324"/>
      <c r="V21" s="324"/>
      <c r="W21" s="273"/>
      <c r="X21" s="324"/>
      <c r="Y21" s="273"/>
      <c r="Z21" s="324"/>
      <c r="AA21" s="317"/>
      <c r="AB21" s="273">
        <f>SUM(H21:Z21)</f>
        <v>0</v>
      </c>
    </row>
    <row r="22" spans="1:28" hidden="1" x14ac:dyDescent="0.2">
      <c r="A22" s="317"/>
      <c r="B22" s="317"/>
      <c r="C22" s="317"/>
      <c r="D22" s="352" t="s">
        <v>352</v>
      </c>
      <c r="E22" s="318"/>
      <c r="F22" s="253"/>
      <c r="G22" s="254"/>
      <c r="H22" s="273">
        <v>0</v>
      </c>
      <c r="I22" s="273"/>
      <c r="J22" s="324"/>
      <c r="K22" s="273"/>
      <c r="L22" s="324"/>
      <c r="M22" s="273"/>
      <c r="N22" s="324"/>
      <c r="O22" s="273"/>
      <c r="P22" s="324"/>
      <c r="Q22" s="273"/>
      <c r="R22" s="324"/>
      <c r="S22" s="273"/>
      <c r="T22" s="324"/>
      <c r="U22" s="324"/>
      <c r="V22" s="324"/>
      <c r="W22" s="273"/>
      <c r="X22" s="324"/>
      <c r="Y22" s="273"/>
      <c r="Z22" s="324"/>
      <c r="AA22" s="317"/>
      <c r="AB22" s="273">
        <f>SUM(H22:Z22)</f>
        <v>0</v>
      </c>
    </row>
    <row r="23" spans="1:28" ht="5.0999999999999996" hidden="1" customHeight="1" x14ac:dyDescent="0.2">
      <c r="A23" s="317"/>
      <c r="B23" s="317"/>
      <c r="C23" s="317"/>
      <c r="D23" s="317"/>
      <c r="E23" s="352"/>
      <c r="F23" s="253"/>
      <c r="G23" s="254"/>
      <c r="H23" s="340"/>
      <c r="I23" s="273"/>
      <c r="J23" s="340"/>
      <c r="K23" s="273"/>
      <c r="L23" s="340"/>
      <c r="M23" s="273"/>
      <c r="N23" s="340"/>
      <c r="O23" s="273"/>
      <c r="P23" s="340"/>
      <c r="Q23" s="273"/>
      <c r="R23" s="340"/>
      <c r="S23" s="273"/>
      <c r="T23" s="340"/>
      <c r="U23" s="273"/>
      <c r="V23" s="340"/>
      <c r="W23" s="273"/>
      <c r="X23" s="340"/>
      <c r="Y23" s="273"/>
      <c r="Z23" s="340"/>
      <c r="AA23" s="273"/>
      <c r="AB23" s="340"/>
    </row>
    <row r="24" spans="1:28" hidden="1" x14ac:dyDescent="0.2">
      <c r="A24" s="317"/>
      <c r="B24" s="353" t="s">
        <v>349</v>
      </c>
      <c r="C24" s="317"/>
      <c r="D24" s="317"/>
      <c r="E24" s="317"/>
      <c r="F24" s="492"/>
      <c r="G24" s="254"/>
      <c r="H24" s="341">
        <f>H18+(SUM(H19:H22))</f>
        <v>59</v>
      </c>
      <c r="I24" s="273"/>
      <c r="J24" s="341">
        <f>J18+(SUM(J19:J22))</f>
        <v>0</v>
      </c>
      <c r="K24" s="273"/>
      <c r="L24" s="273">
        <f>L18+(SUM(L19:L22))</f>
        <v>0</v>
      </c>
      <c r="M24" s="273"/>
      <c r="N24" s="273">
        <f>N18+(SUM(N19:N22))</f>
        <v>0</v>
      </c>
      <c r="O24" s="273"/>
      <c r="P24" s="273">
        <f>P18+(SUM(P19:P22))</f>
        <v>0</v>
      </c>
      <c r="Q24" s="273"/>
      <c r="R24" s="273">
        <f>R18+(SUM(R19:R22))</f>
        <v>62</v>
      </c>
      <c r="S24" s="273"/>
      <c r="T24" s="273">
        <f>T18+(SUM(T19:T22))</f>
        <v>0</v>
      </c>
      <c r="U24" s="273"/>
      <c r="V24" s="273">
        <f>V18+(SUM(V19:V22))</f>
        <v>2</v>
      </c>
      <c r="W24" s="273"/>
      <c r="X24" s="273">
        <f>X18+(SUM(X19:X22))</f>
        <v>0</v>
      </c>
      <c r="Y24" s="273"/>
      <c r="Z24" s="273">
        <f>Z18+(SUM(Z19:Z22))</f>
        <v>21</v>
      </c>
      <c r="AA24" s="317"/>
      <c r="AB24" s="341">
        <f>AB18+(SUM(AB19:AB22))</f>
        <v>144</v>
      </c>
    </row>
    <row r="25" spans="1:28" ht="5.0999999999999996" customHeight="1" x14ac:dyDescent="0.2">
      <c r="A25" s="317"/>
      <c r="B25" s="353"/>
      <c r="C25" s="317"/>
      <c r="D25" s="317"/>
      <c r="E25" s="317"/>
      <c r="F25" s="492"/>
      <c r="G25" s="254"/>
      <c r="H25" s="340"/>
      <c r="I25" s="273"/>
      <c r="J25" s="340"/>
      <c r="K25" s="273"/>
      <c r="L25" s="340"/>
      <c r="M25" s="273"/>
      <c r="N25" s="340"/>
      <c r="O25" s="273"/>
      <c r="P25" s="340"/>
      <c r="Q25" s="273"/>
      <c r="R25" s="340"/>
      <c r="S25" s="273"/>
      <c r="T25" s="340"/>
      <c r="U25" s="273"/>
      <c r="V25" s="340"/>
      <c r="W25" s="273"/>
      <c r="X25" s="340"/>
      <c r="Y25" s="273"/>
      <c r="Z25" s="340"/>
      <c r="AA25" s="273"/>
      <c r="AB25" s="340"/>
    </row>
    <row r="26" spans="1:28" x14ac:dyDescent="0.2">
      <c r="A26" s="317"/>
      <c r="B26" s="353" t="s">
        <v>1517</v>
      </c>
      <c r="C26" s="482"/>
      <c r="D26" s="482"/>
      <c r="E26" s="482"/>
      <c r="F26" s="352"/>
      <c r="G26" s="254"/>
      <c r="H26" s="254"/>
      <c r="I26" s="254"/>
      <c r="J26" s="323"/>
      <c r="K26" s="254"/>
      <c r="L26" s="323"/>
      <c r="M26" s="254"/>
      <c r="N26" s="323"/>
      <c r="O26" s="254"/>
      <c r="P26" s="254"/>
      <c r="Q26" s="254"/>
      <c r="R26" s="323"/>
      <c r="S26" s="254"/>
      <c r="T26" s="323"/>
      <c r="U26" s="323"/>
      <c r="V26" s="253"/>
      <c r="W26" s="254"/>
      <c r="X26" s="323"/>
      <c r="Y26" s="254"/>
      <c r="Z26" s="323"/>
      <c r="AA26" s="317"/>
      <c r="AB26" s="317"/>
    </row>
    <row r="27" spans="1:28" s="1072" customFormat="1" x14ac:dyDescent="0.2">
      <c r="A27" s="1423"/>
      <c r="B27" s="1424"/>
      <c r="C27" s="352" t="s">
        <v>1518</v>
      </c>
      <c r="D27" s="1425"/>
      <c r="E27" s="1425"/>
      <c r="F27" s="1425"/>
      <c r="G27" s="1414"/>
      <c r="H27" s="1414">
        <v>22864</v>
      </c>
      <c r="I27" s="1414"/>
      <c r="J27" s="1382">
        <v>7108</v>
      </c>
      <c r="K27" s="1414"/>
      <c r="L27" s="1382"/>
      <c r="M27" s="1414"/>
      <c r="N27" s="1382"/>
      <c r="O27" s="1414"/>
      <c r="P27" s="1382"/>
      <c r="Q27" s="1414"/>
      <c r="R27" s="1382"/>
      <c r="S27" s="1414"/>
      <c r="T27" s="1382"/>
      <c r="U27" s="1382"/>
      <c r="V27" s="1382"/>
      <c r="W27" s="1414"/>
      <c r="X27" s="1382">
        <v>16617</v>
      </c>
      <c r="Y27" s="1414"/>
      <c r="Z27" s="1382"/>
      <c r="AA27" s="1423"/>
      <c r="AB27" s="1414">
        <f>SUM(H27:Z27)</f>
        <v>46589</v>
      </c>
    </row>
    <row r="28" spans="1:28" x14ac:dyDescent="0.2">
      <c r="A28" s="317"/>
      <c r="B28" s="482"/>
      <c r="C28" s="352" t="s">
        <v>1519</v>
      </c>
      <c r="D28" s="352"/>
      <c r="E28" s="352"/>
      <c r="F28" s="352"/>
      <c r="G28" s="254"/>
      <c r="H28" s="1414"/>
      <c r="I28" s="1414"/>
      <c r="J28" s="1382"/>
      <c r="K28" s="1414"/>
      <c r="L28" s="1382">
        <v>8131</v>
      </c>
      <c r="M28" s="1414"/>
      <c r="N28" s="1382">
        <v>132</v>
      </c>
      <c r="O28" s="1414"/>
      <c r="P28" s="1382"/>
      <c r="Q28" s="1414"/>
      <c r="R28" s="1382"/>
      <c r="S28" s="1414"/>
      <c r="T28" s="1382"/>
      <c r="U28" s="1382"/>
      <c r="V28" s="1382">
        <v>149</v>
      </c>
      <c r="W28" s="1414"/>
      <c r="X28" s="1382"/>
      <c r="Y28" s="1414"/>
      <c r="Z28" s="1382"/>
      <c r="AA28" s="1423"/>
      <c r="AB28" s="1382">
        <f>SUM(H28:Z28)</f>
        <v>8412</v>
      </c>
    </row>
    <row r="29" spans="1:28" x14ac:dyDescent="0.2">
      <c r="A29" s="317"/>
      <c r="B29" s="482"/>
      <c r="C29" s="352" t="s">
        <v>1520</v>
      </c>
      <c r="G29" s="254"/>
      <c r="H29" s="273"/>
      <c r="I29" s="273"/>
      <c r="J29" s="494"/>
      <c r="K29" s="273"/>
      <c r="L29" s="494"/>
      <c r="M29" s="273"/>
      <c r="N29" s="324"/>
      <c r="O29" s="273"/>
      <c r="P29" s="324"/>
      <c r="Q29" s="273"/>
      <c r="R29" s="494">
        <v>221</v>
      </c>
      <c r="S29" s="273"/>
      <c r="T29" s="324"/>
      <c r="U29" s="324"/>
      <c r="V29" s="324"/>
      <c r="W29" s="273"/>
      <c r="X29" s="494"/>
      <c r="Y29" s="273"/>
      <c r="Z29" s="324">
        <v>58</v>
      </c>
      <c r="AA29" s="317"/>
      <c r="AB29" s="324">
        <f t="shared" ref="AB29" si="0">SUM(H29:Z29)</f>
        <v>279</v>
      </c>
    </row>
    <row r="30" spans="1:28" ht="5.0999999999999996" customHeight="1" x14ac:dyDescent="0.2">
      <c r="A30" s="317"/>
      <c r="B30" s="482"/>
      <c r="C30" s="352"/>
      <c r="D30" s="352"/>
      <c r="E30" s="352"/>
      <c r="F30" s="352"/>
      <c r="G30" s="254"/>
      <c r="H30" s="340"/>
      <c r="I30" s="273"/>
      <c r="J30" s="324"/>
      <c r="K30" s="273"/>
      <c r="L30" s="324"/>
      <c r="M30" s="273"/>
      <c r="N30" s="496"/>
      <c r="O30" s="273"/>
      <c r="P30" s="496"/>
      <c r="Q30" s="273"/>
      <c r="R30" s="324"/>
      <c r="S30" s="273"/>
      <c r="T30" s="496"/>
      <c r="U30" s="324"/>
      <c r="V30" s="496"/>
      <c r="W30" s="273"/>
      <c r="X30" s="324"/>
      <c r="Y30" s="273"/>
      <c r="Z30" s="496"/>
      <c r="AA30" s="317"/>
      <c r="AB30" s="340"/>
    </row>
    <row r="31" spans="1:28" x14ac:dyDescent="0.2">
      <c r="A31" s="317"/>
      <c r="B31" s="353" t="s">
        <v>1558</v>
      </c>
      <c r="C31" s="482"/>
      <c r="D31" s="482"/>
      <c r="E31" s="482"/>
      <c r="F31" s="318"/>
      <c r="G31" s="254"/>
      <c r="H31" s="341">
        <f>SUM(H27:H29)</f>
        <v>22864</v>
      </c>
      <c r="I31" s="273"/>
      <c r="J31" s="341">
        <f>SUM(J27:J29)</f>
        <v>7108</v>
      </c>
      <c r="K31" s="273"/>
      <c r="L31" s="341">
        <f>SUM(L27:L29)</f>
        <v>8131</v>
      </c>
      <c r="M31" s="273"/>
      <c r="N31" s="341">
        <f>SUM(N27:N29)</f>
        <v>132</v>
      </c>
      <c r="O31" s="273"/>
      <c r="P31" s="341">
        <f>SUM(P27:P29)</f>
        <v>0</v>
      </c>
      <c r="Q31" s="273"/>
      <c r="R31" s="341">
        <f>SUM(R27:R29)</f>
        <v>221</v>
      </c>
      <c r="S31" s="273"/>
      <c r="T31" s="341">
        <f>SUM(T27:T29)</f>
        <v>0</v>
      </c>
      <c r="U31" s="273"/>
      <c r="V31" s="341">
        <f>SUM(V27:V29)</f>
        <v>149</v>
      </c>
      <c r="W31" s="273"/>
      <c r="X31" s="341">
        <f>SUM(X27:X29)</f>
        <v>16617</v>
      </c>
      <c r="Y31" s="273"/>
      <c r="Z31" s="341">
        <f>SUM(Z27:Z29)</f>
        <v>58</v>
      </c>
      <c r="AA31" s="317"/>
      <c r="AB31" s="341">
        <f>SUM(AB27:AB29)</f>
        <v>55280</v>
      </c>
    </row>
    <row r="32" spans="1:28" ht="5.0999999999999996" customHeight="1" x14ac:dyDescent="0.2">
      <c r="A32" s="317"/>
      <c r="B32" s="353"/>
      <c r="C32" s="317"/>
      <c r="D32" s="317"/>
      <c r="E32" s="317"/>
      <c r="F32" s="492"/>
      <c r="G32" s="254"/>
      <c r="H32" s="273"/>
      <c r="I32" s="273"/>
      <c r="J32" s="273"/>
      <c r="K32" s="273"/>
      <c r="L32" s="273"/>
      <c r="M32" s="273"/>
      <c r="N32" s="273"/>
      <c r="O32" s="273"/>
      <c r="P32" s="273"/>
      <c r="Q32" s="273"/>
      <c r="R32" s="273"/>
      <c r="S32" s="273"/>
      <c r="T32" s="273"/>
      <c r="U32" s="273"/>
      <c r="V32" s="273"/>
      <c r="W32" s="273"/>
      <c r="X32" s="273"/>
      <c r="Y32" s="273"/>
      <c r="Z32" s="273"/>
      <c r="AA32" s="317"/>
      <c r="AB32" s="273"/>
    </row>
    <row r="33" spans="1:28" x14ac:dyDescent="0.2">
      <c r="A33" s="353" t="s">
        <v>432</v>
      </c>
      <c r="B33" s="317"/>
      <c r="C33" s="317"/>
      <c r="D33" s="317"/>
      <c r="E33" s="317"/>
      <c r="F33" s="253"/>
      <c r="G33" s="254"/>
      <c r="H33" s="273">
        <f>H31+H24</f>
        <v>22923</v>
      </c>
      <c r="I33" s="273"/>
      <c r="J33" s="273">
        <f>J31+J24</f>
        <v>7108</v>
      </c>
      <c r="K33" s="273"/>
      <c r="L33" s="273">
        <f>L31+L24</f>
        <v>8131</v>
      </c>
      <c r="M33" s="273"/>
      <c r="N33" s="273">
        <f>N31+N24</f>
        <v>132</v>
      </c>
      <c r="O33" s="273"/>
      <c r="P33" s="273">
        <f>P31+P24</f>
        <v>0</v>
      </c>
      <c r="Q33" s="273"/>
      <c r="R33" s="273">
        <f>R31+R24</f>
        <v>283</v>
      </c>
      <c r="S33" s="273"/>
      <c r="T33" s="273">
        <f>T31+T24</f>
        <v>0</v>
      </c>
      <c r="U33" s="273"/>
      <c r="V33" s="273">
        <f>V31+V24</f>
        <v>151</v>
      </c>
      <c r="W33" s="273"/>
      <c r="X33" s="273">
        <f>X31+X24</f>
        <v>16617</v>
      </c>
      <c r="Y33" s="273"/>
      <c r="Z33" s="273">
        <f>Z31+Z24</f>
        <v>79</v>
      </c>
      <c r="AA33" s="317"/>
      <c r="AB33" s="273">
        <f>AB31+AB24</f>
        <v>55424</v>
      </c>
    </row>
    <row r="34" spans="1:28" ht="5.0999999999999996" customHeight="1" x14ac:dyDescent="0.2">
      <c r="A34" s="317"/>
      <c r="B34" s="317"/>
      <c r="C34" s="317"/>
      <c r="D34" s="317"/>
      <c r="E34" s="317"/>
      <c r="F34" s="253"/>
      <c r="G34" s="254"/>
      <c r="H34" s="496"/>
      <c r="I34" s="273"/>
      <c r="J34" s="496"/>
      <c r="K34" s="273"/>
      <c r="L34" s="496"/>
      <c r="M34" s="273"/>
      <c r="N34" s="496"/>
      <c r="O34" s="273"/>
      <c r="P34" s="496"/>
      <c r="Q34" s="273"/>
      <c r="R34" s="496"/>
      <c r="S34" s="273"/>
      <c r="T34" s="496"/>
      <c r="U34" s="324"/>
      <c r="V34" s="496"/>
      <c r="W34" s="273"/>
      <c r="X34" s="496"/>
      <c r="Y34" s="273"/>
      <c r="Z34" s="496"/>
      <c r="AA34" s="317"/>
      <c r="AB34" s="496"/>
    </row>
    <row r="35" spans="1:28" x14ac:dyDescent="0.2">
      <c r="A35" s="353" t="s">
        <v>30</v>
      </c>
      <c r="B35" s="317"/>
      <c r="C35" s="317"/>
      <c r="D35" s="317"/>
      <c r="E35" s="317"/>
      <c r="F35" s="253"/>
      <c r="G35" s="254"/>
      <c r="H35" s="324"/>
      <c r="I35" s="254"/>
      <c r="J35" s="324"/>
      <c r="K35" s="254"/>
      <c r="L35" s="324"/>
      <c r="M35" s="254"/>
      <c r="N35" s="324"/>
      <c r="O35" s="254"/>
      <c r="P35" s="324"/>
      <c r="Q35" s="254"/>
      <c r="R35" s="324"/>
      <c r="S35" s="254"/>
      <c r="T35" s="324"/>
      <c r="U35" s="324"/>
      <c r="V35" s="324"/>
      <c r="W35" s="254"/>
      <c r="X35" s="324"/>
      <c r="Y35" s="254"/>
      <c r="Z35" s="324"/>
      <c r="AA35" s="317"/>
      <c r="AB35" s="273"/>
    </row>
    <row r="36" spans="1:28" x14ac:dyDescent="0.2">
      <c r="A36" s="317"/>
      <c r="B36" s="352" t="s">
        <v>718</v>
      </c>
      <c r="C36" s="352"/>
      <c r="D36" s="352"/>
      <c r="E36" s="352"/>
      <c r="F36" s="253"/>
      <c r="G36" s="254"/>
      <c r="H36" s="273">
        <v>135</v>
      </c>
      <c r="I36" s="273"/>
      <c r="J36" s="324"/>
      <c r="K36" s="273"/>
      <c r="L36" s="324">
        <v>640</v>
      </c>
      <c r="M36" s="273"/>
      <c r="N36" s="324"/>
      <c r="O36" s="273"/>
      <c r="P36" s="324"/>
      <c r="Q36" s="273"/>
      <c r="R36" s="324"/>
      <c r="S36" s="273"/>
      <c r="T36" s="324"/>
      <c r="U36" s="324"/>
      <c r="V36" s="324"/>
      <c r="W36" s="273"/>
      <c r="X36" s="324">
        <v>72</v>
      </c>
      <c r="Y36" s="273"/>
      <c r="Z36" s="324"/>
      <c r="AA36" s="317"/>
      <c r="AB36" s="273">
        <f>SUM(H36:Z36)</f>
        <v>847</v>
      </c>
    </row>
    <row r="37" spans="1:28" x14ac:dyDescent="0.2">
      <c r="A37" s="317"/>
      <c r="B37" s="352" t="s">
        <v>1521</v>
      </c>
      <c r="C37" s="352"/>
      <c r="D37" s="352"/>
      <c r="E37" s="352"/>
      <c r="F37" s="253"/>
      <c r="G37" s="254"/>
      <c r="H37" s="273"/>
      <c r="I37" s="273"/>
      <c r="J37" s="324"/>
      <c r="K37" s="273"/>
      <c r="L37" s="324">
        <v>7441</v>
      </c>
      <c r="M37" s="273"/>
      <c r="N37" s="324">
        <v>80</v>
      </c>
      <c r="O37" s="273"/>
      <c r="P37" s="324"/>
      <c r="Q37" s="273"/>
      <c r="R37" s="324"/>
      <c r="S37" s="273"/>
      <c r="T37" s="324"/>
      <c r="U37" s="324"/>
      <c r="V37" s="324">
        <v>149</v>
      </c>
      <c r="W37" s="273"/>
      <c r="X37" s="324"/>
      <c r="Y37" s="273"/>
      <c r="Z37" s="324"/>
      <c r="AA37" s="317"/>
      <c r="AB37" s="273">
        <f>SUM(H37:Z37)</f>
        <v>7670</v>
      </c>
    </row>
    <row r="38" spans="1:28" x14ac:dyDescent="0.2">
      <c r="A38" s="317"/>
      <c r="B38" s="352" t="s">
        <v>1522</v>
      </c>
      <c r="C38" s="352"/>
      <c r="D38" s="352"/>
      <c r="E38" s="352"/>
      <c r="F38" s="253"/>
      <c r="G38" s="254"/>
      <c r="H38" s="273"/>
      <c r="I38" s="273"/>
      <c r="J38" s="324"/>
      <c r="K38" s="273"/>
      <c r="L38" s="324"/>
      <c r="M38" s="273"/>
      <c r="N38" s="324"/>
      <c r="O38" s="273"/>
      <c r="P38" s="324"/>
      <c r="Q38" s="273"/>
      <c r="R38" s="324">
        <v>85</v>
      </c>
      <c r="S38" s="273"/>
      <c r="T38" s="324"/>
      <c r="U38" s="324"/>
      <c r="V38" s="324"/>
      <c r="W38" s="273"/>
      <c r="X38" s="324"/>
      <c r="Y38" s="273"/>
      <c r="Z38" s="324">
        <v>47</v>
      </c>
      <c r="AA38" s="317"/>
      <c r="AB38" s="273">
        <f t="shared" ref="AB38:AB40" si="1">SUM(H38:Z38)</f>
        <v>132</v>
      </c>
    </row>
    <row r="39" spans="1:28" x14ac:dyDescent="0.2">
      <c r="A39" s="317"/>
      <c r="B39" s="352" t="s">
        <v>1523</v>
      </c>
      <c r="C39" s="352"/>
      <c r="D39" s="352"/>
      <c r="E39" s="352"/>
      <c r="F39" s="253"/>
      <c r="G39" s="254"/>
      <c r="H39" s="273">
        <v>22900</v>
      </c>
      <c r="I39" s="273"/>
      <c r="J39" s="324">
        <v>7734</v>
      </c>
      <c r="K39" s="273"/>
      <c r="L39" s="324"/>
      <c r="M39" s="273"/>
      <c r="N39" s="324"/>
      <c r="O39" s="273"/>
      <c r="P39" s="324"/>
      <c r="Q39" s="273"/>
      <c r="R39" s="324"/>
      <c r="S39" s="273"/>
      <c r="T39" s="324"/>
      <c r="U39" s="324"/>
      <c r="V39" s="324"/>
      <c r="W39" s="273"/>
      <c r="X39" s="324">
        <v>14358</v>
      </c>
      <c r="Y39" s="273"/>
      <c r="Z39" s="324"/>
      <c r="AA39" s="317"/>
      <c r="AB39" s="273">
        <f t="shared" si="1"/>
        <v>44992</v>
      </c>
    </row>
    <row r="40" spans="1:28" x14ac:dyDescent="0.2">
      <c r="A40" s="317"/>
      <c r="B40" s="352" t="s">
        <v>1524</v>
      </c>
      <c r="C40" s="317"/>
      <c r="D40" s="317"/>
      <c r="E40" s="317"/>
      <c r="F40" s="253"/>
      <c r="G40" s="254"/>
      <c r="H40" s="273">
        <v>75</v>
      </c>
      <c r="I40" s="273"/>
      <c r="J40" s="324"/>
      <c r="K40" s="273"/>
      <c r="L40" s="324"/>
      <c r="M40" s="273"/>
      <c r="N40" s="324">
        <v>69</v>
      </c>
      <c r="O40" s="273"/>
      <c r="P40" s="324"/>
      <c r="Q40" s="273"/>
      <c r="R40" s="324">
        <v>5</v>
      </c>
      <c r="S40" s="273"/>
      <c r="T40" s="324"/>
      <c r="U40" s="324"/>
      <c r="V40" s="324">
        <v>2</v>
      </c>
      <c r="W40" s="273"/>
      <c r="X40" s="324">
        <v>2577</v>
      </c>
      <c r="Y40" s="273"/>
      <c r="Z40" s="324">
        <v>16</v>
      </c>
      <c r="AA40" s="317"/>
      <c r="AB40" s="273">
        <f t="shared" si="1"/>
        <v>2744</v>
      </c>
    </row>
    <row r="41" spans="1:28" ht="5.0999999999999996" customHeight="1" x14ac:dyDescent="0.2">
      <c r="A41" s="317"/>
      <c r="B41" s="352"/>
      <c r="C41" s="317"/>
      <c r="D41" s="317"/>
      <c r="E41" s="317"/>
      <c r="F41" s="253"/>
      <c r="G41" s="254"/>
      <c r="H41" s="340"/>
      <c r="I41" s="273"/>
      <c r="J41" s="340"/>
      <c r="K41" s="273"/>
      <c r="L41" s="340"/>
      <c r="M41" s="273"/>
      <c r="N41" s="340"/>
      <c r="O41" s="273"/>
      <c r="P41" s="340"/>
      <c r="Q41" s="273"/>
      <c r="R41" s="340"/>
      <c r="S41" s="273"/>
      <c r="T41" s="340"/>
      <c r="U41" s="273"/>
      <c r="V41" s="340"/>
      <c r="W41" s="273"/>
      <c r="X41" s="340"/>
      <c r="Y41" s="273"/>
      <c r="Z41" s="340"/>
      <c r="AA41" s="317"/>
      <c r="AB41" s="340"/>
    </row>
    <row r="42" spans="1:28" x14ac:dyDescent="0.2">
      <c r="A42" s="353" t="s">
        <v>435</v>
      </c>
      <c r="B42" s="317"/>
      <c r="C42" s="317"/>
      <c r="D42" s="317"/>
      <c r="E42" s="317"/>
      <c r="F42" s="253"/>
      <c r="G42" s="254"/>
      <c r="H42" s="341">
        <f t="shared" ref="H42" si="2">SUM(H36:H40)</f>
        <v>23110</v>
      </c>
      <c r="I42" s="317"/>
      <c r="J42" s="341">
        <f t="shared" ref="J42" si="3">SUM(J36:J40)</f>
        <v>7734</v>
      </c>
      <c r="K42" s="317"/>
      <c r="L42" s="341">
        <f t="shared" ref="L42" si="4">SUM(L36:L40)</f>
        <v>8081</v>
      </c>
      <c r="M42" s="317"/>
      <c r="N42" s="341">
        <f t="shared" ref="N42" si="5">SUM(N36:N40)</f>
        <v>149</v>
      </c>
      <c r="O42" s="317"/>
      <c r="P42" s="341">
        <f t="shared" ref="P42" si="6">SUM(P36:P40)</f>
        <v>0</v>
      </c>
      <c r="Q42" s="317"/>
      <c r="R42" s="341">
        <f t="shared" ref="R42" si="7">SUM(R36:R40)</f>
        <v>90</v>
      </c>
      <c r="S42" s="317"/>
      <c r="T42" s="341">
        <f t="shared" ref="T42" si="8">SUM(T36:T40)</f>
        <v>0</v>
      </c>
      <c r="U42" s="317"/>
      <c r="V42" s="341">
        <f t="shared" ref="V42" si="9">SUM(V36:V40)</f>
        <v>151</v>
      </c>
      <c r="W42" s="317"/>
      <c r="X42" s="341">
        <f t="shared" ref="X42" si="10">SUM(X36:X40)</f>
        <v>17007</v>
      </c>
      <c r="Y42" s="317"/>
      <c r="Z42" s="341">
        <f t="shared" ref="Z42" si="11">SUM(Z36:Z40)</f>
        <v>63</v>
      </c>
      <c r="AA42" s="317"/>
      <c r="AB42" s="341">
        <f>SUM(AB36:AB40)</f>
        <v>56385</v>
      </c>
    </row>
    <row r="43" spans="1:28" ht="5.0999999999999996" customHeight="1" x14ac:dyDescent="0.2">
      <c r="A43" s="317"/>
      <c r="B43" s="317"/>
      <c r="C43" s="317"/>
      <c r="D43" s="317"/>
      <c r="E43" s="317"/>
      <c r="F43" s="365"/>
      <c r="G43" s="254"/>
      <c r="H43" s="340"/>
      <c r="I43" s="273"/>
      <c r="J43" s="340"/>
      <c r="K43" s="273"/>
      <c r="L43" s="340"/>
      <c r="M43" s="273"/>
      <c r="N43" s="340"/>
      <c r="O43" s="273"/>
      <c r="P43" s="340"/>
      <c r="Q43" s="273"/>
      <c r="R43" s="340"/>
      <c r="S43" s="273"/>
      <c r="T43" s="340"/>
      <c r="U43" s="273"/>
      <c r="V43" s="340"/>
      <c r="W43" s="273"/>
      <c r="X43" s="340"/>
      <c r="Y43" s="273"/>
      <c r="Z43" s="340"/>
      <c r="AA43" s="273"/>
      <c r="AB43" s="273"/>
    </row>
    <row r="44" spans="1:28" x14ac:dyDescent="0.2">
      <c r="A44" s="353" t="s">
        <v>1111</v>
      </c>
      <c r="B44" s="317"/>
      <c r="C44" s="317"/>
      <c r="D44" s="317"/>
      <c r="E44" s="317"/>
      <c r="F44" s="253"/>
      <c r="G44" s="254"/>
      <c r="H44" s="273">
        <f>H33-H42</f>
        <v>-187</v>
      </c>
      <c r="I44" s="324"/>
      <c r="J44" s="273">
        <f>J33-J42</f>
        <v>-626</v>
      </c>
      <c r="K44" s="324"/>
      <c r="L44" s="273">
        <f>L33-L42</f>
        <v>50</v>
      </c>
      <c r="M44" s="324"/>
      <c r="N44" s="273">
        <f>N33-N42</f>
        <v>-17</v>
      </c>
      <c r="O44" s="324"/>
      <c r="P44" s="273">
        <f>P33-P42</f>
        <v>0</v>
      </c>
      <c r="Q44" s="324"/>
      <c r="R44" s="273">
        <f>R33-R42</f>
        <v>193</v>
      </c>
      <c r="S44" s="324"/>
      <c r="T44" s="273">
        <f>T33-T42</f>
        <v>0</v>
      </c>
      <c r="U44" s="273"/>
      <c r="V44" s="273">
        <f>V33-V42</f>
        <v>0</v>
      </c>
      <c r="W44" s="324"/>
      <c r="X44" s="273">
        <f>X33-X42</f>
        <v>-390</v>
      </c>
      <c r="Y44" s="324"/>
      <c r="Z44" s="273">
        <f>Z33-Z42</f>
        <v>16</v>
      </c>
      <c r="AA44" s="317"/>
      <c r="AB44" s="273">
        <f>SUM(H44:Z44)</f>
        <v>-961</v>
      </c>
    </row>
    <row r="45" spans="1:28" ht="5.0999999999999996" customHeight="1" x14ac:dyDescent="0.2">
      <c r="A45" s="317"/>
      <c r="B45" s="317"/>
      <c r="C45" s="317"/>
      <c r="D45" s="317"/>
      <c r="E45" s="317"/>
      <c r="F45" s="352"/>
      <c r="G45" s="254"/>
      <c r="H45" s="273"/>
      <c r="I45" s="273"/>
      <c r="J45" s="324"/>
      <c r="K45" s="273"/>
      <c r="L45" s="324"/>
      <c r="M45" s="273"/>
      <c r="N45" s="324"/>
      <c r="O45" s="273"/>
      <c r="P45" s="324"/>
      <c r="Q45" s="273"/>
      <c r="R45" s="324"/>
      <c r="S45" s="273"/>
      <c r="T45" s="324"/>
      <c r="U45" s="324"/>
      <c r="V45" s="324"/>
      <c r="W45" s="273"/>
      <c r="X45" s="324"/>
      <c r="Y45" s="273"/>
      <c r="Z45" s="324"/>
      <c r="AA45" s="317"/>
      <c r="AB45" s="273">
        <f>SUM(H45:X45)</f>
        <v>0</v>
      </c>
    </row>
    <row r="46" spans="1:28" x14ac:dyDescent="0.2">
      <c r="A46" s="253" t="s">
        <v>1516</v>
      </c>
      <c r="B46" s="317"/>
      <c r="C46" s="317"/>
      <c r="D46" s="317"/>
      <c r="E46" s="317"/>
      <c r="F46" s="253"/>
      <c r="G46" s="254"/>
      <c r="H46" s="341">
        <v>2425</v>
      </c>
      <c r="I46" s="273"/>
      <c r="J46" s="494">
        <v>626</v>
      </c>
      <c r="K46" s="273"/>
      <c r="L46" s="494">
        <v>1933</v>
      </c>
      <c r="M46" s="273"/>
      <c r="N46" s="494">
        <v>356</v>
      </c>
      <c r="O46" s="273"/>
      <c r="P46" s="494">
        <v>0</v>
      </c>
      <c r="Q46" s="273"/>
      <c r="R46" s="494">
        <v>960</v>
      </c>
      <c r="S46" s="273"/>
      <c r="T46" s="494">
        <v>0</v>
      </c>
      <c r="U46" s="324"/>
      <c r="V46" s="494">
        <v>44</v>
      </c>
      <c r="W46" s="273"/>
      <c r="X46" s="494">
        <v>708</v>
      </c>
      <c r="Y46" s="273"/>
      <c r="Z46" s="494">
        <v>338</v>
      </c>
      <c r="AA46" s="317"/>
      <c r="AB46" s="341">
        <f>SUM(H46:Z46)</f>
        <v>7390</v>
      </c>
    </row>
    <row r="47" spans="1:28" s="253" customFormat="1" ht="5.0999999999999996" customHeight="1" x14ac:dyDescent="0.2">
      <c r="B47" s="273"/>
      <c r="C47" s="399"/>
      <c r="D47" s="273"/>
      <c r="E47" s="273"/>
      <c r="F47" s="273"/>
      <c r="G47" s="340"/>
      <c r="H47" s="273"/>
      <c r="I47" s="273"/>
      <c r="J47" s="273"/>
      <c r="K47" s="340"/>
      <c r="L47" s="273"/>
      <c r="M47" s="273"/>
      <c r="N47" s="273"/>
      <c r="O47" s="340"/>
      <c r="P47" s="273"/>
      <c r="Q47" s="273"/>
      <c r="R47" s="273"/>
      <c r="S47" s="273"/>
      <c r="T47" s="273"/>
      <c r="U47" s="273"/>
      <c r="V47" s="273"/>
      <c r="W47" s="273"/>
      <c r="X47" s="273"/>
      <c r="Y47" s="273"/>
      <c r="Z47" s="348"/>
    </row>
    <row r="48" spans="1:28" s="253" customFormat="1" ht="9.9499999999999993" hidden="1" customHeight="1" x14ac:dyDescent="0.2">
      <c r="A48" s="253" t="s">
        <v>1715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99"/>
    </row>
    <row r="49" spans="1:28" s="253" customFormat="1" ht="5.0999999999999996" hidden="1" customHeight="1" x14ac:dyDescent="0.2">
      <c r="B49" s="273"/>
      <c r="C49" s="399"/>
      <c r="D49" s="273"/>
      <c r="E49" s="273"/>
      <c r="F49" s="273"/>
      <c r="G49" s="273"/>
      <c r="H49" s="273"/>
      <c r="I49" s="273"/>
      <c r="J49" s="273"/>
      <c r="K49" s="273"/>
      <c r="L49" s="273"/>
      <c r="M49" s="273"/>
      <c r="N49" s="273"/>
      <c r="O49" s="273"/>
      <c r="P49" s="273"/>
      <c r="Q49" s="273"/>
      <c r="R49" s="273"/>
      <c r="S49" s="273"/>
      <c r="T49" s="273"/>
      <c r="U49" s="273"/>
      <c r="V49" s="273"/>
      <c r="W49" s="273"/>
      <c r="X49" s="273"/>
      <c r="Y49" s="273"/>
      <c r="Z49" s="348"/>
    </row>
    <row r="50" spans="1:28" s="253" customFormat="1" ht="9.9499999999999993" hidden="1" customHeight="1" x14ac:dyDescent="0.2">
      <c r="A50" s="253" t="s">
        <v>1716</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99"/>
    </row>
    <row r="51" spans="1:28" s="253" customFormat="1" ht="5.0999999999999996" hidden="1" customHeight="1" x14ac:dyDescent="0.2">
      <c r="B51" s="273"/>
      <c r="C51" s="399"/>
      <c r="D51" s="273"/>
      <c r="E51" s="273"/>
      <c r="F51" s="273"/>
      <c r="G51" s="273"/>
      <c r="H51" s="273"/>
      <c r="I51" s="273"/>
      <c r="J51" s="273"/>
      <c r="K51" s="273"/>
      <c r="L51" s="273"/>
      <c r="M51" s="273"/>
      <c r="N51" s="273"/>
      <c r="O51" s="273"/>
      <c r="P51" s="273"/>
      <c r="Q51" s="273"/>
      <c r="R51" s="273"/>
      <c r="S51" s="273"/>
      <c r="T51" s="273"/>
      <c r="U51" s="273"/>
      <c r="V51" s="273"/>
      <c r="W51" s="273"/>
      <c r="X51" s="273"/>
      <c r="Y51" s="273"/>
      <c r="Z51" s="348"/>
    </row>
    <row r="52" spans="1:28" s="253" customFormat="1" ht="9.9499999999999993" hidden="1" customHeight="1" x14ac:dyDescent="0.2">
      <c r="A52" s="253" t="s">
        <v>1717</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99"/>
    </row>
    <row r="53" spans="1:28" s="253" customFormat="1" ht="5.0999999999999996" hidden="1" customHeight="1" x14ac:dyDescent="0.2">
      <c r="B53" s="273"/>
      <c r="C53" s="399"/>
      <c r="D53" s="273"/>
      <c r="E53" s="273"/>
      <c r="F53" s="273"/>
      <c r="G53" s="273"/>
      <c r="H53" s="273"/>
      <c r="I53" s="273"/>
      <c r="J53" s="273"/>
      <c r="K53" s="273"/>
      <c r="L53" s="273"/>
      <c r="M53" s="273"/>
      <c r="N53" s="273"/>
      <c r="O53" s="273"/>
      <c r="P53" s="273"/>
      <c r="Q53" s="273"/>
      <c r="R53" s="273"/>
      <c r="S53" s="273"/>
      <c r="T53" s="273"/>
      <c r="U53" s="273"/>
      <c r="V53" s="273"/>
      <c r="W53" s="273"/>
      <c r="X53" s="273"/>
      <c r="Y53" s="273"/>
      <c r="Z53" s="348"/>
    </row>
    <row r="54" spans="1:28" s="253" customFormat="1" ht="9.9499999999999993" hidden="1" customHeight="1" x14ac:dyDescent="0.2">
      <c r="A54" s="349" t="s">
        <v>1721</v>
      </c>
      <c r="D54" s="273"/>
      <c r="E54" s="273"/>
      <c r="F54" s="273"/>
      <c r="G54" s="273">
        <v>3558</v>
      </c>
      <c r="H54" s="273">
        <f>SUM(H46:H52)</f>
        <v>2425</v>
      </c>
      <c r="I54" s="273">
        <v>-43544</v>
      </c>
      <c r="J54" s="273">
        <f>SUM(J46:J52)</f>
        <v>626</v>
      </c>
      <c r="K54" s="273">
        <v>193381</v>
      </c>
      <c r="L54" s="273">
        <f>SUM(L46:L52)</f>
        <v>1933</v>
      </c>
      <c r="M54" s="273">
        <v>-22581</v>
      </c>
      <c r="N54" s="273">
        <f>SUM(N46:N52)</f>
        <v>356</v>
      </c>
      <c r="O54" s="273">
        <v>140926</v>
      </c>
      <c r="P54" s="273"/>
      <c r="Q54" s="273"/>
      <c r="R54" s="273">
        <f>SUM(R46:R52)</f>
        <v>960</v>
      </c>
      <c r="S54" s="273"/>
      <c r="T54" s="273"/>
      <c r="U54" s="273"/>
      <c r="V54" s="273">
        <f>SUM(V46:V52)</f>
        <v>44</v>
      </c>
      <c r="W54" s="273"/>
      <c r="X54" s="273">
        <f>SUM(X46:X52)</f>
        <v>708</v>
      </c>
      <c r="Y54" s="273"/>
      <c r="Z54" s="273">
        <f>SUM(Z46:Z52)</f>
        <v>338</v>
      </c>
      <c r="AB54" s="273">
        <f>SUM(AB46:AB52)</f>
        <v>7390</v>
      </c>
    </row>
    <row r="55" spans="1:28" ht="5.0999999999999996" hidden="1" customHeight="1" x14ac:dyDescent="0.2">
      <c r="A55" s="253"/>
      <c r="B55" s="317"/>
      <c r="C55" s="317"/>
      <c r="D55" s="317"/>
      <c r="E55" s="317"/>
      <c r="F55" s="253"/>
      <c r="G55" s="254"/>
      <c r="H55" s="340"/>
      <c r="I55" s="273"/>
      <c r="J55" s="340"/>
      <c r="K55" s="273"/>
      <c r="L55" s="340"/>
      <c r="M55" s="273"/>
      <c r="N55" s="340"/>
      <c r="O55" s="273"/>
      <c r="P55" s="324"/>
      <c r="Q55" s="273"/>
      <c r="R55" s="340"/>
      <c r="S55" s="273"/>
      <c r="T55" s="324"/>
      <c r="U55" s="324"/>
      <c r="V55" s="340"/>
      <c r="W55" s="273"/>
      <c r="X55" s="340"/>
      <c r="Y55" s="273"/>
      <c r="Z55" s="340"/>
      <c r="AA55" s="317"/>
      <c r="AB55" s="340"/>
    </row>
    <row r="56" spans="1:28" ht="13.5" thickBot="1" x14ac:dyDescent="0.25">
      <c r="A56" s="284" t="s">
        <v>1726</v>
      </c>
      <c r="B56" s="317"/>
      <c r="C56" s="317"/>
      <c r="D56" s="317"/>
      <c r="E56" s="317"/>
      <c r="F56" s="253"/>
      <c r="G56" s="339"/>
      <c r="H56" s="344">
        <f>+H54+H44</f>
        <v>2238</v>
      </c>
      <c r="I56" s="339"/>
      <c r="J56" s="344">
        <f>+J54+J44</f>
        <v>0</v>
      </c>
      <c r="K56" s="339"/>
      <c r="L56" s="344">
        <f>+L54+L44</f>
        <v>1983</v>
      </c>
      <c r="M56" s="339"/>
      <c r="N56" s="344">
        <f>+N54+N44</f>
        <v>339</v>
      </c>
      <c r="O56" s="339"/>
      <c r="P56" s="344">
        <f>P44+P46</f>
        <v>0</v>
      </c>
      <c r="Q56" s="339"/>
      <c r="R56" s="344">
        <f>+R54+R44</f>
        <v>1153</v>
      </c>
      <c r="S56" s="339"/>
      <c r="T56" s="344">
        <f>T44+T46</f>
        <v>0</v>
      </c>
      <c r="U56" s="339"/>
      <c r="V56" s="344">
        <f>+V54+V44</f>
        <v>44</v>
      </c>
      <c r="W56" s="339"/>
      <c r="X56" s="344">
        <f>+X54+X44</f>
        <v>318</v>
      </c>
      <c r="Y56" s="339"/>
      <c r="Z56" s="344">
        <f>+Z54+Z44</f>
        <v>354</v>
      </c>
      <c r="AA56" s="317"/>
      <c r="AB56" s="344">
        <f>+AB54+AB44</f>
        <v>6429</v>
      </c>
    </row>
    <row r="57" spans="1:28" ht="13.5" thickTop="1" x14ac:dyDescent="0.2">
      <c r="A57" s="317"/>
      <c r="B57" s="317"/>
      <c r="C57" s="317"/>
      <c r="D57" s="317"/>
      <c r="E57" s="317"/>
      <c r="F57" s="253"/>
      <c r="G57" s="253"/>
      <c r="H57" s="253"/>
      <c r="I57" s="253"/>
      <c r="J57" s="317"/>
      <c r="K57" s="253"/>
      <c r="L57" s="317"/>
      <c r="M57" s="253"/>
      <c r="N57" s="317"/>
      <c r="O57" s="253"/>
      <c r="P57" s="317"/>
      <c r="Q57" s="253"/>
      <c r="R57" s="317"/>
      <c r="S57" s="253"/>
      <c r="T57" s="317"/>
      <c r="U57" s="317"/>
      <c r="V57" s="317"/>
      <c r="W57" s="253"/>
      <c r="X57" s="317"/>
      <c r="Y57" s="253"/>
      <c r="Z57" s="317"/>
      <c r="AA57" s="317"/>
      <c r="AB57" s="253"/>
    </row>
    <row r="58" spans="1:28" x14ac:dyDescent="0.2">
      <c r="A58" s="317"/>
      <c r="B58" s="317"/>
      <c r="C58" s="317"/>
      <c r="D58" s="317"/>
      <c r="E58" s="317"/>
      <c r="F58" s="253"/>
      <c r="G58" s="253"/>
      <c r="H58" s="253"/>
      <c r="I58" s="253"/>
      <c r="J58" s="317"/>
      <c r="K58" s="253"/>
      <c r="L58" s="317"/>
      <c r="M58" s="253"/>
      <c r="N58" s="253"/>
      <c r="O58" s="253"/>
      <c r="P58" s="253"/>
      <c r="Q58" s="253"/>
      <c r="R58" s="253"/>
      <c r="S58" s="253"/>
      <c r="T58" s="317"/>
      <c r="U58" s="317"/>
      <c r="V58" s="317"/>
      <c r="W58" s="253"/>
      <c r="X58" s="317"/>
      <c r="Y58" s="253"/>
      <c r="Z58" s="317"/>
      <c r="AA58" s="317"/>
      <c r="AB58" s="253"/>
    </row>
    <row r="59" spans="1:28" x14ac:dyDescent="0.2">
      <c r="A59" s="643"/>
      <c r="B59" s="643"/>
      <c r="C59" s="643"/>
      <c r="D59" s="643"/>
      <c r="E59" s="643"/>
      <c r="F59" s="382" t="s">
        <v>1536</v>
      </c>
      <c r="G59" s="381"/>
      <c r="H59" s="420">
        <f>H56-SONPCustodial!F45</f>
        <v>0</v>
      </c>
      <c r="I59" s="420"/>
      <c r="J59" s="420">
        <f>J56-SONPCustodial!H45</f>
        <v>0</v>
      </c>
      <c r="K59" s="420"/>
      <c r="L59" s="420">
        <f>L56-SONPCustodial!J45</f>
        <v>0</v>
      </c>
      <c r="M59" s="420"/>
      <c r="N59" s="420">
        <f>N56-SONPCustodial!L45</f>
        <v>0</v>
      </c>
      <c r="O59" s="420"/>
      <c r="P59" s="420">
        <f>P56-SONPCustodial!N45</f>
        <v>0</v>
      </c>
      <c r="Q59" s="420"/>
      <c r="R59" s="420">
        <f>R56-SONPCustodial!P45</f>
        <v>0</v>
      </c>
      <c r="S59" s="420"/>
      <c r="T59" s="420">
        <f>T56-SONPCustodial!R45</f>
        <v>0</v>
      </c>
      <c r="U59" s="420"/>
      <c r="V59" s="420">
        <f>V56-SONPCustodial!T45</f>
        <v>0</v>
      </c>
      <c r="W59" s="420"/>
      <c r="X59" s="420">
        <f>X56-SONPCustodial!V45</f>
        <v>0</v>
      </c>
      <c r="Y59" s="420"/>
      <c r="Z59" s="420">
        <f>Z56-SONPCustodial!X45</f>
        <v>0</v>
      </c>
      <c r="AA59" s="420"/>
      <c r="AB59" s="420">
        <f>AB56-SONPCustodial!Z45</f>
        <v>0</v>
      </c>
    </row>
    <row r="60" spans="1:28" x14ac:dyDescent="0.2">
      <c r="A60" s="317"/>
      <c r="B60" s="317"/>
      <c r="C60" s="317"/>
      <c r="D60" s="317"/>
      <c r="E60" s="317"/>
      <c r="F60" s="253"/>
      <c r="G60" s="253"/>
      <c r="H60" s="253"/>
      <c r="I60" s="253"/>
      <c r="J60" s="253"/>
      <c r="K60" s="253"/>
      <c r="L60" s="253"/>
      <c r="M60" s="253"/>
      <c r="N60" s="253"/>
      <c r="O60" s="253"/>
      <c r="P60" s="253"/>
      <c r="Q60" s="253"/>
      <c r="R60" s="253"/>
      <c r="S60" s="253"/>
      <c r="T60" s="253"/>
      <c r="U60" s="253"/>
      <c r="V60" s="253"/>
      <c r="W60" s="253"/>
      <c r="X60" s="317"/>
      <c r="Y60" s="253"/>
      <c r="Z60" s="317"/>
      <c r="AA60" s="317"/>
      <c r="AB60" s="317"/>
    </row>
    <row r="61" spans="1:28" x14ac:dyDescent="0.2">
      <c r="A61" s="317"/>
      <c r="B61" s="317"/>
      <c r="C61" s="317"/>
      <c r="D61" s="317"/>
      <c r="E61" s="317"/>
      <c r="F61" s="253"/>
      <c r="G61" s="253"/>
      <c r="H61" s="253"/>
      <c r="I61" s="253"/>
      <c r="J61" s="253"/>
      <c r="K61" s="253"/>
      <c r="L61" s="253"/>
      <c r="M61" s="253"/>
      <c r="N61" s="253"/>
      <c r="O61" s="253"/>
      <c r="P61" s="253"/>
      <c r="Q61" s="253"/>
      <c r="R61" s="253"/>
      <c r="S61" s="253"/>
      <c r="T61" s="253"/>
      <c r="U61" s="253"/>
      <c r="V61" s="253"/>
      <c r="W61" s="253"/>
      <c r="X61" s="317"/>
      <c r="Y61" s="253"/>
      <c r="Z61" s="317"/>
      <c r="AA61" s="317"/>
      <c r="AB61" s="317"/>
    </row>
    <row r="62" spans="1:28" x14ac:dyDescent="0.2">
      <c r="A62" s="317"/>
      <c r="B62" s="317"/>
      <c r="C62" s="317"/>
      <c r="D62" s="317"/>
      <c r="E62" s="317"/>
      <c r="F62" s="253"/>
      <c r="G62" s="253"/>
      <c r="H62" s="253"/>
      <c r="I62" s="253"/>
      <c r="J62" s="253"/>
      <c r="K62" s="253"/>
      <c r="L62" s="253"/>
      <c r="M62" s="253"/>
      <c r="N62" s="253"/>
      <c r="O62" s="253"/>
      <c r="P62" s="253"/>
      <c r="Q62" s="253"/>
      <c r="R62" s="253"/>
      <c r="S62" s="253"/>
      <c r="T62" s="253"/>
      <c r="U62" s="253"/>
      <c r="V62" s="253"/>
      <c r="W62" s="253"/>
      <c r="X62" s="317"/>
      <c r="Y62" s="253"/>
      <c r="Z62" s="317"/>
      <c r="AA62" s="317"/>
      <c r="AB62" s="317"/>
    </row>
    <row r="63" spans="1:28" x14ac:dyDescent="0.2">
      <c r="A63" s="318"/>
      <c r="B63" s="318"/>
      <c r="C63" s="318"/>
      <c r="D63" s="318"/>
      <c r="E63" s="318"/>
      <c r="F63" s="492"/>
      <c r="G63" s="492"/>
      <c r="H63" s="492"/>
      <c r="I63" s="492"/>
      <c r="J63" s="492"/>
      <c r="K63" s="492"/>
      <c r="L63" s="492"/>
      <c r="M63" s="492"/>
      <c r="N63" s="492"/>
      <c r="O63" s="492"/>
      <c r="P63" s="492"/>
      <c r="Q63" s="492"/>
      <c r="R63" s="492"/>
      <c r="S63" s="492"/>
      <c r="T63" s="492"/>
      <c r="U63" s="492"/>
      <c r="V63" s="492"/>
      <c r="W63" s="492"/>
      <c r="X63" s="318"/>
      <c r="Y63" s="492"/>
      <c r="Z63" s="318"/>
      <c r="AA63" s="318"/>
      <c r="AB63" s="318"/>
    </row>
    <row r="64" spans="1:28" x14ac:dyDescent="0.2">
      <c r="A64" s="318"/>
      <c r="B64" s="318"/>
      <c r="C64" s="318"/>
      <c r="D64" s="318"/>
      <c r="E64" s="318"/>
      <c r="F64" s="492"/>
      <c r="G64" s="492"/>
      <c r="H64" s="492"/>
      <c r="I64" s="492"/>
      <c r="J64" s="492"/>
      <c r="K64" s="492"/>
      <c r="L64" s="492"/>
      <c r="M64" s="492"/>
      <c r="N64" s="492"/>
      <c r="O64" s="492"/>
      <c r="P64" s="492"/>
      <c r="Q64" s="492"/>
      <c r="R64" s="492"/>
      <c r="S64" s="492"/>
      <c r="T64" s="492"/>
      <c r="U64" s="492"/>
      <c r="V64" s="492"/>
      <c r="W64" s="492"/>
      <c r="X64" s="318"/>
      <c r="Y64" s="492"/>
      <c r="Z64" s="318"/>
      <c r="AA64" s="318"/>
      <c r="AB64" s="318"/>
    </row>
    <row r="65" spans="1:28" x14ac:dyDescent="0.2">
      <c r="A65" s="318"/>
      <c r="B65" s="318"/>
      <c r="C65" s="318"/>
      <c r="D65" s="318"/>
      <c r="E65" s="318"/>
      <c r="F65" s="492"/>
      <c r="G65" s="492"/>
      <c r="H65" s="492"/>
      <c r="I65" s="492"/>
      <c r="J65" s="492"/>
      <c r="K65" s="492"/>
      <c r="L65" s="492"/>
      <c r="M65" s="492"/>
      <c r="N65" s="492"/>
      <c r="O65" s="492"/>
      <c r="P65" s="492"/>
      <c r="Q65" s="492"/>
      <c r="R65" s="492"/>
      <c r="S65" s="492"/>
      <c r="T65" s="492"/>
      <c r="U65" s="492"/>
      <c r="V65" s="492"/>
      <c r="W65" s="492"/>
      <c r="X65" s="318"/>
      <c r="Y65" s="492"/>
      <c r="Z65" s="318"/>
      <c r="AA65" s="318"/>
      <c r="AB65" s="318"/>
    </row>
    <row r="132" spans="7:7" x14ac:dyDescent="0.2">
      <c r="G132" s="314">
        <v>21</v>
      </c>
    </row>
  </sheetData>
  <mergeCells count="2">
    <mergeCell ref="A1:AB1"/>
    <mergeCell ref="A4:G4"/>
  </mergeCells>
  <printOptions horizontalCentered="1"/>
  <pageMargins left="0.5" right="0.5" top="0.5" bottom="0.625" header="0.5" footer="0.5"/>
  <pageSetup scale="7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0">
    <tabColor theme="6" tint="0.39997558519241921"/>
    <pageSetUpPr fitToPage="1"/>
  </sheetPr>
  <dimension ref="A1:AE251"/>
  <sheetViews>
    <sheetView view="pageBreakPreview" zoomScale="110" zoomScaleNormal="100" zoomScaleSheetLayoutView="110" workbookViewId="0">
      <pane xSplit="5" ySplit="11" topLeftCell="F12" activePane="bottomRight" state="frozen"/>
      <selection activeCell="Z13" activeCellId="3" sqref="Z18 Z17 Z15 Z13"/>
      <selection pane="topRight" activeCell="Z13" activeCellId="3" sqref="Z18 Z17 Z15 Z13"/>
      <selection pane="bottomLeft" activeCell="Z13" activeCellId="3" sqref="Z18 Z17 Z15 Z13"/>
      <selection pane="bottomRight" activeCell="V141" activeCellId="2" sqref="V131 V136 V141"/>
    </sheetView>
  </sheetViews>
  <sheetFormatPr defaultColWidth="9.140625" defaultRowHeight="12.75" x14ac:dyDescent="0.2"/>
  <cols>
    <col min="1" max="3" width="1.5703125" style="434" customWidth="1"/>
    <col min="4" max="4" width="35.42578125" style="416" customWidth="1"/>
    <col min="5" max="5" width="1.5703125" style="434" customWidth="1"/>
    <col min="6" max="6" width="12.85546875" style="437" customWidth="1"/>
    <col min="7" max="7" width="1.5703125" style="437" customWidth="1"/>
    <col min="8" max="8" width="14.42578125" style="437" customWidth="1"/>
    <col min="9" max="9" width="1.5703125" style="437" customWidth="1"/>
    <col min="10" max="10" width="12.42578125" style="437" customWidth="1"/>
    <col min="11" max="11" width="1.5703125" style="437" customWidth="1"/>
    <col min="12" max="12" width="13.42578125" style="437" customWidth="1"/>
    <col min="13" max="13" width="1.5703125" style="437" customWidth="1"/>
    <col min="14" max="14" width="13.42578125" style="437" hidden="1" customWidth="1"/>
    <col min="15" max="15" width="1.5703125" style="437" hidden="1" customWidth="1"/>
    <col min="16" max="16" width="13.42578125" style="437" hidden="1" customWidth="1"/>
    <col min="17" max="17" width="1.5703125" style="437" hidden="1" customWidth="1"/>
    <col min="18" max="18" width="12.5703125" style="437" hidden="1" customWidth="1"/>
    <col min="19" max="19" width="1.5703125" style="437" hidden="1" customWidth="1"/>
    <col min="20" max="20" width="14.140625" style="437" hidden="1" customWidth="1"/>
    <col min="21" max="21" width="1.5703125" style="437" hidden="1" customWidth="1"/>
    <col min="22" max="22" width="11.140625" style="437" customWidth="1"/>
    <col min="23" max="24" width="9.140625" style="202"/>
    <col min="25" max="25" width="9.85546875" style="202" bestFit="1" customWidth="1"/>
    <col min="26" max="16384" width="9.140625" style="202"/>
  </cols>
  <sheetData>
    <row r="1" spans="1:31" s="462" customFormat="1" ht="18.95" customHeight="1"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728"/>
    </row>
    <row r="2" spans="1:31" s="531" customFormat="1" ht="17.25" customHeight="1" x14ac:dyDescent="0.2">
      <c r="A2" s="700" t="s">
        <v>1118</v>
      </c>
      <c r="F2" s="722"/>
      <c r="G2" s="722"/>
      <c r="H2" s="722"/>
      <c r="I2" s="722"/>
      <c r="J2" s="722"/>
      <c r="K2" s="700"/>
      <c r="L2" s="722"/>
      <c r="N2" s="722"/>
      <c r="O2" s="722"/>
      <c r="P2" s="722"/>
      <c r="Q2" s="722"/>
      <c r="R2" s="722"/>
      <c r="S2" s="722"/>
      <c r="T2" s="722"/>
      <c r="U2" s="722"/>
      <c r="V2" s="722"/>
      <c r="W2" s="716"/>
    </row>
    <row r="3" spans="1:31" s="531" customFormat="1" ht="17.25" customHeight="1" x14ac:dyDescent="0.2">
      <c r="A3" s="700" t="s">
        <v>89</v>
      </c>
      <c r="F3" s="722"/>
      <c r="G3" s="722"/>
      <c r="H3" s="722"/>
      <c r="I3" s="722"/>
      <c r="J3" s="722"/>
      <c r="K3" s="700"/>
      <c r="L3" s="722"/>
      <c r="N3" s="722"/>
      <c r="O3" s="722"/>
      <c r="P3" s="722"/>
      <c r="Q3" s="722"/>
      <c r="R3" s="722"/>
      <c r="S3" s="722"/>
      <c r="T3" s="722"/>
      <c r="U3" s="722"/>
      <c r="V3" s="722"/>
      <c r="W3" s="716"/>
      <c r="Y3" s="531" t="s">
        <v>689</v>
      </c>
      <c r="AC3" s="531">
        <v>37061</v>
      </c>
      <c r="AE3" s="531">
        <v>1634.7180000000001</v>
      </c>
    </row>
    <row r="4" spans="1:31" s="532" customFormat="1" ht="14.85" customHeight="1" x14ac:dyDescent="0.2">
      <c r="A4" s="506" t="s">
        <v>1724</v>
      </c>
      <c r="B4" s="506"/>
      <c r="C4" s="506"/>
      <c r="D4" s="506"/>
      <c r="F4" s="733"/>
      <c r="G4" s="733"/>
      <c r="H4" s="733"/>
      <c r="I4" s="733"/>
      <c r="J4" s="733"/>
      <c r="K4" s="506"/>
      <c r="L4" s="733"/>
      <c r="M4" s="506"/>
      <c r="N4" s="506"/>
      <c r="O4" s="506"/>
      <c r="P4" s="506"/>
      <c r="Q4" s="506"/>
      <c r="R4" s="506"/>
      <c r="S4" s="506"/>
      <c r="T4" s="506"/>
      <c r="U4" s="733"/>
      <c r="V4" s="733"/>
      <c r="W4" s="736"/>
      <c r="Y4" s="532" t="s">
        <v>1037</v>
      </c>
      <c r="AC4" s="532">
        <v>13857</v>
      </c>
      <c r="AE4" s="532">
        <v>1340</v>
      </c>
    </row>
    <row r="5" spans="1:31" s="317" customFormat="1" ht="14.1" customHeight="1" x14ac:dyDescent="0.2">
      <c r="A5" s="738" t="s">
        <v>972</v>
      </c>
      <c r="B5" s="718"/>
      <c r="C5" s="718"/>
      <c r="D5" s="718"/>
      <c r="E5" s="718"/>
      <c r="K5" s="738"/>
      <c r="Y5" s="317" t="s">
        <v>694</v>
      </c>
      <c r="AA5" s="317">
        <v>208810</v>
      </c>
      <c r="AC5" s="317">
        <v>57850</v>
      </c>
      <c r="AE5" s="317">
        <v>6825</v>
      </c>
    </row>
    <row r="6" spans="1:31" s="317" customFormat="1" ht="14.1" hidden="1" customHeight="1" x14ac:dyDescent="0.2">
      <c r="A6" s="738"/>
      <c r="B6" s="718"/>
      <c r="C6" s="718"/>
      <c r="D6" s="718"/>
      <c r="E6" s="718"/>
      <c r="K6" s="738"/>
    </row>
    <row r="7" spans="1:31" s="317" customFormat="1" ht="14.1" hidden="1" customHeight="1" x14ac:dyDescent="0.2">
      <c r="A7" s="738"/>
      <c r="B7" s="718"/>
      <c r="C7" s="718"/>
      <c r="D7" s="718"/>
      <c r="E7" s="718"/>
      <c r="H7" s="310"/>
      <c r="K7" s="738"/>
      <c r="Y7" s="317">
        <v>392826</v>
      </c>
    </row>
    <row r="8" spans="1:31" s="470" customFormat="1" ht="12" customHeight="1" x14ac:dyDescent="0.2">
      <c r="A8" s="310"/>
      <c r="B8" s="310"/>
      <c r="C8" s="310"/>
      <c r="D8" s="310"/>
      <c r="E8" s="310"/>
      <c r="F8" s="468"/>
      <c r="G8" s="467"/>
      <c r="H8" s="310" t="s">
        <v>1328</v>
      </c>
      <c r="I8" s="467"/>
      <c r="J8" s="310" t="s">
        <v>8</v>
      </c>
      <c r="L8" s="467" t="s">
        <v>49</v>
      </c>
      <c r="M8" s="336"/>
      <c r="N8" s="310" t="s">
        <v>437</v>
      </c>
      <c r="O8" s="336"/>
      <c r="P8" s="310" t="s">
        <v>437</v>
      </c>
      <c r="Q8" s="336"/>
      <c r="R8" s="310" t="s">
        <v>437</v>
      </c>
      <c r="S8" s="467"/>
      <c r="T8" s="310" t="s">
        <v>437</v>
      </c>
      <c r="U8" s="468"/>
      <c r="V8" s="467" t="s">
        <v>671</v>
      </c>
      <c r="W8" s="469"/>
    </row>
    <row r="9" spans="1:31" s="470" customFormat="1" ht="12" customHeight="1" x14ac:dyDescent="0.2">
      <c r="A9" s="310"/>
      <c r="B9" s="310"/>
      <c r="C9" s="310"/>
      <c r="D9" s="310"/>
      <c r="E9" s="310"/>
      <c r="F9" s="467"/>
      <c r="G9" s="467"/>
      <c r="H9" s="467" t="s">
        <v>1326</v>
      </c>
      <c r="I9" s="467"/>
      <c r="J9" s="467" t="s">
        <v>444</v>
      </c>
      <c r="L9" s="467" t="s">
        <v>721</v>
      </c>
      <c r="M9" s="467"/>
      <c r="N9" s="467" t="s">
        <v>438</v>
      </c>
      <c r="O9" s="467"/>
      <c r="P9" s="467" t="s">
        <v>438</v>
      </c>
      <c r="Q9" s="467"/>
      <c r="R9" s="310" t="s">
        <v>438</v>
      </c>
      <c r="S9" s="467"/>
      <c r="T9" s="310" t="s">
        <v>1305</v>
      </c>
      <c r="U9" s="467"/>
      <c r="V9" s="467" t="s">
        <v>1064</v>
      </c>
      <c r="W9" s="469"/>
      <c r="Y9" s="470">
        <v>24181</v>
      </c>
    </row>
    <row r="10" spans="1:31" s="470" customFormat="1" ht="12" customHeight="1" x14ac:dyDescent="0.2">
      <c r="A10" s="310"/>
      <c r="B10" s="310"/>
      <c r="C10" s="310"/>
      <c r="D10" s="310"/>
      <c r="E10" s="310"/>
      <c r="F10" s="467"/>
      <c r="G10" s="467"/>
      <c r="H10" s="467" t="s">
        <v>1174</v>
      </c>
      <c r="I10" s="467"/>
      <c r="J10" s="467" t="s">
        <v>245</v>
      </c>
      <c r="L10" s="467" t="s">
        <v>1174</v>
      </c>
      <c r="M10" s="467"/>
      <c r="N10" s="467" t="s">
        <v>215</v>
      </c>
      <c r="O10" s="467"/>
      <c r="P10" s="467" t="s">
        <v>443</v>
      </c>
      <c r="Q10" s="467"/>
      <c r="R10" s="310" t="s">
        <v>1174</v>
      </c>
      <c r="S10" s="467"/>
      <c r="T10" s="310" t="s">
        <v>1306</v>
      </c>
      <c r="U10" s="467"/>
      <c r="V10" s="467" t="s">
        <v>761</v>
      </c>
      <c r="W10" s="469"/>
    </row>
    <row r="11" spans="1:31" s="470" customFormat="1" ht="12" customHeight="1" x14ac:dyDescent="0.2">
      <c r="A11" s="310"/>
      <c r="B11" s="310"/>
      <c r="C11" s="310"/>
      <c r="D11" s="310"/>
      <c r="E11" s="310"/>
      <c r="F11" s="467" t="s">
        <v>345</v>
      </c>
      <c r="G11" s="467"/>
      <c r="H11" s="471" t="s">
        <v>216</v>
      </c>
      <c r="I11" s="467"/>
      <c r="J11" s="471" t="s">
        <v>437</v>
      </c>
      <c r="L11" s="471" t="s">
        <v>216</v>
      </c>
      <c r="M11" s="467"/>
      <c r="N11" s="471" t="s">
        <v>216</v>
      </c>
      <c r="O11" s="467"/>
      <c r="P11" s="471" t="s">
        <v>445</v>
      </c>
      <c r="Q11" s="467"/>
      <c r="R11" s="574" t="s">
        <v>216</v>
      </c>
      <c r="S11" s="467"/>
      <c r="T11" s="574" t="s">
        <v>1307</v>
      </c>
      <c r="U11" s="467"/>
      <c r="V11" s="471" t="s">
        <v>762</v>
      </c>
      <c r="W11" s="469"/>
    </row>
    <row r="12" spans="1:31" s="439" customFormat="1" ht="9.9499999999999993" customHeight="1" x14ac:dyDescent="0.2">
      <c r="A12" s="417" t="s">
        <v>672</v>
      </c>
      <c r="B12" s="418"/>
      <c r="C12" s="418"/>
      <c r="D12" s="417"/>
      <c r="E12" s="418"/>
      <c r="F12" s="1016"/>
      <c r="G12" s="438"/>
      <c r="H12" s="438"/>
      <c r="I12" s="438"/>
      <c r="J12" s="438"/>
      <c r="K12" s="438"/>
      <c r="L12" s="438"/>
      <c r="M12" s="438"/>
      <c r="N12" s="438"/>
      <c r="O12" s="438"/>
      <c r="P12" s="438"/>
      <c r="Q12" s="438"/>
      <c r="R12" s="438"/>
      <c r="S12" s="438"/>
      <c r="T12" s="438"/>
      <c r="U12" s="438"/>
      <c r="V12" s="438"/>
    </row>
    <row r="13" spans="1:31" s="439" customFormat="1" ht="9.9499999999999993" customHeight="1" x14ac:dyDescent="0.2">
      <c r="A13" s="418"/>
      <c r="B13" s="644" t="s">
        <v>594</v>
      </c>
      <c r="C13" s="418"/>
      <c r="D13" s="417"/>
      <c r="E13" s="418"/>
      <c r="F13" s="438"/>
      <c r="G13" s="438"/>
      <c r="H13" s="438"/>
      <c r="I13" s="438"/>
      <c r="J13" s="438"/>
      <c r="K13" s="438"/>
      <c r="L13" s="438"/>
      <c r="M13" s="438"/>
      <c r="N13" s="438"/>
      <c r="O13" s="438"/>
      <c r="P13" s="438"/>
      <c r="Q13" s="438"/>
      <c r="R13" s="438"/>
      <c r="S13" s="438"/>
      <c r="T13" s="438"/>
      <c r="U13" s="438"/>
      <c r="V13" s="438"/>
    </row>
    <row r="14" spans="1:31" s="439" customFormat="1" ht="9.9499999999999993" customHeight="1" x14ac:dyDescent="0.2">
      <c r="A14" s="418"/>
      <c r="B14" s="644"/>
      <c r="C14" s="417" t="s">
        <v>373</v>
      </c>
      <c r="D14" s="417"/>
      <c r="E14" s="418"/>
      <c r="F14" s="438"/>
      <c r="G14" s="438"/>
      <c r="H14" s="438"/>
      <c r="I14" s="438"/>
      <c r="J14" s="438"/>
      <c r="K14" s="438"/>
      <c r="L14" s="438"/>
      <c r="M14" s="438"/>
      <c r="N14" s="438"/>
      <c r="O14" s="438"/>
      <c r="P14" s="438"/>
      <c r="Q14" s="438"/>
      <c r="R14" s="438"/>
      <c r="S14" s="438"/>
      <c r="T14" s="438"/>
      <c r="U14" s="438"/>
      <c r="V14" s="438"/>
    </row>
    <row r="15" spans="1:31" s="439" customFormat="1" ht="9.9499999999999993" customHeight="1" x14ac:dyDescent="0.2">
      <c r="A15" s="418"/>
      <c r="B15" s="418"/>
      <c r="D15" s="398" t="s">
        <v>673</v>
      </c>
      <c r="E15" s="418"/>
      <c r="F15" s="461">
        <v>15268</v>
      </c>
      <c r="G15" s="448"/>
      <c r="H15" s="461">
        <v>0</v>
      </c>
      <c r="I15" s="448"/>
      <c r="J15" s="1245">
        <v>14717</v>
      </c>
      <c r="K15" s="447"/>
      <c r="L15" s="461">
        <v>2251</v>
      </c>
      <c r="M15" s="448"/>
      <c r="N15" s="461"/>
      <c r="O15" s="448"/>
      <c r="P15" s="461"/>
      <c r="Q15" s="448"/>
      <c r="R15" s="461"/>
      <c r="S15" s="448"/>
      <c r="T15" s="461">
        <v>0</v>
      </c>
      <c r="U15" s="448"/>
      <c r="V15" s="461">
        <f t="shared" ref="V15:V25" si="0">SUM(F15:U15)</f>
        <v>32236</v>
      </c>
    </row>
    <row r="16" spans="1:31" s="439" customFormat="1" ht="9.9499999999999993" customHeight="1" x14ac:dyDescent="0.2">
      <c r="A16" s="418"/>
      <c r="B16" s="418"/>
      <c r="D16" s="398" t="s">
        <v>674</v>
      </c>
      <c r="E16" s="418"/>
      <c r="F16" s="450"/>
      <c r="G16" s="450"/>
      <c r="H16" s="450"/>
      <c r="I16" s="450"/>
      <c r="J16" s="1246">
        <v>15893</v>
      </c>
      <c r="K16" s="450"/>
      <c r="L16" s="450">
        <v>23378</v>
      </c>
      <c r="M16" s="450"/>
      <c r="N16" s="450"/>
      <c r="O16" s="450"/>
      <c r="P16" s="450"/>
      <c r="Q16" s="450"/>
      <c r="R16" s="450"/>
      <c r="S16" s="450"/>
      <c r="T16" s="450"/>
      <c r="U16" s="450"/>
      <c r="V16" s="450">
        <f t="shared" si="0"/>
        <v>39271</v>
      </c>
    </row>
    <row r="17" spans="1:26" s="439" customFormat="1" ht="9.9499999999999993" customHeight="1" x14ac:dyDescent="0.2">
      <c r="A17" s="418"/>
      <c r="B17" s="418"/>
      <c r="D17" s="398" t="s">
        <v>252</v>
      </c>
      <c r="E17" s="418"/>
      <c r="F17" s="450">
        <v>926</v>
      </c>
      <c r="G17" s="450"/>
      <c r="H17" s="450"/>
      <c r="I17" s="450"/>
      <c r="J17" s="1246"/>
      <c r="K17" s="450"/>
      <c r="L17" s="450">
        <v>2039</v>
      </c>
      <c r="M17" s="450"/>
      <c r="N17" s="450"/>
      <c r="O17" s="450"/>
      <c r="P17" s="450"/>
      <c r="Q17" s="450"/>
      <c r="R17" s="450"/>
      <c r="S17" s="450"/>
      <c r="T17" s="450"/>
      <c r="U17" s="450"/>
      <c r="V17" s="450">
        <f t="shared" si="0"/>
        <v>2965</v>
      </c>
    </row>
    <row r="18" spans="1:26" s="439" customFormat="1" ht="9.9499999999999993" hidden="1" customHeight="1" x14ac:dyDescent="0.2">
      <c r="A18" s="418"/>
      <c r="B18" s="418"/>
      <c r="C18" s="418"/>
      <c r="D18" s="425" t="s">
        <v>446</v>
      </c>
      <c r="E18" s="418"/>
      <c r="F18" s="450"/>
      <c r="G18" s="450"/>
      <c r="H18" s="450"/>
      <c r="I18" s="450"/>
      <c r="J18" s="1246"/>
      <c r="K18" s="450"/>
      <c r="L18" s="450"/>
      <c r="M18" s="450"/>
      <c r="N18" s="450"/>
      <c r="O18" s="450"/>
      <c r="P18" s="450"/>
      <c r="Q18" s="450"/>
      <c r="R18" s="450"/>
      <c r="S18" s="450"/>
      <c r="T18" s="450"/>
      <c r="U18" s="450"/>
      <c r="V18" s="450">
        <f t="shared" si="0"/>
        <v>0</v>
      </c>
    </row>
    <row r="19" spans="1:26" s="439" customFormat="1" ht="9.9499999999999993" hidden="1" customHeight="1" x14ac:dyDescent="0.2">
      <c r="A19" s="418"/>
      <c r="B19" s="418"/>
      <c r="C19" s="418"/>
      <c r="D19" s="425" t="s">
        <v>844</v>
      </c>
      <c r="E19" s="418"/>
      <c r="F19" s="450"/>
      <c r="G19" s="450"/>
      <c r="H19" s="450"/>
      <c r="I19" s="450"/>
      <c r="J19" s="1246"/>
      <c r="K19" s="450"/>
      <c r="L19" s="450"/>
      <c r="M19" s="450"/>
      <c r="N19" s="450"/>
      <c r="O19" s="450"/>
      <c r="P19" s="450"/>
      <c r="Q19" s="450"/>
      <c r="R19" s="450"/>
      <c r="S19" s="450"/>
      <c r="T19" s="450"/>
      <c r="U19" s="450"/>
      <c r="V19" s="450">
        <f t="shared" si="0"/>
        <v>0</v>
      </c>
    </row>
    <row r="20" spans="1:26" s="439" customFormat="1" ht="9.9499999999999993" hidden="1" customHeight="1" x14ac:dyDescent="0.2">
      <c r="A20" s="418"/>
      <c r="B20" s="418"/>
      <c r="C20" s="418"/>
      <c r="D20" s="398" t="s">
        <v>676</v>
      </c>
      <c r="E20" s="418"/>
      <c r="F20" s="450"/>
      <c r="G20" s="450"/>
      <c r="H20" s="450"/>
      <c r="I20" s="450"/>
      <c r="J20" s="1246"/>
      <c r="K20" s="450"/>
      <c r="L20" s="450"/>
      <c r="M20" s="450"/>
      <c r="N20" s="450"/>
      <c r="O20" s="450"/>
      <c r="P20" s="450"/>
      <c r="Q20" s="450"/>
      <c r="R20" s="450"/>
      <c r="S20" s="450"/>
      <c r="T20" s="450"/>
      <c r="U20" s="450"/>
      <c r="V20" s="450">
        <f t="shared" si="0"/>
        <v>0</v>
      </c>
    </row>
    <row r="21" spans="1:26" s="439" customFormat="1" ht="9.9499999999999993" customHeight="1" x14ac:dyDescent="0.2">
      <c r="A21" s="418"/>
      <c r="B21" s="418"/>
      <c r="D21" s="398" t="s">
        <v>763</v>
      </c>
      <c r="E21" s="418"/>
      <c r="F21" s="450">
        <v>47</v>
      </c>
      <c r="G21" s="450"/>
      <c r="H21" s="450"/>
      <c r="I21" s="450"/>
      <c r="J21" s="1246">
        <v>176</v>
      </c>
      <c r="K21" s="450"/>
      <c r="L21" s="450"/>
      <c r="M21" s="450"/>
      <c r="N21" s="450"/>
      <c r="O21" s="450"/>
      <c r="P21" s="450"/>
      <c r="Q21" s="450"/>
      <c r="R21" s="450"/>
      <c r="S21" s="450"/>
      <c r="T21" s="450"/>
      <c r="U21" s="450"/>
      <c r="V21" s="450">
        <f t="shared" si="0"/>
        <v>223</v>
      </c>
    </row>
    <row r="22" spans="1:26" s="439" customFormat="1" ht="9.9499999999999993" customHeight="1" x14ac:dyDescent="0.2">
      <c r="A22" s="418"/>
      <c r="B22" s="418"/>
      <c r="D22" s="398" t="s">
        <v>682</v>
      </c>
      <c r="E22" s="418"/>
      <c r="F22" s="450"/>
      <c r="G22" s="450"/>
      <c r="H22" s="450"/>
      <c r="I22" s="450"/>
      <c r="J22" s="1246">
        <v>987</v>
      </c>
      <c r="K22" s="450"/>
      <c r="L22" s="450"/>
      <c r="M22" s="450"/>
      <c r="N22" s="450"/>
      <c r="O22" s="450"/>
      <c r="P22" s="450"/>
      <c r="Q22" s="450"/>
      <c r="R22" s="450"/>
      <c r="S22" s="450"/>
      <c r="T22" s="450"/>
      <c r="U22" s="450"/>
      <c r="V22" s="450">
        <f t="shared" si="0"/>
        <v>987</v>
      </c>
    </row>
    <row r="23" spans="1:26" s="439" customFormat="1" ht="9.9499999999999993" customHeight="1" x14ac:dyDescent="0.2">
      <c r="A23" s="418"/>
      <c r="B23" s="418"/>
      <c r="D23" s="398" t="s">
        <v>679</v>
      </c>
      <c r="E23" s="418"/>
      <c r="F23" s="450">
        <v>189</v>
      </c>
      <c r="G23" s="450"/>
      <c r="H23" s="450"/>
      <c r="I23" s="450"/>
      <c r="J23" s="1246">
        <v>637</v>
      </c>
      <c r="K23" s="450"/>
      <c r="L23" s="450">
        <v>18540</v>
      </c>
      <c r="M23" s="450"/>
      <c r="N23" s="450"/>
      <c r="O23" s="450"/>
      <c r="P23" s="450"/>
      <c r="Q23" s="450"/>
      <c r="R23" s="450"/>
      <c r="S23" s="450"/>
      <c r="T23" s="450"/>
      <c r="U23" s="450"/>
      <c r="V23" s="450">
        <f t="shared" si="0"/>
        <v>19366</v>
      </c>
    </row>
    <row r="24" spans="1:26" s="439" customFormat="1" ht="9.9499999999999993" customHeight="1" x14ac:dyDescent="0.2">
      <c r="A24" s="418"/>
      <c r="B24" s="418"/>
      <c r="D24" s="398" t="s">
        <v>982</v>
      </c>
      <c r="E24" s="418"/>
      <c r="F24" s="450"/>
      <c r="G24" s="450"/>
      <c r="H24" s="450"/>
      <c r="I24" s="450"/>
      <c r="J24" s="1246">
        <v>8</v>
      </c>
      <c r="K24" s="450"/>
      <c r="L24" s="450"/>
      <c r="M24" s="450"/>
      <c r="N24" s="450"/>
      <c r="O24" s="450"/>
      <c r="P24" s="450"/>
      <c r="Q24" s="450"/>
      <c r="R24" s="450"/>
      <c r="S24" s="450"/>
      <c r="T24" s="450"/>
      <c r="U24" s="450"/>
      <c r="V24" s="450">
        <f t="shared" si="0"/>
        <v>8</v>
      </c>
    </row>
    <row r="25" spans="1:26" s="439" customFormat="1" ht="9.9499999999999993" customHeight="1" x14ac:dyDescent="0.2">
      <c r="A25" s="418"/>
      <c r="B25" s="418"/>
      <c r="D25" s="398" t="s">
        <v>1773</v>
      </c>
      <c r="E25" s="418"/>
      <c r="F25" s="450"/>
      <c r="G25" s="450"/>
      <c r="H25" s="450"/>
      <c r="I25" s="450"/>
      <c r="J25" s="1246">
        <v>26265</v>
      </c>
      <c r="K25" s="450"/>
      <c r="L25" s="450"/>
      <c r="M25" s="450"/>
      <c r="N25" s="450"/>
      <c r="O25" s="450"/>
      <c r="P25" s="450"/>
      <c r="Q25" s="450"/>
      <c r="R25" s="450"/>
      <c r="S25" s="450"/>
      <c r="T25" s="450"/>
      <c r="U25" s="450"/>
      <c r="V25" s="450">
        <f t="shared" si="0"/>
        <v>26265</v>
      </c>
    </row>
    <row r="26" spans="1:26" s="439" customFormat="1" ht="9.9499999999999993" customHeight="1" x14ac:dyDescent="0.2">
      <c r="A26" s="418"/>
      <c r="C26" s="644" t="s">
        <v>757</v>
      </c>
      <c r="D26" s="417"/>
      <c r="E26" s="418"/>
      <c r="F26" s="666">
        <f>SUM(F15:F24)</f>
        <v>16430</v>
      </c>
      <c r="G26" s="450"/>
      <c r="H26" s="666">
        <f>SUM(H15:H24)</f>
        <v>0</v>
      </c>
      <c r="I26" s="450"/>
      <c r="J26" s="666">
        <f>SUM(J15:J25)</f>
        <v>58683</v>
      </c>
      <c r="K26" s="450"/>
      <c r="L26" s="666">
        <f>SUM(L15:L23)</f>
        <v>46208</v>
      </c>
      <c r="M26" s="450"/>
      <c r="N26" s="666">
        <f>SUM(N15:N24)</f>
        <v>0</v>
      </c>
      <c r="O26" s="450"/>
      <c r="P26" s="666">
        <f>SUM(P15:P24)</f>
        <v>0</v>
      </c>
      <c r="Q26" s="450"/>
      <c r="R26" s="666">
        <f>SUM(R15:R24)</f>
        <v>0</v>
      </c>
      <c r="S26" s="450"/>
      <c r="T26" s="666">
        <f>SUM(T15:T24)</f>
        <v>0</v>
      </c>
      <c r="U26" s="450"/>
      <c r="V26" s="666">
        <f>SUM(V15:V25)</f>
        <v>121321</v>
      </c>
      <c r="X26" s="439">
        <v>111731</v>
      </c>
      <c r="Y26" s="451">
        <f>+V26-X26</f>
        <v>9590</v>
      </c>
    </row>
    <row r="27" spans="1:26" s="439" customFormat="1" ht="9.9499999999999993" customHeight="1" x14ac:dyDescent="0.2">
      <c r="A27" s="418"/>
      <c r="C27" s="417" t="s">
        <v>685</v>
      </c>
      <c r="D27" s="417"/>
      <c r="E27" s="418"/>
      <c r="F27" s="450"/>
      <c r="G27" s="450"/>
      <c r="H27" s="450"/>
      <c r="I27" s="450"/>
      <c r="J27" s="1246"/>
      <c r="K27" s="450"/>
      <c r="L27" s="450"/>
      <c r="M27" s="450"/>
      <c r="N27" s="450"/>
      <c r="O27" s="450"/>
      <c r="P27" s="450"/>
      <c r="Q27" s="450"/>
      <c r="R27" s="450"/>
      <c r="S27" s="450"/>
      <c r="T27" s="450"/>
      <c r="U27" s="450"/>
      <c r="V27" s="450"/>
    </row>
    <row r="28" spans="1:26" s="439" customFormat="1" ht="9.75" hidden="1" customHeight="1" x14ac:dyDescent="0.2">
      <c r="A28" s="418"/>
      <c r="B28" s="417"/>
      <c r="D28" s="352" t="s">
        <v>72</v>
      </c>
      <c r="E28" s="418"/>
      <c r="F28" s="450"/>
      <c r="G28" s="450"/>
      <c r="H28" s="450"/>
      <c r="I28" s="450"/>
      <c r="J28" s="1246"/>
      <c r="K28" s="450"/>
      <c r="L28" s="450"/>
      <c r="M28" s="450"/>
      <c r="N28" s="450"/>
      <c r="O28" s="450"/>
      <c r="P28" s="450"/>
      <c r="Q28" s="450"/>
      <c r="R28" s="450"/>
      <c r="S28" s="450"/>
      <c r="T28" s="450"/>
      <c r="U28" s="450"/>
      <c r="V28" s="450">
        <f>SUM(M28:U28)</f>
        <v>0</v>
      </c>
    </row>
    <row r="29" spans="1:26" s="439" customFormat="1" ht="9.9499999999999993" hidden="1" customHeight="1" x14ac:dyDescent="0.2">
      <c r="A29" s="418"/>
      <c r="B29" s="417"/>
      <c r="D29" s="425" t="s">
        <v>673</v>
      </c>
      <c r="E29" s="418"/>
      <c r="F29" s="1246"/>
      <c r="G29" s="450"/>
      <c r="H29" s="450"/>
      <c r="I29" s="450"/>
      <c r="J29" s="1246"/>
      <c r="K29" s="450"/>
      <c r="L29" s="450"/>
      <c r="M29" s="450"/>
      <c r="N29" s="450"/>
      <c r="O29" s="450"/>
      <c r="P29" s="450"/>
      <c r="Q29" s="450"/>
      <c r="R29" s="450"/>
      <c r="S29" s="450"/>
      <c r="T29" s="450"/>
      <c r="U29" s="450"/>
      <c r="V29" s="450">
        <f t="shared" ref="V29:V39" si="1">SUM(F29:U29)</f>
        <v>0</v>
      </c>
    </row>
    <row r="30" spans="1:26" s="439" customFormat="1" ht="9.9499999999999993" hidden="1" customHeight="1" x14ac:dyDescent="0.2">
      <c r="A30" s="418"/>
      <c r="B30" s="417"/>
      <c r="D30" s="425" t="s">
        <v>674</v>
      </c>
      <c r="E30" s="418"/>
      <c r="F30" s="1246"/>
      <c r="G30" s="450"/>
      <c r="H30" s="450"/>
      <c r="I30" s="450"/>
      <c r="J30" s="1246"/>
      <c r="K30" s="450"/>
      <c r="L30" s="450"/>
      <c r="M30" s="450"/>
      <c r="N30" s="450"/>
      <c r="O30" s="450"/>
      <c r="P30" s="450"/>
      <c r="Q30" s="450"/>
      <c r="R30" s="450"/>
      <c r="S30" s="450"/>
      <c r="T30" s="450"/>
      <c r="U30" s="450"/>
      <c r="V30" s="450">
        <f t="shared" si="1"/>
        <v>0</v>
      </c>
    </row>
    <row r="31" spans="1:26" s="439" customFormat="1" ht="9.9499999999999993" hidden="1" customHeight="1" x14ac:dyDescent="0.2">
      <c r="A31" s="418"/>
      <c r="B31" s="417"/>
      <c r="D31" s="425" t="s">
        <v>252</v>
      </c>
      <c r="E31" s="418"/>
      <c r="F31" s="1246"/>
      <c r="G31" s="450"/>
      <c r="H31" s="450"/>
      <c r="I31" s="450"/>
      <c r="J31" s="1246"/>
      <c r="K31" s="450"/>
      <c r="L31" s="450"/>
      <c r="M31" s="450"/>
      <c r="N31" s="450"/>
      <c r="O31" s="450"/>
      <c r="P31" s="450"/>
      <c r="Q31" s="450"/>
      <c r="R31" s="450"/>
      <c r="S31" s="450"/>
      <c r="T31" s="450"/>
      <c r="U31" s="450"/>
      <c r="V31" s="450">
        <f t="shared" si="1"/>
        <v>0</v>
      </c>
      <c r="Z31" s="439">
        <v>5890</v>
      </c>
    </row>
    <row r="32" spans="1:26" s="439" customFormat="1" ht="9.9499999999999993" customHeight="1" x14ac:dyDescent="0.2">
      <c r="A32" s="418"/>
      <c r="B32" s="417"/>
      <c r="D32" s="418" t="s">
        <v>75</v>
      </c>
      <c r="E32" s="418"/>
      <c r="F32" s="1246"/>
      <c r="G32" s="450"/>
      <c r="H32" s="450"/>
      <c r="I32" s="450"/>
      <c r="J32" s="1246"/>
      <c r="K32" s="450"/>
      <c r="L32" s="450"/>
      <c r="M32" s="450"/>
      <c r="N32" s="450"/>
      <c r="O32" s="450"/>
      <c r="P32" s="450"/>
      <c r="Q32" s="450"/>
      <c r="R32" s="450"/>
      <c r="S32" s="450"/>
      <c r="T32" s="450"/>
      <c r="U32" s="450"/>
      <c r="V32" s="450">
        <f t="shared" si="1"/>
        <v>0</v>
      </c>
    </row>
    <row r="33" spans="1:26" s="439" customFormat="1" ht="9.9499999999999993" customHeight="1" x14ac:dyDescent="0.2">
      <c r="A33" s="418"/>
      <c r="B33" s="417"/>
      <c r="C33" s="418"/>
      <c r="D33" s="425" t="s">
        <v>673</v>
      </c>
      <c r="E33" s="418"/>
      <c r="F33" s="1246">
        <v>6066</v>
      </c>
      <c r="G33" s="450"/>
      <c r="H33" s="450">
        <v>753</v>
      </c>
      <c r="I33" s="450"/>
      <c r="J33" s="1246">
        <v>20890</v>
      </c>
      <c r="K33" s="450"/>
      <c r="M33" s="450"/>
      <c r="N33" s="450"/>
      <c r="O33" s="450"/>
      <c r="P33" s="450"/>
      <c r="Q33" s="450"/>
      <c r="R33" s="450"/>
      <c r="S33" s="450"/>
      <c r="T33" s="450"/>
      <c r="U33" s="450"/>
      <c r="V33" s="450">
        <f t="shared" si="1"/>
        <v>27709</v>
      </c>
    </row>
    <row r="34" spans="1:26" s="439" customFormat="1" ht="9.9499999999999993" hidden="1" customHeight="1" x14ac:dyDescent="0.2">
      <c r="A34" s="418"/>
      <c r="B34" s="417"/>
      <c r="C34" s="418"/>
      <c r="D34" s="425" t="s">
        <v>674</v>
      </c>
      <c r="E34" s="418"/>
      <c r="F34" s="1246"/>
      <c r="G34" s="450"/>
      <c r="H34" s="450"/>
      <c r="I34" s="450"/>
      <c r="J34" s="1246"/>
      <c r="K34" s="450"/>
      <c r="M34" s="450"/>
      <c r="N34" s="450"/>
      <c r="O34" s="450"/>
      <c r="P34" s="450"/>
      <c r="Q34" s="450"/>
      <c r="R34" s="450"/>
      <c r="S34" s="450"/>
      <c r="T34" s="450"/>
      <c r="U34" s="450"/>
      <c r="V34" s="450">
        <f t="shared" si="1"/>
        <v>0</v>
      </c>
    </row>
    <row r="35" spans="1:26" s="439" customFormat="1" ht="9.9499999999999993" hidden="1" customHeight="1" x14ac:dyDescent="0.2">
      <c r="A35" s="418"/>
      <c r="B35" s="417"/>
      <c r="C35" s="418"/>
      <c r="D35" s="425" t="s">
        <v>676</v>
      </c>
      <c r="E35" s="418"/>
      <c r="F35" s="1246"/>
      <c r="G35" s="450"/>
      <c r="H35" s="450"/>
      <c r="I35" s="450"/>
      <c r="J35" s="1246"/>
      <c r="K35" s="450"/>
      <c r="M35" s="450"/>
      <c r="N35" s="450"/>
      <c r="O35" s="450"/>
      <c r="P35" s="450"/>
      <c r="Q35" s="450"/>
      <c r="R35" s="450"/>
      <c r="S35" s="450"/>
      <c r="T35" s="450"/>
      <c r="U35" s="450"/>
      <c r="V35" s="450">
        <f t="shared" si="1"/>
        <v>0</v>
      </c>
    </row>
    <row r="36" spans="1:26" s="439" customFormat="1" ht="9.9499999999999993" customHeight="1" x14ac:dyDescent="0.2">
      <c r="A36" s="418"/>
      <c r="B36" s="417"/>
      <c r="C36" s="418"/>
      <c r="D36" s="425" t="s">
        <v>252</v>
      </c>
      <c r="E36" s="418"/>
      <c r="F36" s="1246"/>
      <c r="G36" s="450"/>
      <c r="H36" s="450">
        <v>1009</v>
      </c>
      <c r="I36" s="450"/>
      <c r="J36" s="1246"/>
      <c r="K36" s="450"/>
      <c r="L36" s="450"/>
      <c r="M36" s="450"/>
      <c r="N36" s="450"/>
      <c r="O36" s="450"/>
      <c r="P36" s="450"/>
      <c r="Q36" s="450"/>
      <c r="R36" s="450"/>
      <c r="S36" s="450"/>
      <c r="T36" s="450"/>
      <c r="U36" s="450"/>
      <c r="V36" s="450">
        <f t="shared" si="1"/>
        <v>1009</v>
      </c>
    </row>
    <row r="37" spans="1:26" s="439" customFormat="1" ht="9.75" hidden="1" customHeight="1" x14ac:dyDescent="0.2">
      <c r="A37" s="418"/>
      <c r="B37" s="417"/>
      <c r="C37" s="418"/>
      <c r="D37" s="425" t="s">
        <v>684</v>
      </c>
      <c r="E37" s="418"/>
      <c r="F37" s="1246"/>
      <c r="G37" s="450"/>
      <c r="H37" s="450"/>
      <c r="I37" s="450"/>
      <c r="J37" s="1246"/>
      <c r="K37" s="450"/>
      <c r="L37" s="450"/>
      <c r="M37" s="450"/>
      <c r="N37" s="450"/>
      <c r="O37" s="450"/>
      <c r="P37" s="450"/>
      <c r="Q37" s="450"/>
      <c r="R37" s="450"/>
      <c r="S37" s="450"/>
      <c r="T37" s="450"/>
      <c r="U37" s="450"/>
      <c r="V37" s="450">
        <f t="shared" si="1"/>
        <v>0</v>
      </c>
    </row>
    <row r="38" spans="1:26" s="439" customFormat="1" ht="9.9499999999999993" hidden="1" customHeight="1" x14ac:dyDescent="0.2">
      <c r="A38" s="418"/>
      <c r="B38" s="417"/>
      <c r="C38" s="418"/>
      <c r="D38" s="425" t="s">
        <v>679</v>
      </c>
      <c r="E38" s="418"/>
      <c r="F38" s="1246"/>
      <c r="G38" s="450"/>
      <c r="H38" s="450"/>
      <c r="I38" s="450"/>
      <c r="J38" s="1246"/>
      <c r="K38" s="450"/>
      <c r="L38" s="450"/>
      <c r="M38" s="450"/>
      <c r="N38" s="450"/>
      <c r="O38" s="450"/>
      <c r="P38" s="450"/>
      <c r="Q38" s="450"/>
      <c r="R38" s="450"/>
      <c r="S38" s="450"/>
      <c r="T38" s="450"/>
      <c r="U38" s="450"/>
      <c r="V38" s="450">
        <f t="shared" si="1"/>
        <v>0</v>
      </c>
    </row>
    <row r="39" spans="1:26" s="439" customFormat="1" ht="9.9499999999999993" customHeight="1" x14ac:dyDescent="0.2">
      <c r="A39" s="418"/>
      <c r="B39" s="417"/>
      <c r="C39" s="418"/>
      <c r="D39" s="425" t="s">
        <v>1773</v>
      </c>
      <c r="E39" s="418"/>
      <c r="F39" s="1246">
        <v>3136</v>
      </c>
      <c r="G39" s="450"/>
      <c r="H39" s="450">
        <v>766</v>
      </c>
      <c r="I39" s="450"/>
      <c r="J39" s="1246"/>
      <c r="K39" s="450"/>
      <c r="L39" s="450"/>
      <c r="M39" s="450"/>
      <c r="N39" s="450"/>
      <c r="O39" s="450"/>
      <c r="P39" s="450"/>
      <c r="Q39" s="450"/>
      <c r="R39" s="450"/>
      <c r="S39" s="450"/>
      <c r="T39" s="450"/>
      <c r="U39" s="450"/>
      <c r="V39" s="450">
        <f t="shared" si="1"/>
        <v>3902</v>
      </c>
    </row>
    <row r="40" spans="1:26" s="439" customFormat="1" ht="9.9499999999999993" customHeight="1" x14ac:dyDescent="0.2">
      <c r="A40" s="418"/>
      <c r="C40" s="417" t="s">
        <v>76</v>
      </c>
      <c r="D40" s="418"/>
      <c r="E40" s="418"/>
      <c r="F40" s="1276">
        <f>SUM(F28:F39)</f>
        <v>9202</v>
      </c>
      <c r="G40" s="450"/>
      <c r="H40" s="1276">
        <f t="shared" ref="H40" si="2">SUM(H28:H39)</f>
        <v>2528</v>
      </c>
      <c r="I40" s="450"/>
      <c r="J40" s="1276">
        <f>SUM(J28:J39)</f>
        <v>20890</v>
      </c>
      <c r="K40" s="450"/>
      <c r="L40" s="1276">
        <f t="shared" ref="L40" si="3">SUM(L28:L39)</f>
        <v>0</v>
      </c>
      <c r="M40" s="450"/>
      <c r="N40" s="1276">
        <f t="shared" ref="N40" si="4">SUM(N28:N39)</f>
        <v>0</v>
      </c>
      <c r="O40" s="450"/>
      <c r="P40" s="1276">
        <f t="shared" ref="P40" si="5">SUM(P28:P39)</f>
        <v>0</v>
      </c>
      <c r="Q40" s="450"/>
      <c r="R40" s="1276">
        <f t="shared" ref="R40" si="6">SUM(R28:R39)</f>
        <v>0</v>
      </c>
      <c r="S40" s="450"/>
      <c r="T40" s="1276">
        <f t="shared" ref="T40" si="7">SUM(T28:T39)</f>
        <v>0</v>
      </c>
      <c r="U40" s="450"/>
      <c r="V40" s="1276">
        <f t="shared" ref="V40" si="8">SUM(V28:V39)</f>
        <v>32620</v>
      </c>
      <c r="Z40" s="439">
        <v>0</v>
      </c>
    </row>
    <row r="41" spans="1:26" s="439" customFormat="1" ht="9.9499999999999993" customHeight="1" x14ac:dyDescent="0.2">
      <c r="A41" s="418"/>
      <c r="B41" s="417" t="s">
        <v>64</v>
      </c>
      <c r="C41" s="418"/>
      <c r="D41" s="418"/>
      <c r="E41" s="418"/>
      <c r="F41" s="1247">
        <f>SUM(F26+F40)</f>
        <v>25632</v>
      </c>
      <c r="G41" s="450"/>
      <c r="H41" s="455">
        <f>SUM(H26+H40)</f>
        <v>2528</v>
      </c>
      <c r="I41" s="450"/>
      <c r="J41" s="1247">
        <f>SUM(J26+J40)</f>
        <v>79573</v>
      </c>
      <c r="K41" s="450"/>
      <c r="L41" s="455">
        <f>SUM(L26+L40)</f>
        <v>46208</v>
      </c>
      <c r="M41" s="450"/>
      <c r="N41" s="455">
        <f>SUM(N26+N40)</f>
        <v>0</v>
      </c>
      <c r="O41" s="450"/>
      <c r="P41" s="455">
        <f>SUM(P26+P40)</f>
        <v>0</v>
      </c>
      <c r="Q41" s="450"/>
      <c r="R41" s="455">
        <f>SUM(R26+R40)</f>
        <v>0</v>
      </c>
      <c r="S41" s="450"/>
      <c r="T41" s="455">
        <f>SUM(T26+T40)</f>
        <v>0</v>
      </c>
      <c r="U41" s="450"/>
      <c r="V41" s="455">
        <f>SUM(V26+V40)</f>
        <v>153941</v>
      </c>
      <c r="Z41" s="439">
        <v>0</v>
      </c>
    </row>
    <row r="42" spans="1:26" s="439" customFormat="1" ht="9.9499999999999993" customHeight="1" x14ac:dyDescent="0.2">
      <c r="A42" s="418"/>
      <c r="B42" s="417" t="s">
        <v>70</v>
      </c>
      <c r="C42" s="418"/>
      <c r="D42" s="418"/>
      <c r="E42" s="418"/>
      <c r="F42" s="1246"/>
      <c r="G42" s="450"/>
      <c r="H42" s="450"/>
      <c r="I42" s="450"/>
      <c r="J42" s="1246"/>
      <c r="K42" s="450"/>
      <c r="L42" s="450"/>
      <c r="M42" s="450"/>
      <c r="N42" s="450"/>
      <c r="O42" s="450"/>
      <c r="P42" s="450"/>
      <c r="Q42" s="450"/>
      <c r="R42" s="450"/>
      <c r="S42" s="450"/>
      <c r="T42" s="450"/>
      <c r="U42" s="450"/>
      <c r="V42" s="450"/>
    </row>
    <row r="43" spans="1:26" s="439" customFormat="1" ht="9.9499999999999993" customHeight="1" x14ac:dyDescent="0.2">
      <c r="A43" s="418"/>
      <c r="C43" s="417" t="s">
        <v>686</v>
      </c>
      <c r="D43" s="417"/>
      <c r="E43" s="418"/>
      <c r="F43" s="1246"/>
      <c r="G43" s="450"/>
      <c r="H43" s="450"/>
      <c r="I43" s="450"/>
      <c r="J43" s="1246"/>
      <c r="K43" s="450"/>
      <c r="L43" s="450"/>
      <c r="M43" s="450"/>
      <c r="N43" s="450"/>
      <c r="O43" s="450"/>
      <c r="P43" s="450"/>
      <c r="Q43" s="450"/>
      <c r="R43" s="450"/>
      <c r="S43" s="450"/>
      <c r="T43" s="450"/>
      <c r="U43" s="450"/>
      <c r="V43" s="450"/>
    </row>
    <row r="44" spans="1:26" s="439" customFormat="1" ht="9.9499999999999993" customHeight="1" x14ac:dyDescent="0.2">
      <c r="A44" s="418"/>
      <c r="C44" s="417"/>
      <c r="D44" s="418" t="s">
        <v>1756</v>
      </c>
      <c r="E44" s="418"/>
      <c r="F44" s="1246"/>
      <c r="G44" s="450"/>
      <c r="H44" s="450"/>
      <c r="I44" s="450"/>
      <c r="J44" s="1246"/>
      <c r="K44" s="450"/>
      <c r="L44" s="450"/>
      <c r="M44" s="450"/>
      <c r="N44" s="450"/>
      <c r="O44" s="450"/>
      <c r="P44" s="450"/>
      <c r="Q44" s="450"/>
      <c r="R44" s="450"/>
      <c r="S44" s="450"/>
      <c r="T44" s="450"/>
      <c r="U44" s="450"/>
      <c r="V44" s="450"/>
    </row>
    <row r="45" spans="1:26" s="439" customFormat="1" ht="9.9499999999999993" customHeight="1" x14ac:dyDescent="0.2">
      <c r="A45" s="418"/>
      <c r="B45" s="418"/>
      <c r="D45" s="425" t="s">
        <v>77</v>
      </c>
      <c r="E45" s="418"/>
      <c r="F45" s="1246">
        <v>17728</v>
      </c>
      <c r="G45" s="450"/>
      <c r="H45" s="450">
        <v>3980</v>
      </c>
      <c r="I45" s="450"/>
      <c r="J45" s="1246">
        <v>35583</v>
      </c>
      <c r="K45" s="450"/>
      <c r="L45" s="450"/>
      <c r="M45" s="450"/>
      <c r="N45" s="450"/>
      <c r="O45" s="450"/>
      <c r="P45" s="450"/>
      <c r="Q45" s="450"/>
      <c r="R45" s="450"/>
      <c r="S45" s="450"/>
      <c r="T45" s="450"/>
      <c r="U45" s="450"/>
      <c r="V45" s="450">
        <f t="shared" ref="V45:V50" si="9">SUM(F45:U45)</f>
        <v>57291</v>
      </c>
      <c r="Z45" s="439">
        <v>2699</v>
      </c>
    </row>
    <row r="46" spans="1:26" s="439" customFormat="1" ht="9.9499999999999993" customHeight="1" x14ac:dyDescent="0.2">
      <c r="A46" s="418"/>
      <c r="B46" s="418"/>
      <c r="D46" s="425" t="s">
        <v>447</v>
      </c>
      <c r="E46" s="418"/>
      <c r="F46" s="1246">
        <v>41842</v>
      </c>
      <c r="G46" s="450"/>
      <c r="H46" s="450">
        <v>17522</v>
      </c>
      <c r="I46" s="450"/>
      <c r="J46" s="1246">
        <v>77326</v>
      </c>
      <c r="K46" s="450"/>
      <c r="L46" s="450"/>
      <c r="M46" s="450"/>
      <c r="N46" s="450"/>
      <c r="O46" s="450"/>
      <c r="P46" s="450"/>
      <c r="Q46" s="450"/>
      <c r="R46" s="450"/>
      <c r="S46" s="450"/>
      <c r="T46" s="450"/>
      <c r="U46" s="450"/>
      <c r="V46" s="450">
        <f t="shared" si="9"/>
        <v>136690</v>
      </c>
    </row>
    <row r="47" spans="1:26" s="439" customFormat="1" ht="9.9499999999999993" customHeight="1" x14ac:dyDescent="0.2">
      <c r="A47" s="418"/>
      <c r="B47" s="418"/>
      <c r="D47" s="425" t="s">
        <v>994</v>
      </c>
      <c r="E47" s="418"/>
      <c r="F47" s="1246">
        <v>130430</v>
      </c>
      <c r="G47" s="450"/>
      <c r="H47" s="450"/>
      <c r="I47" s="450"/>
      <c r="J47" s="1246">
        <v>435844</v>
      </c>
      <c r="K47" s="450"/>
      <c r="L47" s="450"/>
      <c r="M47" s="450"/>
      <c r="N47" s="450"/>
      <c r="O47" s="450"/>
      <c r="P47" s="450"/>
      <c r="Q47" s="450"/>
      <c r="R47" s="450"/>
      <c r="S47" s="450"/>
      <c r="T47" s="450"/>
      <c r="U47" s="450"/>
      <c r="V47" s="450">
        <f t="shared" si="9"/>
        <v>566274</v>
      </c>
    </row>
    <row r="48" spans="1:26" s="439" customFormat="1" ht="9.9499999999999993" hidden="1" customHeight="1" x14ac:dyDescent="0.2">
      <c r="A48" s="418"/>
      <c r="B48" s="418"/>
      <c r="D48" s="425" t="s">
        <v>450</v>
      </c>
      <c r="E48" s="418"/>
      <c r="F48" s="1246"/>
      <c r="G48" s="450"/>
      <c r="H48" s="450"/>
      <c r="I48" s="450"/>
      <c r="J48" s="1246"/>
      <c r="K48" s="450"/>
      <c r="L48" s="450"/>
      <c r="M48" s="450"/>
      <c r="N48" s="450"/>
      <c r="O48" s="450"/>
      <c r="P48" s="450"/>
      <c r="Q48" s="450"/>
      <c r="R48" s="450"/>
      <c r="S48" s="450"/>
      <c r="T48" s="450"/>
      <c r="U48" s="450"/>
      <c r="V48" s="450">
        <f t="shared" si="9"/>
        <v>0</v>
      </c>
    </row>
    <row r="49" spans="1:22" s="439" customFormat="1" ht="9.9499999999999993" customHeight="1" x14ac:dyDescent="0.2">
      <c r="A49" s="418"/>
      <c r="B49" s="418"/>
      <c r="D49" s="425" t="s">
        <v>995</v>
      </c>
      <c r="E49" s="418"/>
      <c r="F49" s="1246">
        <v>11505</v>
      </c>
      <c r="G49" s="450"/>
      <c r="H49" s="450"/>
      <c r="I49" s="450"/>
      <c r="J49" s="1246">
        <v>16206</v>
      </c>
      <c r="K49" s="450"/>
      <c r="L49" s="450"/>
      <c r="M49" s="450"/>
      <c r="N49" s="450"/>
      <c r="O49" s="450"/>
      <c r="P49" s="450"/>
      <c r="Q49" s="450"/>
      <c r="R49" s="450"/>
      <c r="S49" s="450"/>
      <c r="T49" s="450"/>
      <c r="U49" s="450"/>
      <c r="V49" s="450">
        <f t="shared" si="9"/>
        <v>27711</v>
      </c>
    </row>
    <row r="50" spans="1:22" s="439" customFormat="1" ht="9.9499999999999993" customHeight="1" x14ac:dyDescent="0.2">
      <c r="A50" s="418"/>
      <c r="B50" s="418"/>
      <c r="D50" s="425" t="s">
        <v>993</v>
      </c>
      <c r="E50" s="418"/>
      <c r="F50" s="1246">
        <v>980</v>
      </c>
      <c r="G50" s="450"/>
      <c r="H50" s="450"/>
      <c r="I50" s="450"/>
      <c r="J50" s="1246">
        <v>20259</v>
      </c>
      <c r="K50" s="450"/>
      <c r="L50" s="450"/>
      <c r="M50" s="450"/>
      <c r="N50" s="450"/>
      <c r="O50" s="450"/>
      <c r="P50" s="450"/>
      <c r="Q50" s="450"/>
      <c r="R50" s="450"/>
      <c r="S50" s="450"/>
      <c r="T50" s="450"/>
      <c r="U50" s="450"/>
      <c r="V50" s="450">
        <f t="shared" si="9"/>
        <v>21239</v>
      </c>
    </row>
    <row r="51" spans="1:22" s="439" customFormat="1" ht="9.9499999999999993" customHeight="1" x14ac:dyDescent="0.2">
      <c r="A51" s="418"/>
      <c r="B51" s="418"/>
      <c r="D51" s="425" t="s">
        <v>996</v>
      </c>
      <c r="E51" s="418"/>
      <c r="F51" s="1246">
        <v>87222</v>
      </c>
      <c r="G51" s="450"/>
      <c r="H51" s="450">
        <v>9461</v>
      </c>
      <c r="I51" s="450"/>
      <c r="J51" s="1246">
        <v>217022</v>
      </c>
      <c r="K51" s="450"/>
      <c r="L51" s="450"/>
      <c r="M51" s="450"/>
      <c r="N51" s="455"/>
      <c r="O51" s="450"/>
      <c r="P51" s="455"/>
      <c r="Q51" s="450"/>
      <c r="R51" s="455"/>
      <c r="S51" s="450"/>
      <c r="T51" s="455"/>
      <c r="U51" s="450"/>
      <c r="V51" s="455">
        <f>SUM(F51:U51)</f>
        <v>313705</v>
      </c>
    </row>
    <row r="52" spans="1:22" s="439" customFormat="1" ht="5.0999999999999996" customHeight="1" x14ac:dyDescent="0.2">
      <c r="A52" s="417"/>
      <c r="B52" s="418"/>
      <c r="C52" s="418"/>
      <c r="D52" s="417"/>
      <c r="E52" s="418"/>
      <c r="F52" s="664"/>
      <c r="G52" s="450"/>
      <c r="H52" s="664"/>
      <c r="I52" s="450"/>
      <c r="J52" s="1557"/>
      <c r="K52" s="450"/>
      <c r="L52" s="664"/>
      <c r="M52" s="450"/>
      <c r="N52" s="538"/>
      <c r="O52" s="450"/>
      <c r="P52" s="538"/>
      <c r="Q52" s="450"/>
      <c r="R52" s="538"/>
      <c r="S52" s="450"/>
      <c r="T52" s="538"/>
      <c r="U52" s="450"/>
      <c r="V52" s="538"/>
    </row>
    <row r="53" spans="1:22" s="439" customFormat="1" ht="9.9499999999999993" customHeight="1" x14ac:dyDescent="0.2">
      <c r="A53" s="418"/>
      <c r="D53" s="418" t="s">
        <v>1755</v>
      </c>
      <c r="E53" s="418"/>
      <c r="F53" s="450">
        <f>SUM(F45:F50)-F51</f>
        <v>115263</v>
      </c>
      <c r="G53" s="450"/>
      <c r="H53" s="450">
        <f>SUM(H45:H50)-H51</f>
        <v>12041</v>
      </c>
      <c r="I53" s="450"/>
      <c r="J53" s="450">
        <f>SUM(J45:J50)-J51</f>
        <v>368196</v>
      </c>
      <c r="K53" s="450"/>
      <c r="L53" s="455">
        <f>SUM(L45:L50)-L51</f>
        <v>0</v>
      </c>
      <c r="M53" s="450"/>
      <c r="N53" s="455"/>
      <c r="O53" s="450"/>
      <c r="P53" s="455"/>
      <c r="Q53" s="450"/>
      <c r="R53" s="455"/>
      <c r="S53" s="450"/>
      <c r="T53" s="455"/>
      <c r="U53" s="450"/>
      <c r="V53" s="455">
        <f>SUM(V45:V50)-V51</f>
        <v>495500</v>
      </c>
    </row>
    <row r="54" spans="1:22" s="439" customFormat="1" ht="5.0999999999999996" customHeight="1" x14ac:dyDescent="0.2">
      <c r="A54" s="417"/>
      <c r="B54" s="418"/>
      <c r="C54" s="418"/>
      <c r="D54" s="417"/>
      <c r="E54" s="418"/>
      <c r="F54" s="664"/>
      <c r="G54" s="450"/>
      <c r="H54" s="664"/>
      <c r="I54" s="450"/>
      <c r="J54" s="1557"/>
      <c r="K54" s="450"/>
      <c r="L54" s="538"/>
      <c r="M54" s="450"/>
      <c r="N54" s="538"/>
      <c r="O54" s="450"/>
      <c r="P54" s="538"/>
      <c r="Q54" s="450"/>
      <c r="R54" s="538"/>
      <c r="S54" s="450"/>
      <c r="T54" s="538"/>
      <c r="U54" s="450"/>
      <c r="V54" s="538"/>
    </row>
    <row r="55" spans="1:22" ht="9.9499999999999993" customHeight="1" x14ac:dyDescent="0.2">
      <c r="D55" s="418" t="s">
        <v>1614</v>
      </c>
      <c r="F55" s="437">
        <v>2344</v>
      </c>
      <c r="V55" s="450">
        <f t="shared" ref="V55:V56" si="10">SUM(F55:U55)</f>
        <v>2344</v>
      </c>
    </row>
    <row r="56" spans="1:22" s="439" customFormat="1" ht="9.9499999999999993" customHeight="1" x14ac:dyDescent="0.2">
      <c r="A56" s="418"/>
      <c r="D56" s="425" t="s">
        <v>1585</v>
      </c>
      <c r="E56" s="418"/>
      <c r="F56" s="450">
        <v>150</v>
      </c>
      <c r="G56" s="450"/>
      <c r="H56" s="450"/>
      <c r="I56" s="450"/>
      <c r="J56" s="1246"/>
      <c r="K56" s="450"/>
      <c r="L56" s="450"/>
      <c r="M56" s="450"/>
      <c r="N56" s="450"/>
      <c r="O56" s="450"/>
      <c r="P56" s="450"/>
      <c r="Q56" s="450"/>
      <c r="R56" s="450"/>
      <c r="S56" s="450"/>
      <c r="T56" s="450"/>
      <c r="U56" s="450"/>
      <c r="V56" s="450">
        <f t="shared" si="10"/>
        <v>150</v>
      </c>
    </row>
    <row r="57" spans="1:22" s="439" customFormat="1" ht="5.0999999999999996" customHeight="1" x14ac:dyDescent="0.2">
      <c r="A57" s="418"/>
      <c r="D57" s="418"/>
      <c r="E57" s="418"/>
      <c r="F57" s="452"/>
      <c r="G57" s="450"/>
      <c r="H57" s="452"/>
      <c r="I57" s="450"/>
      <c r="J57" s="1449"/>
      <c r="K57" s="450"/>
      <c r="L57" s="452"/>
      <c r="M57" s="450"/>
      <c r="N57" s="450"/>
      <c r="O57" s="450"/>
      <c r="P57" s="450"/>
      <c r="Q57" s="450"/>
      <c r="R57" s="450"/>
      <c r="S57" s="450"/>
      <c r="T57" s="450"/>
      <c r="U57" s="450"/>
      <c r="V57" s="452"/>
    </row>
    <row r="58" spans="1:22" s="439" customFormat="1" ht="9.9499999999999993" customHeight="1" x14ac:dyDescent="0.2">
      <c r="A58" s="418"/>
      <c r="D58" s="418" t="s">
        <v>1612</v>
      </c>
      <c r="E58" s="418"/>
      <c r="F58" s="450">
        <f>+F55-F56</f>
        <v>2194</v>
      </c>
      <c r="G58" s="450"/>
      <c r="H58" s="450">
        <f>+H55-H56</f>
        <v>0</v>
      </c>
      <c r="I58" s="450"/>
      <c r="J58" s="450">
        <f>+J55-J56</f>
        <v>0</v>
      </c>
      <c r="K58" s="450"/>
      <c r="L58" s="450">
        <f>+L55-L56</f>
        <v>0</v>
      </c>
      <c r="M58" s="450"/>
      <c r="N58" s="450"/>
      <c r="O58" s="450"/>
      <c r="P58" s="450"/>
      <c r="Q58" s="450"/>
      <c r="R58" s="450"/>
      <c r="S58" s="450"/>
      <c r="T58" s="450"/>
      <c r="U58" s="450"/>
      <c r="V58" s="450">
        <f>+V55-V56</f>
        <v>2194</v>
      </c>
    </row>
    <row r="59" spans="1:22" s="439" customFormat="1" ht="5.0999999999999996" customHeight="1" x14ac:dyDescent="0.2">
      <c r="A59" s="418"/>
      <c r="D59" s="418"/>
      <c r="E59" s="418"/>
      <c r="F59" s="452"/>
      <c r="G59" s="450"/>
      <c r="H59" s="452"/>
      <c r="I59" s="450"/>
      <c r="J59" s="1449"/>
      <c r="K59" s="450"/>
      <c r="L59" s="452"/>
      <c r="M59" s="450"/>
      <c r="N59" s="450"/>
      <c r="O59" s="450"/>
      <c r="P59" s="450"/>
      <c r="Q59" s="450"/>
      <c r="R59" s="450"/>
      <c r="S59" s="450"/>
      <c r="T59" s="450"/>
      <c r="U59" s="450"/>
      <c r="V59" s="452"/>
    </row>
    <row r="60" spans="1:22" s="439" customFormat="1" ht="9.9499999999999993" customHeight="1" x14ac:dyDescent="0.2">
      <c r="A60" s="418"/>
      <c r="D60" s="418" t="s">
        <v>1645</v>
      </c>
      <c r="E60" s="418"/>
      <c r="F60" s="450">
        <v>255</v>
      </c>
      <c r="G60" s="450"/>
      <c r="H60" s="450"/>
      <c r="I60" s="450"/>
      <c r="J60" s="1246"/>
      <c r="K60" s="450"/>
      <c r="L60" s="450"/>
      <c r="M60" s="450"/>
      <c r="N60" s="450"/>
      <c r="O60" s="450"/>
      <c r="P60" s="450"/>
      <c r="Q60" s="450"/>
      <c r="R60" s="450"/>
      <c r="S60" s="450"/>
      <c r="T60" s="450"/>
      <c r="U60" s="450"/>
      <c r="V60" s="450">
        <f t="shared" ref="V60:V61" si="11">SUM(F60:U60)</f>
        <v>255</v>
      </c>
    </row>
    <row r="61" spans="1:22" s="439" customFormat="1" ht="9.9499999999999993" customHeight="1" x14ac:dyDescent="0.2">
      <c r="A61" s="418"/>
      <c r="D61" s="425" t="s">
        <v>1585</v>
      </c>
      <c r="E61" s="418"/>
      <c r="F61" s="450">
        <v>162</v>
      </c>
      <c r="G61" s="450"/>
      <c r="H61" s="450"/>
      <c r="I61" s="450"/>
      <c r="J61" s="1246"/>
      <c r="K61" s="450"/>
      <c r="L61" s="450"/>
      <c r="M61" s="450"/>
      <c r="N61" s="450"/>
      <c r="O61" s="450"/>
      <c r="P61" s="450"/>
      <c r="Q61" s="450"/>
      <c r="R61" s="450"/>
      <c r="S61" s="450"/>
      <c r="T61" s="450"/>
      <c r="U61" s="450"/>
      <c r="V61" s="450">
        <f t="shared" si="11"/>
        <v>162</v>
      </c>
    </row>
    <row r="62" spans="1:22" s="439" customFormat="1" ht="5.0999999999999996" customHeight="1" x14ac:dyDescent="0.2">
      <c r="A62" s="418"/>
      <c r="D62" s="418"/>
      <c r="E62" s="418"/>
      <c r="F62" s="452"/>
      <c r="G62" s="450"/>
      <c r="H62" s="452"/>
      <c r="I62" s="450"/>
      <c r="J62" s="1449"/>
      <c r="K62" s="450"/>
      <c r="L62" s="452"/>
      <c r="M62" s="450"/>
      <c r="N62" s="450"/>
      <c r="O62" s="450"/>
      <c r="P62" s="450"/>
      <c r="Q62" s="450"/>
      <c r="R62" s="450"/>
      <c r="S62" s="450"/>
      <c r="T62" s="450"/>
      <c r="U62" s="450"/>
      <c r="V62" s="452"/>
    </row>
    <row r="63" spans="1:22" s="439" customFormat="1" ht="9.9499999999999993" customHeight="1" x14ac:dyDescent="0.2">
      <c r="A63" s="418"/>
      <c r="D63" s="418" t="s">
        <v>1644</v>
      </c>
      <c r="E63" s="418"/>
      <c r="F63" s="450">
        <f>+F60-F61</f>
        <v>93</v>
      </c>
      <c r="G63" s="450"/>
      <c r="H63" s="450">
        <f>+H60-H61</f>
        <v>0</v>
      </c>
      <c r="I63" s="450"/>
      <c r="J63" s="450">
        <f>+J60-J61</f>
        <v>0</v>
      </c>
      <c r="K63" s="450"/>
      <c r="L63" s="450">
        <f>+L60-L61</f>
        <v>0</v>
      </c>
      <c r="M63" s="450"/>
      <c r="N63" s="450"/>
      <c r="O63" s="450"/>
      <c r="P63" s="450"/>
      <c r="Q63" s="450"/>
      <c r="R63" s="450"/>
      <c r="S63" s="450"/>
      <c r="T63" s="450"/>
      <c r="U63" s="450"/>
      <c r="V63" s="450">
        <f>+V60-V61</f>
        <v>93</v>
      </c>
    </row>
    <row r="64" spans="1:22" s="439" customFormat="1" ht="5.0999999999999996" customHeight="1" x14ac:dyDescent="0.2">
      <c r="A64" s="418"/>
      <c r="D64" s="418"/>
      <c r="E64" s="418"/>
      <c r="F64" s="452"/>
      <c r="G64" s="450"/>
      <c r="H64" s="452"/>
      <c r="I64" s="450"/>
      <c r="J64" s="1449"/>
      <c r="K64" s="450"/>
      <c r="L64" s="452"/>
      <c r="M64" s="450"/>
      <c r="N64" s="450"/>
      <c r="O64" s="450"/>
      <c r="P64" s="450"/>
      <c r="Q64" s="450"/>
      <c r="R64" s="450"/>
      <c r="S64" s="450"/>
      <c r="T64" s="450"/>
      <c r="U64" s="450"/>
      <c r="V64" s="452"/>
    </row>
    <row r="65" spans="1:22" s="439" customFormat="1" ht="9.9499999999999993" customHeight="1" x14ac:dyDescent="0.2">
      <c r="A65" s="418"/>
      <c r="C65" s="417" t="s">
        <v>78</v>
      </c>
      <c r="D65" s="417"/>
      <c r="E65" s="418"/>
      <c r="F65" s="1246">
        <f>+F53+F58+F63</f>
        <v>117550</v>
      </c>
      <c r="G65" s="450"/>
      <c r="H65" s="1246">
        <f>+H53+H58+H63</f>
        <v>12041</v>
      </c>
      <c r="I65" s="450"/>
      <c r="J65" s="1246">
        <f>+J53+J58+J63</f>
        <v>368196</v>
      </c>
      <c r="K65" s="450"/>
      <c r="L65" s="1246">
        <f>+L53+L58+L63</f>
        <v>0</v>
      </c>
      <c r="M65" s="450"/>
      <c r="N65" s="450">
        <f>SUM(N45:N50)</f>
        <v>0</v>
      </c>
      <c r="O65" s="450"/>
      <c r="P65" s="450">
        <f>SUM(P45:P50)</f>
        <v>0</v>
      </c>
      <c r="Q65" s="450"/>
      <c r="R65" s="450">
        <f>SUM(R45:R50)</f>
        <v>0</v>
      </c>
      <c r="S65" s="450"/>
      <c r="T65" s="450">
        <f>SUM(T45:T50)</f>
        <v>0</v>
      </c>
      <c r="U65" s="450"/>
      <c r="V65" s="1246">
        <f>+V53+V58+V63</f>
        <v>497787</v>
      </c>
    </row>
    <row r="66" spans="1:22" s="439" customFormat="1" ht="5.0999999999999996" customHeight="1" x14ac:dyDescent="0.2">
      <c r="A66" s="418"/>
      <c r="D66" s="418"/>
      <c r="E66" s="418"/>
      <c r="F66" s="452"/>
      <c r="G66" s="450"/>
      <c r="H66" s="452"/>
      <c r="I66" s="450"/>
      <c r="J66" s="1449"/>
      <c r="K66" s="450"/>
      <c r="L66" s="452"/>
      <c r="M66" s="450"/>
      <c r="N66" s="450"/>
      <c r="O66" s="450"/>
      <c r="P66" s="450"/>
      <c r="Q66" s="450"/>
      <c r="R66" s="450"/>
      <c r="S66" s="450"/>
      <c r="T66" s="450"/>
      <c r="U66" s="450"/>
      <c r="V66" s="452"/>
    </row>
    <row r="67" spans="1:22" s="439" customFormat="1" ht="9.9499999999999993" customHeight="1" x14ac:dyDescent="0.2">
      <c r="A67" s="418"/>
      <c r="C67" s="417" t="s">
        <v>287</v>
      </c>
      <c r="E67" s="418"/>
      <c r="F67" s="450"/>
      <c r="G67" s="450"/>
      <c r="H67" s="450"/>
      <c r="I67" s="450"/>
      <c r="J67" s="1246"/>
      <c r="K67" s="450"/>
      <c r="L67" s="450"/>
      <c r="M67" s="450"/>
      <c r="N67" s="450"/>
      <c r="O67" s="450"/>
      <c r="P67" s="450"/>
      <c r="Q67" s="450"/>
      <c r="R67" s="450"/>
      <c r="S67" s="450"/>
      <c r="T67" s="450"/>
      <c r="U67" s="450"/>
      <c r="V67" s="450"/>
    </row>
    <row r="68" spans="1:22" s="439" customFormat="1" ht="9.9499999999999993" customHeight="1" x14ac:dyDescent="0.2">
      <c r="A68" s="418"/>
      <c r="C68" s="417"/>
      <c r="D68" s="398" t="s">
        <v>673</v>
      </c>
      <c r="E68" s="418"/>
      <c r="F68" s="450"/>
      <c r="G68" s="450"/>
      <c r="H68" s="450"/>
      <c r="I68" s="450"/>
      <c r="J68" s="1246"/>
      <c r="K68" s="450"/>
      <c r="L68" s="450">
        <v>5163</v>
      </c>
      <c r="M68" s="450"/>
      <c r="N68" s="450"/>
      <c r="O68" s="450"/>
      <c r="P68" s="450"/>
      <c r="Q68" s="450"/>
      <c r="R68" s="450"/>
      <c r="S68" s="450"/>
      <c r="T68" s="450"/>
      <c r="U68" s="450"/>
      <c r="V68" s="450">
        <f>SUM(F68:U68)</f>
        <v>5163</v>
      </c>
    </row>
    <row r="69" spans="1:22" s="439" customFormat="1" ht="9.9499999999999993" customHeight="1" x14ac:dyDescent="0.2">
      <c r="A69" s="418"/>
      <c r="C69" s="417"/>
      <c r="D69" s="398" t="s">
        <v>674</v>
      </c>
      <c r="E69" s="418"/>
      <c r="F69" s="450"/>
      <c r="G69" s="450"/>
      <c r="H69" s="450"/>
      <c r="I69" s="450"/>
      <c r="J69" s="1246"/>
      <c r="K69" s="450"/>
      <c r="L69" s="450">
        <v>51243</v>
      </c>
      <c r="M69" s="450"/>
      <c r="N69" s="450"/>
      <c r="O69" s="450"/>
      <c r="P69" s="450"/>
      <c r="Q69" s="450"/>
      <c r="R69" s="450"/>
      <c r="S69" s="450"/>
      <c r="T69" s="450"/>
      <c r="U69" s="450"/>
      <c r="V69" s="450">
        <f>SUM(F69:U69)</f>
        <v>51243</v>
      </c>
    </row>
    <row r="70" spans="1:22" s="439" customFormat="1" ht="9.9499999999999993" customHeight="1" x14ac:dyDescent="0.2">
      <c r="A70" s="418"/>
      <c r="C70" s="418"/>
      <c r="D70" s="398" t="s">
        <v>252</v>
      </c>
      <c r="E70" s="418"/>
      <c r="F70" s="450"/>
      <c r="G70" s="450"/>
      <c r="H70" s="450"/>
      <c r="I70" s="450"/>
      <c r="J70" s="1246">
        <v>687</v>
      </c>
      <c r="K70" s="450"/>
      <c r="L70" s="450">
        <v>34</v>
      </c>
      <c r="M70" s="450"/>
      <c r="N70" s="450"/>
      <c r="O70" s="450"/>
      <c r="P70" s="450"/>
      <c r="Q70" s="450"/>
      <c r="R70" s="450"/>
      <c r="S70" s="450"/>
      <c r="T70" s="450"/>
      <c r="U70" s="450"/>
      <c r="V70" s="450">
        <f>SUM(F70:U70)</f>
        <v>721</v>
      </c>
    </row>
    <row r="71" spans="1:22" s="439" customFormat="1" ht="9.9499999999999993" customHeight="1" x14ac:dyDescent="0.2">
      <c r="A71" s="418"/>
      <c r="C71" s="418"/>
      <c r="D71" s="398" t="s">
        <v>679</v>
      </c>
      <c r="E71" s="418"/>
      <c r="F71" s="450"/>
      <c r="G71" s="450"/>
      <c r="H71" s="450"/>
      <c r="I71" s="450"/>
      <c r="J71" s="1246">
        <v>5099</v>
      </c>
      <c r="K71" s="450"/>
      <c r="L71" s="450">
        <v>47266</v>
      </c>
      <c r="M71" s="450"/>
      <c r="N71" s="450"/>
      <c r="O71" s="450"/>
      <c r="P71" s="450"/>
      <c r="Q71" s="450"/>
      <c r="R71" s="450"/>
      <c r="S71" s="450"/>
      <c r="T71" s="450"/>
      <c r="U71" s="450"/>
      <c r="V71" s="450">
        <f>SUM(F71:U71)</f>
        <v>52365</v>
      </c>
    </row>
    <row r="72" spans="1:22" s="439" customFormat="1" ht="9.9499999999999993" customHeight="1" x14ac:dyDescent="0.2">
      <c r="A72" s="418"/>
      <c r="C72" s="418"/>
      <c r="D72" s="398" t="s">
        <v>1575</v>
      </c>
      <c r="E72" s="418"/>
      <c r="F72" s="450">
        <v>63412</v>
      </c>
      <c r="G72" s="450"/>
      <c r="H72" s="450">
        <v>3856</v>
      </c>
      <c r="I72" s="450"/>
      <c r="J72" s="1246">
        <v>146219</v>
      </c>
      <c r="K72" s="450"/>
      <c r="L72" s="450"/>
      <c r="M72" s="450"/>
      <c r="N72" s="450"/>
      <c r="O72" s="450"/>
      <c r="P72" s="450"/>
      <c r="Q72" s="450"/>
      <c r="R72" s="450"/>
      <c r="S72" s="450"/>
      <c r="T72" s="450"/>
      <c r="U72" s="450"/>
      <c r="V72" s="450">
        <f t="shared" ref="V72" si="12">SUM(F72:U72)</f>
        <v>213487</v>
      </c>
    </row>
    <row r="73" spans="1:22" s="439" customFormat="1" ht="9.9499999999999993" customHeight="1" x14ac:dyDescent="0.2">
      <c r="A73" s="418"/>
      <c r="C73" s="417" t="s">
        <v>288</v>
      </c>
      <c r="D73" s="644"/>
      <c r="E73" s="418"/>
      <c r="F73" s="666">
        <f>SUM(F70:F72)</f>
        <v>63412</v>
      </c>
      <c r="G73" s="450"/>
      <c r="H73" s="666">
        <f>SUM(H70:H72)</f>
        <v>3856</v>
      </c>
      <c r="I73" s="450"/>
      <c r="J73" s="1276">
        <f>SUM(J68:J72)</f>
        <v>152005</v>
      </c>
      <c r="K73" s="450"/>
      <c r="L73" s="666">
        <f>SUM(L68:L72)</f>
        <v>103706</v>
      </c>
      <c r="M73" s="450"/>
      <c r="N73" s="666">
        <f>SUM(N70:N72)</f>
        <v>0</v>
      </c>
      <c r="O73" s="450"/>
      <c r="P73" s="666">
        <f>SUM(P70:P72)</f>
        <v>0</v>
      </c>
      <c r="Q73" s="450"/>
      <c r="R73" s="666">
        <f>SUM(R70:R72)</f>
        <v>0</v>
      </c>
      <c r="S73" s="450"/>
      <c r="T73" s="666">
        <f>SUM(T70:T72)</f>
        <v>0</v>
      </c>
      <c r="U73" s="450"/>
      <c r="V73" s="666">
        <f>SUM(V68:V72)</f>
        <v>322979</v>
      </c>
    </row>
    <row r="74" spans="1:22" s="439" customFormat="1" ht="9.9499999999999993" customHeight="1" x14ac:dyDescent="0.2">
      <c r="A74" s="418"/>
      <c r="B74" s="417" t="s">
        <v>976</v>
      </c>
      <c r="C74" s="417"/>
      <c r="D74" s="644"/>
      <c r="E74" s="418"/>
      <c r="F74" s="666">
        <f>+F65+F73</f>
        <v>180962</v>
      </c>
      <c r="G74" s="450"/>
      <c r="H74" s="666">
        <f>+H65+H73</f>
        <v>15897</v>
      </c>
      <c r="I74" s="450"/>
      <c r="J74" s="666">
        <f>+J65+J73</f>
        <v>520201</v>
      </c>
      <c r="K74" s="450"/>
      <c r="L74" s="666">
        <f>+L65+L73</f>
        <v>103706</v>
      </c>
      <c r="M74" s="450"/>
      <c r="N74" s="666" t="e">
        <f>+N73+#REF!</f>
        <v>#REF!</v>
      </c>
      <c r="O74" s="450"/>
      <c r="P74" s="666" t="e">
        <f>+P73+#REF!</f>
        <v>#REF!</v>
      </c>
      <c r="Q74" s="450"/>
      <c r="R74" s="666" t="e">
        <f>+R73+#REF!</f>
        <v>#REF!</v>
      </c>
      <c r="S74" s="450"/>
      <c r="T74" s="666" t="e">
        <f>+T73+#REF!</f>
        <v>#REF!</v>
      </c>
      <c r="U74" s="450"/>
      <c r="V74" s="666">
        <f>+V65+V73</f>
        <v>820766</v>
      </c>
    </row>
    <row r="75" spans="1:22" s="439" customFormat="1" ht="9.9499999999999993" customHeight="1" x14ac:dyDescent="0.2">
      <c r="A75" s="417" t="s">
        <v>687</v>
      </c>
      <c r="B75" s="418"/>
      <c r="C75" s="418"/>
      <c r="D75" s="417"/>
      <c r="E75" s="418"/>
      <c r="F75" s="667">
        <f>+F41+F74</f>
        <v>206594</v>
      </c>
      <c r="G75" s="450"/>
      <c r="H75" s="667">
        <f>+H41+H74</f>
        <v>18425</v>
      </c>
      <c r="I75" s="450"/>
      <c r="J75" s="667">
        <f>+J41+J74</f>
        <v>599774</v>
      </c>
      <c r="K75" s="450"/>
      <c r="L75" s="667">
        <f>+L41+L74</f>
        <v>149914</v>
      </c>
      <c r="M75" s="450"/>
      <c r="N75" s="667" t="e">
        <f>SUM(N74+N41)</f>
        <v>#REF!</v>
      </c>
      <c r="O75" s="450"/>
      <c r="P75" s="667" t="e">
        <f>SUM(P74+P41)</f>
        <v>#REF!</v>
      </c>
      <c r="Q75" s="450"/>
      <c r="R75" s="667" t="e">
        <f>SUM(R74+R41)</f>
        <v>#REF!</v>
      </c>
      <c r="S75" s="450"/>
      <c r="T75" s="455" t="e">
        <f>SUM(T74+T41)</f>
        <v>#REF!</v>
      </c>
      <c r="U75" s="450"/>
      <c r="V75" s="667">
        <f>+V41+V74</f>
        <v>974707</v>
      </c>
    </row>
    <row r="76" spans="1:22" s="439" customFormat="1" ht="5.0999999999999996" customHeight="1" x14ac:dyDescent="0.2">
      <c r="A76" s="417"/>
      <c r="B76" s="418"/>
      <c r="C76" s="418"/>
      <c r="D76" s="417"/>
      <c r="E76" s="418"/>
      <c r="F76" s="538"/>
      <c r="G76" s="450"/>
      <c r="H76" s="538"/>
      <c r="I76" s="450"/>
      <c r="J76" s="1335"/>
      <c r="K76" s="450"/>
      <c r="L76" s="538"/>
      <c r="M76" s="450"/>
      <c r="N76" s="538"/>
      <c r="O76" s="450"/>
      <c r="P76" s="538"/>
      <c r="Q76" s="450"/>
      <c r="R76" s="538"/>
      <c r="S76" s="450"/>
      <c r="T76" s="538"/>
      <c r="U76" s="450"/>
      <c r="V76" s="538"/>
    </row>
    <row r="77" spans="1:22" s="439" customFormat="1" ht="9.9499999999999993" customHeight="1" x14ac:dyDescent="0.2">
      <c r="A77" s="417" t="s">
        <v>1132</v>
      </c>
      <c r="B77" s="418"/>
      <c r="C77" s="418"/>
      <c r="D77" s="417"/>
      <c r="E77" s="418"/>
      <c r="F77" s="455">
        <v>72</v>
      </c>
      <c r="G77" s="450"/>
      <c r="H77" s="906"/>
      <c r="I77" s="450"/>
      <c r="J77" s="1335">
        <v>2637</v>
      </c>
      <c r="K77" s="450"/>
      <c r="L77" s="906"/>
      <c r="M77" s="450"/>
      <c r="N77" s="906"/>
      <c r="O77" s="450"/>
      <c r="P77" s="906"/>
      <c r="Q77" s="450"/>
      <c r="R77" s="906"/>
      <c r="S77" s="450"/>
      <c r="T77" s="906"/>
      <c r="U77" s="450"/>
      <c r="V77" s="906">
        <f>SUM(F77:U77)</f>
        <v>2709</v>
      </c>
    </row>
    <row r="78" spans="1:22" s="439" customFormat="1" ht="9.9499999999999993" customHeight="1" x14ac:dyDescent="0.2">
      <c r="A78" s="417"/>
      <c r="B78" s="418"/>
      <c r="C78" s="418"/>
      <c r="D78" s="417"/>
      <c r="E78" s="418"/>
      <c r="F78" s="450"/>
      <c r="G78" s="450"/>
      <c r="H78" s="538"/>
      <c r="I78" s="450"/>
      <c r="J78" s="664"/>
      <c r="K78" s="450"/>
      <c r="L78" s="538"/>
      <c r="M78" s="450"/>
      <c r="N78" s="538"/>
      <c r="O78" s="450"/>
      <c r="P78" s="538"/>
      <c r="Q78" s="450"/>
      <c r="R78" s="538"/>
      <c r="S78" s="450"/>
      <c r="T78" s="538"/>
      <c r="U78" s="450"/>
      <c r="V78" s="538"/>
    </row>
    <row r="79" spans="1:22" s="439" customFormat="1" ht="9.9499999999999993" hidden="1" customHeight="1" x14ac:dyDescent="0.2">
      <c r="A79" s="417"/>
      <c r="B79" s="418"/>
      <c r="C79" s="418"/>
      <c r="D79" s="417"/>
      <c r="E79" s="418"/>
      <c r="F79" s="450"/>
      <c r="G79" s="450"/>
      <c r="H79" s="538"/>
      <c r="I79" s="450"/>
      <c r="J79" s="538"/>
      <c r="K79" s="450"/>
      <c r="L79" s="538"/>
      <c r="M79" s="450"/>
      <c r="N79" s="538"/>
      <c r="O79" s="450"/>
      <c r="P79" s="538"/>
      <c r="Q79" s="450"/>
      <c r="R79" s="538"/>
      <c r="S79" s="450"/>
      <c r="T79" s="538"/>
      <c r="U79" s="450"/>
      <c r="V79" s="538"/>
    </row>
    <row r="80" spans="1:22" s="439" customFormat="1" ht="20.25" hidden="1" thickBot="1" x14ac:dyDescent="0.25">
      <c r="A80" s="519"/>
      <c r="B80" s="519"/>
      <c r="C80" s="519"/>
      <c r="D80" s="519"/>
      <c r="E80" s="519"/>
      <c r="F80" s="519"/>
      <c r="G80" s="519"/>
      <c r="H80" s="519"/>
      <c r="I80" s="519"/>
      <c r="J80" s="519"/>
      <c r="K80" s="1582" t="s">
        <v>1033</v>
      </c>
      <c r="L80" s="1582"/>
      <c r="M80" s="1582"/>
      <c r="N80" s="1582"/>
      <c r="O80" s="1582"/>
      <c r="P80" s="1582"/>
      <c r="Q80" s="1582"/>
      <c r="R80" s="1582"/>
      <c r="S80" s="1582"/>
      <c r="T80" s="1582"/>
      <c r="U80" s="1582"/>
      <c r="V80" s="1582"/>
    </row>
    <row r="81" spans="1:31" s="531" customFormat="1" ht="17.25" hidden="1" customHeight="1" x14ac:dyDescent="0.2">
      <c r="A81" s="700" t="s">
        <v>1118</v>
      </c>
      <c r="F81" s="722"/>
      <c r="G81" s="722"/>
      <c r="H81" s="722"/>
      <c r="I81" s="722"/>
      <c r="J81" s="722"/>
      <c r="K81" s="700"/>
      <c r="L81" s="722"/>
      <c r="N81" s="722"/>
      <c r="O81" s="722"/>
      <c r="P81" s="722"/>
      <c r="Q81" s="722"/>
      <c r="R81" s="722"/>
      <c r="S81" s="722"/>
      <c r="T81" s="722"/>
      <c r="U81" s="722"/>
      <c r="V81" s="722"/>
      <c r="W81" s="716"/>
    </row>
    <row r="82" spans="1:31" s="531" customFormat="1" ht="17.25" hidden="1" customHeight="1" x14ac:dyDescent="0.2">
      <c r="A82" s="700" t="s">
        <v>89</v>
      </c>
      <c r="F82" s="722"/>
      <c r="G82" s="722"/>
      <c r="H82" s="722"/>
      <c r="I82" s="722"/>
      <c r="J82" s="722"/>
      <c r="K82" s="700"/>
      <c r="L82" s="722"/>
      <c r="N82" s="722"/>
      <c r="O82" s="722"/>
      <c r="P82" s="722"/>
      <c r="Q82" s="722"/>
      <c r="R82" s="722"/>
      <c r="S82" s="722"/>
      <c r="T82" s="722"/>
      <c r="U82" s="722"/>
      <c r="V82" s="722"/>
      <c r="W82" s="716"/>
      <c r="Y82" s="531" t="s">
        <v>689</v>
      </c>
      <c r="AC82" s="531">
        <v>37061</v>
      </c>
      <c r="AE82" s="531">
        <v>1634.7180000000001</v>
      </c>
    </row>
    <row r="83" spans="1:31" s="532" customFormat="1" ht="14.85" hidden="1" customHeight="1" x14ac:dyDescent="0.2">
      <c r="A83" s="506" t="s">
        <v>1724</v>
      </c>
      <c r="B83" s="506"/>
      <c r="C83" s="506"/>
      <c r="D83" s="506"/>
      <c r="F83" s="733"/>
      <c r="G83" s="733"/>
      <c r="H83" s="733"/>
      <c r="I83" s="733"/>
      <c r="J83" s="733"/>
      <c r="K83" s="506"/>
      <c r="L83" s="733"/>
      <c r="M83" s="506"/>
      <c r="N83" s="506"/>
      <c r="O83" s="506"/>
      <c r="P83" s="506"/>
      <c r="Q83" s="506"/>
      <c r="R83" s="506"/>
      <c r="S83" s="506"/>
      <c r="T83" s="506"/>
      <c r="U83" s="733"/>
      <c r="V83" s="733"/>
      <c r="W83" s="736"/>
      <c r="Y83" s="532" t="s">
        <v>1037</v>
      </c>
      <c r="AC83" s="532">
        <v>13857</v>
      </c>
      <c r="AE83" s="532">
        <v>1340</v>
      </c>
    </row>
    <row r="84" spans="1:31" s="317" customFormat="1" ht="14.1" hidden="1" customHeight="1" x14ac:dyDescent="0.2">
      <c r="A84" s="738" t="s">
        <v>972</v>
      </c>
      <c r="B84" s="718"/>
      <c r="C84" s="718"/>
      <c r="D84" s="718"/>
      <c r="E84" s="718"/>
      <c r="K84" s="738"/>
      <c r="Y84" s="317" t="s">
        <v>694</v>
      </c>
      <c r="AA84" s="317">
        <v>208810</v>
      </c>
      <c r="AC84" s="317">
        <v>57850</v>
      </c>
      <c r="AE84" s="317">
        <v>6825</v>
      </c>
    </row>
    <row r="85" spans="1:31" s="317" customFormat="1" ht="14.1" hidden="1" customHeight="1" x14ac:dyDescent="0.2">
      <c r="A85" s="738"/>
      <c r="B85" s="718"/>
      <c r="C85" s="718"/>
      <c r="D85" s="718"/>
      <c r="E85" s="718"/>
      <c r="K85" s="738"/>
    </row>
    <row r="86" spans="1:31" s="317" customFormat="1" ht="14.1" hidden="1" customHeight="1" x14ac:dyDescent="0.2">
      <c r="A86" s="738"/>
      <c r="B86" s="718"/>
      <c r="C86" s="718"/>
      <c r="D86" s="718"/>
      <c r="E86" s="718"/>
      <c r="H86" s="310"/>
      <c r="K86" s="738"/>
      <c r="Y86" s="317">
        <v>392826</v>
      </c>
    </row>
    <row r="87" spans="1:31" s="470" customFormat="1" ht="12" hidden="1" customHeight="1" x14ac:dyDescent="0.2">
      <c r="A87" s="310"/>
      <c r="B87" s="310"/>
      <c r="C87" s="310"/>
      <c r="D87" s="310"/>
      <c r="E87" s="310"/>
      <c r="F87" s="468"/>
      <c r="G87" s="467"/>
      <c r="H87" s="310" t="s">
        <v>1328</v>
      </c>
      <c r="I87" s="467"/>
      <c r="J87" s="310" t="s">
        <v>8</v>
      </c>
      <c r="L87" s="467" t="s">
        <v>49</v>
      </c>
      <c r="M87" s="336"/>
      <c r="N87" s="310" t="s">
        <v>437</v>
      </c>
      <c r="O87" s="336"/>
      <c r="P87" s="310" t="s">
        <v>437</v>
      </c>
      <c r="Q87" s="336"/>
      <c r="R87" s="310" t="s">
        <v>437</v>
      </c>
      <c r="S87" s="467"/>
      <c r="T87" s="310" t="s">
        <v>437</v>
      </c>
      <c r="U87" s="468"/>
      <c r="V87" s="467" t="s">
        <v>671</v>
      </c>
      <c r="W87" s="469"/>
    </row>
    <row r="88" spans="1:31" s="470" customFormat="1" ht="12" hidden="1" customHeight="1" x14ac:dyDescent="0.2">
      <c r="A88" s="310"/>
      <c r="B88" s="310"/>
      <c r="C88" s="310"/>
      <c r="D88" s="310"/>
      <c r="E88" s="310"/>
      <c r="F88" s="467"/>
      <c r="G88" s="467"/>
      <c r="H88" s="467" t="s">
        <v>1326</v>
      </c>
      <c r="I88" s="467"/>
      <c r="J88" s="467" t="s">
        <v>444</v>
      </c>
      <c r="L88" s="467" t="s">
        <v>721</v>
      </c>
      <c r="M88" s="467"/>
      <c r="N88" s="467" t="s">
        <v>438</v>
      </c>
      <c r="O88" s="467"/>
      <c r="P88" s="467" t="s">
        <v>438</v>
      </c>
      <c r="Q88" s="467"/>
      <c r="R88" s="310" t="s">
        <v>438</v>
      </c>
      <c r="S88" s="467"/>
      <c r="T88" s="310" t="s">
        <v>1305</v>
      </c>
      <c r="U88" s="467"/>
      <c r="V88" s="467" t="s">
        <v>1064</v>
      </c>
      <c r="W88" s="469"/>
      <c r="Y88" s="470">
        <v>24181</v>
      </c>
    </row>
    <row r="89" spans="1:31" s="470" customFormat="1" ht="12" hidden="1" customHeight="1" x14ac:dyDescent="0.2">
      <c r="A89" s="310"/>
      <c r="B89" s="310"/>
      <c r="C89" s="310"/>
      <c r="D89" s="310"/>
      <c r="E89" s="310"/>
      <c r="F89" s="467"/>
      <c r="G89" s="467"/>
      <c r="H89" s="467" t="s">
        <v>1174</v>
      </c>
      <c r="I89" s="467"/>
      <c r="J89" s="467" t="s">
        <v>245</v>
      </c>
      <c r="L89" s="467" t="s">
        <v>1174</v>
      </c>
      <c r="M89" s="467"/>
      <c r="N89" s="467" t="s">
        <v>215</v>
      </c>
      <c r="O89" s="467"/>
      <c r="P89" s="467" t="s">
        <v>443</v>
      </c>
      <c r="Q89" s="467"/>
      <c r="R89" s="310" t="s">
        <v>1174</v>
      </c>
      <c r="S89" s="467"/>
      <c r="T89" s="310" t="s">
        <v>1306</v>
      </c>
      <c r="U89" s="467"/>
      <c r="V89" s="467" t="s">
        <v>761</v>
      </c>
      <c r="W89" s="469"/>
    </row>
    <row r="90" spans="1:31" s="470" customFormat="1" ht="12" hidden="1" customHeight="1" x14ac:dyDescent="0.2">
      <c r="A90" s="310"/>
      <c r="B90" s="310"/>
      <c r="C90" s="310"/>
      <c r="D90" s="310"/>
      <c r="E90" s="310"/>
      <c r="F90" s="471" t="s">
        <v>345</v>
      </c>
      <c r="G90" s="467"/>
      <c r="H90" s="471" t="s">
        <v>216</v>
      </c>
      <c r="I90" s="467"/>
      <c r="J90" s="471" t="s">
        <v>437</v>
      </c>
      <c r="L90" s="471" t="s">
        <v>216</v>
      </c>
      <c r="M90" s="467"/>
      <c r="N90" s="471" t="s">
        <v>216</v>
      </c>
      <c r="O90" s="467"/>
      <c r="P90" s="471" t="s">
        <v>445</v>
      </c>
      <c r="Q90" s="467"/>
      <c r="R90" s="574" t="s">
        <v>216</v>
      </c>
      <c r="S90" s="467"/>
      <c r="T90" s="574" t="s">
        <v>1307</v>
      </c>
      <c r="U90" s="467"/>
      <c r="V90" s="471" t="s">
        <v>762</v>
      </c>
      <c r="W90" s="469"/>
    </row>
    <row r="91" spans="1:31" s="439" customFormat="1" ht="5.0999999999999996" hidden="1" customHeight="1" x14ac:dyDescent="0.2">
      <c r="A91" s="417"/>
      <c r="B91" s="418"/>
      <c r="C91" s="418"/>
      <c r="D91" s="417"/>
      <c r="E91" s="418"/>
      <c r="F91" s="450"/>
      <c r="G91" s="450"/>
      <c r="H91" s="538"/>
      <c r="I91" s="450"/>
      <c r="J91" s="538"/>
      <c r="K91" s="450"/>
      <c r="L91" s="538"/>
      <c r="M91" s="450"/>
      <c r="N91" s="538"/>
      <c r="O91" s="450"/>
      <c r="P91" s="538"/>
      <c r="Q91" s="450"/>
      <c r="R91" s="538"/>
      <c r="S91" s="450"/>
      <c r="T91" s="538"/>
      <c r="U91" s="450"/>
      <c r="V91" s="538"/>
    </row>
    <row r="92" spans="1:31" s="439" customFormat="1" ht="9.9499999999999993" customHeight="1" x14ac:dyDescent="0.2">
      <c r="A92" s="417" t="s">
        <v>751</v>
      </c>
      <c r="B92" s="418"/>
      <c r="C92" s="418"/>
      <c r="D92" s="417"/>
      <c r="E92" s="418"/>
      <c r="F92" s="450"/>
      <c r="G92" s="450"/>
      <c r="H92" s="450"/>
      <c r="I92" s="450"/>
      <c r="J92" s="450"/>
      <c r="K92" s="450"/>
      <c r="L92" s="450"/>
      <c r="M92" s="450"/>
      <c r="N92" s="450"/>
      <c r="O92" s="450"/>
      <c r="P92" s="450"/>
      <c r="Q92" s="450"/>
      <c r="R92" s="450"/>
      <c r="S92" s="450"/>
      <c r="T92" s="450"/>
      <c r="U92" s="450"/>
      <c r="V92" s="450"/>
      <c r="Y92" s="1010"/>
    </row>
    <row r="93" spans="1:31" s="439" customFormat="1" ht="9.9499999999999993" customHeight="1" x14ac:dyDescent="0.2">
      <c r="A93" s="418"/>
      <c r="B93" s="644" t="s">
        <v>598</v>
      </c>
      <c r="C93" s="418"/>
      <c r="D93" s="417"/>
      <c r="E93" s="418"/>
      <c r="F93" s="450"/>
      <c r="G93" s="450"/>
      <c r="H93" s="450"/>
      <c r="I93" s="450"/>
      <c r="J93" s="450"/>
      <c r="K93" s="450"/>
      <c r="L93" s="450"/>
      <c r="M93" s="450"/>
      <c r="N93" s="450"/>
      <c r="O93" s="450"/>
      <c r="P93" s="450"/>
      <c r="Q93" s="450"/>
      <c r="R93" s="450"/>
      <c r="S93" s="450"/>
      <c r="T93" s="450"/>
      <c r="U93" s="450"/>
      <c r="V93" s="450"/>
      <c r="Y93" s="646">
        <f>771864+1920-456579</f>
        <v>317205</v>
      </c>
    </row>
    <row r="94" spans="1:31" s="439" customFormat="1" ht="9.75" customHeight="1" x14ac:dyDescent="0.2">
      <c r="A94" s="418"/>
      <c r="B94" s="644"/>
      <c r="C94" s="417" t="s">
        <v>758</v>
      </c>
      <c r="D94" s="417"/>
      <c r="E94" s="418"/>
      <c r="F94" s="450"/>
      <c r="G94" s="450"/>
      <c r="H94" s="450"/>
      <c r="I94" s="450"/>
      <c r="J94" s="450"/>
      <c r="K94" s="450"/>
      <c r="L94" s="450"/>
      <c r="M94" s="450"/>
      <c r="N94" s="450"/>
      <c r="O94" s="450"/>
      <c r="P94" s="450"/>
      <c r="Q94" s="450"/>
      <c r="R94" s="450"/>
      <c r="S94" s="450"/>
      <c r="T94" s="450"/>
      <c r="U94" s="450"/>
      <c r="V94" s="450"/>
    </row>
    <row r="95" spans="1:31" s="646" customFormat="1" ht="9.75" customHeight="1" x14ac:dyDescent="0.2">
      <c r="A95" s="533"/>
      <c r="B95" s="533"/>
      <c r="D95" s="398" t="s">
        <v>689</v>
      </c>
      <c r="E95" s="533"/>
      <c r="F95" s="454">
        <f>988+466+627</f>
        <v>2081</v>
      </c>
      <c r="G95" s="454"/>
      <c r="H95" s="1414"/>
      <c r="I95" s="533"/>
      <c r="J95" s="533">
        <v>12944</v>
      </c>
      <c r="K95" s="645"/>
      <c r="L95" s="1414"/>
      <c r="M95" s="533"/>
      <c r="N95" s="533"/>
      <c r="O95" s="538"/>
      <c r="P95" s="533"/>
      <c r="Q95" s="538"/>
      <c r="R95" s="533"/>
      <c r="S95" s="533"/>
      <c r="T95" s="533">
        <v>0</v>
      </c>
      <c r="U95" s="533"/>
      <c r="V95" s="273">
        <f t="shared" ref="V95:V102" si="13">SUM(F95:U95)</f>
        <v>15025</v>
      </c>
    </row>
    <row r="96" spans="1:31" s="439" customFormat="1" ht="9.9499999999999993" customHeight="1" x14ac:dyDescent="0.2">
      <c r="A96" s="418"/>
      <c r="B96" s="418"/>
      <c r="D96" s="398" t="s">
        <v>752</v>
      </c>
      <c r="E96" s="418"/>
      <c r="F96" s="450"/>
      <c r="G96" s="450"/>
      <c r="H96" s="450"/>
      <c r="I96" s="450"/>
      <c r="J96" s="1246">
        <v>2190</v>
      </c>
      <c r="K96" s="450"/>
      <c r="L96" s="450"/>
      <c r="M96" s="450"/>
      <c r="N96" s="450"/>
      <c r="O96" s="450"/>
      <c r="P96" s="450"/>
      <c r="Q96" s="450"/>
      <c r="R96" s="450"/>
      <c r="S96" s="450"/>
      <c r="T96" s="450"/>
      <c r="U96" s="450"/>
      <c r="V96" s="273">
        <f t="shared" si="13"/>
        <v>2190</v>
      </c>
      <c r="Y96" s="1053">
        <f>+Y93-V143</f>
        <v>125253</v>
      </c>
    </row>
    <row r="97" spans="1:24" s="439" customFormat="1" ht="9.9499999999999993" hidden="1" customHeight="1" x14ac:dyDescent="0.2">
      <c r="A97" s="418"/>
      <c r="B97" s="418"/>
      <c r="D97" s="398" t="s">
        <v>846</v>
      </c>
      <c r="E97" s="418"/>
      <c r="F97" s="450"/>
      <c r="G97" s="450"/>
      <c r="H97" s="450"/>
      <c r="I97" s="450"/>
      <c r="J97" s="1246"/>
      <c r="K97" s="450"/>
      <c r="L97" s="450"/>
      <c r="M97" s="450"/>
      <c r="N97" s="450"/>
      <c r="O97" s="450"/>
      <c r="P97" s="450"/>
      <c r="Q97" s="450"/>
      <c r="R97" s="450"/>
      <c r="S97" s="450"/>
      <c r="T97" s="450"/>
      <c r="U97" s="450"/>
      <c r="V97" s="273">
        <f t="shared" si="13"/>
        <v>0</v>
      </c>
    </row>
    <row r="98" spans="1:24" s="439" customFormat="1" ht="9.9499999999999993" hidden="1" customHeight="1" x14ac:dyDescent="0.2">
      <c r="A98" s="418"/>
      <c r="B98" s="418"/>
      <c r="D98" s="398" t="s">
        <v>451</v>
      </c>
      <c r="E98" s="418"/>
      <c r="F98" s="450"/>
      <c r="G98" s="450"/>
      <c r="H98" s="450"/>
      <c r="I98" s="450"/>
      <c r="J98" s="1246">
        <v>0</v>
      </c>
      <c r="K98" s="450"/>
      <c r="L98" s="450"/>
      <c r="M98" s="450"/>
      <c r="N98" s="450"/>
      <c r="O98" s="450"/>
      <c r="P98" s="450"/>
      <c r="Q98" s="450"/>
      <c r="R98" s="450"/>
      <c r="S98" s="450"/>
      <c r="T98" s="450"/>
      <c r="U98" s="450"/>
      <c r="V98" s="273">
        <f t="shared" si="13"/>
        <v>0</v>
      </c>
    </row>
    <row r="99" spans="1:24" s="439" customFormat="1" ht="9.9499999999999993" customHeight="1" x14ac:dyDescent="0.2">
      <c r="A99" s="418"/>
      <c r="B99" s="418"/>
      <c r="D99" s="398" t="s">
        <v>850</v>
      </c>
      <c r="E99" s="418"/>
      <c r="F99" s="450">
        <v>23</v>
      </c>
      <c r="G99" s="450"/>
      <c r="H99" s="450"/>
      <c r="I99" s="450"/>
      <c r="J99" s="1246"/>
      <c r="K99" s="450"/>
      <c r="L99" s="450"/>
      <c r="M99" s="450"/>
      <c r="N99" s="450"/>
      <c r="O99" s="450"/>
      <c r="P99" s="450"/>
      <c r="Q99" s="450"/>
      <c r="R99" s="450"/>
      <c r="S99" s="450"/>
      <c r="T99" s="450"/>
      <c r="U99" s="450"/>
      <c r="V99" s="273">
        <f t="shared" si="13"/>
        <v>23</v>
      </c>
    </row>
    <row r="100" spans="1:24" s="439" customFormat="1" ht="9.9499999999999993" customHeight="1" x14ac:dyDescent="0.2">
      <c r="A100" s="418"/>
      <c r="B100" s="418"/>
      <c r="D100" s="398" t="s">
        <v>1452</v>
      </c>
      <c r="E100" s="418"/>
      <c r="F100" s="450">
        <f>1195+71</f>
        <v>1266</v>
      </c>
      <c r="G100" s="450"/>
      <c r="H100" s="450"/>
      <c r="I100" s="450"/>
      <c r="J100" s="1246">
        <v>5740</v>
      </c>
      <c r="K100" s="450"/>
      <c r="L100" s="450"/>
      <c r="M100" s="450"/>
      <c r="N100" s="450"/>
      <c r="O100" s="450"/>
      <c r="P100" s="450"/>
      <c r="Q100" s="450"/>
      <c r="R100" s="450"/>
      <c r="S100" s="450"/>
      <c r="T100" s="450"/>
      <c r="U100" s="450"/>
      <c r="V100" s="273">
        <f t="shared" si="13"/>
        <v>7006</v>
      </c>
    </row>
    <row r="101" spans="1:24" s="439" customFormat="1" ht="9.9499999999999993" customHeight="1" x14ac:dyDescent="0.2">
      <c r="A101" s="418"/>
      <c r="B101" s="418"/>
      <c r="D101" s="398" t="s">
        <v>1586</v>
      </c>
      <c r="E101" s="418"/>
      <c r="F101" s="450">
        <v>142</v>
      </c>
      <c r="G101" s="450"/>
      <c r="H101" s="450"/>
      <c r="I101" s="450"/>
      <c r="J101" s="1246"/>
      <c r="K101" s="450"/>
      <c r="L101" s="450"/>
      <c r="M101" s="450"/>
      <c r="N101" s="450"/>
      <c r="O101" s="450"/>
      <c r="P101" s="450"/>
      <c r="Q101" s="450"/>
      <c r="R101" s="450"/>
      <c r="S101" s="450"/>
      <c r="T101" s="450"/>
      <c r="U101" s="450"/>
      <c r="V101" s="273">
        <f t="shared" si="13"/>
        <v>142</v>
      </c>
    </row>
    <row r="102" spans="1:24" s="439" customFormat="1" ht="9.9499999999999993" customHeight="1" x14ac:dyDescent="0.2">
      <c r="A102" s="418"/>
      <c r="B102" s="418"/>
      <c r="D102" s="398" t="s">
        <v>1647</v>
      </c>
      <c r="E102" s="418"/>
      <c r="F102" s="450">
        <v>42</v>
      </c>
      <c r="G102" s="450"/>
      <c r="H102" s="450"/>
      <c r="I102" s="450"/>
      <c r="J102" s="1246"/>
      <c r="K102" s="450"/>
      <c r="L102" s="450"/>
      <c r="M102" s="450"/>
      <c r="N102" s="450"/>
      <c r="O102" s="450"/>
      <c r="P102" s="450"/>
      <c r="Q102" s="450"/>
      <c r="R102" s="450"/>
      <c r="S102" s="450"/>
      <c r="T102" s="450"/>
      <c r="U102" s="450"/>
      <c r="V102" s="273">
        <f t="shared" si="13"/>
        <v>42</v>
      </c>
    </row>
    <row r="103" spans="1:24" s="439" customFormat="1" ht="9.9499999999999993" customHeight="1" x14ac:dyDescent="0.2">
      <c r="A103" s="418"/>
      <c r="B103" s="418"/>
      <c r="D103" s="398" t="s">
        <v>452</v>
      </c>
      <c r="E103" s="418"/>
      <c r="F103" s="450">
        <v>135</v>
      </c>
      <c r="G103" s="450"/>
      <c r="H103" s="450"/>
      <c r="I103" s="450"/>
      <c r="J103" s="1246"/>
      <c r="K103" s="450"/>
      <c r="L103" s="450"/>
      <c r="M103" s="450"/>
      <c r="N103" s="450"/>
      <c r="O103" s="450"/>
      <c r="P103" s="450"/>
      <c r="Q103" s="450"/>
      <c r="R103" s="450"/>
      <c r="S103" s="450"/>
      <c r="T103" s="450"/>
      <c r="U103" s="450"/>
      <c r="V103" s="450">
        <f t="shared" ref="V103" si="14">SUM(F103:U103)</f>
        <v>135</v>
      </c>
    </row>
    <row r="104" spans="1:24" s="439" customFormat="1" ht="5.0999999999999996" customHeight="1" x14ac:dyDescent="0.2">
      <c r="A104" s="417"/>
      <c r="B104" s="418"/>
      <c r="C104" s="418"/>
      <c r="D104" s="417"/>
      <c r="E104" s="418"/>
      <c r="F104" s="664"/>
      <c r="G104" s="450"/>
      <c r="H104" s="664"/>
      <c r="I104" s="450"/>
      <c r="J104" s="1557"/>
      <c r="K104" s="450"/>
      <c r="L104" s="664"/>
      <c r="M104" s="450"/>
      <c r="N104" s="538"/>
      <c r="O104" s="450"/>
      <c r="P104" s="538"/>
      <c r="Q104" s="450"/>
      <c r="R104" s="538"/>
      <c r="S104" s="450"/>
      <c r="T104" s="538"/>
      <c r="U104" s="450"/>
      <c r="V104" s="664"/>
    </row>
    <row r="105" spans="1:24" s="439" customFormat="1" ht="9.9499999999999993" customHeight="1" x14ac:dyDescent="0.2">
      <c r="A105" s="418"/>
      <c r="B105" s="418"/>
      <c r="C105" s="644" t="s">
        <v>759</v>
      </c>
      <c r="D105" s="417"/>
      <c r="E105" s="418"/>
      <c r="F105" s="450">
        <f>SUM(F95:F103)</f>
        <v>3689</v>
      </c>
      <c r="G105" s="450"/>
      <c r="H105" s="450">
        <f>SUM(H95:H103)</f>
        <v>0</v>
      </c>
      <c r="I105" s="450"/>
      <c r="J105" s="1246">
        <f>SUM(J95:J103)</f>
        <v>20874</v>
      </c>
      <c r="K105" s="450"/>
      <c r="L105" s="450">
        <f>SUM(L95:L103)</f>
        <v>0</v>
      </c>
      <c r="M105" s="450"/>
      <c r="N105" s="450">
        <f>SUM(N95:N103)</f>
        <v>0</v>
      </c>
      <c r="O105" s="450"/>
      <c r="P105" s="450">
        <f>SUM(P95:P103)</f>
        <v>0</v>
      </c>
      <c r="Q105" s="450"/>
      <c r="R105" s="450">
        <f>SUM(R95:R103)</f>
        <v>0</v>
      </c>
      <c r="S105" s="450"/>
      <c r="T105" s="450">
        <f>SUM(T95:T103)</f>
        <v>0</v>
      </c>
      <c r="U105" s="450"/>
      <c r="V105" s="450">
        <f>SUM(V95:V103)</f>
        <v>24563</v>
      </c>
      <c r="X105" s="439">
        <f>166537+887-121702</f>
        <v>45722</v>
      </c>
    </row>
    <row r="106" spans="1:24" s="439" customFormat="1" ht="5.0999999999999996" customHeight="1" x14ac:dyDescent="0.2">
      <c r="A106" s="417"/>
      <c r="B106" s="418"/>
      <c r="C106" s="418"/>
      <c r="D106" s="417"/>
      <c r="E106" s="418"/>
      <c r="F106" s="664"/>
      <c r="G106" s="450"/>
      <c r="H106" s="664"/>
      <c r="I106" s="450"/>
      <c r="J106" s="1557"/>
      <c r="K106" s="450"/>
      <c r="L106" s="664"/>
      <c r="M106" s="450"/>
      <c r="N106" s="538"/>
      <c r="O106" s="450"/>
      <c r="P106" s="538"/>
      <c r="Q106" s="450"/>
      <c r="R106" s="538"/>
      <c r="S106" s="450"/>
      <c r="T106" s="538"/>
      <c r="U106" s="450"/>
      <c r="V106" s="664"/>
    </row>
    <row r="107" spans="1:24" s="439" customFormat="1" ht="9.9499999999999993" customHeight="1" x14ac:dyDescent="0.2">
      <c r="A107" s="418"/>
      <c r="C107" s="644" t="s">
        <v>27</v>
      </c>
      <c r="D107" s="417"/>
      <c r="E107" s="418"/>
      <c r="F107" s="450"/>
      <c r="G107" s="450"/>
      <c r="H107" s="450"/>
      <c r="I107" s="450"/>
      <c r="J107" s="1246"/>
      <c r="K107" s="450"/>
      <c r="L107" s="450"/>
      <c r="M107" s="450"/>
      <c r="N107" s="450"/>
      <c r="O107" s="450"/>
      <c r="P107" s="450"/>
      <c r="Q107" s="450"/>
      <c r="R107" s="450"/>
      <c r="S107" s="450"/>
      <c r="T107" s="450"/>
      <c r="U107" s="450"/>
      <c r="V107" s="450"/>
    </row>
    <row r="108" spans="1:24" s="439" customFormat="1" ht="9.9499999999999993" customHeight="1" x14ac:dyDescent="0.2">
      <c r="A108" s="418"/>
      <c r="C108" s="644"/>
      <c r="D108" s="398" t="s">
        <v>689</v>
      </c>
      <c r="E108" s="418"/>
      <c r="F108" s="450"/>
      <c r="G108" s="450"/>
      <c r="H108" s="450">
        <v>154</v>
      </c>
      <c r="I108" s="450"/>
      <c r="J108" s="1246"/>
      <c r="K108" s="450"/>
      <c r="L108" s="450"/>
      <c r="M108" s="450"/>
      <c r="N108" s="450"/>
      <c r="O108" s="450"/>
      <c r="P108" s="1216"/>
      <c r="Q108" s="450"/>
      <c r="R108" s="450"/>
      <c r="S108" s="450"/>
      <c r="T108" s="450"/>
      <c r="U108" s="450"/>
      <c r="V108" s="450">
        <f>SUM(F108:U108)</f>
        <v>154</v>
      </c>
    </row>
    <row r="109" spans="1:24" s="439" customFormat="1" ht="9.9499999999999993" customHeight="1" x14ac:dyDescent="0.2">
      <c r="A109" s="418"/>
      <c r="B109" s="644"/>
      <c r="D109" s="418" t="s">
        <v>1277</v>
      </c>
      <c r="E109" s="418"/>
      <c r="F109" s="450"/>
      <c r="G109" s="450"/>
      <c r="H109" s="450" t="s">
        <v>1050</v>
      </c>
      <c r="I109" s="450"/>
      <c r="J109" s="1246">
        <v>33</v>
      </c>
      <c r="K109" s="450"/>
      <c r="L109" s="450">
        <v>2862</v>
      </c>
      <c r="M109" s="450"/>
      <c r="N109" s="450"/>
      <c r="O109" s="450"/>
      <c r="P109" s="450"/>
      <c r="Q109" s="450"/>
      <c r="R109" s="450"/>
      <c r="S109" s="450"/>
      <c r="T109" s="450"/>
      <c r="U109" s="450"/>
      <c r="V109" s="450">
        <f t="shared" ref="V109:V112" si="15">SUM(F109:U109)</f>
        <v>2895</v>
      </c>
    </row>
    <row r="110" spans="1:24" s="439" customFormat="1" ht="9.9499999999999993" customHeight="1" x14ac:dyDescent="0.2">
      <c r="A110" s="418"/>
      <c r="B110" s="644"/>
      <c r="D110" s="398" t="s">
        <v>1452</v>
      </c>
      <c r="E110" s="418"/>
      <c r="F110" s="450"/>
      <c r="G110" s="450"/>
      <c r="H110" s="450">
        <v>77</v>
      </c>
      <c r="I110" s="450"/>
      <c r="J110" s="1246"/>
      <c r="K110" s="450"/>
      <c r="L110" s="450"/>
      <c r="M110" s="450"/>
      <c r="N110" s="450"/>
      <c r="O110" s="450"/>
      <c r="P110" s="450"/>
      <c r="Q110" s="450"/>
      <c r="R110" s="450"/>
      <c r="S110" s="450"/>
      <c r="T110" s="450"/>
      <c r="U110" s="450"/>
      <c r="V110" s="450">
        <f t="shared" si="15"/>
        <v>77</v>
      </c>
    </row>
    <row r="111" spans="1:24" s="439" customFormat="1" ht="9.9499999999999993" customHeight="1" x14ac:dyDescent="0.2">
      <c r="A111" s="418"/>
      <c r="B111" s="418"/>
      <c r="D111" s="398" t="s">
        <v>694</v>
      </c>
      <c r="E111" s="418"/>
      <c r="F111" s="450">
        <v>395</v>
      </c>
      <c r="G111" s="450"/>
      <c r="H111" s="450"/>
      <c r="I111" s="450"/>
      <c r="J111" s="1246">
        <v>2040</v>
      </c>
      <c r="K111" s="450"/>
      <c r="L111" s="450">
        <v>13565</v>
      </c>
      <c r="M111" s="450"/>
      <c r="N111" s="450"/>
      <c r="O111" s="450"/>
      <c r="P111" s="450"/>
      <c r="Q111" s="450"/>
      <c r="R111" s="450"/>
      <c r="S111" s="450"/>
      <c r="T111" s="450"/>
      <c r="U111" s="450"/>
      <c r="V111" s="450">
        <f t="shared" si="15"/>
        <v>16000</v>
      </c>
    </row>
    <row r="112" spans="1:24" s="439" customFormat="1" ht="9.9499999999999993" hidden="1" customHeight="1" x14ac:dyDescent="0.2">
      <c r="A112" s="418"/>
      <c r="B112" s="418"/>
      <c r="C112" s="398"/>
      <c r="D112" s="352" t="s">
        <v>693</v>
      </c>
      <c r="E112" s="418"/>
      <c r="F112" s="450"/>
      <c r="G112" s="450"/>
      <c r="H112" s="450"/>
      <c r="I112" s="450"/>
      <c r="J112" s="1246"/>
      <c r="K112" s="450"/>
      <c r="L112" s="450"/>
      <c r="M112" s="450"/>
      <c r="N112" s="450"/>
      <c r="O112" s="450"/>
      <c r="P112" s="450"/>
      <c r="Q112" s="450"/>
      <c r="R112" s="450"/>
      <c r="S112" s="450"/>
      <c r="T112" s="450"/>
      <c r="U112" s="450"/>
      <c r="V112" s="450">
        <f t="shared" si="15"/>
        <v>0</v>
      </c>
    </row>
    <row r="113" spans="1:22" s="439" customFormat="1" ht="9.9499999999999993" customHeight="1" x14ac:dyDescent="0.2">
      <c r="A113" s="418"/>
      <c r="B113" s="418"/>
      <c r="C113" s="644" t="s">
        <v>1105</v>
      </c>
      <c r="D113" s="417"/>
      <c r="E113" s="418"/>
      <c r="F113" s="666">
        <f>SUM(F108:F112)</f>
        <v>395</v>
      </c>
      <c r="G113" s="450"/>
      <c r="H113" s="666">
        <f>SUM(H108:H112)</f>
        <v>231</v>
      </c>
      <c r="I113" s="450"/>
      <c r="J113" s="666">
        <f>SUM(J108:J112)</f>
        <v>2073</v>
      </c>
      <c r="K113" s="450"/>
      <c r="L113" s="452">
        <f>SUM(L109:L112)</f>
        <v>16427</v>
      </c>
      <c r="M113" s="450"/>
      <c r="N113" s="666">
        <f>SUM(N108:N112)</f>
        <v>0</v>
      </c>
      <c r="O113" s="450"/>
      <c r="P113" s="666">
        <f>SUM(P108:P112)</f>
        <v>0</v>
      </c>
      <c r="Q113" s="450"/>
      <c r="R113" s="666">
        <f>SUM(R108:R112)</f>
        <v>0</v>
      </c>
      <c r="S113" s="450"/>
      <c r="T113" s="666">
        <f>SUM(T108:T112)</f>
        <v>0</v>
      </c>
      <c r="U113" s="450"/>
      <c r="V113" s="666">
        <f>SUM(V108:V112)</f>
        <v>19126</v>
      </c>
    </row>
    <row r="114" spans="1:22" s="439" customFormat="1" ht="9.9499999999999993" customHeight="1" x14ac:dyDescent="0.2">
      <c r="A114" s="418"/>
      <c r="B114" s="417" t="s">
        <v>81</v>
      </c>
      <c r="C114" s="644"/>
      <c r="D114" s="417"/>
      <c r="E114" s="418"/>
      <c r="F114" s="455">
        <f>SUM(F105+F113)</f>
        <v>4084</v>
      </c>
      <c r="G114" s="450"/>
      <c r="H114" s="455">
        <f>SUM(H105+H113)</f>
        <v>231</v>
      </c>
      <c r="I114" s="450"/>
      <c r="J114" s="1247">
        <f>SUM(J105+J113)</f>
        <v>22947</v>
      </c>
      <c r="K114" s="450"/>
      <c r="L114" s="666">
        <f>SUM(L107+L113)</f>
        <v>16427</v>
      </c>
      <c r="M114" s="450"/>
      <c r="N114" s="455">
        <f>SUM(N105+N113)</f>
        <v>0</v>
      </c>
      <c r="O114" s="450"/>
      <c r="P114" s="455">
        <f>SUM(P105+P113)</f>
        <v>0</v>
      </c>
      <c r="Q114" s="450"/>
      <c r="R114" s="455">
        <f>SUM(R105+R113)</f>
        <v>0</v>
      </c>
      <c r="S114" s="450"/>
      <c r="T114" s="455">
        <f>SUM(T105+T113)</f>
        <v>0</v>
      </c>
      <c r="U114" s="450"/>
      <c r="V114" s="455">
        <f>SUM(V105+V113)</f>
        <v>43689</v>
      </c>
    </row>
    <row r="115" spans="1:22" s="439" customFormat="1" ht="9.9499999999999993" customHeight="1" x14ac:dyDescent="0.2">
      <c r="A115" s="418"/>
      <c r="B115" s="644" t="s">
        <v>1038</v>
      </c>
      <c r="C115" s="418"/>
      <c r="D115" s="417"/>
      <c r="E115" s="418"/>
      <c r="F115" s="450"/>
      <c r="G115" s="450"/>
      <c r="H115" s="450"/>
      <c r="I115" s="450"/>
      <c r="J115" s="1246"/>
      <c r="K115" s="450"/>
      <c r="L115" s="450"/>
      <c r="M115" s="450"/>
      <c r="N115" s="450"/>
      <c r="O115" s="450"/>
      <c r="P115" s="450"/>
      <c r="Q115" s="450"/>
      <c r="R115" s="450"/>
      <c r="S115" s="450"/>
      <c r="T115" s="450"/>
      <c r="U115" s="450"/>
      <c r="V115" s="450"/>
    </row>
    <row r="116" spans="1:22" s="439" customFormat="1" ht="9.9499999999999993" customHeight="1" x14ac:dyDescent="0.2">
      <c r="A116" s="418"/>
      <c r="B116" s="418"/>
      <c r="C116" s="398" t="s">
        <v>1455</v>
      </c>
      <c r="D116" s="417"/>
      <c r="E116" s="418"/>
      <c r="F116" s="450"/>
      <c r="G116" s="450"/>
      <c r="H116" s="450"/>
      <c r="I116" s="450"/>
      <c r="J116" s="1246"/>
      <c r="K116" s="450"/>
      <c r="L116" s="450"/>
      <c r="M116" s="450"/>
      <c r="N116" s="450"/>
      <c r="O116" s="450"/>
      <c r="P116" s="450"/>
      <c r="Q116" s="450"/>
      <c r="R116" s="450"/>
      <c r="S116" s="450"/>
      <c r="T116" s="450"/>
      <c r="U116" s="450"/>
      <c r="V116" s="450"/>
    </row>
    <row r="117" spans="1:22" s="439" customFormat="1" ht="9.9499999999999993" customHeight="1" x14ac:dyDescent="0.2">
      <c r="A117" s="418"/>
      <c r="C117" s="425" t="s">
        <v>1225</v>
      </c>
      <c r="D117" s="417"/>
      <c r="E117" s="418"/>
      <c r="F117" s="450">
        <v>76818</v>
      </c>
      <c r="G117" s="450"/>
      <c r="H117" s="450"/>
      <c r="I117" s="450"/>
      <c r="J117" s="1246">
        <v>19745</v>
      </c>
      <c r="K117" s="450"/>
      <c r="L117" s="450">
        <v>90626</v>
      </c>
      <c r="M117" s="450"/>
      <c r="N117" s="450"/>
      <c r="O117" s="450"/>
      <c r="P117" s="450"/>
      <c r="Q117" s="450"/>
      <c r="R117" s="450"/>
      <c r="S117" s="450"/>
      <c r="T117" s="450"/>
      <c r="U117" s="450"/>
      <c r="V117" s="450">
        <f t="shared" ref="V117:V124" si="16">SUM(F117:U117)</f>
        <v>187189</v>
      </c>
    </row>
    <row r="118" spans="1:22" s="439" customFormat="1" ht="9.9499999999999993" hidden="1" customHeight="1" x14ac:dyDescent="0.2">
      <c r="A118" s="418"/>
      <c r="B118" s="418"/>
      <c r="C118" s="398" t="s">
        <v>286</v>
      </c>
      <c r="D118" s="417"/>
      <c r="E118" s="418"/>
      <c r="F118" s="450"/>
      <c r="G118" s="450"/>
      <c r="H118" s="450"/>
      <c r="I118" s="450"/>
      <c r="J118" s="1246"/>
      <c r="K118" s="450"/>
      <c r="L118" s="450"/>
      <c r="M118" s="450"/>
      <c r="N118" s="450"/>
      <c r="O118" s="450"/>
      <c r="P118" s="450"/>
      <c r="Q118" s="450"/>
      <c r="R118" s="450"/>
      <c r="S118" s="450"/>
      <c r="T118" s="450"/>
      <c r="U118" s="450"/>
      <c r="V118" s="450">
        <f t="shared" si="16"/>
        <v>0</v>
      </c>
    </row>
    <row r="119" spans="1:22" s="439" customFormat="1" ht="9.9499999999999993" customHeight="1" x14ac:dyDescent="0.2">
      <c r="A119" s="418"/>
      <c r="B119" s="418"/>
      <c r="C119" s="398" t="s">
        <v>1251</v>
      </c>
      <c r="D119" s="417"/>
      <c r="E119" s="418"/>
      <c r="F119" s="450">
        <v>5860</v>
      </c>
      <c r="G119" s="450"/>
      <c r="H119" s="450">
        <v>174</v>
      </c>
      <c r="I119" s="450"/>
      <c r="J119" s="1246">
        <v>214251</v>
      </c>
      <c r="K119" s="450"/>
      <c r="L119" s="450"/>
      <c r="M119" s="450"/>
      <c r="N119" s="450"/>
      <c r="O119" s="450"/>
      <c r="P119" s="450"/>
      <c r="Q119" s="450"/>
      <c r="R119" s="450"/>
      <c r="S119" s="450"/>
      <c r="T119" s="450"/>
      <c r="U119" s="450"/>
      <c r="V119" s="450">
        <f t="shared" si="16"/>
        <v>220285</v>
      </c>
    </row>
    <row r="120" spans="1:22" s="439" customFormat="1" ht="9.9499999999999993" hidden="1" customHeight="1" x14ac:dyDescent="0.2">
      <c r="A120" s="418"/>
      <c r="B120" s="418"/>
      <c r="C120" s="398" t="s">
        <v>1343</v>
      </c>
      <c r="D120" s="417"/>
      <c r="E120" s="418"/>
      <c r="F120" s="450"/>
      <c r="G120" s="450"/>
      <c r="H120" s="450"/>
      <c r="I120" s="450"/>
      <c r="J120" s="1246"/>
      <c r="K120" s="450"/>
      <c r="L120" s="450"/>
      <c r="M120" s="450"/>
      <c r="N120" s="450"/>
      <c r="O120" s="450"/>
      <c r="P120" s="450"/>
      <c r="Q120" s="450"/>
      <c r="R120" s="450"/>
      <c r="S120" s="450"/>
      <c r="T120" s="450"/>
      <c r="U120" s="450"/>
      <c r="V120" s="450">
        <f t="shared" si="16"/>
        <v>0</v>
      </c>
    </row>
    <row r="121" spans="1:22" s="439" customFormat="1" ht="9.9499999999999993" customHeight="1" x14ac:dyDescent="0.2">
      <c r="A121" s="418"/>
      <c r="B121" s="418"/>
      <c r="C121" s="398" t="s">
        <v>357</v>
      </c>
      <c r="D121" s="417"/>
      <c r="E121" s="418"/>
      <c r="F121" s="450">
        <f>81-23</f>
        <v>58</v>
      </c>
      <c r="G121" s="450"/>
      <c r="H121" s="450"/>
      <c r="I121" s="450"/>
      <c r="J121" s="1246"/>
      <c r="K121" s="450"/>
      <c r="L121" s="450"/>
      <c r="M121" s="450"/>
      <c r="N121" s="450"/>
      <c r="O121" s="450"/>
      <c r="P121" s="450"/>
      <c r="Q121" s="450"/>
      <c r="R121" s="450"/>
      <c r="S121" s="450"/>
      <c r="T121" s="450"/>
      <c r="U121" s="450"/>
      <c r="V121" s="450">
        <f t="shared" si="16"/>
        <v>58</v>
      </c>
    </row>
    <row r="122" spans="1:22" s="439" customFormat="1" ht="9.9499999999999993" customHeight="1" x14ac:dyDescent="0.2">
      <c r="A122" s="418"/>
      <c r="B122" s="418"/>
      <c r="C122" s="398" t="s">
        <v>1587</v>
      </c>
      <c r="D122" s="417"/>
      <c r="E122" s="418"/>
      <c r="F122" s="450">
        <v>2040</v>
      </c>
      <c r="G122" s="450"/>
      <c r="H122" s="450"/>
      <c r="I122" s="450"/>
      <c r="J122" s="1246"/>
      <c r="K122" s="450"/>
      <c r="L122" s="450"/>
      <c r="M122" s="450"/>
      <c r="N122" s="450"/>
      <c r="O122" s="450"/>
      <c r="P122" s="450"/>
      <c r="Q122" s="450"/>
      <c r="R122" s="450"/>
      <c r="S122" s="450"/>
      <c r="T122" s="450"/>
      <c r="U122" s="450"/>
      <c r="V122" s="450">
        <f t="shared" si="16"/>
        <v>2040</v>
      </c>
    </row>
    <row r="123" spans="1:22" s="439" customFormat="1" ht="9.9499999999999993" customHeight="1" x14ac:dyDescent="0.2">
      <c r="A123" s="418"/>
      <c r="B123" s="418"/>
      <c r="C123" s="398" t="s">
        <v>1648</v>
      </c>
      <c r="D123" s="417"/>
      <c r="E123" s="418"/>
      <c r="F123" s="450">
        <f>56-42</f>
        <v>14</v>
      </c>
      <c r="G123" s="450"/>
      <c r="H123" s="450"/>
      <c r="I123" s="450"/>
      <c r="J123" s="1246"/>
      <c r="K123" s="450"/>
      <c r="L123" s="450"/>
      <c r="M123" s="450"/>
      <c r="N123" s="450"/>
      <c r="O123" s="450"/>
      <c r="P123" s="450"/>
      <c r="Q123" s="450"/>
      <c r="R123" s="450"/>
      <c r="S123" s="450"/>
      <c r="T123" s="450"/>
      <c r="U123" s="450"/>
      <c r="V123" s="450">
        <f t="shared" si="16"/>
        <v>14</v>
      </c>
    </row>
    <row r="124" spans="1:22" s="439" customFormat="1" ht="9.9499999999999993" customHeight="1" x14ac:dyDescent="0.2">
      <c r="A124" s="418"/>
      <c r="B124" s="418"/>
      <c r="C124" s="398" t="s">
        <v>1188</v>
      </c>
      <c r="D124" s="417"/>
      <c r="E124" s="418"/>
      <c r="F124" s="450">
        <f>5150+72</f>
        <v>5222</v>
      </c>
      <c r="G124" s="450"/>
      <c r="H124" s="450"/>
      <c r="I124" s="450"/>
      <c r="J124" s="1246">
        <v>4752</v>
      </c>
      <c r="K124" s="450"/>
      <c r="L124" s="450">
        <v>42861</v>
      </c>
      <c r="M124" s="450"/>
      <c r="N124" s="450"/>
      <c r="O124" s="450"/>
      <c r="P124" s="450"/>
      <c r="Q124" s="450"/>
      <c r="R124" s="450"/>
      <c r="S124" s="450"/>
      <c r="T124" s="450"/>
      <c r="U124" s="450"/>
      <c r="V124" s="450">
        <f t="shared" si="16"/>
        <v>52835</v>
      </c>
    </row>
    <row r="125" spans="1:22" s="439" customFormat="1" ht="9.9499999999999993" customHeight="1" x14ac:dyDescent="0.2">
      <c r="A125" s="418"/>
      <c r="B125" s="644" t="s">
        <v>82</v>
      </c>
      <c r="C125" s="418"/>
      <c r="D125" s="417"/>
      <c r="E125" s="418"/>
      <c r="F125" s="666">
        <f>SUM(F116:F124)</f>
        <v>90012</v>
      </c>
      <c r="G125" s="450"/>
      <c r="H125" s="666">
        <f>SUM(H117:H124)</f>
        <v>174</v>
      </c>
      <c r="I125" s="450"/>
      <c r="J125" s="1276">
        <f>SUM(J117:J124)</f>
        <v>238748</v>
      </c>
      <c r="K125" s="450"/>
      <c r="L125" s="666">
        <f>SUM(L117:L124)</f>
        <v>133487</v>
      </c>
      <c r="M125" s="450"/>
      <c r="N125" s="666">
        <f>SUM(N117:N124)</f>
        <v>0</v>
      </c>
      <c r="O125" s="450"/>
      <c r="P125" s="666">
        <f>SUM(P117:P124)</f>
        <v>0</v>
      </c>
      <c r="Q125" s="450"/>
      <c r="R125" s="666">
        <f>SUM(R117:R124)</f>
        <v>0</v>
      </c>
      <c r="S125" s="450"/>
      <c r="T125" s="666">
        <f>SUM(T117:T124)</f>
        <v>0</v>
      </c>
      <c r="U125" s="450"/>
      <c r="V125" s="666">
        <f>SUM(V117:V124)</f>
        <v>462421</v>
      </c>
    </row>
    <row r="126" spans="1:22" s="439" customFormat="1" ht="9.9499999999999993" customHeight="1" x14ac:dyDescent="0.2">
      <c r="A126" s="644" t="s">
        <v>702</v>
      </c>
      <c r="B126" s="418"/>
      <c r="C126" s="418"/>
      <c r="D126" s="417"/>
      <c r="E126" s="418"/>
      <c r="F126" s="455">
        <f>SUM(F125+F114)</f>
        <v>94096</v>
      </c>
      <c r="G126" s="450"/>
      <c r="H126" s="455">
        <f>SUM(H125+H114)</f>
        <v>405</v>
      </c>
      <c r="I126" s="450"/>
      <c r="J126" s="1247">
        <f>SUM(J125+J114)</f>
        <v>261695</v>
      </c>
      <c r="K126" s="450"/>
      <c r="L126" s="455">
        <f>SUM(L125+L114)</f>
        <v>149914</v>
      </c>
      <c r="M126" s="450"/>
      <c r="N126" s="455">
        <f>SUM(N125+N114)</f>
        <v>0</v>
      </c>
      <c r="O126" s="450"/>
      <c r="P126" s="455">
        <f>SUM(P125+P114)</f>
        <v>0</v>
      </c>
      <c r="Q126" s="450"/>
      <c r="R126" s="455">
        <f>SUM(R125+R114)</f>
        <v>0</v>
      </c>
      <c r="S126" s="450"/>
      <c r="T126" s="455">
        <f>SUM(T125+T114)</f>
        <v>0</v>
      </c>
      <c r="U126" s="450"/>
      <c r="V126" s="455">
        <f>SUM(V125+V114)</f>
        <v>506110</v>
      </c>
    </row>
    <row r="127" spans="1:22" s="439" customFormat="1" ht="5.0999999999999996" customHeight="1" x14ac:dyDescent="0.2">
      <c r="A127" s="644"/>
      <c r="B127" s="418"/>
      <c r="C127" s="418"/>
      <c r="D127" s="417"/>
      <c r="E127" s="418"/>
      <c r="F127" s="450"/>
      <c r="G127" s="450"/>
      <c r="H127" s="450"/>
      <c r="I127" s="450"/>
      <c r="J127" s="1246"/>
      <c r="K127" s="450"/>
      <c r="L127" s="450"/>
      <c r="M127" s="450"/>
      <c r="N127" s="450"/>
      <c r="O127" s="450"/>
      <c r="P127" s="450"/>
      <c r="Q127" s="450"/>
      <c r="R127" s="450"/>
      <c r="S127" s="450"/>
      <c r="T127" s="450"/>
      <c r="U127" s="450"/>
      <c r="V127" s="450"/>
    </row>
    <row r="128" spans="1:22" s="439" customFormat="1" ht="9.9499999999999993" customHeight="1" x14ac:dyDescent="0.2">
      <c r="A128" s="353" t="s">
        <v>1206</v>
      </c>
      <c r="B128" s="418"/>
      <c r="C128" s="418"/>
      <c r="D128" s="417"/>
      <c r="E128" s="418"/>
      <c r="F128" s="450">
        <v>121574</v>
      </c>
      <c r="G128" s="450"/>
      <c r="H128" s="450">
        <v>4622</v>
      </c>
      <c r="I128" s="450"/>
      <c r="J128" s="1247">
        <v>153158</v>
      </c>
      <c r="K128" s="450"/>
      <c r="L128" s="450">
        <v>0</v>
      </c>
      <c r="M128" s="450"/>
      <c r="N128" s="450"/>
      <c r="O128" s="450"/>
      <c r="P128" s="450"/>
      <c r="Q128" s="450"/>
      <c r="R128" s="450"/>
      <c r="S128" s="450"/>
      <c r="T128" s="450"/>
      <c r="U128" s="450"/>
      <c r="V128" s="450">
        <f>SUM(F128:U128)</f>
        <v>279354</v>
      </c>
    </row>
    <row r="129" spans="1:22" s="439" customFormat="1" ht="5.0999999999999996" customHeight="1" x14ac:dyDescent="0.2">
      <c r="A129" s="644"/>
      <c r="B129" s="418"/>
      <c r="C129" s="418"/>
      <c r="D129" s="417"/>
      <c r="E129" s="418"/>
      <c r="F129" s="452"/>
      <c r="G129" s="450"/>
      <c r="H129" s="452"/>
      <c r="I129" s="450"/>
      <c r="J129" s="1246"/>
      <c r="K129" s="450"/>
      <c r="L129" s="452"/>
      <c r="M129" s="450"/>
      <c r="N129" s="452"/>
      <c r="O129" s="450"/>
      <c r="P129" s="452"/>
      <c r="Q129" s="450"/>
      <c r="R129" s="452"/>
      <c r="S129" s="450"/>
      <c r="T129" s="452"/>
      <c r="U129" s="450"/>
      <c r="V129" s="452"/>
    </row>
    <row r="130" spans="1:22" s="439" customFormat="1" ht="9.9499999999999993" customHeight="1" x14ac:dyDescent="0.2">
      <c r="A130" s="644" t="s">
        <v>1482</v>
      </c>
      <c r="B130" s="418"/>
      <c r="C130" s="418"/>
      <c r="D130" s="417"/>
      <c r="E130" s="418"/>
      <c r="F130" s="450"/>
      <c r="G130" s="450"/>
      <c r="H130" s="450"/>
      <c r="I130" s="450"/>
      <c r="J130" s="1246"/>
      <c r="K130" s="450"/>
      <c r="L130" s="450"/>
      <c r="M130" s="450"/>
      <c r="N130" s="450"/>
      <c r="O130" s="450"/>
      <c r="P130" s="450"/>
      <c r="Q130" s="450"/>
      <c r="R130" s="450"/>
      <c r="S130" s="450"/>
      <c r="T130" s="450"/>
      <c r="U130" s="450"/>
      <c r="V130" s="450"/>
    </row>
    <row r="131" spans="1:22" s="439" customFormat="1" ht="9.9499999999999993" customHeight="1" x14ac:dyDescent="0.2">
      <c r="A131" s="418"/>
      <c r="B131" s="398" t="s">
        <v>1110</v>
      </c>
      <c r="C131" s="418"/>
      <c r="D131" s="417"/>
      <c r="E131" s="418"/>
      <c r="F131" s="450">
        <f>+F65-F100-F101-F102-F111-F117-F119-F122-F123</f>
        <v>30973</v>
      </c>
      <c r="G131" s="450"/>
      <c r="H131" s="450">
        <v>11636</v>
      </c>
      <c r="I131" s="450"/>
      <c r="J131" s="1246">
        <v>147421</v>
      </c>
      <c r="K131" s="450"/>
      <c r="L131" s="450"/>
      <c r="M131" s="450"/>
      <c r="N131" s="450"/>
      <c r="O131" s="450"/>
      <c r="P131" s="450"/>
      <c r="Q131" s="450"/>
      <c r="R131" s="450"/>
      <c r="S131" s="450"/>
      <c r="T131" s="450"/>
      <c r="U131" s="450"/>
      <c r="V131" s="450">
        <f t="shared" ref="V131:V141" si="17">SUM(F131:U131)</f>
        <v>190030</v>
      </c>
    </row>
    <row r="132" spans="1:22" s="439" customFormat="1" ht="9.9499999999999993" customHeight="1" x14ac:dyDescent="0.2">
      <c r="A132" s="418"/>
      <c r="B132" s="398" t="s">
        <v>755</v>
      </c>
      <c r="C132" s="418"/>
      <c r="D132" s="417"/>
      <c r="E132" s="418"/>
      <c r="F132" s="450"/>
      <c r="G132" s="450"/>
      <c r="H132" s="450"/>
      <c r="I132" s="450"/>
      <c r="J132" s="1246"/>
      <c r="K132" s="450"/>
      <c r="L132" s="450"/>
      <c r="M132" s="450"/>
      <c r="N132" s="450"/>
      <c r="O132" s="450"/>
      <c r="P132" s="450"/>
      <c r="Q132" s="450"/>
      <c r="R132" s="450"/>
      <c r="S132" s="450"/>
      <c r="T132" s="450"/>
      <c r="U132" s="450"/>
      <c r="V132" s="450">
        <f t="shared" si="17"/>
        <v>0</v>
      </c>
    </row>
    <row r="133" spans="1:22" s="439" customFormat="1" ht="9.9499999999999993" hidden="1" customHeight="1" x14ac:dyDescent="0.2">
      <c r="A133" s="418"/>
      <c r="C133" s="398" t="s">
        <v>84</v>
      </c>
      <c r="D133" s="417"/>
      <c r="E133" s="418"/>
      <c r="F133" s="450"/>
      <c r="G133" s="450"/>
      <c r="H133" s="450"/>
      <c r="I133" s="450"/>
      <c r="J133" s="1246"/>
      <c r="K133" s="450"/>
      <c r="L133" s="450"/>
      <c r="M133" s="450"/>
      <c r="N133" s="450"/>
      <c r="O133" s="450"/>
      <c r="P133" s="450"/>
      <c r="Q133" s="450"/>
      <c r="R133" s="450"/>
      <c r="S133" s="450"/>
      <c r="T133" s="450"/>
      <c r="U133" s="450"/>
      <c r="V133" s="450">
        <f t="shared" si="17"/>
        <v>0</v>
      </c>
    </row>
    <row r="134" spans="1:22" s="439" customFormat="1" ht="9.9499999999999993" hidden="1" customHeight="1" x14ac:dyDescent="0.2">
      <c r="A134" s="418"/>
      <c r="C134" s="398" t="s">
        <v>756</v>
      </c>
      <c r="D134" s="417"/>
      <c r="E134" s="418"/>
      <c r="F134" s="450"/>
      <c r="G134" s="450"/>
      <c r="H134" s="450"/>
      <c r="I134" s="450"/>
      <c r="J134" s="1246"/>
      <c r="K134" s="450"/>
      <c r="L134" s="450"/>
      <c r="M134" s="450"/>
      <c r="N134" s="450"/>
      <c r="O134" s="450"/>
      <c r="P134" s="450"/>
      <c r="Q134" s="450"/>
      <c r="R134" s="450"/>
      <c r="S134" s="450"/>
      <c r="T134" s="450"/>
      <c r="U134" s="450"/>
      <c r="V134" s="450">
        <f t="shared" si="17"/>
        <v>0</v>
      </c>
    </row>
    <row r="135" spans="1:22" s="439" customFormat="1" ht="9.9499999999999993" hidden="1" customHeight="1" x14ac:dyDescent="0.2">
      <c r="A135" s="418"/>
      <c r="C135" s="398" t="s">
        <v>455</v>
      </c>
      <c r="D135" s="417"/>
      <c r="E135" s="418"/>
      <c r="F135" s="450"/>
      <c r="G135" s="450"/>
      <c r="H135" s="450"/>
      <c r="I135" s="450"/>
      <c r="J135" s="1246"/>
      <c r="K135" s="450"/>
      <c r="L135" s="450"/>
      <c r="M135" s="450"/>
      <c r="N135" s="450"/>
      <c r="O135" s="450"/>
      <c r="P135" s="450"/>
      <c r="Q135" s="450"/>
      <c r="R135" s="450"/>
      <c r="S135" s="450"/>
      <c r="T135" s="450"/>
      <c r="U135" s="450"/>
      <c r="V135" s="450">
        <f t="shared" si="17"/>
        <v>0</v>
      </c>
    </row>
    <row r="136" spans="1:22" s="439" customFormat="1" ht="9.9499999999999993" customHeight="1" x14ac:dyDescent="0.2">
      <c r="A136" s="418"/>
      <c r="C136" s="398" t="s">
        <v>706</v>
      </c>
      <c r="D136" s="417"/>
      <c r="E136" s="418"/>
      <c r="F136" s="450"/>
      <c r="G136" s="450"/>
      <c r="H136" s="450">
        <v>1762</v>
      </c>
      <c r="I136" s="450"/>
      <c r="J136" s="1246"/>
      <c r="K136" s="450"/>
      <c r="L136" s="450"/>
      <c r="M136" s="450"/>
      <c r="N136" s="450"/>
      <c r="O136" s="450"/>
      <c r="P136" s="450"/>
      <c r="Q136" s="450"/>
      <c r="R136" s="450"/>
      <c r="S136" s="450"/>
      <c r="T136" s="450"/>
      <c r="U136" s="450"/>
      <c r="V136" s="450">
        <f t="shared" si="17"/>
        <v>1762</v>
      </c>
    </row>
    <row r="137" spans="1:22" s="439" customFormat="1" ht="9.9499999999999993" hidden="1" customHeight="1" x14ac:dyDescent="0.2">
      <c r="A137" s="418"/>
      <c r="C137" s="398" t="s">
        <v>727</v>
      </c>
      <c r="D137" s="417"/>
      <c r="E137" s="418"/>
      <c r="F137" s="450"/>
      <c r="G137" s="450"/>
      <c r="H137" s="450"/>
      <c r="I137" s="450"/>
      <c r="J137" s="1246"/>
      <c r="K137" s="450"/>
      <c r="L137" s="450"/>
      <c r="M137" s="450"/>
      <c r="N137" s="450"/>
      <c r="O137" s="450"/>
      <c r="P137" s="450"/>
      <c r="Q137" s="450"/>
      <c r="R137" s="450"/>
      <c r="S137" s="450"/>
      <c r="T137" s="450"/>
      <c r="U137" s="450"/>
      <c r="V137" s="450">
        <f t="shared" si="17"/>
        <v>0</v>
      </c>
    </row>
    <row r="138" spans="1:22" s="439" customFormat="1" ht="9.9499999999999993" hidden="1" customHeight="1" x14ac:dyDescent="0.2">
      <c r="A138" s="418"/>
      <c r="C138" s="398" t="s">
        <v>707</v>
      </c>
      <c r="D138" s="417"/>
      <c r="E138" s="418"/>
      <c r="F138" s="450"/>
      <c r="G138" s="450"/>
      <c r="H138" s="450"/>
      <c r="I138" s="450"/>
      <c r="J138" s="1246"/>
      <c r="K138" s="450"/>
      <c r="L138" s="450"/>
      <c r="M138" s="450"/>
      <c r="N138" s="450"/>
      <c r="O138" s="450"/>
      <c r="P138" s="450"/>
      <c r="Q138" s="450"/>
      <c r="R138" s="450"/>
      <c r="S138" s="450"/>
      <c r="T138" s="450"/>
      <c r="U138" s="450"/>
      <c r="V138" s="450">
        <f t="shared" si="17"/>
        <v>0</v>
      </c>
    </row>
    <row r="139" spans="1:22" s="439" customFormat="1" ht="9.9499999999999993" hidden="1" customHeight="1" x14ac:dyDescent="0.2">
      <c r="A139" s="418"/>
      <c r="C139" s="398"/>
      <c r="D139" s="418" t="s">
        <v>708</v>
      </c>
      <c r="E139" s="418"/>
      <c r="F139" s="450"/>
      <c r="G139" s="450"/>
      <c r="H139" s="450"/>
      <c r="I139" s="450"/>
      <c r="J139" s="1246"/>
      <c r="K139" s="450"/>
      <c r="L139" s="450"/>
      <c r="M139" s="450"/>
      <c r="N139" s="450"/>
      <c r="O139" s="450"/>
      <c r="P139" s="450"/>
      <c r="Q139" s="450"/>
      <c r="R139" s="450"/>
      <c r="S139" s="450"/>
      <c r="T139" s="450"/>
      <c r="U139" s="450"/>
      <c r="V139" s="450">
        <f t="shared" si="17"/>
        <v>0</v>
      </c>
    </row>
    <row r="140" spans="1:22" s="439" customFormat="1" ht="9.9499999999999993" hidden="1" customHeight="1" x14ac:dyDescent="0.2">
      <c r="A140" s="418"/>
      <c r="B140" s="398" t="s">
        <v>539</v>
      </c>
      <c r="C140" s="418"/>
      <c r="D140" s="417"/>
      <c r="E140" s="418"/>
      <c r="F140" s="450"/>
      <c r="G140" s="450"/>
      <c r="H140" s="450"/>
      <c r="I140" s="450"/>
      <c r="J140" s="1246"/>
      <c r="K140" s="450"/>
      <c r="L140" s="450"/>
      <c r="M140" s="450"/>
      <c r="N140" s="450"/>
      <c r="O140" s="450"/>
      <c r="P140" s="450"/>
      <c r="Q140" s="450"/>
      <c r="R140" s="450"/>
      <c r="S140" s="450"/>
      <c r="T140" s="450"/>
      <c r="U140" s="450"/>
      <c r="V140" s="450">
        <f t="shared" si="17"/>
        <v>0</v>
      </c>
    </row>
    <row r="141" spans="1:22" s="439" customFormat="1" ht="9.9499999999999993" customHeight="1" x14ac:dyDescent="0.2">
      <c r="A141" s="418"/>
      <c r="B141" s="398" t="s">
        <v>711</v>
      </c>
      <c r="C141" s="418"/>
      <c r="D141" s="417"/>
      <c r="E141" s="418"/>
      <c r="F141" s="455">
        <v>-39977</v>
      </c>
      <c r="G141" s="450"/>
      <c r="H141" s="455"/>
      <c r="I141" s="450"/>
      <c r="J141" s="1247">
        <v>40137</v>
      </c>
      <c r="K141" s="450"/>
      <c r="L141" s="455"/>
      <c r="M141" s="450"/>
      <c r="N141" s="455"/>
      <c r="O141" s="450"/>
      <c r="P141" s="455"/>
      <c r="Q141" s="450"/>
      <c r="R141" s="455"/>
      <c r="S141" s="450"/>
      <c r="T141" s="455"/>
      <c r="U141" s="450"/>
      <c r="V141" s="450">
        <f t="shared" si="17"/>
        <v>160</v>
      </c>
    </row>
    <row r="142" spans="1:22" s="439" customFormat="1" ht="5.0999999999999996" customHeight="1" x14ac:dyDescent="0.2">
      <c r="A142" s="418"/>
      <c r="B142" s="418"/>
      <c r="C142" s="418"/>
      <c r="D142" s="417"/>
      <c r="E142" s="418"/>
      <c r="F142" s="438"/>
      <c r="G142" s="438"/>
      <c r="H142" s="438"/>
      <c r="I142" s="438"/>
      <c r="J142" s="438"/>
      <c r="K142" s="438"/>
      <c r="L142" s="438"/>
      <c r="M142" s="438"/>
      <c r="N142" s="438"/>
      <c r="O142" s="438"/>
      <c r="P142" s="438"/>
      <c r="Q142" s="438"/>
      <c r="R142" s="438"/>
      <c r="S142" s="438"/>
      <c r="T142" s="438"/>
      <c r="U142" s="438"/>
      <c r="V142" s="452">
        <f>SUM(F142:U142)</f>
        <v>0</v>
      </c>
    </row>
    <row r="143" spans="1:22" s="439" customFormat="1" ht="9.9499999999999993" customHeight="1" thickBot="1" x14ac:dyDescent="0.25">
      <c r="A143" s="417" t="s">
        <v>1483</v>
      </c>
      <c r="B143" s="418"/>
      <c r="C143" s="418"/>
      <c r="D143" s="417"/>
      <c r="E143" s="418"/>
      <c r="F143" s="453">
        <f>SUM(F131:F141)</f>
        <v>-9004</v>
      </c>
      <c r="G143" s="461"/>
      <c r="H143" s="453">
        <f>SUM(H131:H141)</f>
        <v>13398</v>
      </c>
      <c r="I143" s="461"/>
      <c r="J143" s="453">
        <f>SUM(J131:J141)</f>
        <v>187558</v>
      </c>
      <c r="K143" s="461"/>
      <c r="L143" s="453">
        <f>SUM(L131:L141)</f>
        <v>0</v>
      </c>
      <c r="M143" s="461"/>
      <c r="N143" s="453">
        <f>SUM(N131:N141)</f>
        <v>0</v>
      </c>
      <c r="O143" s="461"/>
      <c r="P143" s="453">
        <f>SUM(P131:P141)</f>
        <v>0</v>
      </c>
      <c r="Q143" s="461"/>
      <c r="R143" s="453">
        <f>SUM(R131:R141)</f>
        <v>0</v>
      </c>
      <c r="S143" s="461"/>
      <c r="T143" s="453">
        <f>SUM(T131:T141)</f>
        <v>0</v>
      </c>
      <c r="U143" s="461"/>
      <c r="V143" s="453">
        <f>SUM(V131:V141)</f>
        <v>191952</v>
      </c>
    </row>
    <row r="144" spans="1:22" s="439" customFormat="1" ht="9.9499999999999993" customHeight="1" thickTop="1" x14ac:dyDescent="0.2">
      <c r="A144" s="418"/>
      <c r="B144" s="418"/>
      <c r="C144" s="418"/>
      <c r="D144" s="417"/>
      <c r="E144" s="418"/>
      <c r="F144" s="438"/>
      <c r="G144" s="438"/>
      <c r="H144" s="438"/>
      <c r="I144" s="438"/>
      <c r="J144" s="438"/>
      <c r="K144" s="438"/>
      <c r="L144" s="438"/>
      <c r="M144" s="438"/>
      <c r="N144" s="438"/>
      <c r="O144" s="438"/>
      <c r="P144" s="438"/>
      <c r="Q144" s="438"/>
      <c r="R144" s="438"/>
      <c r="S144" s="438"/>
      <c r="T144" s="438"/>
      <c r="U144" s="438"/>
      <c r="V144" s="438"/>
    </row>
    <row r="145" spans="1:22" s="439" customFormat="1" ht="9.9499999999999993" customHeight="1" x14ac:dyDescent="0.2">
      <c r="A145" s="418"/>
      <c r="B145" s="418"/>
      <c r="C145" s="668"/>
      <c r="D145" s="253"/>
      <c r="E145" s="418"/>
      <c r="F145" s="438"/>
      <c r="G145" s="438"/>
      <c r="H145" s="438"/>
      <c r="I145" s="438"/>
      <c r="J145" s="438"/>
      <c r="K145" s="438"/>
      <c r="L145" s="438"/>
      <c r="M145" s="438"/>
      <c r="N145" s="438"/>
      <c r="O145" s="438"/>
      <c r="P145" s="438"/>
      <c r="Q145" s="438"/>
      <c r="R145" s="438"/>
      <c r="S145" s="438"/>
      <c r="T145" s="438"/>
      <c r="U145" s="438"/>
      <c r="V145" s="438"/>
    </row>
    <row r="146" spans="1:22" s="439" customFormat="1" ht="9.9499999999999993" customHeight="1" x14ac:dyDescent="0.2">
      <c r="A146" s="418"/>
      <c r="B146" s="418"/>
      <c r="C146" s="418"/>
      <c r="D146" s="417"/>
      <c r="E146" s="418"/>
      <c r="F146" s="438"/>
      <c r="G146" s="438"/>
      <c r="H146" s="438"/>
      <c r="I146" s="438"/>
      <c r="J146" s="438"/>
      <c r="K146" s="438"/>
      <c r="L146" s="438"/>
      <c r="M146" s="438"/>
      <c r="N146" s="438"/>
      <c r="O146" s="438"/>
      <c r="P146" s="438"/>
      <c r="Q146" s="438"/>
      <c r="R146" s="438"/>
      <c r="S146" s="438"/>
      <c r="T146" s="438"/>
      <c r="U146" s="438"/>
      <c r="V146" s="438"/>
    </row>
    <row r="147" spans="1:22" s="439" customFormat="1" ht="9.9499999999999993" customHeight="1" x14ac:dyDescent="0.2">
      <c r="A147" s="418"/>
      <c r="B147" s="418"/>
      <c r="C147" s="418"/>
      <c r="D147" s="417"/>
      <c r="E147" s="418"/>
      <c r="F147" s="438"/>
      <c r="G147" s="438"/>
      <c r="H147" s="438"/>
      <c r="I147" s="438"/>
      <c r="J147" s="438"/>
      <c r="K147" s="438"/>
      <c r="L147" s="438"/>
      <c r="M147" s="438"/>
      <c r="N147" s="438"/>
      <c r="O147" s="438"/>
      <c r="P147" s="438"/>
      <c r="Q147" s="438"/>
      <c r="R147" s="438"/>
      <c r="S147" s="438"/>
      <c r="T147" s="438"/>
      <c r="U147" s="438"/>
      <c r="V147" s="438"/>
    </row>
    <row r="148" spans="1:22" s="441" customFormat="1" ht="9.9499999999999993" customHeight="1" x14ac:dyDescent="0.2">
      <c r="A148" s="647"/>
      <c r="B148" s="647"/>
      <c r="C148" s="647"/>
      <c r="D148" s="648" t="s">
        <v>591</v>
      </c>
      <c r="E148" s="647"/>
      <c r="F148" s="518">
        <f>+F75+F77-F126-F143-F128</f>
        <v>0</v>
      </c>
      <c r="G148" s="440"/>
      <c r="H148" s="518">
        <f>+H75+H77-H126-H143-H128</f>
        <v>0</v>
      </c>
      <c r="I148" s="440"/>
      <c r="J148" s="518">
        <f>+J75+J77-J126-J143-J128</f>
        <v>0</v>
      </c>
      <c r="K148" s="440"/>
      <c r="L148" s="518">
        <f>+L75+L77-L126-L143-L128</f>
        <v>0</v>
      </c>
      <c r="M148" s="440"/>
      <c r="N148" s="518" t="e">
        <f>+N75+N77-N126-N143-N128</f>
        <v>#REF!</v>
      </c>
      <c r="O148" s="440"/>
      <c r="P148" s="518" t="e">
        <f>+P75+P77-P126-P143-P128</f>
        <v>#REF!</v>
      </c>
      <c r="Q148" s="440"/>
      <c r="R148" s="518" t="e">
        <f>+R75+R77-R126-R143-R128</f>
        <v>#REF!</v>
      </c>
      <c r="S148" s="518"/>
      <c r="T148" s="518" t="e">
        <f>+T75+T77-T126-T143-T128</f>
        <v>#REF!</v>
      </c>
      <c r="U148" s="518"/>
      <c r="V148" s="518">
        <f>+V75+V77-V126-V143-V128</f>
        <v>0</v>
      </c>
    </row>
    <row r="149" spans="1:22" s="439" customFormat="1" ht="9.9499999999999993" customHeight="1" x14ac:dyDescent="0.2">
      <c r="A149" s="418"/>
      <c r="B149" s="418"/>
      <c r="C149" s="418"/>
      <c r="D149" s="417"/>
      <c r="E149" s="418"/>
      <c r="F149" s="438"/>
      <c r="G149" s="438"/>
      <c r="H149" s="438"/>
      <c r="I149" s="438"/>
      <c r="J149" s="438"/>
      <c r="K149" s="438"/>
      <c r="L149" s="438"/>
      <c r="M149" s="438"/>
      <c r="N149" s="438"/>
      <c r="O149" s="438"/>
      <c r="P149" s="438"/>
      <c r="Q149" s="438"/>
      <c r="R149" s="438"/>
      <c r="S149" s="438"/>
      <c r="T149" s="438"/>
      <c r="U149" s="438"/>
      <c r="V149" s="438"/>
    </row>
    <row r="150" spans="1:22" s="439" customFormat="1" ht="9.9499999999999993" customHeight="1" x14ac:dyDescent="0.2">
      <c r="A150" s="418"/>
      <c r="B150" s="418"/>
      <c r="C150" s="418"/>
      <c r="D150" s="417"/>
      <c r="E150" s="418"/>
      <c r="F150" s="438"/>
      <c r="G150" s="438"/>
      <c r="H150" s="438"/>
      <c r="I150" s="438"/>
      <c r="J150" s="438"/>
      <c r="K150" s="438"/>
      <c r="L150" s="438"/>
      <c r="M150" s="438"/>
      <c r="N150" s="438"/>
      <c r="O150" s="438"/>
      <c r="P150" s="438"/>
      <c r="Q150" s="438"/>
      <c r="R150" s="438"/>
      <c r="S150" s="438"/>
      <c r="T150" s="438"/>
      <c r="U150" s="438"/>
      <c r="V150" s="438"/>
    </row>
    <row r="151" spans="1:22" s="439" customFormat="1" ht="9.9499999999999993" customHeight="1" x14ac:dyDescent="0.2">
      <c r="A151" s="418"/>
      <c r="B151" s="418"/>
      <c r="C151" s="418"/>
      <c r="D151" s="417"/>
      <c r="E151" s="418"/>
      <c r="F151" s="438"/>
      <c r="G151" s="438"/>
      <c r="H151" s="438"/>
      <c r="I151" s="438"/>
      <c r="J151" s="438"/>
      <c r="K151" s="438"/>
      <c r="L151" s="438"/>
      <c r="M151" s="438"/>
      <c r="N151" s="438"/>
      <c r="O151" s="438"/>
      <c r="P151" s="438"/>
      <c r="Q151" s="438"/>
      <c r="R151" s="438"/>
      <c r="S151" s="438"/>
      <c r="T151" s="438"/>
      <c r="U151" s="438"/>
      <c r="V151" s="438"/>
    </row>
    <row r="152" spans="1:22" s="439" customFormat="1" ht="9.9499999999999993" customHeight="1" x14ac:dyDescent="0.2">
      <c r="A152" s="418"/>
      <c r="B152" s="418"/>
      <c r="C152" s="418"/>
      <c r="D152" s="417"/>
      <c r="E152" s="418"/>
      <c r="F152" s="438"/>
      <c r="G152" s="438"/>
      <c r="H152" s="438"/>
      <c r="I152" s="438"/>
      <c r="J152" s="438"/>
      <c r="K152" s="438"/>
      <c r="L152" s="438"/>
      <c r="M152" s="438"/>
      <c r="N152" s="438"/>
      <c r="O152" s="438"/>
      <c r="P152" s="438"/>
      <c r="Q152" s="438"/>
      <c r="R152" s="438"/>
      <c r="S152" s="438"/>
      <c r="T152" s="438"/>
      <c r="U152" s="438"/>
      <c r="V152" s="438"/>
    </row>
    <row r="153" spans="1:22" s="439" customFormat="1" ht="9.9499999999999993" customHeight="1" x14ac:dyDescent="0.2">
      <c r="A153" s="418"/>
      <c r="B153" s="418"/>
      <c r="C153" s="418"/>
      <c r="D153" s="417"/>
      <c r="E153" s="418"/>
      <c r="F153" s="438"/>
      <c r="G153" s="438"/>
      <c r="H153" s="438"/>
      <c r="I153" s="438"/>
      <c r="J153" s="438"/>
      <c r="K153" s="438"/>
      <c r="L153" s="438"/>
      <c r="M153" s="438"/>
      <c r="N153" s="438"/>
      <c r="O153" s="438"/>
      <c r="P153" s="438"/>
      <c r="Q153" s="438"/>
      <c r="R153" s="438"/>
      <c r="S153" s="438"/>
      <c r="T153" s="438"/>
      <c r="U153" s="438"/>
      <c r="V153" s="438"/>
    </row>
    <row r="154" spans="1:22" s="439" customFormat="1" ht="9.9499999999999993" customHeight="1" x14ac:dyDescent="0.2">
      <c r="A154" s="418"/>
      <c r="B154" s="418"/>
      <c r="C154" s="418"/>
      <c r="D154" s="417"/>
      <c r="E154" s="418"/>
      <c r="F154" s="438"/>
      <c r="G154" s="438"/>
      <c r="H154" s="438"/>
      <c r="I154" s="438"/>
      <c r="J154" s="438"/>
      <c r="K154" s="438"/>
      <c r="L154" s="438"/>
      <c r="M154" s="438"/>
      <c r="N154" s="438"/>
      <c r="O154" s="438"/>
      <c r="P154" s="438"/>
      <c r="Q154" s="438"/>
      <c r="R154" s="438"/>
      <c r="S154" s="438"/>
      <c r="T154" s="438"/>
      <c r="U154" s="438"/>
      <c r="V154" s="438"/>
    </row>
    <row r="155" spans="1:22" s="439" customFormat="1" ht="9.9499999999999993" customHeight="1" x14ac:dyDescent="0.2">
      <c r="A155" s="418"/>
      <c r="B155" s="418"/>
      <c r="C155" s="418"/>
      <c r="D155" s="417"/>
      <c r="E155" s="418"/>
      <c r="F155" s="438"/>
      <c r="G155" s="438"/>
      <c r="H155" s="438"/>
      <c r="I155" s="438"/>
      <c r="J155" s="438"/>
      <c r="K155" s="438"/>
      <c r="L155" s="438"/>
      <c r="M155" s="438"/>
      <c r="N155" s="438"/>
      <c r="O155" s="438"/>
      <c r="P155" s="438"/>
      <c r="Q155" s="438"/>
      <c r="R155" s="438"/>
      <c r="S155" s="438"/>
      <c r="T155" s="438"/>
      <c r="U155" s="438"/>
      <c r="V155" s="438"/>
    </row>
    <row r="156" spans="1:22" s="439" customFormat="1" ht="9.9499999999999993" customHeight="1" x14ac:dyDescent="0.2">
      <c r="A156" s="418"/>
      <c r="B156" s="418"/>
      <c r="C156" s="418"/>
      <c r="D156" s="417"/>
      <c r="E156" s="418"/>
      <c r="F156" s="438"/>
      <c r="G156" s="438"/>
      <c r="H156" s="438"/>
      <c r="I156" s="438"/>
      <c r="J156" s="438"/>
      <c r="K156" s="438"/>
      <c r="L156" s="438"/>
      <c r="M156" s="438"/>
      <c r="N156" s="438"/>
      <c r="O156" s="438"/>
      <c r="P156" s="438"/>
      <c r="Q156" s="438"/>
      <c r="R156" s="438"/>
      <c r="S156" s="438"/>
      <c r="T156" s="438"/>
      <c r="U156" s="438"/>
      <c r="V156" s="438"/>
    </row>
    <row r="157" spans="1:22" s="439" customFormat="1" ht="9.9499999999999993" customHeight="1" x14ac:dyDescent="0.2">
      <c r="A157" s="418"/>
      <c r="B157" s="418"/>
      <c r="C157" s="418"/>
      <c r="D157" s="417"/>
      <c r="E157" s="418"/>
      <c r="F157" s="438"/>
      <c r="G157" s="438"/>
      <c r="H157" s="438"/>
      <c r="I157" s="438"/>
      <c r="J157" s="438"/>
      <c r="K157" s="438"/>
      <c r="L157" s="438"/>
      <c r="M157" s="438"/>
      <c r="N157" s="438"/>
      <c r="O157" s="438"/>
      <c r="P157" s="438"/>
      <c r="Q157" s="438"/>
      <c r="R157" s="438"/>
      <c r="S157" s="438"/>
      <c r="T157" s="438"/>
      <c r="U157" s="438"/>
      <c r="V157" s="438"/>
    </row>
    <row r="158" spans="1:22" s="439" customFormat="1" ht="9.9499999999999993" customHeight="1" x14ac:dyDescent="0.2">
      <c r="A158" s="418"/>
      <c r="B158" s="418"/>
      <c r="C158" s="418"/>
      <c r="D158" s="417"/>
      <c r="E158" s="418"/>
      <c r="F158" s="438"/>
      <c r="G158" s="438"/>
      <c r="H158" s="438"/>
      <c r="I158" s="438"/>
      <c r="J158" s="438"/>
      <c r="K158" s="438"/>
      <c r="L158" s="438"/>
      <c r="M158" s="438"/>
      <c r="N158" s="438"/>
      <c r="O158" s="438"/>
      <c r="P158" s="438"/>
      <c r="Q158" s="438"/>
      <c r="R158" s="438"/>
      <c r="S158" s="438"/>
      <c r="T158" s="438"/>
      <c r="U158" s="438"/>
      <c r="V158" s="438"/>
    </row>
    <row r="159" spans="1:22" s="439" customFormat="1" ht="9.9499999999999993" customHeight="1" x14ac:dyDescent="0.2">
      <c r="A159" s="418"/>
      <c r="B159" s="418"/>
      <c r="C159" s="418"/>
      <c r="D159" s="417"/>
      <c r="E159" s="418"/>
      <c r="F159" s="438"/>
      <c r="G159" s="438"/>
      <c r="H159" s="438"/>
      <c r="I159" s="438"/>
      <c r="J159" s="438"/>
      <c r="K159" s="438"/>
      <c r="L159" s="438"/>
      <c r="M159" s="438"/>
      <c r="N159" s="438"/>
      <c r="O159" s="438"/>
      <c r="P159" s="438"/>
      <c r="Q159" s="438"/>
      <c r="R159" s="438"/>
      <c r="S159" s="438"/>
      <c r="T159" s="438"/>
      <c r="U159" s="438"/>
      <c r="V159" s="438"/>
    </row>
    <row r="160" spans="1:22" s="439" customFormat="1" ht="9.9499999999999993" customHeight="1" x14ac:dyDescent="0.2">
      <c r="A160" s="418"/>
      <c r="B160" s="418"/>
      <c r="C160" s="418"/>
      <c r="D160" s="417"/>
      <c r="E160" s="418"/>
      <c r="F160" s="438"/>
      <c r="G160" s="438"/>
      <c r="H160" s="438"/>
      <c r="I160" s="438"/>
      <c r="J160" s="438"/>
      <c r="K160" s="438"/>
      <c r="L160" s="438"/>
      <c r="M160" s="438"/>
      <c r="N160" s="438"/>
      <c r="O160" s="438"/>
      <c r="P160" s="438"/>
      <c r="Q160" s="438"/>
      <c r="R160" s="438"/>
      <c r="S160" s="438"/>
      <c r="T160" s="438"/>
      <c r="U160" s="438"/>
      <c r="V160" s="438"/>
    </row>
    <row r="161" spans="1:22" s="525" customFormat="1" ht="9.9499999999999993" customHeight="1" x14ac:dyDescent="0.2">
      <c r="A161" s="514"/>
      <c r="B161" s="514"/>
      <c r="C161" s="514"/>
      <c r="D161" s="515"/>
      <c r="E161" s="514"/>
      <c r="F161" s="524"/>
      <c r="G161" s="524"/>
      <c r="H161" s="524"/>
      <c r="I161" s="524"/>
      <c r="J161" s="524"/>
      <c r="K161" s="524"/>
      <c r="L161" s="524"/>
      <c r="M161" s="524"/>
      <c r="N161" s="524"/>
      <c r="O161" s="524"/>
      <c r="P161" s="524"/>
      <c r="Q161" s="524"/>
      <c r="R161" s="524"/>
      <c r="S161" s="524"/>
      <c r="T161" s="524"/>
      <c r="U161" s="524"/>
      <c r="V161" s="524"/>
    </row>
    <row r="162" spans="1:22" s="525" customFormat="1" ht="9.9499999999999993" customHeight="1" x14ac:dyDescent="0.2">
      <c r="A162" s="514"/>
      <c r="B162" s="514"/>
      <c r="C162" s="514"/>
      <c r="D162" s="515"/>
      <c r="E162" s="514"/>
      <c r="F162" s="524"/>
      <c r="G162" s="524"/>
      <c r="H162" s="524"/>
      <c r="I162" s="524"/>
      <c r="J162" s="524"/>
      <c r="K162" s="524"/>
      <c r="L162" s="524"/>
      <c r="M162" s="524"/>
      <c r="N162" s="524"/>
      <c r="O162" s="524"/>
      <c r="P162" s="524"/>
      <c r="Q162" s="524"/>
      <c r="R162" s="524"/>
      <c r="S162" s="524"/>
      <c r="T162" s="524"/>
      <c r="U162" s="524"/>
      <c r="V162" s="524"/>
    </row>
    <row r="163" spans="1:22" s="525" customFormat="1" ht="9.9499999999999993" customHeight="1" x14ac:dyDescent="0.2">
      <c r="A163" s="514"/>
      <c r="B163" s="514"/>
      <c r="C163" s="514"/>
      <c r="D163" s="515"/>
      <c r="E163" s="514"/>
      <c r="F163" s="524"/>
      <c r="G163" s="524"/>
      <c r="H163" s="524"/>
      <c r="I163" s="524"/>
      <c r="J163" s="524"/>
      <c r="K163" s="524"/>
      <c r="L163" s="524"/>
      <c r="M163" s="524"/>
      <c r="N163" s="524"/>
      <c r="O163" s="524"/>
      <c r="P163" s="524"/>
      <c r="Q163" s="524"/>
      <c r="R163" s="524"/>
      <c r="S163" s="524"/>
      <c r="T163" s="524"/>
      <c r="U163" s="524"/>
      <c r="V163" s="524"/>
    </row>
    <row r="164" spans="1:22" s="525" customFormat="1" ht="9.9499999999999993" customHeight="1" x14ac:dyDescent="0.2">
      <c r="A164" s="514"/>
      <c r="B164" s="514"/>
      <c r="C164" s="514"/>
      <c r="D164" s="515"/>
      <c r="E164" s="514"/>
      <c r="F164" s="524"/>
      <c r="G164" s="524"/>
      <c r="H164" s="524"/>
      <c r="I164" s="524"/>
      <c r="J164" s="524"/>
      <c r="K164" s="524"/>
      <c r="L164" s="524"/>
      <c r="M164" s="524"/>
      <c r="N164" s="524"/>
      <c r="O164" s="524"/>
      <c r="P164" s="524"/>
      <c r="Q164" s="524"/>
      <c r="R164" s="524"/>
      <c r="S164" s="524"/>
      <c r="T164" s="524"/>
      <c r="U164" s="524"/>
      <c r="V164" s="524"/>
    </row>
    <row r="165" spans="1:22" s="525" customFormat="1" ht="9.9499999999999993" customHeight="1" x14ac:dyDescent="0.2">
      <c r="A165" s="514"/>
      <c r="B165" s="514"/>
      <c r="C165" s="514"/>
      <c r="D165" s="515"/>
      <c r="E165" s="514"/>
      <c r="F165" s="524"/>
      <c r="G165" s="524"/>
      <c r="H165" s="524"/>
      <c r="I165" s="524"/>
      <c r="J165" s="524"/>
      <c r="K165" s="524"/>
      <c r="L165" s="524"/>
      <c r="M165" s="524"/>
      <c r="N165" s="524"/>
      <c r="O165" s="524"/>
      <c r="P165" s="524"/>
      <c r="Q165" s="524"/>
      <c r="R165" s="524"/>
      <c r="S165" s="524"/>
      <c r="T165" s="524"/>
      <c r="U165" s="524"/>
      <c r="V165" s="524"/>
    </row>
    <row r="166" spans="1:22" s="525" customFormat="1" ht="9.9499999999999993" customHeight="1" x14ac:dyDescent="0.2">
      <c r="A166" s="514"/>
      <c r="B166" s="514"/>
      <c r="C166" s="514"/>
      <c r="D166" s="515"/>
      <c r="E166" s="514"/>
      <c r="F166" s="524"/>
      <c r="G166" s="524"/>
      <c r="H166" s="524"/>
      <c r="I166" s="524"/>
      <c r="J166" s="524"/>
      <c r="K166" s="524"/>
      <c r="L166" s="524"/>
      <c r="M166" s="524"/>
      <c r="N166" s="524"/>
      <c r="O166" s="524"/>
      <c r="P166" s="524"/>
      <c r="Q166" s="524"/>
      <c r="R166" s="524"/>
      <c r="S166" s="524"/>
      <c r="T166" s="524"/>
      <c r="U166" s="524"/>
      <c r="V166" s="524"/>
    </row>
    <row r="167" spans="1:22" s="525" customFormat="1" ht="9.9499999999999993" customHeight="1" x14ac:dyDescent="0.2">
      <c r="A167" s="514"/>
      <c r="B167" s="514"/>
      <c r="C167" s="514"/>
      <c r="D167" s="515"/>
      <c r="E167" s="514"/>
      <c r="F167" s="524"/>
      <c r="G167" s="524"/>
      <c r="H167" s="524"/>
      <c r="I167" s="524"/>
      <c r="J167" s="524"/>
      <c r="K167" s="524"/>
      <c r="L167" s="524"/>
      <c r="M167" s="524"/>
      <c r="N167" s="524"/>
      <c r="O167" s="524"/>
      <c r="P167" s="524"/>
      <c r="Q167" s="524"/>
      <c r="R167" s="524"/>
      <c r="S167" s="524"/>
      <c r="T167" s="524"/>
      <c r="U167" s="524"/>
      <c r="V167" s="524"/>
    </row>
    <row r="168" spans="1:22" s="525" customFormat="1" ht="9.9499999999999993" customHeight="1" x14ac:dyDescent="0.2">
      <c r="A168" s="514"/>
      <c r="B168" s="514"/>
      <c r="C168" s="514"/>
      <c r="D168" s="515"/>
      <c r="E168" s="514"/>
      <c r="F168" s="524"/>
      <c r="G168" s="524"/>
      <c r="H168" s="524"/>
      <c r="I168" s="524"/>
      <c r="J168" s="524"/>
      <c r="K168" s="524"/>
      <c r="L168" s="524"/>
      <c r="M168" s="524"/>
      <c r="N168" s="524"/>
      <c r="O168" s="524"/>
      <c r="P168" s="524"/>
      <c r="Q168" s="524"/>
      <c r="R168" s="524"/>
      <c r="S168" s="524"/>
      <c r="T168" s="524"/>
      <c r="U168" s="524"/>
      <c r="V168" s="524"/>
    </row>
    <row r="169" spans="1:22" s="525" customFormat="1" ht="9.9499999999999993" customHeight="1" x14ac:dyDescent="0.2">
      <c r="A169" s="514"/>
      <c r="B169" s="514"/>
      <c r="C169" s="514"/>
      <c r="D169" s="515"/>
      <c r="E169" s="514"/>
      <c r="F169" s="524"/>
      <c r="G169" s="524"/>
      <c r="H169" s="524"/>
      <c r="I169" s="524"/>
      <c r="J169" s="524"/>
      <c r="K169" s="524"/>
      <c r="L169" s="524"/>
      <c r="M169" s="524"/>
      <c r="N169" s="524"/>
      <c r="O169" s="524"/>
      <c r="P169" s="524"/>
      <c r="Q169" s="524"/>
      <c r="R169" s="524"/>
      <c r="S169" s="524"/>
      <c r="T169" s="524"/>
      <c r="U169" s="524"/>
      <c r="V169" s="524"/>
    </row>
    <row r="170" spans="1:22" s="525" customFormat="1" ht="9.9499999999999993" customHeight="1" x14ac:dyDescent="0.2">
      <c r="A170" s="514"/>
      <c r="B170" s="514"/>
      <c r="C170" s="514"/>
      <c r="D170" s="515"/>
      <c r="E170" s="514"/>
      <c r="F170" s="524"/>
      <c r="G170" s="524"/>
      <c r="H170" s="524"/>
      <c r="I170" s="524"/>
      <c r="J170" s="524"/>
      <c r="K170" s="524"/>
      <c r="L170" s="524"/>
      <c r="M170" s="524"/>
      <c r="N170" s="524"/>
      <c r="O170" s="524"/>
      <c r="P170" s="524"/>
      <c r="Q170" s="524"/>
      <c r="R170" s="524"/>
      <c r="S170" s="524"/>
      <c r="T170" s="524"/>
      <c r="U170" s="524"/>
      <c r="V170" s="524"/>
    </row>
    <row r="171" spans="1:22" s="525" customFormat="1" ht="9.9499999999999993" customHeight="1" x14ac:dyDescent="0.2">
      <c r="A171" s="514"/>
      <c r="B171" s="514"/>
      <c r="C171" s="514"/>
      <c r="D171" s="515"/>
      <c r="E171" s="514"/>
      <c r="F171" s="524"/>
      <c r="G171" s="524"/>
      <c r="H171" s="524"/>
      <c r="I171" s="524"/>
      <c r="J171" s="524"/>
      <c r="K171" s="524"/>
      <c r="L171" s="524"/>
      <c r="M171" s="524"/>
      <c r="N171" s="524"/>
      <c r="O171" s="524"/>
      <c r="P171" s="524"/>
      <c r="Q171" s="524"/>
      <c r="R171" s="524"/>
      <c r="S171" s="524"/>
      <c r="T171" s="524"/>
      <c r="U171" s="524"/>
      <c r="V171" s="524"/>
    </row>
    <row r="172" spans="1:22" s="525" customFormat="1" ht="9.9499999999999993" customHeight="1" x14ac:dyDescent="0.2">
      <c r="A172" s="514"/>
      <c r="B172" s="514"/>
      <c r="C172" s="514"/>
      <c r="D172" s="515"/>
      <c r="E172" s="514"/>
      <c r="F172" s="524"/>
      <c r="G172" s="524"/>
      <c r="H172" s="524"/>
      <c r="I172" s="524"/>
      <c r="J172" s="524"/>
      <c r="K172" s="524"/>
      <c r="L172" s="524"/>
      <c r="M172" s="524"/>
      <c r="N172" s="524"/>
      <c r="O172" s="524"/>
      <c r="P172" s="524"/>
      <c r="Q172" s="524"/>
      <c r="R172" s="524"/>
      <c r="S172" s="524"/>
      <c r="T172" s="524"/>
      <c r="U172" s="524"/>
      <c r="V172" s="524"/>
    </row>
    <row r="173" spans="1:22" s="525" customFormat="1" ht="9.9499999999999993" customHeight="1" x14ac:dyDescent="0.2">
      <c r="A173" s="514"/>
      <c r="B173" s="514"/>
      <c r="C173" s="514"/>
      <c r="D173" s="515"/>
      <c r="E173" s="514"/>
      <c r="F173" s="524"/>
      <c r="G173" s="524"/>
      <c r="H173" s="524"/>
      <c r="I173" s="524"/>
      <c r="J173" s="524"/>
      <c r="K173" s="524"/>
      <c r="L173" s="524"/>
      <c r="M173" s="524"/>
      <c r="N173" s="524"/>
      <c r="O173" s="524"/>
      <c r="P173" s="524"/>
      <c r="Q173" s="524"/>
      <c r="R173" s="524"/>
      <c r="S173" s="524"/>
      <c r="T173" s="524"/>
      <c r="U173" s="524"/>
      <c r="V173" s="524"/>
    </row>
    <row r="174" spans="1:22" s="525" customFormat="1" ht="9.9499999999999993" customHeight="1" x14ac:dyDescent="0.2">
      <c r="A174" s="514"/>
      <c r="B174" s="514"/>
      <c r="C174" s="514"/>
      <c r="D174" s="515"/>
      <c r="E174" s="514"/>
      <c r="F174" s="524"/>
      <c r="G174" s="524"/>
      <c r="H174" s="524"/>
      <c r="I174" s="524"/>
      <c r="J174" s="524"/>
      <c r="K174" s="524"/>
      <c r="L174" s="524"/>
      <c r="M174" s="524"/>
      <c r="N174" s="524"/>
      <c r="O174" s="524"/>
      <c r="P174" s="524"/>
      <c r="Q174" s="524"/>
      <c r="R174" s="524"/>
      <c r="S174" s="524"/>
      <c r="T174" s="524"/>
      <c r="U174" s="524"/>
      <c r="V174" s="524"/>
    </row>
    <row r="175" spans="1:22" s="525" customFormat="1" ht="9.9499999999999993" customHeight="1" x14ac:dyDescent="0.2">
      <c r="A175" s="514"/>
      <c r="B175" s="514"/>
      <c r="C175" s="514"/>
      <c r="D175" s="515"/>
      <c r="E175" s="514"/>
      <c r="F175" s="524"/>
      <c r="G175" s="524"/>
      <c r="H175" s="524"/>
      <c r="I175" s="524"/>
      <c r="J175" s="524"/>
      <c r="K175" s="524"/>
      <c r="L175" s="524"/>
      <c r="M175" s="524"/>
      <c r="N175" s="524"/>
      <c r="O175" s="524"/>
      <c r="P175" s="524"/>
      <c r="Q175" s="524"/>
      <c r="R175" s="524"/>
      <c r="S175" s="524"/>
      <c r="T175" s="524"/>
      <c r="U175" s="524"/>
      <c r="V175" s="524"/>
    </row>
    <row r="176" spans="1:22" s="525" customFormat="1" ht="9.9499999999999993" customHeight="1" x14ac:dyDescent="0.2">
      <c r="A176" s="514"/>
      <c r="B176" s="514"/>
      <c r="C176" s="514"/>
      <c r="D176" s="515"/>
      <c r="E176" s="514"/>
      <c r="F176" s="524"/>
      <c r="G176" s="524"/>
      <c r="H176" s="524"/>
      <c r="I176" s="524"/>
      <c r="J176" s="524"/>
      <c r="K176" s="524"/>
      <c r="L176" s="524"/>
      <c r="M176" s="524"/>
      <c r="N176" s="524"/>
      <c r="O176" s="524"/>
      <c r="P176" s="524"/>
      <c r="Q176" s="524"/>
      <c r="R176" s="524"/>
      <c r="S176" s="524"/>
      <c r="T176" s="524"/>
      <c r="U176" s="524"/>
      <c r="V176" s="524"/>
    </row>
    <row r="177" spans="1:22" s="525" customFormat="1" ht="9.9499999999999993" customHeight="1" x14ac:dyDescent="0.2">
      <c r="A177" s="514"/>
      <c r="B177" s="514"/>
      <c r="C177" s="514"/>
      <c r="D177" s="515"/>
      <c r="E177" s="514"/>
      <c r="F177" s="524"/>
      <c r="G177" s="524"/>
      <c r="H177" s="524"/>
      <c r="I177" s="524"/>
      <c r="J177" s="524"/>
      <c r="K177" s="524"/>
      <c r="L177" s="524"/>
      <c r="M177" s="524"/>
      <c r="N177" s="524"/>
      <c r="O177" s="524"/>
      <c r="P177" s="524"/>
      <c r="Q177" s="524"/>
      <c r="R177" s="524"/>
      <c r="S177" s="524"/>
      <c r="T177" s="524"/>
      <c r="U177" s="524"/>
      <c r="V177" s="524"/>
    </row>
    <row r="178" spans="1:22" s="525" customFormat="1" ht="9.9499999999999993" customHeight="1" x14ac:dyDescent="0.2">
      <c r="A178" s="514"/>
      <c r="B178" s="514"/>
      <c r="C178" s="514"/>
      <c r="D178" s="515"/>
      <c r="E178" s="514"/>
      <c r="F178" s="524"/>
      <c r="G178" s="524"/>
      <c r="H178" s="524"/>
      <c r="I178" s="524"/>
      <c r="J178" s="524"/>
      <c r="K178" s="524"/>
      <c r="L178" s="524"/>
      <c r="M178" s="524"/>
      <c r="N178" s="524"/>
      <c r="O178" s="524"/>
      <c r="P178" s="524"/>
      <c r="Q178" s="524"/>
      <c r="R178" s="524"/>
      <c r="S178" s="524"/>
      <c r="T178" s="524"/>
      <c r="U178" s="524"/>
      <c r="V178" s="524"/>
    </row>
    <row r="179" spans="1:22" s="525" customFormat="1" ht="9.9499999999999993" customHeight="1" x14ac:dyDescent="0.2">
      <c r="A179" s="514"/>
      <c r="B179" s="514"/>
      <c r="C179" s="514"/>
      <c r="D179" s="515"/>
      <c r="E179" s="514"/>
      <c r="F179" s="524"/>
      <c r="G179" s="524"/>
      <c r="H179" s="524"/>
      <c r="I179" s="524"/>
      <c r="J179" s="524"/>
      <c r="K179" s="524"/>
      <c r="L179" s="524"/>
      <c r="M179" s="524"/>
      <c r="N179" s="524"/>
      <c r="O179" s="524"/>
      <c r="P179" s="524"/>
      <c r="Q179" s="524"/>
      <c r="R179" s="524"/>
      <c r="S179" s="524"/>
      <c r="T179" s="524"/>
      <c r="U179" s="524"/>
      <c r="V179" s="524"/>
    </row>
    <row r="180" spans="1:22" s="525" customFormat="1" ht="9.9499999999999993" customHeight="1" x14ac:dyDescent="0.2">
      <c r="A180" s="514"/>
      <c r="B180" s="514"/>
      <c r="C180" s="514"/>
      <c r="D180" s="515"/>
      <c r="E180" s="514"/>
      <c r="F180" s="524"/>
      <c r="G180" s="524"/>
      <c r="H180" s="524"/>
      <c r="I180" s="524"/>
      <c r="J180" s="524"/>
      <c r="K180" s="524"/>
      <c r="L180" s="524"/>
      <c r="M180" s="524"/>
      <c r="N180" s="524"/>
      <c r="O180" s="524"/>
      <c r="P180" s="524"/>
      <c r="Q180" s="524"/>
      <c r="R180" s="524"/>
      <c r="S180" s="524"/>
      <c r="T180" s="524"/>
      <c r="U180" s="524"/>
      <c r="V180" s="524"/>
    </row>
    <row r="181" spans="1:22" s="525" customFormat="1" ht="9.9499999999999993" customHeight="1" x14ac:dyDescent="0.2">
      <c r="A181" s="514"/>
      <c r="B181" s="514"/>
      <c r="C181" s="514"/>
      <c r="D181" s="515"/>
      <c r="E181" s="514"/>
      <c r="F181" s="524"/>
      <c r="G181" s="524"/>
      <c r="H181" s="524"/>
      <c r="I181" s="524"/>
      <c r="J181" s="524"/>
      <c r="K181" s="524"/>
      <c r="L181" s="524"/>
      <c r="M181" s="524"/>
      <c r="N181" s="524"/>
      <c r="O181" s="524"/>
      <c r="P181" s="524"/>
      <c r="Q181" s="524"/>
      <c r="R181" s="524"/>
      <c r="S181" s="524"/>
      <c r="T181" s="524"/>
      <c r="U181" s="524"/>
      <c r="V181" s="524"/>
    </row>
    <row r="182" spans="1:22" s="525" customFormat="1" ht="9.9499999999999993" customHeight="1" x14ac:dyDescent="0.2">
      <c r="A182" s="514"/>
      <c r="B182" s="514"/>
      <c r="C182" s="514"/>
      <c r="D182" s="515"/>
      <c r="E182" s="514"/>
      <c r="F182" s="524"/>
      <c r="G182" s="524"/>
      <c r="H182" s="524"/>
      <c r="I182" s="524"/>
      <c r="J182" s="524"/>
      <c r="K182" s="524"/>
      <c r="L182" s="524"/>
      <c r="M182" s="524"/>
      <c r="N182" s="524"/>
      <c r="O182" s="524"/>
      <c r="P182" s="524"/>
      <c r="Q182" s="524"/>
      <c r="R182" s="524"/>
      <c r="S182" s="524"/>
      <c r="T182" s="524"/>
      <c r="U182" s="524"/>
      <c r="V182" s="524"/>
    </row>
    <row r="183" spans="1:22" s="525" customFormat="1" ht="9.9499999999999993" customHeight="1" x14ac:dyDescent="0.2">
      <c r="A183" s="514"/>
      <c r="B183" s="514"/>
      <c r="C183" s="514"/>
      <c r="D183" s="515"/>
      <c r="E183" s="514"/>
      <c r="F183" s="524"/>
      <c r="G183" s="524"/>
      <c r="H183" s="524"/>
      <c r="I183" s="524"/>
      <c r="J183" s="524"/>
      <c r="K183" s="524"/>
      <c r="L183" s="524"/>
      <c r="M183" s="524"/>
      <c r="N183" s="524"/>
      <c r="O183" s="524"/>
      <c r="P183" s="524"/>
      <c r="Q183" s="524"/>
      <c r="R183" s="524"/>
      <c r="S183" s="524"/>
      <c r="T183" s="524"/>
      <c r="U183" s="524"/>
      <c r="V183" s="524"/>
    </row>
    <row r="184" spans="1:22" s="525" customFormat="1" ht="9.9499999999999993" customHeight="1" x14ac:dyDescent="0.2">
      <c r="A184" s="514"/>
      <c r="B184" s="514"/>
      <c r="C184" s="514"/>
      <c r="D184" s="515"/>
      <c r="E184" s="514"/>
      <c r="F184" s="524"/>
      <c r="G184" s="524"/>
      <c r="H184" s="524"/>
      <c r="I184" s="524"/>
      <c r="J184" s="524"/>
      <c r="K184" s="524"/>
      <c r="L184" s="524"/>
      <c r="M184" s="524"/>
      <c r="N184" s="524"/>
      <c r="O184" s="524"/>
      <c r="P184" s="524"/>
      <c r="Q184" s="524"/>
      <c r="R184" s="524"/>
      <c r="S184" s="524"/>
      <c r="T184" s="524"/>
      <c r="U184" s="524"/>
      <c r="V184" s="524"/>
    </row>
    <row r="185" spans="1:22" s="525" customFormat="1" ht="9.9499999999999993" customHeight="1" x14ac:dyDescent="0.2">
      <c r="A185" s="514"/>
      <c r="B185" s="514"/>
      <c r="C185" s="514"/>
      <c r="D185" s="515"/>
      <c r="E185" s="514"/>
      <c r="F185" s="524"/>
      <c r="G185" s="524"/>
      <c r="H185" s="524"/>
      <c r="I185" s="524"/>
      <c r="J185" s="524"/>
      <c r="K185" s="524"/>
      <c r="L185" s="524"/>
      <c r="M185" s="524"/>
      <c r="N185" s="524"/>
      <c r="O185" s="524"/>
      <c r="P185" s="524"/>
      <c r="Q185" s="524"/>
      <c r="R185" s="524"/>
      <c r="S185" s="524"/>
      <c r="T185" s="524"/>
      <c r="U185" s="524"/>
      <c r="V185" s="524"/>
    </row>
    <row r="186" spans="1:22" s="525" customFormat="1" ht="9.9499999999999993" customHeight="1" x14ac:dyDescent="0.2">
      <c r="A186" s="514"/>
      <c r="B186" s="514"/>
      <c r="C186" s="514"/>
      <c r="D186" s="515"/>
      <c r="E186" s="514"/>
      <c r="F186" s="524"/>
      <c r="G186" s="524"/>
      <c r="H186" s="524"/>
      <c r="I186" s="524"/>
      <c r="J186" s="524"/>
      <c r="K186" s="524"/>
      <c r="L186" s="524"/>
      <c r="M186" s="524"/>
      <c r="N186" s="524"/>
      <c r="O186" s="524"/>
      <c r="P186" s="524"/>
      <c r="Q186" s="524"/>
      <c r="R186" s="524"/>
      <c r="S186" s="524"/>
      <c r="T186" s="524"/>
      <c r="U186" s="524"/>
      <c r="V186" s="524"/>
    </row>
    <row r="187" spans="1:22" s="525" customFormat="1" ht="9.9499999999999993" customHeight="1" x14ac:dyDescent="0.2">
      <c r="A187" s="514"/>
      <c r="B187" s="514"/>
      <c r="C187" s="514"/>
      <c r="D187" s="515"/>
      <c r="E187" s="514"/>
      <c r="F187" s="524"/>
      <c r="G187" s="524"/>
      <c r="H187" s="524"/>
      <c r="I187" s="524"/>
      <c r="J187" s="524"/>
      <c r="K187" s="524"/>
      <c r="L187" s="524"/>
      <c r="M187" s="524"/>
      <c r="N187" s="524"/>
      <c r="O187" s="524"/>
      <c r="P187" s="524"/>
      <c r="Q187" s="524"/>
      <c r="R187" s="524"/>
      <c r="S187" s="524"/>
      <c r="T187" s="524"/>
      <c r="U187" s="524"/>
      <c r="V187" s="524"/>
    </row>
    <row r="188" spans="1:22" s="525" customFormat="1" ht="9.9499999999999993" customHeight="1" x14ac:dyDescent="0.2">
      <c r="A188" s="514"/>
      <c r="B188" s="514"/>
      <c r="C188" s="514"/>
      <c r="D188" s="515"/>
      <c r="E188" s="514"/>
      <c r="F188" s="524"/>
      <c r="G188" s="524"/>
      <c r="H188" s="524"/>
      <c r="I188" s="524"/>
      <c r="J188" s="524"/>
      <c r="K188" s="524"/>
      <c r="L188" s="524"/>
      <c r="M188" s="524"/>
      <c r="N188" s="524"/>
      <c r="O188" s="524"/>
      <c r="P188" s="524"/>
      <c r="Q188" s="524"/>
      <c r="R188" s="524"/>
      <c r="S188" s="524"/>
      <c r="T188" s="524"/>
      <c r="U188" s="524"/>
      <c r="V188" s="524"/>
    </row>
    <row r="189" spans="1:22" s="525" customFormat="1" ht="9.9499999999999993" customHeight="1" x14ac:dyDescent="0.2">
      <c r="A189" s="514"/>
      <c r="B189" s="514"/>
      <c r="C189" s="514"/>
      <c r="D189" s="515"/>
      <c r="E189" s="514"/>
      <c r="F189" s="524"/>
      <c r="G189" s="524"/>
      <c r="H189" s="524"/>
      <c r="I189" s="524"/>
      <c r="J189" s="524"/>
      <c r="K189" s="524"/>
      <c r="L189" s="524"/>
      <c r="M189" s="524"/>
      <c r="N189" s="524"/>
      <c r="O189" s="524"/>
      <c r="P189" s="524"/>
      <c r="Q189" s="524"/>
      <c r="R189" s="524"/>
      <c r="S189" s="524"/>
      <c r="T189" s="524"/>
      <c r="U189" s="524"/>
      <c r="V189" s="524"/>
    </row>
    <row r="190" spans="1:22" s="525" customFormat="1" ht="9.9499999999999993" customHeight="1" x14ac:dyDescent="0.2">
      <c r="A190" s="514"/>
      <c r="B190" s="514"/>
      <c r="C190" s="514"/>
      <c r="D190" s="515"/>
      <c r="E190" s="514"/>
      <c r="F190" s="524"/>
      <c r="G190" s="524"/>
      <c r="H190" s="524"/>
      <c r="I190" s="524"/>
      <c r="J190" s="524"/>
      <c r="K190" s="524"/>
      <c r="L190" s="524"/>
      <c r="M190" s="524"/>
      <c r="N190" s="524"/>
      <c r="O190" s="524"/>
      <c r="P190" s="524"/>
      <c r="Q190" s="524"/>
      <c r="R190" s="524"/>
      <c r="S190" s="524"/>
      <c r="T190" s="524"/>
      <c r="U190" s="524"/>
      <c r="V190" s="524"/>
    </row>
    <row r="191" spans="1:22" s="525" customFormat="1" ht="9.9499999999999993" customHeight="1" x14ac:dyDescent="0.2">
      <c r="A191" s="514"/>
      <c r="B191" s="514"/>
      <c r="C191" s="514"/>
      <c r="D191" s="515"/>
      <c r="E191" s="514"/>
      <c r="F191" s="524"/>
      <c r="G191" s="524"/>
      <c r="H191" s="524"/>
      <c r="I191" s="524"/>
      <c r="J191" s="524"/>
      <c r="K191" s="524"/>
      <c r="L191" s="524"/>
      <c r="M191" s="524"/>
      <c r="N191" s="524"/>
      <c r="O191" s="524"/>
      <c r="P191" s="524"/>
      <c r="Q191" s="524"/>
      <c r="R191" s="524"/>
      <c r="S191" s="524"/>
      <c r="T191" s="524"/>
      <c r="U191" s="524"/>
      <c r="V191" s="524"/>
    </row>
    <row r="192" spans="1:22" s="525" customFormat="1" ht="9.9499999999999993" customHeight="1" x14ac:dyDescent="0.2">
      <c r="A192" s="514"/>
      <c r="B192" s="514"/>
      <c r="C192" s="514"/>
      <c r="D192" s="515"/>
      <c r="E192" s="514"/>
      <c r="F192" s="524"/>
      <c r="G192" s="524"/>
      <c r="H192" s="524"/>
      <c r="I192" s="524"/>
      <c r="J192" s="524"/>
      <c r="K192" s="524"/>
      <c r="L192" s="524"/>
      <c r="M192" s="524"/>
      <c r="N192" s="524"/>
      <c r="O192" s="524"/>
      <c r="P192" s="524"/>
      <c r="Q192" s="524"/>
      <c r="R192" s="524"/>
      <c r="S192" s="524"/>
      <c r="T192" s="524"/>
      <c r="U192" s="524"/>
      <c r="V192" s="524"/>
    </row>
    <row r="193" spans="1:22" s="525" customFormat="1" ht="9.9499999999999993" customHeight="1" x14ac:dyDescent="0.2">
      <c r="A193" s="514"/>
      <c r="B193" s="514"/>
      <c r="C193" s="514"/>
      <c r="D193" s="515"/>
      <c r="E193" s="514"/>
      <c r="F193" s="524"/>
      <c r="G193" s="524"/>
      <c r="H193" s="524"/>
      <c r="I193" s="524"/>
      <c r="J193" s="524"/>
      <c r="K193" s="524"/>
      <c r="L193" s="524"/>
      <c r="M193" s="524"/>
      <c r="N193" s="524"/>
      <c r="O193" s="524"/>
      <c r="P193" s="524"/>
      <c r="Q193" s="524"/>
      <c r="R193" s="524"/>
      <c r="S193" s="524"/>
      <c r="T193" s="524"/>
      <c r="U193" s="524"/>
      <c r="V193" s="524"/>
    </row>
    <row r="194" spans="1:22" s="525" customFormat="1" ht="9.9499999999999993" customHeight="1" x14ac:dyDescent="0.2">
      <c r="A194" s="514"/>
      <c r="B194" s="514"/>
      <c r="C194" s="514"/>
      <c r="D194" s="515"/>
      <c r="E194" s="514"/>
      <c r="F194" s="524"/>
      <c r="G194" s="524"/>
      <c r="H194" s="524"/>
      <c r="I194" s="524"/>
      <c r="J194" s="524"/>
      <c r="K194" s="524"/>
      <c r="L194" s="524"/>
      <c r="M194" s="524"/>
      <c r="N194" s="524"/>
      <c r="O194" s="524"/>
      <c r="P194" s="524"/>
      <c r="Q194" s="524"/>
      <c r="R194" s="524"/>
      <c r="S194" s="524"/>
      <c r="T194" s="524"/>
      <c r="U194" s="524"/>
      <c r="V194" s="524"/>
    </row>
    <row r="195" spans="1:22" s="525" customFormat="1" ht="9.9499999999999993" customHeight="1" x14ac:dyDescent="0.2">
      <c r="A195" s="514"/>
      <c r="B195" s="514"/>
      <c r="C195" s="514"/>
      <c r="D195" s="515"/>
      <c r="E195" s="514"/>
      <c r="F195" s="524"/>
      <c r="G195" s="524"/>
      <c r="H195" s="524"/>
      <c r="I195" s="524"/>
      <c r="J195" s="524"/>
      <c r="K195" s="524"/>
      <c r="L195" s="524"/>
      <c r="M195" s="524"/>
      <c r="N195" s="524"/>
      <c r="O195" s="524"/>
      <c r="P195" s="524"/>
      <c r="Q195" s="524"/>
      <c r="R195" s="524"/>
      <c r="S195" s="524"/>
      <c r="T195" s="524"/>
      <c r="U195" s="524"/>
      <c r="V195" s="524"/>
    </row>
    <row r="196" spans="1:22" s="525" customFormat="1" ht="9.9499999999999993" customHeight="1" x14ac:dyDescent="0.2">
      <c r="A196" s="514"/>
      <c r="B196" s="514"/>
      <c r="C196" s="514"/>
      <c r="D196" s="515"/>
      <c r="E196" s="514"/>
      <c r="F196" s="524"/>
      <c r="G196" s="524"/>
      <c r="H196" s="524"/>
      <c r="I196" s="524"/>
      <c r="J196" s="524"/>
      <c r="K196" s="524"/>
      <c r="L196" s="524"/>
      <c r="M196" s="524"/>
      <c r="N196" s="524"/>
      <c r="O196" s="524"/>
      <c r="P196" s="524"/>
      <c r="Q196" s="524"/>
      <c r="R196" s="524"/>
      <c r="S196" s="524"/>
      <c r="T196" s="524"/>
      <c r="U196" s="524"/>
      <c r="V196" s="524"/>
    </row>
    <row r="197" spans="1:22" s="525" customFormat="1" ht="9.9499999999999993" customHeight="1" x14ac:dyDescent="0.2">
      <c r="A197" s="514"/>
      <c r="B197" s="514"/>
      <c r="C197" s="514"/>
      <c r="D197" s="515"/>
      <c r="E197" s="514"/>
      <c r="F197" s="524"/>
      <c r="G197" s="524"/>
      <c r="H197" s="524"/>
      <c r="I197" s="524"/>
      <c r="J197" s="524"/>
      <c r="K197" s="524"/>
      <c r="L197" s="524"/>
      <c r="M197" s="524"/>
      <c r="N197" s="524"/>
      <c r="O197" s="524"/>
      <c r="P197" s="524"/>
      <c r="Q197" s="524"/>
      <c r="R197" s="524"/>
      <c r="S197" s="524"/>
      <c r="T197" s="524"/>
      <c r="U197" s="524"/>
      <c r="V197" s="524"/>
    </row>
    <row r="198" spans="1:22" s="525" customFormat="1" ht="9.9499999999999993" customHeight="1" x14ac:dyDescent="0.2">
      <c r="A198" s="514"/>
      <c r="B198" s="514"/>
      <c r="C198" s="514"/>
      <c r="D198" s="515"/>
      <c r="E198" s="514"/>
      <c r="F198" s="524"/>
      <c r="G198" s="524"/>
      <c r="H198" s="524"/>
      <c r="I198" s="524"/>
      <c r="J198" s="524"/>
      <c r="K198" s="524"/>
      <c r="L198" s="524"/>
      <c r="M198" s="524"/>
      <c r="N198" s="524"/>
      <c r="O198" s="524"/>
      <c r="P198" s="524"/>
      <c r="Q198" s="524"/>
      <c r="R198" s="524"/>
      <c r="S198" s="524"/>
      <c r="T198" s="524"/>
      <c r="U198" s="524"/>
      <c r="V198" s="524"/>
    </row>
    <row r="199" spans="1:22" s="525" customFormat="1" ht="9.9499999999999993" customHeight="1" x14ac:dyDescent="0.2">
      <c r="A199" s="514"/>
      <c r="B199" s="514"/>
      <c r="C199" s="514"/>
      <c r="D199" s="515"/>
      <c r="E199" s="514"/>
      <c r="F199" s="524"/>
      <c r="G199" s="524"/>
      <c r="H199" s="524"/>
      <c r="I199" s="524"/>
      <c r="J199" s="524"/>
      <c r="K199" s="524"/>
      <c r="L199" s="524"/>
      <c r="M199" s="524"/>
      <c r="N199" s="524"/>
      <c r="O199" s="524"/>
      <c r="P199" s="524"/>
      <c r="Q199" s="524"/>
      <c r="R199" s="524"/>
      <c r="S199" s="524"/>
      <c r="T199" s="524"/>
      <c r="U199" s="524"/>
      <c r="V199" s="524"/>
    </row>
    <row r="200" spans="1:22" s="525" customFormat="1" ht="9.9499999999999993" customHeight="1" x14ac:dyDescent="0.2">
      <c r="A200" s="514"/>
      <c r="B200" s="514"/>
      <c r="C200" s="514"/>
      <c r="D200" s="515"/>
      <c r="E200" s="514"/>
      <c r="F200" s="524"/>
      <c r="G200" s="524"/>
      <c r="H200" s="524"/>
      <c r="I200" s="524"/>
      <c r="J200" s="524"/>
      <c r="K200" s="524"/>
      <c r="L200" s="524"/>
      <c r="M200" s="524"/>
      <c r="N200" s="524"/>
      <c r="O200" s="524"/>
      <c r="P200" s="524"/>
      <c r="Q200" s="524"/>
      <c r="R200" s="524"/>
      <c r="S200" s="524"/>
      <c r="T200" s="524"/>
      <c r="U200" s="524"/>
      <c r="V200" s="524"/>
    </row>
    <row r="201" spans="1:22" s="525" customFormat="1" ht="9.9499999999999993" customHeight="1" x14ac:dyDescent="0.2">
      <c r="A201" s="514"/>
      <c r="B201" s="514"/>
      <c r="C201" s="514"/>
      <c r="D201" s="515"/>
      <c r="E201" s="514"/>
      <c r="F201" s="524"/>
      <c r="G201" s="524"/>
      <c r="H201" s="524"/>
      <c r="I201" s="524"/>
      <c r="J201" s="524"/>
      <c r="K201" s="524"/>
      <c r="L201" s="524"/>
      <c r="M201" s="524"/>
      <c r="N201" s="524"/>
      <c r="O201" s="524"/>
      <c r="P201" s="524"/>
      <c r="Q201" s="524"/>
      <c r="R201" s="524"/>
      <c r="S201" s="524"/>
      <c r="T201" s="524"/>
      <c r="U201" s="524"/>
      <c r="V201" s="524"/>
    </row>
    <row r="202" spans="1:22" s="525" customFormat="1" ht="9.9499999999999993" customHeight="1" x14ac:dyDescent="0.2">
      <c r="A202" s="514"/>
      <c r="B202" s="514"/>
      <c r="C202" s="514"/>
      <c r="D202" s="515"/>
      <c r="E202" s="514"/>
      <c r="F202" s="524"/>
      <c r="G202" s="524"/>
      <c r="H202" s="524"/>
      <c r="I202" s="524"/>
      <c r="J202" s="524"/>
      <c r="K202" s="524"/>
      <c r="L202" s="524"/>
      <c r="M202" s="524"/>
      <c r="N202" s="524"/>
      <c r="O202" s="524"/>
      <c r="P202" s="524"/>
      <c r="Q202" s="524"/>
      <c r="R202" s="524"/>
      <c r="S202" s="524"/>
      <c r="T202" s="524"/>
      <c r="U202" s="524"/>
      <c r="V202" s="524"/>
    </row>
    <row r="203" spans="1:22" s="525" customFormat="1" ht="9.9499999999999993" customHeight="1" x14ac:dyDescent="0.2">
      <c r="A203" s="514"/>
      <c r="B203" s="514"/>
      <c r="C203" s="514"/>
      <c r="D203" s="515"/>
      <c r="E203" s="514"/>
      <c r="F203" s="524"/>
      <c r="G203" s="524"/>
      <c r="H203" s="524"/>
      <c r="I203" s="524"/>
      <c r="J203" s="524"/>
      <c r="K203" s="524"/>
      <c r="L203" s="524"/>
      <c r="M203" s="524"/>
      <c r="N203" s="524"/>
      <c r="O203" s="524"/>
      <c r="P203" s="524"/>
      <c r="Q203" s="524"/>
      <c r="R203" s="524"/>
      <c r="S203" s="524"/>
      <c r="T203" s="524"/>
      <c r="U203" s="524"/>
      <c r="V203" s="524"/>
    </row>
    <row r="204" spans="1:22" s="525" customFormat="1" ht="9.9499999999999993" customHeight="1" x14ac:dyDescent="0.2">
      <c r="A204" s="514"/>
      <c r="B204" s="514"/>
      <c r="C204" s="514"/>
      <c r="D204" s="515"/>
      <c r="E204" s="514"/>
      <c r="F204" s="524"/>
      <c r="G204" s="524"/>
      <c r="H204" s="524"/>
      <c r="I204" s="524"/>
      <c r="J204" s="524"/>
      <c r="K204" s="524"/>
      <c r="L204" s="524"/>
      <c r="M204" s="524"/>
      <c r="N204" s="524"/>
      <c r="O204" s="524"/>
      <c r="P204" s="524"/>
      <c r="Q204" s="524"/>
      <c r="R204" s="524"/>
      <c r="S204" s="524"/>
      <c r="T204" s="524"/>
      <c r="U204" s="524"/>
      <c r="V204" s="524"/>
    </row>
    <row r="205" spans="1:22" s="525" customFormat="1" ht="9.9499999999999993" customHeight="1" x14ac:dyDescent="0.2">
      <c r="A205" s="514"/>
      <c r="B205" s="514"/>
      <c r="C205" s="514"/>
      <c r="D205" s="515"/>
      <c r="E205" s="514"/>
      <c r="F205" s="524"/>
      <c r="G205" s="524"/>
      <c r="H205" s="524"/>
      <c r="I205" s="524"/>
      <c r="J205" s="524"/>
      <c r="K205" s="524"/>
      <c r="L205" s="524"/>
      <c r="M205" s="524"/>
      <c r="N205" s="524"/>
      <c r="O205" s="524"/>
      <c r="P205" s="524"/>
      <c r="Q205" s="524"/>
      <c r="R205" s="524"/>
      <c r="S205" s="524"/>
      <c r="T205" s="524"/>
      <c r="U205" s="524"/>
      <c r="V205" s="524"/>
    </row>
    <row r="206" spans="1:22" s="525" customFormat="1" ht="9.9499999999999993" customHeight="1" x14ac:dyDescent="0.2">
      <c r="A206" s="514"/>
      <c r="B206" s="514"/>
      <c r="C206" s="514"/>
      <c r="D206" s="515"/>
      <c r="E206" s="514"/>
      <c r="F206" s="524"/>
      <c r="G206" s="524"/>
      <c r="H206" s="524"/>
      <c r="I206" s="524"/>
      <c r="J206" s="524"/>
      <c r="K206" s="524"/>
      <c r="L206" s="524"/>
      <c r="M206" s="524"/>
      <c r="N206" s="524"/>
      <c r="O206" s="524"/>
      <c r="P206" s="524"/>
      <c r="Q206" s="524"/>
      <c r="R206" s="524"/>
      <c r="S206" s="524"/>
      <c r="T206" s="524"/>
      <c r="U206" s="524"/>
      <c r="V206" s="524"/>
    </row>
    <row r="207" spans="1:22" s="525" customFormat="1" ht="9.9499999999999993" customHeight="1" x14ac:dyDescent="0.2">
      <c r="A207" s="514"/>
      <c r="B207" s="514"/>
      <c r="C207" s="514"/>
      <c r="D207" s="515"/>
      <c r="E207" s="514"/>
      <c r="F207" s="524"/>
      <c r="G207" s="524"/>
      <c r="H207" s="524"/>
      <c r="I207" s="524"/>
      <c r="J207" s="524"/>
      <c r="K207" s="524"/>
      <c r="L207" s="524"/>
      <c r="M207" s="524"/>
      <c r="N207" s="524"/>
      <c r="O207" s="524"/>
      <c r="P207" s="524"/>
      <c r="Q207" s="524"/>
      <c r="R207" s="524"/>
      <c r="S207" s="524"/>
      <c r="T207" s="524"/>
      <c r="U207" s="524"/>
      <c r="V207" s="524"/>
    </row>
    <row r="208" spans="1:22" s="525" customFormat="1" ht="9.9499999999999993" customHeight="1" x14ac:dyDescent="0.2">
      <c r="A208" s="514"/>
      <c r="B208" s="514"/>
      <c r="C208" s="514"/>
      <c r="D208" s="515"/>
      <c r="E208" s="514"/>
      <c r="F208" s="524"/>
      <c r="G208" s="524"/>
      <c r="H208" s="524"/>
      <c r="I208" s="524"/>
      <c r="J208" s="524"/>
      <c r="K208" s="524"/>
      <c r="L208" s="524"/>
      <c r="M208" s="524"/>
      <c r="N208" s="524"/>
      <c r="O208" s="524"/>
      <c r="P208" s="524"/>
      <c r="Q208" s="524"/>
      <c r="R208" s="524"/>
      <c r="S208" s="524"/>
      <c r="T208" s="524"/>
      <c r="U208" s="524"/>
      <c r="V208" s="524"/>
    </row>
    <row r="209" spans="1:22" s="525" customFormat="1" ht="9.9499999999999993" customHeight="1" x14ac:dyDescent="0.2">
      <c r="A209" s="514"/>
      <c r="B209" s="514"/>
      <c r="C209" s="514"/>
      <c r="D209" s="515"/>
      <c r="E209" s="514"/>
      <c r="F209" s="524"/>
      <c r="G209" s="524"/>
      <c r="H209" s="524"/>
      <c r="I209" s="524"/>
      <c r="J209" s="524"/>
      <c r="K209" s="524"/>
      <c r="L209" s="524"/>
      <c r="M209" s="524"/>
      <c r="N209" s="524"/>
      <c r="O209" s="524"/>
      <c r="P209" s="524"/>
      <c r="Q209" s="524"/>
      <c r="R209" s="524"/>
      <c r="S209" s="524"/>
      <c r="T209" s="524"/>
      <c r="U209" s="524"/>
      <c r="V209" s="524"/>
    </row>
    <row r="210" spans="1:22" s="525" customFormat="1" ht="9.9499999999999993" customHeight="1" x14ac:dyDescent="0.2">
      <c r="A210" s="514"/>
      <c r="B210" s="514"/>
      <c r="C210" s="514"/>
      <c r="D210" s="515"/>
      <c r="E210" s="514"/>
      <c r="F210" s="524"/>
      <c r="G210" s="524"/>
      <c r="H210" s="524"/>
      <c r="I210" s="524"/>
      <c r="J210" s="524"/>
      <c r="K210" s="524"/>
      <c r="L210" s="524"/>
      <c r="M210" s="524"/>
      <c r="N210" s="524"/>
      <c r="O210" s="524"/>
      <c r="P210" s="524"/>
      <c r="Q210" s="524"/>
      <c r="R210" s="524"/>
      <c r="S210" s="524"/>
      <c r="T210" s="524"/>
      <c r="U210" s="524"/>
      <c r="V210" s="524"/>
    </row>
    <row r="211" spans="1:22" s="525" customFormat="1" ht="9.9499999999999993" customHeight="1" x14ac:dyDescent="0.2">
      <c r="A211" s="514"/>
      <c r="B211" s="514"/>
      <c r="C211" s="514"/>
      <c r="D211" s="515"/>
      <c r="E211" s="514"/>
      <c r="F211" s="524"/>
      <c r="G211" s="524"/>
      <c r="H211" s="524"/>
      <c r="I211" s="524"/>
      <c r="J211" s="524"/>
      <c r="K211" s="524"/>
      <c r="L211" s="524"/>
      <c r="M211" s="524"/>
      <c r="N211" s="524"/>
      <c r="O211" s="524"/>
      <c r="P211" s="524"/>
      <c r="Q211" s="524"/>
      <c r="R211" s="524"/>
      <c r="S211" s="524"/>
      <c r="T211" s="524"/>
      <c r="U211" s="524"/>
      <c r="V211" s="524"/>
    </row>
    <row r="212" spans="1:22" s="525" customFormat="1" ht="9.9499999999999993" customHeight="1" x14ac:dyDescent="0.2">
      <c r="A212" s="514"/>
      <c r="B212" s="514"/>
      <c r="C212" s="514"/>
      <c r="D212" s="515"/>
      <c r="E212" s="514"/>
      <c r="F212" s="524"/>
      <c r="G212" s="524"/>
      <c r="H212" s="524"/>
      <c r="I212" s="524"/>
      <c r="J212" s="524"/>
      <c r="K212" s="524"/>
      <c r="L212" s="524"/>
      <c r="M212" s="524"/>
      <c r="N212" s="524"/>
      <c r="O212" s="524"/>
      <c r="P212" s="524"/>
      <c r="Q212" s="524"/>
      <c r="R212" s="524"/>
      <c r="S212" s="524"/>
      <c r="T212" s="524"/>
      <c r="U212" s="524"/>
      <c r="V212" s="524"/>
    </row>
    <row r="213" spans="1:22" s="525" customFormat="1" ht="9.9499999999999993" customHeight="1" x14ac:dyDescent="0.2">
      <c r="A213" s="514"/>
      <c r="B213" s="514"/>
      <c r="C213" s="514"/>
      <c r="D213" s="515"/>
      <c r="E213" s="514"/>
      <c r="F213" s="524"/>
      <c r="G213" s="524"/>
      <c r="H213" s="524"/>
      <c r="I213" s="524"/>
      <c r="J213" s="524"/>
      <c r="K213" s="524"/>
      <c r="L213" s="524"/>
      <c r="M213" s="524"/>
      <c r="N213" s="524"/>
      <c r="O213" s="524"/>
      <c r="P213" s="524"/>
      <c r="Q213" s="524"/>
      <c r="R213" s="524"/>
      <c r="S213" s="524"/>
      <c r="T213" s="524"/>
      <c r="U213" s="524"/>
      <c r="V213" s="524"/>
    </row>
    <row r="214" spans="1:22" s="525" customFormat="1" ht="9.9499999999999993" customHeight="1" x14ac:dyDescent="0.2">
      <c r="A214" s="514"/>
      <c r="B214" s="514"/>
      <c r="C214" s="514"/>
      <c r="D214" s="515"/>
      <c r="E214" s="514"/>
      <c r="F214" s="524"/>
      <c r="G214" s="524"/>
      <c r="H214" s="524"/>
      <c r="I214" s="524"/>
      <c r="J214" s="524"/>
      <c r="K214" s="524"/>
      <c r="L214" s="524"/>
      <c r="M214" s="524"/>
      <c r="N214" s="524"/>
      <c r="O214" s="524"/>
      <c r="P214" s="524"/>
      <c r="Q214" s="524"/>
      <c r="R214" s="524"/>
      <c r="S214" s="524"/>
      <c r="T214" s="524"/>
      <c r="U214" s="524"/>
      <c r="V214" s="524"/>
    </row>
    <row r="215" spans="1:22" s="525" customFormat="1" ht="9.9499999999999993" customHeight="1" x14ac:dyDescent="0.2">
      <c r="A215" s="514"/>
      <c r="B215" s="514"/>
      <c r="C215" s="514"/>
      <c r="D215" s="515"/>
      <c r="E215" s="514"/>
      <c r="F215" s="524"/>
      <c r="G215" s="524"/>
      <c r="H215" s="524"/>
      <c r="I215" s="524"/>
      <c r="J215" s="524"/>
      <c r="K215" s="524"/>
      <c r="L215" s="524"/>
      <c r="M215" s="524"/>
      <c r="N215" s="524"/>
      <c r="O215" s="524"/>
      <c r="P215" s="524"/>
      <c r="Q215" s="524"/>
      <c r="R215" s="524"/>
      <c r="S215" s="524"/>
      <c r="T215" s="524"/>
      <c r="U215" s="524"/>
      <c r="V215" s="524"/>
    </row>
    <row r="216" spans="1:22" s="525" customFormat="1" ht="9.9499999999999993" customHeight="1" x14ac:dyDescent="0.2">
      <c r="A216" s="514"/>
      <c r="B216" s="514"/>
      <c r="C216" s="514"/>
      <c r="D216" s="515"/>
      <c r="E216" s="514"/>
      <c r="F216" s="524"/>
      <c r="G216" s="524"/>
      <c r="H216" s="524"/>
      <c r="I216" s="524"/>
      <c r="J216" s="524"/>
      <c r="K216" s="524"/>
      <c r="L216" s="524"/>
      <c r="M216" s="524"/>
      <c r="N216" s="524"/>
      <c r="O216" s="524"/>
      <c r="P216" s="524"/>
      <c r="Q216" s="524"/>
      <c r="R216" s="524"/>
      <c r="S216" s="524"/>
      <c r="T216" s="524"/>
      <c r="U216" s="524"/>
      <c r="V216" s="524"/>
    </row>
    <row r="217" spans="1:22" s="525" customFormat="1" ht="9.9499999999999993" customHeight="1" x14ac:dyDescent="0.2">
      <c r="A217" s="514"/>
      <c r="B217" s="514"/>
      <c r="C217" s="514"/>
      <c r="D217" s="515"/>
      <c r="E217" s="514"/>
      <c r="F217" s="524"/>
      <c r="G217" s="524"/>
      <c r="H217" s="524"/>
      <c r="I217" s="524"/>
      <c r="J217" s="524"/>
      <c r="K217" s="524"/>
      <c r="L217" s="524"/>
      <c r="M217" s="524"/>
      <c r="N217" s="524"/>
      <c r="O217" s="524"/>
      <c r="P217" s="524"/>
      <c r="Q217" s="524"/>
      <c r="R217" s="524"/>
      <c r="S217" s="524"/>
      <c r="T217" s="524"/>
      <c r="U217" s="524"/>
      <c r="V217" s="524"/>
    </row>
    <row r="218" spans="1:22" s="525" customFormat="1" ht="9.9499999999999993" customHeight="1" x14ac:dyDescent="0.2">
      <c r="A218" s="514"/>
      <c r="B218" s="514"/>
      <c r="C218" s="514"/>
      <c r="D218" s="515"/>
      <c r="E218" s="514"/>
      <c r="F218" s="524"/>
      <c r="G218" s="524"/>
      <c r="H218" s="524"/>
      <c r="I218" s="524"/>
      <c r="J218" s="524"/>
      <c r="K218" s="524"/>
      <c r="L218" s="524"/>
      <c r="M218" s="524"/>
      <c r="N218" s="524"/>
      <c r="O218" s="524"/>
      <c r="P218" s="524"/>
      <c r="Q218" s="524"/>
      <c r="R218" s="524"/>
      <c r="S218" s="524"/>
      <c r="T218" s="524"/>
      <c r="U218" s="524"/>
      <c r="V218" s="524"/>
    </row>
    <row r="219" spans="1:22" s="525" customFormat="1" ht="9.9499999999999993" customHeight="1" x14ac:dyDescent="0.2">
      <c r="A219" s="514"/>
      <c r="B219" s="514"/>
      <c r="C219" s="514"/>
      <c r="D219" s="515"/>
      <c r="E219" s="514"/>
      <c r="F219" s="524"/>
      <c r="G219" s="524"/>
      <c r="H219" s="524"/>
      <c r="I219" s="524"/>
      <c r="J219" s="524"/>
      <c r="K219" s="524"/>
      <c r="L219" s="524"/>
      <c r="M219" s="524"/>
      <c r="N219" s="524"/>
      <c r="O219" s="524"/>
      <c r="P219" s="524"/>
      <c r="Q219" s="524"/>
      <c r="R219" s="524"/>
      <c r="S219" s="524"/>
      <c r="T219" s="524"/>
      <c r="U219" s="524"/>
      <c r="V219" s="524"/>
    </row>
    <row r="220" spans="1:22" s="525" customFormat="1" ht="9.9499999999999993" customHeight="1" x14ac:dyDescent="0.2">
      <c r="A220" s="514"/>
      <c r="B220" s="514"/>
      <c r="C220" s="514"/>
      <c r="D220" s="515"/>
      <c r="E220" s="514"/>
      <c r="F220" s="524"/>
      <c r="G220" s="524"/>
      <c r="H220" s="524"/>
      <c r="I220" s="524"/>
      <c r="J220" s="524"/>
      <c r="K220" s="524"/>
      <c r="L220" s="524"/>
      <c r="M220" s="524"/>
      <c r="N220" s="524"/>
      <c r="O220" s="524"/>
      <c r="P220" s="524"/>
      <c r="Q220" s="524"/>
      <c r="R220" s="524"/>
      <c r="S220" s="524"/>
      <c r="T220" s="524"/>
      <c r="U220" s="524"/>
      <c r="V220" s="524"/>
    </row>
    <row r="221" spans="1:22" s="525" customFormat="1" ht="9.9499999999999993" customHeight="1" x14ac:dyDescent="0.2">
      <c r="A221" s="514"/>
      <c r="B221" s="514"/>
      <c r="C221" s="514"/>
      <c r="D221" s="515"/>
      <c r="E221" s="514"/>
      <c r="F221" s="524"/>
      <c r="G221" s="524"/>
      <c r="H221" s="524"/>
      <c r="I221" s="524"/>
      <c r="J221" s="524"/>
      <c r="K221" s="524"/>
      <c r="L221" s="524"/>
      <c r="M221" s="524"/>
      <c r="N221" s="524"/>
      <c r="O221" s="524"/>
      <c r="P221" s="524"/>
      <c r="Q221" s="524"/>
      <c r="R221" s="524"/>
      <c r="S221" s="524"/>
      <c r="T221" s="524"/>
      <c r="U221" s="524"/>
      <c r="V221" s="524"/>
    </row>
    <row r="222" spans="1:22" s="525" customFormat="1" ht="9.9499999999999993" customHeight="1" x14ac:dyDescent="0.2">
      <c r="A222" s="514"/>
      <c r="B222" s="514"/>
      <c r="C222" s="514"/>
      <c r="D222" s="515"/>
      <c r="E222" s="514"/>
      <c r="F222" s="524"/>
      <c r="G222" s="524"/>
      <c r="H222" s="524"/>
      <c r="I222" s="524"/>
      <c r="J222" s="524"/>
      <c r="K222" s="524"/>
      <c r="L222" s="524"/>
      <c r="M222" s="524"/>
      <c r="N222" s="524"/>
      <c r="O222" s="524"/>
      <c r="P222" s="524"/>
      <c r="Q222" s="524"/>
      <c r="R222" s="524"/>
      <c r="S222" s="524"/>
      <c r="T222" s="524"/>
      <c r="U222" s="524"/>
      <c r="V222" s="524"/>
    </row>
    <row r="223" spans="1:22" s="525" customFormat="1" ht="9.9499999999999993" customHeight="1" x14ac:dyDescent="0.2">
      <c r="A223" s="514"/>
      <c r="B223" s="514"/>
      <c r="C223" s="514"/>
      <c r="D223" s="515"/>
      <c r="E223" s="514"/>
      <c r="F223" s="524"/>
      <c r="G223" s="524"/>
      <c r="H223" s="524"/>
      <c r="I223" s="524"/>
      <c r="J223" s="524"/>
      <c r="K223" s="524"/>
      <c r="L223" s="524"/>
      <c r="M223" s="524"/>
      <c r="N223" s="524"/>
      <c r="O223" s="524"/>
      <c r="P223" s="524"/>
      <c r="Q223" s="524"/>
      <c r="R223" s="524"/>
      <c r="S223" s="524"/>
      <c r="T223" s="524"/>
      <c r="U223" s="524"/>
      <c r="V223" s="524"/>
    </row>
    <row r="224" spans="1:22" s="525" customFormat="1" ht="9.9499999999999993" customHeight="1" x14ac:dyDescent="0.2">
      <c r="A224" s="514"/>
      <c r="B224" s="514"/>
      <c r="C224" s="514"/>
      <c r="D224" s="515"/>
      <c r="E224" s="514"/>
      <c r="F224" s="524"/>
      <c r="G224" s="524"/>
      <c r="H224" s="524"/>
      <c r="I224" s="524"/>
      <c r="J224" s="524"/>
      <c r="K224" s="524"/>
      <c r="L224" s="524"/>
      <c r="M224" s="524"/>
      <c r="N224" s="524"/>
      <c r="O224" s="524"/>
      <c r="P224" s="524"/>
      <c r="Q224" s="524"/>
      <c r="R224" s="524"/>
      <c r="S224" s="524"/>
      <c r="T224" s="524"/>
      <c r="U224" s="524"/>
      <c r="V224" s="524"/>
    </row>
    <row r="225" spans="1:22" s="525" customFormat="1" ht="9.9499999999999993" customHeight="1" x14ac:dyDescent="0.2">
      <c r="A225" s="514"/>
      <c r="B225" s="514"/>
      <c r="C225" s="514"/>
      <c r="D225" s="515"/>
      <c r="E225" s="514"/>
      <c r="F225" s="524"/>
      <c r="G225" s="524"/>
      <c r="H225" s="524"/>
      <c r="I225" s="524"/>
      <c r="J225" s="524"/>
      <c r="K225" s="524"/>
      <c r="L225" s="524"/>
      <c r="M225" s="524"/>
      <c r="N225" s="524"/>
      <c r="O225" s="524"/>
      <c r="P225" s="524"/>
      <c r="Q225" s="524"/>
      <c r="R225" s="524"/>
      <c r="S225" s="524"/>
      <c r="T225" s="524"/>
      <c r="U225" s="524"/>
      <c r="V225" s="524"/>
    </row>
    <row r="226" spans="1:22" s="525" customFormat="1" ht="9.9499999999999993" customHeight="1" x14ac:dyDescent="0.2">
      <c r="A226" s="514"/>
      <c r="B226" s="514"/>
      <c r="C226" s="514"/>
      <c r="D226" s="515"/>
      <c r="E226" s="514"/>
      <c r="F226" s="524"/>
      <c r="G226" s="524"/>
      <c r="H226" s="524"/>
      <c r="I226" s="524"/>
      <c r="J226" s="524"/>
      <c r="K226" s="524"/>
      <c r="L226" s="524"/>
      <c r="M226" s="524"/>
      <c r="N226" s="524"/>
      <c r="O226" s="524"/>
      <c r="P226" s="524"/>
      <c r="Q226" s="524"/>
      <c r="R226" s="524"/>
      <c r="S226" s="524"/>
      <c r="T226" s="524"/>
      <c r="U226" s="524"/>
      <c r="V226" s="524"/>
    </row>
    <row r="227" spans="1:22" s="525" customFormat="1" ht="9.9499999999999993" customHeight="1" x14ac:dyDescent="0.2">
      <c r="A227" s="514"/>
      <c r="B227" s="514"/>
      <c r="C227" s="514"/>
      <c r="D227" s="515"/>
      <c r="E227" s="514"/>
      <c r="F227" s="524"/>
      <c r="G227" s="524"/>
      <c r="H227" s="524"/>
      <c r="I227" s="524"/>
      <c r="J227" s="524"/>
      <c r="K227" s="524"/>
      <c r="L227" s="524"/>
      <c r="M227" s="524"/>
      <c r="N227" s="524"/>
      <c r="O227" s="524"/>
      <c r="P227" s="524"/>
      <c r="Q227" s="524"/>
      <c r="R227" s="524"/>
      <c r="S227" s="524"/>
      <c r="T227" s="524"/>
      <c r="U227" s="524"/>
      <c r="V227" s="524"/>
    </row>
    <row r="228" spans="1:22" s="525" customFormat="1" ht="9.9499999999999993" customHeight="1" x14ac:dyDescent="0.2">
      <c r="A228" s="514"/>
      <c r="B228" s="514"/>
      <c r="C228" s="514"/>
      <c r="D228" s="515"/>
      <c r="E228" s="514"/>
      <c r="F228" s="524"/>
      <c r="G228" s="524"/>
      <c r="H228" s="524"/>
      <c r="I228" s="524"/>
      <c r="J228" s="524"/>
      <c r="K228" s="524"/>
      <c r="L228" s="524"/>
      <c r="M228" s="524"/>
      <c r="N228" s="524"/>
      <c r="O228" s="524"/>
      <c r="P228" s="524"/>
      <c r="Q228" s="524"/>
      <c r="R228" s="524"/>
      <c r="S228" s="524"/>
      <c r="T228" s="524"/>
      <c r="U228" s="524"/>
      <c r="V228" s="524"/>
    </row>
    <row r="229" spans="1:22" s="525" customFormat="1" ht="9.9499999999999993" customHeight="1" x14ac:dyDescent="0.2">
      <c r="A229" s="514"/>
      <c r="B229" s="514"/>
      <c r="C229" s="514"/>
      <c r="D229" s="515"/>
      <c r="E229" s="514"/>
      <c r="F229" s="524"/>
      <c r="G229" s="524"/>
      <c r="H229" s="524"/>
      <c r="I229" s="524"/>
      <c r="J229" s="524"/>
      <c r="K229" s="524"/>
      <c r="L229" s="524"/>
      <c r="M229" s="524"/>
      <c r="N229" s="524"/>
      <c r="O229" s="524"/>
      <c r="P229" s="524"/>
      <c r="Q229" s="524"/>
      <c r="R229" s="524"/>
      <c r="S229" s="524"/>
      <c r="T229" s="524"/>
      <c r="U229" s="524"/>
      <c r="V229" s="524"/>
    </row>
    <row r="230" spans="1:22" s="525" customFormat="1" ht="9.9499999999999993" customHeight="1" x14ac:dyDescent="0.2">
      <c r="A230" s="514"/>
      <c r="B230" s="514"/>
      <c r="C230" s="514"/>
      <c r="D230" s="515"/>
      <c r="E230" s="514"/>
      <c r="F230" s="524"/>
      <c r="G230" s="524"/>
      <c r="H230" s="524"/>
      <c r="I230" s="524"/>
      <c r="J230" s="524"/>
      <c r="K230" s="524"/>
      <c r="L230" s="524"/>
      <c r="M230" s="524"/>
      <c r="N230" s="524"/>
      <c r="O230" s="524"/>
      <c r="P230" s="524"/>
      <c r="Q230" s="524"/>
      <c r="R230" s="524"/>
      <c r="S230" s="524"/>
      <c r="T230" s="524"/>
      <c r="U230" s="524"/>
      <c r="V230" s="524"/>
    </row>
    <row r="231" spans="1:22" s="525" customFormat="1" ht="9.9499999999999993" customHeight="1" x14ac:dyDescent="0.2">
      <c r="A231" s="514"/>
      <c r="B231" s="514"/>
      <c r="C231" s="514"/>
      <c r="D231" s="515"/>
      <c r="E231" s="514"/>
      <c r="F231" s="524"/>
      <c r="G231" s="524"/>
      <c r="H231" s="524"/>
      <c r="I231" s="524"/>
      <c r="J231" s="524"/>
      <c r="K231" s="524"/>
      <c r="L231" s="524"/>
      <c r="M231" s="524"/>
      <c r="N231" s="524"/>
      <c r="O231" s="524"/>
      <c r="P231" s="524"/>
      <c r="Q231" s="524"/>
      <c r="R231" s="524"/>
      <c r="S231" s="524"/>
      <c r="T231" s="524"/>
      <c r="U231" s="524"/>
      <c r="V231" s="524"/>
    </row>
    <row r="232" spans="1:22" s="525" customFormat="1" ht="9.9499999999999993" customHeight="1" x14ac:dyDescent="0.2">
      <c r="A232" s="514"/>
      <c r="B232" s="514"/>
      <c r="C232" s="514"/>
      <c r="D232" s="515"/>
      <c r="E232" s="514"/>
      <c r="F232" s="524"/>
      <c r="G232" s="524"/>
      <c r="H232" s="524"/>
      <c r="I232" s="524"/>
      <c r="J232" s="524"/>
      <c r="K232" s="524"/>
      <c r="L232" s="524"/>
      <c r="M232" s="524"/>
      <c r="N232" s="524"/>
      <c r="O232" s="524"/>
      <c r="P232" s="524"/>
      <c r="Q232" s="524"/>
      <c r="R232" s="524"/>
      <c r="S232" s="524"/>
      <c r="T232" s="524"/>
      <c r="U232" s="524"/>
      <c r="V232" s="524"/>
    </row>
    <row r="233" spans="1:22" s="525" customFormat="1" ht="9.9499999999999993" customHeight="1" x14ac:dyDescent="0.2">
      <c r="A233" s="514"/>
      <c r="B233" s="514"/>
      <c r="C233" s="514"/>
      <c r="D233" s="515"/>
      <c r="E233" s="514"/>
      <c r="F233" s="524"/>
      <c r="G233" s="524"/>
      <c r="H233" s="524"/>
      <c r="I233" s="524"/>
      <c r="J233" s="524"/>
      <c r="K233" s="524"/>
      <c r="L233" s="524"/>
      <c r="M233" s="524"/>
      <c r="N233" s="524"/>
      <c r="O233" s="524"/>
      <c r="P233" s="524"/>
      <c r="Q233" s="524"/>
      <c r="R233" s="524"/>
      <c r="S233" s="524"/>
      <c r="T233" s="524"/>
      <c r="U233" s="524"/>
      <c r="V233" s="524"/>
    </row>
    <row r="234" spans="1:22" s="525" customFormat="1" ht="9.9499999999999993" customHeight="1" x14ac:dyDescent="0.2">
      <c r="A234" s="514"/>
      <c r="B234" s="514"/>
      <c r="C234" s="514"/>
      <c r="D234" s="515"/>
      <c r="E234" s="514"/>
      <c r="F234" s="524"/>
      <c r="G234" s="524"/>
      <c r="H234" s="524"/>
      <c r="I234" s="524"/>
      <c r="J234" s="524"/>
      <c r="K234" s="524"/>
      <c r="L234" s="524"/>
      <c r="M234" s="524"/>
      <c r="N234" s="524"/>
      <c r="O234" s="524"/>
      <c r="P234" s="524"/>
      <c r="Q234" s="524"/>
      <c r="R234" s="524"/>
      <c r="S234" s="524"/>
      <c r="T234" s="524"/>
      <c r="U234" s="524"/>
      <c r="V234" s="524"/>
    </row>
    <row r="235" spans="1:22" s="525" customFormat="1" ht="9.9499999999999993" customHeight="1" x14ac:dyDescent="0.2">
      <c r="A235" s="514"/>
      <c r="B235" s="514"/>
      <c r="C235" s="514"/>
      <c r="D235" s="515"/>
      <c r="E235" s="514"/>
      <c r="F235" s="524"/>
      <c r="G235" s="524"/>
      <c r="H235" s="524"/>
      <c r="I235" s="524"/>
      <c r="J235" s="524"/>
      <c r="K235" s="524"/>
      <c r="L235" s="524"/>
      <c r="M235" s="524"/>
      <c r="N235" s="524"/>
      <c r="O235" s="524"/>
      <c r="P235" s="524"/>
      <c r="Q235" s="524"/>
      <c r="R235" s="524"/>
      <c r="S235" s="524"/>
      <c r="T235" s="524"/>
      <c r="U235" s="524"/>
      <c r="V235" s="524"/>
    </row>
    <row r="236" spans="1:22" s="525" customFormat="1" ht="9.9499999999999993" customHeight="1" x14ac:dyDescent="0.2">
      <c r="A236" s="514"/>
      <c r="B236" s="514"/>
      <c r="C236" s="514"/>
      <c r="D236" s="515"/>
      <c r="E236" s="514"/>
      <c r="F236" s="524"/>
      <c r="G236" s="524"/>
      <c r="H236" s="524"/>
      <c r="I236" s="524"/>
      <c r="J236" s="524"/>
      <c r="K236" s="524"/>
      <c r="L236" s="524"/>
      <c r="M236" s="524"/>
      <c r="N236" s="524"/>
      <c r="O236" s="524"/>
      <c r="P236" s="524"/>
      <c r="Q236" s="524"/>
      <c r="R236" s="524"/>
      <c r="S236" s="524"/>
      <c r="T236" s="524"/>
      <c r="U236" s="524"/>
      <c r="V236" s="524"/>
    </row>
    <row r="237" spans="1:22" s="525" customFormat="1" ht="9.9499999999999993" customHeight="1" x14ac:dyDescent="0.2">
      <c r="A237" s="514"/>
      <c r="B237" s="514"/>
      <c r="C237" s="514"/>
      <c r="D237" s="515"/>
      <c r="E237" s="514"/>
      <c r="F237" s="524"/>
      <c r="G237" s="524"/>
      <c r="H237" s="524"/>
      <c r="I237" s="524"/>
      <c r="J237" s="524"/>
      <c r="K237" s="524"/>
      <c r="L237" s="524"/>
      <c r="M237" s="524"/>
      <c r="N237" s="524"/>
      <c r="O237" s="524"/>
      <c r="P237" s="524"/>
      <c r="Q237" s="524"/>
      <c r="R237" s="524"/>
      <c r="S237" s="524"/>
      <c r="T237" s="524"/>
      <c r="U237" s="524"/>
      <c r="V237" s="524"/>
    </row>
    <row r="238" spans="1:22" s="525" customFormat="1" ht="9.9499999999999993" customHeight="1" x14ac:dyDescent="0.2">
      <c r="A238" s="514"/>
      <c r="B238" s="514"/>
      <c r="C238" s="514"/>
      <c r="D238" s="515"/>
      <c r="E238" s="514"/>
      <c r="F238" s="524"/>
      <c r="G238" s="524"/>
      <c r="H238" s="524"/>
      <c r="I238" s="524"/>
      <c r="J238" s="524"/>
      <c r="K238" s="524"/>
      <c r="L238" s="524"/>
      <c r="M238" s="524"/>
      <c r="N238" s="524"/>
      <c r="O238" s="524"/>
      <c r="P238" s="524"/>
      <c r="Q238" s="524"/>
      <c r="R238" s="524"/>
      <c r="S238" s="524"/>
      <c r="T238" s="524"/>
      <c r="U238" s="524"/>
      <c r="V238" s="524"/>
    </row>
    <row r="239" spans="1:22" s="525" customFormat="1" ht="9.9499999999999993" customHeight="1" x14ac:dyDescent="0.2">
      <c r="A239" s="514"/>
      <c r="B239" s="514"/>
      <c r="C239" s="514"/>
      <c r="D239" s="515"/>
      <c r="E239" s="514"/>
      <c r="F239" s="524"/>
      <c r="G239" s="524"/>
      <c r="H239" s="524"/>
      <c r="I239" s="524"/>
      <c r="J239" s="524"/>
      <c r="K239" s="524"/>
      <c r="L239" s="524"/>
      <c r="M239" s="524"/>
      <c r="N239" s="524"/>
      <c r="O239" s="524"/>
      <c r="P239" s="524"/>
      <c r="Q239" s="524"/>
      <c r="R239" s="524"/>
      <c r="S239" s="524"/>
      <c r="T239" s="524"/>
      <c r="U239" s="524"/>
      <c r="V239" s="524"/>
    </row>
    <row r="240" spans="1:22" s="525" customFormat="1" ht="9.9499999999999993" customHeight="1" x14ac:dyDescent="0.2">
      <c r="A240" s="514"/>
      <c r="B240" s="514"/>
      <c r="C240" s="514"/>
      <c r="D240" s="515"/>
      <c r="E240" s="514"/>
      <c r="F240" s="524"/>
      <c r="G240" s="524"/>
      <c r="H240" s="524"/>
      <c r="I240" s="524"/>
      <c r="J240" s="524"/>
      <c r="K240" s="524"/>
      <c r="L240" s="524"/>
      <c r="M240" s="524"/>
      <c r="N240" s="524"/>
      <c r="O240" s="524"/>
      <c r="P240" s="524"/>
      <c r="Q240" s="524"/>
      <c r="R240" s="524"/>
      <c r="S240" s="524"/>
      <c r="T240" s="524"/>
      <c r="U240" s="524"/>
      <c r="V240" s="524"/>
    </row>
    <row r="241" spans="1:22" s="525" customFormat="1" ht="9.9499999999999993" customHeight="1" x14ac:dyDescent="0.2">
      <c r="A241" s="514"/>
      <c r="B241" s="514"/>
      <c r="C241" s="514"/>
      <c r="D241" s="515"/>
      <c r="E241" s="514"/>
      <c r="F241" s="524"/>
      <c r="G241" s="524"/>
      <c r="H241" s="524"/>
      <c r="I241" s="524"/>
      <c r="J241" s="524"/>
      <c r="K241" s="524"/>
      <c r="L241" s="524"/>
      <c r="M241" s="524"/>
      <c r="N241" s="524"/>
      <c r="O241" s="524"/>
      <c r="P241" s="524"/>
      <c r="Q241" s="524"/>
      <c r="R241" s="524"/>
      <c r="S241" s="524"/>
      <c r="T241" s="524"/>
      <c r="U241" s="524"/>
      <c r="V241" s="524"/>
    </row>
    <row r="242" spans="1:22" s="525" customFormat="1" ht="9.9499999999999993" customHeight="1" x14ac:dyDescent="0.2">
      <c r="A242" s="514"/>
      <c r="B242" s="514"/>
      <c r="C242" s="514"/>
      <c r="D242" s="515"/>
      <c r="E242" s="514"/>
      <c r="F242" s="524"/>
      <c r="G242" s="524"/>
      <c r="H242" s="524"/>
      <c r="I242" s="524"/>
      <c r="J242" s="524"/>
      <c r="K242" s="524"/>
      <c r="L242" s="524"/>
      <c r="M242" s="524"/>
      <c r="N242" s="524"/>
      <c r="O242" s="524"/>
      <c r="P242" s="524"/>
      <c r="Q242" s="524"/>
      <c r="R242" s="524"/>
      <c r="S242" s="524"/>
      <c r="T242" s="524"/>
      <c r="U242" s="524"/>
      <c r="V242" s="524"/>
    </row>
    <row r="243" spans="1:22" s="525" customFormat="1" ht="9.9499999999999993" customHeight="1" x14ac:dyDescent="0.2">
      <c r="A243" s="514"/>
      <c r="B243" s="514"/>
      <c r="C243" s="514"/>
      <c r="D243" s="515"/>
      <c r="E243" s="514"/>
      <c r="F243" s="524"/>
      <c r="G243" s="524"/>
      <c r="H243" s="524"/>
      <c r="I243" s="524"/>
      <c r="J243" s="524"/>
      <c r="K243" s="524"/>
      <c r="L243" s="524"/>
      <c r="M243" s="524"/>
      <c r="N243" s="524"/>
      <c r="O243" s="524"/>
      <c r="P243" s="524"/>
      <c r="Q243" s="524"/>
      <c r="R243" s="524"/>
      <c r="S243" s="524"/>
      <c r="T243" s="524"/>
      <c r="U243" s="524"/>
      <c r="V243" s="524"/>
    </row>
    <row r="244" spans="1:22" s="525" customFormat="1" ht="9.9499999999999993" customHeight="1" x14ac:dyDescent="0.2">
      <c r="A244" s="514"/>
      <c r="B244" s="514"/>
      <c r="C244" s="514"/>
      <c r="D244" s="515"/>
      <c r="E244" s="514"/>
      <c r="F244" s="524"/>
      <c r="G244" s="524"/>
      <c r="H244" s="524"/>
      <c r="I244" s="524"/>
      <c r="J244" s="524"/>
      <c r="K244" s="524"/>
      <c r="L244" s="524"/>
      <c r="M244" s="524"/>
      <c r="N244" s="524"/>
      <c r="O244" s="524"/>
      <c r="P244" s="524"/>
      <c r="Q244" s="524"/>
      <c r="R244" s="524"/>
      <c r="S244" s="524"/>
      <c r="T244" s="524"/>
      <c r="U244" s="524"/>
      <c r="V244" s="524"/>
    </row>
    <row r="245" spans="1:22" s="525" customFormat="1" ht="9.9499999999999993" customHeight="1" x14ac:dyDescent="0.2">
      <c r="A245" s="514"/>
      <c r="B245" s="514"/>
      <c r="C245" s="514"/>
      <c r="D245" s="515"/>
      <c r="E245" s="514"/>
      <c r="F245" s="524"/>
      <c r="G245" s="524"/>
      <c r="H245" s="524"/>
      <c r="I245" s="524"/>
      <c r="J245" s="524"/>
      <c r="K245" s="524"/>
      <c r="L245" s="524"/>
      <c r="M245" s="524"/>
      <c r="N245" s="524"/>
      <c r="O245" s="524"/>
      <c r="P245" s="524"/>
      <c r="Q245" s="524"/>
      <c r="R245" s="524"/>
      <c r="S245" s="524"/>
      <c r="T245" s="524"/>
      <c r="U245" s="524"/>
      <c r="V245" s="524"/>
    </row>
    <row r="246" spans="1:22" s="525" customFormat="1" ht="9.9499999999999993" customHeight="1" x14ac:dyDescent="0.2">
      <c r="A246" s="514"/>
      <c r="B246" s="514"/>
      <c r="C246" s="514"/>
      <c r="D246" s="515"/>
      <c r="E246" s="514"/>
      <c r="F246" s="524"/>
      <c r="G246" s="524"/>
      <c r="H246" s="524"/>
      <c r="I246" s="524"/>
      <c r="J246" s="524"/>
      <c r="K246" s="524"/>
      <c r="L246" s="524"/>
      <c r="M246" s="524"/>
      <c r="N246" s="524"/>
      <c r="O246" s="524"/>
      <c r="P246" s="524"/>
      <c r="Q246" s="524"/>
      <c r="R246" s="524"/>
      <c r="S246" s="524"/>
      <c r="T246" s="524"/>
      <c r="U246" s="524"/>
      <c r="V246" s="524"/>
    </row>
    <row r="247" spans="1:22" s="525" customFormat="1" ht="9.9499999999999993" customHeight="1" x14ac:dyDescent="0.2">
      <c r="A247" s="514"/>
      <c r="B247" s="514"/>
      <c r="C247" s="514"/>
      <c r="D247" s="515"/>
      <c r="E247" s="514"/>
      <c r="F247" s="524"/>
      <c r="G247" s="524"/>
      <c r="H247" s="524"/>
      <c r="I247" s="524"/>
      <c r="J247" s="524"/>
      <c r="K247" s="524"/>
      <c r="L247" s="524"/>
      <c r="M247" s="524"/>
      <c r="N247" s="524"/>
      <c r="O247" s="524"/>
      <c r="P247" s="524"/>
      <c r="Q247" s="524"/>
      <c r="R247" s="524"/>
      <c r="S247" s="524"/>
      <c r="T247" s="524"/>
      <c r="U247" s="524"/>
      <c r="V247" s="524"/>
    </row>
    <row r="248" spans="1:22" s="525" customFormat="1" ht="9.9499999999999993" customHeight="1" x14ac:dyDescent="0.2">
      <c r="A248" s="514"/>
      <c r="B248" s="514"/>
      <c r="C248" s="514"/>
      <c r="D248" s="515"/>
      <c r="E248" s="514"/>
      <c r="F248" s="524"/>
      <c r="G248" s="524"/>
      <c r="H248" s="524"/>
      <c r="I248" s="524"/>
      <c r="J248" s="524"/>
      <c r="K248" s="524"/>
      <c r="L248" s="524"/>
      <c r="M248" s="524"/>
      <c r="N248" s="524"/>
      <c r="O248" s="524"/>
      <c r="P248" s="524"/>
      <c r="Q248" s="524"/>
      <c r="R248" s="524"/>
      <c r="S248" s="524"/>
      <c r="T248" s="524"/>
      <c r="U248" s="524"/>
      <c r="V248" s="524"/>
    </row>
    <row r="249" spans="1:22" s="525" customFormat="1" ht="9.9499999999999993" customHeight="1" x14ac:dyDescent="0.2">
      <c r="A249" s="514"/>
      <c r="B249" s="514"/>
      <c r="C249" s="514"/>
      <c r="D249" s="515"/>
      <c r="E249" s="514"/>
      <c r="F249" s="524"/>
      <c r="G249" s="524"/>
      <c r="H249" s="524"/>
      <c r="I249" s="524"/>
      <c r="J249" s="524"/>
      <c r="K249" s="524"/>
      <c r="L249" s="524"/>
      <c r="M249" s="524"/>
      <c r="N249" s="524"/>
      <c r="O249" s="524"/>
      <c r="P249" s="524"/>
      <c r="Q249" s="524"/>
      <c r="R249" s="524"/>
      <c r="S249" s="524"/>
      <c r="T249" s="524"/>
      <c r="U249" s="524"/>
      <c r="V249" s="524"/>
    </row>
    <row r="250" spans="1:22" s="525" customFormat="1" ht="9.9499999999999993" customHeight="1" x14ac:dyDescent="0.2">
      <c r="A250" s="514"/>
      <c r="B250" s="514"/>
      <c r="C250" s="514"/>
      <c r="D250" s="515"/>
      <c r="E250" s="514"/>
      <c r="F250" s="524"/>
      <c r="G250" s="524"/>
      <c r="H250" s="524"/>
      <c r="I250" s="524"/>
      <c r="J250" s="524"/>
      <c r="K250" s="524"/>
      <c r="L250" s="524"/>
      <c r="M250" s="524"/>
      <c r="N250" s="524"/>
      <c r="O250" s="524"/>
      <c r="P250" s="524"/>
      <c r="Q250" s="524"/>
      <c r="R250" s="524"/>
      <c r="S250" s="524"/>
      <c r="T250" s="524"/>
      <c r="U250" s="524"/>
      <c r="V250" s="524"/>
    </row>
    <row r="251" spans="1:22" s="525" customFormat="1" ht="9.9499999999999993" customHeight="1" x14ac:dyDescent="0.2">
      <c r="A251" s="514"/>
      <c r="B251" s="514"/>
      <c r="C251" s="514"/>
      <c r="D251" s="515"/>
      <c r="E251" s="514"/>
      <c r="F251" s="524"/>
      <c r="G251" s="524"/>
      <c r="H251" s="524"/>
      <c r="I251" s="524"/>
      <c r="J251" s="524"/>
      <c r="K251" s="524"/>
      <c r="L251" s="524"/>
      <c r="M251" s="524"/>
      <c r="N251" s="524"/>
      <c r="O251" s="524"/>
      <c r="P251" s="524"/>
      <c r="Q251" s="524"/>
      <c r="R251" s="524"/>
      <c r="S251" s="524"/>
      <c r="T251" s="524"/>
      <c r="U251" s="524"/>
      <c r="V251" s="524"/>
    </row>
  </sheetData>
  <mergeCells count="2">
    <mergeCell ref="K80:V80"/>
    <mergeCell ref="A1:V1"/>
  </mergeCells>
  <phoneticPr fontId="9" type="noConversion"/>
  <printOptions horizontalCentered="1"/>
  <pageMargins left="0.5" right="0.5" top="0.5" bottom="0.625" header="0.5" footer="0.5"/>
  <pageSetup scale="72"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
    <tabColor theme="6" tint="0.39997558519241921"/>
  </sheetPr>
  <dimension ref="A1:AQ110"/>
  <sheetViews>
    <sheetView view="pageBreakPreview" zoomScaleNormal="100" zoomScaleSheetLayoutView="100" workbookViewId="0">
      <selection activeCell="AP22" sqref="AP22"/>
    </sheetView>
  </sheetViews>
  <sheetFormatPr defaultColWidth="9.140625" defaultRowHeight="9.9499999999999993" customHeight="1" x14ac:dyDescent="0.2"/>
  <cols>
    <col min="1" max="3" width="1.5703125" style="314" customWidth="1"/>
    <col min="4" max="4" width="33.140625" style="314" customWidth="1"/>
    <col min="5" max="5" width="1" style="314" customWidth="1"/>
    <col min="6" max="6" width="13.7109375" style="314" customWidth="1"/>
    <col min="7" max="7" width="1" style="314" customWidth="1"/>
    <col min="8" max="8" width="13.7109375" style="314" customWidth="1"/>
    <col min="9" max="9" width="1" style="314" customWidth="1"/>
    <col min="10" max="10" width="13.7109375" style="314" customWidth="1"/>
    <col min="11" max="11" width="1" style="314" customWidth="1"/>
    <col min="12" max="12" width="13.7109375" style="314" customWidth="1"/>
    <col min="13" max="13" width="1" style="314" customWidth="1"/>
    <col min="14" max="14" width="13.7109375" style="613" customWidth="1"/>
    <col min="15" max="15" width="1" style="613" hidden="1" customWidth="1"/>
    <col min="16" max="16" width="12.5703125" style="613" hidden="1" customWidth="1"/>
    <col min="17" max="17" width="1" style="613" hidden="1" customWidth="1"/>
    <col min="18" max="18" width="13.140625" style="613" hidden="1" customWidth="1"/>
    <col min="19" max="19" width="1" style="613" customWidth="1"/>
    <col min="20" max="20" width="13.42578125" style="613" customWidth="1"/>
    <col min="21" max="21" width="1" style="613" customWidth="1"/>
    <col min="22" max="22" width="13.7109375" style="613" customWidth="1"/>
    <col min="23" max="23" width="1" style="613" customWidth="1"/>
    <col min="24" max="24" width="13.7109375" style="613" customWidth="1"/>
    <col min="25" max="25" width="1" style="613" hidden="1" customWidth="1"/>
    <col min="26" max="26" width="13.7109375" style="613" hidden="1" customWidth="1"/>
    <col min="27" max="27" width="1.5703125" style="613" hidden="1" customWidth="1"/>
    <col min="28" max="28" width="13.7109375" style="613" hidden="1" customWidth="1"/>
    <col min="29" max="29" width="1" style="613" customWidth="1"/>
    <col min="30" max="30" width="13.7109375" style="613" hidden="1" customWidth="1"/>
    <col min="31" max="31" width="1.5703125" style="613" hidden="1" customWidth="1"/>
    <col min="32" max="32" width="14.140625" style="613" hidden="1" customWidth="1"/>
    <col min="33" max="33" width="1.5703125" style="613" hidden="1" customWidth="1"/>
    <col min="34" max="34" width="14" style="613" hidden="1" customWidth="1"/>
    <col min="35" max="35" width="1.5703125" style="613" hidden="1" customWidth="1"/>
    <col min="36" max="36" width="13.7109375" style="613" hidden="1" customWidth="1"/>
    <col min="37" max="37" width="1.5703125" style="613" hidden="1" customWidth="1"/>
    <col min="38" max="38" width="13.7109375" style="613" hidden="1" customWidth="1"/>
    <col min="39" max="39" width="1" style="613" hidden="1" customWidth="1"/>
    <col min="40" max="40" width="13.7109375" style="613" customWidth="1"/>
    <col min="41" max="41" width="17.85546875" style="314" customWidth="1"/>
    <col min="42" max="16384" width="9.140625" style="314"/>
  </cols>
  <sheetData>
    <row r="1" spans="1:43" s="462" customFormat="1" ht="23.25" customHeight="1" thickBot="1" x14ac:dyDescent="0.25">
      <c r="A1" s="1601"/>
      <c r="B1" s="1601"/>
      <c r="C1" s="1601"/>
      <c r="D1" s="1601"/>
      <c r="E1" s="1601"/>
      <c r="F1" s="1601"/>
      <c r="G1" s="1601"/>
      <c r="H1" s="1601"/>
      <c r="I1" s="1601"/>
      <c r="J1" s="1601"/>
      <c r="K1" s="1601"/>
      <c r="L1" s="1601"/>
      <c r="M1" s="1601"/>
      <c r="N1" s="1601"/>
      <c r="O1" s="1601"/>
      <c r="P1" s="1601"/>
      <c r="Q1" s="519"/>
      <c r="R1" s="519"/>
      <c r="S1" s="519"/>
      <c r="T1" s="519"/>
      <c r="U1" s="1582" t="s">
        <v>1033</v>
      </c>
      <c r="V1" s="1582"/>
      <c r="W1" s="1582"/>
      <c r="X1" s="1582"/>
      <c r="Y1" s="1582"/>
      <c r="Z1" s="1582"/>
      <c r="AA1" s="1582"/>
      <c r="AB1" s="1582"/>
      <c r="AC1" s="1582"/>
      <c r="AD1" s="1582"/>
      <c r="AE1" s="1582"/>
      <c r="AF1" s="1582"/>
      <c r="AG1" s="1582"/>
      <c r="AH1" s="1582"/>
      <c r="AI1" s="1582"/>
      <c r="AJ1" s="1582"/>
      <c r="AK1" s="1582"/>
      <c r="AL1" s="1582"/>
      <c r="AM1" s="1582"/>
      <c r="AN1" s="1582"/>
      <c r="AO1" s="535"/>
      <c r="AP1" s="535"/>
    </row>
    <row r="2" spans="1:43" s="531" customFormat="1" ht="21.2" customHeight="1" x14ac:dyDescent="0.2">
      <c r="A2" s="700" t="s">
        <v>540</v>
      </c>
      <c r="B2" s="716"/>
      <c r="C2" s="716"/>
      <c r="D2" s="716"/>
      <c r="E2" s="730"/>
      <c r="F2" s="730"/>
      <c r="G2" s="730"/>
      <c r="H2" s="731"/>
      <c r="I2" s="731"/>
      <c r="J2" s="731"/>
      <c r="K2" s="731"/>
      <c r="L2" s="731"/>
      <c r="N2" s="731"/>
      <c r="O2" s="731"/>
      <c r="P2" s="731"/>
      <c r="Q2" s="731"/>
      <c r="R2" s="700"/>
      <c r="T2" s="731"/>
      <c r="X2" s="731"/>
      <c r="Y2" s="731"/>
      <c r="Z2" s="731"/>
      <c r="AA2" s="731"/>
      <c r="AB2" s="731"/>
      <c r="AC2" s="731"/>
      <c r="AD2" s="731"/>
      <c r="AE2" s="731"/>
      <c r="AF2" s="731"/>
      <c r="AG2" s="731"/>
      <c r="AH2" s="731"/>
      <c r="AI2" s="731"/>
      <c r="AJ2" s="731"/>
      <c r="AK2" s="731"/>
      <c r="AL2" s="731"/>
      <c r="AM2" s="731"/>
      <c r="AN2" s="731"/>
      <c r="AO2" s="716"/>
    </row>
    <row r="3" spans="1:43" s="531" customFormat="1" ht="21.2" customHeight="1" x14ac:dyDescent="0.2">
      <c r="A3" s="700" t="s">
        <v>89</v>
      </c>
      <c r="B3" s="716"/>
      <c r="C3" s="716"/>
      <c r="D3" s="716"/>
      <c r="E3" s="730"/>
      <c r="F3" s="730"/>
      <c r="G3" s="730"/>
      <c r="H3" s="731"/>
      <c r="I3" s="731"/>
      <c r="J3" s="731"/>
      <c r="K3" s="731"/>
      <c r="L3" s="731"/>
      <c r="N3" s="731"/>
      <c r="O3" s="731"/>
      <c r="P3" s="731"/>
      <c r="Q3" s="731"/>
      <c r="R3" s="700"/>
      <c r="T3" s="731"/>
      <c r="X3" s="731"/>
      <c r="Y3" s="731"/>
      <c r="Z3" s="731"/>
      <c r="AA3" s="731"/>
      <c r="AB3" s="731"/>
      <c r="AC3" s="731"/>
      <c r="AD3" s="731"/>
      <c r="AE3" s="731"/>
      <c r="AF3" s="731"/>
      <c r="AG3" s="731"/>
      <c r="AH3" s="731"/>
      <c r="AI3" s="731"/>
      <c r="AJ3" s="731"/>
      <c r="AK3" s="731"/>
      <c r="AL3" s="731"/>
      <c r="AM3" s="731"/>
      <c r="AN3" s="731"/>
      <c r="AO3" s="716"/>
    </row>
    <row r="4" spans="1:43" s="532" customFormat="1" ht="18.600000000000001" customHeight="1" x14ac:dyDescent="0.2">
      <c r="A4" s="1579" t="s">
        <v>1725</v>
      </c>
      <c r="B4" s="1579"/>
      <c r="C4" s="1579"/>
      <c r="D4" s="1579"/>
      <c r="E4" s="1579"/>
      <c r="F4" s="1579"/>
      <c r="G4" s="1579"/>
      <c r="H4" s="734"/>
      <c r="I4" s="734"/>
      <c r="J4" s="734"/>
      <c r="K4" s="734"/>
      <c r="L4" s="734"/>
      <c r="N4" s="734"/>
      <c r="O4" s="734"/>
      <c r="P4" s="734"/>
      <c r="Q4" s="734"/>
      <c r="R4" s="506"/>
      <c r="T4" s="734"/>
      <c r="X4" s="734"/>
      <c r="Y4" s="734"/>
      <c r="Z4" s="735"/>
      <c r="AA4" s="734"/>
      <c r="AB4" s="735"/>
      <c r="AC4" s="734"/>
      <c r="AD4" s="734"/>
      <c r="AE4" s="734"/>
      <c r="AF4" s="734"/>
      <c r="AG4" s="734"/>
      <c r="AH4" s="734"/>
      <c r="AI4" s="734"/>
      <c r="AJ4" s="734"/>
      <c r="AK4" s="734"/>
      <c r="AL4" s="734"/>
      <c r="AM4" s="734"/>
      <c r="AN4" s="735"/>
      <c r="AO4" s="736"/>
    </row>
    <row r="5" spans="1:43" s="317" customFormat="1" ht="17.100000000000001" customHeight="1" x14ac:dyDescent="0.2">
      <c r="A5" s="738" t="s">
        <v>972</v>
      </c>
      <c r="B5" s="718"/>
      <c r="C5" s="718"/>
      <c r="D5" s="718"/>
      <c r="E5" s="718"/>
      <c r="R5" s="738"/>
      <c r="Z5" s="259"/>
      <c r="AB5" s="259"/>
      <c r="AD5" s="259"/>
      <c r="AF5" s="259"/>
      <c r="AN5" s="259"/>
    </row>
    <row r="6" spans="1:43" ht="12.6" customHeight="1" x14ac:dyDescent="0.2">
      <c r="A6" s="313"/>
      <c r="B6" s="313"/>
      <c r="C6" s="313"/>
      <c r="D6" s="313"/>
      <c r="E6" s="313"/>
      <c r="F6" s="313"/>
      <c r="G6" s="313"/>
      <c r="N6" s="1602"/>
      <c r="O6" s="1602"/>
      <c r="P6" s="1602"/>
      <c r="Z6" s="259"/>
      <c r="AB6" s="259"/>
      <c r="AD6" s="259"/>
      <c r="AF6" s="259"/>
      <c r="AN6" s="259"/>
    </row>
    <row r="7" spans="1:43" s="508" customFormat="1" ht="12.6" customHeight="1" x14ac:dyDescent="0.2">
      <c r="A7" s="507"/>
      <c r="B7" s="507"/>
      <c r="C7" s="507"/>
      <c r="D7" s="507"/>
      <c r="E7" s="507"/>
      <c r="F7" s="507"/>
      <c r="G7" s="507"/>
      <c r="M7" s="336"/>
      <c r="N7" s="1602"/>
      <c r="O7" s="1602"/>
      <c r="P7" s="1602"/>
      <c r="Q7" s="1602"/>
      <c r="R7" s="1602"/>
      <c r="S7" s="1602"/>
      <c r="T7" s="1602"/>
      <c r="U7" s="1602"/>
      <c r="V7" s="1602"/>
      <c r="W7" s="1602"/>
      <c r="X7" s="1602"/>
      <c r="Y7" s="669"/>
      <c r="Z7" s="310"/>
      <c r="AA7" s="669"/>
      <c r="AB7" s="310"/>
      <c r="AC7" s="669"/>
      <c r="AD7" s="310"/>
      <c r="AE7" s="669"/>
      <c r="AF7" s="310"/>
      <c r="AG7" s="669"/>
      <c r="AH7" s="669"/>
      <c r="AI7" s="669"/>
      <c r="AJ7" s="669"/>
      <c r="AK7" s="669"/>
      <c r="AL7" s="669"/>
      <c r="AM7" s="669"/>
      <c r="AN7" s="310"/>
    </row>
    <row r="8" spans="1:43" s="508" customFormat="1" ht="12.6" customHeight="1" x14ac:dyDescent="0.2">
      <c r="A8" s="212"/>
      <c r="B8" s="212"/>
      <c r="C8" s="212"/>
      <c r="D8" s="212"/>
      <c r="E8" s="212"/>
      <c r="F8" s="212"/>
      <c r="G8" s="212"/>
      <c r="H8" s="1576" t="s">
        <v>1045</v>
      </c>
      <c r="I8" s="1576"/>
      <c r="J8" s="1576"/>
      <c r="K8" s="1576"/>
      <c r="L8" s="1576"/>
      <c r="N8" s="1576" t="s">
        <v>1144</v>
      </c>
      <c r="O8" s="1576"/>
      <c r="P8" s="1576"/>
      <c r="Q8" s="1576"/>
      <c r="R8" s="1576"/>
      <c r="S8" s="1576"/>
      <c r="T8" s="1576"/>
      <c r="U8" s="1576"/>
      <c r="V8" s="1576"/>
      <c r="W8" s="1576"/>
      <c r="X8" s="1576"/>
      <c r="Y8" s="670"/>
      <c r="Z8" s="670"/>
      <c r="AA8" s="670"/>
      <c r="AB8" s="670"/>
      <c r="AC8" s="670"/>
      <c r="AD8" s="670"/>
      <c r="AE8" s="670"/>
      <c r="AF8" s="670"/>
      <c r="AG8" s="670"/>
      <c r="AH8" s="670"/>
      <c r="AI8" s="670"/>
      <c r="AJ8" s="670"/>
      <c r="AK8" s="670"/>
      <c r="AL8" s="670"/>
      <c r="AM8" s="336"/>
      <c r="AN8" s="336"/>
      <c r="AO8" s="212"/>
    </row>
    <row r="9" spans="1:43" s="593" customFormat="1" ht="12.6" customHeight="1" x14ac:dyDescent="0.2">
      <c r="A9" s="336"/>
      <c r="B9" s="336"/>
      <c r="C9" s="336"/>
      <c r="D9" s="336"/>
      <c r="E9" s="336"/>
      <c r="F9" s="336"/>
      <c r="G9" s="336"/>
      <c r="M9" s="336"/>
      <c r="N9" s="336"/>
      <c r="O9" s="336"/>
      <c r="P9" s="336"/>
      <c r="Q9" s="336"/>
      <c r="R9" s="336"/>
      <c r="S9" s="336"/>
      <c r="T9" s="310" t="s">
        <v>1328</v>
      </c>
      <c r="U9" s="310"/>
      <c r="V9" s="310" t="s">
        <v>8</v>
      </c>
      <c r="W9" s="310"/>
      <c r="X9" s="467" t="s">
        <v>49</v>
      </c>
      <c r="Y9" s="310"/>
      <c r="Z9" s="310" t="s">
        <v>1160</v>
      </c>
      <c r="AA9" s="310"/>
      <c r="AB9" s="310" t="s">
        <v>437</v>
      </c>
      <c r="AC9" s="310"/>
      <c r="AD9" s="310" t="s">
        <v>437</v>
      </c>
      <c r="AE9" s="310"/>
      <c r="AF9" s="310" t="s">
        <v>437</v>
      </c>
      <c r="AG9" s="336"/>
      <c r="AH9" s="470"/>
      <c r="AI9" s="336"/>
      <c r="AJ9" s="310" t="s">
        <v>437</v>
      </c>
      <c r="AK9" s="336"/>
      <c r="AL9" s="310" t="s">
        <v>437</v>
      </c>
      <c r="AM9" s="336"/>
      <c r="AN9" s="310" t="s">
        <v>671</v>
      </c>
      <c r="AO9" s="336"/>
    </row>
    <row r="10" spans="1:43" s="593" customFormat="1" ht="12.6" customHeight="1" x14ac:dyDescent="0.2">
      <c r="A10" s="336"/>
      <c r="B10" s="336"/>
      <c r="C10" s="336"/>
      <c r="D10" s="336"/>
      <c r="E10" s="336"/>
      <c r="F10" s="336"/>
      <c r="G10" s="310"/>
      <c r="H10" s="310" t="s">
        <v>278</v>
      </c>
      <c r="J10" s="310" t="s">
        <v>104</v>
      </c>
      <c r="K10" s="310"/>
      <c r="L10" s="310" t="s">
        <v>861</v>
      </c>
      <c r="N10" s="310"/>
      <c r="O10" s="310"/>
      <c r="P10" s="310" t="s">
        <v>782</v>
      </c>
      <c r="Q10" s="310"/>
      <c r="R10" s="310" t="s">
        <v>783</v>
      </c>
      <c r="S10" s="336"/>
      <c r="T10" s="310" t="s">
        <v>1329</v>
      </c>
      <c r="U10" s="310"/>
      <c r="V10" s="310" t="s">
        <v>444</v>
      </c>
      <c r="W10" s="310"/>
      <c r="X10" s="467" t="s">
        <v>721</v>
      </c>
      <c r="Y10" s="310"/>
      <c r="Z10" s="470" t="s">
        <v>241</v>
      </c>
      <c r="AA10" s="310"/>
      <c r="AB10" s="310" t="s">
        <v>438</v>
      </c>
      <c r="AC10" s="310"/>
      <c r="AD10" s="310" t="s">
        <v>438</v>
      </c>
      <c r="AE10" s="310"/>
      <c r="AF10" s="310" t="s">
        <v>438</v>
      </c>
      <c r="AG10" s="336"/>
      <c r="AH10" s="467"/>
      <c r="AI10" s="336"/>
      <c r="AJ10" s="310" t="s">
        <v>438</v>
      </c>
      <c r="AK10" s="336"/>
      <c r="AL10" s="310" t="s">
        <v>1305</v>
      </c>
      <c r="AM10" s="336"/>
      <c r="AN10" s="467" t="s">
        <v>1064</v>
      </c>
      <c r="AO10" s="336"/>
    </row>
    <row r="11" spans="1:43" s="593" customFormat="1" ht="12.6" customHeight="1" x14ac:dyDescent="0.2">
      <c r="A11" s="336"/>
      <c r="B11" s="336"/>
      <c r="C11" s="336"/>
      <c r="D11" s="358"/>
      <c r="E11" s="336"/>
      <c r="F11" s="336"/>
      <c r="G11" s="310"/>
      <c r="H11" s="310" t="s">
        <v>260</v>
      </c>
      <c r="J11" s="310" t="s">
        <v>105</v>
      </c>
      <c r="K11" s="310"/>
      <c r="L11" s="310" t="s">
        <v>105</v>
      </c>
      <c r="N11" s="310"/>
      <c r="O11" s="310"/>
      <c r="P11" s="310" t="s">
        <v>228</v>
      </c>
      <c r="Q11" s="310"/>
      <c r="R11" s="310" t="s">
        <v>784</v>
      </c>
      <c r="S11" s="310"/>
      <c r="T11" s="467" t="s">
        <v>1174</v>
      </c>
      <c r="U11" s="310"/>
      <c r="V11" s="310" t="s">
        <v>245</v>
      </c>
      <c r="W11" s="310"/>
      <c r="X11" s="467" t="s">
        <v>1174</v>
      </c>
      <c r="Y11" s="310"/>
      <c r="Z11" s="310" t="s">
        <v>1161</v>
      </c>
      <c r="AA11" s="310"/>
      <c r="AB11" s="310" t="s">
        <v>215</v>
      </c>
      <c r="AC11" s="310"/>
      <c r="AD11" s="310" t="s">
        <v>1253</v>
      </c>
      <c r="AE11" s="310"/>
      <c r="AF11" s="310" t="s">
        <v>1237</v>
      </c>
      <c r="AG11" s="947"/>
      <c r="AH11" s="467"/>
      <c r="AI11" s="632"/>
      <c r="AJ11" s="310" t="s">
        <v>1174</v>
      </c>
      <c r="AK11" s="632"/>
      <c r="AL11" s="310" t="s">
        <v>1306</v>
      </c>
      <c r="AM11" s="947"/>
      <c r="AN11" s="467" t="s">
        <v>761</v>
      </c>
      <c r="AO11" s="310"/>
    </row>
    <row r="12" spans="1:43" s="593" customFormat="1" ht="12.6" customHeight="1" x14ac:dyDescent="0.2">
      <c r="A12" s="1576" t="s">
        <v>100</v>
      </c>
      <c r="B12" s="1576"/>
      <c r="C12" s="1576"/>
      <c r="D12" s="1576"/>
      <c r="E12" s="336"/>
      <c r="F12" s="574" t="s">
        <v>1047</v>
      </c>
      <c r="G12" s="310"/>
      <c r="H12" s="574" t="s">
        <v>838</v>
      </c>
      <c r="J12" s="574" t="s">
        <v>106</v>
      </c>
      <c r="K12" s="310"/>
      <c r="L12" s="574" t="s">
        <v>106</v>
      </c>
      <c r="N12" s="574" t="s">
        <v>345</v>
      </c>
      <c r="O12" s="310"/>
      <c r="P12" s="574" t="s">
        <v>444</v>
      </c>
      <c r="Q12" s="310"/>
      <c r="R12" s="574" t="s">
        <v>785</v>
      </c>
      <c r="S12" s="310"/>
      <c r="T12" s="471" t="s">
        <v>216</v>
      </c>
      <c r="U12" s="310"/>
      <c r="V12" s="574" t="s">
        <v>437</v>
      </c>
      <c r="W12" s="310"/>
      <c r="X12" s="471" t="s">
        <v>216</v>
      </c>
      <c r="Y12" s="310"/>
      <c r="Z12" s="574" t="s">
        <v>1162</v>
      </c>
      <c r="AA12" s="310"/>
      <c r="AB12" s="574" t="s">
        <v>216</v>
      </c>
      <c r="AC12" s="310"/>
      <c r="AD12" s="574" t="s">
        <v>445</v>
      </c>
      <c r="AE12" s="310"/>
      <c r="AF12" s="574" t="s">
        <v>216</v>
      </c>
      <c r="AG12" s="947"/>
      <c r="AH12" s="471"/>
      <c r="AI12" s="632"/>
      <c r="AJ12" s="574" t="s">
        <v>216</v>
      </c>
      <c r="AK12" s="632"/>
      <c r="AL12" s="574" t="s">
        <v>1307</v>
      </c>
      <c r="AM12" s="947"/>
      <c r="AN12" s="471" t="s">
        <v>762</v>
      </c>
      <c r="AO12" s="310"/>
    </row>
    <row r="13" spans="1:43" ht="5.0999999999999996" customHeight="1" x14ac:dyDescent="0.2">
      <c r="A13" s="247"/>
      <c r="B13" s="247"/>
      <c r="C13" s="247"/>
      <c r="D13" s="247"/>
      <c r="E13" s="247"/>
      <c r="F13" s="247"/>
      <c r="G13" s="247"/>
      <c r="H13" s="247"/>
      <c r="I13" s="247"/>
      <c r="J13" s="247"/>
      <c r="K13" s="247"/>
      <c r="L13" s="247"/>
      <c r="M13" s="247"/>
      <c r="N13" s="265"/>
      <c r="O13" s="265"/>
      <c r="P13" s="265">
        <v>0</v>
      </c>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47"/>
    </row>
    <row r="14" spans="1:43" s="492" customFormat="1" ht="16.5" customHeight="1" x14ac:dyDescent="0.2">
      <c r="A14" s="594" t="s">
        <v>1321</v>
      </c>
      <c r="F14" s="1114"/>
      <c r="G14" s="1114"/>
      <c r="H14" s="1114"/>
      <c r="J14" s="1114"/>
      <c r="K14" s="1114"/>
      <c r="L14" s="1114"/>
      <c r="M14" s="1115"/>
      <c r="N14" s="637" t="s">
        <v>1050</v>
      </c>
      <c r="O14" s="637"/>
      <c r="P14" s="637" t="s">
        <v>1050</v>
      </c>
      <c r="Q14" s="637"/>
      <c r="R14" s="637"/>
      <c r="S14" s="637"/>
      <c r="T14" s="637"/>
      <c r="U14" s="637"/>
      <c r="V14" s="637"/>
      <c r="W14" s="637"/>
      <c r="X14" s="637"/>
      <c r="Y14" s="637"/>
      <c r="Z14" s="637"/>
      <c r="AA14" s="637"/>
      <c r="AB14" s="637"/>
      <c r="AC14" s="637"/>
      <c r="AD14" s="637"/>
      <c r="AE14" s="637"/>
      <c r="AF14" s="637"/>
      <c r="AG14" s="637"/>
      <c r="AH14" s="637"/>
      <c r="AI14" s="637" t="s">
        <v>1050</v>
      </c>
      <c r="AJ14" s="637"/>
      <c r="AK14" s="637" t="s">
        <v>1050</v>
      </c>
      <c r="AL14" s="637"/>
      <c r="AM14" s="637"/>
      <c r="AN14" s="637" t="s">
        <v>1050</v>
      </c>
      <c r="AO14" s="1114"/>
    </row>
    <row r="15" spans="1:43" s="646" customFormat="1" ht="9.9499999999999993" customHeight="1" x14ac:dyDescent="0.2">
      <c r="A15" s="533"/>
      <c r="B15" s="533" t="s">
        <v>964</v>
      </c>
      <c r="C15" s="533"/>
      <c r="D15" s="533"/>
      <c r="E15" s="533"/>
      <c r="F15" s="339">
        <v>34419</v>
      </c>
      <c r="G15" s="339"/>
      <c r="H15" s="339">
        <v>17934</v>
      </c>
      <c r="I15" s="361"/>
      <c r="J15" s="339">
        <v>0</v>
      </c>
      <c r="K15" s="339"/>
      <c r="L15" s="339">
        <v>240</v>
      </c>
      <c r="M15" s="1332"/>
      <c r="N15" s="339">
        <f>+H15+J15+L15-F15</f>
        <v>-16245</v>
      </c>
      <c r="O15" s="1331"/>
      <c r="P15" s="1331"/>
      <c r="Q15" s="1329"/>
      <c r="R15" s="1331"/>
      <c r="S15" s="1331"/>
      <c r="T15" s="1331">
        <v>0</v>
      </c>
      <c r="U15" s="1331"/>
      <c r="V15" s="1331">
        <v>0</v>
      </c>
      <c r="W15" s="1331"/>
      <c r="X15" s="1331">
        <v>0</v>
      </c>
      <c r="Y15" s="1331"/>
      <c r="Z15" s="1331">
        <v>0</v>
      </c>
      <c r="AA15" s="1331"/>
      <c r="AB15" s="1331">
        <v>0</v>
      </c>
      <c r="AC15" s="1331"/>
      <c r="AD15" s="1331">
        <v>0</v>
      </c>
      <c r="AE15" s="1331"/>
      <c r="AF15" s="1331"/>
      <c r="AG15" s="1331"/>
      <c r="AH15" s="1331"/>
      <c r="AI15" s="1329"/>
      <c r="AJ15" s="1331">
        <v>0</v>
      </c>
      <c r="AK15" s="1329"/>
      <c r="AL15" s="1331">
        <v>0</v>
      </c>
      <c r="AM15" s="1331"/>
      <c r="AN15" s="1329">
        <f>SUM(N15:AL15)</f>
        <v>-16245</v>
      </c>
      <c r="AO15" s="538"/>
      <c r="AP15" s="778"/>
      <c r="AQ15" s="778"/>
    </row>
    <row r="16" spans="1:43" s="492" customFormat="1" ht="16.5" customHeight="1" x14ac:dyDescent="0.2">
      <c r="A16" s="594" t="s">
        <v>1327</v>
      </c>
      <c r="F16" s="1114"/>
      <c r="G16" s="1114"/>
      <c r="H16" s="1114"/>
      <c r="J16" s="1114"/>
      <c r="K16" s="1114"/>
      <c r="L16" s="1114"/>
      <c r="M16" s="1115"/>
      <c r="N16" s="637"/>
      <c r="O16" s="637"/>
      <c r="P16" s="637"/>
      <c r="Q16" s="637"/>
      <c r="R16" s="637"/>
      <c r="S16" s="637"/>
      <c r="AO16" s="1114"/>
    </row>
    <row r="17" spans="1:43" s="646" customFormat="1" ht="9.9499999999999993" customHeight="1" x14ac:dyDescent="0.2">
      <c r="A17" s="533"/>
      <c r="B17" s="533" t="s">
        <v>961</v>
      </c>
      <c r="C17" s="663"/>
      <c r="D17" s="663"/>
      <c r="E17" s="533"/>
      <c r="F17" s="646">
        <v>1222</v>
      </c>
      <c r="H17" s="646">
        <v>794</v>
      </c>
      <c r="M17" s="538"/>
      <c r="N17" s="533"/>
      <c r="O17" s="533"/>
      <c r="P17" s="533"/>
      <c r="Q17" s="538"/>
      <c r="R17" s="533"/>
      <c r="S17" s="533"/>
      <c r="T17" s="1414">
        <f>+H17+J17+L17-F17</f>
        <v>-428</v>
      </c>
      <c r="U17" s="958"/>
      <c r="V17" s="1414"/>
      <c r="W17" s="958"/>
      <c r="X17" s="1414"/>
      <c r="Y17" s="958"/>
      <c r="Z17" s="958"/>
      <c r="AA17" s="958"/>
      <c r="AB17" s="1414"/>
      <c r="AC17" s="958"/>
      <c r="AD17" s="958"/>
      <c r="AE17" s="958"/>
      <c r="AF17" s="958"/>
      <c r="AG17" s="958"/>
      <c r="AH17" s="958"/>
      <c r="AI17" s="1485"/>
      <c r="AJ17" s="1485"/>
      <c r="AK17" s="1485"/>
      <c r="AL17" s="1485"/>
      <c r="AM17" s="958"/>
      <c r="AN17" s="1414">
        <f>SUM(N17:AL17)</f>
        <v>-428</v>
      </c>
      <c r="AO17" s="538"/>
      <c r="AP17" s="778"/>
      <c r="AQ17" s="778"/>
    </row>
    <row r="18" spans="1:43" s="492" customFormat="1" ht="16.5" customHeight="1" x14ac:dyDescent="0.2">
      <c r="A18" s="594" t="s">
        <v>9</v>
      </c>
      <c r="F18" s="1114"/>
      <c r="G18" s="1114"/>
      <c r="H18" s="1114"/>
      <c r="J18" s="1114"/>
      <c r="K18" s="1114"/>
      <c r="L18" s="1114"/>
      <c r="M18" s="1115"/>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1114"/>
    </row>
    <row r="19" spans="1:43" s="492" customFormat="1" ht="9.9499999999999993" customHeight="1" x14ac:dyDescent="0.2">
      <c r="A19" s="253"/>
      <c r="B19" s="253" t="s">
        <v>964</v>
      </c>
      <c r="C19" s="352"/>
      <c r="D19" s="352"/>
      <c r="E19" s="253"/>
      <c r="F19" s="1216">
        <v>74737</v>
      </c>
      <c r="G19" s="1216"/>
      <c r="H19" s="1217">
        <v>66081</v>
      </c>
      <c r="I19" s="1218"/>
      <c r="J19" s="1218"/>
      <c r="K19" s="1216"/>
      <c r="L19" s="1216">
        <v>2064</v>
      </c>
      <c r="M19" s="1218"/>
      <c r="N19" s="1216"/>
      <c r="O19" s="1216"/>
      <c r="P19" s="1216"/>
      <c r="Q19" s="1218"/>
      <c r="R19" s="1216"/>
      <c r="S19" s="1216"/>
      <c r="T19" s="1216"/>
      <c r="U19" s="1216"/>
      <c r="V19" s="273">
        <f>-F19+H19+J19+L19</f>
        <v>-6592</v>
      </c>
      <c r="W19" s="533"/>
      <c r="X19" s="533"/>
      <c r="Y19" s="533"/>
      <c r="Z19" s="533"/>
      <c r="AA19" s="533"/>
      <c r="AB19" s="533"/>
      <c r="AC19" s="533"/>
      <c r="AD19" s="533"/>
      <c r="AE19" s="504"/>
      <c r="AF19" s="504"/>
      <c r="AG19" s="504"/>
      <c r="AH19" s="504"/>
      <c r="AI19" s="504"/>
      <c r="AJ19" s="504"/>
      <c r="AK19" s="504"/>
      <c r="AL19" s="504"/>
      <c r="AM19" s="504"/>
      <c r="AN19" s="273">
        <f>SUM(N19:AL19)</f>
        <v>-6592</v>
      </c>
      <c r="AO19" s="254"/>
    </row>
    <row r="20" spans="1:43" s="492" customFormat="1" ht="16.5" hidden="1" customHeight="1" x14ac:dyDescent="0.2">
      <c r="A20" s="594" t="s">
        <v>50</v>
      </c>
      <c r="F20" s="1114"/>
      <c r="G20" s="1114"/>
      <c r="H20" s="1114"/>
      <c r="J20" s="1114"/>
      <c r="K20" s="1114"/>
      <c r="L20" s="1114"/>
      <c r="M20" s="1115"/>
      <c r="N20" s="637"/>
      <c r="O20" s="637"/>
      <c r="P20" s="637"/>
      <c r="Q20" s="637"/>
      <c r="R20" s="637"/>
      <c r="S20" s="637"/>
      <c r="T20" s="637"/>
      <c r="U20" s="637"/>
      <c r="V20" s="637"/>
      <c r="W20" s="637"/>
      <c r="X20" s="637"/>
      <c r="Y20" s="637"/>
      <c r="Z20" s="637"/>
      <c r="AA20" s="637"/>
      <c r="AB20" s="637"/>
      <c r="AC20" s="637"/>
      <c r="AD20" s="637"/>
      <c r="AE20" s="637"/>
      <c r="AF20" s="637"/>
      <c r="AG20" s="637"/>
      <c r="AH20" s="637"/>
      <c r="AI20" s="637"/>
      <c r="AJ20" s="637"/>
      <c r="AK20" s="637"/>
      <c r="AL20" s="637"/>
      <c r="AM20" s="637"/>
      <c r="AN20" s="637"/>
      <c r="AO20" s="1114"/>
    </row>
    <row r="21" spans="1:43" s="492" customFormat="1" ht="9.9499999999999993" hidden="1" customHeight="1" x14ac:dyDescent="0.2">
      <c r="A21" s="253"/>
      <c r="B21" s="253" t="s">
        <v>959</v>
      </c>
      <c r="C21" s="352"/>
      <c r="D21" s="352"/>
      <c r="E21" s="253"/>
      <c r="F21" s="533"/>
      <c r="G21" s="533"/>
      <c r="H21" s="533"/>
      <c r="I21" s="538"/>
      <c r="J21" s="538"/>
      <c r="K21" s="533"/>
      <c r="L21" s="538"/>
      <c r="M21" s="538"/>
      <c r="N21" s="533"/>
      <c r="O21" s="533"/>
      <c r="P21" s="533"/>
      <c r="Q21" s="538"/>
      <c r="R21" s="533"/>
      <c r="S21" s="533"/>
      <c r="T21" s="533"/>
      <c r="U21" s="533"/>
      <c r="V21" s="533"/>
      <c r="W21" s="533"/>
      <c r="X21" s="533"/>
      <c r="Y21" s="533"/>
      <c r="Z21" s="533"/>
      <c r="AA21" s="533"/>
      <c r="AB21" s="533"/>
      <c r="AC21" s="533"/>
      <c r="AD21" s="533"/>
      <c r="AE21" s="504"/>
      <c r="AF21" s="504"/>
      <c r="AG21" s="504"/>
      <c r="AH21" s="504"/>
      <c r="AI21" s="504"/>
      <c r="AJ21" s="504"/>
      <c r="AK21" s="504"/>
      <c r="AL21" s="504"/>
      <c r="AM21" s="504"/>
      <c r="AN21" s="273">
        <f>SUM(N21:AJ21)</f>
        <v>0</v>
      </c>
      <c r="AO21" s="254"/>
    </row>
    <row r="22" spans="1:43" s="492" customFormat="1" ht="16.5" customHeight="1" x14ac:dyDescent="0.2">
      <c r="A22" s="594" t="s">
        <v>1252</v>
      </c>
      <c r="F22" s="1114"/>
      <c r="G22" s="1114"/>
      <c r="H22" s="1114"/>
      <c r="J22" s="1114"/>
      <c r="K22" s="1114"/>
      <c r="L22" s="1114"/>
      <c r="M22" s="1115"/>
      <c r="N22" s="637"/>
      <c r="O22" s="637"/>
      <c r="P22" s="637"/>
      <c r="Q22" s="637"/>
      <c r="R22" s="637"/>
      <c r="S22" s="637"/>
      <c r="T22" s="637"/>
      <c r="U22" s="637"/>
      <c r="V22" s="637"/>
      <c r="W22" s="637"/>
      <c r="X22" s="637"/>
      <c r="Y22" s="637"/>
      <c r="Z22" s="637"/>
      <c r="AA22" s="637"/>
      <c r="AB22" s="637"/>
      <c r="AC22" s="637"/>
      <c r="AD22" s="637"/>
      <c r="AE22" s="637"/>
      <c r="AF22" s="637"/>
      <c r="AG22" s="637"/>
      <c r="AH22" s="637"/>
      <c r="AI22" s="637"/>
      <c r="AJ22" s="637"/>
      <c r="AK22" s="637"/>
      <c r="AL22" s="637"/>
      <c r="AM22" s="637"/>
      <c r="AN22" s="637"/>
      <c r="AO22" s="1114"/>
    </row>
    <row r="23" spans="1:43" s="492" customFormat="1" ht="9.9499999999999993" customHeight="1" x14ac:dyDescent="0.2">
      <c r="A23" s="253"/>
      <c r="B23" s="253" t="s">
        <v>953</v>
      </c>
      <c r="C23" s="253"/>
      <c r="D23" s="350"/>
      <c r="E23" s="253"/>
      <c r="F23" s="1216">
        <v>35164</v>
      </c>
      <c r="G23" s="1216"/>
      <c r="H23" s="1217">
        <v>26564</v>
      </c>
      <c r="I23" s="538"/>
      <c r="J23" s="538"/>
      <c r="K23" s="533"/>
      <c r="L23" s="538"/>
      <c r="M23" s="538"/>
      <c r="N23" s="533"/>
      <c r="O23" s="533"/>
      <c r="P23" s="533"/>
      <c r="Q23" s="538"/>
      <c r="R23" s="533"/>
      <c r="S23" s="533"/>
      <c r="T23" s="533"/>
      <c r="U23" s="533"/>
      <c r="V23" s="533"/>
      <c r="W23" s="533"/>
      <c r="X23" s="538">
        <f>+H23-F23</f>
        <v>-8600</v>
      </c>
      <c r="Y23" s="533"/>
      <c r="Z23" s="533"/>
      <c r="AA23" s="533"/>
      <c r="AB23" s="533"/>
      <c r="AC23" s="533"/>
      <c r="AD23" s="533"/>
      <c r="AE23" s="504"/>
      <c r="AF23" s="504"/>
      <c r="AG23" s="504"/>
      <c r="AH23" s="504"/>
      <c r="AI23" s="273"/>
      <c r="AJ23" s="504"/>
      <c r="AK23" s="273"/>
      <c r="AL23" s="504"/>
      <c r="AM23" s="504"/>
      <c r="AN23" s="273">
        <f>SUM(N23:AL23)</f>
        <v>-8600</v>
      </c>
      <c r="AO23" s="254"/>
    </row>
    <row r="24" spans="1:43" s="492" customFormat="1" ht="16.5" hidden="1" customHeight="1" x14ac:dyDescent="0.2">
      <c r="A24" s="594" t="s">
        <v>1021</v>
      </c>
      <c r="F24" s="1114"/>
      <c r="G24" s="1114"/>
      <c r="H24" s="1114"/>
      <c r="J24" s="1114"/>
      <c r="K24" s="1114"/>
      <c r="L24" s="1114"/>
      <c r="M24" s="1115"/>
      <c r="N24" s="637"/>
      <c r="O24" s="637"/>
      <c r="P24" s="637"/>
      <c r="Q24" s="637"/>
      <c r="R24" s="637"/>
      <c r="S24" s="637"/>
      <c r="T24" s="637"/>
      <c r="U24" s="637"/>
      <c r="V24" s="637"/>
      <c r="W24" s="637"/>
      <c r="X24" s="637"/>
      <c r="Y24" s="637"/>
      <c r="Z24" s="637"/>
      <c r="AA24" s="637"/>
      <c r="AB24" s="637"/>
      <c r="AC24" s="637"/>
      <c r="AD24" s="637"/>
      <c r="AE24" s="637"/>
      <c r="AF24" s="637"/>
      <c r="AG24" s="637"/>
      <c r="AH24" s="637"/>
      <c r="AI24" s="637"/>
      <c r="AJ24" s="637"/>
      <c r="AK24" s="637"/>
      <c r="AL24" s="637"/>
      <c r="AM24" s="637"/>
      <c r="AN24" s="637">
        <f>SUM(F24:AJ24)</f>
        <v>0</v>
      </c>
      <c r="AO24" s="1114"/>
    </row>
    <row r="25" spans="1:43" s="492" customFormat="1" ht="9.9499999999999993" hidden="1" customHeight="1" x14ac:dyDescent="0.2">
      <c r="A25" s="253"/>
      <c r="B25" s="253" t="s">
        <v>963</v>
      </c>
      <c r="C25" s="352"/>
      <c r="D25" s="352"/>
      <c r="E25" s="253"/>
      <c r="F25" s="533"/>
      <c r="G25" s="533"/>
      <c r="H25" s="779"/>
      <c r="I25" s="538"/>
      <c r="J25" s="538"/>
      <c r="K25" s="533"/>
      <c r="L25" s="538"/>
      <c r="M25" s="538"/>
      <c r="N25" s="533"/>
      <c r="O25" s="533"/>
      <c r="P25" s="533"/>
      <c r="Q25" s="538"/>
      <c r="R25" s="533"/>
      <c r="S25" s="533"/>
      <c r="T25" s="533"/>
      <c r="U25" s="533"/>
      <c r="V25" s="533"/>
      <c r="W25" s="533"/>
      <c r="X25" s="533"/>
      <c r="Y25" s="533"/>
      <c r="Z25" s="533"/>
      <c r="AA25" s="533"/>
      <c r="AB25" s="533"/>
      <c r="AC25" s="533"/>
      <c r="AD25" s="533"/>
      <c r="AE25" s="504"/>
      <c r="AF25" s="504"/>
      <c r="AG25" s="504"/>
      <c r="AH25" s="504"/>
      <c r="AI25" s="504"/>
      <c r="AJ25" s="504"/>
      <c r="AK25" s="504"/>
      <c r="AL25" s="504"/>
      <c r="AM25" s="504"/>
      <c r="AN25" s="273">
        <f>SUM(N25:AJ25)</f>
        <v>0</v>
      </c>
      <c r="AO25" s="254"/>
    </row>
    <row r="26" spans="1:43" s="492" customFormat="1" ht="16.5" hidden="1" customHeight="1" x14ac:dyDescent="0.2">
      <c r="A26" s="594" t="s">
        <v>1242</v>
      </c>
      <c r="F26" s="1114"/>
      <c r="G26" s="1114"/>
      <c r="H26" s="1114"/>
      <c r="J26" s="1114"/>
      <c r="K26" s="1114"/>
      <c r="L26" s="1114"/>
      <c r="M26" s="1115"/>
      <c r="N26" s="637"/>
      <c r="O26" s="637"/>
      <c r="P26" s="637"/>
      <c r="Q26" s="637"/>
      <c r="R26" s="637"/>
      <c r="S26" s="637"/>
      <c r="T26" s="637"/>
      <c r="U26" s="637"/>
      <c r="V26" s="637"/>
      <c r="W26" s="637"/>
      <c r="X26" s="637"/>
      <c r="Y26" s="637"/>
      <c r="Z26" s="637"/>
      <c r="AA26" s="637"/>
      <c r="AB26" s="637"/>
      <c r="AC26" s="637"/>
      <c r="AD26" s="637"/>
      <c r="AE26" s="637"/>
      <c r="AF26" s="637"/>
      <c r="AG26" s="637"/>
      <c r="AH26" s="637"/>
      <c r="AI26" s="637"/>
      <c r="AJ26" s="637"/>
      <c r="AK26" s="637"/>
      <c r="AL26" s="637"/>
      <c r="AM26" s="637"/>
      <c r="AN26" s="637"/>
      <c r="AO26" s="1114"/>
    </row>
    <row r="27" spans="1:43" s="492" customFormat="1" ht="9.9499999999999993" hidden="1" customHeight="1" x14ac:dyDescent="0.2">
      <c r="A27" s="253"/>
      <c r="B27" s="253" t="s">
        <v>963</v>
      </c>
      <c r="C27" s="352"/>
      <c r="D27" s="352"/>
      <c r="E27" s="253"/>
      <c r="F27" s="1216"/>
      <c r="G27" s="1216"/>
      <c r="H27" s="1336"/>
      <c r="I27" s="538"/>
      <c r="J27" s="538"/>
      <c r="K27" s="533"/>
      <c r="L27" s="538"/>
      <c r="M27" s="538"/>
      <c r="N27" s="533"/>
      <c r="O27" s="533"/>
      <c r="P27" s="533"/>
      <c r="Q27" s="538"/>
      <c r="R27" s="533"/>
      <c r="S27" s="533"/>
      <c r="T27" s="533"/>
      <c r="U27" s="533"/>
      <c r="V27" s="533"/>
      <c r="W27" s="533"/>
      <c r="X27" s="533"/>
      <c r="Y27" s="533"/>
      <c r="Z27" s="533"/>
      <c r="AA27" s="533"/>
      <c r="AB27" s="273">
        <f>+H27-F27</f>
        <v>0</v>
      </c>
      <c r="AC27" s="533"/>
      <c r="AD27" s="533"/>
      <c r="AE27" s="504"/>
      <c r="AF27" s="273"/>
      <c r="AG27" s="504"/>
      <c r="AH27" s="502"/>
      <c r="AI27" s="504"/>
      <c r="AJ27" s="502"/>
      <c r="AK27" s="504"/>
      <c r="AL27" s="502"/>
      <c r="AM27" s="504"/>
      <c r="AN27" s="273">
        <f>SUM(N27:AL27)</f>
        <v>0</v>
      </c>
      <c r="AO27" s="254"/>
    </row>
    <row r="28" spans="1:43" s="492" customFormat="1" ht="16.5" hidden="1" customHeight="1" x14ac:dyDescent="0.2">
      <c r="A28" s="594" t="s">
        <v>369</v>
      </c>
      <c r="F28" s="1114"/>
      <c r="G28" s="1114"/>
      <c r="H28" s="1114"/>
      <c r="J28" s="1114"/>
      <c r="K28" s="1114"/>
      <c r="L28" s="1114"/>
      <c r="M28" s="1115"/>
      <c r="N28" s="637"/>
      <c r="O28" s="637"/>
      <c r="P28" s="637"/>
      <c r="Q28" s="637"/>
      <c r="R28" s="637"/>
      <c r="S28" s="637"/>
      <c r="T28" s="637"/>
      <c r="U28" s="637"/>
      <c r="V28" s="637"/>
      <c r="W28" s="637"/>
      <c r="X28" s="637"/>
      <c r="Y28" s="637"/>
      <c r="Z28" s="637"/>
      <c r="AA28" s="637"/>
      <c r="AB28" s="637"/>
      <c r="AC28" s="637"/>
      <c r="AD28" s="637"/>
      <c r="AE28" s="637"/>
      <c r="AF28" s="637"/>
      <c r="AG28" s="637"/>
      <c r="AH28" s="637"/>
      <c r="AI28" s="637"/>
      <c r="AJ28" s="637"/>
      <c r="AK28" s="637"/>
      <c r="AL28" s="637"/>
      <c r="AM28" s="637"/>
      <c r="AN28" s="637"/>
      <c r="AO28" s="1114"/>
    </row>
    <row r="29" spans="1:43" s="492" customFormat="1" ht="9.9499999999999993" hidden="1" customHeight="1" x14ac:dyDescent="0.2">
      <c r="A29" s="253"/>
      <c r="B29" s="253" t="s">
        <v>963</v>
      </c>
      <c r="C29" s="352"/>
      <c r="D29" s="352"/>
      <c r="E29" s="253"/>
      <c r="F29" s="533"/>
      <c r="G29" s="533"/>
      <c r="H29" s="779"/>
      <c r="I29" s="538"/>
      <c r="J29" s="538"/>
      <c r="K29" s="533"/>
      <c r="L29" s="538"/>
      <c r="M29" s="538"/>
      <c r="N29" s="533"/>
      <c r="O29" s="533"/>
      <c r="P29" s="533"/>
      <c r="Q29" s="538"/>
      <c r="R29" s="533"/>
      <c r="S29" s="533"/>
      <c r="T29" s="533"/>
      <c r="U29" s="533"/>
      <c r="V29" s="533"/>
      <c r="W29" s="533"/>
      <c r="X29" s="533"/>
      <c r="Y29" s="533"/>
      <c r="Z29" s="533"/>
      <c r="AA29" s="533"/>
      <c r="AB29" s="646"/>
      <c r="AC29" s="533"/>
      <c r="AD29" s="273">
        <f>+H29-F29</f>
        <v>0</v>
      </c>
      <c r="AE29" s="504"/>
      <c r="AF29" s="273"/>
      <c r="AG29" s="504"/>
      <c r="AH29" s="502"/>
      <c r="AI29" s="504"/>
      <c r="AJ29" s="502"/>
      <c r="AK29" s="504"/>
      <c r="AL29" s="502"/>
      <c r="AM29" s="504"/>
      <c r="AN29" s="273">
        <f>SUM(N29:AL29)</f>
        <v>0</v>
      </c>
      <c r="AO29" s="254"/>
    </row>
    <row r="30" spans="1:43" s="492" customFormat="1" ht="16.5" hidden="1" customHeight="1" x14ac:dyDescent="0.2">
      <c r="A30" s="594" t="s">
        <v>1254</v>
      </c>
      <c r="F30" s="1114"/>
      <c r="G30" s="1114"/>
      <c r="H30" s="1114"/>
      <c r="J30" s="1114"/>
      <c r="K30" s="1114"/>
      <c r="L30" s="1114"/>
      <c r="M30" s="1115"/>
      <c r="N30" s="637"/>
      <c r="O30" s="637"/>
      <c r="P30" s="637"/>
      <c r="Q30" s="637"/>
      <c r="R30" s="637"/>
      <c r="S30" s="637"/>
      <c r="T30" s="637"/>
      <c r="U30" s="637"/>
      <c r="V30" s="637"/>
      <c r="W30" s="637"/>
      <c r="X30" s="637"/>
      <c r="Y30" s="637"/>
      <c r="Z30" s="637"/>
      <c r="AA30" s="637"/>
      <c r="AB30" s="637"/>
      <c r="AC30" s="637"/>
      <c r="AD30" s="637"/>
      <c r="AE30" s="637"/>
      <c r="AF30" s="637"/>
      <c r="AG30" s="637"/>
      <c r="AH30" s="637"/>
      <c r="AI30" s="637"/>
      <c r="AJ30" s="637"/>
      <c r="AK30" s="637"/>
      <c r="AL30" s="637"/>
      <c r="AM30" s="637"/>
      <c r="AN30" s="637"/>
      <c r="AO30" s="1114"/>
    </row>
    <row r="31" spans="1:43" s="492" customFormat="1" ht="9.9499999999999993" hidden="1" customHeight="1" x14ac:dyDescent="0.2">
      <c r="A31" s="253"/>
      <c r="B31" s="253" t="s">
        <v>963</v>
      </c>
      <c r="C31" s="352"/>
      <c r="D31" s="352"/>
      <c r="E31" s="253"/>
      <c r="F31" s="1216"/>
      <c r="G31" s="1216"/>
      <c r="H31" s="1216"/>
      <c r="I31" s="538"/>
      <c r="J31" s="538"/>
      <c r="K31" s="533"/>
      <c r="L31" s="538"/>
      <c r="M31" s="538"/>
      <c r="N31" s="533"/>
      <c r="O31" s="533"/>
      <c r="P31" s="533"/>
      <c r="Q31" s="538"/>
      <c r="R31" s="533"/>
      <c r="S31" s="533"/>
      <c r="T31" s="533"/>
      <c r="U31" s="533"/>
      <c r="V31" s="533"/>
      <c r="W31" s="533"/>
      <c r="X31" s="533"/>
      <c r="Y31" s="533"/>
      <c r="Z31" s="533"/>
      <c r="AA31" s="533"/>
      <c r="AB31" s="533">
        <f>+H31-F31</f>
        <v>0</v>
      </c>
      <c r="AC31" s="533"/>
      <c r="AD31" s="533"/>
      <c r="AE31" s="504"/>
      <c r="AF31" s="502"/>
      <c r="AG31" s="504"/>
      <c r="AH31" s="502"/>
      <c r="AI31" s="504"/>
      <c r="AJ31" s="273">
        <f>+H31-F31</f>
        <v>0</v>
      </c>
      <c r="AK31" s="504"/>
      <c r="AL31" s="273"/>
      <c r="AM31" s="504"/>
      <c r="AN31" s="273">
        <f>SUM(N31:AL31)</f>
        <v>0</v>
      </c>
      <c r="AO31" s="254"/>
    </row>
    <row r="32" spans="1:43" s="492" customFormat="1" ht="16.5" hidden="1" customHeight="1" x14ac:dyDescent="0.2">
      <c r="A32" s="594" t="s">
        <v>1337</v>
      </c>
      <c r="F32" s="1114"/>
      <c r="G32" s="1114"/>
      <c r="H32" s="1114"/>
      <c r="J32" s="1114"/>
      <c r="K32" s="1114"/>
      <c r="L32" s="1114"/>
      <c r="M32" s="1115"/>
      <c r="N32" s="637"/>
      <c r="O32" s="637"/>
      <c r="P32" s="637"/>
      <c r="Q32" s="637"/>
      <c r="R32" s="637"/>
      <c r="S32" s="637"/>
      <c r="T32" s="637"/>
      <c r="U32" s="637"/>
      <c r="V32" s="637"/>
      <c r="W32" s="637"/>
      <c r="X32" s="637"/>
      <c r="Y32" s="637"/>
      <c r="Z32" s="637"/>
      <c r="AA32" s="637"/>
      <c r="AB32" s="637"/>
      <c r="AC32" s="637"/>
      <c r="AD32" s="637"/>
      <c r="AE32" s="637"/>
      <c r="AF32" s="637"/>
      <c r="AG32" s="637"/>
      <c r="AH32" s="637"/>
      <c r="AI32" s="637"/>
      <c r="AJ32" s="637"/>
      <c r="AK32" s="637"/>
      <c r="AL32" s="637"/>
      <c r="AM32" s="637"/>
      <c r="AN32" s="637"/>
      <c r="AO32" s="1114"/>
    </row>
    <row r="33" spans="1:41" s="492" customFormat="1" ht="9.9499999999999993" hidden="1" customHeight="1" x14ac:dyDescent="0.2">
      <c r="A33" s="253"/>
      <c r="B33" s="253" t="s">
        <v>961</v>
      </c>
      <c r="C33" s="352"/>
      <c r="D33" s="352"/>
      <c r="E33" s="253"/>
      <c r="F33" s="533"/>
      <c r="G33" s="533"/>
      <c r="H33" s="533"/>
      <c r="I33" s="538"/>
      <c r="J33" s="538"/>
      <c r="K33" s="533"/>
      <c r="L33" s="538"/>
      <c r="M33" s="538"/>
      <c r="N33" s="533"/>
      <c r="O33" s="533"/>
      <c r="P33" s="533"/>
      <c r="Q33" s="538"/>
      <c r="R33" s="533"/>
      <c r="S33" s="533"/>
      <c r="T33" s="533"/>
      <c r="U33" s="533"/>
      <c r="V33" s="533"/>
      <c r="W33" s="533"/>
      <c r="X33" s="533"/>
      <c r="Y33" s="533"/>
      <c r="Z33" s="533"/>
      <c r="AA33" s="533"/>
      <c r="AB33" s="533"/>
      <c r="AC33" s="533"/>
      <c r="AD33" s="533"/>
      <c r="AE33" s="504"/>
      <c r="AF33" s="502"/>
      <c r="AG33" s="504"/>
      <c r="AH33" s="502"/>
      <c r="AI33" s="504"/>
      <c r="AJ33" s="273"/>
      <c r="AK33" s="504"/>
      <c r="AL33" s="273">
        <f>+H33-F33+J33+L33</f>
        <v>0</v>
      </c>
      <c r="AM33" s="504"/>
      <c r="AN33" s="273">
        <f>SUM(N33:AL33)</f>
        <v>0</v>
      </c>
      <c r="AO33" s="254"/>
    </row>
    <row r="34" spans="1:41" s="492" customFormat="1" ht="5.0999999999999996" customHeight="1" x14ac:dyDescent="0.2">
      <c r="A34" s="253"/>
      <c r="B34" s="350"/>
      <c r="C34" s="253"/>
      <c r="D34" s="253"/>
      <c r="E34" s="253"/>
      <c r="F34" s="1219"/>
      <c r="G34" s="504"/>
      <c r="H34" s="1220"/>
      <c r="I34" s="504"/>
      <c r="J34" s="1219"/>
      <c r="K34" s="504"/>
      <c r="L34" s="1219"/>
      <c r="M34" s="504"/>
      <c r="N34" s="1219"/>
      <c r="O34" s="504"/>
      <c r="P34" s="504"/>
      <c r="Q34" s="504"/>
      <c r="R34" s="504"/>
      <c r="S34" s="504"/>
      <c r="T34" s="1219"/>
      <c r="U34" s="504"/>
      <c r="V34" s="1219"/>
      <c r="W34" s="504"/>
      <c r="X34" s="1219"/>
      <c r="Y34" s="504"/>
      <c r="Z34" s="1219"/>
      <c r="AA34" s="504"/>
      <c r="AB34" s="1219"/>
      <c r="AC34" s="504"/>
      <c r="AD34" s="1219"/>
      <c r="AE34" s="504"/>
      <c r="AF34" s="504"/>
      <c r="AG34" s="504"/>
      <c r="AH34" s="504"/>
      <c r="AI34" s="504"/>
      <c r="AJ34" s="1219"/>
      <c r="AK34" s="504"/>
      <c r="AL34" s="1219"/>
      <c r="AM34" s="504"/>
      <c r="AN34" s="340"/>
      <c r="AO34" s="254"/>
    </row>
    <row r="35" spans="1:41" s="492" customFormat="1" ht="11.1" customHeight="1" thickBot="1" x14ac:dyDescent="0.25">
      <c r="A35" s="253"/>
      <c r="B35" s="253"/>
      <c r="C35" s="353" t="s">
        <v>725</v>
      </c>
      <c r="E35" s="253"/>
      <c r="F35" s="344">
        <f>SUM(F15:F33)</f>
        <v>145542</v>
      </c>
      <c r="G35" s="254"/>
      <c r="H35" s="344">
        <f>SUM(H15:H33)</f>
        <v>111373</v>
      </c>
      <c r="I35" s="260"/>
      <c r="J35" s="344">
        <f>SUM(J15:J33)</f>
        <v>0</v>
      </c>
      <c r="K35" s="254"/>
      <c r="L35" s="344">
        <f>SUM(L15:L33)</f>
        <v>2304</v>
      </c>
      <c r="M35" s="260"/>
      <c r="N35" s="341">
        <f>SUM(N15:N33)</f>
        <v>-16245</v>
      </c>
      <c r="O35" s="273"/>
      <c r="P35" s="341">
        <f>SUM(P15:P33)</f>
        <v>0</v>
      </c>
      <c r="Q35" s="273"/>
      <c r="R35" s="341">
        <f>SUM(R15:R33)</f>
        <v>0</v>
      </c>
      <c r="S35" s="273"/>
      <c r="T35" s="341">
        <f>SUM(T15:T33)</f>
        <v>-428</v>
      </c>
      <c r="U35" s="273"/>
      <c r="V35" s="341">
        <f>SUM(V15:V33)</f>
        <v>-6592</v>
      </c>
      <c r="W35" s="273"/>
      <c r="X35" s="341">
        <f>SUM(X15:X33)</f>
        <v>-8600</v>
      </c>
      <c r="Y35" s="273"/>
      <c r="Z35" s="344">
        <f>SUM(Z15:Z33)</f>
        <v>0</v>
      </c>
      <c r="AA35" s="273"/>
      <c r="AB35" s="341">
        <f>SUM(AB15:AB33)</f>
        <v>0</v>
      </c>
      <c r="AC35" s="273"/>
      <c r="AD35" s="341">
        <f>SUM(AD15:AD33)</f>
        <v>0</v>
      </c>
      <c r="AE35" s="273"/>
      <c r="AF35" s="341">
        <f>SUM(AF15:AF33)</f>
        <v>0</v>
      </c>
      <c r="AG35" s="273"/>
      <c r="AH35" s="341">
        <f>SUM(AH15:AH33)</f>
        <v>0</v>
      </c>
      <c r="AI35" s="273">
        <f>SUM(AI15:AI33)</f>
        <v>0</v>
      </c>
      <c r="AJ35" s="341">
        <f>SUM(AJ15:AJ33)</f>
        <v>0</v>
      </c>
      <c r="AK35" s="273">
        <f>SUM(AK15:AK33)</f>
        <v>0</v>
      </c>
      <c r="AL35" s="341">
        <f>SUM(AL15:AL33)</f>
        <v>0</v>
      </c>
      <c r="AM35" s="273"/>
      <c r="AN35" s="341">
        <f>SUM(AN15:AN33)</f>
        <v>-31865</v>
      </c>
      <c r="AO35" s="254"/>
    </row>
    <row r="36" spans="1:41" s="492" customFormat="1" ht="5.0999999999999996" customHeight="1" thickTop="1" x14ac:dyDescent="0.2">
      <c r="A36" s="253"/>
      <c r="B36" s="253"/>
      <c r="C36" s="253"/>
      <c r="D36" s="253"/>
      <c r="E36" s="253"/>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row>
    <row r="37" spans="1:41" s="492" customFormat="1" ht="9.9499999999999993" customHeight="1" x14ac:dyDescent="0.2">
      <c r="A37" s="253"/>
      <c r="B37" s="253"/>
      <c r="C37" s="253"/>
      <c r="D37" s="253"/>
      <c r="E37" s="253"/>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row>
    <row r="38" spans="1:41" s="492" customFormat="1" ht="9.9499999999999993" customHeight="1" x14ac:dyDescent="0.2">
      <c r="A38" s="284"/>
      <c r="B38" s="253"/>
      <c r="C38" s="253"/>
      <c r="D38" s="253"/>
      <c r="E38" s="253"/>
      <c r="F38" s="254"/>
      <c r="G38" s="284" t="s">
        <v>773</v>
      </c>
      <c r="H38" s="253"/>
      <c r="J38" s="253"/>
      <c r="K38" s="254"/>
      <c r="L38" s="254"/>
      <c r="M38" s="254"/>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c r="AL38" s="348"/>
      <c r="AM38" s="348"/>
      <c r="AN38" s="348"/>
      <c r="AO38" s="348"/>
    </row>
    <row r="39" spans="1:41" s="492" customFormat="1" ht="9.9499999999999993" customHeight="1" x14ac:dyDescent="0.2">
      <c r="A39" s="253"/>
      <c r="B39" s="253"/>
      <c r="C39" s="253"/>
      <c r="D39" s="253"/>
      <c r="E39" s="253"/>
      <c r="F39" s="254"/>
      <c r="G39" s="253"/>
      <c r="H39" s="352" t="s">
        <v>774</v>
      </c>
      <c r="J39" s="253"/>
      <c r="K39" s="254"/>
      <c r="L39" s="254"/>
      <c r="M39" s="254"/>
      <c r="N39" s="273">
        <v>6586</v>
      </c>
      <c r="O39" s="273"/>
      <c r="P39" s="273"/>
      <c r="Q39" s="273"/>
      <c r="R39" s="273"/>
      <c r="S39" s="273"/>
      <c r="T39" s="273"/>
      <c r="U39" s="273"/>
      <c r="V39" s="273">
        <v>8924</v>
      </c>
      <c r="W39" s="273"/>
      <c r="X39" s="1414">
        <v>919</v>
      </c>
      <c r="Y39" s="273"/>
      <c r="Z39" s="273"/>
      <c r="AA39" s="273"/>
      <c r="AB39" s="273"/>
      <c r="AC39" s="273"/>
      <c r="AD39" s="273"/>
      <c r="AE39" s="273"/>
      <c r="AF39" s="273"/>
      <c r="AG39" s="273"/>
      <c r="AH39" s="273"/>
      <c r="AI39" s="273"/>
      <c r="AJ39" s="273"/>
      <c r="AK39" s="273"/>
      <c r="AL39" s="273"/>
      <c r="AM39" s="273"/>
      <c r="AN39" s="273">
        <f>SUM(N39:X39)</f>
        <v>16429</v>
      </c>
      <c r="AO39" s="254"/>
    </row>
    <row r="40" spans="1:41" s="492" customFormat="1" ht="9.9499999999999993" customHeight="1" x14ac:dyDescent="0.2">
      <c r="A40" s="253"/>
      <c r="B40" s="253"/>
      <c r="C40" s="253"/>
      <c r="D40" s="253"/>
      <c r="E40" s="253"/>
      <c r="F40" s="254"/>
      <c r="G40" s="253"/>
      <c r="H40" s="352" t="s">
        <v>775</v>
      </c>
      <c r="J40" s="253"/>
      <c r="K40" s="254"/>
      <c r="L40" s="254"/>
      <c r="M40" s="254"/>
      <c r="N40" s="273">
        <v>7496</v>
      </c>
      <c r="O40" s="273"/>
      <c r="P40" s="273"/>
      <c r="Q40" s="273"/>
      <c r="R40" s="273"/>
      <c r="S40" s="273"/>
      <c r="T40" s="273">
        <v>453</v>
      </c>
      <c r="U40" s="273"/>
      <c r="V40" s="273"/>
      <c r="W40" s="273"/>
      <c r="X40" s="273">
        <v>7681</v>
      </c>
      <c r="Y40" s="273"/>
      <c r="Z40" s="273"/>
      <c r="AA40" s="273"/>
      <c r="AB40" s="273"/>
      <c r="AC40" s="273"/>
      <c r="AD40" s="273"/>
      <c r="AE40" s="273"/>
      <c r="AF40" s="273"/>
      <c r="AG40" s="273"/>
      <c r="AH40" s="273"/>
      <c r="AI40" s="273"/>
      <c r="AJ40" s="273"/>
      <c r="AK40" s="273"/>
      <c r="AL40" s="273"/>
      <c r="AM40" s="273"/>
      <c r="AN40" s="273">
        <f>SUM(N40:X40)</f>
        <v>15630</v>
      </c>
      <c r="AO40" s="254"/>
    </row>
    <row r="41" spans="1:41" s="492" customFormat="1" ht="9.9499999999999993" hidden="1" customHeight="1" x14ac:dyDescent="0.2">
      <c r="A41" s="253"/>
      <c r="B41" s="253"/>
      <c r="C41" s="253"/>
      <c r="D41" s="253"/>
      <c r="E41" s="253"/>
      <c r="F41" s="254"/>
      <c r="G41" s="253"/>
      <c r="H41" s="352" t="s">
        <v>596</v>
      </c>
      <c r="J41" s="253"/>
      <c r="K41" s="254"/>
      <c r="L41" s="254"/>
      <c r="M41" s="254"/>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f>SUM(N41:AJ41)</f>
        <v>0</v>
      </c>
      <c r="AO41" s="254"/>
    </row>
    <row r="42" spans="1:41" s="492" customFormat="1" ht="9.9499999999999993" hidden="1" customHeight="1" x14ac:dyDescent="0.2">
      <c r="A42" s="253"/>
      <c r="B42" s="253"/>
      <c r="C42" s="253"/>
      <c r="D42" s="253"/>
      <c r="E42" s="253"/>
      <c r="F42" s="254"/>
      <c r="G42" s="253"/>
      <c r="H42" s="253"/>
      <c r="J42" s="352" t="s">
        <v>1011</v>
      </c>
      <c r="K42" s="254"/>
      <c r="L42" s="254"/>
      <c r="M42" s="254"/>
      <c r="N42" s="341"/>
      <c r="O42" s="273"/>
      <c r="P42" s="341"/>
      <c r="Q42" s="273"/>
      <c r="R42" s="341"/>
      <c r="S42" s="273"/>
      <c r="T42" s="341"/>
      <c r="U42" s="273"/>
      <c r="V42" s="341"/>
      <c r="W42" s="273"/>
      <c r="X42" s="341"/>
      <c r="Y42" s="273"/>
      <c r="Z42" s="341"/>
      <c r="AA42" s="273"/>
      <c r="AB42" s="341"/>
      <c r="AC42" s="273"/>
      <c r="AD42" s="341"/>
      <c r="AE42" s="273"/>
      <c r="AF42" s="341"/>
      <c r="AG42" s="273"/>
      <c r="AH42" s="341"/>
      <c r="AI42" s="273"/>
      <c r="AJ42" s="341"/>
      <c r="AK42" s="273"/>
      <c r="AL42" s="341"/>
      <c r="AM42" s="273"/>
      <c r="AN42" s="341">
        <f>SUM(N42:AI42)</f>
        <v>0</v>
      </c>
      <c r="AO42" s="254"/>
    </row>
    <row r="43" spans="1:41" s="492" customFormat="1" ht="5.0999999999999996" customHeight="1" x14ac:dyDescent="0.2">
      <c r="A43" s="253"/>
      <c r="B43" s="253"/>
      <c r="C43" s="253"/>
      <c r="D43" s="253"/>
      <c r="E43" s="253"/>
      <c r="F43" s="254"/>
      <c r="G43" s="253"/>
      <c r="H43" s="253"/>
      <c r="J43" s="253"/>
      <c r="K43" s="254"/>
      <c r="L43" s="254"/>
      <c r="M43" s="254"/>
      <c r="N43" s="340"/>
      <c r="O43" s="273"/>
      <c r="P43" s="340"/>
      <c r="Q43" s="273"/>
      <c r="R43" s="340"/>
      <c r="S43" s="273"/>
      <c r="T43" s="340"/>
      <c r="U43" s="273"/>
      <c r="V43" s="340"/>
      <c r="W43" s="273"/>
      <c r="X43" s="340"/>
      <c r="Y43" s="273"/>
      <c r="Z43" s="340"/>
      <c r="AA43" s="273"/>
      <c r="AB43" s="340"/>
      <c r="AC43" s="273"/>
      <c r="AD43" s="340"/>
      <c r="AE43" s="273"/>
      <c r="AF43" s="340"/>
      <c r="AG43" s="273"/>
      <c r="AH43" s="340"/>
      <c r="AI43" s="273"/>
      <c r="AJ43" s="340"/>
      <c r="AK43" s="273"/>
      <c r="AL43" s="340"/>
      <c r="AM43" s="273"/>
      <c r="AN43" s="340"/>
      <c r="AO43" s="254"/>
    </row>
    <row r="44" spans="1:41" s="492" customFormat="1" ht="11.1" customHeight="1" x14ac:dyDescent="0.2">
      <c r="A44" s="284"/>
      <c r="B44" s="253"/>
      <c r="C44" s="253"/>
      <c r="D44" s="253"/>
      <c r="E44" s="253"/>
      <c r="F44" s="254"/>
      <c r="G44" s="353" t="s">
        <v>459</v>
      </c>
      <c r="K44" s="254"/>
      <c r="L44" s="254"/>
      <c r="M44" s="254"/>
      <c r="N44" s="341">
        <f>SUM(N39:N42)</f>
        <v>14082</v>
      </c>
      <c r="O44" s="273"/>
      <c r="P44" s="341">
        <f>SUM(P39:P42)</f>
        <v>0</v>
      </c>
      <c r="Q44" s="273"/>
      <c r="R44" s="341">
        <f>SUM(R39:R42)</f>
        <v>0</v>
      </c>
      <c r="S44" s="273"/>
      <c r="T44" s="341">
        <f>SUM(T39:T42)</f>
        <v>453</v>
      </c>
      <c r="U44" s="273"/>
      <c r="V44" s="341">
        <f>SUM(V39:V42)</f>
        <v>8924</v>
      </c>
      <c r="W44" s="273"/>
      <c r="X44" s="341">
        <f>SUM(X39:X42)</f>
        <v>8600</v>
      </c>
      <c r="Y44" s="273"/>
      <c r="Z44" s="341">
        <f>SUM(Z39:Z42)</f>
        <v>0</v>
      </c>
      <c r="AA44" s="273"/>
      <c r="AB44" s="341">
        <f>SUM(AB39:AB42)</f>
        <v>0</v>
      </c>
      <c r="AC44" s="273"/>
      <c r="AD44" s="341">
        <f>SUM(AD39:AD42)</f>
        <v>0</v>
      </c>
      <c r="AE44" s="273"/>
      <c r="AF44" s="341">
        <f>SUM(AF39:AF42)</f>
        <v>0</v>
      </c>
      <c r="AG44" s="273"/>
      <c r="AH44" s="341">
        <f>SUM(AH39:AH42)</f>
        <v>0</v>
      </c>
      <c r="AI44" s="273">
        <f>SUM(AI39:AI42)</f>
        <v>0</v>
      </c>
      <c r="AJ44" s="341">
        <f>SUM(AJ39:AJ42)</f>
        <v>0</v>
      </c>
      <c r="AK44" s="273">
        <f>SUM(AK39:AK42)</f>
        <v>0</v>
      </c>
      <c r="AL44" s="341">
        <f>SUM(AL39:AL42)</f>
        <v>0</v>
      </c>
      <c r="AM44" s="273"/>
      <c r="AN44" s="341">
        <f>SUM(AN39:AN42)</f>
        <v>32059</v>
      </c>
      <c r="AO44" s="254"/>
    </row>
    <row r="45" spans="1:41" s="492" customFormat="1" ht="5.0999999999999996" customHeight="1" x14ac:dyDescent="0.2">
      <c r="A45" s="253"/>
      <c r="B45" s="253"/>
      <c r="C45" s="253"/>
      <c r="D45" s="253"/>
      <c r="E45" s="253"/>
      <c r="F45" s="254"/>
      <c r="G45" s="352"/>
      <c r="H45" s="350"/>
      <c r="J45" s="350"/>
      <c r="K45" s="254"/>
      <c r="L45" s="254"/>
      <c r="M45" s="254"/>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54"/>
    </row>
    <row r="46" spans="1:41" s="492" customFormat="1" ht="9.9499999999999993" customHeight="1" x14ac:dyDescent="0.2">
      <c r="A46" s="253"/>
      <c r="B46" s="253"/>
      <c r="C46" s="253"/>
      <c r="D46" s="253"/>
      <c r="E46" s="253"/>
      <c r="F46" s="254"/>
      <c r="G46" s="353" t="s">
        <v>1111</v>
      </c>
      <c r="H46" s="253"/>
      <c r="J46" s="253"/>
      <c r="K46" s="254"/>
      <c r="L46" s="254"/>
      <c r="M46" s="254"/>
      <c r="N46" s="273">
        <f>SUM(N35+N44)</f>
        <v>-2163</v>
      </c>
      <c r="O46" s="273"/>
      <c r="P46" s="273">
        <f>SUM(P35+P44)</f>
        <v>0</v>
      </c>
      <c r="Q46" s="273"/>
      <c r="R46" s="273">
        <f>SUM(R35+R44)</f>
        <v>0</v>
      </c>
      <c r="S46" s="273"/>
      <c r="T46" s="273">
        <f>SUM(T35+T44)</f>
        <v>25</v>
      </c>
      <c r="U46" s="273"/>
      <c r="V46" s="273">
        <f>SUM(V35+V44)</f>
        <v>2332</v>
      </c>
      <c r="W46" s="273"/>
      <c r="X46" s="273">
        <f>SUM(X35+X44)</f>
        <v>0</v>
      </c>
      <c r="Y46" s="273"/>
      <c r="Z46" s="273">
        <f>SUM(Z35+Z44)</f>
        <v>0</v>
      </c>
      <c r="AA46" s="273"/>
      <c r="AB46" s="273">
        <f>SUM(AB35+AB44)</f>
        <v>0</v>
      </c>
      <c r="AC46" s="273"/>
      <c r="AD46" s="273">
        <f>SUM(AD35+AD44)</f>
        <v>0</v>
      </c>
      <c r="AE46" s="273"/>
      <c r="AF46" s="273">
        <f>SUM(AF35+AF44)</f>
        <v>0</v>
      </c>
      <c r="AG46" s="273"/>
      <c r="AH46" s="273">
        <f>SUM(AH35+AH44)</f>
        <v>0</v>
      </c>
      <c r="AI46" s="273"/>
      <c r="AJ46" s="273">
        <f>SUM(AJ35+AJ44)</f>
        <v>0</v>
      </c>
      <c r="AK46" s="273"/>
      <c r="AL46" s="273">
        <f>SUM(AL35+AL44)</f>
        <v>0</v>
      </c>
      <c r="AM46" s="273"/>
      <c r="AN46" s="273">
        <f>SUM(AN35+AN44)</f>
        <v>194</v>
      </c>
      <c r="AO46" s="254"/>
    </row>
    <row r="47" spans="1:41" s="492" customFormat="1" ht="5.0999999999999996" customHeight="1" x14ac:dyDescent="0.2">
      <c r="A47" s="253"/>
      <c r="B47" s="253"/>
      <c r="C47" s="253"/>
      <c r="D47" s="253"/>
      <c r="E47" s="253"/>
      <c r="F47" s="254"/>
      <c r="G47" s="352"/>
      <c r="H47" s="253"/>
      <c r="J47" s="253"/>
      <c r="K47" s="254"/>
      <c r="L47" s="254"/>
      <c r="M47" s="254"/>
      <c r="N47" s="273"/>
      <c r="O47" s="273"/>
      <c r="P47" s="273"/>
      <c r="Q47" s="273"/>
      <c r="R47" s="273"/>
      <c r="S47" s="273"/>
      <c r="T47" s="273"/>
      <c r="U47" s="273"/>
      <c r="V47" s="273"/>
      <c r="W47" s="273"/>
      <c r="X47" s="764"/>
      <c r="Y47" s="273"/>
      <c r="Z47" s="273"/>
      <c r="AA47" s="273"/>
      <c r="AB47" s="273"/>
      <c r="AC47" s="273"/>
      <c r="AD47" s="273"/>
      <c r="AE47" s="273"/>
      <c r="AF47" s="273"/>
      <c r="AG47" s="273"/>
      <c r="AH47" s="273"/>
      <c r="AI47" s="273"/>
      <c r="AJ47" s="273"/>
      <c r="AK47" s="273"/>
      <c r="AL47" s="273"/>
      <c r="AM47" s="273"/>
      <c r="AN47" s="273">
        <f>SUM(N47:AI47)</f>
        <v>0</v>
      </c>
      <c r="AO47" s="254"/>
    </row>
    <row r="48" spans="1:41" s="492" customFormat="1" ht="11.1" customHeight="1" x14ac:dyDescent="0.2">
      <c r="A48" s="284"/>
      <c r="B48" s="253"/>
      <c r="C48" s="253"/>
      <c r="D48" s="253"/>
      <c r="E48" s="253"/>
      <c r="F48" s="254"/>
      <c r="G48" s="352" t="s">
        <v>1439</v>
      </c>
      <c r="H48" s="253"/>
      <c r="J48" s="253"/>
      <c r="K48" s="254"/>
      <c r="L48" s="254"/>
      <c r="M48" s="254"/>
      <c r="N48" s="273"/>
      <c r="O48" s="273"/>
      <c r="P48" s="273">
        <v>0</v>
      </c>
      <c r="Q48" s="273"/>
      <c r="R48" s="273">
        <v>0</v>
      </c>
      <c r="S48" s="273"/>
      <c r="T48" s="273">
        <v>13373</v>
      </c>
      <c r="U48" s="273"/>
      <c r="V48" s="273">
        <v>185226</v>
      </c>
      <c r="W48" s="273"/>
      <c r="X48" s="273">
        <v>0</v>
      </c>
      <c r="Y48" s="273"/>
      <c r="Z48" s="273">
        <v>0</v>
      </c>
      <c r="AA48" s="273"/>
      <c r="AB48" s="273"/>
      <c r="AC48" s="273"/>
      <c r="AD48" s="273">
        <f>6548-6548</f>
        <v>0</v>
      </c>
      <c r="AE48" s="273"/>
      <c r="AF48" s="273">
        <v>0</v>
      </c>
      <c r="AG48" s="273"/>
      <c r="AH48" s="273">
        <v>0</v>
      </c>
      <c r="AI48" s="273">
        <v>0</v>
      </c>
      <c r="AJ48" s="273">
        <f>5053-5053</f>
        <v>0</v>
      </c>
      <c r="AK48" s="273">
        <v>0</v>
      </c>
      <c r="AL48" s="273">
        <v>0</v>
      </c>
      <c r="AM48" s="273"/>
      <c r="AN48" s="273">
        <f>SUM(N48:AL48)</f>
        <v>198599</v>
      </c>
      <c r="AO48" s="254"/>
    </row>
    <row r="49" spans="1:41" s="492" customFormat="1" ht="9.9499999999999993" hidden="1" customHeight="1" x14ac:dyDescent="0.2">
      <c r="A49" s="253"/>
      <c r="B49" s="253"/>
      <c r="C49" s="253"/>
      <c r="D49" s="253"/>
      <c r="E49" s="253"/>
      <c r="F49" s="254"/>
      <c r="G49" s="253"/>
      <c r="H49" s="253"/>
      <c r="J49" s="253"/>
      <c r="K49" s="254"/>
      <c r="L49" s="254"/>
      <c r="M49" s="254"/>
      <c r="N49" s="341"/>
      <c r="O49" s="273"/>
      <c r="P49" s="341"/>
      <c r="Q49" s="273"/>
      <c r="R49" s="341"/>
      <c r="S49" s="273"/>
      <c r="T49" s="341"/>
      <c r="U49" s="273"/>
      <c r="V49" s="341"/>
      <c r="W49" s="273"/>
      <c r="X49" s="341"/>
      <c r="Y49" s="273"/>
      <c r="Z49" s="341"/>
      <c r="AA49" s="273"/>
      <c r="AB49" s="341"/>
      <c r="AC49" s="273"/>
      <c r="AD49" s="341"/>
      <c r="AE49" s="273"/>
      <c r="AF49" s="341"/>
      <c r="AG49" s="273"/>
      <c r="AH49" s="341"/>
      <c r="AI49" s="273"/>
      <c r="AJ49" s="341"/>
      <c r="AK49" s="273"/>
      <c r="AL49" s="341"/>
      <c r="AM49" s="273"/>
      <c r="AN49" s="341">
        <f>SUM(N49:AI49)</f>
        <v>0</v>
      </c>
      <c r="AO49" s="254"/>
    </row>
    <row r="50" spans="1:41" s="253" customFormat="1" ht="5.0999999999999996" customHeight="1" x14ac:dyDescent="0.2">
      <c r="B50" s="273"/>
      <c r="C50" s="399"/>
      <c r="D50" s="273"/>
      <c r="E50" s="273"/>
      <c r="F50" s="273"/>
      <c r="G50" s="273"/>
      <c r="H50" s="273"/>
      <c r="I50" s="273"/>
      <c r="J50" s="273"/>
      <c r="K50" s="273"/>
      <c r="L50" s="273"/>
      <c r="M50" s="273"/>
      <c r="N50" s="340"/>
      <c r="O50" s="273"/>
      <c r="P50" s="273"/>
      <c r="Q50" s="273"/>
      <c r="R50" s="273"/>
      <c r="S50" s="273"/>
      <c r="T50" s="340"/>
      <c r="U50" s="273"/>
      <c r="V50" s="340"/>
      <c r="W50" s="273"/>
      <c r="X50" s="340"/>
      <c r="Y50" s="273"/>
      <c r="Z50" s="340"/>
      <c r="AA50" s="273"/>
      <c r="AB50" s="273"/>
      <c r="AC50" s="273"/>
      <c r="AD50" s="273"/>
      <c r="AE50" s="273"/>
      <c r="AF50" s="340"/>
      <c r="AG50" s="273"/>
      <c r="AH50" s="273"/>
      <c r="AI50" s="273"/>
      <c r="AJ50" s="273"/>
      <c r="AK50" s="273"/>
      <c r="AL50" s="340"/>
      <c r="AM50" s="273"/>
      <c r="AN50" s="340"/>
    </row>
    <row r="51" spans="1:41" s="253" customFormat="1" ht="9.9499999999999993" hidden="1" customHeight="1" x14ac:dyDescent="0.2">
      <c r="B51" s="273"/>
      <c r="C51" s="273"/>
      <c r="D51" s="273"/>
      <c r="E51" s="273"/>
      <c r="F51" s="273"/>
      <c r="G51" s="352" t="s">
        <v>1715</v>
      </c>
      <c r="H51" s="273"/>
      <c r="I51" s="273"/>
      <c r="J51" s="273"/>
      <c r="K51" s="273"/>
      <c r="L51" s="273"/>
      <c r="M51" s="273"/>
      <c r="N51" s="273"/>
      <c r="O51" s="273"/>
      <c r="P51" s="273"/>
      <c r="Q51" s="273"/>
      <c r="R51" s="273"/>
      <c r="S51" s="273"/>
      <c r="T51" s="273"/>
      <c r="U51" s="273"/>
      <c r="V51" s="273"/>
      <c r="W51" s="273"/>
      <c r="X51" s="273"/>
      <c r="Y51" s="273"/>
      <c r="Z51" s="299"/>
    </row>
    <row r="52" spans="1:41" s="253" customFormat="1" ht="5.0999999999999996" hidden="1" customHeight="1" x14ac:dyDescent="0.2">
      <c r="B52" s="273"/>
      <c r="C52" s="399"/>
      <c r="D52" s="273"/>
      <c r="E52" s="273"/>
      <c r="F52" s="273"/>
      <c r="G52" s="352"/>
      <c r="H52" s="273"/>
      <c r="I52" s="273"/>
      <c r="J52" s="273"/>
      <c r="K52" s="273"/>
      <c r="L52" s="273"/>
      <c r="M52" s="273"/>
      <c r="N52" s="273"/>
      <c r="O52" s="273"/>
      <c r="P52" s="273"/>
      <c r="Q52" s="273"/>
      <c r="R52" s="273"/>
      <c r="S52" s="273"/>
      <c r="T52" s="273"/>
      <c r="U52" s="273"/>
      <c r="V52" s="273"/>
      <c r="W52" s="273"/>
      <c r="X52" s="273"/>
      <c r="Y52" s="273"/>
      <c r="Z52" s="348"/>
    </row>
    <row r="53" spans="1:41" s="253" customFormat="1" ht="9.9499999999999993" customHeight="1" x14ac:dyDescent="0.2">
      <c r="B53" s="273"/>
      <c r="C53" s="273"/>
      <c r="D53" s="273"/>
      <c r="E53" s="273"/>
      <c r="F53" s="273"/>
      <c r="G53" s="352" t="s">
        <v>1716</v>
      </c>
      <c r="H53" s="273"/>
      <c r="I53" s="273"/>
      <c r="J53" s="273"/>
      <c r="K53" s="273"/>
      <c r="L53" s="273"/>
      <c r="M53" s="273"/>
      <c r="N53" s="273">
        <v>-6841</v>
      </c>
      <c r="O53" s="273"/>
      <c r="P53" s="273"/>
      <c r="Q53" s="273"/>
      <c r="R53" s="273"/>
      <c r="S53" s="273"/>
      <c r="T53" s="273"/>
      <c r="U53" s="273"/>
      <c r="V53" s="273"/>
      <c r="W53" s="273"/>
      <c r="X53" s="273"/>
      <c r="Y53" s="273"/>
      <c r="Z53" s="299"/>
      <c r="AN53" s="273">
        <f>SUM(N53:AL53)</f>
        <v>-6841</v>
      </c>
    </row>
    <row r="54" spans="1:41" s="253" customFormat="1" ht="5.0999999999999996" customHeight="1" x14ac:dyDescent="0.2">
      <c r="B54" s="273"/>
      <c r="C54" s="399"/>
      <c r="D54" s="273"/>
      <c r="E54" s="273"/>
      <c r="F54" s="273"/>
      <c r="G54" s="352"/>
      <c r="H54" s="273"/>
      <c r="I54" s="273"/>
      <c r="J54" s="273"/>
      <c r="K54" s="273"/>
      <c r="L54" s="273"/>
      <c r="M54" s="273"/>
      <c r="N54" s="273"/>
      <c r="O54" s="273"/>
      <c r="P54" s="273"/>
      <c r="Q54" s="273"/>
      <c r="R54" s="273"/>
      <c r="S54" s="273"/>
      <c r="T54" s="273"/>
      <c r="U54" s="273"/>
      <c r="V54" s="273"/>
      <c r="W54" s="273"/>
      <c r="X54" s="273"/>
      <c r="Y54" s="273"/>
      <c r="Z54" s="348"/>
    </row>
    <row r="55" spans="1:41" s="253" customFormat="1" ht="9.9499999999999993" hidden="1" customHeight="1" x14ac:dyDescent="0.2">
      <c r="B55" s="273"/>
      <c r="C55" s="273"/>
      <c r="D55" s="273"/>
      <c r="E55" s="273"/>
      <c r="F55" s="273"/>
      <c r="G55" s="352" t="s">
        <v>1717</v>
      </c>
      <c r="H55" s="273"/>
      <c r="I55" s="273"/>
      <c r="J55" s="273"/>
      <c r="K55" s="273"/>
      <c r="L55" s="273"/>
      <c r="M55" s="273"/>
      <c r="N55" s="273"/>
      <c r="O55" s="273"/>
      <c r="P55" s="273"/>
      <c r="Q55" s="273"/>
      <c r="R55" s="273"/>
      <c r="S55" s="273"/>
      <c r="T55" s="273"/>
      <c r="U55" s="273"/>
      <c r="V55" s="273"/>
      <c r="W55" s="273"/>
      <c r="X55" s="273"/>
      <c r="Y55" s="273"/>
      <c r="Z55" s="299"/>
    </row>
    <row r="56" spans="1:41" s="253" customFormat="1" ht="5.0999999999999996" hidden="1" customHeight="1" x14ac:dyDescent="0.2">
      <c r="B56" s="273"/>
      <c r="C56" s="399"/>
      <c r="D56" s="273"/>
      <c r="E56" s="273"/>
      <c r="F56" s="273"/>
      <c r="G56" s="352"/>
      <c r="H56" s="273"/>
      <c r="I56" s="273"/>
      <c r="J56" s="273"/>
      <c r="K56" s="273"/>
      <c r="L56" s="273"/>
      <c r="M56" s="273"/>
      <c r="N56" s="273"/>
      <c r="O56" s="273"/>
      <c r="P56" s="273"/>
      <c r="Q56" s="273"/>
      <c r="R56" s="273"/>
      <c r="S56" s="273"/>
      <c r="T56" s="273"/>
      <c r="U56" s="273"/>
      <c r="V56" s="273"/>
      <c r="W56" s="273"/>
      <c r="X56" s="273"/>
      <c r="Y56" s="273"/>
      <c r="Z56" s="348"/>
    </row>
    <row r="57" spans="1:41" s="253" customFormat="1" ht="9.9499999999999993" customHeight="1" x14ac:dyDescent="0.2">
      <c r="A57" s="349"/>
      <c r="B57" s="273"/>
      <c r="C57" s="273"/>
      <c r="D57" s="273"/>
      <c r="E57" s="273"/>
      <c r="F57" s="273"/>
      <c r="G57" s="349" t="s">
        <v>1784</v>
      </c>
      <c r="H57" s="273"/>
      <c r="I57" s="273"/>
      <c r="J57" s="273"/>
      <c r="K57" s="273"/>
      <c r="L57" s="273"/>
      <c r="M57" s="273"/>
      <c r="N57" s="273">
        <f>SUM(N48:N55)</f>
        <v>-6841</v>
      </c>
      <c r="O57" s="273"/>
      <c r="P57" s="273"/>
      <c r="Q57" s="273"/>
      <c r="R57" s="273"/>
      <c r="S57" s="273"/>
      <c r="T57" s="273">
        <f>SUM(T48:T55)</f>
        <v>13373</v>
      </c>
      <c r="U57" s="273"/>
      <c r="V57" s="273">
        <f>SUM(V48:V55)</f>
        <v>185226</v>
      </c>
      <c r="W57" s="273"/>
      <c r="X57" s="273">
        <f>SUM(X48:X55)</f>
        <v>0</v>
      </c>
      <c r="Y57" s="273"/>
      <c r="Z57" s="299"/>
      <c r="AN57" s="273">
        <f>SUM(AN48:AN55)</f>
        <v>191758</v>
      </c>
    </row>
    <row r="58" spans="1:41" s="492" customFormat="1" ht="5.0999999999999996" customHeight="1" x14ac:dyDescent="0.2">
      <c r="A58" s="253"/>
      <c r="B58" s="253"/>
      <c r="C58" s="253"/>
      <c r="D58" s="253"/>
      <c r="E58" s="253"/>
      <c r="F58" s="254"/>
      <c r="G58" s="253"/>
      <c r="H58" s="253"/>
      <c r="J58" s="253"/>
      <c r="K58" s="254"/>
      <c r="L58" s="254"/>
      <c r="M58" s="254"/>
      <c r="N58" s="340"/>
      <c r="O58" s="273"/>
      <c r="P58" s="340"/>
      <c r="Q58" s="273"/>
      <c r="R58" s="340"/>
      <c r="S58" s="273"/>
      <c r="T58" s="340"/>
      <c r="U58" s="273"/>
      <c r="V58" s="340"/>
      <c r="W58" s="273"/>
      <c r="X58" s="340"/>
      <c r="Y58" s="273"/>
      <c r="Z58" s="340"/>
      <c r="AA58" s="273"/>
      <c r="AB58" s="340"/>
      <c r="AC58" s="273"/>
      <c r="AD58" s="340"/>
      <c r="AE58" s="273"/>
      <c r="AF58" s="340"/>
      <c r="AG58" s="273"/>
      <c r="AH58" s="340"/>
      <c r="AI58" s="273"/>
      <c r="AJ58" s="340"/>
      <c r="AK58" s="273"/>
      <c r="AL58" s="340"/>
      <c r="AM58" s="273"/>
      <c r="AN58" s="340"/>
      <c r="AO58" s="254"/>
    </row>
    <row r="59" spans="1:41" s="253" customFormat="1" ht="11.1" customHeight="1" thickBot="1" x14ac:dyDescent="0.25">
      <c r="F59" s="254"/>
      <c r="G59" s="284" t="s">
        <v>1785</v>
      </c>
      <c r="K59" s="254"/>
      <c r="L59" s="254"/>
      <c r="M59" s="671"/>
      <c r="N59" s="344">
        <f>+N57+N46</f>
        <v>-9004</v>
      </c>
      <c r="O59" s="347"/>
      <c r="P59" s="344">
        <f>SUM(P46:P49)</f>
        <v>0</v>
      </c>
      <c r="Q59" s="347"/>
      <c r="R59" s="344">
        <f>SUM(R46:R49)</f>
        <v>0</v>
      </c>
      <c r="S59" s="347"/>
      <c r="T59" s="344">
        <f>+T57+T46</f>
        <v>13398</v>
      </c>
      <c r="U59" s="347"/>
      <c r="V59" s="344">
        <f>+V57+V46</f>
        <v>187558</v>
      </c>
      <c r="W59" s="347"/>
      <c r="X59" s="344">
        <f>+X57+X46</f>
        <v>0</v>
      </c>
      <c r="Y59" s="347"/>
      <c r="Z59" s="344">
        <f>SUM(Z46:Z49)</f>
        <v>0</v>
      </c>
      <c r="AA59" s="347"/>
      <c r="AB59" s="344">
        <f>SUM(AB46:AB49)</f>
        <v>0</v>
      </c>
      <c r="AC59" s="347"/>
      <c r="AD59" s="344">
        <f>SUM(AD46:AD49)</f>
        <v>0</v>
      </c>
      <c r="AE59" s="347"/>
      <c r="AF59" s="344">
        <f>SUM(AF46:AF49)</f>
        <v>0</v>
      </c>
      <c r="AG59" s="254"/>
      <c r="AH59" s="344">
        <f>SUM(AH46:AH49)</f>
        <v>0</v>
      </c>
      <c r="AI59" s="254">
        <f>SUM(AI46:AI49)</f>
        <v>0</v>
      </c>
      <c r="AJ59" s="344">
        <f>SUM(AJ46:AJ49)</f>
        <v>0</v>
      </c>
      <c r="AK59" s="254">
        <f>SUM(AK46:AK49)</f>
        <v>0</v>
      </c>
      <c r="AL59" s="344">
        <f>SUM(AL46:AL49)</f>
        <v>0</v>
      </c>
      <c r="AM59" s="254"/>
      <c r="AN59" s="344">
        <f>+AN57+AN46</f>
        <v>191952</v>
      </c>
      <c r="AO59" s="254"/>
    </row>
    <row r="60" spans="1:41" s="492" customFormat="1" ht="5.0999999999999996" customHeight="1" thickTop="1" x14ac:dyDescent="0.2">
      <c r="A60" s="253"/>
      <c r="B60" s="253"/>
      <c r="C60" s="253"/>
      <c r="D60" s="253"/>
      <c r="E60" s="253"/>
      <c r="F60" s="254"/>
      <c r="G60" s="254"/>
      <c r="H60" s="254"/>
      <c r="I60" s="254"/>
      <c r="J60" s="254"/>
      <c r="K60" s="254"/>
      <c r="L60" s="254"/>
      <c r="M60" s="671"/>
      <c r="N60" s="254"/>
      <c r="O60" s="254"/>
      <c r="P60" s="254"/>
      <c r="Q60" s="254"/>
      <c r="R60" s="254"/>
      <c r="S60" s="254"/>
      <c r="T60" s="254"/>
      <c r="U60" s="254"/>
      <c r="V60" s="254"/>
      <c r="W60" s="254"/>
      <c r="X60" s="254"/>
      <c r="Y60" s="254"/>
      <c r="Z60" s="254"/>
      <c r="AA60" s="254"/>
      <c r="AB60" s="254"/>
      <c r="AC60" s="254"/>
      <c r="AD60" s="254"/>
      <c r="AE60" s="254"/>
      <c r="AF60" s="254"/>
      <c r="AG60" s="254"/>
      <c r="AH60" s="672"/>
      <c r="AI60" s="254"/>
      <c r="AJ60" s="254"/>
      <c r="AK60" s="254"/>
      <c r="AL60" s="254"/>
      <c r="AM60" s="254"/>
      <c r="AN60" s="254"/>
      <c r="AO60" s="254"/>
    </row>
    <row r="61" spans="1:41" s="492" customFormat="1" ht="9.9499999999999993" customHeight="1" x14ac:dyDescent="0.2">
      <c r="A61" s="253"/>
      <c r="B61" s="253"/>
      <c r="C61" s="668"/>
      <c r="D61" s="253"/>
      <c r="E61" s="253"/>
      <c r="F61" s="254"/>
      <c r="G61" s="254"/>
      <c r="H61" s="254"/>
      <c r="I61" s="254"/>
      <c r="J61" s="254"/>
      <c r="K61" s="254"/>
      <c r="L61" s="254"/>
      <c r="M61" s="671"/>
      <c r="N61" s="254"/>
      <c r="O61" s="254"/>
      <c r="P61" s="254"/>
      <c r="Q61" s="254"/>
      <c r="R61" s="254"/>
      <c r="S61" s="254"/>
      <c r="T61" s="254"/>
      <c r="U61" s="254"/>
      <c r="V61" s="254"/>
      <c r="W61" s="254"/>
      <c r="X61" s="254"/>
      <c r="Y61" s="254"/>
      <c r="Z61" s="254"/>
      <c r="AA61" s="254"/>
      <c r="AB61" s="254"/>
      <c r="AC61" s="254"/>
      <c r="AD61" s="254"/>
      <c r="AE61" s="254"/>
      <c r="AF61" s="254"/>
      <c r="AG61" s="254"/>
      <c r="AH61" s="672"/>
      <c r="AI61" s="254"/>
      <c r="AJ61" s="254"/>
      <c r="AK61" s="254"/>
      <c r="AL61" s="254"/>
      <c r="AM61" s="254"/>
      <c r="AN61" s="254"/>
      <c r="AO61" s="254"/>
    </row>
    <row r="62" spans="1:41" s="492" customFormat="1" ht="9.9499999999999993" customHeight="1" x14ac:dyDescent="0.2">
      <c r="A62" s="253"/>
      <c r="B62" s="253"/>
      <c r="C62" s="253"/>
      <c r="D62" s="253"/>
      <c r="E62" s="253"/>
      <c r="F62" s="254"/>
      <c r="G62" s="254"/>
      <c r="H62" s="254"/>
      <c r="I62" s="254"/>
      <c r="J62" s="254"/>
      <c r="K62" s="254"/>
      <c r="L62" s="254"/>
      <c r="M62" s="671"/>
      <c r="N62" s="254"/>
      <c r="O62" s="254"/>
      <c r="P62" s="254"/>
      <c r="Q62" s="254"/>
      <c r="R62" s="254"/>
      <c r="S62" s="254"/>
      <c r="T62" s="254"/>
      <c r="U62" s="254"/>
      <c r="V62" s="254"/>
      <c r="W62" s="254"/>
      <c r="X62" s="254"/>
      <c r="Y62" s="254"/>
      <c r="Z62" s="254"/>
      <c r="AA62" s="254"/>
      <c r="AB62" s="254"/>
      <c r="AC62" s="254"/>
      <c r="AD62" s="254"/>
      <c r="AE62" s="254"/>
      <c r="AF62" s="254"/>
      <c r="AG62" s="254"/>
      <c r="AH62" s="672"/>
      <c r="AI62" s="254"/>
      <c r="AJ62" s="254"/>
      <c r="AK62" s="254"/>
      <c r="AL62" s="254"/>
      <c r="AM62" s="254"/>
      <c r="AN62" s="254"/>
      <c r="AO62" s="254"/>
    </row>
    <row r="63" spans="1:41" s="492" customFormat="1" ht="9.9499999999999993" customHeight="1" x14ac:dyDescent="0.2">
      <c r="A63" s="253"/>
      <c r="B63" s="253"/>
      <c r="C63" s="253"/>
      <c r="D63" s="253"/>
      <c r="E63" s="253"/>
      <c r="F63" s="254"/>
      <c r="G63" s="254"/>
      <c r="H63" s="254"/>
      <c r="I63" s="254"/>
      <c r="J63" s="254"/>
      <c r="K63" s="254"/>
      <c r="L63" s="254"/>
      <c r="M63" s="671"/>
      <c r="N63" s="254"/>
      <c r="O63" s="254"/>
      <c r="P63" s="254"/>
      <c r="Q63" s="254"/>
      <c r="R63" s="254"/>
      <c r="S63" s="254"/>
      <c r="T63" s="254"/>
      <c r="U63" s="254"/>
      <c r="V63" s="254"/>
      <c r="W63" s="254"/>
      <c r="X63" s="254"/>
      <c r="Y63" s="254"/>
      <c r="Z63" s="254"/>
      <c r="AA63" s="254"/>
      <c r="AB63" s="254"/>
      <c r="AC63" s="254"/>
      <c r="AD63" s="254"/>
      <c r="AE63" s="254"/>
      <c r="AF63" s="254"/>
      <c r="AG63" s="254"/>
      <c r="AH63" s="672"/>
      <c r="AI63" s="254"/>
      <c r="AJ63" s="254"/>
      <c r="AK63" s="254"/>
      <c r="AL63" s="254"/>
      <c r="AM63" s="254"/>
      <c r="AN63" s="254"/>
      <c r="AO63" s="254"/>
    </row>
    <row r="64" spans="1:41" s="492" customFormat="1" ht="9.9499999999999993" customHeight="1" x14ac:dyDescent="0.2">
      <c r="A64" s="253"/>
      <c r="B64" s="253"/>
      <c r="C64" s="253"/>
      <c r="D64" s="253"/>
      <c r="E64" s="253"/>
      <c r="F64" s="254"/>
      <c r="G64" s="254"/>
      <c r="H64" s="254"/>
      <c r="I64" s="254"/>
      <c r="J64" s="254"/>
      <c r="K64" s="254"/>
      <c r="M64" s="673" t="s">
        <v>98</v>
      </c>
      <c r="N64" s="420">
        <f>SUM(N59-'Combining SONPCU'!F143)</f>
        <v>0</v>
      </c>
      <c r="O64" s="420"/>
      <c r="P64" s="420" t="e">
        <f>SUM(P59-'Combining SONPCU'!#REF!)</f>
        <v>#REF!</v>
      </c>
      <c r="Q64" s="420"/>
      <c r="R64" s="420" t="e">
        <f>SUM(R59-'Combining SONPCU'!#REF!)</f>
        <v>#REF!</v>
      </c>
      <c r="S64" s="420"/>
      <c r="T64" s="420">
        <f>SUM(T59-'Combining SONPCU'!H143)</f>
        <v>0</v>
      </c>
      <c r="U64" s="420"/>
      <c r="V64" s="420">
        <f>SUM(V59-'Combining SONPCU'!J143)</f>
        <v>0</v>
      </c>
      <c r="W64" s="420"/>
      <c r="X64" s="420">
        <f>SUM(X59-'Combining SONPCU'!L143)</f>
        <v>0</v>
      </c>
      <c r="Y64" s="420"/>
      <c r="Z64" s="420" t="e">
        <f>SUM(Z59-'Combining SONPCU'!#REF!)</f>
        <v>#REF!</v>
      </c>
      <c r="AA64" s="420"/>
      <c r="AB64" s="420">
        <f>SUM(AB59-'Combining SONPCU'!N143)</f>
        <v>0</v>
      </c>
      <c r="AC64" s="420"/>
      <c r="AD64" s="420">
        <f>SUM(AD59-'Combining SONPCU'!P143)</f>
        <v>0</v>
      </c>
      <c r="AE64" s="420"/>
      <c r="AF64" s="420"/>
      <c r="AG64" s="420"/>
      <c r="AH64" s="420">
        <f>SUM(AH59-'Combining SONPCU'!T143)</f>
        <v>0</v>
      </c>
      <c r="AI64" s="420"/>
      <c r="AJ64" s="420">
        <f>SUM(AJ59-'Combining SONPCU'!R143)</f>
        <v>0</v>
      </c>
      <c r="AK64" s="420"/>
      <c r="AL64" s="420">
        <f>SUM(AL59-'Combining SONPCU'!T143)</f>
        <v>0</v>
      </c>
      <c r="AM64" s="420"/>
      <c r="AN64" s="511">
        <f>SUM(AN59-'Combining SONPCU'!V143)</f>
        <v>0</v>
      </c>
      <c r="AO64" s="254"/>
    </row>
    <row r="65" spans="1:41" s="492" customFormat="1" ht="9.9499999999999993" customHeight="1" x14ac:dyDescent="0.2">
      <c r="A65" s="253"/>
      <c r="B65" s="253"/>
      <c r="C65" s="253"/>
      <c r="D65" s="253"/>
      <c r="E65" s="253"/>
      <c r="F65" s="254"/>
      <c r="G65" s="254"/>
      <c r="H65" s="254"/>
      <c r="I65" s="254"/>
      <c r="J65" s="254"/>
      <c r="K65" s="254"/>
      <c r="L65" s="254"/>
      <c r="M65" s="254"/>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c r="AM65" s="381"/>
      <c r="AN65" s="381"/>
      <c r="AO65" s="254"/>
    </row>
    <row r="66" spans="1:41" s="492" customFormat="1" ht="9.9499999999999993" customHeight="1" x14ac:dyDescent="0.2">
      <c r="A66" s="253"/>
      <c r="B66" s="253"/>
      <c r="C66" s="253"/>
      <c r="D66" s="257"/>
      <c r="E66" s="253"/>
      <c r="F66" s="355"/>
      <c r="G66" s="355"/>
      <c r="H66" s="355"/>
      <c r="I66" s="355"/>
      <c r="J66" s="355"/>
      <c r="K66" s="355"/>
      <c r="L66" s="355"/>
      <c r="M66" s="355"/>
      <c r="N66" s="254"/>
      <c r="O66" s="254"/>
      <c r="P66" s="254"/>
      <c r="Q66" s="254"/>
      <c r="R66" s="254"/>
      <c r="S66" s="254"/>
      <c r="T66" s="254"/>
      <c r="U66" s="254"/>
      <c r="V66" s="254"/>
      <c r="W66" s="254"/>
      <c r="X66" s="254"/>
      <c r="Y66" s="254"/>
      <c r="Z66" s="254"/>
      <c r="AA66" s="254"/>
      <c r="AB66" s="254"/>
      <c r="AC66" s="254"/>
      <c r="AD66" s="254"/>
      <c r="AE66" s="254"/>
      <c r="AF66" s="254"/>
      <c r="AG66" s="254"/>
      <c r="AH66" s="254"/>
      <c r="AI66" s="254"/>
      <c r="AJ66" s="254"/>
      <c r="AK66" s="254"/>
      <c r="AL66" s="254"/>
      <c r="AM66" s="254"/>
      <c r="AN66" s="254"/>
      <c r="AO66" s="355"/>
    </row>
    <row r="67" spans="1:41" ht="9.9499999999999993" customHeight="1" x14ac:dyDescent="0.2">
      <c r="A67" s="247"/>
      <c r="B67" s="247"/>
      <c r="C67" s="247"/>
      <c r="D67" s="597"/>
      <c r="E67" s="247"/>
      <c r="F67" s="277"/>
      <c r="G67" s="277"/>
      <c r="H67" s="277"/>
      <c r="I67" s="277"/>
      <c r="J67" s="277"/>
      <c r="K67" s="277"/>
      <c r="L67" s="615"/>
      <c r="M67" s="616"/>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2"/>
      <c r="AN67" s="282"/>
      <c r="AO67" s="277"/>
    </row>
    <row r="68" spans="1:41" ht="9.9499999999999993" customHeight="1" x14ac:dyDescent="0.2">
      <c r="A68" s="247"/>
      <c r="B68" s="247"/>
      <c r="C68" s="247"/>
      <c r="D68" s="597"/>
      <c r="E68" s="247"/>
      <c r="F68" s="277"/>
      <c r="G68" s="277"/>
      <c r="H68" s="277"/>
      <c r="I68" s="277"/>
      <c r="J68" s="277"/>
      <c r="K68" s="277"/>
      <c r="L68" s="277"/>
      <c r="M68" s="277"/>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77"/>
    </row>
    <row r="69" spans="1:41" ht="9.9499999999999993" customHeight="1" x14ac:dyDescent="0.2">
      <c r="A69" s="247"/>
      <c r="B69" s="247"/>
      <c r="C69" s="247"/>
      <c r="D69" s="247"/>
      <c r="E69" s="247"/>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603"/>
      <c r="AI69" s="265"/>
      <c r="AJ69" s="265"/>
      <c r="AK69" s="265"/>
      <c r="AL69" s="265"/>
      <c r="AM69" s="265"/>
      <c r="AN69" s="605"/>
      <c r="AO69" s="265"/>
    </row>
    <row r="70" spans="1:41" ht="9.9499999999999993" customHeight="1" x14ac:dyDescent="0.2">
      <c r="A70" s="247"/>
      <c r="B70" s="247"/>
      <c r="C70" s="247"/>
      <c r="D70" s="247"/>
      <c r="E70" s="247"/>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605"/>
      <c r="AO70" s="265"/>
    </row>
    <row r="71" spans="1:41" ht="9.9499999999999993" customHeight="1" x14ac:dyDescent="0.2">
      <c r="A71" s="247"/>
      <c r="B71" s="247"/>
      <c r="C71" s="247"/>
      <c r="D71" s="247"/>
      <c r="E71" s="247"/>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605"/>
      <c r="AO71" s="265"/>
    </row>
    <row r="72" spans="1:41" ht="9.9499999999999993" customHeight="1" x14ac:dyDescent="0.2">
      <c r="A72" s="247"/>
      <c r="B72" s="247"/>
      <c r="C72" s="247"/>
      <c r="D72" s="247"/>
      <c r="E72" s="247"/>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605"/>
      <c r="AO72" s="265"/>
    </row>
    <row r="73" spans="1:41" ht="9.9499999999999993" customHeight="1" x14ac:dyDescent="0.2">
      <c r="A73" s="247"/>
      <c r="B73" s="247"/>
      <c r="C73" s="247"/>
      <c r="D73" s="247"/>
      <c r="E73" s="247"/>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row>
    <row r="74" spans="1:41" ht="9.9499999999999993" customHeight="1" x14ac:dyDescent="0.2">
      <c r="A74" s="247"/>
      <c r="B74" s="247"/>
      <c r="C74" s="247"/>
      <c r="D74" s="247"/>
      <c r="E74" s="247"/>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row>
    <row r="75" spans="1:41" ht="9.9499999999999993" customHeight="1" x14ac:dyDescent="0.2">
      <c r="A75" s="247"/>
      <c r="B75" s="247"/>
      <c r="C75" s="247"/>
      <c r="D75" s="247"/>
      <c r="E75" s="247"/>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row>
    <row r="76" spans="1:41" ht="9.9499999999999993" customHeight="1" x14ac:dyDescent="0.2">
      <c r="A76" s="247"/>
      <c r="B76" s="247"/>
      <c r="C76" s="247"/>
      <c r="D76" s="247"/>
      <c r="E76" s="247"/>
      <c r="F76" s="247"/>
      <c r="G76" s="247"/>
      <c r="H76" s="247"/>
      <c r="I76" s="247"/>
      <c r="J76" s="247"/>
      <c r="K76" s="247"/>
      <c r="L76" s="247"/>
      <c r="M76" s="247"/>
      <c r="N76" s="265"/>
      <c r="O76" s="265"/>
      <c r="P76" s="265"/>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47"/>
    </row>
    <row r="77" spans="1:41" ht="9.9499999999999993" customHeight="1" x14ac:dyDescent="0.2">
      <c r="A77" s="247"/>
      <c r="B77" s="247"/>
      <c r="C77" s="247"/>
      <c r="D77" s="247"/>
      <c r="E77" s="247"/>
      <c r="F77" s="247"/>
      <c r="G77" s="247"/>
      <c r="H77" s="247"/>
      <c r="I77" s="247"/>
      <c r="J77" s="247"/>
      <c r="K77" s="247"/>
      <c r="L77" s="247"/>
      <c r="M77" s="247"/>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47"/>
    </row>
    <row r="78" spans="1:41" ht="9.9499999999999993" customHeight="1" x14ac:dyDescent="0.2">
      <c r="A78" s="247"/>
      <c r="B78" s="247"/>
      <c r="C78" s="247"/>
      <c r="D78" s="247"/>
      <c r="E78" s="247"/>
      <c r="F78" s="247"/>
      <c r="G78" s="247"/>
      <c r="H78" s="247"/>
      <c r="I78" s="247"/>
      <c r="J78" s="247"/>
      <c r="K78" s="247"/>
      <c r="L78" s="247"/>
      <c r="M78" s="247"/>
      <c r="N78" s="265"/>
      <c r="O78" s="265"/>
      <c r="P78" s="265"/>
      <c r="Q78" s="265"/>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47"/>
    </row>
    <row r="79" spans="1:41" ht="9.9499999999999993" customHeight="1" x14ac:dyDescent="0.2">
      <c r="A79" s="247"/>
      <c r="B79" s="247"/>
      <c r="C79" s="247"/>
      <c r="D79" s="247"/>
      <c r="E79" s="247"/>
      <c r="F79" s="247"/>
      <c r="G79" s="247"/>
      <c r="H79" s="247"/>
      <c r="I79" s="247"/>
      <c r="J79" s="247"/>
      <c r="K79" s="247"/>
      <c r="L79" s="247"/>
      <c r="M79" s="247"/>
      <c r="N79" s="265"/>
      <c r="O79" s="265"/>
      <c r="P79" s="265"/>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47"/>
    </row>
    <row r="80" spans="1:41" ht="9.9499999999999993" customHeight="1" x14ac:dyDescent="0.2">
      <c r="A80" s="247"/>
      <c r="B80" s="247"/>
      <c r="C80" s="247"/>
      <c r="D80" s="247"/>
      <c r="E80" s="247"/>
      <c r="F80" s="247"/>
      <c r="G80" s="247"/>
      <c r="H80" s="247"/>
      <c r="I80" s="247"/>
      <c r="J80" s="247"/>
      <c r="K80" s="247"/>
      <c r="L80" s="247"/>
      <c r="M80" s="247"/>
      <c r="N80" s="265"/>
      <c r="O80" s="265"/>
      <c r="P80" s="265"/>
      <c r="Q80" s="265"/>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47"/>
    </row>
    <row r="81" spans="1:41" ht="9.9499999999999993" customHeight="1" x14ac:dyDescent="0.2">
      <c r="A81" s="247"/>
      <c r="B81" s="247"/>
      <c r="C81" s="247"/>
      <c r="D81" s="247"/>
      <c r="E81" s="247"/>
      <c r="F81" s="247"/>
      <c r="G81" s="247"/>
      <c r="H81" s="247"/>
      <c r="I81" s="247"/>
      <c r="J81" s="247"/>
      <c r="K81" s="247"/>
      <c r="L81" s="247"/>
      <c r="M81" s="247"/>
      <c r="N81" s="265"/>
      <c r="O81" s="265"/>
      <c r="P81" s="265"/>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47"/>
    </row>
    <row r="82" spans="1:41" ht="9.9499999999999993" customHeight="1" x14ac:dyDescent="0.2">
      <c r="A82" s="247"/>
      <c r="B82" s="247"/>
      <c r="C82" s="247"/>
      <c r="D82" s="247"/>
      <c r="E82" s="247"/>
      <c r="F82" s="247"/>
      <c r="G82" s="247"/>
      <c r="H82" s="247"/>
      <c r="I82" s="247"/>
      <c r="J82" s="247"/>
      <c r="K82" s="247"/>
      <c r="L82" s="247"/>
      <c r="M82" s="247"/>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47"/>
    </row>
    <row r="83" spans="1:41" ht="9.9499999999999993" customHeight="1" x14ac:dyDescent="0.2">
      <c r="A83" s="247"/>
      <c r="B83" s="247"/>
      <c r="C83" s="247"/>
      <c r="D83" s="247"/>
      <c r="E83" s="247"/>
      <c r="F83" s="247"/>
      <c r="G83" s="247"/>
      <c r="H83" s="247"/>
      <c r="I83" s="247"/>
      <c r="J83" s="247"/>
      <c r="K83" s="247"/>
      <c r="L83" s="247"/>
      <c r="M83" s="247"/>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47"/>
    </row>
    <row r="110" spans="7:7" ht="9.9499999999999993" customHeight="1" x14ac:dyDescent="0.2">
      <c r="G110" s="314">
        <v>21</v>
      </c>
    </row>
  </sheetData>
  <mergeCells count="8">
    <mergeCell ref="A1:P1"/>
    <mergeCell ref="U1:AN1"/>
    <mergeCell ref="A12:D12"/>
    <mergeCell ref="H8:L8"/>
    <mergeCell ref="N6:P6"/>
    <mergeCell ref="N7:X7"/>
    <mergeCell ref="N8:X8"/>
    <mergeCell ref="A4:G4"/>
  </mergeCells>
  <phoneticPr fontId="9" type="noConversion"/>
  <printOptions horizontalCentered="1"/>
  <pageMargins left="0.5" right="0.5" top="0.5" bottom="0.625" header="0.5" footer="0.5"/>
  <pageSetup scale="7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2">
    <tabColor theme="6" tint="0.39997558519241921"/>
  </sheetPr>
  <dimension ref="A1:BA124"/>
  <sheetViews>
    <sheetView view="pageBreakPreview" zoomScale="120" zoomScaleNormal="100" zoomScaleSheetLayoutView="120" workbookViewId="0">
      <selection activeCell="AU21" activeCellId="1" sqref="AU14 AU21"/>
    </sheetView>
  </sheetViews>
  <sheetFormatPr defaultColWidth="9.140625" defaultRowHeight="12.75" x14ac:dyDescent="0.2"/>
  <cols>
    <col min="1" max="1" width="1.5703125" style="434" customWidth="1"/>
    <col min="2" max="2" width="33.5703125" style="434" customWidth="1"/>
    <col min="3" max="3" width="10.5703125" style="981" hidden="1" customWidth="1"/>
    <col min="4" max="4" width="0.5703125" style="434" hidden="1" customWidth="1"/>
    <col min="5" max="5" width="10.5703125" style="981" hidden="1" customWidth="1"/>
    <col min="6" max="6" width="0.5703125" style="434" hidden="1" customWidth="1"/>
    <col min="7" max="7" width="10.5703125" style="981" hidden="1" customWidth="1"/>
    <col min="8" max="8" width="0.5703125" style="434" hidden="1" customWidth="1"/>
    <col min="9" max="9" width="10.5703125" style="981" hidden="1" customWidth="1"/>
    <col min="10" max="10" width="0.5703125" style="434" hidden="1" customWidth="1"/>
    <col min="11" max="11" width="10.5703125" style="981" hidden="1" customWidth="1"/>
    <col min="12" max="12" width="0.5703125" style="434" hidden="1" customWidth="1"/>
    <col min="13" max="13" width="10.5703125" style="981" hidden="1" customWidth="1"/>
    <col min="14" max="14" width="0.5703125" style="434" hidden="1" customWidth="1"/>
    <col min="15" max="15" width="10.5703125" style="981" hidden="1" customWidth="1"/>
    <col min="16" max="16" width="0.5703125" style="434" hidden="1" customWidth="1"/>
    <col min="17" max="17" width="10.5703125" style="981" hidden="1" customWidth="1"/>
    <col min="18" max="18" width="0.5703125" style="434" hidden="1" customWidth="1"/>
    <col min="19" max="19" width="10.5703125" style="981" hidden="1" customWidth="1"/>
    <col min="20" max="20" width="0.5703125" style="434" hidden="1" customWidth="1"/>
    <col min="21" max="21" width="10.5703125" style="434" hidden="1" customWidth="1"/>
    <col min="22" max="22" width="0.5703125" style="434" hidden="1" customWidth="1"/>
    <col min="23" max="23" width="10.5703125" style="434" hidden="1" customWidth="1"/>
    <col min="24" max="24" width="0.5703125" style="434" hidden="1" customWidth="1"/>
    <col min="25" max="25" width="10.5703125" style="434" hidden="1" customWidth="1"/>
    <col min="26" max="26" width="0.5703125" style="434" hidden="1" customWidth="1"/>
    <col min="27" max="27" width="10.5703125" style="434" hidden="1" customWidth="1"/>
    <col min="28" max="28" width="0.5703125" style="434" customWidth="1"/>
    <col min="29" max="29" width="10.5703125" style="434" customWidth="1"/>
    <col min="30" max="30" width="0.5703125" style="434" customWidth="1"/>
    <col min="31" max="31" width="10.5703125" style="434" customWidth="1"/>
    <col min="32" max="32" width="0.5703125" style="434" customWidth="1"/>
    <col min="33" max="33" width="10.5703125" style="434" customWidth="1"/>
    <col min="34" max="34" width="0.5703125" style="434" customWidth="1"/>
    <col min="35" max="35" width="10.5703125" style="434" customWidth="1"/>
    <col min="36" max="36" width="0.5703125" style="434" customWidth="1"/>
    <col min="37" max="37" width="10.5703125" style="434" customWidth="1"/>
    <col min="38" max="38" width="0.5703125" style="434" customWidth="1"/>
    <col min="39" max="39" width="10.5703125" style="434" customWidth="1"/>
    <col min="40" max="40" width="0.5703125" style="434" customWidth="1"/>
    <col min="41" max="41" width="10.5703125" style="434" customWidth="1"/>
    <col min="42" max="42" width="0.5703125" style="434" customWidth="1"/>
    <col min="43" max="43" width="10.5703125" style="434" customWidth="1"/>
    <col min="44" max="44" width="0.5703125" style="434" customWidth="1"/>
    <col min="45" max="45" width="10.5703125" style="434" customWidth="1"/>
    <col min="46" max="46" width="0.5703125" style="434" customWidth="1"/>
    <col min="47" max="51" width="10.5703125" style="434" customWidth="1"/>
    <col min="52" max="16384" width="9.140625" style="434"/>
  </cols>
  <sheetData>
    <row r="1" spans="1:51" s="520" customFormat="1" ht="16.5" customHeight="1"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c r="AN1" s="1582"/>
      <c r="AO1" s="1582"/>
      <c r="AP1" s="1582"/>
      <c r="AQ1" s="1582"/>
      <c r="AR1" s="1582"/>
      <c r="AS1" s="1582"/>
      <c r="AT1" s="1582"/>
      <c r="AU1" s="1582"/>
      <c r="AV1" s="727"/>
      <c r="AW1" s="727"/>
      <c r="AX1" s="727"/>
      <c r="AY1" s="727"/>
    </row>
    <row r="2" spans="1:51" s="715" customFormat="1" ht="15" customHeight="1" x14ac:dyDescent="0.2">
      <c r="A2" s="700" t="s">
        <v>786</v>
      </c>
      <c r="B2" s="700"/>
      <c r="C2" s="950"/>
      <c r="E2" s="950"/>
      <c r="G2" s="950"/>
      <c r="I2" s="950"/>
      <c r="K2" s="950"/>
      <c r="M2" s="950"/>
      <c r="O2" s="950"/>
      <c r="Q2" s="950"/>
      <c r="S2" s="950"/>
    </row>
    <row r="3" spans="1:51" s="715" customFormat="1" ht="15" customHeight="1" x14ac:dyDescent="0.2">
      <c r="A3" s="700" t="s">
        <v>1120</v>
      </c>
      <c r="B3" s="700"/>
      <c r="C3" s="950"/>
      <c r="E3" s="950"/>
      <c r="G3" s="950"/>
      <c r="I3" s="950"/>
      <c r="K3" s="950"/>
      <c r="M3" s="950"/>
      <c r="O3" s="950"/>
      <c r="Q3" s="950"/>
      <c r="S3" s="950"/>
    </row>
    <row r="4" spans="1:51" s="157" customFormat="1" ht="12.95" customHeight="1" x14ac:dyDescent="0.2">
      <c r="A4" s="506" t="s">
        <v>176</v>
      </c>
      <c r="B4" s="506"/>
      <c r="C4" s="951"/>
      <c r="E4" s="951"/>
      <c r="G4" s="951"/>
      <c r="I4" s="951"/>
      <c r="K4" s="951"/>
      <c r="M4" s="951"/>
      <c r="O4" s="951"/>
      <c r="Q4" s="951"/>
      <c r="S4" s="951"/>
    </row>
    <row r="5" spans="1:51" s="418" customFormat="1" ht="12" customHeight="1" x14ac:dyDescent="0.2">
      <c r="A5" s="737" t="s">
        <v>787</v>
      </c>
      <c r="B5" s="353"/>
      <c r="C5" s="952"/>
      <c r="E5" s="952"/>
      <c r="G5" s="952"/>
      <c r="I5" s="952"/>
      <c r="K5" s="952"/>
      <c r="M5" s="952"/>
      <c r="O5" s="952"/>
      <c r="Q5" s="952"/>
      <c r="S5" s="952"/>
    </row>
    <row r="6" spans="1:51" ht="12" customHeight="1" x14ac:dyDescent="0.2">
      <c r="A6" s="352" t="s">
        <v>972</v>
      </c>
      <c r="B6" s="458"/>
    </row>
    <row r="7" spans="1:51" s="514" customFormat="1" ht="12.6" customHeight="1" x14ac:dyDescent="0.2">
      <c r="C7" s="953"/>
      <c r="E7" s="953"/>
      <c r="G7" s="953"/>
      <c r="I7" s="953"/>
      <c r="K7" s="953"/>
      <c r="M7" s="953"/>
      <c r="O7" s="953"/>
      <c r="Q7" s="953"/>
      <c r="S7" s="953"/>
    </row>
    <row r="8" spans="1:51" ht="12.6" customHeight="1" x14ac:dyDescent="0.2">
      <c r="C8" s="434"/>
      <c r="D8" s="920"/>
      <c r="E8" s="920" t="s">
        <v>788</v>
      </c>
      <c r="F8" s="920"/>
      <c r="G8" s="920"/>
      <c r="H8" s="920"/>
      <c r="I8" s="920"/>
      <c r="J8" s="920"/>
      <c r="K8" s="920"/>
      <c r="L8" s="920"/>
      <c r="M8" s="920"/>
      <c r="N8" s="920"/>
      <c r="O8" s="920"/>
      <c r="P8" s="920"/>
      <c r="Q8" s="920"/>
      <c r="R8" s="920"/>
      <c r="S8" s="920"/>
      <c r="T8" s="920"/>
      <c r="U8" s="920"/>
      <c r="V8" s="920"/>
      <c r="W8" s="920"/>
      <c r="X8" s="920"/>
      <c r="Y8" s="920"/>
      <c r="Z8" s="920"/>
      <c r="AA8" s="920"/>
      <c r="AB8" s="920"/>
      <c r="AC8" s="920"/>
      <c r="AD8" s="920"/>
      <c r="AE8" s="920"/>
      <c r="AF8" s="920"/>
      <c r="AG8" s="920"/>
      <c r="AH8" s="920"/>
      <c r="AI8" s="920"/>
      <c r="AJ8" s="920"/>
      <c r="AK8" s="920"/>
      <c r="AL8" s="920"/>
      <c r="AM8" s="920"/>
      <c r="AN8" s="920"/>
      <c r="AO8" s="920"/>
      <c r="AP8" s="920"/>
      <c r="AQ8" s="920"/>
      <c r="AR8" s="920"/>
      <c r="AS8" s="920"/>
      <c r="AT8" s="920"/>
      <c r="AU8" s="920"/>
      <c r="AV8" s="445"/>
      <c r="AW8" s="445"/>
      <c r="AX8" s="445"/>
      <c r="AY8" s="445"/>
    </row>
    <row r="9" spans="1:51" s="445" customFormat="1" ht="25.5" x14ac:dyDescent="0.2">
      <c r="C9" s="745">
        <v>2002</v>
      </c>
      <c r="D9" s="741"/>
      <c r="E9" s="745">
        <v>2003</v>
      </c>
      <c r="F9" s="741"/>
      <c r="G9" s="745">
        <v>2004</v>
      </c>
      <c r="H9" s="741"/>
      <c r="I9" s="1087">
        <v>2005</v>
      </c>
      <c r="J9" s="1088"/>
      <c r="K9" s="1089" t="s">
        <v>466</v>
      </c>
      <c r="L9" s="1088"/>
      <c r="M9" s="1089">
        <v>2007</v>
      </c>
      <c r="N9" s="1088"/>
      <c r="O9" s="1089">
        <v>2008</v>
      </c>
      <c r="P9" s="1088"/>
      <c r="Q9" s="1089">
        <v>2009</v>
      </c>
      <c r="R9" s="1088"/>
      <c r="S9" s="1089">
        <v>2010</v>
      </c>
      <c r="T9" s="1088"/>
      <c r="U9" s="1089">
        <v>2011</v>
      </c>
      <c r="V9" s="1088"/>
      <c r="W9" s="1090">
        <v>2012</v>
      </c>
      <c r="X9" s="1088"/>
      <c r="Y9" s="1089">
        <v>2013</v>
      </c>
      <c r="Z9" s="1088"/>
      <c r="AA9" s="1089">
        <v>2014</v>
      </c>
      <c r="AB9" s="1088"/>
      <c r="AC9" s="1089" t="s">
        <v>1311</v>
      </c>
      <c r="AE9" s="1089" t="s">
        <v>1339</v>
      </c>
      <c r="AG9" s="1089" t="s">
        <v>1420</v>
      </c>
      <c r="AI9" s="1089" t="s">
        <v>1422</v>
      </c>
      <c r="AJ9" s="1088"/>
      <c r="AK9" s="1090" t="s">
        <v>1430</v>
      </c>
      <c r="AL9" s="1088"/>
      <c r="AM9" s="1089">
        <v>2020</v>
      </c>
      <c r="AN9" s="1088"/>
      <c r="AO9" s="1089">
        <v>2021</v>
      </c>
      <c r="AP9" s="1278"/>
      <c r="AQ9" s="1090" t="s">
        <v>1707</v>
      </c>
      <c r="AR9" s="1088"/>
      <c r="AS9" s="1089">
        <v>2023</v>
      </c>
      <c r="AT9" s="1088"/>
      <c r="AU9" s="1089">
        <v>2024</v>
      </c>
      <c r="AV9" s="1278"/>
      <c r="AW9" s="1278"/>
      <c r="AX9" s="747"/>
      <c r="AY9" s="747"/>
    </row>
    <row r="10" spans="1:51" s="418" customFormat="1" ht="5.0999999999999996" customHeight="1" x14ac:dyDescent="0.2">
      <c r="C10" s="952"/>
      <c r="E10" s="952"/>
      <c r="G10" s="952"/>
      <c r="I10" s="952"/>
      <c r="K10" s="952"/>
      <c r="M10" s="952"/>
      <c r="O10" s="952"/>
      <c r="Q10" s="952"/>
      <c r="S10" s="952"/>
      <c r="U10" s="952"/>
      <c r="W10" s="952"/>
      <c r="Y10" s="952"/>
      <c r="AA10" s="952"/>
      <c r="AC10" s="952"/>
      <c r="AE10" s="952"/>
      <c r="AG10" s="952"/>
      <c r="AI10" s="952"/>
      <c r="AM10" s="952"/>
      <c r="AO10" s="952"/>
      <c r="AP10" s="952"/>
      <c r="AQ10" s="952"/>
      <c r="AS10" s="952"/>
      <c r="AU10" s="952"/>
      <c r="AV10" s="952"/>
      <c r="AW10" s="952"/>
      <c r="AX10" s="952"/>
      <c r="AY10" s="952"/>
    </row>
    <row r="11" spans="1:51" s="418" customFormat="1" ht="9.9499999999999993" customHeight="1" x14ac:dyDescent="0.2">
      <c r="A11" s="417" t="s">
        <v>1051</v>
      </c>
      <c r="C11" s="952"/>
      <c r="E11" s="952"/>
      <c r="G11" s="952"/>
      <c r="I11" s="952"/>
      <c r="K11" s="952"/>
      <c r="M11" s="952"/>
      <c r="O11" s="952"/>
      <c r="Q11" s="952"/>
      <c r="S11" s="952"/>
      <c r="U11" s="952"/>
      <c r="W11" s="952"/>
      <c r="Y11" s="952"/>
      <c r="AA11" s="952"/>
      <c r="AC11" s="952"/>
      <c r="AE11" s="952"/>
      <c r="AG11" s="952"/>
      <c r="AI11" s="952"/>
      <c r="AM11" s="952"/>
      <c r="AO11" s="952"/>
      <c r="AP11" s="952"/>
      <c r="AQ11" s="952"/>
      <c r="AS11" s="952"/>
      <c r="AU11" s="952"/>
      <c r="AV11" s="952"/>
      <c r="AW11" s="952"/>
      <c r="AX11" s="952"/>
      <c r="AY11" s="952"/>
    </row>
    <row r="12" spans="1:51" s="448" customFormat="1" ht="9.9499999999999993" customHeight="1" x14ac:dyDescent="0.2">
      <c r="A12" s="418"/>
      <c r="B12" s="418" t="s">
        <v>1110</v>
      </c>
      <c r="C12" s="461">
        <v>2036269</v>
      </c>
      <c r="E12" s="461">
        <v>2079719</v>
      </c>
      <c r="G12" s="461">
        <v>2118418</v>
      </c>
      <c r="I12" s="461">
        <v>2042288</v>
      </c>
      <c r="K12" s="461">
        <v>1984942</v>
      </c>
      <c r="M12" s="461">
        <v>2024576</v>
      </c>
      <c r="O12" s="461">
        <v>2092623</v>
      </c>
      <c r="Q12" s="461">
        <v>2200616</v>
      </c>
      <c r="S12" s="461">
        <v>2238834</v>
      </c>
      <c r="U12" s="461">
        <v>2364212</v>
      </c>
      <c r="W12" s="461">
        <f>2328289-3119</f>
        <v>2325170</v>
      </c>
      <c r="Y12" s="461">
        <v>2304579</v>
      </c>
      <c r="AA12" s="461">
        <f>2553627+678</f>
        <v>2554305</v>
      </c>
      <c r="AC12" s="461">
        <v>2615833</v>
      </c>
      <c r="AE12" s="461">
        <f>-9505+2684754</f>
        <v>2675249</v>
      </c>
      <c r="AG12" s="461">
        <f>2815626</f>
        <v>2815626</v>
      </c>
      <c r="AI12" s="461">
        <v>2852015</v>
      </c>
      <c r="AK12" s="454">
        <v>2957496</v>
      </c>
      <c r="AM12" s="461">
        <v>3017372</v>
      </c>
      <c r="AO12" s="461">
        <v>3086156</v>
      </c>
      <c r="AP12" s="461"/>
      <c r="AQ12" s="461">
        <v>3065297</v>
      </c>
      <c r="AS12" s="461">
        <f>3162762-352</f>
        <v>3162410</v>
      </c>
      <c r="AU12" s="461">
        <f>SUM(SONP!C76)</f>
        <v>3241934</v>
      </c>
      <c r="AV12" s="461"/>
      <c r="AW12" s="461"/>
      <c r="AX12" s="461"/>
      <c r="AY12" s="461"/>
    </row>
    <row r="13" spans="1:51" s="450" customFormat="1" ht="9.9499999999999993" customHeight="1" x14ac:dyDescent="0.2">
      <c r="A13" s="418"/>
      <c r="B13" s="418" t="s">
        <v>789</v>
      </c>
      <c r="C13" s="450">
        <f>91340+13698+1740+1378+1537</f>
        <v>109693</v>
      </c>
      <c r="E13" s="450">
        <f>89681+38+1338+1467</f>
        <v>92524</v>
      </c>
      <c r="G13" s="450">
        <f>87311+12+943+1601</f>
        <v>89867</v>
      </c>
      <c r="I13" s="450">
        <f>88219+10209+2825</f>
        <v>101253</v>
      </c>
      <c r="K13" s="450">
        <v>105024</v>
      </c>
      <c r="M13" s="450">
        <v>120591</v>
      </c>
      <c r="O13" s="450">
        <v>122537</v>
      </c>
      <c r="P13" s="450">
        <v>0</v>
      </c>
      <c r="Q13" s="450">
        <v>128727</v>
      </c>
      <c r="S13" s="450">
        <v>124300</v>
      </c>
      <c r="U13" s="450">
        <v>126142</v>
      </c>
      <c r="W13" s="450">
        <v>104158</v>
      </c>
      <c r="Y13" s="450">
        <v>72643</v>
      </c>
      <c r="AA13" s="450">
        <v>100264</v>
      </c>
      <c r="AC13" s="450">
        <v>61946</v>
      </c>
      <c r="AE13" s="450">
        <v>62622</v>
      </c>
      <c r="AG13" s="450">
        <f>56706</f>
        <v>56706</v>
      </c>
      <c r="AI13" s="450">
        <v>52819</v>
      </c>
      <c r="AK13" s="450">
        <v>45376</v>
      </c>
      <c r="AM13" s="450">
        <v>68775</v>
      </c>
      <c r="AO13" s="450">
        <v>91786</v>
      </c>
      <c r="AQ13" s="450">
        <v>181560</v>
      </c>
      <c r="AS13" s="450">
        <v>195668</v>
      </c>
      <c r="AU13" s="450">
        <f>+SONP!C78+SONP!C79+SONP!C80+SONP!C82+SONP!C83</f>
        <v>208537</v>
      </c>
    </row>
    <row r="14" spans="1:51" s="450" customFormat="1" ht="9.9499999999999993" customHeight="1" x14ac:dyDescent="0.2">
      <c r="A14" s="418"/>
      <c r="B14" s="418" t="s">
        <v>711</v>
      </c>
      <c r="C14" s="450">
        <v>110591</v>
      </c>
      <c r="E14" s="450">
        <v>125748</v>
      </c>
      <c r="G14" s="450">
        <v>99659</v>
      </c>
      <c r="I14" s="450">
        <v>133052</v>
      </c>
      <c r="K14" s="450">
        <v>181484</v>
      </c>
      <c r="M14" s="450">
        <v>184154</v>
      </c>
      <c r="O14" s="450">
        <v>162997</v>
      </c>
      <c r="Q14" s="450">
        <f>168076-22</f>
        <v>168054</v>
      </c>
      <c r="S14" s="450">
        <v>162135</v>
      </c>
      <c r="U14" s="450">
        <f>95626+712-33269</f>
        <v>63069</v>
      </c>
      <c r="W14" s="450">
        <f>77210+3663-1978-112</f>
        <v>78783</v>
      </c>
      <c r="Y14" s="450">
        <v>72932</v>
      </c>
      <c r="AA14" s="450">
        <f>-609941+93184+865-678+568</f>
        <v>-516002</v>
      </c>
      <c r="AC14" s="450">
        <f>-472820+1768</f>
        <v>-471052</v>
      </c>
      <c r="AE14" s="450">
        <v>-566044</v>
      </c>
      <c r="AG14" s="450">
        <f>-559345-566497</f>
        <v>-1125842</v>
      </c>
      <c r="AI14" s="450">
        <v>-1007985</v>
      </c>
      <c r="AK14" s="455">
        <v>-1048034</v>
      </c>
      <c r="AM14" s="450">
        <v>-1118991</v>
      </c>
      <c r="AO14" s="450">
        <v>-1076517</v>
      </c>
      <c r="AQ14" s="455">
        <v>-670834</v>
      </c>
      <c r="AS14" s="450">
        <f>-615393-424</f>
        <v>-615817</v>
      </c>
      <c r="AU14" s="450">
        <f>SUM(SONP!C85)</f>
        <v>-536384</v>
      </c>
    </row>
    <row r="15" spans="1:51" s="418" customFormat="1" ht="5.0999999999999996" customHeight="1" x14ac:dyDescent="0.2">
      <c r="C15" s="982"/>
      <c r="E15" s="982"/>
      <c r="G15" s="982"/>
      <c r="I15" s="982"/>
      <c r="K15" s="982"/>
      <c r="M15" s="982"/>
      <c r="O15" s="982"/>
      <c r="Q15" s="982"/>
      <c r="S15" s="982"/>
      <c r="U15" s="982"/>
      <c r="W15" s="982"/>
      <c r="Y15" s="982"/>
      <c r="AA15" s="982"/>
      <c r="AC15" s="982"/>
      <c r="AE15" s="982"/>
      <c r="AG15" s="982"/>
      <c r="AI15" s="982"/>
      <c r="AM15" s="982"/>
      <c r="AO15" s="982"/>
      <c r="AP15" s="952"/>
      <c r="AQ15" s="952"/>
      <c r="AS15" s="982"/>
      <c r="AU15" s="982"/>
      <c r="AV15" s="952"/>
      <c r="AW15" s="952"/>
      <c r="AX15" s="952"/>
      <c r="AY15" s="952"/>
    </row>
    <row r="16" spans="1:51" s="448" customFormat="1" ht="11.1" customHeight="1" thickBot="1" x14ac:dyDescent="0.25">
      <c r="A16" s="417" t="s">
        <v>1121</v>
      </c>
      <c r="B16" s="418"/>
      <c r="C16" s="453">
        <f>SUM(C12:C14)</f>
        <v>2256553</v>
      </c>
      <c r="E16" s="453">
        <f>SUM(E12:E14)</f>
        <v>2297991</v>
      </c>
      <c r="G16" s="453">
        <f>SUM(G12:G14)</f>
        <v>2307944</v>
      </c>
      <c r="I16" s="453">
        <f>SUM(I12:I14)</f>
        <v>2276593</v>
      </c>
      <c r="K16" s="453">
        <f>SUM(K12:K14)</f>
        <v>2271450</v>
      </c>
      <c r="M16" s="453">
        <f>SUM(M12:M14)</f>
        <v>2329321</v>
      </c>
      <c r="O16" s="453">
        <f>SUM(O12:O14)</f>
        <v>2378157</v>
      </c>
      <c r="Q16" s="453">
        <f>SUM(Q12:Q14)</f>
        <v>2497397</v>
      </c>
      <c r="S16" s="453">
        <f>SUM(S12:S14)</f>
        <v>2525269</v>
      </c>
      <c r="U16" s="453">
        <f>SUM(U12:U14)</f>
        <v>2553423</v>
      </c>
      <c r="W16" s="453">
        <f>SUM(W12:W14)</f>
        <v>2508111</v>
      </c>
      <c r="Y16" s="453">
        <f>SUM(Y12:Y14)</f>
        <v>2450154</v>
      </c>
      <c r="AA16" s="453">
        <f>SUM(AA12:AA14)</f>
        <v>2138567</v>
      </c>
      <c r="AC16" s="453">
        <f>SUM(AC12:AC14)</f>
        <v>2206727</v>
      </c>
      <c r="AE16" s="453">
        <f>SUM(AE12:AE14)</f>
        <v>2171827</v>
      </c>
      <c r="AG16" s="453">
        <f>SUM(AG12:AG14)</f>
        <v>1746490</v>
      </c>
      <c r="AI16" s="453">
        <f>SUM(AI12:AI14)</f>
        <v>1896849</v>
      </c>
      <c r="AK16" s="453">
        <f>SUM(AK12:AK14)</f>
        <v>1954838</v>
      </c>
      <c r="AM16" s="453">
        <f>SUM(AM12:AM14)</f>
        <v>1967156</v>
      </c>
      <c r="AO16" s="453">
        <f>SUM(AO12:AO15)</f>
        <v>2101425</v>
      </c>
      <c r="AP16" s="461"/>
      <c r="AQ16" s="453">
        <f>SUM(AQ12:AQ15)</f>
        <v>2576023</v>
      </c>
      <c r="AS16" s="453">
        <f>SUM(AS12:AS15)</f>
        <v>2742261</v>
      </c>
      <c r="AU16" s="453">
        <f>SUM(AU12:AU14)</f>
        <v>2914087</v>
      </c>
      <c r="AV16" s="461"/>
      <c r="AW16" s="461"/>
      <c r="AX16" s="461"/>
      <c r="AY16" s="461"/>
    </row>
    <row r="17" spans="1:53" s="418" customFormat="1" ht="5.0999999999999996" customHeight="1" thickTop="1" x14ac:dyDescent="0.2">
      <c r="C17" s="952"/>
      <c r="E17" s="952"/>
      <c r="G17" s="952"/>
      <c r="I17" s="952"/>
      <c r="K17" s="952"/>
      <c r="M17" s="952"/>
      <c r="O17" s="952"/>
      <c r="Q17" s="952"/>
      <c r="S17" s="952"/>
      <c r="U17" s="952"/>
      <c r="W17" s="952"/>
      <c r="Y17" s="952"/>
      <c r="AA17" s="952"/>
      <c r="AC17" s="952"/>
      <c r="AE17" s="952"/>
      <c r="AG17" s="952"/>
      <c r="AI17" s="952"/>
      <c r="AM17" s="952"/>
      <c r="AO17" s="952"/>
      <c r="AP17" s="952"/>
      <c r="AQ17" s="952"/>
      <c r="AS17" s="952"/>
      <c r="AU17" s="952"/>
      <c r="AV17" s="952"/>
      <c r="AW17" s="952"/>
      <c r="AX17" s="952"/>
      <c r="AY17" s="952"/>
    </row>
    <row r="18" spans="1:53" s="418" customFormat="1" ht="9.9499999999999993" customHeight="1" x14ac:dyDescent="0.2">
      <c r="A18" s="417" t="s">
        <v>1056</v>
      </c>
      <c r="C18" s="952"/>
      <c r="E18" s="952"/>
      <c r="G18" s="952"/>
      <c r="I18" s="952"/>
      <c r="K18" s="952"/>
      <c r="M18" s="952"/>
      <c r="O18" s="952"/>
      <c r="Q18" s="952"/>
      <c r="S18" s="952"/>
      <c r="U18" s="952"/>
      <c r="W18" s="952"/>
      <c r="Y18" s="952"/>
      <c r="AA18" s="952"/>
      <c r="AC18" s="952"/>
      <c r="AE18" s="952"/>
      <c r="AG18" s="952"/>
      <c r="AI18" s="952"/>
      <c r="AM18" s="952"/>
      <c r="AO18" s="952"/>
      <c r="AP18" s="952"/>
      <c r="AQ18" s="952"/>
      <c r="AS18" s="952"/>
      <c r="AU18" s="952"/>
      <c r="AV18" s="952"/>
      <c r="AW18" s="952"/>
      <c r="AX18" s="952"/>
      <c r="AY18" s="952"/>
    </row>
    <row r="19" spans="1:53" s="448" customFormat="1" ht="9.9499999999999993" customHeight="1" x14ac:dyDescent="0.2">
      <c r="A19" s="418"/>
      <c r="B19" s="418" t="s">
        <v>1110</v>
      </c>
      <c r="C19" s="461">
        <v>152261</v>
      </c>
      <c r="E19" s="461">
        <v>156567</v>
      </c>
      <c r="G19" s="461">
        <v>197929</v>
      </c>
      <c r="I19" s="461">
        <v>212715</v>
      </c>
      <c r="K19" s="461">
        <v>216459</v>
      </c>
      <c r="M19" s="461">
        <v>201846</v>
      </c>
      <c r="O19" s="461">
        <v>208894</v>
      </c>
      <c r="Q19" s="461">
        <v>260679</v>
      </c>
      <c r="S19" s="461">
        <v>273344</v>
      </c>
      <c r="U19" s="461">
        <v>273108</v>
      </c>
      <c r="W19" s="461">
        <v>270500</v>
      </c>
      <c r="Y19" s="461">
        <v>292278</v>
      </c>
      <c r="AA19" s="461">
        <v>300791</v>
      </c>
      <c r="AC19" s="461">
        <v>316995</v>
      </c>
      <c r="AE19" s="461">
        <v>348896</v>
      </c>
      <c r="AG19" s="461">
        <v>365001</v>
      </c>
      <c r="AI19" s="461">
        <v>338367</v>
      </c>
      <c r="AK19" s="454">
        <v>331455</v>
      </c>
      <c r="AM19" s="461">
        <v>317220</v>
      </c>
      <c r="AO19" s="461">
        <v>304394</v>
      </c>
      <c r="AP19" s="461"/>
      <c r="AQ19" s="461">
        <v>304792</v>
      </c>
      <c r="AS19" s="461">
        <v>288098</v>
      </c>
      <c r="AU19" s="461">
        <f>SUM(SONP!E76)</f>
        <v>322560</v>
      </c>
      <c r="AV19" s="461"/>
      <c r="AW19" s="461"/>
      <c r="AX19" s="461"/>
      <c r="AY19" s="461"/>
    </row>
    <row r="20" spans="1:53" s="450" customFormat="1" ht="9.9499999999999993" customHeight="1" x14ac:dyDescent="0.2">
      <c r="A20" s="418"/>
      <c r="B20" s="418" t="s">
        <v>789</v>
      </c>
      <c r="C20" s="450">
        <f>28650+1660+1500+20267</f>
        <v>52077</v>
      </c>
      <c r="E20" s="450">
        <f>25362+1500+29627</f>
        <v>56489</v>
      </c>
      <c r="G20" s="450">
        <v>23720</v>
      </c>
      <c r="I20" s="450">
        <v>26636</v>
      </c>
      <c r="K20" s="450">
        <v>27700</v>
      </c>
      <c r="M20" s="450">
        <v>61559</v>
      </c>
      <c r="O20" s="450">
        <v>76178</v>
      </c>
      <c r="Q20" s="450">
        <v>66099</v>
      </c>
      <c r="S20" s="450">
        <v>78558</v>
      </c>
      <c r="U20" s="450">
        <v>90532</v>
      </c>
      <c r="W20" s="450">
        <v>104990</v>
      </c>
      <c r="Y20" s="450">
        <v>91418</v>
      </c>
      <c r="AA20" s="450">
        <v>102390</v>
      </c>
      <c r="AC20" s="450">
        <f>126562-12594</f>
        <v>113968</v>
      </c>
      <c r="AE20" s="450">
        <v>85629</v>
      </c>
      <c r="AG20" s="450">
        <v>97709</v>
      </c>
      <c r="AI20" s="450">
        <v>136568</v>
      </c>
      <c r="AK20" s="450">
        <v>169981</v>
      </c>
      <c r="AM20" s="450">
        <v>151649</v>
      </c>
      <c r="AO20" s="450">
        <v>173439</v>
      </c>
      <c r="AQ20" s="450">
        <v>222510</v>
      </c>
      <c r="AS20" s="450">
        <v>275879</v>
      </c>
      <c r="AU20" s="450">
        <f>SUM(SONP!E78+SONP!E79)</f>
        <v>306519</v>
      </c>
    </row>
    <row r="21" spans="1:53" s="450" customFormat="1" ht="9.9499999999999993" customHeight="1" x14ac:dyDescent="0.2">
      <c r="A21" s="418"/>
      <c r="B21" s="418" t="s">
        <v>711</v>
      </c>
      <c r="C21" s="450">
        <v>6021</v>
      </c>
      <c r="E21" s="450">
        <v>7735</v>
      </c>
      <c r="G21" s="450">
        <v>5971</v>
      </c>
      <c r="I21" s="450">
        <v>1719</v>
      </c>
      <c r="K21" s="450">
        <v>7240</v>
      </c>
      <c r="M21" s="450">
        <v>23010</v>
      </c>
      <c r="O21" s="450">
        <v>31247</v>
      </c>
      <c r="Q21" s="450">
        <v>2976</v>
      </c>
      <c r="S21" s="450">
        <v>556</v>
      </c>
      <c r="U21" s="450">
        <v>15320</v>
      </c>
      <c r="W21" s="450">
        <v>9851</v>
      </c>
      <c r="Y21" s="450">
        <v>18024</v>
      </c>
      <c r="AA21" s="450">
        <v>-47431</v>
      </c>
      <c r="AC21" s="450">
        <v>-55809</v>
      </c>
      <c r="AE21" s="450">
        <v>-67721</v>
      </c>
      <c r="AG21" s="450">
        <f>-87005-14630</f>
        <v>-101635</v>
      </c>
      <c r="AI21" s="450">
        <v>-118932</v>
      </c>
      <c r="AK21" s="455">
        <v>-125547</v>
      </c>
      <c r="AM21" s="450">
        <v>-116237</v>
      </c>
      <c r="AO21" s="450">
        <v>-120163</v>
      </c>
      <c r="AQ21" s="455">
        <v>118506</v>
      </c>
      <c r="AS21" s="450">
        <v>-124544</v>
      </c>
      <c r="AU21" s="450">
        <f>SUM(SONP!E85)</f>
        <v>-93200</v>
      </c>
    </row>
    <row r="22" spans="1:53" s="418" customFormat="1" ht="5.0999999999999996" customHeight="1" x14ac:dyDescent="0.2">
      <c r="C22" s="982"/>
      <c r="E22" s="982"/>
      <c r="G22" s="982"/>
      <c r="I22" s="982"/>
      <c r="K22" s="982"/>
      <c r="M22" s="982"/>
      <c r="O22" s="982"/>
      <c r="Q22" s="982"/>
      <c r="S22" s="982"/>
      <c r="U22" s="982"/>
      <c r="W22" s="982"/>
      <c r="Y22" s="982"/>
      <c r="AA22" s="982"/>
      <c r="AC22" s="982"/>
      <c r="AE22" s="982"/>
      <c r="AG22" s="982"/>
      <c r="AI22" s="982"/>
      <c r="AM22" s="982"/>
      <c r="AO22" s="982"/>
      <c r="AP22" s="952"/>
      <c r="AQ22" s="952"/>
      <c r="AS22" s="982"/>
      <c r="AU22" s="982"/>
      <c r="AV22" s="952"/>
      <c r="AW22" s="952"/>
      <c r="AX22" s="952"/>
      <c r="AY22" s="952"/>
    </row>
    <row r="23" spans="1:53" s="447" customFormat="1" ht="11.1" customHeight="1" thickBot="1" x14ac:dyDescent="0.25">
      <c r="A23" s="644" t="s">
        <v>1123</v>
      </c>
      <c r="B23" s="528"/>
      <c r="C23" s="992">
        <f>SUM(C19:C21)</f>
        <v>210359</v>
      </c>
      <c r="E23" s="992">
        <f>SUM(E19:E21)</f>
        <v>220791</v>
      </c>
      <c r="G23" s="992">
        <f>SUM(G19:G21)</f>
        <v>227620</v>
      </c>
      <c r="I23" s="992">
        <f>SUM(I19:I21)</f>
        <v>241070</v>
      </c>
      <c r="K23" s="992">
        <f>SUM(K19:K21)</f>
        <v>251399</v>
      </c>
      <c r="M23" s="992">
        <f>SUM(M19:M21)</f>
        <v>286415</v>
      </c>
      <c r="O23" s="992">
        <f>SUM(O19:O21)</f>
        <v>316319</v>
      </c>
      <c r="Q23" s="992">
        <f>SUM(Q19:Q21)</f>
        <v>329754</v>
      </c>
      <c r="S23" s="992">
        <f>SUM(S19:S21)</f>
        <v>352458</v>
      </c>
      <c r="U23" s="992">
        <f>SUM(U19:U21)</f>
        <v>378960</v>
      </c>
      <c r="W23" s="992">
        <f>SUM(W19:W21)</f>
        <v>385341</v>
      </c>
      <c r="Y23" s="992">
        <f>SUM(Y19:Y21)</f>
        <v>401720</v>
      </c>
      <c r="AA23" s="992">
        <f>SUM(AA19:AA21)</f>
        <v>355750</v>
      </c>
      <c r="AC23" s="992">
        <f>SUM(AC19:AC21)</f>
        <v>375154</v>
      </c>
      <c r="AE23" s="992">
        <f>SUM(AE19:AE21)</f>
        <v>366804</v>
      </c>
      <c r="AG23" s="992">
        <f>SUM(AG19:AG21)</f>
        <v>361075</v>
      </c>
      <c r="AI23" s="992">
        <f>SUM(AI19:AI21)</f>
        <v>356003</v>
      </c>
      <c r="AK23" s="992">
        <f>SUM(AK19:AK21)</f>
        <v>375889</v>
      </c>
      <c r="AM23" s="992">
        <f>SUM(AM19:AM21)</f>
        <v>352632</v>
      </c>
      <c r="AO23" s="992">
        <f>SUM(AO19:AO22)</f>
        <v>357670</v>
      </c>
      <c r="AP23" s="993"/>
      <c r="AQ23" s="992">
        <f>SUM(AQ19:AQ22)</f>
        <v>645808</v>
      </c>
      <c r="AS23" s="992">
        <f>SUM(AS19:AS22)</f>
        <v>439433</v>
      </c>
      <c r="AU23" s="992">
        <f>SUM(AU19:AU21)</f>
        <v>535879</v>
      </c>
      <c r="AV23" s="993"/>
      <c r="AW23" s="993"/>
      <c r="AX23" s="993"/>
      <c r="AY23" s="993"/>
    </row>
    <row r="24" spans="1:53" s="418" customFormat="1" ht="5.0999999999999996" customHeight="1" thickTop="1" x14ac:dyDescent="0.2">
      <c r="C24" s="952"/>
      <c r="E24" s="952"/>
      <c r="G24" s="952"/>
      <c r="I24" s="952"/>
      <c r="K24" s="952"/>
      <c r="M24" s="952"/>
      <c r="O24" s="952"/>
      <c r="Q24" s="952"/>
      <c r="S24" s="952"/>
      <c r="U24" s="952"/>
      <c r="W24" s="952"/>
      <c r="Y24" s="952"/>
      <c r="AA24" s="952"/>
      <c r="AC24" s="952"/>
      <c r="AE24" s="952"/>
      <c r="AG24" s="952"/>
      <c r="AI24" s="952"/>
      <c r="AM24" s="952"/>
      <c r="AO24" s="952"/>
      <c r="AP24" s="952"/>
      <c r="AQ24" s="952"/>
      <c r="AS24" s="952"/>
      <c r="AU24" s="952"/>
      <c r="AV24" s="952"/>
      <c r="AW24" s="952"/>
      <c r="AX24" s="952"/>
      <c r="AY24" s="952"/>
    </row>
    <row r="25" spans="1:53" s="418" customFormat="1" ht="9.9499999999999993" customHeight="1" x14ac:dyDescent="0.2">
      <c r="A25" s="417" t="s">
        <v>1049</v>
      </c>
    </row>
    <row r="26" spans="1:53" s="448" customFormat="1" ht="9.9499999999999993" customHeight="1" x14ac:dyDescent="0.2">
      <c r="A26" s="418"/>
      <c r="B26" s="418" t="s">
        <v>1110</v>
      </c>
      <c r="C26" s="461">
        <f>SUM(C12+C19)</f>
        <v>2188530</v>
      </c>
      <c r="E26" s="461">
        <f>SUM(E12+E19)</f>
        <v>2236286</v>
      </c>
      <c r="G26" s="461">
        <f>SUM(G12+G19)</f>
        <v>2316347</v>
      </c>
      <c r="I26" s="461">
        <f>SUM(I12+I19)</f>
        <v>2255003</v>
      </c>
      <c r="K26" s="461">
        <f>SUM(K12+K19)</f>
        <v>2201401</v>
      </c>
      <c r="M26" s="461">
        <f>SUM(M12+M19)</f>
        <v>2226422</v>
      </c>
      <c r="O26" s="461">
        <v>2301517</v>
      </c>
      <c r="Q26" s="461">
        <f>SUM(Q12+Q19)</f>
        <v>2461295</v>
      </c>
      <c r="S26" s="461">
        <v>2512178</v>
      </c>
      <c r="U26" s="461">
        <f>SUM(U12+U19)</f>
        <v>2637320</v>
      </c>
      <c r="W26" s="461">
        <f>SUM(W12+W19)</f>
        <v>2595670</v>
      </c>
      <c r="Y26" s="461">
        <v>2596857</v>
      </c>
      <c r="AA26" s="461">
        <f>SUM(AA12+AA19)</f>
        <v>2855096</v>
      </c>
      <c r="AC26" s="461">
        <f>+AC12+AC19</f>
        <v>2932828</v>
      </c>
      <c r="AE26" s="461">
        <f>+AE12+AE19</f>
        <v>3024145</v>
      </c>
      <c r="AG26" s="461">
        <f>SUM(AG12+AG19)</f>
        <v>3180627</v>
      </c>
      <c r="AI26" s="461">
        <v>3190382</v>
      </c>
      <c r="AK26" s="454">
        <v>3288951</v>
      </c>
      <c r="AM26" s="461">
        <v>3334592</v>
      </c>
      <c r="AO26" s="461">
        <v>3390550</v>
      </c>
      <c r="AP26" s="461"/>
      <c r="AQ26" s="461">
        <f>SUM(AQ12+AQ19)</f>
        <v>3370089</v>
      </c>
      <c r="AS26" s="461">
        <f>SUM(AS12+AS19)</f>
        <v>3450508</v>
      </c>
      <c r="AU26" s="461">
        <f>SUM(AU12+AU19)</f>
        <v>3564494</v>
      </c>
      <c r="AV26" s="461"/>
      <c r="AW26" s="461"/>
      <c r="AX26" s="461"/>
      <c r="AY26" s="461"/>
    </row>
    <row r="27" spans="1:53" s="450" customFormat="1" ht="9.9499999999999993" customHeight="1" x14ac:dyDescent="0.2">
      <c r="A27" s="418"/>
      <c r="B27" s="418" t="s">
        <v>789</v>
      </c>
      <c r="C27" s="450">
        <f>SUM(C13+C20)</f>
        <v>161770</v>
      </c>
      <c r="E27" s="450">
        <f>SUM(E13+E20)</f>
        <v>149013</v>
      </c>
      <c r="G27" s="450">
        <f>SUM(G13+G20)</f>
        <v>113587</v>
      </c>
      <c r="I27" s="450">
        <f>SUM(I13+I20)</f>
        <v>127889</v>
      </c>
      <c r="K27" s="450">
        <f>SUM(K13+K20)</f>
        <v>132724</v>
      </c>
      <c r="M27" s="450">
        <f>SUM(M13+M20)</f>
        <v>182150</v>
      </c>
      <c r="O27" s="450">
        <v>198715</v>
      </c>
      <c r="Q27" s="450">
        <f>SUM(Q13+Q20)</f>
        <v>194826</v>
      </c>
      <c r="S27" s="450">
        <v>202858</v>
      </c>
      <c r="U27" s="450">
        <f>SUM(U13+U20)</f>
        <v>216674</v>
      </c>
      <c r="W27" s="450">
        <f>SUM(W13+W20)</f>
        <v>209148</v>
      </c>
      <c r="Y27" s="450">
        <v>164061</v>
      </c>
      <c r="AA27" s="450">
        <f>SUM(AA13+AA20)</f>
        <v>202654</v>
      </c>
      <c r="AC27" s="450">
        <f>+AC13+AC20</f>
        <v>175914</v>
      </c>
      <c r="AE27" s="450">
        <v>148251</v>
      </c>
      <c r="AG27" s="450">
        <f>SUM(AG13+AG20)</f>
        <v>154415</v>
      </c>
      <c r="AI27" s="450">
        <v>189387</v>
      </c>
      <c r="AK27" s="450">
        <v>215357</v>
      </c>
      <c r="AM27" s="450">
        <v>220424</v>
      </c>
      <c r="AO27" s="450">
        <v>265225</v>
      </c>
      <c r="AQ27" s="450">
        <f>SUM(AQ13+AQ20)</f>
        <v>404070</v>
      </c>
      <c r="AS27" s="450">
        <f>SUM(AS13+AS20)</f>
        <v>471547</v>
      </c>
      <c r="AU27" s="450">
        <f>SUM(AU13+AU20)</f>
        <v>515056</v>
      </c>
    </row>
    <row r="28" spans="1:53" s="450" customFormat="1" ht="9.9499999999999993" customHeight="1" x14ac:dyDescent="0.2">
      <c r="A28" s="418"/>
      <c r="B28" s="418" t="s">
        <v>711</v>
      </c>
      <c r="C28" s="450">
        <f>SUM(C14+C21)</f>
        <v>116612</v>
      </c>
      <c r="E28" s="450">
        <f>SUM(E14+E21)</f>
        <v>133483</v>
      </c>
      <c r="G28" s="450">
        <f>SUM(G14+G21)</f>
        <v>105630</v>
      </c>
      <c r="I28" s="450">
        <f>SUM(I14+I21)</f>
        <v>134771</v>
      </c>
      <c r="K28" s="450">
        <f>SUM(K14+K21)</f>
        <v>188724</v>
      </c>
      <c r="M28" s="450">
        <f>SUM(M14+M21)</f>
        <v>207164</v>
      </c>
      <c r="O28" s="450">
        <v>194244</v>
      </c>
      <c r="Q28" s="450">
        <f>SUM(Q14+Q21)</f>
        <v>171030</v>
      </c>
      <c r="S28" s="450">
        <f>SUM(S14+S21)</f>
        <v>162691</v>
      </c>
      <c r="U28" s="450">
        <f>SUM(U14+U21)</f>
        <v>78389</v>
      </c>
      <c r="W28" s="450">
        <f>SUM(W14+W21)</f>
        <v>88634</v>
      </c>
      <c r="Y28" s="450">
        <v>90956</v>
      </c>
      <c r="AA28" s="450">
        <f>SUM(AA14+AA21)</f>
        <v>-563433</v>
      </c>
      <c r="AC28" s="450">
        <f>+AC14+AC21</f>
        <v>-526861</v>
      </c>
      <c r="AE28" s="450">
        <v>-633765</v>
      </c>
      <c r="AG28" s="450">
        <f>SUM(AG14+AG21)</f>
        <v>-1227477</v>
      </c>
      <c r="AI28" s="450">
        <v>-1126917</v>
      </c>
      <c r="AK28" s="450">
        <v>-1173581</v>
      </c>
      <c r="AM28" s="450">
        <v>-1235228</v>
      </c>
      <c r="AO28" s="450">
        <v>-1196680</v>
      </c>
      <c r="AQ28" s="450">
        <f>SUM(AQ14+AQ21)</f>
        <v>-552328</v>
      </c>
      <c r="AS28" s="450">
        <f>SUM(AS14+AS21)</f>
        <v>-740361</v>
      </c>
      <c r="AU28" s="450">
        <f>SUM(AU14+AU21)</f>
        <v>-629584</v>
      </c>
    </row>
    <row r="29" spans="1:53" s="418" customFormat="1" ht="5.0999999999999996" customHeight="1" x14ac:dyDescent="0.2">
      <c r="C29" s="982"/>
      <c r="E29" s="982"/>
      <c r="G29" s="982"/>
      <c r="I29" s="982"/>
      <c r="K29" s="982"/>
      <c r="M29" s="982"/>
      <c r="O29" s="982"/>
      <c r="Q29" s="982"/>
      <c r="S29" s="982"/>
      <c r="U29" s="982"/>
      <c r="W29" s="982"/>
      <c r="Y29" s="982"/>
      <c r="AA29" s="982"/>
      <c r="AC29" s="982"/>
      <c r="AE29" s="982"/>
      <c r="AG29" s="982"/>
      <c r="AI29" s="982"/>
      <c r="AK29" s="1369"/>
      <c r="AM29" s="982"/>
      <c r="AO29" s="982"/>
      <c r="AP29" s="952"/>
      <c r="AQ29" s="982"/>
      <c r="AS29" s="982"/>
      <c r="AU29" s="982"/>
      <c r="AV29" s="952"/>
      <c r="AW29" s="952"/>
      <c r="AX29" s="952"/>
      <c r="AY29" s="952"/>
    </row>
    <row r="30" spans="1:53" s="448" customFormat="1" ht="11.1" customHeight="1" thickBot="1" x14ac:dyDescent="0.25">
      <c r="A30" s="417" t="s">
        <v>1122</v>
      </c>
      <c r="B30" s="418"/>
      <c r="C30" s="453">
        <f>SUM(C26:C28)</f>
        <v>2466912</v>
      </c>
      <c r="E30" s="453">
        <f>SUM(E26:E28)</f>
        <v>2518782</v>
      </c>
      <c r="G30" s="453">
        <f>SUM(G26:G28)</f>
        <v>2535564</v>
      </c>
      <c r="I30" s="453">
        <f>SUM(I26:I28)</f>
        <v>2517663</v>
      </c>
      <c r="K30" s="453">
        <f>SUM(K26:K28)</f>
        <v>2522849</v>
      </c>
      <c r="M30" s="453">
        <f>SUM(M26:M28)</f>
        <v>2615736</v>
      </c>
      <c r="O30" s="453">
        <f>SUM(O26:O28)</f>
        <v>2694476</v>
      </c>
      <c r="Q30" s="453">
        <f>SUM(Q26:Q28)</f>
        <v>2827151</v>
      </c>
      <c r="S30" s="453">
        <f>SUM(S26:S28)</f>
        <v>2877727</v>
      </c>
      <c r="U30" s="453">
        <f>SUM(U26:U28)</f>
        <v>2932383</v>
      </c>
      <c r="W30" s="453">
        <f>SUM(W26:W28)</f>
        <v>2893452</v>
      </c>
      <c r="Y30" s="453">
        <f>SUM(Y26:Y28)</f>
        <v>2851874</v>
      </c>
      <c r="AA30" s="453">
        <f>SUM(AA26:AA28)</f>
        <v>2494317</v>
      </c>
      <c r="AC30" s="453">
        <f>SUM(AC26:AC28)</f>
        <v>2581881</v>
      </c>
      <c r="AE30" s="453">
        <f>SUM(AE26:AE28)</f>
        <v>2538631</v>
      </c>
      <c r="AG30" s="453">
        <f>SUM(AG26:AG28)</f>
        <v>2107565</v>
      </c>
      <c r="AI30" s="453">
        <f>SUM(AI26:AI28)</f>
        <v>2252852</v>
      </c>
      <c r="AK30" s="453">
        <f>SUM(AK26:AK28)</f>
        <v>2330727</v>
      </c>
      <c r="AM30" s="453">
        <f>SUM(AM26:AM28)</f>
        <v>2319788</v>
      </c>
      <c r="AO30" s="453">
        <f>SUM(AO26:AO28)</f>
        <v>2459095</v>
      </c>
      <c r="AP30" s="461"/>
      <c r="AQ30" s="453">
        <f>SUM(AQ26:AQ28)</f>
        <v>3221831</v>
      </c>
      <c r="AS30" s="453">
        <f>SUM(AS26:AS28)</f>
        <v>3181694</v>
      </c>
      <c r="AU30" s="453">
        <f>SUM(AU26:AU28)</f>
        <v>3449966</v>
      </c>
      <c r="AV30" s="461"/>
      <c r="AW30" s="461"/>
      <c r="AX30" s="461"/>
      <c r="AY30" s="461"/>
      <c r="BA30" s="994">
        <f>SUM(AU30-SONP!G86)</f>
        <v>0</v>
      </c>
    </row>
    <row r="31" spans="1:53" s="418" customFormat="1" ht="5.0999999999999996" customHeight="1" thickTop="1" x14ac:dyDescent="0.2">
      <c r="C31" s="952"/>
      <c r="E31" s="952"/>
      <c r="G31" s="952"/>
      <c r="I31" s="952"/>
      <c r="K31" s="952"/>
      <c r="M31" s="952"/>
      <c r="O31" s="952"/>
      <c r="Q31" s="952"/>
      <c r="S31" s="952"/>
    </row>
    <row r="32" spans="1:53" s="418" customFormat="1" ht="9.9499999999999993" customHeight="1" x14ac:dyDescent="0.2">
      <c r="C32" s="952"/>
      <c r="E32" s="952"/>
      <c r="G32" s="952"/>
      <c r="I32" s="952"/>
      <c r="K32" s="952"/>
      <c r="M32" s="952"/>
      <c r="O32" s="952"/>
      <c r="Q32" s="952"/>
      <c r="S32" s="952"/>
    </row>
    <row r="33" spans="1:51" s="965" customFormat="1" ht="14.25" x14ac:dyDescent="0.2">
      <c r="A33" s="964">
        <v>1</v>
      </c>
      <c r="B33" s="1603" t="s">
        <v>1175</v>
      </c>
      <c r="C33" s="1603"/>
      <c r="D33" s="1603"/>
      <c r="E33" s="1603"/>
      <c r="F33" s="1603"/>
      <c r="G33" s="1603"/>
      <c r="H33" s="1603"/>
      <c r="I33" s="1603"/>
      <c r="J33" s="1603"/>
      <c r="K33" s="1603"/>
      <c r="L33" s="1603"/>
      <c r="M33" s="1603"/>
      <c r="N33" s="1603"/>
      <c r="O33" s="1603"/>
      <c r="P33" s="1603"/>
      <c r="Q33" s="1603"/>
      <c r="R33" s="1603"/>
      <c r="S33" s="1603"/>
      <c r="T33" s="1603"/>
      <c r="U33" s="1603"/>
      <c r="V33" s="1603"/>
      <c r="W33" s="1603"/>
      <c r="X33" s="1603"/>
      <c r="Y33" s="1603"/>
      <c r="Z33" s="1603"/>
      <c r="AA33" s="1603"/>
      <c r="AB33" s="1603"/>
      <c r="AC33" s="1603"/>
      <c r="AD33" s="1603"/>
      <c r="AE33" s="1603"/>
      <c r="AF33" s="1603"/>
      <c r="AG33" s="1603"/>
      <c r="AH33" s="1603"/>
      <c r="AI33" s="1603"/>
      <c r="AJ33" s="1603"/>
      <c r="AK33" s="1603"/>
      <c r="AL33" s="1603"/>
      <c r="AM33" s="1603"/>
      <c r="AN33" s="1603"/>
      <c r="AO33" s="1603"/>
      <c r="AP33" s="1603"/>
      <c r="AQ33" s="1603"/>
      <c r="AR33" s="1603"/>
      <c r="AS33" s="1603"/>
      <c r="AT33" s="1603"/>
      <c r="AU33" s="1603"/>
      <c r="AV33" s="975"/>
      <c r="AW33" s="975"/>
      <c r="AX33" s="975"/>
      <c r="AY33" s="975"/>
    </row>
    <row r="34" spans="1:51" s="965" customFormat="1" ht="14.25" x14ac:dyDescent="0.2">
      <c r="A34" s="964">
        <v>2</v>
      </c>
      <c r="B34" s="1603" t="s">
        <v>1176</v>
      </c>
      <c r="C34" s="1603"/>
      <c r="D34" s="1603"/>
      <c r="E34" s="1603"/>
      <c r="F34" s="1603"/>
      <c r="G34" s="1603"/>
      <c r="H34" s="1603"/>
      <c r="I34" s="1603"/>
      <c r="J34" s="1603"/>
      <c r="K34" s="1603"/>
      <c r="L34" s="1603"/>
      <c r="M34" s="1603"/>
      <c r="N34" s="1603"/>
      <c r="O34" s="1603"/>
      <c r="P34" s="1603"/>
      <c r="Q34" s="1603"/>
      <c r="R34" s="1603"/>
      <c r="S34" s="1603"/>
      <c r="T34" s="1603"/>
      <c r="U34" s="1603"/>
      <c r="V34" s="1603"/>
      <c r="W34" s="1603"/>
      <c r="X34" s="1603"/>
      <c r="Y34" s="1603"/>
      <c r="Z34" s="1603"/>
      <c r="AA34" s="1603"/>
      <c r="AB34" s="1603"/>
      <c r="AC34" s="1603"/>
      <c r="AD34" s="1603"/>
      <c r="AE34" s="1603"/>
      <c r="AF34" s="1603"/>
      <c r="AG34" s="1603"/>
      <c r="AH34" s="1603"/>
      <c r="AI34" s="1603"/>
      <c r="AJ34" s="1603"/>
      <c r="AK34" s="1603"/>
      <c r="AL34" s="1603"/>
      <c r="AM34" s="1603"/>
      <c r="AN34" s="1603"/>
      <c r="AO34" s="1603"/>
      <c r="AP34" s="1603"/>
      <c r="AQ34" s="1603"/>
      <c r="AR34" s="1603"/>
      <c r="AS34" s="1603"/>
      <c r="AT34" s="1603"/>
      <c r="AU34" s="1603"/>
      <c r="AV34" s="975"/>
      <c r="AW34" s="975"/>
      <c r="AX34" s="975"/>
      <c r="AY34" s="975"/>
    </row>
    <row r="35" spans="1:51" ht="14.25" x14ac:dyDescent="0.2">
      <c r="A35" s="964">
        <v>3</v>
      </c>
      <c r="B35" s="1603" t="s">
        <v>1218</v>
      </c>
      <c r="C35" s="1603"/>
      <c r="D35" s="1603"/>
      <c r="E35" s="1603"/>
      <c r="F35" s="1603"/>
      <c r="G35" s="1603"/>
      <c r="H35" s="1603"/>
      <c r="I35" s="1603"/>
      <c r="J35" s="1603"/>
      <c r="K35" s="1603"/>
      <c r="L35" s="1603"/>
      <c r="M35" s="1603"/>
      <c r="N35" s="1603"/>
      <c r="O35" s="1603"/>
      <c r="P35" s="1603"/>
      <c r="Q35" s="1603"/>
      <c r="R35" s="1603"/>
      <c r="S35" s="1603"/>
      <c r="T35" s="1603"/>
      <c r="U35" s="1603"/>
      <c r="V35" s="1603"/>
      <c r="W35" s="1603"/>
      <c r="X35" s="1603"/>
      <c r="Y35" s="1603"/>
      <c r="Z35" s="975"/>
      <c r="AA35" s="975"/>
      <c r="AB35" s="953"/>
      <c r="AC35" s="975"/>
      <c r="AD35" s="953"/>
      <c r="AE35" s="975"/>
      <c r="AF35" s="953"/>
      <c r="AG35" s="975"/>
      <c r="AH35" s="953"/>
      <c r="AI35" s="975"/>
      <c r="AJ35" s="975"/>
      <c r="AK35" s="975"/>
      <c r="AL35" s="975"/>
      <c r="AM35" s="975"/>
      <c r="AN35" s="975"/>
      <c r="AO35" s="975"/>
      <c r="AP35" s="975"/>
      <c r="AQ35" s="975"/>
      <c r="AR35" s="975"/>
      <c r="AS35" s="975"/>
      <c r="AT35" s="975"/>
      <c r="AU35" s="953"/>
      <c r="AV35" s="953"/>
      <c r="AW35" s="953"/>
      <c r="AX35" s="953"/>
    </row>
    <row r="36" spans="1:51" ht="14.25" x14ac:dyDescent="0.2">
      <c r="A36" s="964">
        <v>4</v>
      </c>
      <c r="B36" s="1603" t="s">
        <v>1269</v>
      </c>
      <c r="C36" s="1603"/>
      <c r="D36" s="1603"/>
      <c r="E36" s="1603"/>
      <c r="F36" s="1603"/>
      <c r="G36" s="1603"/>
      <c r="H36" s="1603"/>
      <c r="I36" s="1603"/>
      <c r="J36" s="1603"/>
      <c r="K36" s="1603"/>
      <c r="L36" s="1603"/>
      <c r="M36" s="1603"/>
      <c r="N36" s="1603"/>
      <c r="O36" s="1603"/>
      <c r="P36" s="1603"/>
      <c r="Q36" s="1603"/>
      <c r="R36" s="1603"/>
      <c r="S36" s="1603"/>
      <c r="T36" s="1603"/>
      <c r="U36" s="1603"/>
      <c r="V36" s="1603"/>
      <c r="W36" s="1603"/>
      <c r="X36" s="1603"/>
      <c r="Y36" s="1603"/>
      <c r="Z36" s="975"/>
      <c r="AA36" s="975"/>
      <c r="AB36" s="953"/>
      <c r="AC36" s="975"/>
      <c r="AD36" s="953"/>
      <c r="AE36" s="975"/>
      <c r="AF36" s="953"/>
      <c r="AG36" s="975"/>
      <c r="AH36" s="953"/>
      <c r="AI36" s="975"/>
      <c r="AJ36" s="975"/>
      <c r="AK36" s="975"/>
      <c r="AL36" s="975"/>
      <c r="AM36" s="975"/>
      <c r="AN36" s="975"/>
      <c r="AO36" s="975"/>
      <c r="AP36" s="975"/>
      <c r="AQ36" s="975"/>
      <c r="AR36" s="975"/>
      <c r="AS36" s="975"/>
      <c r="AT36" s="975"/>
      <c r="AU36" s="953"/>
      <c r="AV36" s="953"/>
      <c r="AW36" s="953"/>
      <c r="AX36" s="953"/>
    </row>
    <row r="37" spans="1:51" ht="14.25" x14ac:dyDescent="0.2">
      <c r="A37" s="964">
        <v>5</v>
      </c>
    </row>
    <row r="38" spans="1:51" x14ac:dyDescent="0.2">
      <c r="K38" s="381"/>
      <c r="M38" s="381"/>
      <c r="O38" s="381"/>
      <c r="Q38" s="381"/>
      <c r="S38" s="381"/>
      <c r="U38" s="381"/>
      <c r="W38" s="381"/>
      <c r="Y38" s="381"/>
      <c r="AA38" s="381"/>
      <c r="AC38" s="381"/>
      <c r="AE38" s="381"/>
      <c r="AG38" s="381"/>
      <c r="AI38" s="381"/>
      <c r="AU38" s="381"/>
      <c r="AV38" s="381"/>
      <c r="AW38" s="381"/>
    </row>
    <row r="52" spans="53:53" x14ac:dyDescent="0.2">
      <c r="BA52" s="434">
        <v>382060</v>
      </c>
    </row>
    <row r="53" spans="53:53" x14ac:dyDescent="0.2">
      <c r="BA53" s="434">
        <v>-210643</v>
      </c>
    </row>
    <row r="61" spans="53:53" x14ac:dyDescent="0.2">
      <c r="BA61" s="434">
        <f>SUM(BA52:BA59)</f>
        <v>171417</v>
      </c>
    </row>
    <row r="66" spans="52:52" x14ac:dyDescent="0.2">
      <c r="AZ66" s="434">
        <f>SUM(BA41:BA45)/(AZ47-BA39-239604)</f>
        <v>0</v>
      </c>
    </row>
    <row r="96" spans="53:53" x14ac:dyDescent="0.2">
      <c r="BA96" s="434">
        <v>51317</v>
      </c>
    </row>
    <row r="100" spans="53:53" x14ac:dyDescent="0.2">
      <c r="BA100" s="434">
        <v>1041</v>
      </c>
    </row>
    <row r="109" spans="53:53" x14ac:dyDescent="0.2">
      <c r="BA109" s="434">
        <v>13936</v>
      </c>
    </row>
    <row r="124" spans="7:7" x14ac:dyDescent="0.2">
      <c r="G124" s="981">
        <v>21</v>
      </c>
    </row>
  </sheetData>
  <mergeCells count="5">
    <mergeCell ref="A1:AU1"/>
    <mergeCell ref="B36:Y36"/>
    <mergeCell ref="B33:AU33"/>
    <mergeCell ref="B34:AU34"/>
    <mergeCell ref="B35:Y35"/>
  </mergeCells>
  <phoneticPr fontId="9" type="noConversion"/>
  <printOptions horizontalCentered="1"/>
  <pageMargins left="0.5" right="0.5" top="0.5" bottom="0.625" header="0.5" footer="0.5"/>
  <pageSetup scale="86"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tabColor theme="6" tint="0.39997558519241921"/>
  </sheetPr>
  <dimension ref="A1:AY412"/>
  <sheetViews>
    <sheetView view="pageBreakPreview" topLeftCell="A82" zoomScaleNormal="100" workbookViewId="0">
      <selection activeCell="AY135" sqref="AY135"/>
    </sheetView>
  </sheetViews>
  <sheetFormatPr defaultColWidth="9.140625" defaultRowHeight="12.75" x14ac:dyDescent="0.2"/>
  <cols>
    <col min="1" max="3" width="1.5703125" style="434" customWidth="1"/>
    <col min="4" max="4" width="30.5703125" style="434" customWidth="1"/>
    <col min="5" max="5" width="10.5703125" style="981" hidden="1" customWidth="1"/>
    <col min="6" max="6" width="0.42578125" style="434" hidden="1" customWidth="1"/>
    <col min="7" max="7" width="10.5703125" style="981" hidden="1" customWidth="1"/>
    <col min="8" max="8" width="0.42578125" style="434" hidden="1" customWidth="1"/>
    <col min="9" max="9" width="10.5703125" style="981" hidden="1" customWidth="1"/>
    <col min="10" max="10" width="0.42578125" style="434" hidden="1" customWidth="1"/>
    <col min="11" max="11" width="10.5703125" style="981" hidden="1" customWidth="1"/>
    <col min="12" max="12" width="0.5703125" style="434" hidden="1" customWidth="1"/>
    <col min="13" max="13" width="10.5703125" style="981" hidden="1" customWidth="1"/>
    <col min="14" max="14" width="0.5703125" style="434" hidden="1" customWidth="1"/>
    <col min="15" max="15" width="10.5703125" style="981" hidden="1" customWidth="1"/>
    <col min="16" max="16" width="0.5703125" style="434" hidden="1" customWidth="1"/>
    <col min="17" max="17" width="10.5703125" style="981" hidden="1" customWidth="1"/>
    <col min="18" max="18" width="0.5703125" style="434" hidden="1" customWidth="1"/>
    <col min="19" max="19" width="10.5703125" style="981" hidden="1" customWidth="1"/>
    <col min="20" max="20" width="0.5703125" style="434" hidden="1" customWidth="1"/>
    <col min="21" max="21" width="10.5703125" style="981" hidden="1" customWidth="1"/>
    <col min="22" max="22" width="0.5703125" style="434" hidden="1" customWidth="1"/>
    <col min="23" max="23" width="10.42578125" style="434" hidden="1" customWidth="1"/>
    <col min="24" max="24" width="0.5703125" style="434" hidden="1" customWidth="1"/>
    <col min="25" max="25" width="11.5703125" style="434" hidden="1" customWidth="1"/>
    <col min="26" max="26" width="0.5703125" style="434" hidden="1" customWidth="1"/>
    <col min="27" max="27" width="11.5703125" style="981" hidden="1" customWidth="1"/>
    <col min="28" max="28" width="0.5703125" style="434" hidden="1" customWidth="1"/>
    <col min="29" max="29" width="11.5703125" style="981" hidden="1" customWidth="1"/>
    <col min="30" max="30" width="0.5703125" style="434" customWidth="1"/>
    <col min="31" max="31" width="11.5703125" style="981" customWidth="1"/>
    <col min="32" max="32" width="0.5703125" style="434" customWidth="1"/>
    <col min="33" max="33" width="11.5703125" style="981" customWidth="1"/>
    <col min="34" max="34" width="0.5703125" style="434" customWidth="1"/>
    <col min="35" max="35" width="11.5703125" style="981" customWidth="1"/>
    <col min="36" max="36" width="0.5703125" style="434" customWidth="1"/>
    <col min="37" max="37" width="11.5703125" style="981" customWidth="1"/>
    <col min="38" max="38" width="0.5703125" style="434" customWidth="1"/>
    <col min="39" max="39" width="11.5703125" style="981" customWidth="1"/>
    <col min="40" max="40" width="0.5703125" style="434" customWidth="1"/>
    <col min="41" max="41" width="11.5703125" style="981" customWidth="1"/>
    <col min="42" max="42" width="0.5703125" style="434" customWidth="1"/>
    <col min="43" max="43" width="11.5703125" style="981" customWidth="1"/>
    <col min="44" max="44" width="0.5703125" style="981" customWidth="1"/>
    <col min="45" max="45" width="11.5703125" style="981" customWidth="1"/>
    <col min="46" max="46" width="0.5703125" style="434" customWidth="1"/>
    <col min="47" max="47" width="11.5703125" style="981" customWidth="1"/>
    <col min="48" max="48" width="0.5703125" style="434" customWidth="1"/>
    <col min="49" max="49" width="11.5703125" style="434" customWidth="1"/>
    <col min="50" max="16384" width="9.140625" style="434"/>
  </cols>
  <sheetData>
    <row r="1" spans="1:49" s="986" customFormat="1" ht="17.25" customHeight="1" thickBot="1" x14ac:dyDescent="0.25">
      <c r="A1" s="1607" t="s">
        <v>1033</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c r="AN1" s="1607"/>
      <c r="AO1" s="1607"/>
      <c r="AP1" s="1607"/>
      <c r="AQ1" s="1607"/>
      <c r="AR1" s="1607"/>
      <c r="AS1" s="1607"/>
      <c r="AT1" s="1607"/>
      <c r="AU1" s="1607"/>
      <c r="AV1" s="1607"/>
      <c r="AW1" s="1607"/>
    </row>
    <row r="2" spans="1:49" s="715" customFormat="1" ht="15.6" customHeight="1" x14ac:dyDescent="0.2">
      <c r="A2" s="700" t="s">
        <v>786</v>
      </c>
      <c r="B2" s="700"/>
      <c r="C2" s="700"/>
      <c r="D2" s="700"/>
      <c r="E2" s="950"/>
      <c r="G2" s="950"/>
      <c r="I2" s="950"/>
      <c r="K2" s="950"/>
      <c r="M2" s="950"/>
      <c r="O2" s="950"/>
      <c r="Q2" s="950"/>
      <c r="S2" s="950"/>
      <c r="U2" s="950"/>
      <c r="AA2" s="950"/>
      <c r="AC2" s="950"/>
      <c r="AE2" s="950"/>
      <c r="AG2" s="950"/>
      <c r="AI2" s="950"/>
      <c r="AK2" s="950"/>
      <c r="AM2" s="950"/>
      <c r="AO2" s="950"/>
      <c r="AQ2" s="950"/>
      <c r="AR2" s="950"/>
      <c r="AS2" s="950"/>
      <c r="AU2" s="950"/>
    </row>
    <row r="3" spans="1:49" s="715" customFormat="1" ht="15.6" customHeight="1" x14ac:dyDescent="0.2">
      <c r="A3" s="700" t="s">
        <v>1124</v>
      </c>
      <c r="B3" s="700"/>
      <c r="C3" s="700"/>
      <c r="D3" s="700"/>
      <c r="E3" s="950"/>
      <c r="G3" s="950"/>
      <c r="I3" s="950"/>
      <c r="K3" s="950"/>
      <c r="M3" s="950"/>
      <c r="O3" s="950"/>
      <c r="Q3" s="950"/>
      <c r="S3" s="950"/>
      <c r="U3" s="950"/>
      <c r="AA3" s="950"/>
      <c r="AC3" s="950"/>
      <c r="AE3" s="950"/>
      <c r="AG3" s="950"/>
      <c r="AI3" s="950"/>
      <c r="AK3" s="950"/>
      <c r="AM3" s="950"/>
      <c r="AO3" s="950"/>
      <c r="AQ3" s="950"/>
      <c r="AR3" s="950"/>
      <c r="AS3" s="950"/>
      <c r="AU3" s="950"/>
    </row>
    <row r="4" spans="1:49" s="157" customFormat="1" ht="13.5" customHeight="1" x14ac:dyDescent="0.2">
      <c r="A4" s="506" t="s">
        <v>176</v>
      </c>
      <c r="B4" s="506"/>
      <c r="C4" s="506"/>
      <c r="D4" s="506"/>
      <c r="E4" s="951"/>
      <c r="G4" s="951"/>
      <c r="I4" s="951"/>
      <c r="K4" s="951"/>
      <c r="M4" s="951"/>
      <c r="O4" s="951"/>
      <c r="Q4" s="951"/>
      <c r="S4" s="951"/>
      <c r="U4" s="951"/>
      <c r="AA4" s="951"/>
      <c r="AC4" s="951"/>
      <c r="AE4" s="951"/>
      <c r="AG4" s="951"/>
      <c r="AI4" s="951"/>
      <c r="AK4" s="951"/>
      <c r="AM4" s="951"/>
      <c r="AO4" s="951"/>
      <c r="AQ4" s="951"/>
      <c r="AR4" s="951"/>
      <c r="AS4" s="951"/>
      <c r="AU4" s="951"/>
    </row>
    <row r="5" spans="1:49" s="418" customFormat="1" ht="12.6" customHeight="1" x14ac:dyDescent="0.2">
      <c r="A5" s="737" t="s">
        <v>787</v>
      </c>
      <c r="B5" s="737"/>
      <c r="C5" s="737"/>
      <c r="D5" s="353"/>
      <c r="E5" s="952"/>
      <c r="G5" s="952"/>
      <c r="I5" s="952"/>
      <c r="K5" s="952"/>
      <c r="M5" s="952"/>
      <c r="O5" s="952"/>
      <c r="Q5" s="952"/>
      <c r="S5" s="952"/>
      <c r="U5" s="952"/>
      <c r="AA5" s="952"/>
      <c r="AC5" s="952"/>
      <c r="AE5" s="952"/>
      <c r="AG5" s="952"/>
      <c r="AI5" s="952"/>
      <c r="AK5" s="952"/>
      <c r="AM5" s="952"/>
      <c r="AO5" s="952"/>
      <c r="AQ5" s="952"/>
      <c r="AR5" s="952"/>
      <c r="AS5" s="952"/>
      <c r="AU5" s="952"/>
    </row>
    <row r="6" spans="1:49" s="984" customFormat="1" ht="12.6" customHeight="1" x14ac:dyDescent="0.2">
      <c r="A6" s="352" t="s">
        <v>972</v>
      </c>
      <c r="B6" s="610"/>
      <c r="C6" s="610"/>
      <c r="D6" s="611"/>
      <c r="E6" s="983"/>
      <c r="G6" s="983"/>
      <c r="I6" s="983"/>
      <c r="K6" s="983"/>
      <c r="M6" s="983"/>
      <c r="O6" s="983"/>
      <c r="Q6" s="983"/>
      <c r="S6" s="983"/>
      <c r="U6" s="983"/>
      <c r="AA6" s="983"/>
      <c r="AC6" s="983"/>
      <c r="AE6" s="983"/>
      <c r="AG6" s="983"/>
      <c r="AI6" s="983"/>
      <c r="AK6" s="983"/>
      <c r="AM6" s="983"/>
      <c r="AO6" s="983"/>
      <c r="AQ6" s="983"/>
      <c r="AR6" s="983"/>
      <c r="AS6" s="983"/>
      <c r="AU6" s="983"/>
    </row>
    <row r="7" spans="1:49" s="514" customFormat="1" ht="3.95" customHeight="1" x14ac:dyDescent="0.2">
      <c r="E7" s="953"/>
      <c r="G7" s="953"/>
      <c r="I7" s="953"/>
      <c r="K7" s="953"/>
      <c r="M7" s="953"/>
      <c r="O7" s="953"/>
      <c r="Q7" s="953"/>
      <c r="S7" s="953"/>
      <c r="U7" s="953"/>
      <c r="AA7" s="953"/>
      <c r="AC7" s="953"/>
      <c r="AE7" s="953"/>
      <c r="AG7" s="953"/>
      <c r="AI7" s="953"/>
      <c r="AK7" s="953"/>
      <c r="AM7" s="953"/>
      <c r="AO7" s="953"/>
      <c r="AQ7" s="953"/>
      <c r="AR7" s="953"/>
      <c r="AS7" s="953"/>
      <c r="AU7" s="953"/>
    </row>
    <row r="8" spans="1:49" ht="12.6" hidden="1" customHeight="1" x14ac:dyDescent="0.2">
      <c r="E8" s="920" t="s">
        <v>788</v>
      </c>
      <c r="F8" s="920"/>
      <c r="G8" s="920"/>
      <c r="H8" s="920"/>
      <c r="I8" s="920"/>
      <c r="J8" s="920"/>
      <c r="K8" s="920"/>
      <c r="L8" s="416"/>
      <c r="M8" s="920"/>
      <c r="N8" s="416"/>
      <c r="O8" s="920"/>
      <c r="P8" s="416"/>
      <c r="Q8" s="920"/>
      <c r="R8" s="416"/>
      <c r="S8" s="920"/>
      <c r="T8" s="416"/>
      <c r="U8" s="920"/>
      <c r="V8" s="416"/>
      <c r="W8" s="920"/>
      <c r="X8" s="416"/>
      <c r="Y8" s="416"/>
      <c r="Z8" s="416"/>
      <c r="AA8" s="920"/>
      <c r="AB8" s="416"/>
      <c r="AC8" s="416"/>
      <c r="AD8" s="416"/>
      <c r="AE8" s="416"/>
      <c r="AF8" s="416"/>
      <c r="AG8" s="416"/>
      <c r="AH8" s="416"/>
      <c r="AI8" s="416"/>
      <c r="AJ8" s="416"/>
      <c r="AK8" s="416"/>
      <c r="AL8" s="416"/>
      <c r="AM8" s="416"/>
      <c r="AN8" s="416"/>
      <c r="AO8" s="416"/>
      <c r="AP8" s="416"/>
      <c r="AQ8" s="416"/>
      <c r="AR8" s="416"/>
      <c r="AS8" s="416"/>
      <c r="AT8" s="416"/>
      <c r="AU8" s="416"/>
      <c r="AV8" s="416"/>
      <c r="AW8" s="920"/>
    </row>
    <row r="9" spans="1:49" s="445" customFormat="1" ht="30" customHeight="1" x14ac:dyDescent="0.2">
      <c r="E9" s="745">
        <v>2002</v>
      </c>
      <c r="F9" s="741"/>
      <c r="G9" s="888">
        <v>2003</v>
      </c>
      <c r="H9" s="674"/>
      <c r="I9" s="888">
        <v>2004</v>
      </c>
      <c r="J9" s="674"/>
      <c r="K9" s="888">
        <v>2005</v>
      </c>
      <c r="L9" s="674"/>
      <c r="M9" s="889" t="s">
        <v>466</v>
      </c>
      <c r="N9" s="674"/>
      <c r="O9" s="889">
        <v>2007</v>
      </c>
      <c r="P9" s="674"/>
      <c r="Q9" s="889">
        <v>2008</v>
      </c>
      <c r="R9" s="674"/>
      <c r="S9" s="889">
        <v>2009</v>
      </c>
      <c r="T9" s="674"/>
      <c r="U9" s="746">
        <v>2010</v>
      </c>
      <c r="V9" s="674"/>
      <c r="W9" s="746">
        <v>2011</v>
      </c>
      <c r="X9" s="674"/>
      <c r="Y9" s="746">
        <v>2012</v>
      </c>
      <c r="Z9" s="674"/>
      <c r="AA9" s="746">
        <v>2013</v>
      </c>
      <c r="AB9" s="674"/>
      <c r="AC9" s="746">
        <v>2014</v>
      </c>
      <c r="AD9" s="674"/>
      <c r="AE9" s="746" t="s">
        <v>1303</v>
      </c>
      <c r="AF9" s="674"/>
      <c r="AG9" s="746" t="s">
        <v>1339</v>
      </c>
      <c r="AH9" s="674"/>
      <c r="AI9" s="746">
        <v>2017</v>
      </c>
      <c r="AJ9" s="674"/>
      <c r="AK9" s="746">
        <v>2018</v>
      </c>
      <c r="AL9" s="674"/>
      <c r="AM9" s="746">
        <v>2019</v>
      </c>
      <c r="AN9" s="674"/>
      <c r="AO9" s="1259">
        <v>2020</v>
      </c>
      <c r="AP9" s="674"/>
      <c r="AQ9" s="1259">
        <v>2021</v>
      </c>
      <c r="AR9" s="1457"/>
      <c r="AS9" s="1259" t="s">
        <v>1708</v>
      </c>
      <c r="AT9" s="674"/>
      <c r="AU9" s="1259">
        <v>2023</v>
      </c>
      <c r="AV9" s="674"/>
      <c r="AW9" s="1259">
        <v>2024</v>
      </c>
    </row>
    <row r="10" spans="1:49" s="418" customFormat="1" ht="9.9499999999999993" customHeight="1" x14ac:dyDescent="0.2">
      <c r="A10" s="417" t="s">
        <v>790</v>
      </c>
      <c r="B10" s="417"/>
      <c r="C10" s="417"/>
      <c r="E10" s="952"/>
      <c r="G10" s="952"/>
      <c r="I10" s="952"/>
      <c r="K10" s="952"/>
      <c r="M10" s="952"/>
      <c r="O10" s="952"/>
      <c r="Q10" s="952"/>
      <c r="S10" s="952"/>
      <c r="U10" s="952"/>
      <c r="W10" s="952"/>
      <c r="Y10" s="952"/>
      <c r="AA10" s="952"/>
      <c r="AC10" s="952"/>
      <c r="AE10" s="952"/>
      <c r="AG10" s="952"/>
      <c r="AI10" s="952"/>
      <c r="AK10" s="952"/>
      <c r="AM10" s="952"/>
      <c r="AO10" s="952"/>
      <c r="AQ10" s="952"/>
      <c r="AR10" s="952"/>
      <c r="AS10" s="952"/>
      <c r="AU10" s="952"/>
      <c r="AW10" s="952"/>
    </row>
    <row r="11" spans="1:49" s="418" customFormat="1" ht="9.9499999999999993" customHeight="1" x14ac:dyDescent="0.2">
      <c r="A11" s="417"/>
      <c r="B11" s="417" t="s">
        <v>1051</v>
      </c>
      <c r="C11" s="417"/>
      <c r="E11" s="952"/>
      <c r="G11" s="952"/>
      <c r="I11" s="952"/>
      <c r="K11" s="952"/>
      <c r="M11" s="952"/>
      <c r="O11" s="952"/>
      <c r="Q11" s="952"/>
      <c r="S11" s="952"/>
      <c r="U11" s="952"/>
      <c r="W11" s="952"/>
      <c r="Y11" s="952"/>
      <c r="AA11" s="952"/>
      <c r="AC11" s="952"/>
      <c r="AE11" s="952"/>
      <c r="AG11" s="952"/>
      <c r="AI11" s="952"/>
      <c r="AK11" s="952"/>
      <c r="AM11" s="952"/>
      <c r="AO11" s="952"/>
      <c r="AQ11" s="952"/>
      <c r="AR11" s="952"/>
      <c r="AS11" s="952"/>
      <c r="AU11" s="952"/>
      <c r="AW11" s="952"/>
    </row>
    <row r="12" spans="1:49" s="448" customFormat="1" ht="9.9499999999999993" customHeight="1" x14ac:dyDescent="0.2">
      <c r="C12" s="418" t="s">
        <v>953</v>
      </c>
      <c r="D12" s="450"/>
      <c r="E12" s="461">
        <v>77887</v>
      </c>
      <c r="F12" s="450"/>
      <c r="G12" s="461">
        <v>67034</v>
      </c>
      <c r="H12" s="450"/>
      <c r="I12" s="461">
        <v>63610</v>
      </c>
      <c r="J12" s="450"/>
      <c r="K12" s="461">
        <v>80018</v>
      </c>
      <c r="L12" s="450"/>
      <c r="M12" s="461">
        <v>83719</v>
      </c>
      <c r="N12" s="450"/>
      <c r="O12" s="461">
        <v>118881</v>
      </c>
      <c r="P12" s="450"/>
      <c r="Q12" s="461">
        <v>109850</v>
      </c>
      <c r="R12" s="450"/>
      <c r="S12" s="461">
        <v>92415</v>
      </c>
      <c r="T12" s="450"/>
      <c r="U12" s="461">
        <v>114591</v>
      </c>
      <c r="V12" s="450"/>
      <c r="W12" s="461">
        <v>103617</v>
      </c>
      <c r="X12" s="450"/>
      <c r="Y12" s="461">
        <v>140761</v>
      </c>
      <c r="Z12" s="450"/>
      <c r="AA12" s="461">
        <v>127697</v>
      </c>
      <c r="AB12" s="450"/>
      <c r="AC12" s="461">
        <v>112845</v>
      </c>
      <c r="AD12" s="450"/>
      <c r="AE12" s="461">
        <v>99788</v>
      </c>
      <c r="AF12" s="450"/>
      <c r="AG12" s="461">
        <v>131273</v>
      </c>
      <c r="AH12" s="450"/>
      <c r="AI12" s="461">
        <v>101673</v>
      </c>
      <c r="AJ12" s="450"/>
      <c r="AK12" s="461">
        <v>134370</v>
      </c>
      <c r="AL12" s="450"/>
      <c r="AM12" s="461">
        <v>137479</v>
      </c>
      <c r="AN12" s="450"/>
      <c r="AO12" s="461">
        <v>142073</v>
      </c>
      <c r="AP12" s="450"/>
      <c r="AQ12" s="461">
        <v>128496</v>
      </c>
      <c r="AR12" s="461"/>
      <c r="AS12" s="461">
        <v>135351</v>
      </c>
      <c r="AT12" s="450"/>
      <c r="AU12" s="461">
        <v>146465</v>
      </c>
      <c r="AV12" s="450"/>
      <c r="AW12" s="461">
        <f>SOActivities!C12</f>
        <v>195810</v>
      </c>
    </row>
    <row r="13" spans="1:49" s="450" customFormat="1" ht="9.9499999999999993" customHeight="1" x14ac:dyDescent="0.2">
      <c r="A13" s="418"/>
      <c r="B13" s="418"/>
      <c r="C13" s="418" t="s">
        <v>954</v>
      </c>
      <c r="E13" s="450">
        <v>414382</v>
      </c>
      <c r="G13" s="450">
        <v>378316</v>
      </c>
      <c r="I13" s="450">
        <v>428607</v>
      </c>
      <c r="K13" s="450">
        <v>428582</v>
      </c>
      <c r="M13" s="450">
        <v>424058</v>
      </c>
      <c r="O13" s="450">
        <v>456375</v>
      </c>
      <c r="Q13" s="450">
        <v>529762</v>
      </c>
      <c r="S13" s="450">
        <v>497274</v>
      </c>
      <c r="U13" s="450">
        <v>545359</v>
      </c>
      <c r="W13" s="450">
        <f>574263+33269</f>
        <v>607532</v>
      </c>
      <c r="Y13" s="450">
        <v>613975</v>
      </c>
      <c r="AA13" s="450">
        <v>684547</v>
      </c>
      <c r="AC13" s="450">
        <v>721930</v>
      </c>
      <c r="AE13" s="450">
        <v>717447</v>
      </c>
      <c r="AG13" s="450">
        <v>888100</v>
      </c>
      <c r="AI13" s="450">
        <v>828839</v>
      </c>
      <c r="AK13" s="450">
        <v>721695</v>
      </c>
      <c r="AM13" s="450">
        <v>846878</v>
      </c>
      <c r="AO13" s="450">
        <v>932262</v>
      </c>
      <c r="AQ13" s="450">
        <v>834517</v>
      </c>
      <c r="AS13" s="450">
        <v>766295</v>
      </c>
      <c r="AU13" s="450">
        <v>1009008</v>
      </c>
      <c r="AW13" s="450">
        <f>SOActivities!C13</f>
        <v>1027190</v>
      </c>
    </row>
    <row r="14" spans="1:49" s="450" customFormat="1" ht="9.9499999999999993" customHeight="1" x14ac:dyDescent="0.2">
      <c r="A14" s="418"/>
      <c r="B14" s="418"/>
      <c r="C14" s="418" t="s">
        <v>955</v>
      </c>
      <c r="D14" s="418"/>
      <c r="E14" s="450">
        <v>131010</v>
      </c>
      <c r="G14" s="450">
        <v>128374</v>
      </c>
      <c r="I14" s="450">
        <v>116629</v>
      </c>
      <c r="K14" s="450">
        <v>149476</v>
      </c>
      <c r="M14" s="450">
        <v>226849</v>
      </c>
      <c r="O14" s="450">
        <v>143172</v>
      </c>
      <c r="Q14" s="450">
        <v>220267</v>
      </c>
      <c r="S14" s="450">
        <v>212256</v>
      </c>
      <c r="U14" s="450">
        <v>221612</v>
      </c>
      <c r="W14" s="450">
        <v>239195</v>
      </c>
      <c r="Y14" s="450">
        <v>252804</v>
      </c>
      <c r="AA14" s="450">
        <v>257395</v>
      </c>
      <c r="AC14" s="450">
        <v>324257</v>
      </c>
      <c r="AE14" s="450">
        <v>247087</v>
      </c>
      <c r="AG14" s="450">
        <v>240763</v>
      </c>
      <c r="AI14" s="450">
        <v>244437</v>
      </c>
      <c r="AK14" s="450">
        <v>349150</v>
      </c>
      <c r="AM14" s="450">
        <v>327811</v>
      </c>
      <c r="AO14" s="450">
        <v>319114</v>
      </c>
      <c r="AQ14" s="450">
        <v>355965</v>
      </c>
      <c r="AS14" s="450">
        <v>347536</v>
      </c>
      <c r="AU14" s="450">
        <v>409149</v>
      </c>
      <c r="AW14" s="450">
        <f>SOActivities!C14</f>
        <v>438995</v>
      </c>
    </row>
    <row r="15" spans="1:49" s="418" customFormat="1" ht="9.9499999999999993" customHeight="1" x14ac:dyDescent="0.2">
      <c r="C15" s="418" t="s">
        <v>958</v>
      </c>
      <c r="D15" s="448"/>
      <c r="E15" s="450">
        <v>7909</v>
      </c>
      <c r="F15" s="450"/>
      <c r="G15" s="450">
        <v>7102</v>
      </c>
      <c r="H15" s="450"/>
      <c r="I15" s="450">
        <v>2787</v>
      </c>
      <c r="J15" s="450"/>
      <c r="K15" s="450">
        <v>2731</v>
      </c>
      <c r="L15" s="450"/>
      <c r="M15" s="450">
        <v>3112</v>
      </c>
      <c r="N15" s="450"/>
      <c r="O15" s="450">
        <v>2878</v>
      </c>
      <c r="P15" s="450"/>
      <c r="Q15" s="450">
        <v>3000</v>
      </c>
      <c r="R15" s="450"/>
      <c r="S15" s="450">
        <v>3953</v>
      </c>
      <c r="T15" s="450"/>
      <c r="U15" s="450">
        <v>8385</v>
      </c>
      <c r="V15" s="450"/>
      <c r="W15" s="450">
        <v>20015</v>
      </c>
      <c r="X15" s="450"/>
      <c r="Y15" s="450">
        <v>14382</v>
      </c>
      <c r="Z15" s="450"/>
      <c r="AA15" s="450">
        <v>13250</v>
      </c>
      <c r="AB15" s="450"/>
      <c r="AC15" s="450">
        <v>7142</v>
      </c>
      <c r="AD15" s="450"/>
      <c r="AE15" s="450">
        <v>7535</v>
      </c>
      <c r="AF15" s="450"/>
      <c r="AG15" s="450">
        <v>7090</v>
      </c>
      <c r="AH15" s="450"/>
      <c r="AI15" s="450">
        <v>9574</v>
      </c>
      <c r="AJ15" s="450"/>
      <c r="AK15" s="450">
        <v>5748</v>
      </c>
      <c r="AL15" s="450"/>
      <c r="AM15" s="450">
        <v>7507</v>
      </c>
      <c r="AN15" s="450"/>
      <c r="AO15" s="450">
        <v>11521</v>
      </c>
      <c r="AP15" s="450"/>
      <c r="AQ15" s="450">
        <v>10482</v>
      </c>
      <c r="AR15" s="450"/>
      <c r="AS15" s="450">
        <v>11316</v>
      </c>
      <c r="AT15" s="450"/>
      <c r="AU15" s="450">
        <v>12889</v>
      </c>
      <c r="AV15" s="450"/>
      <c r="AW15" s="450">
        <f>SOActivities!C15</f>
        <v>13297</v>
      </c>
    </row>
    <row r="16" spans="1:49" s="418" customFormat="1" ht="9.9499999999999993" hidden="1" customHeight="1" x14ac:dyDescent="0.2">
      <c r="C16" s="418" t="s">
        <v>719</v>
      </c>
      <c r="D16" s="448"/>
      <c r="E16" s="450"/>
      <c r="F16" s="450"/>
      <c r="G16" s="450"/>
      <c r="H16" s="450"/>
      <c r="I16" s="450"/>
      <c r="J16" s="450"/>
      <c r="K16" s="450"/>
      <c r="L16" s="450"/>
      <c r="M16" s="450"/>
      <c r="N16" s="450"/>
      <c r="O16" s="450"/>
      <c r="P16" s="450"/>
      <c r="Q16" s="450">
        <v>0</v>
      </c>
      <c r="R16" s="450"/>
      <c r="S16" s="450">
        <v>0</v>
      </c>
      <c r="T16" s="450"/>
      <c r="U16" s="450">
        <v>0</v>
      </c>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row>
    <row r="17" spans="1:51" s="448" customFormat="1" ht="9.9499999999999993" customHeight="1" x14ac:dyDescent="0.2">
      <c r="A17" s="418"/>
      <c r="B17" s="418"/>
      <c r="C17" s="418" t="s">
        <v>956</v>
      </c>
      <c r="D17" s="418"/>
      <c r="E17" s="450">
        <v>78662</v>
      </c>
      <c r="F17" s="450"/>
      <c r="G17" s="450">
        <v>84239</v>
      </c>
      <c r="H17" s="450"/>
      <c r="I17" s="450">
        <v>82233</v>
      </c>
      <c r="J17" s="450"/>
      <c r="K17" s="450">
        <v>89011</v>
      </c>
      <c r="L17" s="450"/>
      <c r="M17" s="450">
        <v>87283</v>
      </c>
      <c r="N17" s="450"/>
      <c r="O17" s="450">
        <v>91432</v>
      </c>
      <c r="P17" s="450"/>
      <c r="Q17" s="450">
        <v>90443</v>
      </c>
      <c r="R17" s="450"/>
      <c r="S17" s="450">
        <v>92351</v>
      </c>
      <c r="T17" s="450"/>
      <c r="U17" s="450">
        <v>104667</v>
      </c>
      <c r="V17" s="450"/>
      <c r="W17" s="450">
        <v>101995</v>
      </c>
      <c r="X17" s="450"/>
      <c r="Y17" s="450">
        <v>101293</v>
      </c>
      <c r="Z17" s="450"/>
      <c r="AA17" s="450">
        <v>38250</v>
      </c>
      <c r="AB17" s="450"/>
      <c r="AC17" s="450">
        <v>55014</v>
      </c>
      <c r="AD17" s="450"/>
      <c r="AE17" s="450">
        <v>55020</v>
      </c>
      <c r="AF17" s="450"/>
      <c r="AG17" s="450">
        <v>54953</v>
      </c>
      <c r="AH17" s="450"/>
      <c r="AI17" s="450">
        <v>67038</v>
      </c>
      <c r="AJ17" s="450"/>
      <c r="AK17" s="450">
        <v>80505</v>
      </c>
      <c r="AL17" s="450"/>
      <c r="AM17" s="450">
        <v>75978</v>
      </c>
      <c r="AN17" s="450"/>
      <c r="AO17" s="450">
        <v>82349</v>
      </c>
      <c r="AP17" s="450"/>
      <c r="AQ17" s="450">
        <v>104369</v>
      </c>
      <c r="AR17" s="450"/>
      <c r="AS17" s="450">
        <v>102620</v>
      </c>
      <c r="AT17" s="450"/>
      <c r="AU17" s="450">
        <v>121572</v>
      </c>
      <c r="AV17" s="450"/>
      <c r="AW17" s="450">
        <f>SOActivities!C16</f>
        <v>124759</v>
      </c>
    </row>
    <row r="18" spans="1:51" s="448" customFormat="1" ht="9.9499999999999993" hidden="1" customHeight="1" x14ac:dyDescent="0.2">
      <c r="A18" s="418"/>
      <c r="B18" s="418"/>
      <c r="C18" s="418" t="s">
        <v>957</v>
      </c>
      <c r="D18" s="418"/>
      <c r="E18" s="450">
        <v>194</v>
      </c>
      <c r="F18" s="450"/>
      <c r="G18" s="450">
        <v>298</v>
      </c>
      <c r="H18" s="450"/>
      <c r="I18" s="450">
        <v>36</v>
      </c>
      <c r="J18" s="450"/>
      <c r="K18" s="450">
        <v>0</v>
      </c>
      <c r="L18" s="450"/>
      <c r="M18" s="450"/>
      <c r="N18" s="450"/>
      <c r="O18" s="450"/>
      <c r="P18" s="450"/>
      <c r="Q18" s="450">
        <v>0</v>
      </c>
      <c r="R18" s="450"/>
      <c r="S18" s="450">
        <v>0</v>
      </c>
      <c r="T18" s="450"/>
      <c r="U18" s="450">
        <v>0</v>
      </c>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row>
    <row r="19" spans="1:51" s="418" customFormat="1" ht="9.9499999999999993" customHeight="1" x14ac:dyDescent="0.2">
      <c r="C19" s="418" t="s">
        <v>961</v>
      </c>
      <c r="E19" s="450">
        <v>76400</v>
      </c>
      <c r="F19" s="450"/>
      <c r="G19" s="450">
        <v>77434</v>
      </c>
      <c r="H19" s="450"/>
      <c r="I19" s="450">
        <v>80051</v>
      </c>
      <c r="J19" s="450"/>
      <c r="K19" s="450">
        <v>84555</v>
      </c>
      <c r="L19" s="450"/>
      <c r="M19" s="450">
        <v>90337</v>
      </c>
      <c r="N19" s="450"/>
      <c r="O19" s="450">
        <v>128450</v>
      </c>
      <c r="P19" s="450"/>
      <c r="Q19" s="450">
        <v>142537</v>
      </c>
      <c r="R19" s="450"/>
      <c r="S19" s="450">
        <v>145386</v>
      </c>
      <c r="T19" s="450"/>
      <c r="U19" s="450">
        <v>143122</v>
      </c>
      <c r="V19" s="450"/>
      <c r="W19" s="450">
        <v>147591</v>
      </c>
      <c r="X19" s="450"/>
      <c r="Y19" s="450">
        <v>153642</v>
      </c>
      <c r="Z19" s="450"/>
      <c r="AA19" s="450">
        <v>161280</v>
      </c>
      <c r="AB19" s="450"/>
      <c r="AC19" s="450">
        <v>167463</v>
      </c>
      <c r="AD19" s="450"/>
      <c r="AE19" s="450">
        <v>169505</v>
      </c>
      <c r="AF19" s="450"/>
      <c r="AG19" s="450">
        <f>-9505+181209</f>
        <v>171704</v>
      </c>
      <c r="AH19" s="450"/>
      <c r="AI19" s="450">
        <v>161408</v>
      </c>
      <c r="AJ19" s="450"/>
      <c r="AK19" s="450">
        <v>214302</v>
      </c>
      <c r="AL19" s="450"/>
      <c r="AM19" s="450">
        <v>208092</v>
      </c>
      <c r="AN19" s="450"/>
      <c r="AO19" s="450">
        <v>182630</v>
      </c>
      <c r="AP19" s="450"/>
      <c r="AQ19" s="450">
        <v>197024</v>
      </c>
      <c r="AR19" s="450"/>
      <c r="AS19" s="450">
        <v>202798</v>
      </c>
      <c r="AT19" s="450"/>
      <c r="AU19" s="450">
        <v>252864</v>
      </c>
      <c r="AV19" s="450"/>
      <c r="AW19" s="450">
        <f>SOActivities!C17</f>
        <v>258340</v>
      </c>
    </row>
    <row r="20" spans="1:51" s="418" customFormat="1" ht="9.9499999999999993" customHeight="1" x14ac:dyDescent="0.2">
      <c r="A20" s="417"/>
      <c r="B20" s="417"/>
      <c r="C20" s="418" t="s">
        <v>960</v>
      </c>
      <c r="D20" s="448"/>
      <c r="E20" s="450">
        <v>49754</v>
      </c>
      <c r="F20" s="450"/>
      <c r="G20" s="450">
        <v>51141</v>
      </c>
      <c r="H20" s="450"/>
      <c r="I20" s="450">
        <v>50100</v>
      </c>
      <c r="J20" s="450"/>
      <c r="K20" s="450">
        <v>48364</v>
      </c>
      <c r="L20" s="450"/>
      <c r="M20" s="450">
        <v>126802</v>
      </c>
      <c r="N20" s="450"/>
      <c r="O20" s="450">
        <v>155285</v>
      </c>
      <c r="P20" s="450"/>
      <c r="Q20" s="450">
        <v>69734</v>
      </c>
      <c r="R20" s="450"/>
      <c r="S20" s="450">
        <v>42512</v>
      </c>
      <c r="T20" s="450"/>
      <c r="U20" s="450">
        <v>26437</v>
      </c>
      <c r="V20" s="450"/>
      <c r="W20" s="450">
        <v>28735</v>
      </c>
      <c r="X20" s="450"/>
      <c r="Y20" s="450">
        <v>31892</v>
      </c>
      <c r="Z20" s="450"/>
      <c r="AA20" s="450">
        <v>29674</v>
      </c>
      <c r="AB20" s="450"/>
      <c r="AC20" s="450">
        <v>31579</v>
      </c>
      <c r="AD20" s="450"/>
      <c r="AE20" s="450">
        <v>57277</v>
      </c>
      <c r="AF20" s="450"/>
      <c r="AG20" s="450">
        <v>73932</v>
      </c>
      <c r="AH20" s="450"/>
      <c r="AI20" s="450">
        <v>66634</v>
      </c>
      <c r="AJ20" s="450"/>
      <c r="AK20" s="450">
        <v>60426</v>
      </c>
      <c r="AL20" s="450"/>
      <c r="AM20" s="450">
        <v>82251</v>
      </c>
      <c r="AN20" s="450"/>
      <c r="AO20" s="450">
        <v>63981</v>
      </c>
      <c r="AP20" s="450"/>
      <c r="AQ20" s="450">
        <v>56198</v>
      </c>
      <c r="AR20" s="450"/>
      <c r="AS20" s="450">
        <v>80658</v>
      </c>
      <c r="AT20" s="450"/>
      <c r="AU20" s="450">
        <v>91784</v>
      </c>
      <c r="AV20" s="450"/>
      <c r="AW20" s="450">
        <f>SOActivities!C18</f>
        <v>92716</v>
      </c>
    </row>
    <row r="21" spans="1:51" s="448" customFormat="1" ht="9.9499999999999993" hidden="1" customHeight="1" x14ac:dyDescent="0.2">
      <c r="A21" s="418"/>
      <c r="B21" s="418"/>
      <c r="C21" s="418" t="s">
        <v>962</v>
      </c>
      <c r="D21" s="450"/>
      <c r="E21" s="450">
        <v>15</v>
      </c>
      <c r="F21" s="450"/>
      <c r="G21" s="450">
        <v>0</v>
      </c>
      <c r="H21" s="450"/>
      <c r="I21" s="450">
        <v>0</v>
      </c>
      <c r="J21" s="450"/>
      <c r="K21" s="450">
        <v>2</v>
      </c>
      <c r="L21" s="450"/>
      <c r="M21" s="450">
        <v>146</v>
      </c>
      <c r="N21" s="450"/>
      <c r="O21" s="450"/>
      <c r="P21" s="450"/>
      <c r="Q21" s="450"/>
      <c r="R21" s="450"/>
      <c r="S21" s="450">
        <v>0</v>
      </c>
      <c r="T21" s="450"/>
      <c r="U21" s="450"/>
      <c r="V21" s="450"/>
      <c r="W21" s="450"/>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row>
    <row r="22" spans="1:51" s="450" customFormat="1" ht="9.9499999999999993" customHeight="1" x14ac:dyDescent="0.2">
      <c r="A22" s="418"/>
      <c r="B22" s="418"/>
      <c r="C22" s="418" t="s">
        <v>963</v>
      </c>
      <c r="E22" s="450">
        <v>17038</v>
      </c>
      <c r="G22" s="450">
        <v>28653</v>
      </c>
      <c r="I22" s="450">
        <v>23981</v>
      </c>
      <c r="K22" s="450">
        <v>29764</v>
      </c>
      <c r="M22" s="450">
        <v>21766</v>
      </c>
      <c r="O22" s="450">
        <v>20575</v>
      </c>
      <c r="Q22" s="450">
        <v>39700</v>
      </c>
      <c r="S22" s="450">
        <v>45533</v>
      </c>
      <c r="U22" s="450">
        <v>26486</v>
      </c>
      <c r="W22" s="450">
        <f>13696-126</f>
        <v>13570</v>
      </c>
      <c r="Y22" s="450">
        <v>13252</v>
      </c>
      <c r="AA22" s="450">
        <v>9111</v>
      </c>
      <c r="AC22" s="450">
        <v>25949</v>
      </c>
      <c r="AE22" s="450">
        <v>27839</v>
      </c>
      <c r="AG22" s="450">
        <v>27025</v>
      </c>
      <c r="AI22" s="450">
        <v>30867</v>
      </c>
      <c r="AK22" s="450">
        <v>38521</v>
      </c>
      <c r="AM22" s="450">
        <v>56855</v>
      </c>
      <c r="AO22" s="450">
        <v>99542</v>
      </c>
      <c r="AQ22" s="450">
        <v>139752</v>
      </c>
      <c r="AS22" s="450">
        <v>126328</v>
      </c>
      <c r="AU22" s="450">
        <v>74021</v>
      </c>
      <c r="AW22" s="450">
        <f>SOActivities!C19</f>
        <v>100428</v>
      </c>
    </row>
    <row r="23" spans="1:51" s="450" customFormat="1" ht="9.9499999999999993" customHeight="1" x14ac:dyDescent="0.2">
      <c r="A23" s="418"/>
      <c r="B23" s="418"/>
      <c r="C23" s="418" t="s">
        <v>959</v>
      </c>
      <c r="E23" s="450">
        <v>133818</v>
      </c>
      <c r="G23" s="450">
        <v>133455</v>
      </c>
      <c r="I23" s="450">
        <v>116701</v>
      </c>
      <c r="K23" s="450">
        <v>131840</v>
      </c>
      <c r="M23" s="450">
        <v>134554</v>
      </c>
      <c r="O23" s="450">
        <v>153704</v>
      </c>
      <c r="Q23" s="450">
        <v>168585</v>
      </c>
      <c r="S23" s="450">
        <v>162956</v>
      </c>
      <c r="U23" s="450">
        <v>177819</v>
      </c>
      <c r="W23" s="450">
        <v>185600</v>
      </c>
      <c r="Y23" s="450">
        <v>157678</v>
      </c>
      <c r="AA23" s="450">
        <v>162015</v>
      </c>
      <c r="AC23" s="450">
        <v>115094</v>
      </c>
      <c r="AE23" s="450">
        <v>121932</v>
      </c>
      <c r="AG23" s="450">
        <v>126440</v>
      </c>
      <c r="AI23" s="450">
        <v>143370</v>
      </c>
      <c r="AK23" s="450">
        <v>157828</v>
      </c>
      <c r="AM23" s="450">
        <v>164042</v>
      </c>
      <c r="AO23" s="450">
        <v>188256</v>
      </c>
      <c r="AQ23" s="450">
        <v>204113</v>
      </c>
      <c r="AS23" s="450">
        <v>260447</v>
      </c>
      <c r="AU23" s="450">
        <v>243551</v>
      </c>
      <c r="AW23" s="450">
        <f>SOActivities!C20</f>
        <v>270173</v>
      </c>
    </row>
    <row r="24" spans="1:51" s="450" customFormat="1" ht="9.9499999999999993" customHeight="1" x14ac:dyDescent="0.2">
      <c r="A24" s="418"/>
      <c r="B24" s="418"/>
      <c r="C24" s="418" t="s">
        <v>1191</v>
      </c>
      <c r="AA24" s="450">
        <v>6381</v>
      </c>
      <c r="AC24" s="450">
        <v>8530</v>
      </c>
      <c r="AE24" s="450">
        <v>64917</v>
      </c>
      <c r="AG24" s="450">
        <v>62579</v>
      </c>
      <c r="AI24" s="450">
        <v>81563</v>
      </c>
      <c r="AK24" s="450">
        <v>74314</v>
      </c>
      <c r="AM24" s="450">
        <v>83331</v>
      </c>
      <c r="AO24" s="450">
        <v>74133</v>
      </c>
      <c r="AQ24" s="450">
        <v>73261</v>
      </c>
      <c r="AS24" s="450">
        <v>79651</v>
      </c>
      <c r="AU24" s="450">
        <v>107452</v>
      </c>
      <c r="AW24" s="450">
        <f>SOActivities!C21</f>
        <v>129276</v>
      </c>
    </row>
    <row r="25" spans="1:51" s="974" customFormat="1" ht="9.9499999999999993" customHeight="1" x14ac:dyDescent="0.2">
      <c r="A25" s="528"/>
      <c r="B25" s="528"/>
      <c r="C25" s="398" t="s">
        <v>964</v>
      </c>
      <c r="E25" s="974">
        <v>27322</v>
      </c>
      <c r="G25" s="974">
        <v>19847</v>
      </c>
      <c r="I25" s="974">
        <v>21277</v>
      </c>
      <c r="K25" s="974">
        <v>60461</v>
      </c>
      <c r="M25" s="974">
        <v>12159</v>
      </c>
      <c r="O25" s="974">
        <v>19167</v>
      </c>
      <c r="Q25" s="974">
        <v>22479</v>
      </c>
      <c r="S25" s="974">
        <v>23260</v>
      </c>
      <c r="U25" s="974">
        <v>104964</v>
      </c>
      <c r="W25" s="450">
        <f>90844-238-348</f>
        <v>90258</v>
      </c>
      <c r="Y25" s="450">
        <v>115253</v>
      </c>
      <c r="AA25" s="450">
        <v>117362</v>
      </c>
      <c r="AC25" s="450">
        <v>25909</v>
      </c>
      <c r="AE25" s="450">
        <v>34634</v>
      </c>
      <c r="AG25" s="450">
        <v>22974</v>
      </c>
      <c r="AI25" s="450">
        <v>27994</v>
      </c>
      <c r="AK25" s="450">
        <v>27463</v>
      </c>
      <c r="AM25" s="450">
        <v>34137</v>
      </c>
      <c r="AO25" s="450">
        <v>73298</v>
      </c>
      <c r="AQ25" s="450">
        <v>100791</v>
      </c>
      <c r="AR25" s="450"/>
      <c r="AS25" s="450">
        <v>71490</v>
      </c>
      <c r="AU25" s="450">
        <v>63711</v>
      </c>
      <c r="AW25" s="450">
        <f>SOActivities!C22</f>
        <v>55479</v>
      </c>
    </row>
    <row r="26" spans="1:51" s="974" customFormat="1" ht="9.9499999999999993" customHeight="1" x14ac:dyDescent="0.2">
      <c r="A26" s="528"/>
      <c r="B26" s="528"/>
      <c r="C26" s="398" t="s">
        <v>1417</v>
      </c>
      <c r="W26" s="450"/>
      <c r="Y26" s="450"/>
      <c r="AA26" s="450"/>
      <c r="AC26" s="450"/>
      <c r="AE26" s="450"/>
      <c r="AG26" s="450"/>
      <c r="AI26" s="450"/>
      <c r="AK26" s="450">
        <v>209</v>
      </c>
      <c r="AM26" s="450">
        <v>930</v>
      </c>
      <c r="AO26" s="450">
        <v>302</v>
      </c>
      <c r="AQ26" s="450">
        <v>197</v>
      </c>
      <c r="AR26" s="450"/>
      <c r="AS26" s="450">
        <v>193</v>
      </c>
      <c r="AU26" s="450">
        <v>1866</v>
      </c>
      <c r="AW26" s="450">
        <f>SOActivities!C23</f>
        <v>3619</v>
      </c>
    </row>
    <row r="27" spans="1:51" s="450" customFormat="1" ht="9.9499999999999993" customHeight="1" x14ac:dyDescent="0.2">
      <c r="A27" s="418"/>
      <c r="B27" s="418"/>
      <c r="C27" s="418" t="s">
        <v>195</v>
      </c>
      <c r="E27" s="450">
        <v>13</v>
      </c>
      <c r="G27" s="450">
        <v>84</v>
      </c>
      <c r="I27" s="450">
        <v>0</v>
      </c>
      <c r="K27" s="450">
        <v>0</v>
      </c>
      <c r="AC27" s="450">
        <v>1862</v>
      </c>
      <c r="AE27" s="450">
        <v>2544</v>
      </c>
      <c r="AG27" s="450">
        <v>2192</v>
      </c>
      <c r="AI27" s="450">
        <v>1951</v>
      </c>
      <c r="AK27" s="450">
        <v>1832</v>
      </c>
      <c r="AM27" s="450">
        <v>3008</v>
      </c>
      <c r="AO27" s="450">
        <v>10148</v>
      </c>
      <c r="AQ27" s="450">
        <v>2000</v>
      </c>
      <c r="AS27" s="450">
        <v>4061</v>
      </c>
      <c r="AU27" s="450">
        <v>0</v>
      </c>
      <c r="AW27" s="450">
        <f>+SOActivities!C24</f>
        <v>2731</v>
      </c>
    </row>
    <row r="28" spans="1:51" s="450" customFormat="1" ht="11.25" customHeight="1" x14ac:dyDescent="0.2">
      <c r="A28" s="418"/>
      <c r="B28" s="418"/>
      <c r="C28" s="398" t="s">
        <v>1054</v>
      </c>
      <c r="D28" s="398"/>
      <c r="E28" s="450">
        <v>54628</v>
      </c>
      <c r="F28" s="418"/>
      <c r="G28" s="450">
        <v>54490</v>
      </c>
      <c r="H28" s="418"/>
      <c r="I28" s="450">
        <v>55855</v>
      </c>
      <c r="J28" s="418"/>
      <c r="K28" s="450">
        <v>70655</v>
      </c>
      <c r="L28" s="418"/>
      <c r="M28" s="450">
        <v>65960</v>
      </c>
      <c r="N28" s="418"/>
      <c r="O28" s="450">
        <v>48114</v>
      </c>
      <c r="P28" s="418"/>
      <c r="Q28" s="450">
        <v>71103</v>
      </c>
      <c r="R28" s="418"/>
      <c r="S28" s="450">
        <v>75108</v>
      </c>
      <c r="T28" s="418"/>
      <c r="U28" s="450">
        <v>70945</v>
      </c>
      <c r="V28" s="418"/>
      <c r="W28" s="450">
        <v>87792</v>
      </c>
      <c r="X28" s="418"/>
      <c r="Y28" s="450">
        <v>85073</v>
      </c>
      <c r="Z28" s="418"/>
      <c r="AA28" s="450">
        <v>115016</v>
      </c>
      <c r="AB28" s="418"/>
      <c r="AC28" s="450">
        <v>93313</v>
      </c>
      <c r="AD28" s="418"/>
      <c r="AE28" s="450">
        <v>88813</v>
      </c>
      <c r="AF28" s="418"/>
      <c r="AG28" s="450">
        <v>86862</v>
      </c>
      <c r="AH28" s="418"/>
      <c r="AI28" s="450">
        <v>89469</v>
      </c>
      <c r="AJ28" s="418"/>
      <c r="AK28" s="450">
        <v>91718</v>
      </c>
      <c r="AL28" s="418"/>
      <c r="AM28" s="455">
        <v>91909</v>
      </c>
      <c r="AN28" s="418"/>
      <c r="AO28" s="450">
        <v>80130</v>
      </c>
      <c r="AP28" s="418"/>
      <c r="AQ28" s="450">
        <v>81021</v>
      </c>
      <c r="AS28" s="450">
        <v>63382</v>
      </c>
      <c r="AT28" s="418"/>
      <c r="AU28" s="450">
        <v>86637</v>
      </c>
      <c r="AV28" s="418"/>
      <c r="AW28" s="450">
        <f>+SOActivities!C25</f>
        <v>94944</v>
      </c>
      <c r="AX28" s="418"/>
      <c r="AY28" s="418"/>
    </row>
    <row r="29" spans="1:51" s="418" customFormat="1" ht="5.0999999999999996" customHeight="1" x14ac:dyDescent="0.2">
      <c r="E29" s="452"/>
      <c r="F29" s="450"/>
      <c r="G29" s="452"/>
      <c r="H29" s="450"/>
      <c r="I29" s="452"/>
      <c r="J29" s="450"/>
      <c r="K29" s="452"/>
      <c r="L29" s="450"/>
      <c r="M29" s="452"/>
      <c r="N29" s="450"/>
      <c r="O29" s="452"/>
      <c r="P29" s="450"/>
      <c r="Q29" s="452"/>
      <c r="R29" s="450"/>
      <c r="S29" s="452"/>
      <c r="T29" s="450"/>
      <c r="U29" s="452"/>
      <c r="V29" s="450"/>
      <c r="W29" s="452"/>
      <c r="X29" s="450"/>
      <c r="Y29" s="452"/>
      <c r="Z29" s="450"/>
      <c r="AA29" s="452"/>
      <c r="AB29" s="450"/>
      <c r="AC29" s="452"/>
      <c r="AD29" s="450"/>
      <c r="AE29" s="452"/>
      <c r="AF29" s="450"/>
      <c r="AG29" s="452"/>
      <c r="AH29" s="450"/>
      <c r="AI29" s="452"/>
      <c r="AJ29" s="450"/>
      <c r="AK29" s="452"/>
      <c r="AL29" s="450"/>
      <c r="AM29" s="450"/>
      <c r="AN29" s="450"/>
      <c r="AO29" s="452"/>
      <c r="AP29" s="450"/>
      <c r="AQ29" s="452"/>
      <c r="AR29" s="450"/>
      <c r="AS29" s="452"/>
      <c r="AT29" s="450"/>
      <c r="AU29" s="452"/>
      <c r="AV29" s="450"/>
      <c r="AW29" s="452"/>
    </row>
    <row r="30" spans="1:51" s="448" customFormat="1" ht="11.1" customHeight="1" x14ac:dyDescent="0.2">
      <c r="B30" s="417" t="s">
        <v>796</v>
      </c>
      <c r="C30" s="418"/>
      <c r="D30" s="418"/>
      <c r="E30" s="985">
        <f>SUM(E12:E28)</f>
        <v>1069032</v>
      </c>
      <c r="F30" s="450"/>
      <c r="G30" s="985">
        <f>SUM(G12:G28)</f>
        <v>1030467</v>
      </c>
      <c r="H30" s="450"/>
      <c r="I30" s="985">
        <f>SUM(I12:I28)</f>
        <v>1041867</v>
      </c>
      <c r="J30" s="450"/>
      <c r="K30" s="985">
        <f>SUM(K12:K28)</f>
        <v>1175459</v>
      </c>
      <c r="L30" s="974"/>
      <c r="M30" s="985">
        <f>SUM(M12:M28)</f>
        <v>1276745</v>
      </c>
      <c r="N30" s="974"/>
      <c r="O30" s="985">
        <f>SUM(O12:O28)</f>
        <v>1338033</v>
      </c>
      <c r="P30" s="974"/>
      <c r="Q30" s="985">
        <f>SUM(Q12:Q28)</f>
        <v>1467460</v>
      </c>
      <c r="R30" s="974"/>
      <c r="S30" s="985">
        <f>SUM(S12:S28)</f>
        <v>1393004</v>
      </c>
      <c r="T30" s="974"/>
      <c r="U30" s="985">
        <f>SUM(U12:U28)</f>
        <v>1544387</v>
      </c>
      <c r="V30" s="974"/>
      <c r="W30" s="985">
        <f>SUM(W12:W28)</f>
        <v>1625900</v>
      </c>
      <c r="X30" s="974"/>
      <c r="Y30" s="985">
        <v>1680005</v>
      </c>
      <c r="Z30" s="974"/>
      <c r="AA30" s="985">
        <v>1721978</v>
      </c>
      <c r="AB30" s="974"/>
      <c r="AC30" s="985">
        <f>SUM(AC12:AC28)</f>
        <v>1690887</v>
      </c>
      <c r="AD30" s="974"/>
      <c r="AE30" s="985">
        <f>SUM(AE12:AE28)</f>
        <v>1694338</v>
      </c>
      <c r="AF30" s="974"/>
      <c r="AG30" s="985">
        <f>SUM(AG12:AG28)</f>
        <v>1895887</v>
      </c>
      <c r="AH30" s="974"/>
      <c r="AI30" s="985">
        <f>SUM(AI12:AI28)</f>
        <v>1854817</v>
      </c>
      <c r="AJ30" s="974"/>
      <c r="AK30" s="985">
        <f>SUM(AK12:AK28)</f>
        <v>1958081</v>
      </c>
      <c r="AL30" s="974"/>
      <c r="AM30" s="985">
        <f>SUM(AM12:AM28)</f>
        <v>2120208</v>
      </c>
      <c r="AN30" s="974"/>
      <c r="AO30" s="985">
        <f>SUM(AO12:AO28)</f>
        <v>2259739</v>
      </c>
      <c r="AP30" s="974"/>
      <c r="AQ30" s="985">
        <f>SUM(AQ12:AQ28)</f>
        <v>2288186</v>
      </c>
      <c r="AR30" s="974"/>
      <c r="AS30" s="985">
        <f>SUM(AS12:AS28)</f>
        <v>2252126</v>
      </c>
      <c r="AT30" s="974"/>
      <c r="AU30" s="985">
        <f>SUM(AU12:AU28)</f>
        <v>2620969</v>
      </c>
      <c r="AV30" s="974"/>
      <c r="AW30" s="985">
        <f>SUM(AW12:AW28)</f>
        <v>2807757</v>
      </c>
    </row>
    <row r="31" spans="1:51" s="448" customFormat="1" ht="5.0999999999999996" customHeight="1" x14ac:dyDescent="0.2">
      <c r="B31" s="418"/>
      <c r="C31" s="418"/>
      <c r="D31" s="418"/>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450"/>
      <c r="AJ31" s="450"/>
      <c r="AK31" s="450"/>
      <c r="AL31" s="450"/>
      <c r="AM31" s="450"/>
      <c r="AN31" s="450"/>
      <c r="AO31" s="450"/>
      <c r="AP31" s="450"/>
      <c r="AQ31" s="450"/>
      <c r="AR31" s="450"/>
      <c r="AS31" s="450"/>
      <c r="AT31" s="450"/>
      <c r="AU31" s="450"/>
      <c r="AV31" s="450"/>
      <c r="AW31" s="450"/>
    </row>
    <row r="32" spans="1:51" s="418" customFormat="1" ht="9.9499999999999993" customHeight="1" x14ac:dyDescent="0.2">
      <c r="B32" s="417" t="s">
        <v>1056</v>
      </c>
      <c r="C32" s="417"/>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0"/>
      <c r="AF32" s="450"/>
      <c r="AG32" s="450"/>
      <c r="AH32" s="450"/>
      <c r="AI32" s="450"/>
      <c r="AJ32" s="450"/>
      <c r="AK32" s="450"/>
      <c r="AL32" s="450"/>
      <c r="AM32" s="450"/>
      <c r="AN32" s="450"/>
      <c r="AO32" s="450"/>
      <c r="AP32" s="450"/>
      <c r="AQ32" s="450"/>
      <c r="AR32" s="450"/>
      <c r="AS32" s="450"/>
      <c r="AT32" s="450"/>
      <c r="AU32" s="450"/>
      <c r="AV32" s="450"/>
      <c r="AW32" s="450"/>
    </row>
    <row r="33" spans="1:49" s="448" customFormat="1" ht="9.9499999999999993" customHeight="1" x14ac:dyDescent="0.2">
      <c r="A33" s="418"/>
      <c r="B33" s="418"/>
      <c r="C33" s="349" t="s">
        <v>1057</v>
      </c>
      <c r="E33" s="450">
        <v>41941</v>
      </c>
      <c r="F33" s="450"/>
      <c r="G33" s="450">
        <v>45164</v>
      </c>
      <c r="H33" s="450"/>
      <c r="I33" s="450">
        <v>49427</v>
      </c>
      <c r="J33" s="450"/>
      <c r="K33" s="450">
        <v>46868</v>
      </c>
      <c r="L33" s="450"/>
      <c r="M33" s="450">
        <v>78083</v>
      </c>
      <c r="N33" s="450"/>
      <c r="O33" s="450">
        <v>64482</v>
      </c>
      <c r="P33" s="450"/>
      <c r="Q33" s="450">
        <v>80505</v>
      </c>
      <c r="R33" s="450"/>
      <c r="S33" s="450">
        <v>81229</v>
      </c>
      <c r="T33" s="450"/>
      <c r="U33" s="450">
        <v>83109</v>
      </c>
      <c r="V33" s="450"/>
      <c r="W33" s="450">
        <v>105708</v>
      </c>
      <c r="X33" s="450"/>
      <c r="Y33" s="450">
        <v>118560</v>
      </c>
      <c r="Z33" s="450"/>
      <c r="AA33" s="450">
        <v>102041</v>
      </c>
      <c r="AB33" s="450"/>
      <c r="AC33" s="450">
        <v>106033</v>
      </c>
      <c r="AD33" s="450"/>
      <c r="AE33" s="450">
        <v>112439</v>
      </c>
      <c r="AF33" s="450"/>
      <c r="AG33" s="450">
        <v>127122</v>
      </c>
      <c r="AH33" s="450"/>
      <c r="AI33" s="450">
        <v>127419</v>
      </c>
      <c r="AJ33" s="450"/>
      <c r="AK33" s="450">
        <v>134352</v>
      </c>
      <c r="AL33" s="450"/>
      <c r="AM33" s="450">
        <v>147216</v>
      </c>
      <c r="AN33" s="450"/>
      <c r="AO33" s="450">
        <v>137308</v>
      </c>
      <c r="AP33" s="450"/>
      <c r="AQ33" s="450">
        <v>129769</v>
      </c>
      <c r="AR33" s="450"/>
      <c r="AS33" s="450">
        <v>135836</v>
      </c>
      <c r="AT33" s="450"/>
      <c r="AU33" s="450">
        <v>152352</v>
      </c>
      <c r="AV33" s="450"/>
      <c r="AW33" s="450">
        <f>SOActivities!C30</f>
        <v>171412</v>
      </c>
    </row>
    <row r="34" spans="1:49" s="450" customFormat="1" ht="9.9499999999999993" customHeight="1" x14ac:dyDescent="0.2">
      <c r="A34" s="418"/>
      <c r="B34" s="418"/>
      <c r="C34" s="425" t="s">
        <v>969</v>
      </c>
      <c r="U34" s="450">
        <v>19570</v>
      </c>
      <c r="W34" s="450">
        <v>20195</v>
      </c>
      <c r="Y34" s="450">
        <v>23327</v>
      </c>
      <c r="AA34" s="450">
        <v>24437</v>
      </c>
      <c r="AC34" s="450">
        <v>22273</v>
      </c>
      <c r="AE34" s="450">
        <v>26042</v>
      </c>
      <c r="AG34" s="450">
        <v>27033</v>
      </c>
      <c r="AI34" s="450">
        <v>29643</v>
      </c>
      <c r="AK34" s="450">
        <v>30490</v>
      </c>
      <c r="AM34" s="450">
        <v>38184</v>
      </c>
      <c r="AO34" s="450">
        <v>37982</v>
      </c>
      <c r="AQ34" s="450">
        <v>41831</v>
      </c>
      <c r="AS34" s="450">
        <v>43540</v>
      </c>
      <c r="AU34" s="450">
        <v>48530</v>
      </c>
      <c r="AW34" s="450">
        <f>SOActivities!C31</f>
        <v>50322</v>
      </c>
    </row>
    <row r="35" spans="1:49" s="450" customFormat="1" ht="9.9499999999999993" customHeight="1" x14ac:dyDescent="0.2">
      <c r="A35" s="418"/>
      <c r="B35" s="418"/>
      <c r="C35" s="425" t="s">
        <v>210</v>
      </c>
      <c r="U35" s="450">
        <v>251</v>
      </c>
      <c r="W35" s="450">
        <v>2215</v>
      </c>
      <c r="Y35" s="450">
        <v>2297</v>
      </c>
      <c r="AA35" s="450">
        <v>2135</v>
      </c>
      <c r="AC35" s="450">
        <v>2558</v>
      </c>
      <c r="AE35" s="450">
        <v>2846</v>
      </c>
      <c r="AG35" s="450">
        <v>2708</v>
      </c>
      <c r="AI35" s="450">
        <v>2643</v>
      </c>
      <c r="AK35" s="450">
        <v>2488</v>
      </c>
      <c r="AM35" s="450">
        <v>2535</v>
      </c>
      <c r="AO35" s="450">
        <v>1914</v>
      </c>
      <c r="AQ35" s="450">
        <v>1979</v>
      </c>
      <c r="AS35" s="450">
        <v>2232</v>
      </c>
      <c r="AU35" s="450">
        <v>2854</v>
      </c>
      <c r="AW35" s="450">
        <f>SOActivities!C32</f>
        <v>2901</v>
      </c>
    </row>
    <row r="36" spans="1:49" s="450" customFormat="1" ht="9.9499999999999993" customHeight="1" x14ac:dyDescent="0.2">
      <c r="A36" s="418"/>
      <c r="B36" s="418"/>
      <c r="C36" s="349" t="s">
        <v>214</v>
      </c>
      <c r="E36" s="450">
        <v>8693</v>
      </c>
      <c r="G36" s="450">
        <v>7523</v>
      </c>
      <c r="I36" s="450">
        <v>6264</v>
      </c>
      <c r="K36" s="450">
        <v>8413</v>
      </c>
      <c r="M36" s="450">
        <v>9234</v>
      </c>
      <c r="O36" s="450">
        <v>8525</v>
      </c>
      <c r="Q36" s="450">
        <v>10382</v>
      </c>
      <c r="S36" s="450">
        <v>8984</v>
      </c>
      <c r="U36" s="450">
        <v>9135</v>
      </c>
      <c r="W36" s="450">
        <v>8703</v>
      </c>
      <c r="Y36" s="450">
        <v>8117</v>
      </c>
      <c r="AA36" s="450">
        <v>8214</v>
      </c>
      <c r="AC36" s="450">
        <v>12165</v>
      </c>
      <c r="AE36" s="450">
        <v>10038</v>
      </c>
      <c r="AG36" s="450">
        <v>14157</v>
      </c>
      <c r="AI36" s="450">
        <v>9671</v>
      </c>
      <c r="AK36" s="450">
        <v>12321</v>
      </c>
      <c r="AM36" s="450">
        <v>10051</v>
      </c>
      <c r="AO36" s="450">
        <v>12446</v>
      </c>
      <c r="AQ36" s="450">
        <v>8502</v>
      </c>
      <c r="AS36" s="450">
        <v>7188</v>
      </c>
      <c r="AU36" s="450">
        <v>9558</v>
      </c>
      <c r="AW36" s="450">
        <f>SOActivities!C33</f>
        <v>9889</v>
      </c>
    </row>
    <row r="37" spans="1:49" s="450" customFormat="1" ht="9.9499999999999993" customHeight="1" x14ac:dyDescent="0.2">
      <c r="A37" s="418"/>
      <c r="B37" s="418"/>
      <c r="C37" s="425" t="s">
        <v>841</v>
      </c>
      <c r="E37" s="450">
        <v>48223</v>
      </c>
      <c r="G37" s="450">
        <v>48252</v>
      </c>
      <c r="I37" s="450">
        <v>51227</v>
      </c>
      <c r="K37" s="450">
        <v>54703</v>
      </c>
      <c r="M37" s="450">
        <v>61318</v>
      </c>
      <c r="O37" s="450">
        <v>68072</v>
      </c>
      <c r="Q37" s="450">
        <v>82002</v>
      </c>
      <c r="S37" s="450">
        <v>88900</v>
      </c>
      <c r="U37" s="450">
        <v>85058</v>
      </c>
      <c r="W37" s="450">
        <v>82128</v>
      </c>
      <c r="Y37" s="450">
        <v>89405</v>
      </c>
      <c r="AA37" s="450">
        <v>93056</v>
      </c>
      <c r="AC37" s="450">
        <v>98555</v>
      </c>
      <c r="AE37" s="450">
        <v>92492</v>
      </c>
      <c r="AG37" s="450">
        <v>110361</v>
      </c>
      <c r="AI37" s="450">
        <v>114308</v>
      </c>
      <c r="AK37" s="450">
        <v>113513</v>
      </c>
      <c r="AM37" s="455">
        <v>123390</v>
      </c>
      <c r="AO37" s="450">
        <v>131175</v>
      </c>
      <c r="AQ37" s="450">
        <v>128111</v>
      </c>
      <c r="AS37" s="450">
        <v>138763</v>
      </c>
      <c r="AU37" s="450">
        <v>150982</v>
      </c>
      <c r="AW37" s="450">
        <f>SOActivities!C34</f>
        <v>144185</v>
      </c>
    </row>
    <row r="38" spans="1:49" s="418" customFormat="1" ht="5.0999999999999996" customHeight="1" x14ac:dyDescent="0.2">
      <c r="C38" s="425"/>
      <c r="E38" s="452"/>
      <c r="F38" s="450"/>
      <c r="G38" s="452"/>
      <c r="H38" s="450"/>
      <c r="I38" s="452"/>
      <c r="J38" s="450"/>
      <c r="K38" s="452"/>
      <c r="L38" s="450"/>
      <c r="M38" s="452"/>
      <c r="N38" s="450"/>
      <c r="O38" s="452"/>
      <c r="P38" s="450"/>
      <c r="Q38" s="452"/>
      <c r="R38" s="450"/>
      <c r="S38" s="452"/>
      <c r="T38" s="450"/>
      <c r="U38" s="452"/>
      <c r="V38" s="450"/>
      <c r="W38" s="452"/>
      <c r="X38" s="450"/>
      <c r="Y38" s="452"/>
      <c r="Z38" s="450"/>
      <c r="AA38" s="452"/>
      <c r="AB38" s="450"/>
      <c r="AC38" s="452"/>
      <c r="AD38" s="450"/>
      <c r="AE38" s="452"/>
      <c r="AF38" s="450"/>
      <c r="AG38" s="452"/>
      <c r="AH38" s="450"/>
      <c r="AI38" s="452"/>
      <c r="AJ38" s="450"/>
      <c r="AK38" s="452"/>
      <c r="AL38" s="450"/>
      <c r="AM38" s="450"/>
      <c r="AN38" s="450"/>
      <c r="AO38" s="452"/>
      <c r="AP38" s="450"/>
      <c r="AQ38" s="452"/>
      <c r="AR38" s="450"/>
      <c r="AS38" s="452"/>
      <c r="AT38" s="450"/>
      <c r="AU38" s="452"/>
      <c r="AV38" s="450"/>
      <c r="AW38" s="452"/>
    </row>
    <row r="39" spans="1:49" s="448" customFormat="1" ht="11.1" customHeight="1" x14ac:dyDescent="0.2">
      <c r="B39" s="417" t="s">
        <v>797</v>
      </c>
      <c r="C39" s="418"/>
      <c r="D39" s="418"/>
      <c r="E39" s="455">
        <f>SUM(E33:E37)</f>
        <v>98857</v>
      </c>
      <c r="F39" s="450"/>
      <c r="G39" s="455">
        <f>SUM(G33:G37)</f>
        <v>100939</v>
      </c>
      <c r="H39" s="450"/>
      <c r="I39" s="455">
        <f>SUM(I33:I37)</f>
        <v>106918</v>
      </c>
      <c r="J39" s="450"/>
      <c r="K39" s="455">
        <f>SUM(K33:K37)</f>
        <v>109984</v>
      </c>
      <c r="L39" s="450"/>
      <c r="M39" s="455">
        <f>SUM(M33:M37)</f>
        <v>148635</v>
      </c>
      <c r="N39" s="450"/>
      <c r="O39" s="455">
        <f>SUM(O33:O37)</f>
        <v>141079</v>
      </c>
      <c r="P39" s="450"/>
      <c r="Q39" s="455">
        <f>SUM(Q33:Q37)</f>
        <v>172889</v>
      </c>
      <c r="R39" s="450"/>
      <c r="S39" s="455">
        <f>SUM(S33:S37)</f>
        <v>179113</v>
      </c>
      <c r="T39" s="450"/>
      <c r="U39" s="455">
        <f>SUM(U33:U37)</f>
        <v>197123</v>
      </c>
      <c r="V39" s="450"/>
      <c r="W39" s="455">
        <f>SUM(W33:W37)</f>
        <v>218949</v>
      </c>
      <c r="X39" s="450"/>
      <c r="Y39" s="455">
        <f>SUM(Y33:Y37)</f>
        <v>241706</v>
      </c>
      <c r="Z39" s="450"/>
      <c r="AA39" s="455">
        <f>SUM(AA33:AA37)</f>
        <v>229883</v>
      </c>
      <c r="AB39" s="450"/>
      <c r="AC39" s="455">
        <f>SUM(AC33:AC37)</f>
        <v>241584</v>
      </c>
      <c r="AD39" s="450"/>
      <c r="AE39" s="455">
        <f>SUM(AE33:AE37)</f>
        <v>243857</v>
      </c>
      <c r="AF39" s="450"/>
      <c r="AG39" s="455">
        <f>SUM(AG33:AG37)</f>
        <v>281381</v>
      </c>
      <c r="AH39" s="450"/>
      <c r="AI39" s="455">
        <f>SUM(AI33:AI37)</f>
        <v>283684</v>
      </c>
      <c r="AJ39" s="450"/>
      <c r="AK39" s="455">
        <f>SUM(AK33:AK37)</f>
        <v>293164</v>
      </c>
      <c r="AL39" s="450"/>
      <c r="AM39" s="455">
        <f>SUM(AM33:AM37)</f>
        <v>321376</v>
      </c>
      <c r="AN39" s="450"/>
      <c r="AO39" s="455">
        <f>SUM(AO33:AO37)</f>
        <v>320825</v>
      </c>
      <c r="AP39" s="450"/>
      <c r="AQ39" s="455">
        <f>SUM(AQ33:AQ37)</f>
        <v>310192</v>
      </c>
      <c r="AR39" s="450"/>
      <c r="AS39" s="455">
        <f>SUM(AS33:AS37)</f>
        <v>327559</v>
      </c>
      <c r="AT39" s="450"/>
      <c r="AU39" s="455">
        <f>SUM(AU33:AU37)</f>
        <v>364276</v>
      </c>
      <c r="AV39" s="450"/>
      <c r="AW39" s="455">
        <f>SUM(AW33:AW37)</f>
        <v>378709</v>
      </c>
    </row>
    <row r="40" spans="1:49" s="418" customFormat="1" ht="5.0999999999999996" customHeight="1" x14ac:dyDescent="0.2">
      <c r="E40" s="452"/>
      <c r="F40" s="450"/>
      <c r="G40" s="452"/>
      <c r="H40" s="450"/>
      <c r="I40" s="452"/>
      <c r="J40" s="450"/>
      <c r="K40" s="452"/>
      <c r="L40" s="450"/>
      <c r="M40" s="452"/>
      <c r="N40" s="450"/>
      <c r="O40" s="452"/>
      <c r="P40" s="450"/>
      <c r="Q40" s="452"/>
      <c r="R40" s="450"/>
      <c r="S40" s="452"/>
      <c r="T40" s="450"/>
      <c r="U40" s="452"/>
      <c r="V40" s="450"/>
      <c r="W40" s="452"/>
      <c r="X40" s="450"/>
      <c r="Y40" s="452"/>
      <c r="Z40" s="450"/>
      <c r="AA40" s="452"/>
      <c r="AB40" s="450"/>
      <c r="AC40" s="452"/>
      <c r="AD40" s="450"/>
      <c r="AE40" s="452"/>
      <c r="AF40" s="450"/>
      <c r="AG40" s="452"/>
      <c r="AH40" s="450"/>
      <c r="AI40" s="452"/>
      <c r="AJ40" s="450"/>
      <c r="AK40" s="452"/>
      <c r="AL40" s="450"/>
      <c r="AM40" s="452"/>
      <c r="AN40" s="450"/>
      <c r="AO40" s="452"/>
      <c r="AP40" s="450"/>
      <c r="AQ40" s="452"/>
      <c r="AR40" s="450"/>
      <c r="AS40" s="452"/>
      <c r="AT40" s="450"/>
      <c r="AU40" s="452"/>
      <c r="AV40" s="450"/>
      <c r="AW40" s="452"/>
    </row>
    <row r="41" spans="1:49" s="418" customFormat="1" ht="11.1" customHeight="1" thickBot="1" x14ac:dyDescent="0.25">
      <c r="A41" s="417" t="s">
        <v>798</v>
      </c>
      <c r="E41" s="453">
        <f>SUM(E30+E39)</f>
        <v>1167889</v>
      </c>
      <c r="F41" s="450"/>
      <c r="G41" s="453">
        <f>SUM(G30+G39)</f>
        <v>1131406</v>
      </c>
      <c r="H41" s="450"/>
      <c r="I41" s="453">
        <f>SUM(I30+I39)</f>
        <v>1148785</v>
      </c>
      <c r="J41" s="450"/>
      <c r="K41" s="453">
        <f>SUM(K30+K39)</f>
        <v>1285443</v>
      </c>
      <c r="L41" s="450"/>
      <c r="M41" s="453">
        <f>SUM(M30+M39)</f>
        <v>1425380</v>
      </c>
      <c r="N41" s="450"/>
      <c r="O41" s="453">
        <f>SUM(O30+O39)</f>
        <v>1479112</v>
      </c>
      <c r="P41" s="450"/>
      <c r="Q41" s="453">
        <f>SUM(Q30+Q39)</f>
        <v>1640349</v>
      </c>
      <c r="R41" s="450"/>
      <c r="S41" s="453">
        <f>SUM(S30+S39)</f>
        <v>1572117</v>
      </c>
      <c r="T41" s="450"/>
      <c r="U41" s="453">
        <f>SUM(U30+U39)</f>
        <v>1741510</v>
      </c>
      <c r="V41" s="450"/>
      <c r="W41" s="453">
        <f>SUM(W30+W39)</f>
        <v>1844849</v>
      </c>
      <c r="X41" s="450"/>
      <c r="Y41" s="453">
        <v>1921711</v>
      </c>
      <c r="Z41" s="450"/>
      <c r="AA41" s="453">
        <v>1951861</v>
      </c>
      <c r="AB41" s="450"/>
      <c r="AC41" s="453">
        <f>SUM(AC30+AC39)</f>
        <v>1932471</v>
      </c>
      <c r="AD41" s="450"/>
      <c r="AE41" s="453">
        <f>SUM(AE30+AE39)</f>
        <v>1938195</v>
      </c>
      <c r="AF41" s="450"/>
      <c r="AG41" s="453">
        <f>SUM(AG30+AG39)</f>
        <v>2177268</v>
      </c>
      <c r="AH41" s="450"/>
      <c r="AI41" s="453">
        <f>SUM(AI30+AI39)</f>
        <v>2138501</v>
      </c>
      <c r="AJ41" s="450"/>
      <c r="AK41" s="453">
        <f>SUM(AK30+AK39)</f>
        <v>2251245</v>
      </c>
      <c r="AL41" s="450"/>
      <c r="AM41" s="453">
        <f>SUM(AM30+AM39)</f>
        <v>2441584</v>
      </c>
      <c r="AN41" s="450"/>
      <c r="AO41" s="453">
        <f>SUM(AO30+AO39)</f>
        <v>2580564</v>
      </c>
      <c r="AP41" s="450"/>
      <c r="AQ41" s="453">
        <f>SUM(AQ30+AQ39)</f>
        <v>2598378</v>
      </c>
      <c r="AR41" s="461"/>
      <c r="AS41" s="453">
        <f>SUM(AS30+AS39)</f>
        <v>2579685</v>
      </c>
      <c r="AT41" s="450"/>
      <c r="AU41" s="453">
        <f>SUM(AU30+AU39)</f>
        <v>2985245</v>
      </c>
      <c r="AV41" s="450"/>
      <c r="AW41" s="453">
        <f>SUM(AW30+AW39)</f>
        <v>3186466</v>
      </c>
    </row>
    <row r="42" spans="1:49" s="418" customFormat="1" ht="5.0999999999999996" customHeight="1" thickTop="1" x14ac:dyDescent="0.2">
      <c r="E42" s="450"/>
      <c r="F42" s="450"/>
      <c r="G42" s="450"/>
      <c r="H42" s="450"/>
      <c r="I42" s="450"/>
      <c r="J42" s="450"/>
      <c r="K42" s="450"/>
      <c r="L42" s="450"/>
      <c r="M42" s="448"/>
      <c r="N42" s="450"/>
      <c r="O42" s="448"/>
      <c r="P42" s="450"/>
      <c r="Q42" s="448"/>
      <c r="R42" s="450"/>
      <c r="S42" s="448"/>
      <c r="T42" s="450"/>
      <c r="U42" s="448"/>
      <c r="V42" s="450"/>
      <c r="W42" s="448"/>
      <c r="X42" s="450"/>
      <c r="Y42" s="448"/>
      <c r="Z42" s="450"/>
      <c r="AA42" s="448"/>
      <c r="AB42" s="450"/>
      <c r="AC42" s="448"/>
      <c r="AD42" s="450"/>
      <c r="AE42" s="448"/>
      <c r="AF42" s="450"/>
      <c r="AG42" s="448"/>
      <c r="AH42" s="450"/>
      <c r="AI42" s="448"/>
      <c r="AJ42" s="450"/>
      <c r="AK42" s="448"/>
      <c r="AL42" s="450"/>
      <c r="AM42" s="448"/>
      <c r="AN42" s="450"/>
      <c r="AO42" s="448"/>
      <c r="AP42" s="450"/>
      <c r="AQ42" s="448"/>
      <c r="AR42" s="448"/>
      <c r="AS42" s="448"/>
      <c r="AT42" s="450"/>
      <c r="AU42" s="448"/>
      <c r="AV42" s="450"/>
      <c r="AW42" s="448"/>
    </row>
    <row r="43" spans="1:49" s="418" customFormat="1" ht="9.9499999999999993" customHeight="1" x14ac:dyDescent="0.2">
      <c r="A43" s="417" t="s">
        <v>799</v>
      </c>
      <c r="E43" s="450"/>
      <c r="F43" s="450"/>
      <c r="G43" s="450"/>
      <c r="H43" s="450"/>
      <c r="I43" s="450"/>
      <c r="J43" s="450"/>
      <c r="K43" s="450"/>
      <c r="L43" s="450"/>
      <c r="M43" s="450"/>
      <c r="N43" s="450"/>
      <c r="O43" s="450"/>
      <c r="P43" s="450"/>
      <c r="Q43" s="450"/>
      <c r="R43" s="450"/>
      <c r="S43" s="450"/>
      <c r="T43" s="450"/>
      <c r="U43" s="450"/>
      <c r="V43" s="450"/>
      <c r="W43" s="450"/>
      <c r="X43" s="450"/>
      <c r="Y43" s="450"/>
      <c r="Z43" s="450"/>
      <c r="AA43" s="450"/>
      <c r="AB43" s="450"/>
      <c r="AC43" s="450"/>
      <c r="AD43" s="450"/>
      <c r="AE43" s="450"/>
      <c r="AF43" s="450"/>
      <c r="AG43" s="450"/>
      <c r="AH43" s="450"/>
      <c r="AI43" s="450"/>
      <c r="AJ43" s="450"/>
      <c r="AK43" s="450"/>
      <c r="AL43" s="450"/>
      <c r="AM43" s="450"/>
      <c r="AN43" s="450"/>
      <c r="AO43" s="450"/>
      <c r="AP43" s="450"/>
      <c r="AQ43" s="450"/>
      <c r="AR43" s="450"/>
      <c r="AS43" s="450"/>
      <c r="AT43" s="450"/>
      <c r="AU43" s="450"/>
      <c r="AV43" s="450"/>
      <c r="AW43" s="450"/>
    </row>
    <row r="44" spans="1:49" s="418" customFormat="1" ht="9.9499999999999993" customHeight="1" x14ac:dyDescent="0.2">
      <c r="B44" s="417" t="s">
        <v>1051</v>
      </c>
      <c r="E44" s="450"/>
      <c r="F44" s="450"/>
      <c r="G44" s="450"/>
      <c r="H44" s="450"/>
      <c r="I44" s="450"/>
      <c r="J44" s="450"/>
      <c r="K44" s="450"/>
      <c r="L44" s="450"/>
      <c r="M44" s="450"/>
      <c r="N44" s="450"/>
      <c r="O44" s="450"/>
      <c r="P44" s="450"/>
      <c r="Q44" s="450"/>
      <c r="R44" s="450"/>
      <c r="S44" s="450"/>
      <c r="T44" s="450"/>
      <c r="U44" s="450"/>
      <c r="V44" s="450"/>
      <c r="W44" s="450"/>
      <c r="X44" s="450"/>
      <c r="Y44" s="450"/>
      <c r="Z44" s="450"/>
      <c r="AA44" s="450"/>
      <c r="AB44" s="450"/>
      <c r="AC44" s="450"/>
      <c r="AD44" s="450"/>
      <c r="AE44" s="450"/>
      <c r="AF44" s="450"/>
      <c r="AG44" s="450"/>
      <c r="AH44" s="450"/>
      <c r="AI44" s="450"/>
      <c r="AJ44" s="450"/>
      <c r="AK44" s="450"/>
      <c r="AL44" s="450"/>
      <c r="AM44" s="450"/>
      <c r="AN44" s="450"/>
      <c r="AO44" s="450"/>
      <c r="AP44" s="450"/>
      <c r="AQ44" s="450"/>
      <c r="AR44" s="450"/>
      <c r="AS44" s="450"/>
      <c r="AT44" s="450"/>
      <c r="AU44" s="450"/>
      <c r="AV44" s="450"/>
      <c r="AW44" s="450"/>
    </row>
    <row r="45" spans="1:49" s="418" customFormat="1" ht="9.9499999999999993" customHeight="1" x14ac:dyDescent="0.2">
      <c r="C45" s="418" t="s">
        <v>800</v>
      </c>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row>
    <row r="46" spans="1:49" s="418" customFormat="1" ht="9.9499999999999993" customHeight="1" x14ac:dyDescent="0.2">
      <c r="D46" s="418" t="s">
        <v>953</v>
      </c>
      <c r="E46" s="461">
        <v>47835</v>
      </c>
      <c r="F46" s="450"/>
      <c r="G46" s="461">
        <v>48963</v>
      </c>
      <c r="H46" s="450"/>
      <c r="I46" s="461">
        <v>57203</v>
      </c>
      <c r="J46" s="450"/>
      <c r="K46" s="461">
        <v>57660</v>
      </c>
      <c r="L46" s="450"/>
      <c r="M46" s="461">
        <v>62286</v>
      </c>
      <c r="N46" s="450"/>
      <c r="O46" s="461">
        <v>45307</v>
      </c>
      <c r="P46" s="450"/>
      <c r="Q46" s="461">
        <v>45757</v>
      </c>
      <c r="R46" s="450"/>
      <c r="S46" s="461">
        <v>29323</v>
      </c>
      <c r="T46" s="450"/>
      <c r="U46" s="461">
        <v>21176</v>
      </c>
      <c r="V46" s="450"/>
      <c r="W46" s="461">
        <v>27853</v>
      </c>
      <c r="X46" s="450"/>
      <c r="Y46" s="461">
        <v>22245</v>
      </c>
      <c r="Z46" s="450"/>
      <c r="AA46" s="461">
        <v>27951</v>
      </c>
      <c r="AB46" s="450"/>
      <c r="AC46" s="461">
        <v>27710</v>
      </c>
      <c r="AD46" s="450"/>
      <c r="AE46" s="461">
        <v>33662</v>
      </c>
      <c r="AF46" s="450"/>
      <c r="AG46" s="461">
        <v>23084</v>
      </c>
      <c r="AH46" s="450"/>
      <c r="AI46" s="461">
        <v>24489</v>
      </c>
      <c r="AJ46" s="450"/>
      <c r="AK46" s="461">
        <v>29185</v>
      </c>
      <c r="AL46" s="450"/>
      <c r="AM46" s="461">
        <v>22787</v>
      </c>
      <c r="AN46" s="450"/>
      <c r="AO46" s="461">
        <v>13951</v>
      </c>
      <c r="AP46" s="450"/>
      <c r="AQ46" s="461">
        <v>13752</v>
      </c>
      <c r="AR46" s="461"/>
      <c r="AS46" s="461">
        <v>17156</v>
      </c>
      <c r="AT46" s="450"/>
      <c r="AU46" s="461">
        <v>19298</v>
      </c>
      <c r="AV46" s="450"/>
      <c r="AW46" s="461">
        <f>SOActivities!E12</f>
        <v>19773</v>
      </c>
    </row>
    <row r="47" spans="1:49" s="418" customFormat="1" ht="9.9499999999999993" customHeight="1" x14ac:dyDescent="0.2">
      <c r="D47" s="418" t="s">
        <v>954</v>
      </c>
      <c r="E47" s="450">
        <v>18897</v>
      </c>
      <c r="F47" s="450"/>
      <c r="G47" s="450">
        <v>17166</v>
      </c>
      <c r="H47" s="450"/>
      <c r="I47" s="450">
        <v>7172</v>
      </c>
      <c r="J47" s="450"/>
      <c r="K47" s="450">
        <v>7861</v>
      </c>
      <c r="L47" s="450"/>
      <c r="M47" s="450">
        <v>9046</v>
      </c>
      <c r="N47" s="450"/>
      <c r="O47" s="450">
        <v>9059</v>
      </c>
      <c r="P47" s="450"/>
      <c r="Q47" s="450">
        <v>9536</v>
      </c>
      <c r="R47" s="450"/>
      <c r="S47" s="450">
        <v>9026</v>
      </c>
      <c r="T47" s="450"/>
      <c r="U47" s="450">
        <f>10157+193</f>
        <v>10350</v>
      </c>
      <c r="V47" s="450"/>
      <c r="W47" s="450">
        <v>9882</v>
      </c>
      <c r="X47" s="450"/>
      <c r="Y47" s="450">
        <v>12190</v>
      </c>
      <c r="Z47" s="450"/>
      <c r="AA47" s="450">
        <v>12278</v>
      </c>
      <c r="AB47" s="450"/>
      <c r="AC47" s="450">
        <v>49363</v>
      </c>
      <c r="AD47" s="450"/>
      <c r="AE47" s="450">
        <v>60147</v>
      </c>
      <c r="AF47" s="450"/>
      <c r="AG47" s="450">
        <v>52110</v>
      </c>
      <c r="AH47" s="450"/>
      <c r="AI47" s="450">
        <v>54055</v>
      </c>
      <c r="AJ47" s="450"/>
      <c r="AK47" s="450">
        <v>49748</v>
      </c>
      <c r="AL47" s="450"/>
      <c r="AM47" s="450">
        <v>50399</v>
      </c>
      <c r="AN47" s="450"/>
      <c r="AO47" s="450">
        <v>52266</v>
      </c>
      <c r="AP47" s="450"/>
      <c r="AQ47" s="450">
        <v>36763</v>
      </c>
      <c r="AR47" s="450"/>
      <c r="AS47" s="450">
        <v>75304</v>
      </c>
      <c r="AT47" s="450"/>
      <c r="AU47" s="450">
        <v>48310</v>
      </c>
      <c r="AV47" s="450"/>
      <c r="AW47" s="450">
        <f>SOActivities!E13</f>
        <v>41629</v>
      </c>
    </row>
    <row r="48" spans="1:49" s="418" customFormat="1" ht="9.9499999999999993" customHeight="1" x14ac:dyDescent="0.2">
      <c r="D48" s="418" t="s">
        <v>955</v>
      </c>
      <c r="E48" s="450">
        <v>22062</v>
      </c>
      <c r="F48" s="450"/>
      <c r="G48" s="450">
        <v>26208</v>
      </c>
      <c r="H48" s="450"/>
      <c r="I48" s="450">
        <v>28271</v>
      </c>
      <c r="J48" s="450"/>
      <c r="K48" s="450">
        <v>34201</v>
      </c>
      <c r="L48" s="450"/>
      <c r="M48" s="450">
        <v>36969</v>
      </c>
      <c r="N48" s="450"/>
      <c r="O48" s="450">
        <v>39090</v>
      </c>
      <c r="P48" s="450"/>
      <c r="Q48" s="450">
        <v>46970</v>
      </c>
      <c r="R48" s="450"/>
      <c r="S48" s="450">
        <v>50266</v>
      </c>
      <c r="T48" s="450"/>
      <c r="U48" s="450">
        <v>53723</v>
      </c>
      <c r="V48" s="450"/>
      <c r="W48" s="450">
        <v>43267</v>
      </c>
      <c r="X48" s="450"/>
      <c r="Y48" s="450">
        <v>43164</v>
      </c>
      <c r="Z48" s="450"/>
      <c r="AA48" s="450">
        <v>44706</v>
      </c>
      <c r="AB48" s="450"/>
      <c r="AC48" s="450">
        <v>47342</v>
      </c>
      <c r="AD48" s="450"/>
      <c r="AE48" s="450">
        <v>49111</v>
      </c>
      <c r="AF48" s="450"/>
      <c r="AG48" s="450">
        <v>51862</v>
      </c>
      <c r="AH48" s="450"/>
      <c r="AI48" s="450">
        <v>58198</v>
      </c>
      <c r="AJ48" s="450"/>
      <c r="AK48" s="450">
        <v>61532</v>
      </c>
      <c r="AL48" s="450"/>
      <c r="AM48" s="450">
        <v>64578</v>
      </c>
      <c r="AN48" s="450"/>
      <c r="AO48" s="450">
        <v>65469</v>
      </c>
      <c r="AP48" s="450"/>
      <c r="AQ48" s="450">
        <v>66746</v>
      </c>
      <c r="AR48" s="450"/>
      <c r="AS48" s="450">
        <v>79460</v>
      </c>
      <c r="AT48" s="450"/>
      <c r="AU48" s="450">
        <v>69766</v>
      </c>
      <c r="AV48" s="450"/>
      <c r="AW48" s="450">
        <f>SOActivities!E14</f>
        <v>69763</v>
      </c>
    </row>
    <row r="49" spans="2:49" s="418" customFormat="1" ht="9.9499999999999993" customHeight="1" x14ac:dyDescent="0.2">
      <c r="D49" s="418" t="s">
        <v>958</v>
      </c>
      <c r="E49" s="450"/>
      <c r="F49" s="450"/>
      <c r="G49" s="450"/>
      <c r="H49" s="450"/>
      <c r="I49" s="450"/>
      <c r="J49" s="450"/>
      <c r="K49" s="450"/>
      <c r="L49" s="450"/>
      <c r="M49" s="450"/>
      <c r="N49" s="450"/>
      <c r="O49" s="450">
        <v>268</v>
      </c>
      <c r="P49" s="450"/>
      <c r="Q49" s="450">
        <v>5</v>
      </c>
      <c r="R49" s="450"/>
      <c r="S49" s="450">
        <v>0</v>
      </c>
      <c r="T49" s="450"/>
      <c r="U49" s="450">
        <v>397</v>
      </c>
      <c r="V49" s="450"/>
      <c r="W49" s="450">
        <v>407</v>
      </c>
      <c r="X49" s="450"/>
      <c r="Y49" s="450">
        <v>509</v>
      </c>
      <c r="Z49" s="450"/>
      <c r="AA49" s="450">
        <v>365</v>
      </c>
      <c r="AB49" s="450"/>
      <c r="AC49" s="450">
        <v>7491</v>
      </c>
      <c r="AD49" s="450"/>
      <c r="AE49" s="450">
        <v>7366</v>
      </c>
      <c r="AF49" s="450"/>
      <c r="AG49" s="450">
        <v>6846</v>
      </c>
      <c r="AH49" s="450"/>
      <c r="AI49" s="450">
        <v>6961</v>
      </c>
      <c r="AJ49" s="450"/>
      <c r="AK49" s="450">
        <v>7078</v>
      </c>
      <c r="AL49" s="450"/>
      <c r="AM49" s="450">
        <v>7176</v>
      </c>
      <c r="AN49" s="450"/>
      <c r="AO49" s="450">
        <v>10934</v>
      </c>
      <c r="AP49" s="450"/>
      <c r="AQ49" s="450">
        <v>10917</v>
      </c>
      <c r="AR49" s="450"/>
      <c r="AS49" s="450">
        <v>0</v>
      </c>
      <c r="AT49" s="450"/>
      <c r="AU49" s="450">
        <v>11362</v>
      </c>
      <c r="AV49" s="450"/>
      <c r="AW49" s="450">
        <f>SOActivities!E15</f>
        <v>11356</v>
      </c>
    </row>
    <row r="50" spans="2:49" s="418" customFormat="1" ht="9.9499999999999993" customHeight="1" x14ac:dyDescent="0.2">
      <c r="D50" s="418" t="s">
        <v>956</v>
      </c>
      <c r="E50" s="450">
        <v>14438</v>
      </c>
      <c r="F50" s="450"/>
      <c r="G50" s="450">
        <v>17917</v>
      </c>
      <c r="H50" s="450"/>
      <c r="I50" s="450">
        <v>17924</v>
      </c>
      <c r="J50" s="450"/>
      <c r="K50" s="450">
        <v>10252</v>
      </c>
      <c r="L50" s="450"/>
      <c r="M50" s="450">
        <v>15852</v>
      </c>
      <c r="N50" s="450"/>
      <c r="O50" s="450">
        <v>24401</v>
      </c>
      <c r="P50" s="450"/>
      <c r="Q50" s="450">
        <v>22792</v>
      </c>
      <c r="R50" s="450"/>
      <c r="S50" s="450">
        <v>26518</v>
      </c>
      <c r="T50" s="450"/>
      <c r="U50" s="450">
        <v>31595</v>
      </c>
      <c r="V50" s="450"/>
      <c r="W50" s="450">
        <v>33815</v>
      </c>
      <c r="X50" s="450"/>
      <c r="Y50" s="450">
        <v>30940</v>
      </c>
      <c r="Z50" s="450"/>
      <c r="AA50" s="450">
        <v>30356</v>
      </c>
      <c r="AB50" s="450"/>
      <c r="AC50" s="450">
        <v>18844</v>
      </c>
      <c r="AD50" s="450"/>
      <c r="AE50" s="450">
        <v>16660</v>
      </c>
      <c r="AF50" s="450"/>
      <c r="AG50" s="450">
        <v>19336</v>
      </c>
      <c r="AH50" s="450"/>
      <c r="AI50" s="450">
        <v>21106</v>
      </c>
      <c r="AJ50" s="450"/>
      <c r="AK50" s="450">
        <v>19756</v>
      </c>
      <c r="AL50" s="450"/>
      <c r="AM50" s="450">
        <v>16121</v>
      </c>
      <c r="AN50" s="450"/>
      <c r="AO50" s="450">
        <v>13822</v>
      </c>
      <c r="AP50" s="450"/>
      <c r="AQ50" s="450">
        <v>16024</v>
      </c>
      <c r="AR50" s="450"/>
      <c r="AS50" s="450">
        <v>10255</v>
      </c>
      <c r="AT50" s="450"/>
      <c r="AU50" s="450">
        <v>13733</v>
      </c>
      <c r="AV50" s="450"/>
      <c r="AW50" s="450">
        <f>SOActivities!E16</f>
        <v>11350</v>
      </c>
    </row>
    <row r="51" spans="2:49" s="418" customFormat="1" ht="9.9499999999999993" customHeight="1" x14ac:dyDescent="0.2">
      <c r="D51" s="418" t="s">
        <v>961</v>
      </c>
      <c r="E51" s="450">
        <v>10817</v>
      </c>
      <c r="F51" s="450"/>
      <c r="G51" s="450">
        <v>10134</v>
      </c>
      <c r="H51" s="450"/>
      <c r="I51" s="450">
        <v>9411</v>
      </c>
      <c r="J51" s="450"/>
      <c r="K51" s="450">
        <v>19583</v>
      </c>
      <c r="L51" s="450"/>
      <c r="M51" s="450">
        <v>18947</v>
      </c>
      <c r="N51" s="450"/>
      <c r="O51" s="450">
        <v>26277</v>
      </c>
      <c r="P51" s="450"/>
      <c r="Q51" s="450">
        <v>40549</v>
      </c>
      <c r="R51" s="450"/>
      <c r="S51" s="450">
        <v>34483</v>
      </c>
      <c r="T51" s="450"/>
      <c r="U51" s="450">
        <v>33791</v>
      </c>
      <c r="V51" s="450"/>
      <c r="W51" s="450">
        <v>33037</v>
      </c>
      <c r="X51" s="450"/>
      <c r="Y51" s="450">
        <v>34483</v>
      </c>
      <c r="Z51" s="450"/>
      <c r="AA51" s="450">
        <v>46707</v>
      </c>
      <c r="AB51" s="450"/>
      <c r="AC51" s="450">
        <v>53698</v>
      </c>
      <c r="AD51" s="450"/>
      <c r="AE51" s="450">
        <v>50047</v>
      </c>
      <c r="AF51" s="450"/>
      <c r="AG51" s="450">
        <v>56416</v>
      </c>
      <c r="AH51" s="450"/>
      <c r="AI51" s="450">
        <v>63892</v>
      </c>
      <c r="AJ51" s="450"/>
      <c r="AK51" s="450">
        <v>70083</v>
      </c>
      <c r="AL51" s="450"/>
      <c r="AM51" s="450">
        <v>71081</v>
      </c>
      <c r="AN51" s="450"/>
      <c r="AO51" s="450">
        <v>46670</v>
      </c>
      <c r="AP51" s="450"/>
      <c r="AQ51" s="450">
        <v>49474</v>
      </c>
      <c r="AR51" s="450"/>
      <c r="AS51" s="450">
        <v>80882</v>
      </c>
      <c r="AT51" s="450"/>
      <c r="AU51" s="450">
        <v>95007</v>
      </c>
      <c r="AV51" s="450"/>
      <c r="AW51" s="450">
        <f>SOActivities!E17</f>
        <v>90744</v>
      </c>
    </row>
    <row r="52" spans="2:49" s="418" customFormat="1" ht="9.9499999999999993" hidden="1" customHeight="1" x14ac:dyDescent="0.2">
      <c r="D52" s="418" t="s">
        <v>960</v>
      </c>
      <c r="E52" s="450">
        <v>18148</v>
      </c>
      <c r="F52" s="450"/>
      <c r="G52" s="450">
        <v>14067</v>
      </c>
      <c r="H52" s="450"/>
      <c r="I52" s="450">
        <v>13268</v>
      </c>
      <c r="J52" s="450"/>
      <c r="K52" s="450">
        <v>14740</v>
      </c>
      <c r="L52" s="450"/>
      <c r="M52" s="450">
        <v>19640</v>
      </c>
      <c r="N52" s="450"/>
      <c r="O52" s="450">
        <v>19067</v>
      </c>
      <c r="P52" s="450"/>
      <c r="Q52" s="450">
        <v>1278</v>
      </c>
      <c r="R52" s="450"/>
      <c r="S52" s="450">
        <v>1308</v>
      </c>
      <c r="T52" s="450"/>
      <c r="U52" s="450">
        <v>1262</v>
      </c>
      <c r="V52" s="450"/>
      <c r="W52" s="450">
        <v>0</v>
      </c>
      <c r="X52" s="450"/>
      <c r="Y52" s="450">
        <v>0</v>
      </c>
      <c r="Z52" s="450"/>
      <c r="AA52" s="450">
        <v>0</v>
      </c>
      <c r="AB52" s="450"/>
      <c r="AC52" s="450">
        <v>0</v>
      </c>
      <c r="AD52" s="450"/>
      <c r="AE52" s="450">
        <v>0</v>
      </c>
      <c r="AF52" s="450"/>
      <c r="AG52" s="450">
        <v>0</v>
      </c>
      <c r="AH52" s="450"/>
      <c r="AI52" s="450">
        <v>0</v>
      </c>
      <c r="AJ52" s="450"/>
      <c r="AK52" s="450">
        <v>0</v>
      </c>
      <c r="AL52" s="450"/>
      <c r="AM52" s="450">
        <v>0</v>
      </c>
      <c r="AN52" s="450"/>
      <c r="AO52" s="450">
        <v>0</v>
      </c>
      <c r="AP52" s="450"/>
      <c r="AQ52" s="450">
        <v>0</v>
      </c>
      <c r="AR52" s="450"/>
      <c r="AS52" s="450">
        <v>0</v>
      </c>
      <c r="AT52" s="450"/>
      <c r="AU52" s="450">
        <v>0</v>
      </c>
      <c r="AV52" s="450"/>
      <c r="AW52" s="450">
        <f>SOActivities!E18</f>
        <v>0</v>
      </c>
    </row>
    <row r="53" spans="2:49" s="418" customFormat="1" ht="9.9499999999999993" hidden="1" customHeight="1" x14ac:dyDescent="0.2">
      <c r="D53" s="418" t="s">
        <v>962</v>
      </c>
      <c r="E53" s="450">
        <v>0</v>
      </c>
      <c r="F53" s="450"/>
      <c r="G53" s="450">
        <v>0</v>
      </c>
      <c r="H53" s="450"/>
      <c r="I53" s="450">
        <v>0</v>
      </c>
      <c r="J53" s="450"/>
      <c r="K53" s="450">
        <v>0</v>
      </c>
      <c r="L53" s="450"/>
      <c r="M53" s="450">
        <v>0</v>
      </c>
      <c r="N53" s="450"/>
      <c r="O53" s="450">
        <v>0</v>
      </c>
      <c r="P53" s="450"/>
      <c r="Q53" s="450">
        <v>0</v>
      </c>
      <c r="R53" s="450"/>
      <c r="S53" s="450">
        <v>0</v>
      </c>
      <c r="T53" s="450"/>
      <c r="U53" s="450"/>
      <c r="V53" s="450"/>
      <c r="W53" s="450"/>
      <c r="X53" s="450"/>
      <c r="Y53" s="450"/>
      <c r="Z53" s="450"/>
      <c r="AA53" s="450"/>
      <c r="AB53" s="450"/>
      <c r="AC53" s="450"/>
      <c r="AD53" s="450"/>
      <c r="AE53" s="450"/>
      <c r="AF53" s="450"/>
      <c r="AG53" s="450"/>
      <c r="AH53" s="450"/>
      <c r="AI53" s="450"/>
      <c r="AJ53" s="450"/>
      <c r="AK53" s="450"/>
      <c r="AL53" s="450"/>
      <c r="AM53" s="450"/>
      <c r="AN53" s="450"/>
      <c r="AO53" s="450"/>
      <c r="AP53" s="450"/>
      <c r="AQ53" s="450"/>
      <c r="AR53" s="450"/>
      <c r="AS53" s="450"/>
      <c r="AT53" s="450"/>
      <c r="AU53" s="450"/>
      <c r="AV53" s="450"/>
      <c r="AW53" s="450"/>
    </row>
    <row r="54" spans="2:49" s="418" customFormat="1" ht="9.9499999999999993" customHeight="1" x14ac:dyDescent="0.2">
      <c r="D54" s="418" t="s">
        <v>963</v>
      </c>
      <c r="E54" s="450">
        <v>0</v>
      </c>
      <c r="F54" s="450"/>
      <c r="G54" s="450">
        <v>116</v>
      </c>
      <c r="H54" s="450"/>
      <c r="I54" s="450">
        <v>217</v>
      </c>
      <c r="J54" s="450"/>
      <c r="K54" s="450">
        <v>0</v>
      </c>
      <c r="L54" s="450"/>
      <c r="M54" s="450">
        <v>126</v>
      </c>
      <c r="N54" s="450"/>
      <c r="O54" s="450">
        <v>1</v>
      </c>
      <c r="P54" s="450"/>
      <c r="Q54" s="450">
        <v>2</v>
      </c>
      <c r="R54" s="450"/>
      <c r="S54" s="450">
        <v>22949</v>
      </c>
      <c r="T54" s="450"/>
      <c r="U54" s="450">
        <v>388</v>
      </c>
      <c r="V54" s="450"/>
      <c r="W54" s="450">
        <v>400</v>
      </c>
      <c r="X54" s="450"/>
      <c r="Y54" s="450">
        <v>634</v>
      </c>
      <c r="Z54" s="450"/>
      <c r="AA54" s="450">
        <v>584</v>
      </c>
      <c r="AB54" s="450"/>
      <c r="AC54" s="450">
        <v>0</v>
      </c>
      <c r="AD54" s="450"/>
      <c r="AE54" s="450">
        <v>148</v>
      </c>
      <c r="AF54" s="450"/>
      <c r="AG54" s="450">
        <v>487</v>
      </c>
      <c r="AH54" s="450"/>
      <c r="AI54" s="450">
        <v>976</v>
      </c>
      <c r="AJ54" s="450"/>
      <c r="AK54" s="450">
        <v>688</v>
      </c>
      <c r="AL54" s="450"/>
      <c r="AM54" s="450">
        <v>1096</v>
      </c>
      <c r="AN54" s="450"/>
      <c r="AO54" s="450">
        <v>929</v>
      </c>
      <c r="AP54" s="450"/>
      <c r="AQ54" s="450">
        <v>733</v>
      </c>
      <c r="AR54" s="450"/>
      <c r="AS54" s="450">
        <v>1072</v>
      </c>
      <c r="AT54" s="450"/>
      <c r="AU54" s="450">
        <v>856</v>
      </c>
      <c r="AV54" s="450"/>
      <c r="AW54" s="450">
        <f>SOActivities!E19</f>
        <v>1160</v>
      </c>
    </row>
    <row r="55" spans="2:49" s="418" customFormat="1" ht="9.9499999999999993" customHeight="1" x14ac:dyDescent="0.2">
      <c r="D55" s="418" t="s">
        <v>959</v>
      </c>
      <c r="E55" s="450">
        <v>230</v>
      </c>
      <c r="F55" s="450"/>
      <c r="G55" s="450">
        <v>207</v>
      </c>
      <c r="H55" s="450"/>
      <c r="I55" s="450">
        <v>0</v>
      </c>
      <c r="J55" s="450"/>
      <c r="K55" s="450">
        <v>327</v>
      </c>
      <c r="L55" s="450"/>
      <c r="M55" s="450">
        <v>341</v>
      </c>
      <c r="N55" s="450"/>
      <c r="O55" s="450">
        <v>19</v>
      </c>
      <c r="P55" s="450"/>
      <c r="Q55" s="450">
        <v>192</v>
      </c>
      <c r="R55" s="450"/>
      <c r="S55" s="450">
        <v>122</v>
      </c>
      <c r="T55" s="450"/>
      <c r="U55" s="450">
        <v>72</v>
      </c>
      <c r="V55" s="450"/>
      <c r="W55" s="450">
        <v>52</v>
      </c>
      <c r="X55" s="450"/>
      <c r="Y55" s="450">
        <v>15</v>
      </c>
      <c r="Z55" s="450"/>
      <c r="AA55" s="450">
        <v>2</v>
      </c>
      <c r="AB55" s="450"/>
      <c r="AC55" s="450">
        <v>0</v>
      </c>
      <c r="AD55" s="450"/>
      <c r="AE55" s="450">
        <v>0</v>
      </c>
      <c r="AF55" s="450"/>
      <c r="AG55" s="450">
        <v>151</v>
      </c>
      <c r="AH55" s="450"/>
      <c r="AI55" s="450">
        <v>785</v>
      </c>
      <c r="AJ55" s="450"/>
      <c r="AK55" s="450">
        <v>0</v>
      </c>
      <c r="AL55" s="450"/>
      <c r="AM55" s="450">
        <v>0</v>
      </c>
      <c r="AN55" s="450"/>
      <c r="AO55" s="450">
        <v>0</v>
      </c>
      <c r="AP55" s="450"/>
      <c r="AQ55" s="450">
        <v>0</v>
      </c>
      <c r="AR55" s="450"/>
      <c r="AS55" s="450">
        <v>0</v>
      </c>
      <c r="AT55" s="450"/>
      <c r="AU55" s="450">
        <v>0</v>
      </c>
      <c r="AV55" s="450"/>
      <c r="AW55" s="450">
        <f>SOActivities!E20</f>
        <v>0</v>
      </c>
    </row>
    <row r="56" spans="2:49" s="418" customFormat="1" ht="9.9499999999999993" customHeight="1" x14ac:dyDescent="0.2">
      <c r="D56" s="418" t="s">
        <v>1191</v>
      </c>
      <c r="E56" s="450"/>
      <c r="F56" s="450"/>
      <c r="G56" s="450"/>
      <c r="H56" s="450"/>
      <c r="I56" s="450"/>
      <c r="J56" s="450"/>
      <c r="K56" s="450"/>
      <c r="L56" s="450"/>
      <c r="M56" s="450"/>
      <c r="N56" s="450"/>
      <c r="O56" s="450"/>
      <c r="P56" s="450"/>
      <c r="Q56" s="450"/>
      <c r="R56" s="450"/>
      <c r="S56" s="450"/>
      <c r="T56" s="450"/>
      <c r="U56" s="450"/>
      <c r="V56" s="450"/>
      <c r="W56" s="450"/>
      <c r="X56" s="450"/>
      <c r="Y56" s="450"/>
      <c r="Z56" s="450"/>
      <c r="AA56" s="450"/>
      <c r="AB56" s="450"/>
      <c r="AC56" s="450">
        <v>267</v>
      </c>
      <c r="AD56" s="450"/>
      <c r="AE56" s="450">
        <v>412</v>
      </c>
      <c r="AF56" s="450"/>
      <c r="AG56" s="450">
        <v>726</v>
      </c>
      <c r="AH56" s="450"/>
      <c r="AI56" s="450">
        <v>778</v>
      </c>
      <c r="AJ56" s="450"/>
      <c r="AK56" s="450">
        <v>697</v>
      </c>
      <c r="AL56" s="450"/>
      <c r="AM56" s="450">
        <v>747</v>
      </c>
      <c r="AN56" s="450"/>
      <c r="AO56" s="450">
        <v>677</v>
      </c>
      <c r="AP56" s="450"/>
      <c r="AQ56" s="450">
        <v>280</v>
      </c>
      <c r="AR56" s="450"/>
      <c r="AS56" s="450">
        <v>399</v>
      </c>
      <c r="AT56" s="450"/>
      <c r="AU56" s="450">
        <v>4018</v>
      </c>
      <c r="AV56" s="450"/>
      <c r="AW56" s="450">
        <f>SOActivities!E21</f>
        <v>2156</v>
      </c>
    </row>
    <row r="57" spans="2:49" s="418" customFormat="1" ht="9.9499999999999993" customHeight="1" x14ac:dyDescent="0.2">
      <c r="D57" s="418" t="s">
        <v>964</v>
      </c>
      <c r="E57" s="450">
        <v>1394</v>
      </c>
      <c r="F57" s="450"/>
      <c r="G57" s="450">
        <v>1340</v>
      </c>
      <c r="H57" s="450"/>
      <c r="I57" s="450">
        <v>243</v>
      </c>
      <c r="J57" s="450"/>
      <c r="K57" s="450">
        <v>2485</v>
      </c>
      <c r="L57" s="450"/>
      <c r="M57" s="450">
        <v>2562</v>
      </c>
      <c r="N57" s="450"/>
      <c r="O57" s="450">
        <v>1971</v>
      </c>
      <c r="P57" s="450"/>
      <c r="Q57" s="450">
        <v>2026</v>
      </c>
      <c r="R57" s="450"/>
      <c r="S57" s="450">
        <v>2141</v>
      </c>
      <c r="T57" s="450"/>
      <c r="U57" s="450">
        <v>2582</v>
      </c>
      <c r="V57" s="450"/>
      <c r="W57" s="450">
        <v>2631</v>
      </c>
      <c r="X57" s="450"/>
      <c r="Y57" s="450">
        <v>5025</v>
      </c>
      <c r="Z57" s="450"/>
      <c r="AA57" s="450">
        <v>90</v>
      </c>
      <c r="AB57" s="450"/>
      <c r="AC57" s="450">
        <v>135</v>
      </c>
      <c r="AD57" s="450"/>
      <c r="AE57" s="450">
        <v>220</v>
      </c>
      <c r="AF57" s="450"/>
      <c r="AG57" s="450">
        <v>383</v>
      </c>
      <c r="AH57" s="450"/>
      <c r="AI57" s="450">
        <v>588</v>
      </c>
      <c r="AJ57" s="450"/>
      <c r="AK57" s="450">
        <v>0</v>
      </c>
      <c r="AL57" s="450"/>
      <c r="AM57" s="450">
        <v>0</v>
      </c>
      <c r="AN57" s="450"/>
      <c r="AO57" s="450">
        <v>0</v>
      </c>
      <c r="AP57" s="450"/>
      <c r="AQ57" s="450">
        <v>220</v>
      </c>
      <c r="AR57" s="450"/>
      <c r="AS57" s="450">
        <f>1144+234</f>
        <v>1378</v>
      </c>
      <c r="AT57" s="450"/>
      <c r="AU57" s="450">
        <v>1717</v>
      </c>
      <c r="AV57" s="450"/>
      <c r="AW57" s="450">
        <f>SOActivities!E22</f>
        <v>2677</v>
      </c>
    </row>
    <row r="58" spans="2:49" s="418" customFormat="1" ht="9.9499999999999993" customHeight="1" x14ac:dyDescent="0.2">
      <c r="D58" s="398" t="s">
        <v>1417</v>
      </c>
      <c r="E58" s="450"/>
      <c r="F58" s="450"/>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450"/>
      <c r="AE58" s="450"/>
      <c r="AF58" s="450"/>
      <c r="AG58" s="450"/>
      <c r="AH58" s="450"/>
      <c r="AI58" s="450"/>
      <c r="AJ58" s="450"/>
      <c r="AK58" s="450">
        <v>105</v>
      </c>
      <c r="AL58" s="450"/>
      <c r="AM58" s="450">
        <v>577</v>
      </c>
      <c r="AN58" s="450"/>
      <c r="AO58" s="450">
        <v>205</v>
      </c>
      <c r="AP58" s="450"/>
      <c r="AQ58" s="450">
        <v>197</v>
      </c>
      <c r="AR58" s="450"/>
      <c r="AS58" s="450">
        <v>10294</v>
      </c>
      <c r="AT58" s="450"/>
      <c r="AU58" s="450">
        <v>253</v>
      </c>
      <c r="AV58" s="450"/>
      <c r="AW58" s="450">
        <f>SOActivities!E23</f>
        <v>704</v>
      </c>
    </row>
    <row r="59" spans="2:49" s="418" customFormat="1" ht="9.9499999999999993" customHeight="1" x14ac:dyDescent="0.2">
      <c r="C59" s="418" t="s">
        <v>801</v>
      </c>
      <c r="E59" s="450">
        <v>183849</v>
      </c>
      <c r="F59" s="450"/>
      <c r="G59" s="450">
        <v>190746</v>
      </c>
      <c r="H59" s="450"/>
      <c r="I59" s="450">
        <v>168120</v>
      </c>
      <c r="J59" s="450"/>
      <c r="K59" s="450">
        <v>198185</v>
      </c>
      <c r="L59" s="450"/>
      <c r="M59" s="450">
        <v>179917</v>
      </c>
      <c r="N59" s="450"/>
      <c r="O59" s="450">
        <v>186381</v>
      </c>
      <c r="P59" s="450"/>
      <c r="Q59" s="450">
        <v>198736</v>
      </c>
      <c r="R59" s="450"/>
      <c r="S59" s="450">
        <v>206356</v>
      </c>
      <c r="T59" s="450"/>
      <c r="U59" s="450">
        <v>256214</v>
      </c>
      <c r="V59" s="450"/>
      <c r="W59" s="450">
        <v>267524</v>
      </c>
      <c r="X59" s="450"/>
      <c r="Y59" s="450">
        <v>211290</v>
      </c>
      <c r="Z59" s="450"/>
      <c r="AA59" s="450">
        <v>202932</v>
      </c>
      <c r="AB59" s="450"/>
      <c r="AC59" s="450">
        <v>168170</v>
      </c>
      <c r="AD59" s="450"/>
      <c r="AE59" s="450">
        <v>175921</v>
      </c>
      <c r="AF59" s="450"/>
      <c r="AG59" s="450">
        <v>188371</v>
      </c>
      <c r="AH59" s="450"/>
      <c r="AI59" s="450">
        <v>225040</v>
      </c>
      <c r="AJ59" s="450"/>
      <c r="AK59" s="450">
        <v>186005</v>
      </c>
      <c r="AL59" s="450"/>
      <c r="AM59" s="450">
        <v>184117</v>
      </c>
      <c r="AN59" s="450"/>
      <c r="AO59" s="450">
        <v>362730</v>
      </c>
      <c r="AP59" s="450"/>
      <c r="AQ59" s="450">
        <v>425728</v>
      </c>
      <c r="AR59" s="450"/>
      <c r="AS59" s="450">
        <v>467342</v>
      </c>
      <c r="AT59" s="450"/>
      <c r="AU59" s="450">
        <v>353574</v>
      </c>
      <c r="AV59" s="450"/>
      <c r="AW59" s="450">
        <f>+SOActivities!G27</f>
        <v>472237</v>
      </c>
    </row>
    <row r="60" spans="2:49" s="418" customFormat="1" ht="9.9499999999999993" customHeight="1" x14ac:dyDescent="0.2">
      <c r="C60" s="418" t="s">
        <v>802</v>
      </c>
      <c r="E60" s="450">
        <v>16400</v>
      </c>
      <c r="F60" s="450"/>
      <c r="G60" s="450">
        <v>51189</v>
      </c>
      <c r="H60" s="450"/>
      <c r="I60" s="450">
        <v>16614</v>
      </c>
      <c r="J60" s="450"/>
      <c r="K60" s="450">
        <v>8256</v>
      </c>
      <c r="L60" s="450"/>
      <c r="M60" s="450">
        <v>29050</v>
      </c>
      <c r="N60" s="450"/>
      <c r="O60" s="450">
        <v>57891</v>
      </c>
      <c r="P60" s="450"/>
      <c r="Q60" s="450">
        <v>49577</v>
      </c>
      <c r="R60" s="450"/>
      <c r="S60" s="450">
        <v>81114</v>
      </c>
      <c r="T60" s="450"/>
      <c r="U60" s="450">
        <v>98362</v>
      </c>
      <c r="V60" s="450"/>
      <c r="W60" s="450">
        <v>137892</v>
      </c>
      <c r="X60" s="450"/>
      <c r="Y60" s="450">
        <v>149713</v>
      </c>
      <c r="Z60" s="450"/>
      <c r="AA60" s="450">
        <v>145199</v>
      </c>
      <c r="AB60" s="450"/>
      <c r="AC60" s="450">
        <v>84744</v>
      </c>
      <c r="AD60" s="450"/>
      <c r="AE60" s="450">
        <v>32642</v>
      </c>
      <c r="AF60" s="450"/>
      <c r="AG60" s="450">
        <v>68366</v>
      </c>
      <c r="AH60" s="450"/>
      <c r="AI60" s="450">
        <v>39254</v>
      </c>
      <c r="AJ60" s="450"/>
      <c r="AK60" s="450">
        <v>49653</v>
      </c>
      <c r="AL60" s="450"/>
      <c r="AM60" s="455">
        <v>61254</v>
      </c>
      <c r="AN60" s="450"/>
      <c r="AO60" s="450">
        <v>52855</v>
      </c>
      <c r="AP60" s="450"/>
      <c r="AQ60" s="450">
        <v>77902</v>
      </c>
      <c r="AR60" s="450"/>
      <c r="AS60" s="450">
        <v>97368</v>
      </c>
      <c r="AT60" s="450"/>
      <c r="AU60" s="450">
        <v>59843</v>
      </c>
      <c r="AV60" s="450"/>
      <c r="AW60" s="450">
        <f>+SOActivities!I27</f>
        <v>54585</v>
      </c>
    </row>
    <row r="61" spans="2:49" s="418" customFormat="1" ht="9.9499999999999993" customHeight="1" x14ac:dyDescent="0.2">
      <c r="B61" s="417" t="s">
        <v>803</v>
      </c>
      <c r="E61" s="452"/>
      <c r="F61" s="450"/>
      <c r="G61" s="452"/>
      <c r="H61" s="450"/>
      <c r="I61" s="452"/>
      <c r="J61" s="450"/>
      <c r="K61" s="452"/>
      <c r="L61" s="450"/>
      <c r="M61" s="452"/>
      <c r="N61" s="450"/>
      <c r="O61" s="452"/>
      <c r="P61" s="450"/>
      <c r="Q61" s="452"/>
      <c r="R61" s="450"/>
      <c r="S61" s="452"/>
      <c r="T61" s="450"/>
      <c r="U61" s="452"/>
      <c r="V61" s="450"/>
      <c r="W61" s="452"/>
      <c r="X61" s="450"/>
      <c r="Y61" s="452"/>
      <c r="Z61" s="450"/>
      <c r="AA61" s="452"/>
      <c r="AB61" s="450"/>
      <c r="AC61" s="452"/>
      <c r="AD61" s="450"/>
      <c r="AE61" s="452"/>
      <c r="AF61" s="450"/>
      <c r="AG61" s="452"/>
      <c r="AH61" s="450"/>
      <c r="AI61" s="452"/>
      <c r="AJ61" s="450"/>
      <c r="AK61" s="452"/>
      <c r="AL61" s="450"/>
      <c r="AM61" s="450"/>
      <c r="AN61" s="450"/>
      <c r="AO61" s="452"/>
      <c r="AP61" s="450"/>
      <c r="AQ61" s="452"/>
      <c r="AR61" s="450"/>
      <c r="AS61" s="452"/>
      <c r="AT61" s="450"/>
      <c r="AU61" s="452"/>
      <c r="AV61" s="450"/>
      <c r="AW61" s="452"/>
    </row>
    <row r="62" spans="2:49" s="418" customFormat="1" ht="11.1" customHeight="1" x14ac:dyDescent="0.2">
      <c r="C62" s="417" t="s">
        <v>768</v>
      </c>
      <c r="E62" s="455">
        <f>SUM(E46:E60)</f>
        <v>334070</v>
      </c>
      <c r="F62" s="450"/>
      <c r="G62" s="455">
        <f>SUM(G46:G60)</f>
        <v>378053</v>
      </c>
      <c r="H62" s="450"/>
      <c r="I62" s="455">
        <f>SUM(I46:I60)</f>
        <v>318443</v>
      </c>
      <c r="J62" s="450"/>
      <c r="K62" s="455">
        <f>SUM(K46:K60)</f>
        <v>353550</v>
      </c>
      <c r="L62" s="450"/>
      <c r="M62" s="455">
        <f>SUM(M46:M60)</f>
        <v>374736</v>
      </c>
      <c r="N62" s="450"/>
      <c r="O62" s="455">
        <f>SUM(O46:O60)</f>
        <v>409732</v>
      </c>
      <c r="P62" s="450"/>
      <c r="Q62" s="455">
        <f>SUM(Q46:Q60)</f>
        <v>417420</v>
      </c>
      <c r="R62" s="450"/>
      <c r="S62" s="455">
        <f>SUM(S46:S60)</f>
        <v>463606</v>
      </c>
      <c r="T62" s="450"/>
      <c r="U62" s="455">
        <f>SUM(U46:U60)</f>
        <v>509912</v>
      </c>
      <c r="V62" s="450"/>
      <c r="W62" s="455">
        <f>SUM(W46:W60)</f>
        <v>556760</v>
      </c>
      <c r="X62" s="450"/>
      <c r="Y62" s="455">
        <f>SUM(Y46:Y60)</f>
        <v>510208</v>
      </c>
      <c r="Z62" s="450"/>
      <c r="AA62" s="455">
        <f>SUM(AA46:AA60)</f>
        <v>511170</v>
      </c>
      <c r="AB62" s="450"/>
      <c r="AC62" s="455">
        <f>SUM(AC46:AC60)</f>
        <v>457764</v>
      </c>
      <c r="AD62" s="450"/>
      <c r="AE62" s="455">
        <f>SUM(AE46:AE60)</f>
        <v>426336</v>
      </c>
      <c r="AF62" s="450"/>
      <c r="AG62" s="455">
        <f>SUM(AG46:AG60)</f>
        <v>468138</v>
      </c>
      <c r="AH62" s="450"/>
      <c r="AI62" s="455">
        <f>SUM(AI46:AI60)</f>
        <v>496122</v>
      </c>
      <c r="AJ62" s="450"/>
      <c r="AK62" s="455">
        <f>SUM(AK46:AK60)</f>
        <v>474530</v>
      </c>
      <c r="AL62" s="450"/>
      <c r="AM62" s="455">
        <f>SUM(AM46:AM60)</f>
        <v>479933</v>
      </c>
      <c r="AN62" s="450"/>
      <c r="AO62" s="455">
        <f>SUM(AO46:AO60)</f>
        <v>620508</v>
      </c>
      <c r="AP62" s="450"/>
      <c r="AQ62" s="455">
        <f>SUM(AQ46:AQ60)</f>
        <v>698736</v>
      </c>
      <c r="AR62" s="450"/>
      <c r="AS62" s="455">
        <f>SUM(AS46:AS60)</f>
        <v>840910</v>
      </c>
      <c r="AT62" s="450"/>
      <c r="AU62" s="455">
        <f>SUM(AU46:AU60)</f>
        <v>677737</v>
      </c>
      <c r="AV62" s="450"/>
      <c r="AW62" s="455">
        <f>SUM(AW46:AW60)</f>
        <v>778134</v>
      </c>
    </row>
    <row r="63" spans="2:49" s="418" customFormat="1" ht="5.0999999999999996" customHeight="1" x14ac:dyDescent="0.2">
      <c r="E63" s="450"/>
      <c r="F63" s="450"/>
      <c r="G63" s="450"/>
      <c r="H63" s="450"/>
      <c r="I63" s="450"/>
      <c r="J63" s="450"/>
      <c r="K63" s="450"/>
      <c r="L63" s="450"/>
      <c r="M63" s="450"/>
      <c r="N63" s="450"/>
      <c r="O63" s="450"/>
      <c r="P63" s="450"/>
      <c r="Q63" s="450"/>
      <c r="R63" s="450"/>
      <c r="S63" s="450"/>
      <c r="T63" s="450"/>
      <c r="U63" s="450"/>
      <c r="V63" s="450"/>
      <c r="W63" s="450"/>
      <c r="X63" s="450"/>
      <c r="Y63" s="450"/>
      <c r="Z63" s="450"/>
      <c r="AA63" s="450"/>
      <c r="AB63" s="450"/>
      <c r="AC63" s="450"/>
      <c r="AD63" s="450"/>
      <c r="AE63" s="450"/>
      <c r="AF63" s="450"/>
      <c r="AG63" s="450"/>
      <c r="AH63" s="450"/>
      <c r="AI63" s="450"/>
      <c r="AJ63" s="450"/>
      <c r="AK63" s="450"/>
      <c r="AL63" s="450"/>
      <c r="AM63" s="450"/>
      <c r="AN63" s="450"/>
      <c r="AO63" s="450"/>
      <c r="AP63" s="450"/>
      <c r="AQ63" s="450"/>
      <c r="AR63" s="450"/>
      <c r="AS63" s="450"/>
      <c r="AT63" s="450"/>
      <c r="AU63" s="450"/>
      <c r="AV63" s="450"/>
      <c r="AW63" s="450"/>
    </row>
    <row r="64" spans="2:49" s="418" customFormat="1" ht="9.9499999999999993" customHeight="1" x14ac:dyDescent="0.2">
      <c r="B64" s="417" t="s">
        <v>1056</v>
      </c>
      <c r="E64" s="450"/>
      <c r="F64" s="450"/>
      <c r="G64" s="450"/>
      <c r="H64" s="450"/>
      <c r="I64" s="450"/>
      <c r="J64" s="450"/>
      <c r="K64" s="450"/>
      <c r="L64" s="450"/>
      <c r="M64" s="450"/>
      <c r="N64" s="450"/>
      <c r="O64" s="450"/>
      <c r="P64" s="450"/>
      <c r="Q64" s="450"/>
      <c r="R64" s="450"/>
      <c r="S64" s="450"/>
      <c r="T64" s="450"/>
      <c r="U64" s="450"/>
      <c r="V64" s="450"/>
      <c r="W64" s="450"/>
      <c r="X64" s="450"/>
      <c r="Y64" s="450"/>
      <c r="Z64" s="450"/>
      <c r="AA64" s="450"/>
      <c r="AB64" s="450"/>
      <c r="AC64" s="450"/>
      <c r="AD64" s="450"/>
      <c r="AE64" s="450"/>
      <c r="AF64" s="450"/>
      <c r="AG64" s="450"/>
      <c r="AH64" s="450"/>
      <c r="AI64" s="450"/>
      <c r="AJ64" s="450"/>
      <c r="AK64" s="450"/>
      <c r="AL64" s="450"/>
      <c r="AM64" s="450"/>
      <c r="AN64" s="450"/>
      <c r="AO64" s="450"/>
      <c r="AP64" s="450"/>
      <c r="AQ64" s="450"/>
      <c r="AR64" s="450"/>
      <c r="AS64" s="450"/>
      <c r="AT64" s="450"/>
      <c r="AU64" s="450"/>
      <c r="AV64" s="450"/>
      <c r="AW64" s="450"/>
    </row>
    <row r="65" spans="1:49" s="418" customFormat="1" ht="9.9499999999999993" customHeight="1" x14ac:dyDescent="0.2">
      <c r="C65" s="418" t="s">
        <v>800</v>
      </c>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c r="AF65" s="450"/>
      <c r="AG65" s="450"/>
      <c r="AH65" s="450"/>
      <c r="AI65" s="450"/>
      <c r="AJ65" s="450"/>
      <c r="AK65" s="450"/>
      <c r="AL65" s="450"/>
      <c r="AM65" s="450"/>
      <c r="AN65" s="450"/>
      <c r="AO65" s="450"/>
      <c r="AP65" s="450"/>
      <c r="AQ65" s="450"/>
      <c r="AR65" s="450"/>
      <c r="AS65" s="450"/>
      <c r="AT65" s="450"/>
      <c r="AU65" s="450"/>
      <c r="AV65" s="450"/>
      <c r="AW65" s="450"/>
    </row>
    <row r="66" spans="1:49" s="418" customFormat="1" ht="9.9499999999999993" customHeight="1" x14ac:dyDescent="0.2">
      <c r="D66" s="418" t="s">
        <v>1057</v>
      </c>
      <c r="E66" s="450">
        <v>40119</v>
      </c>
      <c r="F66" s="450"/>
      <c r="G66" s="450">
        <v>43051</v>
      </c>
      <c r="H66" s="450"/>
      <c r="I66" s="450">
        <v>43701</v>
      </c>
      <c r="J66" s="450"/>
      <c r="K66" s="450">
        <v>45791</v>
      </c>
      <c r="L66" s="450"/>
      <c r="M66" s="450">
        <v>50058</v>
      </c>
      <c r="N66" s="450"/>
      <c r="O66" s="450">
        <v>53115</v>
      </c>
      <c r="P66" s="450"/>
      <c r="Q66" s="450">
        <v>63944</v>
      </c>
      <c r="R66" s="450"/>
      <c r="S66" s="450">
        <v>61764</v>
      </c>
      <c r="T66" s="450"/>
      <c r="U66" s="533">
        <f>63717-193</f>
        <v>63524</v>
      </c>
      <c r="V66" s="450"/>
      <c r="W66" s="450">
        <v>82901</v>
      </c>
      <c r="X66" s="450"/>
      <c r="Y66" s="450">
        <v>84395</v>
      </c>
      <c r="Z66" s="450"/>
      <c r="AA66" s="450">
        <v>80635</v>
      </c>
      <c r="AB66" s="450"/>
      <c r="AC66" s="450">
        <v>84410</v>
      </c>
      <c r="AD66" s="450"/>
      <c r="AE66" s="450">
        <v>83193</v>
      </c>
      <c r="AF66" s="450"/>
      <c r="AG66" s="450">
        <v>84792</v>
      </c>
      <c r="AH66" s="450"/>
      <c r="AI66" s="450">
        <v>85773</v>
      </c>
      <c r="AJ66" s="450"/>
      <c r="AK66" s="450">
        <v>100976</v>
      </c>
      <c r="AL66" s="450"/>
      <c r="AM66" s="450">
        <v>104298</v>
      </c>
      <c r="AN66" s="450"/>
      <c r="AO66" s="450">
        <v>74791</v>
      </c>
      <c r="AP66" s="450"/>
      <c r="AQ66" s="450">
        <v>80590</v>
      </c>
      <c r="AR66" s="450"/>
      <c r="AS66" s="450">
        <v>109994</v>
      </c>
      <c r="AT66" s="450"/>
      <c r="AU66" s="450">
        <v>122679</v>
      </c>
      <c r="AV66" s="450"/>
      <c r="AW66" s="450">
        <f>SOActivities!E30</f>
        <v>150292</v>
      </c>
    </row>
    <row r="67" spans="1:49" s="418" customFormat="1" ht="9.9499999999999993" customHeight="1" x14ac:dyDescent="0.2">
      <c r="D67" s="418" t="s">
        <v>969</v>
      </c>
      <c r="U67" s="533">
        <v>20336</v>
      </c>
      <c r="W67" s="450">
        <v>21629</v>
      </c>
      <c r="Y67" s="450">
        <v>23392</v>
      </c>
      <c r="AA67" s="450">
        <v>24813</v>
      </c>
      <c r="AC67" s="450">
        <v>27646</v>
      </c>
      <c r="AE67" s="450">
        <v>27878</v>
      </c>
      <c r="AG67" s="450">
        <v>28874</v>
      </c>
      <c r="AI67" s="450">
        <v>30230</v>
      </c>
      <c r="AK67" s="450">
        <v>31345</v>
      </c>
      <c r="AM67" s="450">
        <v>35092</v>
      </c>
      <c r="AO67" s="450">
        <v>37215</v>
      </c>
      <c r="AQ67" s="450">
        <v>43279</v>
      </c>
      <c r="AR67" s="450"/>
      <c r="AS67" s="450">
        <v>47555</v>
      </c>
      <c r="AU67" s="450">
        <v>42967</v>
      </c>
      <c r="AW67" s="450">
        <f>SOActivities!E31</f>
        <v>45911</v>
      </c>
    </row>
    <row r="68" spans="1:49" s="418" customFormat="1" ht="9.9499999999999993" customHeight="1" x14ac:dyDescent="0.2">
      <c r="D68" s="418" t="s">
        <v>210</v>
      </c>
      <c r="U68" s="533">
        <v>138</v>
      </c>
      <c r="W68" s="450">
        <v>2211</v>
      </c>
      <c r="Y68" s="450">
        <v>2316</v>
      </c>
      <c r="AA68" s="450">
        <v>2477</v>
      </c>
      <c r="AC68" s="450">
        <v>2598</v>
      </c>
      <c r="AE68" s="450">
        <v>2654</v>
      </c>
      <c r="AG68" s="450">
        <v>2891</v>
      </c>
      <c r="AI68" s="450">
        <v>2925</v>
      </c>
      <c r="AK68" s="450">
        <v>3019</v>
      </c>
      <c r="AM68" s="450">
        <v>2891</v>
      </c>
      <c r="AO68" s="450">
        <v>1291</v>
      </c>
      <c r="AQ68" s="450">
        <v>1723</v>
      </c>
      <c r="AR68" s="450"/>
      <c r="AS68" s="450">
        <v>2966</v>
      </c>
      <c r="AU68" s="450">
        <v>2460</v>
      </c>
      <c r="AW68" s="450">
        <f>SOActivities!E32</f>
        <v>2310</v>
      </c>
    </row>
    <row r="69" spans="1:49" s="418" customFormat="1" ht="9.9499999999999993" customHeight="1" x14ac:dyDescent="0.2">
      <c r="D69" s="418" t="s">
        <v>214</v>
      </c>
      <c r="E69" s="450">
        <v>7978</v>
      </c>
      <c r="F69" s="450"/>
      <c r="G69" s="450">
        <v>8455</v>
      </c>
      <c r="H69" s="450"/>
      <c r="I69" s="450">
        <v>9647</v>
      </c>
      <c r="J69" s="450"/>
      <c r="K69" s="450">
        <v>10325</v>
      </c>
      <c r="L69" s="450"/>
      <c r="M69" s="450">
        <v>10276</v>
      </c>
      <c r="N69" s="450"/>
      <c r="O69" s="450">
        <v>10236</v>
      </c>
      <c r="P69" s="450"/>
      <c r="Q69" s="450">
        <v>10988</v>
      </c>
      <c r="R69" s="450"/>
      <c r="S69" s="450">
        <v>9143</v>
      </c>
      <c r="T69" s="450"/>
      <c r="U69" s="533">
        <v>9287</v>
      </c>
      <c r="V69" s="450"/>
      <c r="W69" s="450">
        <v>8588</v>
      </c>
      <c r="X69" s="450"/>
      <c r="Y69" s="450">
        <v>8630</v>
      </c>
      <c r="Z69" s="450"/>
      <c r="AA69" s="450">
        <v>8654</v>
      </c>
      <c r="AB69" s="450"/>
      <c r="AC69" s="450">
        <v>8487</v>
      </c>
      <c r="AD69" s="450"/>
      <c r="AE69" s="450">
        <v>9272</v>
      </c>
      <c r="AF69" s="450"/>
      <c r="AG69" s="450">
        <v>9671</v>
      </c>
      <c r="AH69" s="450"/>
      <c r="AI69" s="450">
        <v>9406</v>
      </c>
      <c r="AJ69" s="450"/>
      <c r="AK69" s="450">
        <v>9269</v>
      </c>
      <c r="AL69" s="450"/>
      <c r="AM69" s="450">
        <v>9754</v>
      </c>
      <c r="AN69" s="450"/>
      <c r="AO69" s="450">
        <v>5831</v>
      </c>
      <c r="AP69" s="450"/>
      <c r="AQ69" s="450">
        <v>5729</v>
      </c>
      <c r="AR69" s="450"/>
      <c r="AS69" s="450">
        <v>8077</v>
      </c>
      <c r="AT69" s="450"/>
      <c r="AU69" s="450">
        <v>8227</v>
      </c>
      <c r="AV69" s="450"/>
      <c r="AW69" s="450">
        <f>SOActivities!E33</f>
        <v>7534</v>
      </c>
    </row>
    <row r="70" spans="1:49" s="418" customFormat="1" ht="9.9499999999999993" customHeight="1" x14ac:dyDescent="0.2">
      <c r="D70" s="418" t="s">
        <v>841</v>
      </c>
      <c r="E70" s="450">
        <v>46717</v>
      </c>
      <c r="F70" s="450"/>
      <c r="G70" s="450">
        <v>49492</v>
      </c>
      <c r="H70" s="450"/>
      <c r="I70" s="450">
        <v>50391</v>
      </c>
      <c r="J70" s="450"/>
      <c r="K70" s="450">
        <v>51753</v>
      </c>
      <c r="L70" s="450"/>
      <c r="M70" s="450">
        <v>60090</v>
      </c>
      <c r="N70" s="450"/>
      <c r="O70" s="450">
        <v>70080</v>
      </c>
      <c r="P70" s="450"/>
      <c r="Q70" s="450">
        <v>81988</v>
      </c>
      <c r="R70" s="450"/>
      <c r="S70" s="450">
        <v>81263</v>
      </c>
      <c r="T70" s="450"/>
      <c r="U70" s="533">
        <v>87888</v>
      </c>
      <c r="V70" s="450"/>
      <c r="W70" s="450">
        <v>90067</v>
      </c>
      <c r="X70" s="450"/>
      <c r="Y70" s="450">
        <v>93333</v>
      </c>
      <c r="Z70" s="450"/>
      <c r="AA70" s="450">
        <v>92871</v>
      </c>
      <c r="AB70" s="450"/>
      <c r="AC70" s="450">
        <v>96321</v>
      </c>
      <c r="AD70" s="450"/>
      <c r="AE70" s="450">
        <v>100334</v>
      </c>
      <c r="AF70" s="450"/>
      <c r="AG70" s="450">
        <v>101954</v>
      </c>
      <c r="AH70" s="450"/>
      <c r="AI70" s="450">
        <v>107633</v>
      </c>
      <c r="AJ70" s="450"/>
      <c r="AK70" s="450">
        <v>117310</v>
      </c>
      <c r="AL70" s="450"/>
      <c r="AM70" s="450">
        <v>133212</v>
      </c>
      <c r="AN70" s="450"/>
      <c r="AO70" s="450">
        <v>128594</v>
      </c>
      <c r="AP70" s="450"/>
      <c r="AQ70" s="450">
        <v>129534</v>
      </c>
      <c r="AR70" s="450"/>
      <c r="AS70" s="450">
        <v>131910</v>
      </c>
      <c r="AT70" s="450"/>
      <c r="AU70" s="450">
        <v>130875</v>
      </c>
      <c r="AV70" s="450"/>
      <c r="AW70" s="450">
        <f>SOActivities!E34</f>
        <v>152527</v>
      </c>
    </row>
    <row r="71" spans="1:49" s="418" customFormat="1" ht="9.9499999999999993" customHeight="1" x14ac:dyDescent="0.2">
      <c r="C71" s="418" t="s">
        <v>801</v>
      </c>
      <c r="E71" s="450">
        <v>5040</v>
      </c>
      <c r="F71" s="450"/>
      <c r="G71" s="450">
        <v>0</v>
      </c>
      <c r="H71" s="450"/>
      <c r="I71" s="450">
        <v>0</v>
      </c>
      <c r="J71" s="450"/>
      <c r="K71" s="450">
        <v>0</v>
      </c>
      <c r="L71" s="450"/>
      <c r="M71" s="450">
        <v>0</v>
      </c>
      <c r="N71" s="450"/>
      <c r="O71" s="450">
        <v>0</v>
      </c>
      <c r="P71" s="450"/>
      <c r="Q71" s="450">
        <v>0</v>
      </c>
      <c r="R71" s="450"/>
      <c r="S71" s="450">
        <v>0</v>
      </c>
      <c r="T71" s="450"/>
      <c r="U71" s="533"/>
      <c r="V71" s="450"/>
      <c r="W71" s="450">
        <v>0</v>
      </c>
      <c r="X71" s="450"/>
      <c r="Y71" s="450">
        <v>0</v>
      </c>
      <c r="Z71" s="450"/>
      <c r="AA71" s="450">
        <v>0</v>
      </c>
      <c r="AB71" s="450"/>
      <c r="AC71" s="450">
        <v>0</v>
      </c>
      <c r="AD71" s="450"/>
      <c r="AE71" s="450">
        <v>0</v>
      </c>
      <c r="AF71" s="450"/>
      <c r="AG71" s="450">
        <v>0</v>
      </c>
      <c r="AH71" s="450"/>
      <c r="AI71" s="450">
        <v>0</v>
      </c>
      <c r="AJ71" s="450"/>
      <c r="AK71" s="450">
        <v>0</v>
      </c>
      <c r="AL71" s="450"/>
      <c r="AM71" s="450">
        <v>0</v>
      </c>
      <c r="AN71" s="450"/>
      <c r="AO71" s="450">
        <v>10480</v>
      </c>
      <c r="AP71" s="450"/>
      <c r="AQ71" s="450">
        <v>24812</v>
      </c>
      <c r="AR71" s="450"/>
      <c r="AS71" s="450">
        <v>36350</v>
      </c>
      <c r="AT71" s="450"/>
      <c r="AU71" s="450">
        <v>19004</v>
      </c>
      <c r="AV71" s="450"/>
      <c r="AW71" s="450">
        <f>SOActivities!G36</f>
        <v>36</v>
      </c>
    </row>
    <row r="72" spans="1:49" s="418" customFormat="1" ht="9.9499999999999993" customHeight="1" x14ac:dyDescent="0.2">
      <c r="C72" s="418" t="s">
        <v>802</v>
      </c>
      <c r="E72" s="450">
        <v>0</v>
      </c>
      <c r="F72" s="450"/>
      <c r="G72" s="450">
        <v>3865</v>
      </c>
      <c r="H72" s="450"/>
      <c r="I72" s="450">
        <v>27</v>
      </c>
      <c r="J72" s="450"/>
      <c r="K72" s="450">
        <v>2223</v>
      </c>
      <c r="L72" s="450"/>
      <c r="M72" s="450">
        <v>18079</v>
      </c>
      <c r="N72" s="450"/>
      <c r="O72" s="450">
        <v>23188</v>
      </c>
      <c r="P72" s="450"/>
      <c r="Q72" s="450"/>
      <c r="R72" s="450"/>
      <c r="S72" s="450">
        <v>31115</v>
      </c>
      <c r="T72" s="450"/>
      <c r="U72" s="450">
        <v>40156</v>
      </c>
      <c r="V72" s="450"/>
      <c r="W72" s="450">
        <v>40237</v>
      </c>
      <c r="X72" s="450"/>
      <c r="Y72" s="450">
        <v>34765</v>
      </c>
      <c r="Z72" s="450"/>
      <c r="AA72" s="450">
        <v>39580</v>
      </c>
      <c r="AB72" s="450"/>
      <c r="AC72" s="450">
        <v>44206</v>
      </c>
      <c r="AD72" s="450"/>
      <c r="AE72" s="450">
        <v>45886</v>
      </c>
      <c r="AF72" s="450"/>
      <c r="AG72" s="450">
        <v>45837</v>
      </c>
      <c r="AH72" s="450"/>
      <c r="AI72" s="450">
        <v>53872</v>
      </c>
      <c r="AJ72" s="450"/>
      <c r="AK72" s="450">
        <v>54198</v>
      </c>
      <c r="AL72" s="450"/>
      <c r="AM72" s="455">
        <v>47296</v>
      </c>
      <c r="AN72" s="450"/>
      <c r="AO72" s="450">
        <v>27473</v>
      </c>
      <c r="AP72" s="450"/>
      <c r="AQ72" s="450">
        <v>31777</v>
      </c>
      <c r="AR72" s="450"/>
      <c r="AS72" s="450">
        <v>44588</v>
      </c>
      <c r="AT72" s="450"/>
      <c r="AU72" s="450">
        <v>51078</v>
      </c>
      <c r="AV72" s="450"/>
      <c r="AW72" s="450">
        <f>SOActivities!I36</f>
        <v>53849</v>
      </c>
    </row>
    <row r="73" spans="1:49" s="418" customFormat="1" ht="9.9499999999999993" customHeight="1" x14ac:dyDescent="0.2">
      <c r="B73" s="417" t="s">
        <v>804</v>
      </c>
      <c r="E73" s="452"/>
      <c r="F73" s="450"/>
      <c r="G73" s="452"/>
      <c r="H73" s="450"/>
      <c r="I73" s="452"/>
      <c r="J73" s="450"/>
      <c r="K73" s="452"/>
      <c r="L73" s="450"/>
      <c r="M73" s="452"/>
      <c r="N73" s="450"/>
      <c r="O73" s="452"/>
      <c r="P73" s="450"/>
      <c r="Q73" s="452"/>
      <c r="R73" s="450"/>
      <c r="S73" s="452"/>
      <c r="T73" s="450"/>
      <c r="U73" s="452"/>
      <c r="V73" s="450"/>
      <c r="W73" s="452"/>
      <c r="X73" s="450"/>
      <c r="Y73" s="452"/>
      <c r="Z73" s="450"/>
      <c r="AA73" s="452"/>
      <c r="AB73" s="450"/>
      <c r="AC73" s="452"/>
      <c r="AD73" s="450"/>
      <c r="AE73" s="452"/>
      <c r="AF73" s="450"/>
      <c r="AG73" s="452"/>
      <c r="AH73" s="450"/>
      <c r="AI73" s="452"/>
      <c r="AJ73" s="450"/>
      <c r="AK73" s="452"/>
      <c r="AL73" s="450"/>
      <c r="AM73" s="450"/>
      <c r="AN73" s="450"/>
      <c r="AO73" s="452"/>
      <c r="AP73" s="450"/>
      <c r="AQ73" s="452"/>
      <c r="AR73" s="450"/>
      <c r="AS73" s="452"/>
      <c r="AT73" s="450"/>
      <c r="AU73" s="452"/>
      <c r="AV73" s="450"/>
      <c r="AW73" s="452"/>
    </row>
    <row r="74" spans="1:49" s="418" customFormat="1" ht="11.1" customHeight="1" x14ac:dyDescent="0.2">
      <c r="C74" s="417" t="s">
        <v>768</v>
      </c>
      <c r="E74" s="455">
        <f>SUM(E66:E72)</f>
        <v>99854</v>
      </c>
      <c r="F74" s="450"/>
      <c r="G74" s="455">
        <f>SUM(G66:G72)</f>
        <v>104863</v>
      </c>
      <c r="H74" s="450"/>
      <c r="I74" s="455">
        <f>SUM(I66:I72)</f>
        <v>103766</v>
      </c>
      <c r="J74" s="450"/>
      <c r="K74" s="455">
        <f>SUM(K66:K72)</f>
        <v>110092</v>
      </c>
      <c r="L74" s="450"/>
      <c r="M74" s="455">
        <f>SUM(M66:M72)</f>
        <v>138503</v>
      </c>
      <c r="N74" s="450"/>
      <c r="O74" s="455">
        <f>SUM(O66:O72)</f>
        <v>156619</v>
      </c>
      <c r="P74" s="450"/>
      <c r="Q74" s="455">
        <f>SUM(Q66:Q72)</f>
        <v>156920</v>
      </c>
      <c r="R74" s="450"/>
      <c r="S74" s="455">
        <f>SUM(S66:S72)</f>
        <v>183285</v>
      </c>
      <c r="T74" s="450"/>
      <c r="U74" s="455">
        <f>SUM(U66:U72)</f>
        <v>221329</v>
      </c>
      <c r="V74" s="450"/>
      <c r="W74" s="455">
        <f>SUM(W66:W72)</f>
        <v>245633</v>
      </c>
      <c r="X74" s="450"/>
      <c r="Y74" s="455">
        <v>246831</v>
      </c>
      <c r="Z74" s="450"/>
      <c r="AA74" s="455">
        <v>249030</v>
      </c>
      <c r="AB74" s="450"/>
      <c r="AC74" s="455">
        <f>SUM(AC66:AC72)</f>
        <v>263668</v>
      </c>
      <c r="AD74" s="450"/>
      <c r="AE74" s="455">
        <f>SUM(AE66:AE72)</f>
        <v>269217</v>
      </c>
      <c r="AF74" s="450"/>
      <c r="AG74" s="455">
        <f>SUM(AG66:AG72)</f>
        <v>274019</v>
      </c>
      <c r="AH74" s="450"/>
      <c r="AI74" s="455">
        <f>SUM(AI66:AI72)</f>
        <v>289839</v>
      </c>
      <c r="AJ74" s="450"/>
      <c r="AK74" s="455">
        <f>SUM(AK66:AK72)</f>
        <v>316117</v>
      </c>
      <c r="AL74" s="450"/>
      <c r="AM74" s="455">
        <f>SUM(AM66:AM72)</f>
        <v>332543</v>
      </c>
      <c r="AN74" s="450"/>
      <c r="AO74" s="455">
        <f>SUM(AO66:AO72)</f>
        <v>285675</v>
      </c>
      <c r="AP74" s="450"/>
      <c r="AQ74" s="455">
        <f>SUM(AQ66:AQ72)</f>
        <v>317444</v>
      </c>
      <c r="AR74" s="450"/>
      <c r="AS74" s="455">
        <f>SUM(AS66:AS72)</f>
        <v>381440</v>
      </c>
      <c r="AT74" s="450"/>
      <c r="AU74" s="455">
        <f>SUM(AU66:AU72)</f>
        <v>377290</v>
      </c>
      <c r="AV74" s="450"/>
      <c r="AW74" s="455">
        <f>SUM(AW66:AW72)</f>
        <v>412459</v>
      </c>
    </row>
    <row r="75" spans="1:49" s="418" customFormat="1" ht="9.9499999999999993" customHeight="1" x14ac:dyDescent="0.2">
      <c r="A75" s="417" t="s">
        <v>805</v>
      </c>
      <c r="E75" s="452"/>
      <c r="F75" s="450"/>
      <c r="G75" s="452"/>
      <c r="H75" s="450"/>
      <c r="I75" s="452"/>
      <c r="J75" s="450"/>
      <c r="K75" s="452"/>
      <c r="L75" s="450"/>
      <c r="M75" s="452"/>
      <c r="N75" s="450"/>
      <c r="O75" s="452"/>
      <c r="P75" s="450"/>
      <c r="Q75" s="452"/>
      <c r="R75" s="450"/>
      <c r="S75" s="452"/>
      <c r="T75" s="450"/>
      <c r="U75" s="452"/>
      <c r="V75" s="450"/>
      <c r="W75" s="452"/>
      <c r="X75" s="450"/>
      <c r="Y75" s="452"/>
      <c r="Z75" s="450"/>
      <c r="AA75" s="452"/>
      <c r="AB75" s="450"/>
      <c r="AC75" s="452"/>
      <c r="AD75" s="450"/>
      <c r="AE75" s="452"/>
      <c r="AF75" s="450"/>
      <c r="AG75" s="450"/>
      <c r="AH75" s="450"/>
      <c r="AI75" s="450"/>
      <c r="AJ75" s="450"/>
      <c r="AK75" s="450"/>
      <c r="AL75" s="450"/>
      <c r="AM75" s="450"/>
      <c r="AN75" s="450"/>
      <c r="AO75" s="452"/>
      <c r="AP75" s="450"/>
      <c r="AQ75" s="452"/>
      <c r="AR75" s="450"/>
      <c r="AS75" s="452"/>
      <c r="AT75" s="450"/>
      <c r="AU75" s="452"/>
      <c r="AV75" s="450"/>
      <c r="AW75" s="452"/>
    </row>
    <row r="76" spans="1:49" s="418" customFormat="1" ht="11.1" customHeight="1" thickBot="1" x14ac:dyDescent="0.25">
      <c r="B76" s="417" t="s">
        <v>768</v>
      </c>
      <c r="E76" s="453">
        <f>SUM(E74+E62)</f>
        <v>433924</v>
      </c>
      <c r="F76" s="450"/>
      <c r="G76" s="453">
        <f>SUM(G74+G62)</f>
        <v>482916</v>
      </c>
      <c r="H76" s="450"/>
      <c r="I76" s="453">
        <f>SUM(I74+I62)</f>
        <v>422209</v>
      </c>
      <c r="J76" s="450"/>
      <c r="K76" s="453">
        <f>SUM(K74+K62)</f>
        <v>463642</v>
      </c>
      <c r="L76" s="450"/>
      <c r="M76" s="453">
        <f>SUM(M74+M62)</f>
        <v>513239</v>
      </c>
      <c r="N76" s="450"/>
      <c r="O76" s="453">
        <f>SUM(O74+O62)</f>
        <v>566351</v>
      </c>
      <c r="P76" s="450"/>
      <c r="Q76" s="453">
        <f>SUM(Q74+Q62)</f>
        <v>574340</v>
      </c>
      <c r="R76" s="450"/>
      <c r="S76" s="453">
        <f>SUM(S74+S62)</f>
        <v>646891</v>
      </c>
      <c r="T76" s="450"/>
      <c r="U76" s="453">
        <f>SUM(U74+U62)</f>
        <v>731241</v>
      </c>
      <c r="V76" s="450"/>
      <c r="W76" s="453">
        <f>SUM(W74+W62)</f>
        <v>802393</v>
      </c>
      <c r="X76" s="450"/>
      <c r="Y76" s="453">
        <f>SUM(Y74+Y62)</f>
        <v>757039</v>
      </c>
      <c r="Z76" s="450"/>
      <c r="AA76" s="453">
        <f>SUM(AA74+AA62)</f>
        <v>760200</v>
      </c>
      <c r="AB76" s="450"/>
      <c r="AC76" s="453">
        <f>SUM(AC74+AC62)</f>
        <v>721432</v>
      </c>
      <c r="AD76" s="450"/>
      <c r="AE76" s="453">
        <f>SUM(AE74+AE62)</f>
        <v>695553</v>
      </c>
      <c r="AF76" s="450"/>
      <c r="AG76" s="453">
        <f>SUM(AG74+AG62)</f>
        <v>742157</v>
      </c>
      <c r="AH76" s="450"/>
      <c r="AI76" s="453">
        <f>SUM(AI74+AI62)</f>
        <v>785961</v>
      </c>
      <c r="AJ76" s="450"/>
      <c r="AK76" s="453">
        <f>SUM(AK74+AK62)</f>
        <v>790647</v>
      </c>
      <c r="AL76" s="450"/>
      <c r="AM76" s="453">
        <f>SUM(AM74+AM62)</f>
        <v>812476</v>
      </c>
      <c r="AN76" s="450"/>
      <c r="AO76" s="453">
        <f>SUM(AO74+AO62)</f>
        <v>906183</v>
      </c>
      <c r="AP76" s="450"/>
      <c r="AQ76" s="453">
        <f>SUM(AQ74+AQ62)</f>
        <v>1016180</v>
      </c>
      <c r="AR76" s="461"/>
      <c r="AS76" s="453">
        <f>SUM(AS74+AS62)</f>
        <v>1222350</v>
      </c>
      <c r="AT76" s="450"/>
      <c r="AU76" s="453">
        <f>SUM(AU74+AU62)</f>
        <v>1055027</v>
      </c>
      <c r="AV76" s="450"/>
      <c r="AW76" s="453">
        <f>SUM(AW74+AW62)</f>
        <v>1190593</v>
      </c>
    </row>
    <row r="77" spans="1:49" s="418" customFormat="1" ht="3.95" customHeight="1" thickTop="1" x14ac:dyDescent="0.2">
      <c r="E77" s="448"/>
      <c r="F77" s="450"/>
      <c r="G77" s="448"/>
      <c r="H77" s="450"/>
      <c r="I77" s="448"/>
      <c r="J77" s="450"/>
      <c r="K77" s="448"/>
      <c r="L77" s="450"/>
      <c r="M77" s="448"/>
      <c r="N77" s="450"/>
      <c r="O77" s="448"/>
      <c r="P77" s="450"/>
      <c r="Q77" s="448"/>
      <c r="R77" s="450"/>
      <c r="S77" s="448"/>
      <c r="T77" s="450"/>
      <c r="U77" s="448"/>
      <c r="V77" s="450"/>
      <c r="X77" s="450"/>
      <c r="Z77" s="450"/>
      <c r="AA77" s="448"/>
      <c r="AB77" s="450"/>
      <c r="AD77" s="450"/>
      <c r="AF77" s="450"/>
      <c r="AH77" s="450"/>
      <c r="AJ77" s="450"/>
      <c r="AL77" s="450"/>
      <c r="AN77" s="450"/>
      <c r="AP77" s="450"/>
      <c r="AT77" s="450"/>
      <c r="AV77" s="450"/>
    </row>
    <row r="78" spans="1:49" s="418" customFormat="1" ht="9.9499999999999993" customHeight="1" x14ac:dyDescent="0.2">
      <c r="E78" s="448"/>
      <c r="F78" s="450"/>
      <c r="G78" s="448"/>
      <c r="H78" s="450"/>
      <c r="I78" s="448"/>
      <c r="J78" s="450"/>
      <c r="K78" s="448"/>
      <c r="L78" s="450"/>
      <c r="M78" s="448"/>
      <c r="N78" s="450"/>
      <c r="O78" s="448"/>
      <c r="P78" s="450"/>
      <c r="Q78" s="448"/>
      <c r="R78" s="450"/>
      <c r="S78" s="448"/>
      <c r="T78" s="450"/>
      <c r="U78" s="448"/>
      <c r="V78" s="450"/>
      <c r="X78" s="450"/>
      <c r="Z78" s="450"/>
      <c r="AA78" s="448"/>
      <c r="AB78" s="450"/>
      <c r="AC78" s="448"/>
      <c r="AD78" s="450"/>
      <c r="AE78" s="448"/>
      <c r="AF78" s="450"/>
      <c r="AG78" s="448"/>
      <c r="AH78" s="450"/>
      <c r="AI78" s="448"/>
      <c r="AJ78" s="450"/>
      <c r="AK78" s="448"/>
      <c r="AL78" s="450"/>
      <c r="AM78" s="448"/>
      <c r="AN78" s="450"/>
      <c r="AO78" s="448"/>
      <c r="AP78" s="450"/>
      <c r="AQ78" s="448"/>
      <c r="AR78" s="448"/>
      <c r="AS78" s="448"/>
      <c r="AT78" s="450"/>
      <c r="AU78" s="448"/>
      <c r="AV78" s="450"/>
      <c r="AW78" s="960" t="s">
        <v>1454</v>
      </c>
    </row>
    <row r="79" spans="1:49" s="965" customFormat="1" ht="11.1" hidden="1" customHeight="1" x14ac:dyDescent="0.2">
      <c r="A79" s="964">
        <v>1</v>
      </c>
      <c r="B79" s="1603" t="s">
        <v>889</v>
      </c>
      <c r="C79" s="1604"/>
      <c r="D79" s="1604"/>
      <c r="E79" s="1604"/>
      <c r="F79" s="1604"/>
      <c r="G79" s="1604"/>
      <c r="H79" s="1604"/>
      <c r="I79" s="1604"/>
      <c r="J79" s="1604"/>
      <c r="K79" s="1604"/>
      <c r="L79" s="1604"/>
      <c r="M79" s="1604"/>
      <c r="N79" s="1604"/>
      <c r="O79" s="1604"/>
      <c r="P79" s="1604"/>
      <c r="Q79" s="1604"/>
      <c r="R79" s="1604"/>
      <c r="S79" s="1604"/>
      <c r="T79" s="1604"/>
      <c r="U79" s="1604"/>
      <c r="V79" s="1604"/>
      <c r="W79" s="1604"/>
      <c r="X79" s="1604"/>
      <c r="Y79" s="1604"/>
      <c r="Z79" s="1604"/>
      <c r="AA79" s="1604"/>
      <c r="AB79" s="1604"/>
      <c r="AC79" s="1604"/>
      <c r="AD79" s="1604"/>
      <c r="AE79" s="1604"/>
      <c r="AF79" s="1604"/>
      <c r="AG79" s="1604"/>
      <c r="AH79" s="1604"/>
      <c r="AI79" s="1604"/>
      <c r="AJ79" s="1604"/>
      <c r="AK79" s="1604"/>
      <c r="AL79" s="1604"/>
      <c r="AM79" s="1604"/>
      <c r="AN79" s="1604"/>
      <c r="AO79" s="1604"/>
      <c r="AP79" s="1604"/>
      <c r="AQ79" s="1604"/>
      <c r="AR79" s="1604"/>
      <c r="AS79" s="1604"/>
      <c r="AT79" s="1604"/>
      <c r="AU79" s="1604"/>
      <c r="AV79" s="1604"/>
      <c r="AW79" s="1604"/>
    </row>
    <row r="80" spans="1:49" s="965" customFormat="1" ht="11.1" hidden="1" customHeight="1" thickBot="1" x14ac:dyDescent="0.25">
      <c r="A80" s="964">
        <v>2</v>
      </c>
      <c r="B80" s="1608" t="s">
        <v>1176</v>
      </c>
      <c r="C80" s="1608"/>
      <c r="D80" s="1608"/>
      <c r="E80" s="1608"/>
      <c r="F80" s="1608"/>
      <c r="G80" s="1608"/>
      <c r="H80" s="1608"/>
      <c r="I80" s="1608"/>
      <c r="J80" s="1608"/>
      <c r="K80" s="1608"/>
      <c r="L80" s="1608"/>
      <c r="M80" s="1608"/>
      <c r="N80" s="1608"/>
      <c r="O80" s="1608"/>
      <c r="P80" s="1608"/>
      <c r="Q80" s="1608"/>
      <c r="R80" s="1608"/>
      <c r="S80" s="1608"/>
      <c r="T80" s="1608"/>
      <c r="U80" s="1608"/>
      <c r="V80" s="1608"/>
      <c r="W80" s="1608"/>
      <c r="X80" s="1608"/>
      <c r="Y80" s="1608"/>
      <c r="Z80" s="1608"/>
      <c r="AA80" s="1608"/>
      <c r="AB80" s="1608"/>
      <c r="AC80" s="1608"/>
      <c r="AD80" s="1608"/>
      <c r="AE80" s="1608"/>
      <c r="AF80" s="1608"/>
      <c r="AG80" s="1608"/>
      <c r="AH80" s="1608"/>
      <c r="AI80" s="1608"/>
      <c r="AJ80" s="1608"/>
      <c r="AK80" s="1608"/>
      <c r="AL80" s="1608"/>
      <c r="AM80" s="1608"/>
      <c r="AN80" s="1608"/>
      <c r="AO80" s="1608"/>
      <c r="AP80" s="1608"/>
      <c r="AQ80" s="1608"/>
      <c r="AR80" s="1608"/>
      <c r="AS80" s="1608"/>
      <c r="AT80" s="1608"/>
      <c r="AU80" s="1608"/>
      <c r="AV80" s="1608"/>
      <c r="AW80" s="1608"/>
    </row>
    <row r="81" spans="1:49" s="965" customFormat="1" ht="11.1" hidden="1" customHeight="1" thickBot="1" x14ac:dyDescent="0.25">
      <c r="A81" s="964">
        <v>3</v>
      </c>
      <c r="B81" s="1603" t="s">
        <v>1200</v>
      </c>
      <c r="C81" s="1603"/>
      <c r="D81" s="1603"/>
      <c r="E81" s="1603"/>
      <c r="F81" s="1603"/>
      <c r="G81" s="1603"/>
      <c r="H81" s="1603"/>
      <c r="I81" s="1603"/>
      <c r="J81" s="1603"/>
      <c r="K81" s="1603"/>
      <c r="L81" s="1603"/>
      <c r="M81" s="1603"/>
      <c r="N81" s="1603"/>
      <c r="O81" s="1603"/>
      <c r="P81" s="1603"/>
      <c r="Q81" s="1603"/>
      <c r="R81" s="1603"/>
      <c r="S81" s="1603"/>
      <c r="T81" s="1603"/>
      <c r="U81" s="1603"/>
      <c r="V81" s="1603"/>
      <c r="W81" s="1603"/>
      <c r="X81" s="1603"/>
      <c r="Y81" s="1603"/>
      <c r="Z81" s="975"/>
      <c r="AA81" s="975"/>
      <c r="AB81" s="975"/>
      <c r="AC81" s="975"/>
      <c r="AD81" s="975"/>
      <c r="AE81" s="975"/>
      <c r="AF81" s="975"/>
      <c r="AG81" s="975"/>
      <c r="AH81" s="975"/>
      <c r="AI81" s="975"/>
      <c r="AJ81" s="975"/>
      <c r="AK81" s="975"/>
      <c r="AL81" s="975"/>
      <c r="AM81" s="975"/>
      <c r="AN81" s="975"/>
      <c r="AO81" s="975"/>
      <c r="AP81" s="975"/>
      <c r="AQ81" s="975"/>
      <c r="AR81" s="975"/>
      <c r="AS81" s="975"/>
      <c r="AT81" s="975"/>
      <c r="AU81" s="975"/>
      <c r="AV81" s="975"/>
      <c r="AW81" s="975"/>
    </row>
    <row r="82" spans="1:49" s="986" customFormat="1" ht="17.25" customHeight="1" thickBot="1" x14ac:dyDescent="0.25">
      <c r="A82" s="1607" t="s">
        <v>1033</v>
      </c>
      <c r="B82" s="1607"/>
      <c r="C82" s="1607"/>
      <c r="D82" s="1607"/>
      <c r="E82" s="1607"/>
      <c r="F82" s="1607"/>
      <c r="G82" s="1607"/>
      <c r="H82" s="1607"/>
      <c r="I82" s="1607"/>
      <c r="J82" s="1607"/>
      <c r="K82" s="1607"/>
      <c r="L82" s="1607"/>
      <c r="M82" s="1607"/>
      <c r="N82" s="1607"/>
      <c r="O82" s="1607"/>
      <c r="P82" s="1607"/>
      <c r="Q82" s="1607"/>
      <c r="R82" s="1607"/>
      <c r="S82" s="1607"/>
      <c r="T82" s="1607"/>
      <c r="U82" s="1607"/>
      <c r="V82" s="1607"/>
      <c r="W82" s="1607"/>
      <c r="X82" s="1607"/>
      <c r="Y82" s="1607"/>
      <c r="Z82" s="1607"/>
      <c r="AA82" s="1607"/>
      <c r="AB82" s="1607"/>
      <c r="AC82" s="1607"/>
      <c r="AD82" s="1607"/>
      <c r="AE82" s="1607"/>
      <c r="AF82" s="1607"/>
      <c r="AG82" s="1607"/>
      <c r="AH82" s="1607"/>
      <c r="AI82" s="1607"/>
      <c r="AJ82" s="1607"/>
      <c r="AK82" s="1607"/>
      <c r="AL82" s="1607"/>
      <c r="AM82" s="1607"/>
      <c r="AN82" s="1607"/>
      <c r="AO82" s="1607"/>
      <c r="AP82" s="1607"/>
      <c r="AQ82" s="1607"/>
      <c r="AR82" s="1607"/>
      <c r="AS82" s="1607"/>
      <c r="AT82" s="1607"/>
      <c r="AU82" s="1607"/>
      <c r="AV82" s="1607"/>
      <c r="AW82" s="1607"/>
    </row>
    <row r="83" spans="1:49" s="988" customFormat="1" ht="15.6" customHeight="1" x14ac:dyDescent="0.2">
      <c r="A83" s="609" t="s">
        <v>786</v>
      </c>
      <c r="B83" s="609"/>
      <c r="C83" s="609"/>
      <c r="D83" s="609"/>
      <c r="E83" s="987"/>
      <c r="G83" s="987"/>
      <c r="I83" s="987"/>
      <c r="K83" s="987"/>
      <c r="M83" s="987"/>
      <c r="O83" s="987"/>
      <c r="Q83" s="987"/>
      <c r="S83" s="987"/>
      <c r="U83" s="987"/>
      <c r="AA83" s="987"/>
      <c r="AC83" s="987"/>
      <c r="AE83" s="987"/>
      <c r="AG83" s="987"/>
      <c r="AI83" s="987"/>
      <c r="AK83" s="987"/>
      <c r="AM83" s="987"/>
      <c r="AO83" s="987"/>
      <c r="AQ83" s="987"/>
      <c r="AR83" s="987"/>
      <c r="AS83" s="987"/>
      <c r="AU83" s="987"/>
    </row>
    <row r="84" spans="1:49" s="988" customFormat="1" ht="15.6" customHeight="1" x14ac:dyDescent="0.2">
      <c r="A84" s="609" t="s">
        <v>1488</v>
      </c>
      <c r="B84" s="609"/>
      <c r="C84" s="609"/>
      <c r="D84" s="609"/>
      <c r="E84" s="987"/>
      <c r="G84" s="987"/>
      <c r="I84" s="987"/>
      <c r="K84" s="987"/>
      <c r="M84" s="987"/>
      <c r="O84" s="987"/>
      <c r="Q84" s="987"/>
      <c r="S84" s="987"/>
      <c r="U84" s="987"/>
      <c r="AA84" s="987"/>
      <c r="AC84" s="987"/>
      <c r="AE84" s="987"/>
      <c r="AG84" s="987"/>
      <c r="AI84" s="987"/>
      <c r="AK84" s="987"/>
      <c r="AM84" s="987"/>
      <c r="AO84" s="987"/>
      <c r="AQ84" s="987"/>
      <c r="AR84" s="987"/>
      <c r="AS84" s="987"/>
      <c r="AU84" s="987"/>
    </row>
    <row r="85" spans="1:49" s="990" customFormat="1" ht="13.5" customHeight="1" x14ac:dyDescent="0.2">
      <c r="A85" s="854" t="s">
        <v>176</v>
      </c>
      <c r="B85" s="854"/>
      <c r="C85" s="854"/>
      <c r="D85" s="854"/>
      <c r="E85" s="989"/>
      <c r="G85" s="989"/>
      <c r="I85" s="989"/>
      <c r="K85" s="989"/>
      <c r="M85" s="989"/>
      <c r="O85" s="989"/>
      <c r="Q85" s="989"/>
      <c r="S85" s="989"/>
      <c r="U85" s="989"/>
      <c r="AA85" s="989"/>
      <c r="AC85" s="989"/>
      <c r="AE85" s="989"/>
      <c r="AG85" s="989"/>
      <c r="AI85" s="989"/>
      <c r="AK85" s="989"/>
      <c r="AM85" s="989"/>
      <c r="AO85" s="989"/>
      <c r="AQ85" s="989"/>
      <c r="AR85" s="989"/>
      <c r="AS85" s="989"/>
      <c r="AU85" s="989"/>
    </row>
    <row r="86" spans="1:49" s="984" customFormat="1" ht="12.6" customHeight="1" x14ac:dyDescent="0.2">
      <c r="A86" s="610" t="s">
        <v>787</v>
      </c>
      <c r="B86" s="610"/>
      <c r="C86" s="610"/>
      <c r="D86" s="611"/>
      <c r="E86" s="983"/>
      <c r="G86" s="983"/>
      <c r="I86" s="983"/>
      <c r="K86" s="983"/>
      <c r="M86" s="983"/>
      <c r="O86" s="983"/>
      <c r="Q86" s="983"/>
      <c r="S86" s="983"/>
      <c r="U86" s="983"/>
      <c r="AA86" s="983"/>
      <c r="AC86" s="983"/>
      <c r="AE86" s="983"/>
      <c r="AG86" s="983"/>
      <c r="AI86" s="983"/>
      <c r="AK86" s="983"/>
      <c r="AM86" s="983"/>
      <c r="AO86" s="983"/>
      <c r="AQ86" s="983"/>
      <c r="AR86" s="983"/>
      <c r="AS86" s="983"/>
      <c r="AU86" s="983"/>
    </row>
    <row r="87" spans="1:49" s="984" customFormat="1" ht="12.6" customHeight="1" x14ac:dyDescent="0.2">
      <c r="A87" s="612" t="s">
        <v>972</v>
      </c>
      <c r="B87" s="610"/>
      <c r="C87" s="610"/>
      <c r="D87" s="611"/>
      <c r="E87" s="983"/>
      <c r="G87" s="983"/>
      <c r="I87" s="983"/>
      <c r="K87" s="983"/>
      <c r="M87" s="983"/>
      <c r="O87" s="983"/>
      <c r="Q87" s="983"/>
      <c r="S87" s="983"/>
      <c r="U87" s="983"/>
      <c r="AA87" s="983"/>
      <c r="AC87" s="983"/>
      <c r="AE87" s="983"/>
      <c r="AG87" s="983"/>
      <c r="AI87" s="983"/>
      <c r="AK87" s="983"/>
      <c r="AM87" s="983"/>
      <c r="AO87" s="983"/>
      <c r="AQ87" s="983"/>
      <c r="AR87" s="983"/>
      <c r="AS87" s="983"/>
      <c r="AU87" s="983"/>
    </row>
    <row r="88" spans="1:49" ht="3.95" customHeight="1" x14ac:dyDescent="0.2">
      <c r="A88" s="514"/>
      <c r="B88" s="514"/>
      <c r="C88" s="514"/>
      <c r="D88" s="514"/>
      <c r="E88" s="953"/>
      <c r="F88" s="514"/>
      <c r="G88" s="953"/>
      <c r="H88" s="514"/>
      <c r="I88" s="953"/>
      <c r="J88" s="514"/>
      <c r="K88" s="953"/>
      <c r="L88" s="514"/>
      <c r="M88" s="953"/>
      <c r="N88" s="514"/>
      <c r="O88" s="953"/>
      <c r="P88" s="514"/>
      <c r="Q88" s="953"/>
      <c r="R88" s="514"/>
      <c r="S88" s="953"/>
      <c r="T88" s="514"/>
      <c r="U88" s="953"/>
      <c r="V88" s="514"/>
      <c r="X88" s="514"/>
      <c r="Z88" s="514"/>
      <c r="AA88" s="953"/>
      <c r="AB88" s="514"/>
      <c r="AC88" s="953"/>
      <c r="AD88" s="514"/>
      <c r="AE88" s="953"/>
      <c r="AF88" s="514"/>
      <c r="AG88" s="953"/>
      <c r="AH88" s="514"/>
      <c r="AI88" s="953"/>
      <c r="AJ88" s="514"/>
      <c r="AK88" s="953"/>
      <c r="AL88" s="514"/>
      <c r="AM88" s="953"/>
      <c r="AN88" s="514"/>
      <c r="AO88" s="953"/>
      <c r="AP88" s="514"/>
      <c r="AQ88" s="953"/>
      <c r="AR88" s="953"/>
      <c r="AS88" s="953"/>
      <c r="AT88" s="514"/>
      <c r="AU88" s="953"/>
      <c r="AV88" s="514"/>
    </row>
    <row r="89" spans="1:49" s="418" customFormat="1" ht="12.6" hidden="1" customHeight="1" x14ac:dyDescent="0.2">
      <c r="F89" s="991"/>
      <c r="G89" s="1605" t="s">
        <v>788</v>
      </c>
      <c r="H89" s="1605"/>
      <c r="I89" s="1605"/>
      <c r="J89" s="1605"/>
      <c r="K89" s="1605"/>
      <c r="L89" s="1605"/>
      <c r="M89" s="1605"/>
      <c r="N89" s="1605"/>
      <c r="O89" s="1605"/>
      <c r="P89" s="1605"/>
      <c r="Q89" s="1605"/>
      <c r="R89" s="1605"/>
      <c r="S89" s="1605"/>
      <c r="T89" s="1605"/>
      <c r="U89" s="1605"/>
      <c r="V89" s="1605"/>
      <c r="W89" s="1605"/>
      <c r="X89" s="1605"/>
      <c r="Y89" s="1606"/>
      <c r="Z89" s="1605"/>
      <c r="AA89" s="1605"/>
      <c r="AB89" s="1605"/>
      <c r="AC89" s="1605"/>
      <c r="AD89" s="1605"/>
      <c r="AE89" s="1605"/>
      <c r="AF89" s="1605"/>
      <c r="AG89" s="1605"/>
      <c r="AH89" s="1605"/>
      <c r="AI89" s="1605"/>
      <c r="AJ89" s="1605"/>
      <c r="AK89" s="1605"/>
      <c r="AL89" s="1605"/>
      <c r="AM89" s="1606"/>
      <c r="AN89" s="1606"/>
      <c r="AO89" s="1606"/>
      <c r="AP89" s="1606"/>
      <c r="AQ89" s="1606"/>
      <c r="AR89" s="1606"/>
      <c r="AS89" s="1606"/>
      <c r="AT89" s="1606"/>
      <c r="AU89" s="1606"/>
      <c r="AV89" s="1605"/>
      <c r="AW89" s="1605"/>
    </row>
    <row r="90" spans="1:49" s="300" customFormat="1" ht="30" customHeight="1" x14ac:dyDescent="0.2">
      <c r="E90" s="675">
        <v>2002</v>
      </c>
      <c r="F90" s="674"/>
      <c r="G90" s="888">
        <v>2003</v>
      </c>
      <c r="H90" s="674"/>
      <c r="I90" s="888">
        <v>2004</v>
      </c>
      <c r="J90" s="674"/>
      <c r="K90" s="888">
        <v>2005</v>
      </c>
      <c r="L90" s="674"/>
      <c r="M90" s="889" t="s">
        <v>466</v>
      </c>
      <c r="N90" s="674"/>
      <c r="O90" s="889">
        <v>2007</v>
      </c>
      <c r="P90" s="674"/>
      <c r="Q90" s="889">
        <v>2008</v>
      </c>
      <c r="R90" s="674"/>
      <c r="S90" s="889">
        <v>2009</v>
      </c>
      <c r="T90" s="674"/>
      <c r="U90" s="746">
        <v>2010</v>
      </c>
      <c r="V90" s="741"/>
      <c r="W90" s="746">
        <v>2011</v>
      </c>
      <c r="X90" s="741"/>
      <c r="Y90" s="746">
        <v>2012</v>
      </c>
      <c r="Z90" s="741"/>
      <c r="AA90" s="746">
        <v>2013</v>
      </c>
      <c r="AB90" s="741"/>
      <c r="AC90" s="746">
        <v>2014</v>
      </c>
      <c r="AD90" s="741"/>
      <c r="AE90" s="746" t="s">
        <v>1303</v>
      </c>
      <c r="AF90" s="741"/>
      <c r="AG90" s="746" t="s">
        <v>1339</v>
      </c>
      <c r="AH90" s="741"/>
      <c r="AI90" s="746">
        <v>2017</v>
      </c>
      <c r="AJ90" s="741"/>
      <c r="AK90" s="746">
        <v>2018</v>
      </c>
      <c r="AL90" s="741"/>
      <c r="AM90" s="746">
        <v>2019</v>
      </c>
      <c r="AN90" s="741"/>
      <c r="AO90" s="1259">
        <v>2020</v>
      </c>
      <c r="AP90" s="741"/>
      <c r="AQ90" s="1259">
        <v>2021</v>
      </c>
      <c r="AR90" s="1457"/>
      <c r="AS90" s="1259">
        <v>2022</v>
      </c>
      <c r="AT90" s="741"/>
      <c r="AU90" s="1259">
        <v>2023</v>
      </c>
      <c r="AV90" s="741"/>
      <c r="AW90" s="1259">
        <v>2024</v>
      </c>
    </row>
    <row r="91" spans="1:49" s="418" customFormat="1" ht="9.9499999999999993" customHeight="1" x14ac:dyDescent="0.2">
      <c r="A91" s="417" t="s">
        <v>806</v>
      </c>
      <c r="E91" s="450"/>
      <c r="F91" s="450"/>
      <c r="G91" s="450"/>
      <c r="H91" s="450"/>
      <c r="I91" s="450"/>
      <c r="J91" s="450"/>
      <c r="K91" s="450"/>
      <c r="L91" s="450"/>
      <c r="M91" s="450"/>
      <c r="N91" s="450"/>
      <c r="O91" s="450"/>
      <c r="P91" s="450"/>
      <c r="Q91" s="450"/>
      <c r="R91" s="450"/>
      <c r="S91" s="450"/>
      <c r="T91" s="450"/>
      <c r="U91" s="450"/>
      <c r="V91" s="450"/>
      <c r="W91" s="450"/>
      <c r="X91" s="450"/>
      <c r="Y91" s="450"/>
      <c r="Z91" s="450"/>
      <c r="AA91" s="450"/>
      <c r="AB91" s="450"/>
      <c r="AC91" s="450"/>
      <c r="AD91" s="450"/>
      <c r="AE91" s="450"/>
      <c r="AF91" s="450"/>
      <c r="AG91" s="450"/>
      <c r="AH91" s="450"/>
      <c r="AI91" s="450"/>
      <c r="AJ91" s="450"/>
      <c r="AK91" s="450"/>
      <c r="AL91" s="450"/>
      <c r="AM91" s="450"/>
      <c r="AN91" s="450"/>
      <c r="AO91" s="450"/>
      <c r="AP91" s="450"/>
      <c r="AQ91" s="450"/>
      <c r="AR91" s="450"/>
      <c r="AS91" s="450"/>
      <c r="AT91" s="450"/>
      <c r="AU91" s="450"/>
      <c r="AV91" s="450"/>
      <c r="AW91" s="450"/>
    </row>
    <row r="92" spans="1:49" s="418" customFormat="1" ht="9.9499999999999993" customHeight="1" x14ac:dyDescent="0.2">
      <c r="B92" s="418" t="s">
        <v>807</v>
      </c>
      <c r="E92" s="461">
        <f>SUM(E62-E30)</f>
        <v>-734962</v>
      </c>
      <c r="F92" s="450"/>
      <c r="G92" s="461">
        <f>SUM(G62-G30)</f>
        <v>-652414</v>
      </c>
      <c r="H92" s="450"/>
      <c r="I92" s="461">
        <f>SUM(I62-I30)</f>
        <v>-723424</v>
      </c>
      <c r="J92" s="450"/>
      <c r="K92" s="461">
        <f>SUM(K62-K30)</f>
        <v>-821909</v>
      </c>
      <c r="L92" s="450"/>
      <c r="M92" s="461">
        <f>SUM(M62-M30)</f>
        <v>-902009</v>
      </c>
      <c r="N92" s="450"/>
      <c r="O92" s="461">
        <f>SUM(O62-O30)</f>
        <v>-928301</v>
      </c>
      <c r="P92" s="450"/>
      <c r="Q92" s="461">
        <f>SUM(Q62-Q30)</f>
        <v>-1050040</v>
      </c>
      <c r="R92" s="450"/>
      <c r="S92" s="461">
        <v>-929398</v>
      </c>
      <c r="T92" s="450"/>
      <c r="U92" s="461">
        <f>SUM(U62-U30)</f>
        <v>-1034475</v>
      </c>
      <c r="V92" s="450"/>
      <c r="W92" s="461">
        <f>SUM(W62-W30)</f>
        <v>-1069140</v>
      </c>
      <c r="X92" s="450"/>
      <c r="Y92" s="461">
        <v>-1169797</v>
      </c>
      <c r="Z92" s="450"/>
      <c r="AA92" s="461">
        <v>-1210808</v>
      </c>
      <c r="AB92" s="450"/>
      <c r="AC92" s="461">
        <f>SUM(AC62-AC30)</f>
        <v>-1233123</v>
      </c>
      <c r="AD92" s="450"/>
      <c r="AE92" s="461">
        <v>-1268002</v>
      </c>
      <c r="AF92" s="450"/>
      <c r="AG92" s="461">
        <v>-1437254</v>
      </c>
      <c r="AH92" s="450"/>
      <c r="AI92" s="461">
        <v>-1358695</v>
      </c>
      <c r="AJ92" s="450"/>
      <c r="AK92" s="461">
        <v>-1483551</v>
      </c>
      <c r="AL92" s="450"/>
      <c r="AM92" s="461">
        <v>-1640275</v>
      </c>
      <c r="AN92" s="450"/>
      <c r="AO92" s="461">
        <v>-1639231</v>
      </c>
      <c r="AP92" s="450"/>
      <c r="AQ92" s="461">
        <f>SUM(AQ62-AQ30)</f>
        <v>-1589450</v>
      </c>
      <c r="AR92" s="461"/>
      <c r="AS92" s="461">
        <f>SUM(AS62-AS30)</f>
        <v>-1411216</v>
      </c>
      <c r="AT92" s="450"/>
      <c r="AU92" s="461">
        <v>-1943232</v>
      </c>
      <c r="AV92" s="450"/>
      <c r="AW92" s="461">
        <f>SUM(AW62-AW30)</f>
        <v>-2029623</v>
      </c>
    </row>
    <row r="93" spans="1:49" s="418" customFormat="1" ht="9.9499999999999993" customHeight="1" x14ac:dyDescent="0.2">
      <c r="B93" s="418" t="s">
        <v>808</v>
      </c>
      <c r="E93" s="450">
        <f>SUM(E74-E39)</f>
        <v>997</v>
      </c>
      <c r="F93" s="450"/>
      <c r="G93" s="450">
        <f>SUM(G74-G39)</f>
        <v>3924</v>
      </c>
      <c r="H93" s="450"/>
      <c r="I93" s="450">
        <f>SUM(I74-I39)</f>
        <v>-3152</v>
      </c>
      <c r="J93" s="450"/>
      <c r="K93" s="450">
        <f>SUM(K74-K39)</f>
        <v>108</v>
      </c>
      <c r="L93" s="450"/>
      <c r="M93" s="450">
        <f>SUM(M74-M39)</f>
        <v>-10132</v>
      </c>
      <c r="N93" s="450"/>
      <c r="O93" s="450">
        <f>SUM(O74-O39)</f>
        <v>15540</v>
      </c>
      <c r="P93" s="450"/>
      <c r="Q93" s="450">
        <f>SUM(Q74-Q39)</f>
        <v>-15969</v>
      </c>
      <c r="R93" s="450"/>
      <c r="S93" s="450">
        <f>SUM(S74-S39)</f>
        <v>4172</v>
      </c>
      <c r="T93" s="450"/>
      <c r="U93" s="450">
        <f>SUM(U74-U39)</f>
        <v>24206</v>
      </c>
      <c r="V93" s="450"/>
      <c r="W93" s="450">
        <f>SUM(W74-W39)</f>
        <v>26684</v>
      </c>
      <c r="X93" s="450"/>
      <c r="Y93" s="450">
        <v>5125</v>
      </c>
      <c r="Z93" s="450"/>
      <c r="AA93" s="450">
        <v>19147</v>
      </c>
      <c r="AB93" s="450"/>
      <c r="AC93" s="450">
        <f>SUM(AC74-AC39)</f>
        <v>22084</v>
      </c>
      <c r="AD93" s="450"/>
      <c r="AE93" s="450">
        <v>25360</v>
      </c>
      <c r="AF93" s="450"/>
      <c r="AG93" s="450">
        <v>-7362</v>
      </c>
      <c r="AH93" s="450"/>
      <c r="AI93" s="450">
        <v>6155</v>
      </c>
      <c r="AJ93" s="450"/>
      <c r="AK93" s="450">
        <v>22953</v>
      </c>
      <c r="AL93" s="450"/>
      <c r="AM93" s="455">
        <v>11167</v>
      </c>
      <c r="AN93" s="450"/>
      <c r="AO93" s="450">
        <v>-35150</v>
      </c>
      <c r="AP93" s="450"/>
      <c r="AQ93" s="450">
        <f>SUM(AQ74-AQ39)</f>
        <v>7252</v>
      </c>
      <c r="AR93" s="450"/>
      <c r="AS93" s="450">
        <f>SUM(AS74-AS39)</f>
        <v>53881</v>
      </c>
      <c r="AT93" s="450"/>
      <c r="AU93" s="450">
        <v>13014</v>
      </c>
      <c r="AV93" s="450"/>
      <c r="AW93" s="450">
        <f>SUM(AW74-AW39)</f>
        <v>33750</v>
      </c>
    </row>
    <row r="94" spans="1:49" s="418" customFormat="1" ht="5.0999999999999996" customHeight="1" x14ac:dyDescent="0.2">
      <c r="E94" s="452"/>
      <c r="F94" s="450"/>
      <c r="G94" s="452"/>
      <c r="H94" s="450"/>
      <c r="I94" s="452"/>
      <c r="J94" s="450"/>
      <c r="K94" s="452"/>
      <c r="L94" s="450"/>
      <c r="M94" s="452"/>
      <c r="N94" s="450"/>
      <c r="O94" s="452"/>
      <c r="P94" s="450"/>
      <c r="Q94" s="452"/>
      <c r="R94" s="450"/>
      <c r="S94" s="452"/>
      <c r="T94" s="450"/>
      <c r="U94" s="452"/>
      <c r="V94" s="450"/>
      <c r="W94" s="452"/>
      <c r="X94" s="450"/>
      <c r="Y94" s="452"/>
      <c r="Z94" s="450"/>
      <c r="AA94" s="452"/>
      <c r="AB94" s="450"/>
      <c r="AC94" s="452"/>
      <c r="AD94" s="450"/>
      <c r="AE94" s="452"/>
      <c r="AF94" s="450"/>
      <c r="AG94" s="452"/>
      <c r="AH94" s="450"/>
      <c r="AI94" s="452"/>
      <c r="AJ94" s="450"/>
      <c r="AK94" s="452"/>
      <c r="AL94" s="450"/>
      <c r="AM94" s="450"/>
      <c r="AN94" s="450"/>
      <c r="AO94" s="452"/>
      <c r="AP94" s="450"/>
      <c r="AQ94" s="452"/>
      <c r="AR94" s="450"/>
      <c r="AS94" s="452"/>
      <c r="AT94" s="450"/>
      <c r="AU94" s="452"/>
      <c r="AV94" s="450"/>
      <c r="AW94" s="452"/>
    </row>
    <row r="95" spans="1:49" s="418" customFormat="1" ht="11.1" customHeight="1" thickBot="1" x14ac:dyDescent="0.25">
      <c r="A95" s="417" t="s">
        <v>1294</v>
      </c>
      <c r="E95" s="453">
        <f>SUM(E92:E93)</f>
        <v>-733965</v>
      </c>
      <c r="F95" s="450"/>
      <c r="G95" s="453">
        <f>SUM(G92:G93)</f>
        <v>-648490</v>
      </c>
      <c r="H95" s="450"/>
      <c r="I95" s="453">
        <f>SUM(I92:I93)</f>
        <v>-726576</v>
      </c>
      <c r="J95" s="450"/>
      <c r="K95" s="453">
        <f>SUM(K92:K93)</f>
        <v>-821801</v>
      </c>
      <c r="L95" s="450"/>
      <c r="M95" s="453">
        <f>SUM(M92:M93)</f>
        <v>-912141</v>
      </c>
      <c r="N95" s="450"/>
      <c r="O95" s="453">
        <f>SUM(O92:O93)</f>
        <v>-912761</v>
      </c>
      <c r="P95" s="450"/>
      <c r="Q95" s="453">
        <f>SUM(Q92:Q93)</f>
        <v>-1066009</v>
      </c>
      <c r="R95" s="450"/>
      <c r="S95" s="453">
        <f>SUM(S92:S93)</f>
        <v>-925226</v>
      </c>
      <c r="T95" s="450"/>
      <c r="U95" s="453">
        <f>SUM(U92:U93)</f>
        <v>-1010269</v>
      </c>
      <c r="V95" s="450"/>
      <c r="W95" s="453">
        <f>SUM(W92:W93)</f>
        <v>-1042456</v>
      </c>
      <c r="X95" s="450"/>
      <c r="Y95" s="453">
        <f>SUM(Y92:Y93)</f>
        <v>-1164672</v>
      </c>
      <c r="Z95" s="450"/>
      <c r="AA95" s="453">
        <f>SUM(AA92:AA93)</f>
        <v>-1191661</v>
      </c>
      <c r="AB95" s="450"/>
      <c r="AC95" s="453">
        <f>SUM(AC92:AC93)</f>
        <v>-1211039</v>
      </c>
      <c r="AD95" s="450"/>
      <c r="AE95" s="453">
        <f>SUM(AE92:AE93)</f>
        <v>-1242642</v>
      </c>
      <c r="AF95" s="450"/>
      <c r="AG95" s="453">
        <f>SUM(AG92:AG93)</f>
        <v>-1444616</v>
      </c>
      <c r="AH95" s="450"/>
      <c r="AI95" s="453">
        <f>SUM(AI92:AI93)</f>
        <v>-1352540</v>
      </c>
      <c r="AJ95" s="450"/>
      <c r="AK95" s="453">
        <f>SUM(AK92:AK93)</f>
        <v>-1460598</v>
      </c>
      <c r="AL95" s="450"/>
      <c r="AM95" s="453">
        <f>SUM(AM92:AM93)</f>
        <v>-1629108</v>
      </c>
      <c r="AN95" s="450"/>
      <c r="AO95" s="453">
        <f>SUM(AO92:AO93)</f>
        <v>-1674381</v>
      </c>
      <c r="AP95" s="450"/>
      <c r="AQ95" s="453">
        <f>SUM(AQ92:AQ93)</f>
        <v>-1582198</v>
      </c>
      <c r="AR95" s="461"/>
      <c r="AS95" s="453">
        <f>SUM(AS92:AS93)</f>
        <v>-1357335</v>
      </c>
      <c r="AT95" s="450"/>
      <c r="AU95" s="453">
        <f>SUM(AU92:AU93)</f>
        <v>-1930218</v>
      </c>
      <c r="AV95" s="450"/>
      <c r="AW95" s="453">
        <f>SUM(AW92:AW93)</f>
        <v>-1995873</v>
      </c>
    </row>
    <row r="96" spans="1:49" s="418" customFormat="1" ht="5.0999999999999996" customHeight="1" thickTop="1" x14ac:dyDescent="0.2">
      <c r="E96" s="448"/>
      <c r="F96" s="450"/>
      <c r="G96" s="448"/>
      <c r="H96" s="450"/>
      <c r="I96" s="448"/>
      <c r="J96" s="450"/>
      <c r="K96" s="448"/>
      <c r="L96" s="450"/>
      <c r="M96" s="448"/>
      <c r="N96" s="450"/>
      <c r="O96" s="448"/>
      <c r="P96" s="450"/>
      <c r="Q96" s="448"/>
      <c r="R96" s="450"/>
      <c r="S96" s="448"/>
      <c r="T96" s="450"/>
      <c r="U96" s="448"/>
      <c r="V96" s="450"/>
      <c r="W96" s="448"/>
      <c r="X96" s="450"/>
      <c r="Y96" s="448"/>
      <c r="Z96" s="450"/>
      <c r="AA96" s="448"/>
      <c r="AB96" s="450"/>
      <c r="AC96" s="448"/>
      <c r="AD96" s="450"/>
      <c r="AE96" s="448"/>
      <c r="AF96" s="450"/>
      <c r="AG96" s="448"/>
      <c r="AH96" s="450"/>
      <c r="AI96" s="448"/>
      <c r="AJ96" s="450"/>
      <c r="AK96" s="448"/>
      <c r="AL96" s="450"/>
      <c r="AM96" s="448"/>
      <c r="AN96" s="450"/>
      <c r="AO96" s="448"/>
      <c r="AP96" s="450"/>
      <c r="AQ96" s="448"/>
      <c r="AR96" s="448"/>
      <c r="AS96" s="448"/>
      <c r="AT96" s="450"/>
      <c r="AU96" s="448"/>
      <c r="AV96" s="450"/>
      <c r="AW96" s="448"/>
    </row>
    <row r="97" spans="1:49" s="418" customFormat="1" ht="9.9499999999999993" customHeight="1" x14ac:dyDescent="0.2">
      <c r="A97" s="417" t="s">
        <v>809</v>
      </c>
      <c r="E97" s="450"/>
      <c r="F97" s="450"/>
      <c r="G97" s="450"/>
      <c r="H97" s="450"/>
      <c r="I97" s="450"/>
      <c r="J97" s="450"/>
      <c r="K97" s="450"/>
      <c r="L97" s="450"/>
      <c r="M97" s="450"/>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row>
    <row r="98" spans="1:49" s="418" customFormat="1" ht="9.9499999999999993" customHeight="1" x14ac:dyDescent="0.2">
      <c r="A98" s="417"/>
      <c r="B98" s="417" t="s">
        <v>1192</v>
      </c>
      <c r="E98" s="450"/>
      <c r="F98" s="450"/>
      <c r="G98" s="450"/>
      <c r="H98" s="450"/>
      <c r="I98" s="450"/>
      <c r="J98" s="450"/>
      <c r="K98" s="450"/>
      <c r="L98" s="450"/>
      <c r="M98" s="450"/>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row>
    <row r="99" spans="1:49" s="418" customFormat="1" ht="9.9499999999999993" customHeight="1" x14ac:dyDescent="0.2">
      <c r="B99" s="417" t="s">
        <v>1051</v>
      </c>
      <c r="E99" s="450"/>
      <c r="F99" s="450"/>
      <c r="G99" s="450"/>
      <c r="H99" s="450"/>
      <c r="I99" s="450"/>
      <c r="J99" s="450"/>
      <c r="K99" s="450"/>
      <c r="L99" s="450"/>
      <c r="M99" s="450"/>
      <c r="N99" s="450"/>
      <c r="O99" s="450"/>
      <c r="P99" s="450"/>
      <c r="Q99" s="450"/>
      <c r="R99" s="450"/>
      <c r="S99" s="450"/>
      <c r="T99" s="450"/>
      <c r="U99" s="450"/>
      <c r="V99" s="450"/>
      <c r="W99" s="450"/>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row>
    <row r="100" spans="1:49" s="418" customFormat="1" ht="9.9499999999999993" customHeight="1" x14ac:dyDescent="0.2">
      <c r="C100" s="418" t="s">
        <v>869</v>
      </c>
      <c r="E100" s="450"/>
      <c r="F100" s="450"/>
      <c r="G100" s="450"/>
      <c r="H100" s="450"/>
      <c r="I100" s="450"/>
      <c r="J100" s="450"/>
      <c r="K100" s="450"/>
      <c r="L100" s="450"/>
      <c r="M100" s="450"/>
      <c r="N100" s="450"/>
      <c r="O100" s="450"/>
      <c r="P100" s="450"/>
      <c r="Q100" s="450"/>
      <c r="R100" s="450"/>
      <c r="S100" s="450"/>
      <c r="T100" s="450"/>
      <c r="U100" s="450"/>
      <c r="V100" s="450"/>
      <c r="W100" s="450"/>
      <c r="X100" s="450"/>
      <c r="Y100" s="450"/>
      <c r="Z100" s="450"/>
      <c r="AA100" s="450"/>
      <c r="AB100" s="450"/>
      <c r="AC100" s="450"/>
      <c r="AD100" s="450"/>
      <c r="AE100" s="450"/>
      <c r="AF100" s="450"/>
      <c r="AG100" s="450"/>
      <c r="AH100" s="450"/>
      <c r="AI100" s="450"/>
      <c r="AJ100" s="450"/>
      <c r="AK100" s="450"/>
      <c r="AL100" s="450"/>
      <c r="AM100" s="450"/>
      <c r="AN100" s="450"/>
      <c r="AO100" s="450"/>
      <c r="AP100" s="450"/>
      <c r="AQ100" s="450"/>
      <c r="AR100" s="450"/>
      <c r="AS100" s="450"/>
      <c r="AT100" s="450"/>
      <c r="AU100" s="450"/>
      <c r="AV100" s="450"/>
      <c r="AW100" s="450"/>
    </row>
    <row r="101" spans="1:49" s="418" customFormat="1" ht="9.9499999999999993" customHeight="1" x14ac:dyDescent="0.2">
      <c r="D101" s="418" t="s">
        <v>714</v>
      </c>
      <c r="E101" s="461">
        <v>225740</v>
      </c>
      <c r="F101" s="450"/>
      <c r="G101" s="461">
        <v>236947</v>
      </c>
      <c r="H101" s="450"/>
      <c r="I101" s="461">
        <v>257514</v>
      </c>
      <c r="J101" s="450"/>
      <c r="K101" s="461">
        <v>269138</v>
      </c>
      <c r="L101" s="450"/>
      <c r="M101" s="461">
        <v>276728</v>
      </c>
      <c r="N101" s="450"/>
      <c r="O101" s="461">
        <v>326342</v>
      </c>
      <c r="P101" s="450"/>
      <c r="Q101" s="461">
        <v>379457</v>
      </c>
      <c r="R101" s="450"/>
      <c r="S101" s="461">
        <v>407183</v>
      </c>
      <c r="T101" s="450"/>
      <c r="U101" s="461">
        <v>406579</v>
      </c>
      <c r="V101" s="450"/>
      <c r="W101" s="461">
        <v>396847</v>
      </c>
      <c r="X101" s="450"/>
      <c r="Y101" s="461">
        <v>395944</v>
      </c>
      <c r="Z101" s="450"/>
      <c r="AA101" s="461">
        <v>402619</v>
      </c>
      <c r="AB101" s="450"/>
      <c r="AC101" s="461">
        <v>423781</v>
      </c>
      <c r="AD101" s="450"/>
      <c r="AE101" s="461">
        <v>446705</v>
      </c>
      <c r="AF101" s="450"/>
      <c r="AG101" s="461">
        <v>495638</v>
      </c>
      <c r="AH101" s="450"/>
      <c r="AI101" s="461">
        <v>550204</v>
      </c>
      <c r="AJ101" s="450"/>
      <c r="AK101" s="461">
        <v>577870</v>
      </c>
      <c r="AL101" s="450"/>
      <c r="AM101" s="461">
        <v>617045</v>
      </c>
      <c r="AN101" s="450"/>
      <c r="AO101" s="461">
        <v>653263</v>
      </c>
      <c r="AP101" s="450"/>
      <c r="AQ101" s="461">
        <f>[4]SOActivities!K57</f>
        <v>684784</v>
      </c>
      <c r="AR101" s="461"/>
      <c r="AS101" s="461">
        <v>708485</v>
      </c>
      <c r="AT101" s="450"/>
      <c r="AU101" s="461">
        <v>765507</v>
      </c>
      <c r="AV101" s="450"/>
      <c r="AW101" s="461">
        <f>SOActivities!K57</f>
        <v>809895</v>
      </c>
    </row>
    <row r="102" spans="1:49" s="418" customFormat="1" ht="9.9499999999999993" customHeight="1" x14ac:dyDescent="0.2">
      <c r="D102" s="418" t="s">
        <v>779</v>
      </c>
      <c r="E102" s="450">
        <v>157593</v>
      </c>
      <c r="F102" s="450"/>
      <c r="G102" s="450">
        <v>156322</v>
      </c>
      <c r="H102" s="450"/>
      <c r="I102" s="450">
        <v>162383</v>
      </c>
      <c r="J102" s="450"/>
      <c r="K102" s="450">
        <v>167332</v>
      </c>
      <c r="L102" s="450"/>
      <c r="M102" s="450">
        <v>210141</v>
      </c>
      <c r="N102" s="450"/>
      <c r="O102" s="450">
        <v>224480</v>
      </c>
      <c r="P102" s="450"/>
      <c r="Q102" s="450">
        <v>232348</v>
      </c>
      <c r="R102" s="450"/>
      <c r="S102" s="450">
        <v>221746</v>
      </c>
      <c r="T102" s="450"/>
      <c r="U102" s="450">
        <v>223475</v>
      </c>
      <c r="V102" s="450"/>
      <c r="W102" s="450">
        <v>236819</v>
      </c>
      <c r="X102" s="450"/>
      <c r="Y102" s="450">
        <v>259927</v>
      </c>
      <c r="Z102" s="450"/>
      <c r="AA102" s="450">
        <v>287944</v>
      </c>
      <c r="AB102" s="450"/>
      <c r="AC102" s="450">
        <v>324612</v>
      </c>
      <c r="AD102" s="450"/>
      <c r="AE102" s="450">
        <v>339012</v>
      </c>
      <c r="AF102" s="450"/>
      <c r="AG102" s="450">
        <v>347874</v>
      </c>
      <c r="AH102" s="450"/>
      <c r="AI102" s="450">
        <v>358076</v>
      </c>
      <c r="AJ102" s="450"/>
      <c r="AK102" s="450">
        <v>378367</v>
      </c>
      <c r="AL102" s="450"/>
      <c r="AM102" s="450">
        <v>397869</v>
      </c>
      <c r="AN102" s="450"/>
      <c r="AO102" s="450">
        <v>390513</v>
      </c>
      <c r="AP102" s="450"/>
      <c r="AQ102" s="450">
        <f>[4]SOActivities!K58</f>
        <v>439381</v>
      </c>
      <c r="AR102" s="450"/>
      <c r="AS102" s="450">
        <v>501259</v>
      </c>
      <c r="AT102" s="450"/>
      <c r="AU102" s="450">
        <v>514843</v>
      </c>
      <c r="AV102" s="450"/>
      <c r="AW102" s="450">
        <f>SOActivities!K58</f>
        <v>527129</v>
      </c>
    </row>
    <row r="103" spans="1:49" s="418" customFormat="1" ht="9.9499999999999993" customHeight="1" x14ac:dyDescent="0.2">
      <c r="D103" s="418" t="s">
        <v>780</v>
      </c>
      <c r="E103" s="450">
        <v>3628</v>
      </c>
      <c r="F103" s="450"/>
      <c r="G103" s="450">
        <v>3863</v>
      </c>
      <c r="H103" s="450"/>
      <c r="I103" s="450">
        <v>4189</v>
      </c>
      <c r="J103" s="450"/>
      <c r="K103" s="450">
        <v>4473</v>
      </c>
      <c r="L103" s="450"/>
      <c r="M103" s="450">
        <v>4932</v>
      </c>
      <c r="N103" s="450"/>
      <c r="O103" s="450">
        <v>5308</v>
      </c>
      <c r="P103" s="450"/>
      <c r="Q103" s="450">
        <v>5712</v>
      </c>
      <c r="R103" s="450"/>
      <c r="S103" s="450">
        <v>5741</v>
      </c>
      <c r="T103" s="450"/>
      <c r="U103" s="450">
        <v>5921</v>
      </c>
      <c r="V103" s="450"/>
      <c r="W103" s="450">
        <v>5879</v>
      </c>
      <c r="X103" s="450"/>
      <c r="Y103" s="450">
        <v>5200</v>
      </c>
      <c r="Z103" s="450"/>
      <c r="AA103" s="450">
        <v>5799</v>
      </c>
      <c r="AB103" s="450"/>
      <c r="AC103" s="450">
        <v>7554</v>
      </c>
      <c r="AD103" s="450"/>
      <c r="AE103" s="450">
        <v>7957</v>
      </c>
      <c r="AF103" s="450"/>
      <c r="AG103" s="450">
        <v>8516</v>
      </c>
      <c r="AH103" s="450"/>
      <c r="AI103" s="450">
        <v>8875</v>
      </c>
      <c r="AJ103" s="450"/>
      <c r="AK103" s="450">
        <v>9554</v>
      </c>
      <c r="AL103" s="450"/>
      <c r="AM103" s="450">
        <v>9928</v>
      </c>
      <c r="AN103" s="450"/>
      <c r="AO103" s="450">
        <v>6876</v>
      </c>
      <c r="AP103" s="450"/>
      <c r="AQ103" s="450">
        <f>[4]SOActivities!K59</f>
        <v>9083</v>
      </c>
      <c r="AR103" s="450"/>
      <c r="AS103" s="450">
        <v>11698</v>
      </c>
      <c r="AT103" s="450"/>
      <c r="AU103" s="450">
        <v>12357</v>
      </c>
      <c r="AV103" s="450"/>
      <c r="AW103" s="450">
        <f>SOActivities!K59</f>
        <v>12425</v>
      </c>
    </row>
    <row r="104" spans="1:49" s="418" customFormat="1" ht="9.9499999999999993" customHeight="1" x14ac:dyDescent="0.2">
      <c r="D104" s="418" t="s">
        <v>827</v>
      </c>
      <c r="E104" s="450">
        <v>22518</v>
      </c>
      <c r="F104" s="450"/>
      <c r="G104" s="450">
        <v>22128</v>
      </c>
      <c r="H104" s="450"/>
      <c r="I104" s="450">
        <v>22787</v>
      </c>
      <c r="J104" s="450"/>
      <c r="K104" s="450">
        <v>26274</v>
      </c>
      <c r="L104" s="450"/>
      <c r="M104" s="450">
        <v>30415</v>
      </c>
      <c r="N104" s="450"/>
      <c r="O104" s="450">
        <v>30236</v>
      </c>
      <c r="P104" s="450"/>
      <c r="Q104" s="450">
        <v>31705</v>
      </c>
      <c r="R104" s="450"/>
      <c r="S104" s="450">
        <v>33396</v>
      </c>
      <c r="T104" s="450"/>
      <c r="U104" s="450">
        <v>35913</v>
      </c>
      <c r="V104" s="450"/>
      <c r="W104" s="450">
        <v>34341</v>
      </c>
      <c r="X104" s="450"/>
      <c r="Y104" s="450">
        <v>33625</v>
      </c>
      <c r="Z104" s="450"/>
      <c r="AA104" s="450">
        <v>33745</v>
      </c>
      <c r="AB104" s="450"/>
      <c r="AC104" s="450">
        <v>34784</v>
      </c>
      <c r="AD104" s="450"/>
      <c r="AE104" s="450">
        <v>36202</v>
      </c>
      <c r="AF104" s="450"/>
      <c r="AG104" s="450">
        <v>35992</v>
      </c>
      <c r="AH104" s="450"/>
      <c r="AI104" s="450">
        <v>33380</v>
      </c>
      <c r="AJ104" s="450"/>
      <c r="AK104" s="450">
        <v>32086</v>
      </c>
      <c r="AL104" s="450"/>
      <c r="AM104" s="450">
        <v>32109</v>
      </c>
      <c r="AN104" s="450"/>
      <c r="AO104" s="450">
        <v>25455</v>
      </c>
      <c r="AP104" s="450"/>
      <c r="AQ104" s="450">
        <f>[4]SOActivities!K60</f>
        <v>22211</v>
      </c>
      <c r="AR104" s="450"/>
      <c r="AS104" s="450">
        <v>21015</v>
      </c>
      <c r="AT104" s="450"/>
      <c r="AU104" s="450">
        <v>19523</v>
      </c>
      <c r="AV104" s="450"/>
      <c r="AW104" s="450">
        <f>SOActivities!K60</f>
        <v>17486</v>
      </c>
    </row>
    <row r="105" spans="1:49" s="418" customFormat="1" ht="9.9499999999999993" customHeight="1" x14ac:dyDescent="0.2">
      <c r="D105" s="418" t="s">
        <v>828</v>
      </c>
      <c r="E105" s="450">
        <v>45007</v>
      </c>
      <c r="F105" s="450"/>
      <c r="G105" s="450">
        <v>44633</v>
      </c>
      <c r="H105" s="450"/>
      <c r="I105" s="450">
        <v>46343</v>
      </c>
      <c r="J105" s="450"/>
      <c r="K105" s="450">
        <v>51726</v>
      </c>
      <c r="L105" s="450"/>
      <c r="M105" s="450">
        <v>58678</v>
      </c>
      <c r="N105" s="450"/>
      <c r="O105" s="450">
        <v>63878</v>
      </c>
      <c r="P105" s="450"/>
      <c r="Q105" s="450">
        <v>68414</v>
      </c>
      <c r="R105" s="450"/>
      <c r="S105" s="450">
        <v>58800</v>
      </c>
      <c r="T105" s="450"/>
      <c r="U105" s="450">
        <v>59734</v>
      </c>
      <c r="V105" s="450"/>
      <c r="W105" s="450">
        <v>62968</v>
      </c>
      <c r="X105" s="450"/>
      <c r="Y105" s="450">
        <v>67937</v>
      </c>
      <c r="Z105" s="450"/>
      <c r="AA105" s="450">
        <v>72770</v>
      </c>
      <c r="AB105" s="450"/>
      <c r="AC105" s="450">
        <v>77064</v>
      </c>
      <c r="AD105" s="450"/>
      <c r="AE105" s="450">
        <v>79163</v>
      </c>
      <c r="AF105" s="450"/>
      <c r="AG105" s="450">
        <v>81280</v>
      </c>
      <c r="AH105" s="450"/>
      <c r="AI105" s="450">
        <v>85814</v>
      </c>
      <c r="AJ105" s="450"/>
      <c r="AK105" s="450">
        <v>91563</v>
      </c>
      <c r="AL105" s="450"/>
      <c r="AM105" s="450">
        <v>100648</v>
      </c>
      <c r="AN105" s="450"/>
      <c r="AO105" s="450">
        <v>58177</v>
      </c>
      <c r="AP105" s="450"/>
      <c r="AQ105" s="450">
        <f>[4]SOActivities!K61</f>
        <v>69520</v>
      </c>
      <c r="AR105" s="450"/>
      <c r="AS105" s="450">
        <v>103044</v>
      </c>
      <c r="AT105" s="450"/>
      <c r="AU105" s="450">
        <v>110548</v>
      </c>
      <c r="AV105" s="450"/>
      <c r="AW105" s="450">
        <f>SOActivities!K61</f>
        <v>113944</v>
      </c>
    </row>
    <row r="106" spans="1:49" s="418" customFormat="1" ht="9.9499999999999993" hidden="1" customHeight="1" x14ac:dyDescent="0.2">
      <c r="D106" s="418" t="s">
        <v>810</v>
      </c>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0"/>
      <c r="AO106" s="450"/>
      <c r="AP106" s="450"/>
      <c r="AQ106" s="450"/>
      <c r="AR106" s="450"/>
      <c r="AS106" s="450"/>
      <c r="AT106" s="450"/>
      <c r="AU106" s="450"/>
      <c r="AV106" s="450"/>
      <c r="AW106" s="450"/>
    </row>
    <row r="107" spans="1:49" s="418" customFormat="1" ht="9.9499999999999993" customHeight="1" x14ac:dyDescent="0.2">
      <c r="D107" s="418" t="s">
        <v>944</v>
      </c>
      <c r="E107" s="450">
        <v>5105</v>
      </c>
      <c r="F107" s="450"/>
      <c r="G107" s="450">
        <v>5063</v>
      </c>
      <c r="H107" s="450"/>
      <c r="I107" s="450">
        <v>2998</v>
      </c>
      <c r="J107" s="450"/>
      <c r="K107" s="450">
        <v>3434</v>
      </c>
      <c r="L107" s="450"/>
      <c r="M107" s="450">
        <v>3851</v>
      </c>
      <c r="N107" s="450"/>
      <c r="O107" s="450">
        <v>4088</v>
      </c>
      <c r="P107" s="450"/>
      <c r="Q107" s="450">
        <v>3797</v>
      </c>
      <c r="R107" s="450"/>
      <c r="S107" s="450">
        <v>3784</v>
      </c>
      <c r="T107" s="450"/>
      <c r="U107" s="450">
        <v>3885</v>
      </c>
      <c r="V107" s="450"/>
      <c r="W107" s="450">
        <v>3797</v>
      </c>
      <c r="X107" s="450"/>
      <c r="Y107" s="450">
        <v>3554</v>
      </c>
      <c r="Z107" s="450"/>
      <c r="AA107" s="450">
        <v>3302</v>
      </c>
      <c r="AB107" s="450"/>
      <c r="AC107" s="450">
        <v>3557</v>
      </c>
      <c r="AD107" s="450"/>
      <c r="AE107" s="450">
        <v>3303</v>
      </c>
      <c r="AF107" s="450"/>
      <c r="AG107" s="450">
        <v>3480</v>
      </c>
      <c r="AH107" s="450"/>
      <c r="AI107" s="450">
        <v>3647</v>
      </c>
      <c r="AJ107" s="450"/>
      <c r="AK107" s="450">
        <v>3923</v>
      </c>
      <c r="AL107" s="450"/>
      <c r="AM107" s="450">
        <v>4023</v>
      </c>
      <c r="AN107" s="450"/>
      <c r="AO107" s="450">
        <v>4092</v>
      </c>
      <c r="AP107" s="450"/>
      <c r="AQ107" s="450">
        <f>+[4]SOActivities!K62</f>
        <v>4581</v>
      </c>
      <c r="AR107" s="450"/>
      <c r="AS107" s="450">
        <v>5225</v>
      </c>
      <c r="AT107" s="450"/>
      <c r="AU107" s="450">
        <v>5626</v>
      </c>
      <c r="AV107" s="450"/>
      <c r="AW107" s="450">
        <f>+SOActivities!K62</f>
        <v>7326</v>
      </c>
    </row>
    <row r="108" spans="1:49" s="418" customFormat="1" ht="9.9499999999999993" customHeight="1" x14ac:dyDescent="0.2">
      <c r="C108" s="418" t="s">
        <v>947</v>
      </c>
      <c r="E108" s="450">
        <v>171632</v>
      </c>
      <c r="F108" s="450"/>
      <c r="G108" s="450">
        <v>210854</v>
      </c>
      <c r="H108" s="450"/>
      <c r="I108" s="450">
        <v>196793</v>
      </c>
      <c r="J108" s="450"/>
      <c r="K108" s="450">
        <v>222162</v>
      </c>
      <c r="L108" s="450"/>
      <c r="M108" s="450">
        <v>256541</v>
      </c>
      <c r="N108" s="450"/>
      <c r="O108" s="450">
        <v>257687</v>
      </c>
      <c r="P108" s="450"/>
      <c r="Q108" s="450">
        <v>304545</v>
      </c>
      <c r="R108" s="450"/>
      <c r="S108" s="450">
        <v>275993</v>
      </c>
      <c r="T108" s="450"/>
      <c r="U108" s="450">
        <v>293091</v>
      </c>
      <c r="V108" s="450"/>
      <c r="W108" s="450">
        <v>308838</v>
      </c>
      <c r="X108" s="450"/>
      <c r="Y108" s="450">
        <v>299693</v>
      </c>
      <c r="Z108" s="450"/>
      <c r="AA108" s="450">
        <v>307687</v>
      </c>
      <c r="AB108" s="450"/>
      <c r="AC108" s="450">
        <v>355515</v>
      </c>
      <c r="AD108" s="450"/>
      <c r="AE108" s="450">
        <v>348997</v>
      </c>
      <c r="AF108" s="450"/>
      <c r="AG108" s="450">
        <v>345666</v>
      </c>
      <c r="AH108" s="450"/>
      <c r="AI108" s="450">
        <v>363612</v>
      </c>
      <c r="AJ108" s="450"/>
      <c r="AK108" s="450">
        <v>389319</v>
      </c>
      <c r="AL108" s="450"/>
      <c r="AM108" s="450">
        <v>377652</v>
      </c>
      <c r="AN108" s="450"/>
      <c r="AO108" s="450">
        <v>373426</v>
      </c>
      <c r="AP108" s="450"/>
      <c r="AQ108" s="450">
        <f>+[4]SOActivities!K63</f>
        <v>383127</v>
      </c>
      <c r="AR108" s="450"/>
      <c r="AS108" s="450">
        <v>419985</v>
      </c>
      <c r="AT108" s="450"/>
      <c r="AU108" s="450">
        <v>487646</v>
      </c>
      <c r="AV108" s="450"/>
      <c r="AW108" s="450">
        <f>+SOActivities!K63</f>
        <v>500488</v>
      </c>
    </row>
    <row r="109" spans="1:49" s="418" customFormat="1" ht="9.9499999999999993" hidden="1" customHeight="1" x14ac:dyDescent="0.2">
      <c r="C109" s="418" t="s">
        <v>678</v>
      </c>
      <c r="E109" s="450"/>
      <c r="F109" s="450"/>
      <c r="G109" s="450"/>
      <c r="H109" s="450"/>
      <c r="I109" s="450"/>
      <c r="J109" s="450"/>
      <c r="K109" s="450"/>
      <c r="L109" s="450"/>
      <c r="M109" s="450"/>
      <c r="N109" s="450"/>
      <c r="O109" s="450"/>
      <c r="P109" s="450"/>
      <c r="Q109" s="450"/>
      <c r="R109" s="450"/>
      <c r="S109" s="450">
        <v>0</v>
      </c>
      <c r="T109" s="450"/>
      <c r="U109" s="450"/>
      <c r="V109" s="450"/>
      <c r="W109" s="450"/>
      <c r="X109" s="450"/>
      <c r="Y109" s="450"/>
      <c r="Z109" s="450"/>
      <c r="AA109" s="450"/>
      <c r="AB109" s="450"/>
      <c r="AC109" s="450"/>
      <c r="AD109" s="450"/>
      <c r="AE109" s="450"/>
      <c r="AF109" s="450"/>
      <c r="AG109" s="450"/>
      <c r="AH109" s="450"/>
      <c r="AI109" s="450"/>
      <c r="AJ109" s="450"/>
      <c r="AK109" s="450"/>
      <c r="AL109" s="450"/>
      <c r="AM109" s="450"/>
      <c r="AN109" s="450"/>
      <c r="AO109" s="450"/>
      <c r="AP109" s="450"/>
      <c r="AQ109" s="450"/>
      <c r="AR109" s="450"/>
      <c r="AS109" s="450"/>
      <c r="AT109" s="450"/>
      <c r="AU109" s="450"/>
      <c r="AV109" s="450"/>
      <c r="AW109" s="450"/>
    </row>
    <row r="110" spans="1:49" s="418" customFormat="1" ht="9.9499999999999993" customHeight="1" x14ac:dyDescent="0.2">
      <c r="C110" s="418" t="s">
        <v>1591</v>
      </c>
      <c r="E110" s="450">
        <f>13504-423</f>
        <v>13081</v>
      </c>
      <c r="F110" s="450"/>
      <c r="G110" s="450">
        <f>8556-20</f>
        <v>8536</v>
      </c>
      <c r="H110" s="450"/>
      <c r="I110" s="450">
        <v>7189</v>
      </c>
      <c r="J110" s="450"/>
      <c r="K110" s="450">
        <v>19931</v>
      </c>
      <c r="L110" s="450"/>
      <c r="M110" s="450">
        <v>38386</v>
      </c>
      <c r="N110" s="450"/>
      <c r="O110" s="450">
        <v>54027</v>
      </c>
      <c r="P110" s="450"/>
      <c r="Q110" s="450">
        <v>39463</v>
      </c>
      <c r="R110" s="450"/>
      <c r="S110" s="450">
        <v>17500</v>
      </c>
      <c r="T110" s="450"/>
      <c r="U110" s="450">
        <v>6954</v>
      </c>
      <c r="V110" s="450"/>
      <c r="W110" s="450">
        <v>6184</v>
      </c>
      <c r="X110" s="450"/>
      <c r="Y110" s="450">
        <v>5005</v>
      </c>
      <c r="Z110" s="450"/>
      <c r="AA110" s="450">
        <v>5192</v>
      </c>
      <c r="AB110" s="450"/>
      <c r="AC110" s="450">
        <v>3997</v>
      </c>
      <c r="AD110" s="450"/>
      <c r="AE110" s="450">
        <v>3164</v>
      </c>
      <c r="AF110" s="450"/>
      <c r="AG110" s="450">
        <v>4811</v>
      </c>
      <c r="AH110" s="450"/>
      <c r="AI110" s="450">
        <v>8109</v>
      </c>
      <c r="AJ110" s="450"/>
      <c r="AK110" s="450">
        <v>19031</v>
      </c>
      <c r="AL110" s="450"/>
      <c r="AM110" s="450">
        <v>39682</v>
      </c>
      <c r="AN110" s="450"/>
      <c r="AO110" s="450">
        <v>26116</v>
      </c>
      <c r="AP110" s="450"/>
      <c r="AQ110" s="450">
        <f>+[4]SOActivities!K64</f>
        <v>1897</v>
      </c>
      <c r="AR110" s="450"/>
      <c r="AS110" s="450">
        <v>-16933</v>
      </c>
      <c r="AT110" s="450"/>
      <c r="AU110" s="450">
        <v>81677</v>
      </c>
      <c r="AV110" s="450"/>
      <c r="AW110" s="450">
        <f>+SOActivities!K64</f>
        <v>137959</v>
      </c>
    </row>
    <row r="111" spans="1:49" s="418" customFormat="1" ht="9.9499999999999993" hidden="1" customHeight="1" x14ac:dyDescent="0.2">
      <c r="C111" s="418" t="s">
        <v>17</v>
      </c>
      <c r="E111" s="450"/>
      <c r="F111" s="450"/>
      <c r="G111" s="450"/>
      <c r="H111" s="450"/>
      <c r="I111" s="450">
        <v>0</v>
      </c>
      <c r="J111" s="450"/>
      <c r="K111" s="450">
        <v>0</v>
      </c>
      <c r="L111" s="450"/>
      <c r="M111" s="450">
        <v>0</v>
      </c>
      <c r="N111" s="450"/>
      <c r="O111" s="450">
        <v>0</v>
      </c>
      <c r="P111" s="450"/>
      <c r="Q111" s="450">
        <v>0</v>
      </c>
      <c r="R111" s="450"/>
      <c r="S111" s="450"/>
      <c r="T111" s="450"/>
      <c r="U111" s="450"/>
      <c r="V111" s="450"/>
      <c r="W111" s="450"/>
      <c r="X111" s="450"/>
      <c r="Y111" s="450"/>
      <c r="Z111" s="450"/>
      <c r="AA111" s="450"/>
      <c r="AB111" s="450"/>
      <c r="AC111" s="450"/>
      <c r="AD111" s="450"/>
      <c r="AE111" s="450"/>
      <c r="AF111" s="450"/>
      <c r="AG111" s="450"/>
      <c r="AH111" s="450"/>
      <c r="AI111" s="450"/>
      <c r="AJ111" s="450"/>
      <c r="AK111" s="450"/>
      <c r="AL111" s="450"/>
      <c r="AM111" s="450"/>
      <c r="AN111" s="450"/>
      <c r="AO111" s="450"/>
      <c r="AP111" s="450"/>
      <c r="AQ111" s="450"/>
      <c r="AR111" s="450"/>
      <c r="AS111" s="450"/>
      <c r="AT111" s="450"/>
      <c r="AU111" s="450"/>
      <c r="AV111" s="450"/>
      <c r="AW111" s="450"/>
    </row>
    <row r="112" spans="1:49" s="418" customFormat="1" ht="9.9499999999999993" customHeight="1" x14ac:dyDescent="0.2">
      <c r="C112" s="418" t="s">
        <v>775</v>
      </c>
      <c r="E112" s="450">
        <v>12269</v>
      </c>
      <c r="F112" s="450"/>
      <c r="G112" s="450">
        <v>-1639</v>
      </c>
      <c r="H112" s="450"/>
      <c r="I112" s="450">
        <v>28542</v>
      </c>
      <c r="J112" s="450"/>
      <c r="K112" s="450">
        <v>22431</v>
      </c>
      <c r="L112" s="450"/>
      <c r="M112" s="450">
        <v>16173</v>
      </c>
      <c r="N112" s="450"/>
      <c r="O112" s="450">
        <v>26530</v>
      </c>
      <c r="P112" s="450"/>
      <c r="Q112" s="450">
        <v>30299</v>
      </c>
      <c r="R112" s="450"/>
      <c r="S112" s="450">
        <v>24017</v>
      </c>
      <c r="T112" s="450"/>
      <c r="U112" s="450">
        <v>24039</v>
      </c>
      <c r="V112" s="450"/>
      <c r="W112" s="450">
        <v>40217</v>
      </c>
      <c r="X112" s="450"/>
      <c r="Y112" s="450">
        <v>53990</v>
      </c>
      <c r="Z112" s="450"/>
      <c r="AA112" s="450">
        <v>35500</v>
      </c>
      <c r="AB112" s="450"/>
      <c r="AC112" s="450">
        <v>50868</v>
      </c>
      <c r="AD112" s="450"/>
      <c r="AE112" s="450">
        <v>62021</v>
      </c>
      <c r="AF112" s="450"/>
      <c r="AG112" s="450">
        <v>84841</v>
      </c>
      <c r="AH112" s="450"/>
      <c r="AI112" s="450">
        <v>82132</v>
      </c>
      <c r="AJ112" s="450"/>
      <c r="AK112" s="450">
        <v>96643</v>
      </c>
      <c r="AL112" s="450"/>
      <c r="AM112" s="450">
        <v>116883</v>
      </c>
      <c r="AN112" s="450"/>
      <c r="AO112" s="450">
        <v>113606</v>
      </c>
      <c r="AP112" s="450"/>
      <c r="AQ112" s="450">
        <f>+[4]SOActivities!K65</f>
        <v>117043</v>
      </c>
      <c r="AR112" s="450"/>
      <c r="AS112" s="450">
        <v>130856</v>
      </c>
      <c r="AT112" s="450"/>
      <c r="AU112" s="450">
        <v>112231</v>
      </c>
      <c r="AV112" s="450"/>
      <c r="AW112" s="450">
        <f>+SOActivities!K65</f>
        <v>101639</v>
      </c>
    </row>
    <row r="113" spans="2:49" s="418" customFormat="1" ht="9.75" hidden="1" customHeight="1" x14ac:dyDescent="0.2">
      <c r="C113" s="418" t="s">
        <v>1060</v>
      </c>
      <c r="E113" s="450">
        <v>1703</v>
      </c>
      <c r="F113" s="450"/>
      <c r="G113" s="450">
        <v>542</v>
      </c>
      <c r="H113" s="450"/>
      <c r="I113" s="450">
        <v>611</v>
      </c>
      <c r="J113" s="450"/>
      <c r="K113" s="450">
        <v>1507</v>
      </c>
      <c r="L113" s="450"/>
      <c r="M113" s="450"/>
      <c r="N113" s="450"/>
      <c r="O113" s="450"/>
      <c r="P113" s="450"/>
      <c r="Q113" s="450"/>
      <c r="R113" s="450"/>
      <c r="S113" s="450">
        <v>0</v>
      </c>
      <c r="T113" s="450"/>
      <c r="U113" s="450">
        <v>0</v>
      </c>
      <c r="V113" s="450"/>
      <c r="W113" s="450"/>
      <c r="X113" s="450"/>
      <c r="Y113" s="450"/>
      <c r="Z113" s="450"/>
      <c r="AA113" s="450"/>
      <c r="AB113" s="450"/>
      <c r="AC113" s="450"/>
      <c r="AD113" s="450"/>
      <c r="AE113" s="450"/>
      <c r="AF113" s="450"/>
      <c r="AG113" s="450"/>
      <c r="AH113" s="450"/>
      <c r="AI113" s="450"/>
      <c r="AJ113" s="450"/>
      <c r="AK113" s="450"/>
      <c r="AL113" s="450"/>
      <c r="AM113" s="450"/>
      <c r="AN113" s="450"/>
      <c r="AO113" s="450"/>
      <c r="AP113" s="450"/>
      <c r="AQ113" s="450"/>
      <c r="AR113" s="450"/>
      <c r="AS113" s="450"/>
      <c r="AT113" s="450"/>
      <c r="AU113" s="450"/>
      <c r="AV113" s="450"/>
      <c r="AW113" s="450"/>
    </row>
    <row r="114" spans="2:49" s="418" customFormat="1" ht="9.9499999999999993" hidden="1" customHeight="1" x14ac:dyDescent="0.2">
      <c r="C114" s="418" t="s">
        <v>2</v>
      </c>
      <c r="E114" s="450"/>
      <c r="F114" s="450"/>
      <c r="G114" s="450"/>
      <c r="H114" s="450"/>
      <c r="I114" s="450"/>
      <c r="J114" s="450"/>
      <c r="K114" s="450"/>
      <c r="L114" s="450"/>
      <c r="M114" s="450"/>
      <c r="N114" s="450"/>
      <c r="O114" s="450"/>
      <c r="P114" s="450"/>
      <c r="Q114" s="450"/>
      <c r="R114" s="450"/>
      <c r="S114" s="450">
        <v>0</v>
      </c>
      <c r="T114" s="450"/>
      <c r="U114" s="450">
        <v>0</v>
      </c>
      <c r="V114" s="450"/>
      <c r="W114" s="450"/>
      <c r="X114" s="450"/>
      <c r="Y114" s="450"/>
      <c r="Z114" s="450"/>
      <c r="AA114" s="450"/>
      <c r="AB114" s="450"/>
      <c r="AC114" s="450"/>
      <c r="AD114" s="450"/>
      <c r="AE114" s="450"/>
      <c r="AF114" s="450"/>
      <c r="AG114" s="450"/>
      <c r="AH114" s="450"/>
      <c r="AI114" s="450"/>
      <c r="AJ114" s="450"/>
      <c r="AK114" s="450"/>
      <c r="AL114" s="450"/>
      <c r="AM114" s="450"/>
      <c r="AN114" s="450"/>
      <c r="AO114" s="450"/>
      <c r="AP114" s="450"/>
      <c r="AQ114" s="450"/>
      <c r="AR114" s="450"/>
      <c r="AS114" s="450"/>
      <c r="AT114" s="450"/>
      <c r="AU114" s="450"/>
      <c r="AV114" s="450"/>
      <c r="AW114" s="450"/>
    </row>
    <row r="115" spans="2:49" s="418" customFormat="1" ht="9.9499999999999993" customHeight="1" x14ac:dyDescent="0.2">
      <c r="C115" s="418" t="s">
        <v>776</v>
      </c>
      <c r="E115" s="450"/>
      <c r="F115" s="450"/>
      <c r="G115" s="450"/>
      <c r="H115" s="450"/>
      <c r="I115" s="450"/>
      <c r="J115" s="450"/>
      <c r="K115" s="450"/>
      <c r="L115" s="450"/>
      <c r="M115" s="450"/>
      <c r="N115" s="450"/>
      <c r="O115" s="450"/>
      <c r="P115" s="450"/>
      <c r="Q115" s="450">
        <v>8320</v>
      </c>
      <c r="R115" s="450"/>
      <c r="S115" s="450">
        <v>0</v>
      </c>
      <c r="T115" s="450"/>
      <c r="U115" s="450">
        <v>0</v>
      </c>
      <c r="V115" s="450"/>
      <c r="W115" s="450"/>
      <c r="X115" s="450"/>
      <c r="Y115" s="450"/>
      <c r="Z115" s="450"/>
      <c r="AA115" s="450"/>
      <c r="AB115" s="450"/>
      <c r="AC115" s="450"/>
      <c r="AD115" s="450"/>
      <c r="AE115" s="450"/>
      <c r="AF115" s="450"/>
      <c r="AG115" s="450"/>
      <c r="AH115" s="450"/>
      <c r="AI115" s="450"/>
      <c r="AJ115" s="450"/>
      <c r="AK115" s="450">
        <v>0</v>
      </c>
      <c r="AL115" s="450"/>
      <c r="AM115" s="450">
        <v>0</v>
      </c>
      <c r="AN115" s="450"/>
      <c r="AO115" s="450">
        <v>0</v>
      </c>
      <c r="AP115" s="450"/>
      <c r="AQ115" s="450">
        <f>[4]SOActivities!K66</f>
        <v>0</v>
      </c>
      <c r="AR115" s="450"/>
      <c r="AS115" s="450">
        <v>0</v>
      </c>
      <c r="AT115" s="450"/>
      <c r="AU115" s="450">
        <v>0</v>
      </c>
      <c r="AV115" s="450"/>
      <c r="AW115" s="450">
        <f>SOActivities!K66</f>
        <v>-31135</v>
      </c>
    </row>
    <row r="116" spans="2:49" s="418" customFormat="1" ht="9.9499999999999993" hidden="1" customHeight="1" x14ac:dyDescent="0.2">
      <c r="C116" s="418" t="s">
        <v>97</v>
      </c>
      <c r="E116" s="450"/>
      <c r="F116" s="450"/>
      <c r="G116" s="450"/>
      <c r="H116" s="450"/>
      <c r="I116" s="450"/>
      <c r="J116" s="450"/>
      <c r="K116" s="450"/>
      <c r="L116" s="450"/>
      <c r="M116" s="450"/>
      <c r="N116" s="450"/>
      <c r="O116" s="450"/>
      <c r="P116" s="450"/>
      <c r="Q116" s="450"/>
      <c r="R116" s="450"/>
      <c r="S116" s="450">
        <v>0</v>
      </c>
      <c r="T116" s="450"/>
      <c r="U116" s="450">
        <v>0</v>
      </c>
      <c r="V116" s="450"/>
      <c r="W116" s="450"/>
      <c r="X116" s="450"/>
      <c r="Y116" s="450"/>
      <c r="Z116" s="450"/>
      <c r="AA116" s="450"/>
      <c r="AB116" s="450"/>
      <c r="AC116" s="450"/>
      <c r="AD116" s="450"/>
      <c r="AE116" s="450"/>
      <c r="AF116" s="450"/>
      <c r="AG116" s="450"/>
      <c r="AH116" s="450"/>
      <c r="AI116" s="450"/>
      <c r="AJ116" s="450"/>
      <c r="AK116" s="450"/>
      <c r="AL116" s="450"/>
      <c r="AM116" s="450"/>
      <c r="AN116" s="450"/>
      <c r="AO116" s="450"/>
      <c r="AP116" s="450"/>
      <c r="AQ116" s="450"/>
      <c r="AR116" s="450"/>
      <c r="AS116" s="450"/>
      <c r="AT116" s="450"/>
      <c r="AU116" s="450"/>
      <c r="AV116" s="450"/>
      <c r="AW116" s="450"/>
    </row>
    <row r="117" spans="2:49" s="418" customFormat="1" ht="9.9499999999999993" hidden="1" customHeight="1" x14ac:dyDescent="0.2">
      <c r="D117" s="418" t="s">
        <v>767</v>
      </c>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c r="AF117" s="450"/>
      <c r="AG117" s="450"/>
      <c r="AH117" s="450"/>
      <c r="AI117" s="450"/>
      <c r="AJ117" s="450"/>
      <c r="AK117" s="450"/>
      <c r="AL117" s="450"/>
      <c r="AM117" s="450"/>
      <c r="AN117" s="450"/>
      <c r="AO117" s="450"/>
      <c r="AP117" s="450"/>
      <c r="AQ117" s="450"/>
      <c r="AR117" s="450"/>
      <c r="AS117" s="450"/>
      <c r="AT117" s="450"/>
      <c r="AU117" s="450"/>
      <c r="AV117" s="450"/>
      <c r="AW117" s="450"/>
    </row>
    <row r="118" spans="2:49" s="418" customFormat="1" ht="9.9499999999999993" hidden="1" customHeight="1" x14ac:dyDescent="0.2">
      <c r="C118" s="418" t="s">
        <v>777</v>
      </c>
      <c r="E118" s="450">
        <v>481</v>
      </c>
      <c r="F118" s="450"/>
      <c r="G118" s="450">
        <v>1115</v>
      </c>
      <c r="H118" s="450"/>
      <c r="I118" s="450">
        <v>1585</v>
      </c>
      <c r="J118" s="450"/>
      <c r="K118" s="450">
        <v>0</v>
      </c>
      <c r="L118" s="450"/>
      <c r="M118" s="450">
        <v>0</v>
      </c>
      <c r="N118" s="450"/>
      <c r="O118" s="450">
        <v>0</v>
      </c>
      <c r="P118" s="450"/>
      <c r="Q118" s="450">
        <v>0</v>
      </c>
      <c r="R118" s="450"/>
      <c r="S118" s="450">
        <v>0</v>
      </c>
      <c r="T118" s="450"/>
      <c r="U118" s="450">
        <v>0</v>
      </c>
      <c r="V118" s="450"/>
      <c r="W118" s="450"/>
      <c r="X118" s="450"/>
      <c r="Y118" s="450"/>
      <c r="Z118" s="450"/>
      <c r="AA118" s="450"/>
      <c r="AB118" s="450"/>
      <c r="AC118" s="450"/>
      <c r="AD118" s="450"/>
      <c r="AE118" s="450"/>
      <c r="AF118" s="450"/>
      <c r="AG118" s="450"/>
      <c r="AH118" s="450"/>
      <c r="AI118" s="450"/>
      <c r="AJ118" s="450"/>
      <c r="AK118" s="450"/>
      <c r="AL118" s="450"/>
      <c r="AM118" s="450"/>
      <c r="AN118" s="450"/>
      <c r="AO118" s="450"/>
      <c r="AP118" s="450"/>
      <c r="AQ118" s="450"/>
      <c r="AR118" s="450"/>
      <c r="AS118" s="450"/>
      <c r="AT118" s="450"/>
      <c r="AU118" s="450"/>
      <c r="AV118" s="450"/>
      <c r="AW118" s="450"/>
    </row>
    <row r="119" spans="2:49" s="418" customFormat="1" ht="9.9499999999999993" customHeight="1" x14ac:dyDescent="0.2">
      <c r="C119" s="418" t="s">
        <v>778</v>
      </c>
      <c r="E119" s="450">
        <v>2072</v>
      </c>
      <c r="F119" s="450"/>
      <c r="G119" s="450">
        <v>5488</v>
      </c>
      <c r="H119" s="450"/>
      <c r="I119" s="450">
        <v>2443</v>
      </c>
      <c r="J119" s="450"/>
      <c r="K119" s="450">
        <v>2150</v>
      </c>
      <c r="L119" s="450"/>
      <c r="M119" s="450">
        <v>1021</v>
      </c>
      <c r="N119" s="450"/>
      <c r="O119" s="450">
        <v>-6404</v>
      </c>
      <c r="P119" s="450"/>
      <c r="Q119" s="450">
        <v>-5184</v>
      </c>
      <c r="R119" s="450"/>
      <c r="S119" s="450">
        <v>498</v>
      </c>
      <c r="T119" s="450"/>
      <c r="U119" s="450">
        <v>5429</v>
      </c>
      <c r="V119" s="450"/>
      <c r="W119" s="450">
        <v>1404</v>
      </c>
      <c r="X119" s="450"/>
      <c r="Y119" s="450">
        <v>1156</v>
      </c>
      <c r="Z119" s="450"/>
      <c r="AA119" s="450">
        <v>-2871</v>
      </c>
      <c r="AB119" s="450"/>
      <c r="AC119" s="450">
        <v>1570</v>
      </c>
      <c r="AD119" s="450"/>
      <c r="AE119" s="450">
        <v>7720</v>
      </c>
      <c r="AF119" s="450"/>
      <c r="AG119" s="450">
        <v>3733</v>
      </c>
      <c r="AH119" s="450"/>
      <c r="AI119" s="450">
        <v>6006</v>
      </c>
      <c r="AJ119" s="450"/>
      <c r="AK119" s="450">
        <v>35554</v>
      </c>
      <c r="AL119" s="450"/>
      <c r="AM119" s="455">
        <v>2956</v>
      </c>
      <c r="AN119" s="450"/>
      <c r="AO119" s="450">
        <v>706</v>
      </c>
      <c r="AP119" s="450"/>
      <c r="AQ119" s="450">
        <f>[4]SOActivities!K68</f>
        <v>-7908</v>
      </c>
      <c r="AR119" s="450"/>
      <c r="AS119" s="450">
        <v>431</v>
      </c>
      <c r="AT119" s="450"/>
      <c r="AU119" s="450">
        <v>288</v>
      </c>
      <c r="AV119" s="450"/>
      <c r="AW119" s="450">
        <f>SOActivities!K69</f>
        <v>4293</v>
      </c>
    </row>
    <row r="120" spans="2:49" s="418" customFormat="1" ht="5.0999999999999996" customHeight="1" x14ac:dyDescent="0.2">
      <c r="E120" s="452"/>
      <c r="F120" s="450"/>
      <c r="G120" s="452"/>
      <c r="H120" s="450"/>
      <c r="I120" s="452"/>
      <c r="J120" s="450"/>
      <c r="K120" s="452"/>
      <c r="L120" s="450"/>
      <c r="M120" s="452"/>
      <c r="N120" s="450"/>
      <c r="O120" s="452"/>
      <c r="P120" s="450"/>
      <c r="Q120" s="452"/>
      <c r="R120" s="450"/>
      <c r="S120" s="452"/>
      <c r="T120" s="450"/>
      <c r="U120" s="452"/>
      <c r="V120" s="450"/>
      <c r="W120" s="452"/>
      <c r="X120" s="450"/>
      <c r="Y120" s="452"/>
      <c r="Z120" s="450"/>
      <c r="AA120" s="452"/>
      <c r="AB120" s="450"/>
      <c r="AC120" s="452"/>
      <c r="AD120" s="450"/>
      <c r="AE120" s="452"/>
      <c r="AF120" s="450"/>
      <c r="AG120" s="452"/>
      <c r="AH120" s="450"/>
      <c r="AI120" s="452"/>
      <c r="AJ120" s="450"/>
      <c r="AK120" s="452"/>
      <c r="AL120" s="450"/>
      <c r="AM120" s="450"/>
      <c r="AN120" s="450"/>
      <c r="AO120" s="452"/>
      <c r="AP120" s="450"/>
      <c r="AQ120" s="452"/>
      <c r="AR120" s="450"/>
      <c r="AS120" s="452"/>
      <c r="AT120" s="450"/>
      <c r="AU120" s="452"/>
      <c r="AV120" s="450"/>
      <c r="AW120" s="452"/>
    </row>
    <row r="121" spans="2:49" s="418" customFormat="1" ht="11.1" customHeight="1" x14ac:dyDescent="0.2">
      <c r="B121" s="417" t="s">
        <v>1055</v>
      </c>
      <c r="E121" s="455">
        <f>SUM(E101:E119)</f>
        <v>660829</v>
      </c>
      <c r="F121" s="450"/>
      <c r="G121" s="455">
        <f>SUM(G101:G119)</f>
        <v>693852</v>
      </c>
      <c r="H121" s="450"/>
      <c r="I121" s="455">
        <f>SUM(I101:I119)</f>
        <v>733377</v>
      </c>
      <c r="J121" s="450"/>
      <c r="K121" s="455">
        <f>SUM(K101:K119)</f>
        <v>790558</v>
      </c>
      <c r="L121" s="450"/>
      <c r="M121" s="455">
        <f>SUM(M101:M119)</f>
        <v>896866</v>
      </c>
      <c r="N121" s="450"/>
      <c r="O121" s="455">
        <f>SUM(O101:O119)</f>
        <v>986172</v>
      </c>
      <c r="P121" s="450"/>
      <c r="Q121" s="455">
        <f>SUM(Q101:Q119)</f>
        <v>1098876</v>
      </c>
      <c r="R121" s="450"/>
      <c r="S121" s="455">
        <f>SUM(S101:S119)</f>
        <v>1048658</v>
      </c>
      <c r="T121" s="450"/>
      <c r="U121" s="455">
        <f>SUM(U101:U119)</f>
        <v>1065020</v>
      </c>
      <c r="V121" s="450"/>
      <c r="W121" s="455">
        <f>SUM(W101:W119)</f>
        <v>1097294</v>
      </c>
      <c r="X121" s="450"/>
      <c r="Y121" s="455">
        <f>SUM(Y101:Y119)</f>
        <v>1126031</v>
      </c>
      <c r="Z121" s="450"/>
      <c r="AA121" s="455">
        <f>SUM(AA101:AA119)</f>
        <v>1151687</v>
      </c>
      <c r="AB121" s="450"/>
      <c r="AC121" s="455">
        <f>SUM(AC101:AC119)</f>
        <v>1283302</v>
      </c>
      <c r="AD121" s="450"/>
      <c r="AE121" s="455">
        <f>SUM(AE101:AE119)</f>
        <v>1334244</v>
      </c>
      <c r="AF121" s="450"/>
      <c r="AG121" s="455">
        <f>SUM(AG101:AG119)</f>
        <v>1411831</v>
      </c>
      <c r="AH121" s="450"/>
      <c r="AI121" s="455">
        <f>SUM(AI101:AI119)</f>
        <v>1499855</v>
      </c>
      <c r="AJ121" s="450"/>
      <c r="AK121" s="455">
        <f>SUM(AK101:AK119)</f>
        <v>1633910</v>
      </c>
      <c r="AL121" s="450"/>
      <c r="AM121" s="455">
        <v>1698795</v>
      </c>
      <c r="AN121" s="450"/>
      <c r="AO121" s="455">
        <f>SUM(AO101:AO119)</f>
        <v>1652230</v>
      </c>
      <c r="AP121" s="450"/>
      <c r="AQ121" s="455">
        <f>SUM(AQ101:AQ119)</f>
        <v>1723719</v>
      </c>
      <c r="AR121" s="450"/>
      <c r="AS121" s="455">
        <f>SUM(AS101:AS119)</f>
        <v>1885065</v>
      </c>
      <c r="AT121" s="450"/>
      <c r="AU121" s="455">
        <f>SUM(AU101:AU119)</f>
        <v>2110246</v>
      </c>
      <c r="AV121" s="450"/>
      <c r="AW121" s="455">
        <f>SUM(AW101:AW119)</f>
        <v>2201449</v>
      </c>
    </row>
    <row r="122" spans="2:49" s="418" customFormat="1" ht="5.0999999999999996" customHeight="1" x14ac:dyDescent="0.2">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c r="AH122" s="450"/>
      <c r="AI122" s="450"/>
      <c r="AJ122" s="450"/>
      <c r="AK122" s="450"/>
      <c r="AL122" s="450"/>
      <c r="AM122" s="450"/>
      <c r="AN122" s="450"/>
      <c r="AO122" s="450"/>
      <c r="AP122" s="450"/>
      <c r="AQ122" s="450"/>
      <c r="AR122" s="450"/>
      <c r="AS122" s="450"/>
      <c r="AT122" s="450"/>
      <c r="AU122" s="450"/>
      <c r="AV122" s="450"/>
      <c r="AW122" s="450"/>
    </row>
    <row r="123" spans="2:49" s="418" customFormat="1" ht="9.9499999999999993" customHeight="1" x14ac:dyDescent="0.2">
      <c r="B123" s="417" t="s">
        <v>1056</v>
      </c>
      <c r="E123" s="450"/>
      <c r="F123" s="450"/>
      <c r="G123" s="450"/>
      <c r="H123" s="450"/>
      <c r="I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c r="AF123" s="450"/>
      <c r="AG123" s="450"/>
      <c r="AH123" s="450"/>
      <c r="AI123" s="450"/>
      <c r="AJ123" s="450"/>
      <c r="AK123" s="450"/>
      <c r="AL123" s="450"/>
      <c r="AM123" s="450"/>
      <c r="AN123" s="450"/>
      <c r="AO123" s="450"/>
      <c r="AP123" s="450"/>
      <c r="AQ123" s="450"/>
      <c r="AR123" s="450"/>
      <c r="AS123" s="450"/>
      <c r="AT123" s="450"/>
      <c r="AU123" s="450"/>
      <c r="AV123" s="450"/>
      <c r="AW123" s="450"/>
    </row>
    <row r="124" spans="2:49" s="418" customFormat="1" ht="9.9499999999999993" customHeight="1" x14ac:dyDescent="0.2">
      <c r="C124" s="418" t="s">
        <v>1591</v>
      </c>
      <c r="E124" s="450">
        <f>3365-74</f>
        <v>3291</v>
      </c>
      <c r="F124" s="450"/>
      <c r="G124" s="450">
        <f>2557-6</f>
        <v>2551</v>
      </c>
      <c r="H124" s="450"/>
      <c r="I124" s="450">
        <v>2046</v>
      </c>
      <c r="J124" s="450"/>
      <c r="K124" s="450">
        <v>5434</v>
      </c>
      <c r="L124" s="450"/>
      <c r="M124" s="450">
        <v>10023</v>
      </c>
      <c r="N124" s="450"/>
      <c r="O124" s="450">
        <v>11099</v>
      </c>
      <c r="P124" s="450"/>
      <c r="Q124" s="450">
        <v>12010</v>
      </c>
      <c r="R124" s="450"/>
      <c r="S124" s="450">
        <v>4769</v>
      </c>
      <c r="T124" s="450"/>
      <c r="U124" s="450">
        <v>823</v>
      </c>
      <c r="V124" s="450"/>
      <c r="W124" s="450">
        <v>772</v>
      </c>
      <c r="X124" s="450"/>
      <c r="Y124" s="450">
        <v>827</v>
      </c>
      <c r="Z124" s="450"/>
      <c r="AA124" s="450">
        <v>1026</v>
      </c>
      <c r="AB124" s="450"/>
      <c r="AC124" s="450">
        <v>764</v>
      </c>
      <c r="AD124" s="450"/>
      <c r="AE124" s="450">
        <v>562</v>
      </c>
      <c r="AF124" s="450"/>
      <c r="AG124" s="450">
        <v>1152</v>
      </c>
      <c r="AH124" s="450"/>
      <c r="AI124" s="450">
        <v>1969</v>
      </c>
      <c r="AJ124" s="450"/>
      <c r="AK124" s="450">
        <v>3808</v>
      </c>
      <c r="AL124" s="450"/>
      <c r="AM124" s="450">
        <v>6605</v>
      </c>
      <c r="AN124" s="450"/>
      <c r="AO124" s="450">
        <v>3923</v>
      </c>
      <c r="AP124" s="450"/>
      <c r="AQ124" s="450">
        <f>[4]SOActivities!M64</f>
        <v>233</v>
      </c>
      <c r="AR124" s="450"/>
      <c r="AS124" s="450">
        <v>-2176</v>
      </c>
      <c r="AT124" s="450"/>
      <c r="AU124" s="450">
        <v>13487</v>
      </c>
      <c r="AV124" s="450"/>
      <c r="AW124" s="450">
        <f>SOActivities!M64</f>
        <v>35322</v>
      </c>
    </row>
    <row r="125" spans="2:49" s="418" customFormat="1" ht="9.9499999999999993" hidden="1" customHeight="1" x14ac:dyDescent="0.2">
      <c r="C125" s="418" t="s">
        <v>17</v>
      </c>
      <c r="E125" s="450"/>
      <c r="F125" s="450"/>
      <c r="G125" s="450"/>
      <c r="H125" s="450"/>
      <c r="I125" s="450">
        <v>0</v>
      </c>
      <c r="J125" s="450"/>
      <c r="K125" s="450">
        <v>0</v>
      </c>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0"/>
      <c r="AO125" s="450"/>
      <c r="AP125" s="450"/>
      <c r="AQ125" s="450"/>
      <c r="AR125" s="450"/>
      <c r="AS125" s="450"/>
      <c r="AT125" s="450"/>
      <c r="AU125" s="450"/>
      <c r="AV125" s="450"/>
      <c r="AW125" s="450"/>
    </row>
    <row r="126" spans="2:49" s="418" customFormat="1" ht="9.9499999999999993" customHeight="1" x14ac:dyDescent="0.2">
      <c r="C126" s="418" t="s">
        <v>775</v>
      </c>
      <c r="E126" s="450">
        <v>7610</v>
      </c>
      <c r="F126" s="450"/>
      <c r="G126" s="450">
        <v>9406</v>
      </c>
      <c r="H126" s="450"/>
      <c r="I126" s="450">
        <v>10378</v>
      </c>
      <c r="J126" s="450"/>
      <c r="K126" s="450">
        <v>9962</v>
      </c>
      <c r="L126" s="450"/>
      <c r="M126" s="450">
        <v>589</v>
      </c>
      <c r="N126" s="450"/>
      <c r="O126" s="450">
        <v>1973</v>
      </c>
      <c r="P126" s="450"/>
      <c r="Q126" s="450">
        <v>12</v>
      </c>
      <c r="R126" s="450"/>
      <c r="S126" s="450">
        <v>464</v>
      </c>
      <c r="T126" s="450"/>
      <c r="U126" s="450">
        <v>1547</v>
      </c>
      <c r="V126" s="450"/>
      <c r="W126" s="450">
        <v>450</v>
      </c>
      <c r="X126" s="450"/>
      <c r="Y126" s="450">
        <v>1585</v>
      </c>
      <c r="Z126" s="450"/>
      <c r="AA126" s="450">
        <v>621</v>
      </c>
      <c r="AB126" s="450"/>
      <c r="AC126" s="450">
        <v>4861</v>
      </c>
      <c r="AD126" s="450"/>
      <c r="AE126" s="450">
        <v>13440</v>
      </c>
      <c r="AF126" s="450"/>
      <c r="AG126" s="450">
        <v>1684</v>
      </c>
      <c r="AH126" s="450"/>
      <c r="AI126" s="450">
        <v>5396</v>
      </c>
      <c r="AJ126" s="450"/>
      <c r="AK126" s="450">
        <v>4568</v>
      </c>
      <c r="AL126" s="450"/>
      <c r="AM126" s="450">
        <v>5663</v>
      </c>
      <c r="AN126" s="450"/>
      <c r="AO126" s="450">
        <v>7860</v>
      </c>
      <c r="AP126" s="450"/>
      <c r="AQ126" s="450">
        <f>[4]SOActivities!M65</f>
        <v>2183</v>
      </c>
      <c r="AR126" s="450"/>
      <c r="AS126" s="450">
        <v>2100</v>
      </c>
      <c r="AT126" s="450"/>
      <c r="AU126" s="450">
        <v>4837</v>
      </c>
      <c r="AV126" s="450"/>
      <c r="AW126" s="450">
        <f>SOActivities!M65</f>
        <v>1639</v>
      </c>
    </row>
    <row r="127" spans="2:49" s="418" customFormat="1" ht="9.9499999999999993" hidden="1" customHeight="1" x14ac:dyDescent="0.2">
      <c r="C127" s="418" t="s">
        <v>1060</v>
      </c>
      <c r="E127" s="450">
        <v>50</v>
      </c>
      <c r="F127" s="450"/>
      <c r="G127" s="450">
        <v>39</v>
      </c>
      <c r="H127" s="450"/>
      <c r="I127" s="450">
        <v>0</v>
      </c>
      <c r="J127" s="450"/>
      <c r="K127" s="450">
        <v>96</v>
      </c>
      <c r="L127" s="450"/>
      <c r="M127" s="450"/>
      <c r="N127" s="450"/>
      <c r="O127" s="450"/>
      <c r="P127" s="450"/>
      <c r="Q127" s="450"/>
      <c r="R127" s="450"/>
      <c r="S127" s="450">
        <v>0</v>
      </c>
      <c r="T127" s="450"/>
      <c r="U127" s="450">
        <v>0</v>
      </c>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c r="AW127" s="450"/>
    </row>
    <row r="128" spans="2:49" s="418" customFormat="1" ht="9.9499999999999993" customHeight="1" x14ac:dyDescent="0.2">
      <c r="C128" s="418" t="s">
        <v>776</v>
      </c>
      <c r="E128" s="450"/>
      <c r="F128" s="450"/>
      <c r="G128" s="450"/>
      <c r="H128" s="450"/>
      <c r="I128" s="450"/>
      <c r="J128" s="450"/>
      <c r="K128" s="450"/>
      <c r="L128" s="450"/>
      <c r="M128" s="450">
        <v>10870</v>
      </c>
      <c r="N128" s="450"/>
      <c r="O128" s="450"/>
      <c r="P128" s="450"/>
      <c r="Q128" s="450">
        <v>-8320</v>
      </c>
      <c r="R128" s="450"/>
      <c r="S128" s="450">
        <v>4528</v>
      </c>
      <c r="T128" s="450"/>
      <c r="U128" s="450">
        <v>0</v>
      </c>
      <c r="V128" s="450"/>
      <c r="W128" s="450"/>
      <c r="X128" s="450"/>
      <c r="Y128" s="450"/>
      <c r="Z128" s="450"/>
      <c r="AA128" s="450"/>
      <c r="AB128" s="450"/>
      <c r="AC128" s="450"/>
      <c r="AD128" s="450"/>
      <c r="AE128" s="450"/>
      <c r="AF128" s="450"/>
      <c r="AG128" s="450"/>
      <c r="AH128" s="450"/>
      <c r="AI128" s="450"/>
      <c r="AJ128" s="450"/>
      <c r="AK128" s="450">
        <v>0</v>
      </c>
      <c r="AL128" s="450"/>
      <c r="AM128" s="450">
        <v>0</v>
      </c>
      <c r="AN128" s="450"/>
      <c r="AO128" s="450">
        <v>0</v>
      </c>
      <c r="AP128" s="450"/>
      <c r="AQ128" s="450">
        <f>[4]SOActivities!M66</f>
        <v>0</v>
      </c>
      <c r="AR128" s="450"/>
      <c r="AS128" s="450">
        <v>0</v>
      </c>
      <c r="AT128" s="450"/>
      <c r="AU128" s="450">
        <v>0</v>
      </c>
      <c r="AV128" s="450"/>
      <c r="AW128" s="450">
        <f>SOActivities!M66</f>
        <v>31135</v>
      </c>
    </row>
    <row r="129" spans="1:50" s="418" customFormat="1" ht="9.9499999999999993" hidden="1" customHeight="1" x14ac:dyDescent="0.2">
      <c r="C129" s="418" t="s">
        <v>777</v>
      </c>
      <c r="E129" s="450"/>
      <c r="F129" s="450"/>
      <c r="G129" s="450">
        <v>21</v>
      </c>
      <c r="H129" s="450"/>
      <c r="I129" s="450"/>
      <c r="J129" s="450"/>
      <c r="K129" s="450"/>
      <c r="L129" s="450"/>
      <c r="M129" s="450"/>
      <c r="N129" s="450"/>
      <c r="O129" s="450"/>
      <c r="P129" s="450"/>
      <c r="Q129" s="450"/>
      <c r="R129" s="450"/>
      <c r="S129" s="450">
        <v>0</v>
      </c>
      <c r="T129" s="450"/>
      <c r="U129" s="450">
        <v>0</v>
      </c>
      <c r="V129" s="450"/>
      <c r="W129" s="450"/>
      <c r="X129" s="450"/>
      <c r="Y129" s="450"/>
      <c r="Z129" s="450"/>
      <c r="AA129" s="450"/>
      <c r="AB129" s="450"/>
      <c r="AC129" s="450"/>
      <c r="AD129" s="450"/>
      <c r="AE129" s="450"/>
      <c r="AF129" s="450"/>
      <c r="AG129" s="450"/>
      <c r="AH129" s="450"/>
      <c r="AI129" s="450"/>
      <c r="AJ129" s="450"/>
      <c r="AK129" s="450"/>
      <c r="AL129" s="450"/>
      <c r="AM129" s="450"/>
      <c r="AN129" s="450"/>
      <c r="AO129" s="450"/>
      <c r="AP129" s="450"/>
      <c r="AQ129" s="450"/>
      <c r="AR129" s="450"/>
      <c r="AS129" s="450"/>
      <c r="AT129" s="450"/>
      <c r="AU129" s="450"/>
      <c r="AV129" s="450"/>
      <c r="AW129" s="450"/>
    </row>
    <row r="130" spans="1:50" s="418" customFormat="1" ht="9.9499999999999993" hidden="1" customHeight="1" x14ac:dyDescent="0.2">
      <c r="D130" s="418" t="s">
        <v>807</v>
      </c>
      <c r="E130" s="450"/>
      <c r="F130" s="450"/>
      <c r="G130" s="450"/>
      <c r="H130" s="450"/>
      <c r="I130" s="450"/>
      <c r="J130" s="450"/>
      <c r="K130" s="450"/>
      <c r="L130" s="450"/>
      <c r="M130" s="450"/>
      <c r="N130" s="450"/>
      <c r="O130" s="450"/>
      <c r="P130" s="450"/>
      <c r="Q130" s="450"/>
      <c r="R130" s="450"/>
      <c r="S130" s="450">
        <v>0</v>
      </c>
      <c r="T130" s="450"/>
      <c r="U130" s="450">
        <v>0</v>
      </c>
      <c r="V130" s="450"/>
      <c r="W130" s="450"/>
      <c r="X130" s="450"/>
      <c r="Y130" s="450"/>
      <c r="Z130" s="450"/>
      <c r="AA130" s="450"/>
      <c r="AB130" s="450"/>
      <c r="AC130" s="450"/>
      <c r="AD130" s="450"/>
      <c r="AE130" s="450"/>
      <c r="AF130" s="450"/>
      <c r="AG130" s="450"/>
      <c r="AH130" s="450"/>
      <c r="AI130" s="450"/>
      <c r="AJ130" s="450"/>
      <c r="AK130" s="450"/>
      <c r="AL130" s="450"/>
      <c r="AM130" s="450"/>
      <c r="AN130" s="450"/>
      <c r="AO130" s="450"/>
      <c r="AP130" s="450"/>
      <c r="AQ130" s="450"/>
      <c r="AR130" s="450"/>
      <c r="AS130" s="450"/>
      <c r="AT130" s="450"/>
      <c r="AU130" s="450"/>
      <c r="AV130" s="450"/>
      <c r="AW130" s="450"/>
    </row>
    <row r="131" spans="1:50" s="418" customFormat="1" ht="9.9499999999999993" customHeight="1" x14ac:dyDescent="0.2">
      <c r="C131" s="418" t="s">
        <v>778</v>
      </c>
      <c r="E131" s="450">
        <v>-2072</v>
      </c>
      <c r="F131" s="450"/>
      <c r="G131" s="450">
        <v>-5488</v>
      </c>
      <c r="H131" s="450"/>
      <c r="I131" s="450">
        <v>-2443</v>
      </c>
      <c r="J131" s="450"/>
      <c r="K131" s="450">
        <v>-2150</v>
      </c>
      <c r="L131" s="450"/>
      <c r="M131" s="450">
        <v>-1021</v>
      </c>
      <c r="N131" s="450"/>
      <c r="O131" s="450">
        <v>6404</v>
      </c>
      <c r="P131" s="450"/>
      <c r="Q131" s="450">
        <v>5184</v>
      </c>
      <c r="R131" s="450"/>
      <c r="S131" s="450">
        <v>-498</v>
      </c>
      <c r="T131" s="450"/>
      <c r="U131" s="450">
        <v>-5429</v>
      </c>
      <c r="V131" s="450"/>
      <c r="W131" s="450">
        <v>-1404</v>
      </c>
      <c r="X131" s="450"/>
      <c r="Y131" s="450">
        <v>-1156</v>
      </c>
      <c r="Z131" s="450"/>
      <c r="AA131" s="450">
        <v>-4351</v>
      </c>
      <c r="AB131" s="450"/>
      <c r="AC131" s="450">
        <v>-4552</v>
      </c>
      <c r="AD131" s="450"/>
      <c r="AE131" s="450">
        <v>-7364</v>
      </c>
      <c r="AF131" s="450"/>
      <c r="AG131" s="450">
        <v>-3824</v>
      </c>
      <c r="AH131" s="450"/>
      <c r="AI131" s="450">
        <v>-4619</v>
      </c>
      <c r="AJ131" s="450"/>
      <c r="AK131" s="450">
        <v>-36401</v>
      </c>
      <c r="AL131" s="450"/>
      <c r="AM131" s="455">
        <v>-3501</v>
      </c>
      <c r="AN131" s="450"/>
      <c r="AO131" s="450">
        <v>110</v>
      </c>
      <c r="AP131" s="450"/>
      <c r="AQ131" s="450">
        <f>[4]SOActivities!M68</f>
        <v>-4630</v>
      </c>
      <c r="AR131" s="450"/>
      <c r="AS131" s="450">
        <v>-2679</v>
      </c>
      <c r="AT131" s="450"/>
      <c r="AU131" s="450">
        <v>-701</v>
      </c>
      <c r="AV131" s="450"/>
      <c r="AW131" s="450">
        <f>SOActivities!M69</f>
        <v>-5400</v>
      </c>
    </row>
    <row r="132" spans="1:50" s="418" customFormat="1" ht="5.0999999999999996" customHeight="1" x14ac:dyDescent="0.2">
      <c r="E132" s="452"/>
      <c r="F132" s="450"/>
      <c r="G132" s="452"/>
      <c r="H132" s="450"/>
      <c r="I132" s="452"/>
      <c r="J132" s="450"/>
      <c r="K132" s="452"/>
      <c r="L132" s="450"/>
      <c r="M132" s="452"/>
      <c r="N132" s="450"/>
      <c r="O132" s="452"/>
      <c r="P132" s="450"/>
      <c r="Q132" s="452"/>
      <c r="R132" s="450"/>
      <c r="S132" s="452"/>
      <c r="T132" s="450"/>
      <c r="U132" s="452"/>
      <c r="V132" s="450"/>
      <c r="W132" s="452"/>
      <c r="X132" s="450"/>
      <c r="Y132" s="452"/>
      <c r="Z132" s="450"/>
      <c r="AA132" s="452"/>
      <c r="AB132" s="450"/>
      <c r="AC132" s="452"/>
      <c r="AD132" s="450"/>
      <c r="AE132" s="452"/>
      <c r="AF132" s="450"/>
      <c r="AG132" s="452"/>
      <c r="AH132" s="450"/>
      <c r="AI132" s="452"/>
      <c r="AJ132" s="450"/>
      <c r="AK132" s="452"/>
      <c r="AL132" s="450"/>
      <c r="AM132" s="450"/>
      <c r="AN132" s="450"/>
      <c r="AO132" s="452"/>
      <c r="AP132" s="450"/>
      <c r="AQ132" s="452"/>
      <c r="AR132" s="450"/>
      <c r="AS132" s="452"/>
      <c r="AT132" s="450"/>
      <c r="AU132" s="452"/>
      <c r="AV132" s="450"/>
      <c r="AW132" s="452"/>
    </row>
    <row r="133" spans="1:50" s="418" customFormat="1" ht="11.1" customHeight="1" x14ac:dyDescent="0.2">
      <c r="B133" s="417" t="s">
        <v>1058</v>
      </c>
      <c r="E133" s="455">
        <f>SUM(E124:E131)</f>
        <v>8879</v>
      </c>
      <c r="F133" s="450"/>
      <c r="G133" s="455">
        <f>SUM(G124:G131)</f>
        <v>6529</v>
      </c>
      <c r="H133" s="450"/>
      <c r="I133" s="455">
        <f>SUM(I124:I131)</f>
        <v>9981</v>
      </c>
      <c r="J133" s="450"/>
      <c r="K133" s="455">
        <f>SUM(K124:K131)</f>
        <v>13342</v>
      </c>
      <c r="L133" s="450"/>
      <c r="M133" s="455">
        <f>SUM(M124:M131)</f>
        <v>20461</v>
      </c>
      <c r="N133" s="450"/>
      <c r="O133" s="455">
        <f>SUM(O124:O131)</f>
        <v>19476</v>
      </c>
      <c r="P133" s="450"/>
      <c r="Q133" s="455">
        <f>SUM(Q124:Q131)</f>
        <v>8886</v>
      </c>
      <c r="R133" s="450"/>
      <c r="S133" s="455">
        <f>SUM(S124:S131)</f>
        <v>9263</v>
      </c>
      <c r="T133" s="450"/>
      <c r="U133" s="455">
        <f>SUM(U124:U131)</f>
        <v>-3059</v>
      </c>
      <c r="V133" s="450"/>
      <c r="W133" s="455">
        <f>SUM(W124:W131)</f>
        <v>-182</v>
      </c>
      <c r="X133" s="450"/>
      <c r="Y133" s="455">
        <v>1256</v>
      </c>
      <c r="Z133" s="450"/>
      <c r="AA133" s="455">
        <v>-2704</v>
      </c>
      <c r="AB133" s="450"/>
      <c r="AC133" s="455">
        <f>SUM(AC124:AC131)</f>
        <v>1073</v>
      </c>
      <c r="AD133" s="450"/>
      <c r="AE133" s="455">
        <f>SUM(AE124:AE131)</f>
        <v>6638</v>
      </c>
      <c r="AF133" s="450"/>
      <c r="AG133" s="455">
        <f>SUM(AG124:AG131)</f>
        <v>-988</v>
      </c>
      <c r="AH133" s="450"/>
      <c r="AI133" s="455">
        <v>2746</v>
      </c>
      <c r="AJ133" s="450"/>
      <c r="AK133" s="455">
        <f>SUM(AK124:AK131)</f>
        <v>-28025</v>
      </c>
      <c r="AL133" s="450"/>
      <c r="AM133" s="455">
        <v>8767</v>
      </c>
      <c r="AN133" s="450"/>
      <c r="AO133" s="455">
        <f>SUM(AO124:AO131)</f>
        <v>11893</v>
      </c>
      <c r="AP133" s="450"/>
      <c r="AQ133" s="455">
        <f>SUM(AQ124:AQ131)</f>
        <v>-2214</v>
      </c>
      <c r="AR133" s="450"/>
      <c r="AS133" s="455">
        <f>SUM(AS124:AS131)</f>
        <v>-2755</v>
      </c>
      <c r="AT133" s="450"/>
      <c r="AU133" s="455">
        <f>SUM(AU124:AU131)</f>
        <v>17623</v>
      </c>
      <c r="AV133" s="450"/>
      <c r="AW133" s="455">
        <f>SUM(AW124:AW131)</f>
        <v>62696</v>
      </c>
    </row>
    <row r="134" spans="1:50" s="418" customFormat="1" ht="5.0999999999999996" customHeight="1" x14ac:dyDescent="0.2">
      <c r="E134" s="452"/>
      <c r="F134" s="450"/>
      <c r="G134" s="452"/>
      <c r="H134" s="450"/>
      <c r="I134" s="452"/>
      <c r="J134" s="450"/>
      <c r="K134" s="452"/>
      <c r="L134" s="450"/>
      <c r="M134" s="452"/>
      <c r="N134" s="450"/>
      <c r="O134" s="452"/>
      <c r="P134" s="450"/>
      <c r="Q134" s="452"/>
      <c r="R134" s="450"/>
      <c r="S134" s="452"/>
      <c r="T134" s="450"/>
      <c r="U134" s="452"/>
      <c r="V134" s="450"/>
      <c r="W134" s="452"/>
      <c r="X134" s="450"/>
      <c r="Y134" s="452"/>
      <c r="Z134" s="450"/>
      <c r="AA134" s="452"/>
      <c r="AB134" s="450"/>
      <c r="AC134" s="452"/>
      <c r="AD134" s="450"/>
      <c r="AE134" s="452"/>
      <c r="AF134" s="450"/>
      <c r="AG134" s="452"/>
      <c r="AH134" s="450"/>
      <c r="AI134" s="452"/>
      <c r="AJ134" s="450"/>
      <c r="AK134" s="452"/>
      <c r="AL134" s="450"/>
      <c r="AM134" s="450"/>
      <c r="AN134" s="450"/>
      <c r="AO134" s="452"/>
      <c r="AP134" s="450"/>
      <c r="AQ134" s="452"/>
      <c r="AR134" s="450"/>
      <c r="AS134" s="452"/>
      <c r="AT134" s="450"/>
      <c r="AU134" s="452"/>
      <c r="AV134" s="450"/>
      <c r="AW134" s="452"/>
    </row>
    <row r="135" spans="1:50" s="418" customFormat="1" ht="11.1" customHeight="1" thickBot="1" x14ac:dyDescent="0.25">
      <c r="A135" s="417" t="s">
        <v>772</v>
      </c>
      <c r="E135" s="453">
        <f>SUM(E133+E121)</f>
        <v>669708</v>
      </c>
      <c r="F135" s="450"/>
      <c r="G135" s="453">
        <f>SUM(G133+G121)</f>
        <v>700381</v>
      </c>
      <c r="H135" s="450"/>
      <c r="I135" s="453">
        <f>SUM(I133+I121)</f>
        <v>743358</v>
      </c>
      <c r="J135" s="450"/>
      <c r="K135" s="453">
        <f>SUM(K133+K121)</f>
        <v>803900</v>
      </c>
      <c r="L135" s="450"/>
      <c r="M135" s="453">
        <f>SUM(M133+M121)</f>
        <v>917327</v>
      </c>
      <c r="N135" s="450"/>
      <c r="O135" s="453">
        <f>SUM(O133+O121)</f>
        <v>1005648</v>
      </c>
      <c r="P135" s="450"/>
      <c r="Q135" s="453">
        <f>SUM(Q133+Q121)</f>
        <v>1107762</v>
      </c>
      <c r="R135" s="450"/>
      <c r="S135" s="453">
        <f>SUM(S133+S121)</f>
        <v>1057921</v>
      </c>
      <c r="T135" s="450"/>
      <c r="U135" s="453">
        <f>SUM(U133+U121)</f>
        <v>1061961</v>
      </c>
      <c r="V135" s="450"/>
      <c r="W135" s="453">
        <f>SUM(W133+W121)</f>
        <v>1097112</v>
      </c>
      <c r="X135" s="450"/>
      <c r="Y135" s="453">
        <f>SUM(Y133+Y121)</f>
        <v>1127287</v>
      </c>
      <c r="Z135" s="450"/>
      <c r="AA135" s="453">
        <f>SUM(AA133+AA121)</f>
        <v>1148983</v>
      </c>
      <c r="AB135" s="450"/>
      <c r="AC135" s="453">
        <f>SUM(AC133+AC121)</f>
        <v>1284375</v>
      </c>
      <c r="AD135" s="450"/>
      <c r="AE135" s="453">
        <f>SUM(AE133+AE121)</f>
        <v>1340882</v>
      </c>
      <c r="AF135" s="450"/>
      <c r="AG135" s="453">
        <f>SUM(AG133+AG121)</f>
        <v>1410843</v>
      </c>
      <c r="AH135" s="450"/>
      <c r="AI135" s="453">
        <f>SUM(AI133+AI121)</f>
        <v>1502601</v>
      </c>
      <c r="AJ135" s="450"/>
      <c r="AK135" s="453">
        <f>SUM(AK133+AK121)</f>
        <v>1605885</v>
      </c>
      <c r="AL135" s="450"/>
      <c r="AM135" s="453">
        <f>SUM(AM133+AM121)</f>
        <v>1707562</v>
      </c>
      <c r="AN135" s="450"/>
      <c r="AO135" s="453">
        <f>SUM(AO133+AO121)</f>
        <v>1664123</v>
      </c>
      <c r="AP135" s="450"/>
      <c r="AQ135" s="453">
        <f>SUM(AQ133+AQ121)</f>
        <v>1721505</v>
      </c>
      <c r="AR135" s="461"/>
      <c r="AS135" s="453">
        <f>SUM(AS133+AS121)</f>
        <v>1882310</v>
      </c>
      <c r="AT135" s="450"/>
      <c r="AU135" s="453">
        <f>SUM(AU133+AU121)</f>
        <v>2127869</v>
      </c>
      <c r="AV135" s="450"/>
      <c r="AW135" s="453">
        <f>SUM(AW133+AW121)</f>
        <v>2264145</v>
      </c>
    </row>
    <row r="136" spans="1:50" s="418" customFormat="1" ht="5.0999999999999996" customHeight="1" thickTop="1" x14ac:dyDescent="0.2">
      <c r="E136" s="448"/>
      <c r="F136" s="450"/>
      <c r="G136" s="448"/>
      <c r="H136" s="450"/>
      <c r="I136" s="448"/>
      <c r="J136" s="450"/>
      <c r="K136" s="448"/>
      <c r="L136" s="450"/>
      <c r="M136" s="448"/>
      <c r="N136" s="450"/>
      <c r="O136" s="448"/>
      <c r="P136" s="450"/>
      <c r="Q136" s="448"/>
      <c r="R136" s="450"/>
      <c r="S136" s="448"/>
      <c r="T136" s="450"/>
      <c r="U136" s="448"/>
      <c r="V136" s="450"/>
      <c r="W136" s="448"/>
      <c r="X136" s="450"/>
      <c r="Y136" s="448"/>
      <c r="Z136" s="450"/>
      <c r="AA136" s="448"/>
      <c r="AB136" s="450"/>
      <c r="AC136" s="448"/>
      <c r="AD136" s="450"/>
      <c r="AE136" s="448"/>
      <c r="AF136" s="450"/>
      <c r="AG136" s="448"/>
      <c r="AH136" s="450"/>
      <c r="AI136" s="448"/>
      <c r="AJ136" s="450"/>
      <c r="AK136" s="448"/>
      <c r="AL136" s="450"/>
      <c r="AM136" s="448"/>
      <c r="AN136" s="450"/>
      <c r="AO136" s="448"/>
      <c r="AP136" s="450"/>
      <c r="AQ136" s="448"/>
      <c r="AR136" s="448"/>
      <c r="AS136" s="448"/>
      <c r="AT136" s="450"/>
      <c r="AU136" s="448"/>
      <c r="AV136" s="450"/>
      <c r="AW136" s="448"/>
    </row>
    <row r="137" spans="1:50" s="418" customFormat="1" ht="9.9499999999999993" customHeight="1" x14ac:dyDescent="0.2">
      <c r="A137" s="417" t="s">
        <v>1125</v>
      </c>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c r="AF137" s="450"/>
      <c r="AG137" s="450"/>
      <c r="AH137" s="450"/>
      <c r="AI137" s="450"/>
      <c r="AJ137" s="450"/>
      <c r="AK137" s="450"/>
      <c r="AL137" s="450"/>
      <c r="AM137" s="450"/>
      <c r="AN137" s="450"/>
      <c r="AO137" s="450"/>
      <c r="AP137" s="450"/>
      <c r="AQ137" s="450"/>
      <c r="AR137" s="450"/>
      <c r="AS137" s="450"/>
      <c r="AT137" s="450"/>
      <c r="AU137" s="450"/>
      <c r="AV137" s="450"/>
      <c r="AW137" s="450"/>
    </row>
    <row r="138" spans="1:50" s="418" customFormat="1" ht="9.9499999999999993" customHeight="1" x14ac:dyDescent="0.2">
      <c r="B138" s="418" t="s">
        <v>807</v>
      </c>
      <c r="E138" s="461">
        <f>SUM(E121+E92)</f>
        <v>-74133</v>
      </c>
      <c r="F138" s="450"/>
      <c r="G138" s="461">
        <f>SUM(G121+G92)</f>
        <v>41438</v>
      </c>
      <c r="H138" s="450"/>
      <c r="I138" s="461">
        <f>SUM(I121+I92)</f>
        <v>9953</v>
      </c>
      <c r="J138" s="450"/>
      <c r="K138" s="461">
        <f>SUM(K121+K92)</f>
        <v>-31351</v>
      </c>
      <c r="L138" s="450"/>
      <c r="M138" s="461">
        <f>SUM(M121+M92)</f>
        <v>-5143</v>
      </c>
      <c r="N138" s="450"/>
      <c r="O138" s="461">
        <f>SUM(O121+O92)</f>
        <v>57871</v>
      </c>
      <c r="P138" s="450"/>
      <c r="Q138" s="461">
        <f>SUM(Q121+Q92)</f>
        <v>48836</v>
      </c>
      <c r="R138" s="450"/>
      <c r="S138" s="461">
        <f>SUM(S121+S92)</f>
        <v>119260</v>
      </c>
      <c r="T138" s="450"/>
      <c r="U138" s="461">
        <f>SUM(U121+U92)</f>
        <v>30545</v>
      </c>
      <c r="V138" s="450"/>
      <c r="W138" s="461">
        <f>SUM(W121+W92)</f>
        <v>28154</v>
      </c>
      <c r="X138" s="450"/>
      <c r="Y138" s="461">
        <v>-43766</v>
      </c>
      <c r="Z138" s="450"/>
      <c r="AA138" s="461">
        <v>-59121</v>
      </c>
      <c r="AB138" s="450"/>
      <c r="AC138" s="461">
        <f>SUM(AC121+AC92)</f>
        <v>50179</v>
      </c>
      <c r="AD138" s="450"/>
      <c r="AE138" s="461">
        <v>66242</v>
      </c>
      <c r="AF138" s="450"/>
      <c r="AG138" s="461">
        <v>-25423</v>
      </c>
      <c r="AH138" s="450"/>
      <c r="AI138" s="461">
        <v>141160</v>
      </c>
      <c r="AJ138" s="450"/>
      <c r="AK138" s="461">
        <v>150359</v>
      </c>
      <c r="AL138" s="450"/>
      <c r="AM138" s="461">
        <v>58520</v>
      </c>
      <c r="AN138" s="450"/>
      <c r="AO138" s="461">
        <f>SUM(AO121+AO92)</f>
        <v>12999</v>
      </c>
      <c r="AP138" s="450"/>
      <c r="AQ138" s="461">
        <f>SUM(AQ121+AQ92)</f>
        <v>134269</v>
      </c>
      <c r="AR138" s="461"/>
      <c r="AS138" s="461">
        <f>SUM(AS121+AS92)</f>
        <v>473849</v>
      </c>
      <c r="AT138" s="450"/>
      <c r="AU138" s="461">
        <v>167014</v>
      </c>
      <c r="AV138" s="450"/>
      <c r="AW138" s="461">
        <f>SUM(AW121+AW92)</f>
        <v>171826</v>
      </c>
    </row>
    <row r="139" spans="1:50" s="418" customFormat="1" ht="9.9499999999999993" customHeight="1" x14ac:dyDescent="0.2">
      <c r="B139" s="418" t="s">
        <v>808</v>
      </c>
      <c r="E139" s="450">
        <f>SUM(E133+E93)</f>
        <v>9876</v>
      </c>
      <c r="F139" s="450"/>
      <c r="G139" s="450">
        <f>SUM(G133+G93)</f>
        <v>10453</v>
      </c>
      <c r="H139" s="450"/>
      <c r="I139" s="450">
        <f>SUM(I133+I93)</f>
        <v>6829</v>
      </c>
      <c r="J139" s="450"/>
      <c r="K139" s="450">
        <f>SUM(K133+K93)</f>
        <v>13450</v>
      </c>
      <c r="L139" s="450"/>
      <c r="M139" s="450">
        <f>SUM(M133+M93)</f>
        <v>10329</v>
      </c>
      <c r="N139" s="450"/>
      <c r="O139" s="450">
        <f>SUM(O133+O93)</f>
        <v>35016</v>
      </c>
      <c r="P139" s="450"/>
      <c r="Q139" s="450">
        <f>SUM(Q133+Q93)</f>
        <v>-7083</v>
      </c>
      <c r="R139" s="450"/>
      <c r="S139" s="450">
        <f>SUM(S133+S93)</f>
        <v>13435</v>
      </c>
      <c r="T139" s="450"/>
      <c r="U139" s="450">
        <f>SUM(U133+U93)</f>
        <v>21147</v>
      </c>
      <c r="V139" s="450"/>
      <c r="W139" s="450">
        <f>SUM(W133+W93)</f>
        <v>26502</v>
      </c>
      <c r="X139" s="450"/>
      <c r="Y139" s="450">
        <v>6381</v>
      </c>
      <c r="Z139" s="450"/>
      <c r="AA139" s="450">
        <v>16443</v>
      </c>
      <c r="AB139" s="450"/>
      <c r="AC139" s="450">
        <f>SUM(AC133+AC93)</f>
        <v>23157</v>
      </c>
      <c r="AD139" s="450"/>
      <c r="AE139" s="450">
        <v>31998</v>
      </c>
      <c r="AF139" s="450"/>
      <c r="AG139" s="450">
        <v>-8350</v>
      </c>
      <c r="AH139" s="450"/>
      <c r="AI139" s="450">
        <v>8901</v>
      </c>
      <c r="AJ139" s="450"/>
      <c r="AK139" s="450">
        <v>-5072</v>
      </c>
      <c r="AL139" s="450"/>
      <c r="AM139" s="455">
        <v>19934</v>
      </c>
      <c r="AN139" s="450"/>
      <c r="AO139" s="450">
        <f>SUM(AO133+AO93)</f>
        <v>-23257</v>
      </c>
      <c r="AP139" s="450"/>
      <c r="AQ139" s="450">
        <f>SUM(AQ133+AQ93)</f>
        <v>5038</v>
      </c>
      <c r="AR139" s="450"/>
      <c r="AS139" s="450">
        <f>SUM(AS133+AS93)</f>
        <v>51126</v>
      </c>
      <c r="AT139" s="450"/>
      <c r="AU139" s="450">
        <v>30637</v>
      </c>
      <c r="AV139" s="450"/>
      <c r="AW139" s="450">
        <f>SUM(AW133+AW93)</f>
        <v>96446</v>
      </c>
    </row>
    <row r="140" spans="1:50" s="418" customFormat="1" ht="5.0999999999999996" customHeight="1" x14ac:dyDescent="0.2">
      <c r="E140" s="452"/>
      <c r="F140" s="450"/>
      <c r="G140" s="452"/>
      <c r="H140" s="450"/>
      <c r="I140" s="452"/>
      <c r="J140" s="450"/>
      <c r="K140" s="452"/>
      <c r="L140" s="450"/>
      <c r="M140" s="452"/>
      <c r="N140" s="450"/>
      <c r="O140" s="452"/>
      <c r="P140" s="450"/>
      <c r="Q140" s="452"/>
      <c r="R140" s="450"/>
      <c r="S140" s="452"/>
      <c r="T140" s="450"/>
      <c r="U140" s="452"/>
      <c r="V140" s="450"/>
      <c r="W140" s="452"/>
      <c r="X140" s="450"/>
      <c r="Y140" s="452"/>
      <c r="Z140" s="450"/>
      <c r="AA140" s="452"/>
      <c r="AB140" s="450"/>
      <c r="AC140" s="452"/>
      <c r="AD140" s="450"/>
      <c r="AE140" s="452"/>
      <c r="AF140" s="450"/>
      <c r="AG140" s="452"/>
      <c r="AH140" s="450"/>
      <c r="AI140" s="452"/>
      <c r="AJ140" s="450"/>
      <c r="AK140" s="452"/>
      <c r="AL140" s="450"/>
      <c r="AM140" s="450"/>
      <c r="AN140" s="450"/>
      <c r="AO140" s="452"/>
      <c r="AP140" s="450"/>
      <c r="AQ140" s="452"/>
      <c r="AR140" s="450"/>
      <c r="AS140" s="452"/>
      <c r="AT140" s="450"/>
      <c r="AU140" s="452"/>
      <c r="AV140" s="450"/>
      <c r="AW140" s="452"/>
    </row>
    <row r="141" spans="1:50" s="418" customFormat="1" ht="11.1" customHeight="1" thickBot="1" x14ac:dyDescent="0.25">
      <c r="A141" s="417" t="s">
        <v>772</v>
      </c>
      <c r="E141" s="453">
        <f>SUM(E138:E139)</f>
        <v>-64257</v>
      </c>
      <c r="F141" s="450"/>
      <c r="G141" s="453">
        <f>SUM(G138:G139)</f>
        <v>51891</v>
      </c>
      <c r="H141" s="450"/>
      <c r="I141" s="453">
        <f>SUM(I138:I139)</f>
        <v>16782</v>
      </c>
      <c r="J141" s="450"/>
      <c r="K141" s="453">
        <f>SUM(K138:K139)</f>
        <v>-17901</v>
      </c>
      <c r="L141" s="450"/>
      <c r="M141" s="453">
        <f>SUM(M138:M139)</f>
        <v>5186</v>
      </c>
      <c r="N141" s="450"/>
      <c r="O141" s="453">
        <f>SUM(O138:O139)</f>
        <v>92887</v>
      </c>
      <c r="P141" s="450"/>
      <c r="Q141" s="453">
        <f>SUM(Q138:Q139)</f>
        <v>41753</v>
      </c>
      <c r="R141" s="450"/>
      <c r="S141" s="453">
        <f>SUM(S138:S139)</f>
        <v>132695</v>
      </c>
      <c r="T141" s="450"/>
      <c r="U141" s="453">
        <f>SUM(U138:U139)</f>
        <v>51692</v>
      </c>
      <c r="V141" s="450"/>
      <c r="W141" s="453">
        <f>SUM(W138:W139)</f>
        <v>54656</v>
      </c>
      <c r="X141" s="450"/>
      <c r="Y141" s="453">
        <f>SUM(Y138:Y139)</f>
        <v>-37385</v>
      </c>
      <c r="Z141" s="450"/>
      <c r="AA141" s="453">
        <f>SUM(AA138:AA139)</f>
        <v>-42678</v>
      </c>
      <c r="AB141" s="450"/>
      <c r="AC141" s="453">
        <f>SUM(AC138:AC139)</f>
        <v>73336</v>
      </c>
      <c r="AD141" s="450"/>
      <c r="AE141" s="453">
        <f>SUM(AE138:AE139)</f>
        <v>98240</v>
      </c>
      <c r="AF141" s="450"/>
      <c r="AG141" s="453">
        <f>SUM(AG138:AG139)</f>
        <v>-33773</v>
      </c>
      <c r="AH141" s="450"/>
      <c r="AI141" s="453">
        <f>SUM(AI138:AI139)</f>
        <v>150061</v>
      </c>
      <c r="AJ141" s="450"/>
      <c r="AK141" s="453">
        <f>SUM(AK138:AK139)</f>
        <v>145287</v>
      </c>
      <c r="AL141" s="450"/>
      <c r="AM141" s="453">
        <f>SUM(AM138:AM139)</f>
        <v>78454</v>
      </c>
      <c r="AN141" s="450"/>
      <c r="AO141" s="453">
        <f>SUM(AO138:AO139)</f>
        <v>-10258</v>
      </c>
      <c r="AP141" s="450"/>
      <c r="AQ141" s="453">
        <f>SUM(AQ138:AQ139)</f>
        <v>139307</v>
      </c>
      <c r="AR141" s="461"/>
      <c r="AS141" s="453">
        <f>SUM(AS138:AS139)</f>
        <v>524975</v>
      </c>
      <c r="AT141" s="450"/>
      <c r="AU141" s="453">
        <f>SUM(AU138:AU139)</f>
        <v>197651</v>
      </c>
      <c r="AV141" s="450"/>
      <c r="AW141" s="453">
        <f>SUM(AW138:AW139)</f>
        <v>268272</v>
      </c>
      <c r="AX141" s="789">
        <f>SUM(AW141-SOActivities!O73)</f>
        <v>0</v>
      </c>
    </row>
    <row r="142" spans="1:50" s="418" customFormat="1" ht="5.0999999999999996" customHeight="1" thickTop="1" x14ac:dyDescent="0.2">
      <c r="E142" s="450"/>
      <c r="G142" s="450"/>
      <c r="I142" s="952"/>
      <c r="K142" s="952"/>
      <c r="M142" s="952"/>
      <c r="O142" s="952"/>
      <c r="Q142" s="952"/>
      <c r="S142" s="952"/>
      <c r="U142" s="952"/>
      <c r="AA142" s="952"/>
      <c r="AC142" s="952"/>
      <c r="AE142" s="952"/>
      <c r="AG142" s="952"/>
    </row>
    <row r="143" spans="1:50" s="418" customFormat="1" ht="9.9499999999999993" customHeight="1" x14ac:dyDescent="0.2">
      <c r="E143" s="952"/>
      <c r="G143" s="952"/>
      <c r="I143" s="952"/>
      <c r="K143" s="952"/>
      <c r="M143" s="952"/>
      <c r="O143" s="952"/>
      <c r="Q143" s="952"/>
      <c r="S143" s="952"/>
      <c r="U143" s="952"/>
      <c r="AA143" s="952"/>
      <c r="AC143" s="952"/>
      <c r="AE143" s="952"/>
      <c r="AG143" s="952"/>
      <c r="AI143" s="952"/>
      <c r="AK143" s="952"/>
      <c r="AM143" s="952"/>
      <c r="AO143" s="952"/>
      <c r="AQ143" s="952"/>
      <c r="AR143" s="952"/>
      <c r="AS143" s="952"/>
      <c r="AU143" s="952"/>
    </row>
    <row r="144" spans="1:50" s="418" customFormat="1" ht="5.0999999999999996" customHeight="1" x14ac:dyDescent="0.2">
      <c r="E144" s="952"/>
      <c r="G144" s="952"/>
      <c r="I144" s="952"/>
      <c r="K144" s="952"/>
      <c r="M144" s="952"/>
      <c r="O144" s="952"/>
      <c r="Q144" s="952"/>
      <c r="S144" s="952"/>
      <c r="U144" s="952"/>
      <c r="AA144" s="952"/>
      <c r="AC144" s="952"/>
      <c r="AE144" s="952"/>
      <c r="AG144" s="952"/>
      <c r="AI144" s="952"/>
      <c r="AK144" s="952"/>
      <c r="AM144" s="952"/>
      <c r="AO144" s="952"/>
      <c r="AQ144" s="952"/>
      <c r="AR144" s="952"/>
      <c r="AS144" s="952"/>
      <c r="AU144" s="952"/>
    </row>
    <row r="145" spans="1:49" s="965" customFormat="1" ht="11.1" customHeight="1" x14ac:dyDescent="0.2">
      <c r="A145" s="964">
        <v>1</v>
      </c>
      <c r="B145" s="1603" t="s">
        <v>890</v>
      </c>
      <c r="C145" s="1604"/>
      <c r="D145" s="1604"/>
      <c r="E145" s="1604"/>
      <c r="F145" s="1604"/>
      <c r="G145" s="1604"/>
      <c r="H145" s="1604"/>
      <c r="I145" s="1604"/>
      <c r="J145" s="1604"/>
      <c r="K145" s="1604"/>
      <c r="L145" s="1604"/>
      <c r="M145" s="1604"/>
      <c r="N145" s="1604"/>
      <c r="O145" s="1604"/>
      <c r="P145" s="1604"/>
      <c r="Q145" s="1604"/>
      <c r="R145" s="1604"/>
      <c r="S145" s="1604"/>
      <c r="T145" s="1604"/>
      <c r="U145" s="1604"/>
      <c r="V145" s="1604"/>
      <c r="W145" s="1604"/>
      <c r="X145" s="1604"/>
      <c r="Y145" s="1604"/>
      <c r="Z145" s="1604"/>
      <c r="AA145" s="1604"/>
      <c r="AB145" s="1604"/>
      <c r="AC145" s="1604"/>
      <c r="AD145" s="1604"/>
      <c r="AE145" s="1604"/>
      <c r="AF145" s="1604"/>
      <c r="AG145" s="1604"/>
      <c r="AH145" s="1604"/>
      <c r="AI145" s="1604"/>
      <c r="AJ145" s="1604"/>
      <c r="AK145" s="1604"/>
      <c r="AL145" s="1604"/>
      <c r="AM145" s="1604"/>
      <c r="AN145" s="1604"/>
      <c r="AO145" s="1604"/>
      <c r="AP145" s="1604"/>
      <c r="AQ145" s="1604"/>
      <c r="AR145" s="1604"/>
      <c r="AS145" s="1604"/>
      <c r="AT145" s="1604"/>
      <c r="AU145" s="1604"/>
      <c r="AV145" s="1604"/>
      <c r="AW145" s="1604"/>
    </row>
    <row r="146" spans="1:49" s="965" customFormat="1" ht="10.5" customHeight="1" x14ac:dyDescent="0.2">
      <c r="A146" s="964">
        <v>2</v>
      </c>
      <c r="B146" s="1608" t="s">
        <v>1210</v>
      </c>
      <c r="C146" s="1608"/>
      <c r="D146" s="1608"/>
      <c r="E146" s="1608"/>
      <c r="F146" s="1608"/>
      <c r="G146" s="1608"/>
      <c r="H146" s="1608"/>
      <c r="I146" s="1608"/>
      <c r="J146" s="1608"/>
      <c r="K146" s="1608"/>
      <c r="L146" s="1608"/>
      <c r="M146" s="1608"/>
      <c r="N146" s="1608"/>
      <c r="O146" s="1608"/>
      <c r="P146" s="1608"/>
      <c r="Q146" s="1608"/>
      <c r="R146" s="1608"/>
      <c r="S146" s="1608"/>
      <c r="T146" s="1608"/>
      <c r="U146" s="1608"/>
      <c r="V146" s="1608"/>
      <c r="W146" s="1608"/>
      <c r="X146" s="1608"/>
      <c r="Y146" s="1608"/>
      <c r="Z146" s="1608"/>
      <c r="AA146" s="1608"/>
      <c r="AB146" s="1608"/>
      <c r="AC146" s="1608"/>
      <c r="AD146" s="1608"/>
      <c r="AE146" s="1608"/>
      <c r="AF146" s="1608"/>
      <c r="AG146" s="1608"/>
      <c r="AH146" s="1608"/>
      <c r="AI146" s="1608"/>
      <c r="AJ146" s="1608"/>
      <c r="AK146" s="1608"/>
      <c r="AL146" s="1608"/>
      <c r="AM146" s="1608"/>
      <c r="AN146" s="1608"/>
      <c r="AO146" s="1608"/>
      <c r="AP146" s="1608"/>
      <c r="AQ146" s="1608"/>
      <c r="AR146" s="1608"/>
      <c r="AS146" s="1608"/>
      <c r="AT146" s="1608"/>
      <c r="AU146" s="1608"/>
      <c r="AV146" s="1608"/>
      <c r="AW146" s="1608"/>
    </row>
    <row r="147" spans="1:49" s="965" customFormat="1" ht="11.1" customHeight="1" x14ac:dyDescent="0.2">
      <c r="A147" s="964">
        <v>3</v>
      </c>
      <c r="B147" s="1603" t="s">
        <v>1218</v>
      </c>
      <c r="C147" s="1604"/>
      <c r="D147" s="1604"/>
      <c r="E147" s="1604"/>
      <c r="F147" s="1604"/>
      <c r="G147" s="1604"/>
      <c r="H147" s="1604"/>
      <c r="I147" s="1604"/>
      <c r="J147" s="1604"/>
      <c r="K147" s="1604"/>
      <c r="L147" s="1604"/>
      <c r="M147" s="1604"/>
      <c r="N147" s="1604"/>
      <c r="O147" s="1604"/>
      <c r="P147" s="1604"/>
      <c r="Q147" s="1604"/>
      <c r="R147" s="1604"/>
      <c r="S147" s="1604"/>
      <c r="T147" s="1604"/>
      <c r="U147" s="1604"/>
      <c r="V147" s="1604"/>
      <c r="W147" s="1604"/>
      <c r="X147" s="1604"/>
      <c r="Y147" s="1604"/>
      <c r="Z147" s="1604"/>
      <c r="AA147" s="1604"/>
      <c r="AB147" s="1604"/>
      <c r="AC147" s="1604"/>
      <c r="AD147" s="1604"/>
      <c r="AE147" s="1604"/>
      <c r="AF147" s="1604"/>
      <c r="AG147" s="1604"/>
      <c r="AH147" s="1604"/>
      <c r="AI147" s="1604"/>
      <c r="AJ147" s="1604"/>
      <c r="AK147" s="1604"/>
      <c r="AL147" s="1604"/>
      <c r="AM147" s="1604"/>
      <c r="AN147" s="1604"/>
      <c r="AO147" s="1604"/>
      <c r="AP147" s="1604"/>
      <c r="AQ147" s="1604"/>
      <c r="AR147" s="1604"/>
      <c r="AS147" s="1604"/>
      <c r="AT147" s="1604"/>
      <c r="AU147" s="1604"/>
      <c r="AV147" s="1604"/>
      <c r="AW147" s="1604"/>
    </row>
    <row r="148" spans="1:49" s="965" customFormat="1" ht="11.1" customHeight="1" x14ac:dyDescent="0.2">
      <c r="A148" s="964">
        <v>4</v>
      </c>
      <c r="B148" s="1603" t="s">
        <v>1269</v>
      </c>
      <c r="C148" s="1604"/>
      <c r="D148" s="1604"/>
      <c r="E148" s="1604"/>
      <c r="F148" s="1604"/>
      <c r="G148" s="1604"/>
      <c r="H148" s="1604"/>
      <c r="I148" s="1604"/>
      <c r="J148" s="1604"/>
      <c r="K148" s="1604"/>
      <c r="L148" s="1604"/>
      <c r="M148" s="1604"/>
      <c r="N148" s="1604"/>
      <c r="O148" s="1604"/>
      <c r="P148" s="1604"/>
      <c r="Q148" s="1604"/>
      <c r="R148" s="1604"/>
      <c r="S148" s="1604"/>
      <c r="T148" s="1604"/>
      <c r="U148" s="1604"/>
      <c r="V148" s="1604"/>
      <c r="W148" s="1604"/>
      <c r="X148" s="1604"/>
      <c r="Y148" s="1604"/>
      <c r="Z148" s="1604"/>
      <c r="AA148" s="1604"/>
      <c r="AB148" s="1604"/>
      <c r="AC148" s="1604"/>
      <c r="AD148" s="1604"/>
      <c r="AE148" s="1604"/>
      <c r="AF148" s="1604"/>
      <c r="AG148" s="1604"/>
      <c r="AH148" s="1604"/>
      <c r="AI148" s="1604"/>
      <c r="AJ148" s="1604"/>
      <c r="AK148" s="1604"/>
      <c r="AL148" s="1604"/>
      <c r="AM148" s="1604"/>
      <c r="AN148" s="1604"/>
      <c r="AO148" s="1604"/>
      <c r="AP148" s="1604"/>
      <c r="AQ148" s="1604"/>
      <c r="AR148" s="1604"/>
      <c r="AS148" s="1604"/>
      <c r="AT148" s="1604"/>
      <c r="AU148" s="1604"/>
      <c r="AV148" s="1604"/>
      <c r="AW148" s="1604"/>
    </row>
    <row r="149" spans="1:49" ht="9.9499999999999993" customHeight="1" x14ac:dyDescent="0.2"/>
    <row r="150" spans="1:49" ht="9.9499999999999993" customHeight="1" x14ac:dyDescent="0.2"/>
    <row r="151" spans="1:49" ht="9.9499999999999993" customHeight="1" x14ac:dyDescent="0.2"/>
    <row r="152" spans="1:49" ht="9.9499999999999993" customHeight="1" x14ac:dyDescent="0.2"/>
    <row r="153" spans="1:49" ht="9.9499999999999993" customHeight="1" x14ac:dyDescent="0.2"/>
    <row r="154" spans="1:49" ht="9.9499999999999993" customHeight="1" x14ac:dyDescent="0.2"/>
    <row r="155" spans="1:49" ht="9.9499999999999993" customHeight="1" x14ac:dyDescent="0.2"/>
    <row r="156" spans="1:49" ht="9.9499999999999993" customHeight="1" x14ac:dyDescent="0.2"/>
    <row r="157" spans="1:49" ht="9.9499999999999993" customHeight="1" x14ac:dyDescent="0.2"/>
    <row r="158" spans="1:49" ht="9.9499999999999993" customHeight="1" x14ac:dyDescent="0.2"/>
    <row r="159" spans="1:49" ht="9.9499999999999993" customHeight="1" x14ac:dyDescent="0.2"/>
    <row r="160" spans="1:49" ht="9.9499999999999993" customHeight="1" x14ac:dyDescent="0.2"/>
    <row r="161" ht="9.9499999999999993" customHeight="1" x14ac:dyDescent="0.2"/>
    <row r="162" ht="9.9499999999999993" customHeight="1" x14ac:dyDescent="0.2"/>
    <row r="163" ht="9.9499999999999993" customHeight="1" x14ac:dyDescent="0.2"/>
    <row r="164" ht="9.9499999999999993" customHeight="1" x14ac:dyDescent="0.2"/>
    <row r="165" ht="9.9499999999999993" customHeight="1" x14ac:dyDescent="0.2"/>
    <row r="166" ht="9.9499999999999993" customHeight="1" x14ac:dyDescent="0.2"/>
    <row r="167" ht="9.9499999999999993" customHeight="1" x14ac:dyDescent="0.2"/>
    <row r="168" ht="9.9499999999999993" customHeight="1" x14ac:dyDescent="0.2"/>
    <row r="169" ht="9.9499999999999993" customHeight="1" x14ac:dyDescent="0.2"/>
    <row r="170" ht="9.9499999999999993" customHeight="1" x14ac:dyDescent="0.2"/>
    <row r="171" ht="9.9499999999999993" customHeight="1" x14ac:dyDescent="0.2"/>
    <row r="172" ht="9.9499999999999993" customHeight="1" x14ac:dyDescent="0.2"/>
    <row r="173" ht="9.9499999999999993" customHeight="1" x14ac:dyDescent="0.2"/>
    <row r="174" ht="9.9499999999999993" customHeight="1" x14ac:dyDescent="0.2"/>
    <row r="175" ht="9.9499999999999993" customHeight="1" x14ac:dyDescent="0.2"/>
    <row r="176" ht="9.9499999999999993" customHeight="1" x14ac:dyDescent="0.2"/>
    <row r="177" ht="9.9499999999999993" customHeight="1" x14ac:dyDescent="0.2"/>
    <row r="178" ht="9.9499999999999993" customHeight="1" x14ac:dyDescent="0.2"/>
    <row r="179" ht="9.9499999999999993" customHeight="1" x14ac:dyDescent="0.2"/>
    <row r="180" ht="9.9499999999999993" customHeight="1" x14ac:dyDescent="0.2"/>
    <row r="181" ht="9.9499999999999993" customHeight="1" x14ac:dyDescent="0.2"/>
    <row r="182" ht="9.9499999999999993" customHeight="1" x14ac:dyDescent="0.2"/>
    <row r="183" ht="9.9499999999999993" customHeight="1" x14ac:dyDescent="0.2"/>
    <row r="184" ht="9.9499999999999993" customHeight="1" x14ac:dyDescent="0.2"/>
    <row r="185" ht="9.9499999999999993" customHeight="1" x14ac:dyDescent="0.2"/>
    <row r="186" ht="9.9499999999999993" customHeight="1" x14ac:dyDescent="0.2"/>
    <row r="187" ht="9.9499999999999993" customHeight="1" x14ac:dyDescent="0.2"/>
    <row r="188" ht="9.9499999999999993" customHeight="1" x14ac:dyDescent="0.2"/>
    <row r="189" ht="9.9499999999999993" customHeight="1" x14ac:dyDescent="0.2"/>
    <row r="190" ht="9.9499999999999993" customHeight="1" x14ac:dyDescent="0.2"/>
    <row r="191" ht="9.9499999999999993" customHeight="1" x14ac:dyDescent="0.2"/>
    <row r="192" ht="9.9499999999999993" customHeight="1" x14ac:dyDescent="0.2"/>
    <row r="193" ht="9.9499999999999993" customHeight="1" x14ac:dyDescent="0.2"/>
    <row r="194" ht="9.9499999999999993" customHeight="1" x14ac:dyDescent="0.2"/>
    <row r="195" ht="9.9499999999999993" customHeight="1" x14ac:dyDescent="0.2"/>
    <row r="196" ht="9.9499999999999993" customHeight="1" x14ac:dyDescent="0.2"/>
    <row r="197" ht="9.9499999999999993" customHeight="1" x14ac:dyDescent="0.2"/>
    <row r="198" ht="9.9499999999999993" customHeight="1" x14ac:dyDescent="0.2"/>
    <row r="199" ht="9.9499999999999993" customHeight="1" x14ac:dyDescent="0.2"/>
    <row r="200" ht="9.9499999999999993" customHeight="1" x14ac:dyDescent="0.2"/>
    <row r="201" ht="9.9499999999999993" customHeight="1" x14ac:dyDescent="0.2"/>
    <row r="202" ht="9.9499999999999993" customHeight="1" x14ac:dyDescent="0.2"/>
    <row r="203" ht="9.9499999999999993" customHeight="1" x14ac:dyDescent="0.2"/>
    <row r="204" ht="9.9499999999999993" customHeight="1" x14ac:dyDescent="0.2"/>
    <row r="205" ht="9.9499999999999993" customHeight="1" x14ac:dyDescent="0.2"/>
    <row r="206" ht="9.9499999999999993" customHeight="1" x14ac:dyDescent="0.2"/>
    <row r="207" ht="9.9499999999999993" customHeight="1" x14ac:dyDescent="0.2"/>
    <row r="208" ht="9.9499999999999993" customHeight="1" x14ac:dyDescent="0.2"/>
    <row r="209" ht="9.9499999999999993" customHeight="1" x14ac:dyDescent="0.2"/>
    <row r="210" ht="9.9499999999999993" customHeight="1" x14ac:dyDescent="0.2"/>
    <row r="211" ht="9.9499999999999993" customHeight="1" x14ac:dyDescent="0.2"/>
    <row r="212" ht="9.9499999999999993" customHeight="1" x14ac:dyDescent="0.2"/>
    <row r="213" ht="9.9499999999999993" customHeight="1" x14ac:dyDescent="0.2"/>
    <row r="214" ht="9.9499999999999993" customHeight="1" x14ac:dyDescent="0.2"/>
    <row r="215" ht="9.9499999999999993" customHeight="1" x14ac:dyDescent="0.2"/>
    <row r="216" ht="9.9499999999999993" customHeight="1" x14ac:dyDescent="0.2"/>
    <row r="217" ht="9.9499999999999993" customHeight="1" x14ac:dyDescent="0.2"/>
    <row r="218" ht="9.9499999999999993" customHeight="1" x14ac:dyDescent="0.2"/>
    <row r="219" ht="9.9499999999999993" customHeight="1" x14ac:dyDescent="0.2"/>
    <row r="220" ht="9.9499999999999993" customHeight="1" x14ac:dyDescent="0.2"/>
    <row r="221" ht="9.9499999999999993" customHeight="1" x14ac:dyDescent="0.2"/>
    <row r="222" ht="9.9499999999999993" customHeight="1" x14ac:dyDescent="0.2"/>
    <row r="223" ht="9.9499999999999993" customHeight="1" x14ac:dyDescent="0.2"/>
    <row r="224" ht="9.9499999999999993" customHeight="1" x14ac:dyDescent="0.2"/>
    <row r="225" ht="9.9499999999999993" customHeight="1" x14ac:dyDescent="0.2"/>
    <row r="226" ht="9.9499999999999993" customHeight="1" x14ac:dyDescent="0.2"/>
    <row r="227" ht="9.9499999999999993" customHeight="1" x14ac:dyDescent="0.2"/>
    <row r="228" ht="9.9499999999999993" customHeight="1" x14ac:dyDescent="0.2"/>
    <row r="229" ht="9.9499999999999993" customHeight="1" x14ac:dyDescent="0.2"/>
    <row r="230" ht="9.9499999999999993" customHeight="1" x14ac:dyDescent="0.2"/>
    <row r="231" ht="9.9499999999999993" customHeight="1" x14ac:dyDescent="0.2"/>
    <row r="232" ht="9.9499999999999993" customHeight="1" x14ac:dyDescent="0.2"/>
    <row r="233" ht="9.9499999999999993" customHeight="1" x14ac:dyDescent="0.2"/>
    <row r="234" ht="9.9499999999999993" customHeight="1" x14ac:dyDescent="0.2"/>
    <row r="235" ht="9.9499999999999993" customHeight="1" x14ac:dyDescent="0.2"/>
    <row r="236" ht="9.9499999999999993" customHeight="1" x14ac:dyDescent="0.2"/>
    <row r="237" ht="9.9499999999999993" customHeight="1" x14ac:dyDescent="0.2"/>
    <row r="238" ht="9.9499999999999993" customHeight="1" x14ac:dyDescent="0.2"/>
    <row r="239" ht="9.9499999999999993" customHeight="1" x14ac:dyDescent="0.2"/>
    <row r="240" ht="9.9499999999999993" customHeight="1" x14ac:dyDescent="0.2"/>
    <row r="241" ht="9.9499999999999993" customHeight="1" x14ac:dyDescent="0.2"/>
    <row r="242" ht="9.9499999999999993" customHeight="1" x14ac:dyDescent="0.2"/>
    <row r="243" ht="9.9499999999999993" customHeight="1" x14ac:dyDescent="0.2"/>
    <row r="244" ht="9.9499999999999993" customHeight="1" x14ac:dyDescent="0.2"/>
    <row r="245" ht="9.9499999999999993" customHeight="1" x14ac:dyDescent="0.2"/>
    <row r="246" ht="9.9499999999999993" customHeight="1" x14ac:dyDescent="0.2"/>
    <row r="247" ht="9.9499999999999993" customHeight="1" x14ac:dyDescent="0.2"/>
    <row r="248" ht="9.9499999999999993" customHeight="1" x14ac:dyDescent="0.2"/>
    <row r="249" ht="9.9499999999999993" customHeight="1" x14ac:dyDescent="0.2"/>
    <row r="250" ht="9.9499999999999993" customHeight="1" x14ac:dyDescent="0.2"/>
    <row r="251" ht="9.9499999999999993" customHeight="1" x14ac:dyDescent="0.2"/>
    <row r="252" ht="9.9499999999999993" customHeight="1" x14ac:dyDescent="0.2"/>
    <row r="253" ht="9.9499999999999993" customHeight="1" x14ac:dyDescent="0.2"/>
    <row r="254" ht="9.9499999999999993" customHeight="1" x14ac:dyDescent="0.2"/>
    <row r="255" ht="9.9499999999999993" customHeight="1" x14ac:dyDescent="0.2"/>
    <row r="256" ht="9.9499999999999993" customHeight="1" x14ac:dyDescent="0.2"/>
    <row r="257" ht="9.9499999999999993" customHeight="1" x14ac:dyDescent="0.2"/>
    <row r="258" ht="9.9499999999999993" customHeight="1" x14ac:dyDescent="0.2"/>
    <row r="259" ht="9.9499999999999993" customHeight="1" x14ac:dyDescent="0.2"/>
    <row r="260" ht="9.9499999999999993" customHeight="1" x14ac:dyDescent="0.2"/>
    <row r="261" ht="9.9499999999999993" customHeight="1" x14ac:dyDescent="0.2"/>
    <row r="262" ht="9.9499999999999993" customHeight="1" x14ac:dyDescent="0.2"/>
    <row r="263" ht="9.9499999999999993" customHeight="1" x14ac:dyDescent="0.2"/>
    <row r="264" ht="9.9499999999999993" customHeight="1" x14ac:dyDescent="0.2"/>
    <row r="265" ht="9.9499999999999993" customHeight="1" x14ac:dyDescent="0.2"/>
    <row r="266" ht="9.9499999999999993" customHeight="1" x14ac:dyDescent="0.2"/>
    <row r="267" ht="9.9499999999999993" customHeight="1" x14ac:dyDescent="0.2"/>
    <row r="268" ht="9.9499999999999993" customHeight="1" x14ac:dyDescent="0.2"/>
    <row r="269" ht="9.9499999999999993" customHeight="1" x14ac:dyDescent="0.2"/>
    <row r="270" ht="9.9499999999999993" customHeight="1" x14ac:dyDescent="0.2"/>
    <row r="271" ht="9.9499999999999993" customHeight="1" x14ac:dyDescent="0.2"/>
    <row r="272" ht="9.9499999999999993" customHeight="1" x14ac:dyDescent="0.2"/>
    <row r="273" ht="9.9499999999999993" customHeight="1" x14ac:dyDescent="0.2"/>
    <row r="274" ht="9.9499999999999993" customHeight="1" x14ac:dyDescent="0.2"/>
    <row r="275" ht="9.9499999999999993" customHeight="1" x14ac:dyDescent="0.2"/>
    <row r="276" ht="9.9499999999999993" customHeight="1" x14ac:dyDescent="0.2"/>
    <row r="277" ht="9.9499999999999993" customHeight="1" x14ac:dyDescent="0.2"/>
    <row r="278" ht="9.9499999999999993" customHeight="1" x14ac:dyDescent="0.2"/>
    <row r="279" ht="9.9499999999999993" customHeight="1" x14ac:dyDescent="0.2"/>
    <row r="280" ht="9.9499999999999993" customHeight="1" x14ac:dyDescent="0.2"/>
    <row r="281" ht="9.9499999999999993" customHeight="1" x14ac:dyDescent="0.2"/>
    <row r="282" ht="9.9499999999999993" customHeight="1" x14ac:dyDescent="0.2"/>
    <row r="283" ht="9.9499999999999993" customHeight="1" x14ac:dyDescent="0.2"/>
    <row r="284" ht="9.9499999999999993" customHeight="1" x14ac:dyDescent="0.2"/>
    <row r="285" ht="9.9499999999999993" customHeight="1" x14ac:dyDescent="0.2"/>
    <row r="286" ht="9.9499999999999993" customHeight="1" x14ac:dyDescent="0.2"/>
    <row r="287" ht="9.9499999999999993" customHeight="1" x14ac:dyDescent="0.2"/>
    <row r="288" ht="9.9499999999999993" customHeight="1" x14ac:dyDescent="0.2"/>
    <row r="289" ht="9.9499999999999993" customHeight="1" x14ac:dyDescent="0.2"/>
    <row r="290" ht="9.9499999999999993" customHeight="1" x14ac:dyDescent="0.2"/>
    <row r="291" ht="9.9499999999999993" customHeight="1" x14ac:dyDescent="0.2"/>
    <row r="292" ht="9.9499999999999993" customHeight="1" x14ac:dyDescent="0.2"/>
    <row r="293" ht="9.9499999999999993" customHeight="1" x14ac:dyDescent="0.2"/>
    <row r="294" ht="9.9499999999999993" customHeight="1" x14ac:dyDescent="0.2"/>
    <row r="295" ht="9.9499999999999993" customHeight="1" x14ac:dyDescent="0.2"/>
    <row r="296" ht="9.9499999999999993" customHeight="1" x14ac:dyDescent="0.2"/>
    <row r="297" ht="9.9499999999999993" customHeight="1" x14ac:dyDescent="0.2"/>
    <row r="298" ht="9.9499999999999993" customHeight="1" x14ac:dyDescent="0.2"/>
    <row r="299" ht="9.9499999999999993" customHeight="1" x14ac:dyDescent="0.2"/>
    <row r="300" ht="9.9499999999999993" customHeight="1" x14ac:dyDescent="0.2"/>
    <row r="301" ht="9.9499999999999993" customHeight="1" x14ac:dyDescent="0.2"/>
    <row r="302" ht="9.9499999999999993" customHeight="1" x14ac:dyDescent="0.2"/>
    <row r="303" ht="9.9499999999999993" customHeight="1" x14ac:dyDescent="0.2"/>
    <row r="304" ht="9.9499999999999993" customHeight="1" x14ac:dyDescent="0.2"/>
    <row r="305" ht="9.9499999999999993" customHeight="1" x14ac:dyDescent="0.2"/>
    <row r="306" ht="9.9499999999999993" customHeight="1" x14ac:dyDescent="0.2"/>
    <row r="307" ht="9.9499999999999993" customHeight="1" x14ac:dyDescent="0.2"/>
    <row r="308" ht="9.9499999999999993" customHeight="1" x14ac:dyDescent="0.2"/>
    <row r="309" ht="9.9499999999999993" customHeight="1" x14ac:dyDescent="0.2"/>
    <row r="310" ht="9.9499999999999993" customHeight="1" x14ac:dyDescent="0.2"/>
    <row r="311" ht="9.9499999999999993" customHeight="1" x14ac:dyDescent="0.2"/>
    <row r="312" ht="9.9499999999999993" customHeight="1" x14ac:dyDescent="0.2"/>
    <row r="313" ht="9.9499999999999993" customHeight="1" x14ac:dyDescent="0.2"/>
    <row r="314" ht="9.9499999999999993" customHeight="1" x14ac:dyDescent="0.2"/>
    <row r="315" ht="9.9499999999999993" customHeight="1" x14ac:dyDescent="0.2"/>
    <row r="316" ht="9.9499999999999993" customHeight="1" x14ac:dyDescent="0.2"/>
    <row r="317" ht="9.9499999999999993" customHeight="1" x14ac:dyDescent="0.2"/>
    <row r="318" ht="9.9499999999999993" customHeight="1" x14ac:dyDescent="0.2"/>
    <row r="319" ht="9.9499999999999993" customHeight="1" x14ac:dyDescent="0.2"/>
    <row r="320" ht="9.9499999999999993" customHeight="1" x14ac:dyDescent="0.2"/>
    <row r="321" ht="9.9499999999999993" customHeight="1" x14ac:dyDescent="0.2"/>
    <row r="322" ht="9.9499999999999993" customHeight="1" x14ac:dyDescent="0.2"/>
    <row r="323" ht="9.9499999999999993" customHeight="1" x14ac:dyDescent="0.2"/>
    <row r="324" ht="9.9499999999999993" customHeight="1" x14ac:dyDescent="0.2"/>
    <row r="325" ht="9.9499999999999993" customHeight="1" x14ac:dyDescent="0.2"/>
    <row r="326" ht="9.9499999999999993" customHeight="1" x14ac:dyDescent="0.2"/>
    <row r="327" ht="9.9499999999999993" customHeight="1" x14ac:dyDescent="0.2"/>
    <row r="328" ht="9.9499999999999993" customHeight="1" x14ac:dyDescent="0.2"/>
    <row r="329" ht="9.9499999999999993" customHeight="1" x14ac:dyDescent="0.2"/>
    <row r="330" ht="9.9499999999999993" customHeight="1" x14ac:dyDescent="0.2"/>
    <row r="331" ht="9.9499999999999993" customHeight="1" x14ac:dyDescent="0.2"/>
    <row r="332" ht="9.9499999999999993" customHeight="1" x14ac:dyDescent="0.2"/>
    <row r="333" ht="9.9499999999999993" customHeight="1" x14ac:dyDescent="0.2"/>
    <row r="334" ht="9.9499999999999993" customHeight="1" x14ac:dyDescent="0.2"/>
    <row r="335" ht="9.9499999999999993" customHeight="1" x14ac:dyDescent="0.2"/>
    <row r="336" ht="9.9499999999999993" customHeight="1" x14ac:dyDescent="0.2"/>
    <row r="337" ht="9.9499999999999993" customHeight="1" x14ac:dyDescent="0.2"/>
    <row r="338" ht="9.9499999999999993" customHeight="1" x14ac:dyDescent="0.2"/>
    <row r="339" ht="9.9499999999999993" customHeight="1" x14ac:dyDescent="0.2"/>
    <row r="340" ht="9.9499999999999993" customHeight="1" x14ac:dyDescent="0.2"/>
    <row r="341" ht="9.9499999999999993" customHeight="1" x14ac:dyDescent="0.2"/>
    <row r="342" ht="9.9499999999999993" customHeight="1" x14ac:dyDescent="0.2"/>
    <row r="343" ht="9.9499999999999993" customHeight="1" x14ac:dyDescent="0.2"/>
    <row r="344" ht="9.9499999999999993" customHeight="1" x14ac:dyDescent="0.2"/>
    <row r="345" ht="9.9499999999999993" customHeight="1" x14ac:dyDescent="0.2"/>
    <row r="346" ht="9.9499999999999993" customHeight="1" x14ac:dyDescent="0.2"/>
    <row r="347" ht="9.9499999999999993" customHeight="1" x14ac:dyDescent="0.2"/>
    <row r="348" ht="9.9499999999999993" customHeight="1" x14ac:dyDescent="0.2"/>
    <row r="349" ht="9.9499999999999993" customHeight="1" x14ac:dyDescent="0.2"/>
    <row r="350" ht="9.9499999999999993" customHeight="1" x14ac:dyDescent="0.2"/>
    <row r="351" ht="9.9499999999999993" customHeight="1" x14ac:dyDescent="0.2"/>
    <row r="352" ht="9.9499999999999993" customHeight="1" x14ac:dyDescent="0.2"/>
    <row r="353" ht="9.9499999999999993" customHeight="1" x14ac:dyDescent="0.2"/>
    <row r="354" ht="9.9499999999999993" customHeight="1" x14ac:dyDescent="0.2"/>
    <row r="355" ht="9.9499999999999993" customHeight="1" x14ac:dyDescent="0.2"/>
    <row r="356" ht="9.9499999999999993" customHeight="1" x14ac:dyDescent="0.2"/>
    <row r="357" ht="9.9499999999999993" customHeight="1" x14ac:dyDescent="0.2"/>
    <row r="358" ht="9.9499999999999993" customHeight="1" x14ac:dyDescent="0.2"/>
    <row r="359" ht="9.9499999999999993" customHeight="1" x14ac:dyDescent="0.2"/>
    <row r="360" ht="9.9499999999999993" customHeight="1" x14ac:dyDescent="0.2"/>
    <row r="361" ht="9.9499999999999993" customHeight="1" x14ac:dyDescent="0.2"/>
    <row r="362" ht="9.9499999999999993" customHeight="1" x14ac:dyDescent="0.2"/>
    <row r="363" ht="9.9499999999999993" customHeight="1" x14ac:dyDescent="0.2"/>
    <row r="364" ht="9.9499999999999993" customHeight="1" x14ac:dyDescent="0.2"/>
    <row r="365" ht="9.9499999999999993" customHeight="1" x14ac:dyDescent="0.2"/>
    <row r="366" ht="9.9499999999999993" customHeight="1" x14ac:dyDescent="0.2"/>
    <row r="367" ht="9.9499999999999993" customHeight="1" x14ac:dyDescent="0.2"/>
    <row r="368" ht="9.9499999999999993" customHeight="1" x14ac:dyDescent="0.2"/>
    <row r="369" ht="9.9499999999999993" customHeight="1" x14ac:dyDescent="0.2"/>
    <row r="370" ht="9.9499999999999993" customHeight="1" x14ac:dyDescent="0.2"/>
    <row r="371" ht="9.9499999999999993" customHeight="1" x14ac:dyDescent="0.2"/>
    <row r="372" ht="9.9499999999999993" customHeight="1" x14ac:dyDescent="0.2"/>
    <row r="373" ht="9.9499999999999993" customHeight="1" x14ac:dyDescent="0.2"/>
    <row r="374" ht="9.9499999999999993" customHeight="1" x14ac:dyDescent="0.2"/>
    <row r="375" ht="9.9499999999999993" customHeight="1" x14ac:dyDescent="0.2"/>
    <row r="376" ht="9.9499999999999993" customHeight="1" x14ac:dyDescent="0.2"/>
    <row r="377" ht="9.9499999999999993" customHeight="1" x14ac:dyDescent="0.2"/>
    <row r="378" ht="9.9499999999999993" customHeight="1" x14ac:dyDescent="0.2"/>
    <row r="379" ht="9.9499999999999993" customHeight="1" x14ac:dyDescent="0.2"/>
    <row r="380" ht="9.9499999999999993" customHeight="1" x14ac:dyDescent="0.2"/>
    <row r="381" ht="9.9499999999999993" customHeight="1" x14ac:dyDescent="0.2"/>
    <row r="382" ht="9.9499999999999993" customHeight="1" x14ac:dyDescent="0.2"/>
    <row r="383" ht="9.9499999999999993" customHeight="1" x14ac:dyDescent="0.2"/>
    <row r="384" ht="9.9499999999999993" customHeight="1" x14ac:dyDescent="0.2"/>
    <row r="385" ht="9.9499999999999993" customHeight="1" x14ac:dyDescent="0.2"/>
    <row r="386" ht="9.9499999999999993" customHeight="1" x14ac:dyDescent="0.2"/>
    <row r="387" ht="9.9499999999999993" customHeight="1" x14ac:dyDescent="0.2"/>
    <row r="388" ht="9.9499999999999993" customHeight="1" x14ac:dyDescent="0.2"/>
    <row r="389" ht="9.9499999999999993" customHeight="1" x14ac:dyDescent="0.2"/>
    <row r="390" ht="9.9499999999999993" customHeight="1" x14ac:dyDescent="0.2"/>
    <row r="391" ht="9.9499999999999993" customHeight="1" x14ac:dyDescent="0.2"/>
    <row r="392" ht="9.9499999999999993" customHeight="1" x14ac:dyDescent="0.2"/>
    <row r="393" ht="9.9499999999999993" customHeight="1" x14ac:dyDescent="0.2"/>
    <row r="394" ht="9.9499999999999993" customHeight="1" x14ac:dyDescent="0.2"/>
    <row r="395" ht="9.9499999999999993" customHeight="1" x14ac:dyDescent="0.2"/>
    <row r="396" ht="9.9499999999999993" customHeight="1" x14ac:dyDescent="0.2"/>
    <row r="397" ht="9.9499999999999993" customHeight="1" x14ac:dyDescent="0.2"/>
    <row r="398" ht="9.9499999999999993" customHeight="1" x14ac:dyDescent="0.2"/>
    <row r="399" ht="9.9499999999999993" customHeight="1" x14ac:dyDescent="0.2"/>
    <row r="400" ht="9.9499999999999993" customHeight="1" x14ac:dyDescent="0.2"/>
    <row r="401" ht="9.9499999999999993" customHeight="1" x14ac:dyDescent="0.2"/>
    <row r="402" ht="9.9499999999999993" customHeight="1" x14ac:dyDescent="0.2"/>
    <row r="403" ht="9.9499999999999993" customHeight="1" x14ac:dyDescent="0.2"/>
    <row r="404" ht="9.9499999999999993" customHeight="1" x14ac:dyDescent="0.2"/>
    <row r="405" ht="9.9499999999999993" customHeight="1" x14ac:dyDescent="0.2"/>
    <row r="406" ht="9.9499999999999993" customHeight="1" x14ac:dyDescent="0.2"/>
    <row r="407" ht="9.9499999999999993" customHeight="1" x14ac:dyDescent="0.2"/>
    <row r="408" ht="9.9499999999999993" customHeight="1" x14ac:dyDescent="0.2"/>
    <row r="409" ht="9.9499999999999993" customHeight="1" x14ac:dyDescent="0.2"/>
    <row r="410" ht="9.9499999999999993" customHeight="1" x14ac:dyDescent="0.2"/>
    <row r="411" ht="9.9499999999999993" customHeight="1" x14ac:dyDescent="0.2"/>
    <row r="412" ht="9.9499999999999993" customHeight="1" x14ac:dyDescent="0.2"/>
  </sheetData>
  <mergeCells count="10">
    <mergeCell ref="B79:AW79"/>
    <mergeCell ref="B81:Y81"/>
    <mergeCell ref="B80:AW80"/>
    <mergeCell ref="B147:AW147"/>
    <mergeCell ref="A1:AW1"/>
    <mergeCell ref="B148:AW148"/>
    <mergeCell ref="G89:AW89"/>
    <mergeCell ref="A82:AW82"/>
    <mergeCell ref="B145:AW145"/>
    <mergeCell ref="B146:AW146"/>
  </mergeCells>
  <phoneticPr fontId="9" type="noConversion"/>
  <printOptions horizontalCentered="1"/>
  <pageMargins left="0.5" right="0.5" top="0.5" bottom="0.625" header="0.5" footer="0.5"/>
  <pageSetup scale="73" fitToHeight="2" orientation="landscape" r:id="rId1"/>
  <headerFooter alignWithMargins="0"/>
  <rowBreaks count="1" manualBreakCount="1">
    <brk id="81" max="48"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tabColor theme="6" tint="0.39997558519241921"/>
  </sheetPr>
  <dimension ref="A1:AW124"/>
  <sheetViews>
    <sheetView view="pageBreakPreview" zoomScaleNormal="100" zoomScaleSheetLayoutView="100" workbookViewId="0">
      <selection activeCell="AV42" activeCellId="4" sqref="AV38 AV39 AV40 AV41 AV42"/>
    </sheetView>
  </sheetViews>
  <sheetFormatPr defaultColWidth="9.140625" defaultRowHeight="12.75" x14ac:dyDescent="0.2"/>
  <cols>
    <col min="1" max="2" width="1.5703125" style="434" customWidth="1"/>
    <col min="3" max="3" width="24.85546875" style="434" customWidth="1"/>
    <col min="4" max="4" width="8.42578125" style="981" hidden="1" customWidth="1"/>
    <col min="5" max="5" width="1.140625" style="434" hidden="1" customWidth="1"/>
    <col min="6" max="6" width="8.42578125" style="981" hidden="1" customWidth="1"/>
    <col min="7" max="7" width="1.140625" style="434" hidden="1" customWidth="1"/>
    <col min="8" max="8" width="8.42578125" style="981" hidden="1" customWidth="1"/>
    <col min="9" max="9" width="1.140625" style="434" hidden="1" customWidth="1"/>
    <col min="10" max="10" width="8.42578125" style="981" hidden="1" customWidth="1"/>
    <col min="11" max="11" width="1.140625" style="434" hidden="1" customWidth="1"/>
    <col min="12" max="12" width="0" style="981" hidden="1" customWidth="1"/>
    <col min="13" max="13" width="1.140625" style="434" hidden="1" customWidth="1"/>
    <col min="14" max="14" width="9.5703125" style="981" hidden="1" customWidth="1"/>
    <col min="15" max="15" width="1.140625" style="981" hidden="1" customWidth="1"/>
    <col min="16" max="16" width="9.5703125" style="981" hidden="1" customWidth="1"/>
    <col min="17" max="17" width="1.140625" style="434" hidden="1" customWidth="1"/>
    <col min="18" max="18" width="9.5703125" style="981" hidden="1" customWidth="1"/>
    <col min="19" max="19" width="1.140625" style="434" hidden="1" customWidth="1"/>
    <col min="20" max="20" width="9.5703125" style="981" hidden="1" customWidth="1"/>
    <col min="21" max="21" width="1.140625" style="434" hidden="1" customWidth="1"/>
    <col min="22" max="22" width="9.5703125" style="434" hidden="1" customWidth="1"/>
    <col min="23" max="23" width="1.140625" style="434" hidden="1" customWidth="1"/>
    <col min="24" max="24" width="9.5703125" style="434" hidden="1" customWidth="1"/>
    <col min="25" max="25" width="1.140625" style="434" hidden="1" customWidth="1"/>
    <col min="26" max="26" width="9.5703125" style="434" hidden="1" customWidth="1"/>
    <col min="27" max="27" width="1.140625" style="434" hidden="1" customWidth="1"/>
    <col min="28" max="28" width="9.5703125" style="434" hidden="1" customWidth="1"/>
    <col min="29" max="29" width="1.140625" style="434" customWidth="1"/>
    <col min="30" max="30" width="9.5703125" style="434" customWidth="1"/>
    <col min="31" max="31" width="1.140625" style="434" customWidth="1"/>
    <col min="32" max="32" width="9.5703125" style="434" customWidth="1"/>
    <col min="33" max="33" width="1.140625" style="434" customWidth="1"/>
    <col min="34" max="34" width="9.5703125" style="434" customWidth="1"/>
    <col min="35" max="35" width="1.140625" style="434" customWidth="1"/>
    <col min="36" max="36" width="9.5703125" style="434" customWidth="1"/>
    <col min="37" max="37" width="1.140625" style="434" customWidth="1"/>
    <col min="38" max="38" width="9.5703125" style="434" customWidth="1"/>
    <col min="39" max="39" width="1.140625" style="434" customWidth="1"/>
    <col min="40" max="40" width="9.5703125" style="434" customWidth="1"/>
    <col min="41" max="41" width="1.140625" style="434" customWidth="1"/>
    <col min="42" max="42" width="9.5703125" style="434" customWidth="1"/>
    <col min="43" max="43" width="1.140625" style="434" customWidth="1"/>
    <col min="44" max="44" width="9.5703125" style="434" customWidth="1"/>
    <col min="45" max="45" width="1.140625" style="434" customWidth="1"/>
    <col min="46" max="46" width="9.5703125" style="434" customWidth="1"/>
    <col min="47" max="47" width="1.140625" style="434" customWidth="1"/>
    <col min="48" max="48" width="9.5703125" style="434" customWidth="1"/>
    <col min="49" max="16384" width="9.140625" style="434"/>
  </cols>
  <sheetData>
    <row r="1" spans="1:49" s="520" customFormat="1" ht="16.5" customHeight="1" thickBot="1" x14ac:dyDescent="0.25">
      <c r="A1" s="519" t="s">
        <v>1033</v>
      </c>
      <c r="B1" s="519"/>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row>
    <row r="2" spans="1:49" s="715" customFormat="1" ht="15" customHeight="1" x14ac:dyDescent="0.2">
      <c r="A2" s="700" t="s">
        <v>786</v>
      </c>
      <c r="B2" s="700"/>
      <c r="C2" s="700"/>
      <c r="D2" s="950"/>
      <c r="F2" s="950"/>
      <c r="H2" s="950"/>
      <c r="J2" s="950"/>
      <c r="L2" s="950"/>
      <c r="N2" s="950"/>
      <c r="O2" s="950"/>
      <c r="P2" s="950"/>
      <c r="R2" s="950"/>
      <c r="T2" s="950"/>
    </row>
    <row r="3" spans="1:49" s="715" customFormat="1" ht="15" customHeight="1" x14ac:dyDescent="0.2">
      <c r="A3" s="700" t="s">
        <v>811</v>
      </c>
      <c r="B3" s="700"/>
      <c r="C3" s="700"/>
      <c r="D3" s="950"/>
      <c r="F3" s="950"/>
      <c r="H3" s="950"/>
      <c r="J3" s="950"/>
      <c r="L3" s="950"/>
      <c r="N3" s="950"/>
      <c r="O3" s="950"/>
      <c r="P3" s="950"/>
      <c r="R3" s="950"/>
      <c r="T3" s="950"/>
    </row>
    <row r="4" spans="1:49" s="157" customFormat="1" ht="12.95" customHeight="1" x14ac:dyDescent="0.2">
      <c r="A4" s="506" t="s">
        <v>176</v>
      </c>
      <c r="B4" s="506"/>
      <c r="C4" s="506"/>
      <c r="D4" s="951"/>
      <c r="F4" s="951"/>
      <c r="H4" s="951"/>
      <c r="J4" s="951"/>
      <c r="L4" s="951"/>
      <c r="N4" s="951"/>
      <c r="O4" s="951"/>
      <c r="P4" s="951"/>
      <c r="R4" s="951"/>
      <c r="T4" s="951"/>
    </row>
    <row r="5" spans="1:49" s="418" customFormat="1" ht="12" customHeight="1" x14ac:dyDescent="0.2">
      <c r="A5" s="737" t="s">
        <v>812</v>
      </c>
      <c r="B5" s="737"/>
      <c r="C5" s="353"/>
      <c r="D5" s="952"/>
      <c r="F5" s="952"/>
      <c r="H5" s="952"/>
      <c r="J5" s="952"/>
      <c r="L5" s="952"/>
      <c r="N5" s="952"/>
      <c r="O5" s="952"/>
      <c r="P5" s="952"/>
      <c r="R5" s="952"/>
      <c r="T5" s="952"/>
    </row>
    <row r="6" spans="1:49" s="514" customFormat="1" ht="12" customHeight="1" x14ac:dyDescent="0.2">
      <c r="A6" s="352" t="s">
        <v>972</v>
      </c>
      <c r="B6" s="606"/>
      <c r="C6" s="263"/>
      <c r="D6" s="953"/>
      <c r="F6" s="953"/>
      <c r="H6" s="953"/>
      <c r="J6" s="953"/>
      <c r="L6" s="953"/>
      <c r="N6" s="953"/>
      <c r="O6" s="953"/>
      <c r="P6" s="953"/>
      <c r="R6" s="953"/>
      <c r="T6" s="953"/>
    </row>
    <row r="7" spans="1:49" s="514" customFormat="1" ht="12.6" customHeight="1" x14ac:dyDescent="0.2">
      <c r="D7" s="953"/>
      <c r="F7" s="953"/>
      <c r="H7" s="953"/>
      <c r="J7" s="953"/>
      <c r="L7" s="953"/>
      <c r="N7" s="953"/>
      <c r="O7" s="953"/>
      <c r="P7" s="953"/>
      <c r="R7" s="953"/>
      <c r="T7" s="953"/>
    </row>
    <row r="8" spans="1:49" ht="12.6" customHeight="1" x14ac:dyDescent="0.2">
      <c r="D8" s="434"/>
      <c r="E8" s="920"/>
      <c r="F8" s="920" t="s">
        <v>788</v>
      </c>
      <c r="G8" s="920"/>
      <c r="H8" s="920"/>
      <c r="I8" s="920"/>
      <c r="J8" s="920"/>
      <c r="K8" s="920"/>
      <c r="L8" s="920"/>
      <c r="M8" s="920"/>
      <c r="N8" s="920"/>
      <c r="O8" s="920"/>
      <c r="P8" s="920"/>
      <c r="Q8" s="920"/>
      <c r="R8" s="920"/>
      <c r="S8" s="920"/>
      <c r="T8" s="920"/>
      <c r="U8" s="920"/>
      <c r="V8" s="920"/>
      <c r="W8" s="920"/>
      <c r="X8" s="920"/>
      <c r="Y8" s="920"/>
      <c r="Z8" s="920"/>
      <c r="AA8" s="920"/>
      <c r="AB8" s="920"/>
      <c r="AC8" s="920"/>
      <c r="AD8" s="920"/>
      <c r="AE8" s="920"/>
      <c r="AF8" s="920"/>
      <c r="AG8" s="920"/>
      <c r="AH8" s="920"/>
      <c r="AI8" s="920"/>
      <c r="AJ8" s="920"/>
      <c r="AK8" s="920"/>
      <c r="AL8" s="920"/>
      <c r="AM8" s="920"/>
      <c r="AN8" s="920"/>
      <c r="AO8" s="920"/>
      <c r="AP8" s="920"/>
      <c r="AQ8" s="920"/>
      <c r="AR8" s="920"/>
      <c r="AS8" s="920"/>
      <c r="AT8" s="920"/>
      <c r="AU8" s="920"/>
      <c r="AV8" s="920"/>
    </row>
    <row r="9" spans="1:49" s="445" customFormat="1" ht="25.5" x14ac:dyDescent="0.2">
      <c r="D9" s="740">
        <v>2002</v>
      </c>
      <c r="E9" s="741"/>
      <c r="F9" s="740">
        <v>2003</v>
      </c>
      <c r="G9" s="741"/>
      <c r="H9" s="740">
        <v>2004</v>
      </c>
      <c r="I9" s="741"/>
      <c r="J9" s="1091">
        <v>2005</v>
      </c>
      <c r="K9" s="1088"/>
      <c r="L9" s="1090" t="s">
        <v>466</v>
      </c>
      <c r="M9" s="1088"/>
      <c r="N9" s="1090">
        <v>2007</v>
      </c>
      <c r="O9" s="1092"/>
      <c r="P9" s="1090">
        <v>2008</v>
      </c>
      <c r="Q9" s="1092"/>
      <c r="R9" s="1090">
        <v>2009</v>
      </c>
      <c r="S9" s="1092"/>
      <c r="T9" s="1090">
        <v>2010</v>
      </c>
      <c r="U9" s="1092"/>
      <c r="V9" s="1090">
        <v>2011</v>
      </c>
      <c r="W9" s="1092"/>
      <c r="X9" s="1090">
        <v>2012</v>
      </c>
      <c r="Y9" s="1092"/>
      <c r="Z9" s="1089">
        <v>2013</v>
      </c>
      <c r="AA9" s="1092"/>
      <c r="AB9" s="1089">
        <v>2014</v>
      </c>
      <c r="AC9" s="1092"/>
      <c r="AD9" s="1089" t="s">
        <v>1303</v>
      </c>
      <c r="AE9" s="1092"/>
      <c r="AF9" s="1089">
        <v>2016</v>
      </c>
      <c r="AG9" s="1092"/>
      <c r="AH9" s="1089">
        <v>2017</v>
      </c>
      <c r="AI9" s="1092"/>
      <c r="AJ9" s="1089">
        <v>2018</v>
      </c>
      <c r="AK9" s="1092"/>
      <c r="AL9" s="1090" t="s">
        <v>1430</v>
      </c>
      <c r="AM9" s="1092"/>
      <c r="AN9" s="1258">
        <v>2020</v>
      </c>
      <c r="AO9" s="1092"/>
      <c r="AP9" s="1258">
        <v>2021</v>
      </c>
      <c r="AQ9" s="1459"/>
      <c r="AR9" s="1258">
        <v>2022</v>
      </c>
      <c r="AS9" s="1092"/>
      <c r="AT9" s="1258">
        <v>2023</v>
      </c>
      <c r="AU9" s="1092"/>
      <c r="AV9" s="1258">
        <v>2024</v>
      </c>
    </row>
    <row r="10" spans="1:49" s="514" customFormat="1" ht="5.0999999999999996" customHeight="1" x14ac:dyDescent="0.2">
      <c r="A10" s="418"/>
      <c r="B10" s="418"/>
      <c r="C10" s="418"/>
      <c r="D10" s="952"/>
      <c r="E10" s="418"/>
      <c r="F10" s="952"/>
      <c r="G10" s="418"/>
      <c r="H10" s="952"/>
      <c r="I10" s="418"/>
      <c r="J10" s="952"/>
      <c r="K10" s="418"/>
      <c r="L10" s="952"/>
      <c r="M10" s="418"/>
      <c r="N10" s="952"/>
      <c r="O10" s="952"/>
      <c r="P10" s="952"/>
      <c r="Q10" s="418"/>
      <c r="R10" s="952"/>
      <c r="S10" s="418"/>
      <c r="T10" s="952"/>
      <c r="U10" s="418"/>
      <c r="V10" s="952"/>
      <c r="W10" s="418"/>
      <c r="X10" s="952"/>
      <c r="Y10" s="418"/>
      <c r="Z10" s="418"/>
      <c r="AA10" s="418"/>
      <c r="AB10" s="952"/>
      <c r="AC10" s="418"/>
      <c r="AD10" s="952"/>
      <c r="AE10" s="418"/>
      <c r="AF10" s="952"/>
      <c r="AG10" s="418"/>
      <c r="AH10" s="952"/>
      <c r="AI10" s="418"/>
      <c r="AJ10" s="952"/>
      <c r="AK10" s="418"/>
      <c r="AL10" s="952"/>
      <c r="AM10" s="418"/>
      <c r="AN10" s="952"/>
      <c r="AO10" s="418"/>
      <c r="AP10" s="952"/>
      <c r="AQ10" s="952"/>
      <c r="AR10" s="952"/>
      <c r="AS10" s="418"/>
      <c r="AT10" s="952"/>
      <c r="AU10" s="418"/>
      <c r="AV10" s="952"/>
    </row>
    <row r="11" spans="1:49" s="418" customFormat="1" ht="9.9499999999999993" hidden="1" customHeight="1" x14ac:dyDescent="0.2">
      <c r="A11" s="417" t="s">
        <v>813</v>
      </c>
      <c r="B11" s="417"/>
      <c r="D11" s="952"/>
      <c r="F11" s="952"/>
      <c r="H11" s="952"/>
      <c r="J11" s="952"/>
      <c r="L11" s="952"/>
      <c r="N11" s="952"/>
      <c r="O11" s="952"/>
      <c r="P11" s="952"/>
      <c r="R11" s="952"/>
      <c r="T11" s="952"/>
      <c r="V11" s="952"/>
      <c r="X11" s="952"/>
      <c r="AB11" s="952"/>
      <c r="AD11" s="952"/>
      <c r="AF11" s="952"/>
      <c r="AH11" s="952"/>
      <c r="AJ11" s="952"/>
      <c r="AL11" s="952"/>
      <c r="AN11" s="952"/>
      <c r="AP11" s="952"/>
      <c r="AQ11" s="952"/>
      <c r="AR11" s="952"/>
      <c r="AT11" s="952"/>
      <c r="AV11" s="952"/>
    </row>
    <row r="12" spans="1:49" s="448" customFormat="1" ht="9.9499999999999993" hidden="1" customHeight="1" x14ac:dyDescent="0.2">
      <c r="A12" s="418"/>
      <c r="B12" s="418" t="s">
        <v>814</v>
      </c>
      <c r="D12" s="461">
        <f>6108+2659+27</f>
        <v>8794</v>
      </c>
      <c r="F12" s="461">
        <f>4772+2397+63</f>
        <v>7232</v>
      </c>
      <c r="H12" s="461">
        <f>5655+2395+50</f>
        <v>8100</v>
      </c>
      <c r="J12" s="461">
        <f>8209+2712+2</f>
        <v>10923</v>
      </c>
      <c r="L12" s="461">
        <f>8631+3045+190</f>
        <v>11866</v>
      </c>
      <c r="M12" s="461"/>
      <c r="N12" s="461">
        <v>16730</v>
      </c>
      <c r="P12" s="461">
        <v>14773</v>
      </c>
      <c r="R12" s="461">
        <v>16100</v>
      </c>
      <c r="T12" s="461">
        <v>30526</v>
      </c>
      <c r="V12" s="461"/>
      <c r="X12" s="461"/>
      <c r="AB12" s="461"/>
      <c r="AD12" s="461"/>
      <c r="AF12" s="461"/>
      <c r="AH12" s="461"/>
      <c r="AJ12" s="461"/>
      <c r="AL12" s="461"/>
      <c r="AN12" s="461"/>
      <c r="AP12" s="461"/>
      <c r="AQ12" s="461"/>
      <c r="AR12" s="461"/>
      <c r="AT12" s="461"/>
      <c r="AV12" s="461"/>
    </row>
    <row r="13" spans="1:49" s="450" customFormat="1" ht="9.9499999999999993" hidden="1" customHeight="1" x14ac:dyDescent="0.2">
      <c r="A13" s="418"/>
      <c r="B13" s="418" t="s">
        <v>815</v>
      </c>
      <c r="D13" s="450">
        <f>33861+19797</f>
        <v>53658</v>
      </c>
      <c r="F13" s="450">
        <f>32926+41484</f>
        <v>74410</v>
      </c>
      <c r="H13" s="450">
        <f>29175+61235</f>
        <v>90410</v>
      </c>
      <c r="J13" s="450">
        <v>108490</v>
      </c>
      <c r="L13" s="450">
        <f>47087+102523</f>
        <v>149610</v>
      </c>
      <c r="N13" s="450">
        <v>143567</v>
      </c>
      <c r="P13" s="450">
        <v>190775</v>
      </c>
      <c r="R13" s="450">
        <v>190407</v>
      </c>
      <c r="T13" s="450">
        <v>199110</v>
      </c>
    </row>
    <row r="14" spans="1:49" s="418" customFormat="1" ht="5.0999999999999996" hidden="1" customHeight="1" x14ac:dyDescent="0.2">
      <c r="D14" s="452"/>
      <c r="F14" s="452"/>
      <c r="H14" s="452"/>
      <c r="J14" s="452"/>
      <c r="L14" s="452"/>
      <c r="M14" s="450"/>
      <c r="N14" s="452"/>
      <c r="P14" s="452"/>
      <c r="R14" s="452"/>
      <c r="T14" s="452"/>
      <c r="V14" s="450"/>
      <c r="X14" s="450"/>
      <c r="AB14" s="450"/>
      <c r="AD14" s="450"/>
      <c r="AF14" s="450"/>
      <c r="AH14" s="450"/>
      <c r="AJ14" s="450"/>
      <c r="AL14" s="450"/>
      <c r="AN14" s="450"/>
      <c r="AP14" s="450"/>
      <c r="AQ14" s="450"/>
      <c r="AR14" s="450"/>
      <c r="AT14" s="450"/>
      <c r="AV14" s="450"/>
    </row>
    <row r="15" spans="1:49" s="448" customFormat="1" ht="11.1" hidden="1" customHeight="1" thickBot="1" x14ac:dyDescent="0.25">
      <c r="A15" s="417" t="s">
        <v>816</v>
      </c>
      <c r="B15" s="418"/>
      <c r="C15" s="418"/>
      <c r="D15" s="453">
        <f>SUM(D12:D13)</f>
        <v>62452</v>
      </c>
      <c r="F15" s="453">
        <f>SUM(F12:F13)</f>
        <v>81642</v>
      </c>
      <c r="H15" s="453">
        <f>SUM(H12:H13)</f>
        <v>98510</v>
      </c>
      <c r="J15" s="453">
        <f>SUM(J12:J13)</f>
        <v>119413</v>
      </c>
      <c r="L15" s="453">
        <f>SUM(L12:L13)</f>
        <v>161476</v>
      </c>
      <c r="M15" s="461"/>
      <c r="N15" s="453">
        <f>SUM(N12:N13)</f>
        <v>160297</v>
      </c>
      <c r="P15" s="453">
        <f>SUM(P12:P13)</f>
        <v>205548</v>
      </c>
      <c r="R15" s="453">
        <f>SUM(R12:R13)</f>
        <v>206507</v>
      </c>
      <c r="T15" s="453">
        <f>SUM(T12:T13)</f>
        <v>229636</v>
      </c>
      <c r="V15" s="461"/>
      <c r="X15" s="461"/>
      <c r="AB15" s="461"/>
      <c r="AD15" s="461"/>
      <c r="AF15" s="461"/>
      <c r="AH15" s="461"/>
      <c r="AJ15" s="461"/>
      <c r="AL15" s="461"/>
      <c r="AN15" s="461"/>
      <c r="AP15" s="461"/>
      <c r="AQ15" s="461"/>
      <c r="AR15" s="461"/>
      <c r="AT15" s="461"/>
      <c r="AV15" s="461"/>
      <c r="AW15" s="789"/>
    </row>
    <row r="16" spans="1:49" s="418" customFormat="1" ht="5.0999999999999996" hidden="1" customHeight="1" thickTop="1" x14ac:dyDescent="0.2">
      <c r="D16" s="450"/>
      <c r="F16" s="450"/>
      <c r="H16" s="450"/>
      <c r="J16" s="450"/>
      <c r="L16" s="450"/>
      <c r="M16" s="450"/>
      <c r="N16" s="450"/>
      <c r="P16" s="450"/>
      <c r="R16" s="450"/>
      <c r="T16" s="450"/>
      <c r="V16" s="450"/>
      <c r="X16" s="450"/>
      <c r="AB16" s="450"/>
      <c r="AD16" s="450"/>
      <c r="AF16" s="450"/>
      <c r="AH16" s="450"/>
      <c r="AJ16" s="450"/>
      <c r="AL16" s="450"/>
      <c r="AN16" s="450"/>
      <c r="AP16" s="450"/>
      <c r="AQ16" s="450"/>
      <c r="AR16" s="450"/>
      <c r="AT16" s="450"/>
      <c r="AV16" s="450"/>
    </row>
    <row r="17" spans="1:49" s="418" customFormat="1" ht="9.9499999999999993" hidden="1" customHeight="1" x14ac:dyDescent="0.2">
      <c r="A17" s="417" t="s">
        <v>817</v>
      </c>
      <c r="B17" s="417"/>
      <c r="D17" s="450"/>
      <c r="F17" s="450"/>
      <c r="H17" s="450"/>
      <c r="J17" s="450"/>
      <c r="L17" s="450"/>
      <c r="M17" s="450"/>
      <c r="N17" s="450"/>
      <c r="P17" s="450"/>
      <c r="R17" s="450"/>
      <c r="T17" s="450"/>
      <c r="V17" s="450"/>
      <c r="X17" s="450"/>
      <c r="AB17" s="450"/>
      <c r="AD17" s="450"/>
      <c r="AF17" s="450"/>
      <c r="AH17" s="450"/>
      <c r="AJ17" s="450"/>
      <c r="AL17" s="450"/>
      <c r="AN17" s="450"/>
      <c r="AP17" s="450"/>
      <c r="AQ17" s="450"/>
      <c r="AR17" s="450"/>
      <c r="AT17" s="450"/>
      <c r="AV17" s="450"/>
    </row>
    <row r="18" spans="1:49" s="448" customFormat="1" ht="9.9499999999999993" hidden="1" customHeight="1" x14ac:dyDescent="0.2">
      <c r="A18" s="418"/>
      <c r="B18" s="418" t="s">
        <v>814</v>
      </c>
      <c r="D18" s="461">
        <f>69857+19406+85+38572+192654+1685+5</f>
        <v>322264</v>
      </c>
      <c r="F18" s="461">
        <f>87888+157703+1475+131</f>
        <v>247197</v>
      </c>
      <c r="H18" s="461">
        <f>83723+125719+1116+78</f>
        <v>210636</v>
      </c>
      <c r="J18" s="461">
        <f>3698+99067+853+85127</f>
        <v>188745</v>
      </c>
      <c r="L18" s="461">
        <f>92443+3697+165688+1402</f>
        <v>263230</v>
      </c>
      <c r="M18" s="461"/>
      <c r="N18" s="461">
        <v>280443</v>
      </c>
      <c r="P18" s="461">
        <v>411023</v>
      </c>
      <c r="R18" s="461">
        <v>377536</v>
      </c>
      <c r="T18" s="461">
        <v>421620</v>
      </c>
      <c r="V18" s="461"/>
      <c r="X18" s="461"/>
      <c r="AB18" s="461"/>
      <c r="AD18" s="461"/>
      <c r="AF18" s="461"/>
      <c r="AH18" s="461"/>
      <c r="AJ18" s="461"/>
      <c r="AL18" s="461"/>
      <c r="AN18" s="461"/>
      <c r="AP18" s="461"/>
      <c r="AQ18" s="461"/>
      <c r="AR18" s="461"/>
      <c r="AT18" s="461"/>
      <c r="AV18" s="461"/>
    </row>
    <row r="19" spans="1:49" s="450" customFormat="1" ht="9.9499999999999993" hidden="1" customHeight="1" x14ac:dyDescent="0.2">
      <c r="A19" s="418"/>
      <c r="B19" s="417" t="s">
        <v>818</v>
      </c>
      <c r="C19" s="418"/>
      <c r="L19" s="450">
        <v>0</v>
      </c>
    </row>
    <row r="20" spans="1:49" s="450" customFormat="1" ht="9.9499999999999993" hidden="1" customHeight="1" x14ac:dyDescent="0.2">
      <c r="A20" s="418"/>
      <c r="B20" s="418"/>
      <c r="C20" s="418" t="s">
        <v>360</v>
      </c>
      <c r="D20" s="450">
        <f>15725+60311</f>
        <v>76036</v>
      </c>
      <c r="F20" s="450">
        <f>9228+60252</f>
        <v>69480</v>
      </c>
      <c r="H20" s="450">
        <f>7844+61749</f>
        <v>69593</v>
      </c>
      <c r="J20" s="450">
        <f>6085+85644</f>
        <v>91729</v>
      </c>
      <c r="L20" s="450">
        <v>1928</v>
      </c>
      <c r="N20" s="450">
        <v>3003</v>
      </c>
      <c r="P20" s="450">
        <v>3487</v>
      </c>
      <c r="R20" s="450">
        <f>2756-22</f>
        <v>2734</v>
      </c>
      <c r="T20" s="450">
        <v>4183</v>
      </c>
      <c r="V20" s="461"/>
      <c r="X20" s="461"/>
      <c r="AB20" s="461"/>
      <c r="AD20" s="461"/>
      <c r="AF20" s="461"/>
      <c r="AH20" s="461"/>
      <c r="AJ20" s="461"/>
      <c r="AL20" s="461"/>
      <c r="AN20" s="461"/>
      <c r="AP20" s="461"/>
      <c r="AQ20" s="461"/>
      <c r="AR20" s="461"/>
      <c r="AT20" s="461"/>
      <c r="AV20" s="461"/>
    </row>
    <row r="21" spans="1:49" s="450" customFormat="1" ht="9.9499999999999993" hidden="1" customHeight="1" x14ac:dyDescent="0.2">
      <c r="A21" s="418"/>
      <c r="B21" s="418"/>
      <c r="C21" s="418" t="s">
        <v>361</v>
      </c>
      <c r="D21" s="450">
        <f>2711+11207</f>
        <v>13918</v>
      </c>
      <c r="F21" s="450">
        <f>2834+10615</f>
        <v>13449</v>
      </c>
      <c r="H21" s="450">
        <f>2601+10298</f>
        <v>12899</v>
      </c>
      <c r="J21" s="450">
        <f>2825+10122</f>
        <v>12947</v>
      </c>
      <c r="L21" s="450">
        <v>3102</v>
      </c>
      <c r="N21" s="450">
        <v>4756</v>
      </c>
      <c r="P21" s="450">
        <v>5018</v>
      </c>
      <c r="R21" s="450">
        <v>4649</v>
      </c>
      <c r="T21" s="450">
        <v>4802</v>
      </c>
    </row>
    <row r="22" spans="1:49" s="450" customFormat="1" ht="9.9499999999999993" hidden="1" customHeight="1" x14ac:dyDescent="0.2">
      <c r="A22" s="418"/>
      <c r="B22" s="418"/>
      <c r="C22" s="418" t="s">
        <v>362</v>
      </c>
      <c r="D22" s="450">
        <v>-71742</v>
      </c>
      <c r="F22" s="450">
        <v>114482</v>
      </c>
      <c r="H22" s="450">
        <v>145090</v>
      </c>
      <c r="J22" s="450">
        <f>191532+169588</f>
        <v>361120</v>
      </c>
      <c r="L22" s="450">
        <f>149393+89553</f>
        <v>238946</v>
      </c>
    </row>
    <row r="23" spans="1:49" s="974" customFormat="1" ht="9.9499999999999993" hidden="1" customHeight="1" x14ac:dyDescent="0.2">
      <c r="A23" s="528"/>
      <c r="B23" s="528"/>
      <c r="C23" s="398" t="s">
        <v>711</v>
      </c>
      <c r="D23" s="974">
        <v>52828</v>
      </c>
      <c r="L23" s="974">
        <f>-10829+177287+10173</f>
        <v>176631</v>
      </c>
      <c r="N23" s="974">
        <v>380823</v>
      </c>
      <c r="P23" s="974">
        <v>279624</v>
      </c>
      <c r="R23" s="974">
        <v>354906</v>
      </c>
      <c r="T23" s="974">
        <v>298480</v>
      </c>
    </row>
    <row r="24" spans="1:49" s="418" customFormat="1" ht="5.0999999999999996" hidden="1" customHeight="1" x14ac:dyDescent="0.2">
      <c r="D24" s="452"/>
      <c r="F24" s="452"/>
      <c r="H24" s="452"/>
      <c r="J24" s="452"/>
      <c r="L24" s="452"/>
      <c r="M24" s="450"/>
      <c r="N24" s="452"/>
      <c r="P24" s="452"/>
      <c r="R24" s="452"/>
      <c r="T24" s="452"/>
      <c r="V24" s="450"/>
      <c r="X24" s="450"/>
      <c r="AB24" s="450"/>
      <c r="AD24" s="450"/>
      <c r="AF24" s="450"/>
      <c r="AH24" s="450"/>
      <c r="AJ24" s="450"/>
      <c r="AL24" s="450"/>
      <c r="AN24" s="450"/>
      <c r="AP24" s="450"/>
      <c r="AQ24" s="450"/>
      <c r="AR24" s="450"/>
      <c r="AT24" s="450"/>
      <c r="AV24" s="450"/>
    </row>
    <row r="25" spans="1:49" s="448" customFormat="1" ht="11.1" hidden="1" customHeight="1" thickBot="1" x14ac:dyDescent="0.25">
      <c r="A25" s="417" t="s">
        <v>821</v>
      </c>
      <c r="B25" s="418"/>
      <c r="C25" s="418"/>
      <c r="D25" s="453">
        <f>SUM(D18:D23)</f>
        <v>393304</v>
      </c>
      <c r="F25" s="453">
        <f>SUM(F18:F23)</f>
        <v>444608</v>
      </c>
      <c r="H25" s="453">
        <f>SUM(H18:H23)</f>
        <v>438218</v>
      </c>
      <c r="J25" s="453">
        <f>SUM(J18:J23)</f>
        <v>654541</v>
      </c>
      <c r="L25" s="453">
        <f>SUM(L18:L23)</f>
        <v>683837</v>
      </c>
      <c r="M25" s="461"/>
      <c r="N25" s="453">
        <f>SUM(N18:N23)</f>
        <v>669025</v>
      </c>
      <c r="P25" s="453">
        <f>SUM(P18:P23)</f>
        <v>699152</v>
      </c>
      <c r="R25" s="453">
        <f>SUM(R18:R23)</f>
        <v>739825</v>
      </c>
      <c r="T25" s="453">
        <f>SUM(T18:T23)</f>
        <v>729085</v>
      </c>
      <c r="V25" s="461"/>
      <c r="X25" s="461"/>
      <c r="AB25" s="461"/>
      <c r="AD25" s="461"/>
      <c r="AF25" s="461"/>
      <c r="AH25" s="461"/>
      <c r="AJ25" s="461"/>
      <c r="AL25" s="461"/>
      <c r="AN25" s="461"/>
      <c r="AP25" s="461"/>
      <c r="AQ25" s="461"/>
      <c r="AR25" s="461"/>
      <c r="AT25" s="461"/>
      <c r="AV25" s="461"/>
      <c r="AW25" s="789"/>
    </row>
    <row r="26" spans="1:49" s="526" customFormat="1" ht="5.0999999999999996" hidden="1" customHeight="1" thickTop="1" x14ac:dyDescent="0.2">
      <c r="A26" s="515"/>
    </row>
    <row r="27" spans="1:49" s="514" customFormat="1" ht="5.0999999999999996" customHeight="1" x14ac:dyDescent="0.2">
      <c r="A27" s="515"/>
      <c r="B27" s="515"/>
      <c r="D27" s="953"/>
      <c r="F27" s="953"/>
      <c r="H27" s="953"/>
      <c r="J27" s="953"/>
      <c r="L27" s="953"/>
      <c r="N27" s="953"/>
      <c r="O27" s="953"/>
      <c r="P27" s="953"/>
      <c r="R27" s="953"/>
      <c r="T27" s="953"/>
    </row>
    <row r="28" spans="1:49" s="418" customFormat="1" ht="9.9499999999999993" customHeight="1" x14ac:dyDescent="0.2">
      <c r="A28" s="417" t="s">
        <v>813</v>
      </c>
      <c r="B28" s="417"/>
      <c r="D28" s="952"/>
      <c r="F28" s="952"/>
      <c r="H28" s="952"/>
      <c r="J28" s="952"/>
      <c r="L28" s="952"/>
      <c r="N28" s="952"/>
      <c r="O28" s="952"/>
      <c r="P28" s="952"/>
      <c r="R28" s="952"/>
      <c r="T28" s="952"/>
      <c r="V28" s="952"/>
      <c r="X28" s="952"/>
      <c r="AB28" s="952"/>
      <c r="AD28" s="952"/>
      <c r="AF28" s="952"/>
      <c r="AH28" s="952"/>
      <c r="AJ28" s="952"/>
      <c r="AL28" s="952"/>
      <c r="AN28" s="952"/>
      <c r="AP28" s="952"/>
      <c r="AQ28" s="952"/>
      <c r="AR28" s="952"/>
      <c r="AT28" s="952"/>
      <c r="AV28" s="952"/>
    </row>
    <row r="29" spans="1:49" s="448" customFormat="1" ht="9.9499999999999993" customHeight="1" x14ac:dyDescent="0.2">
      <c r="A29" s="707"/>
      <c r="B29" s="418" t="s">
        <v>392</v>
      </c>
      <c r="C29" s="418"/>
      <c r="V29" s="346">
        <v>4939</v>
      </c>
      <c r="X29" s="346">
        <v>5800</v>
      </c>
      <c r="Z29" s="346">
        <v>6238</v>
      </c>
      <c r="AB29" s="346">
        <v>5504</v>
      </c>
      <c r="AD29" s="346">
        <v>7026</v>
      </c>
      <c r="AF29" s="346">
        <v>6681</v>
      </c>
      <c r="AH29" s="346">
        <v>6087</v>
      </c>
      <c r="AJ29" s="346">
        <v>6887</v>
      </c>
      <c r="AL29" s="346">
        <v>7084</v>
      </c>
      <c r="AN29" s="346">
        <v>7814</v>
      </c>
      <c r="AP29" s="346">
        <f>'[4]BSGF-major'!C60</f>
        <v>7400</v>
      </c>
      <c r="AQ29" s="346"/>
      <c r="AR29" s="346">
        <v>8048</v>
      </c>
      <c r="AT29" s="346">
        <v>10195</v>
      </c>
      <c r="AV29" s="346">
        <f>'BSGF-major'!C62</f>
        <v>11771</v>
      </c>
    </row>
    <row r="30" spans="1:49" s="448" customFormat="1" ht="9.9499999999999993" customHeight="1" x14ac:dyDescent="0.2">
      <c r="A30" s="707"/>
      <c r="B30" s="398" t="s">
        <v>789</v>
      </c>
      <c r="C30" s="418"/>
      <c r="D30"/>
      <c r="E30"/>
      <c r="F30"/>
      <c r="G30"/>
      <c r="H30"/>
      <c r="I30"/>
      <c r="J30"/>
      <c r="K30"/>
      <c r="L30"/>
      <c r="M30"/>
      <c r="N30"/>
      <c r="O30"/>
      <c r="P30"/>
      <c r="Q30"/>
      <c r="R30"/>
      <c r="S30"/>
      <c r="T30"/>
      <c r="V30" s="273">
        <v>1107</v>
      </c>
      <c r="X30" s="273">
        <v>1003</v>
      </c>
      <c r="Z30" s="273">
        <v>718</v>
      </c>
      <c r="AB30" s="273">
        <v>1032</v>
      </c>
      <c r="AD30" s="273">
        <v>537</v>
      </c>
      <c r="AF30" s="273">
        <v>470</v>
      </c>
      <c r="AH30" s="273">
        <v>528</v>
      </c>
      <c r="AJ30" s="273">
        <v>2283</v>
      </c>
      <c r="AL30" s="273">
        <v>2392</v>
      </c>
      <c r="AN30" s="273">
        <v>0</v>
      </c>
      <c r="AP30" s="273">
        <f>'[4]BSGF-major'!C61</f>
        <v>0</v>
      </c>
      <c r="AQ30" s="273"/>
      <c r="AR30" s="273">
        <v>0</v>
      </c>
      <c r="AT30" s="273">
        <v>0</v>
      </c>
      <c r="AV30" s="273">
        <f>'BSGF-major'!C63</f>
        <v>0</v>
      </c>
    </row>
    <row r="31" spans="1:49" s="450" customFormat="1" ht="9.9499999999999993" customHeight="1" x14ac:dyDescent="0.2">
      <c r="A31" s="776"/>
      <c r="B31" s="418" t="s">
        <v>393</v>
      </c>
      <c r="D31"/>
      <c r="E31"/>
      <c r="F31"/>
      <c r="G31"/>
      <c r="H31"/>
      <c r="I31"/>
      <c r="J31"/>
      <c r="K31"/>
      <c r="L31"/>
      <c r="M31"/>
      <c r="N31"/>
      <c r="O31"/>
      <c r="P31"/>
      <c r="Q31"/>
      <c r="R31"/>
      <c r="S31"/>
      <c r="T31"/>
      <c r="V31" s="273">
        <v>48540</v>
      </c>
      <c r="X31" s="273">
        <v>47035</v>
      </c>
      <c r="Z31" s="273">
        <v>39603</v>
      </c>
      <c r="AB31" s="273">
        <v>46882</v>
      </c>
      <c r="AD31" s="273">
        <v>52686</v>
      </c>
      <c r="AF31" s="273">
        <v>49333</v>
      </c>
      <c r="AH31" s="273">
        <v>64594</v>
      </c>
      <c r="AJ31" s="273">
        <v>97134</v>
      </c>
      <c r="AL31" s="273">
        <v>108420</v>
      </c>
      <c r="AN31" s="273">
        <v>49821</v>
      </c>
      <c r="AP31" s="273">
        <f>'[4]BSGF-major'!C62</f>
        <v>76165</v>
      </c>
      <c r="AQ31" s="273"/>
      <c r="AR31" s="273">
        <v>111165</v>
      </c>
      <c r="AT31" s="273">
        <v>161826</v>
      </c>
      <c r="AV31" s="273">
        <f>'BSGF-major'!C64</f>
        <v>202506</v>
      </c>
    </row>
    <row r="32" spans="1:49" s="450" customFormat="1" ht="9.9499999999999993" customHeight="1" x14ac:dyDescent="0.2">
      <c r="A32" s="776"/>
      <c r="B32" s="418" t="s">
        <v>394</v>
      </c>
      <c r="D32"/>
      <c r="E32"/>
      <c r="F32"/>
      <c r="G32"/>
      <c r="H32"/>
      <c r="I32"/>
      <c r="J32"/>
      <c r="K32"/>
      <c r="L32"/>
      <c r="M32"/>
      <c r="N32"/>
      <c r="O32"/>
      <c r="P32"/>
      <c r="Q32"/>
      <c r="R32"/>
      <c r="S32"/>
      <c r="T32"/>
      <c r="V32" s="273">
        <v>7413</v>
      </c>
      <c r="X32" s="273">
        <v>4143</v>
      </c>
      <c r="Z32" s="273">
        <v>3230</v>
      </c>
      <c r="AB32" s="273">
        <v>523</v>
      </c>
      <c r="AD32" s="273">
        <v>521</v>
      </c>
      <c r="AF32" s="273">
        <v>6554</v>
      </c>
      <c r="AH32" s="273">
        <v>10</v>
      </c>
      <c r="AJ32" s="273">
        <v>8</v>
      </c>
      <c r="AL32" s="273">
        <v>21</v>
      </c>
      <c r="AN32" s="273">
        <v>6</v>
      </c>
      <c r="AP32" s="273">
        <f>'[4]BSGF-major'!C63</f>
        <v>7</v>
      </c>
      <c r="AQ32" s="273"/>
      <c r="AR32" s="273">
        <v>8</v>
      </c>
      <c r="AT32" s="273">
        <v>5</v>
      </c>
      <c r="AV32" s="273">
        <f>'BSGF-major'!C65</f>
        <v>4</v>
      </c>
    </row>
    <row r="33" spans="1:49" s="418" customFormat="1" ht="9.9499999999999993" customHeight="1" x14ac:dyDescent="0.2">
      <c r="A33" s="776"/>
      <c r="B33" s="418" t="s">
        <v>395</v>
      </c>
      <c r="D33"/>
      <c r="E33"/>
      <c r="F33"/>
      <c r="G33"/>
      <c r="H33"/>
      <c r="I33"/>
      <c r="J33"/>
      <c r="K33"/>
      <c r="L33"/>
      <c r="M33"/>
      <c r="N33"/>
      <c r="O33"/>
      <c r="P33"/>
      <c r="Q33"/>
      <c r="R33"/>
      <c r="S33"/>
      <c r="T33"/>
      <c r="V33" s="273">
        <v>170693</v>
      </c>
      <c r="X33" s="273">
        <v>158532</v>
      </c>
      <c r="Z33" s="273">
        <v>135375</v>
      </c>
      <c r="AB33" s="273">
        <v>164654</v>
      </c>
      <c r="AD33" s="273">
        <v>182698</v>
      </c>
      <c r="AF33" s="273">
        <v>192072</v>
      </c>
      <c r="AH33" s="273">
        <v>212930</v>
      </c>
      <c r="AJ33" s="273">
        <v>243828</v>
      </c>
      <c r="AL33" s="341">
        <v>247125</v>
      </c>
      <c r="AN33" s="273">
        <v>284708</v>
      </c>
      <c r="AP33" s="273">
        <f>'[4]BSGF-major'!C64</f>
        <v>289572</v>
      </c>
      <c r="AQ33" s="273"/>
      <c r="AR33" s="273">
        <v>346654</v>
      </c>
      <c r="AT33" s="273">
        <v>393226</v>
      </c>
      <c r="AV33" s="273">
        <f>'BSGF-major'!C66</f>
        <v>369119</v>
      </c>
    </row>
    <row r="34" spans="1:49" s="418" customFormat="1" ht="5.0999999999999996" customHeight="1" x14ac:dyDescent="0.2">
      <c r="A34" s="349"/>
      <c r="D34"/>
      <c r="E34"/>
      <c r="F34"/>
      <c r="G34"/>
      <c r="H34"/>
      <c r="I34"/>
      <c r="J34"/>
      <c r="K34"/>
      <c r="L34"/>
      <c r="M34"/>
      <c r="N34"/>
      <c r="O34"/>
      <c r="P34"/>
      <c r="Q34"/>
      <c r="R34"/>
      <c r="S34"/>
      <c r="T34"/>
      <c r="V34" s="982"/>
      <c r="X34" s="982"/>
      <c r="Z34" s="982"/>
      <c r="AB34" s="982"/>
      <c r="AD34" s="982"/>
      <c r="AF34" s="982"/>
      <c r="AH34" s="982"/>
      <c r="AJ34" s="982"/>
      <c r="AL34" s="952"/>
      <c r="AN34" s="982"/>
      <c r="AP34" s="982"/>
      <c r="AQ34" s="952"/>
      <c r="AR34" s="982"/>
      <c r="AT34" s="982"/>
      <c r="AV34" s="982"/>
    </row>
    <row r="35" spans="1:49" s="418" customFormat="1" ht="13.5" thickBot="1" x14ac:dyDescent="0.25">
      <c r="A35" s="417" t="s">
        <v>816</v>
      </c>
      <c r="D35"/>
      <c r="E35"/>
      <c r="F35"/>
      <c r="G35"/>
      <c r="H35"/>
      <c r="I35"/>
      <c r="J35"/>
      <c r="K35"/>
      <c r="L35"/>
      <c r="M35"/>
      <c r="N35"/>
      <c r="O35"/>
      <c r="P35"/>
      <c r="Q35"/>
      <c r="R35"/>
      <c r="S35"/>
      <c r="T35"/>
      <c r="V35" s="460">
        <f>SUM(V29:V34)</f>
        <v>232692</v>
      </c>
      <c r="X35" s="460">
        <f>SUM(X29:X34)</f>
        <v>216513</v>
      </c>
      <c r="Z35" s="460">
        <f>SUM(Z29:Z34)</f>
        <v>185164</v>
      </c>
      <c r="AB35" s="460">
        <f>SUM(AB29:AB34)</f>
        <v>218595</v>
      </c>
      <c r="AD35" s="460">
        <f>SUM(AD29:AD34)</f>
        <v>243468</v>
      </c>
      <c r="AF35" s="460">
        <f>SUM(AF29:AF34)</f>
        <v>255110</v>
      </c>
      <c r="AH35" s="460">
        <f>SUM(AH29:AH34)</f>
        <v>284149</v>
      </c>
      <c r="AJ35" s="460">
        <f>SUM(AJ29:AJ34)</f>
        <v>350140</v>
      </c>
      <c r="AL35" s="460">
        <f>SUM(AL29:AL34)</f>
        <v>365042</v>
      </c>
      <c r="AN35" s="460">
        <f>SUM(AN29:AN34)</f>
        <v>342349</v>
      </c>
      <c r="AP35" s="460">
        <f>SUM(AP29:AP34)</f>
        <v>373144</v>
      </c>
      <c r="AQ35" s="346"/>
      <c r="AR35" s="460">
        <f>SUM(AR29:AR34)</f>
        <v>465875</v>
      </c>
      <c r="AT35" s="460">
        <f>SUM(AT29:AT34)</f>
        <v>565252</v>
      </c>
      <c r="AV35" s="460">
        <f>SUM(AV29:AV34)</f>
        <v>583400</v>
      </c>
    </row>
    <row r="36" spans="1:49" s="418" customFormat="1" ht="5.0999999999999996" customHeight="1" thickTop="1" x14ac:dyDescent="0.2">
      <c r="A36" s="253"/>
      <c r="D36"/>
      <c r="E36"/>
      <c r="F36"/>
      <c r="G36"/>
      <c r="H36"/>
      <c r="I36"/>
      <c r="J36"/>
      <c r="K36"/>
      <c r="L36"/>
      <c r="M36"/>
      <c r="N36"/>
      <c r="O36"/>
      <c r="P36"/>
      <c r="Q36"/>
      <c r="R36"/>
      <c r="S36"/>
      <c r="T36"/>
      <c r="V36" s="982"/>
      <c r="X36" s="982"/>
      <c r="Z36" s="982"/>
      <c r="AB36" s="982"/>
      <c r="AD36" s="982"/>
      <c r="AF36" s="952"/>
      <c r="AH36" s="982"/>
      <c r="AJ36" s="982"/>
      <c r="AL36" s="952"/>
      <c r="AN36" s="982"/>
      <c r="AP36" s="982"/>
      <c r="AQ36" s="952"/>
      <c r="AR36" s="982"/>
      <c r="AT36" s="982"/>
      <c r="AV36" s="982"/>
    </row>
    <row r="37" spans="1:49" s="418" customFormat="1" ht="9.9499999999999993" customHeight="1" x14ac:dyDescent="0.2">
      <c r="A37" s="417" t="s">
        <v>817</v>
      </c>
      <c r="B37" s="417"/>
      <c r="D37"/>
      <c r="E37"/>
      <c r="F37"/>
      <c r="G37"/>
      <c r="H37"/>
      <c r="I37"/>
      <c r="J37"/>
      <c r="K37"/>
      <c r="L37"/>
      <c r="M37"/>
      <c r="N37"/>
      <c r="O37"/>
      <c r="P37"/>
      <c r="Q37"/>
      <c r="R37"/>
      <c r="S37"/>
      <c r="T37"/>
      <c r="V37" s="450"/>
      <c r="X37" s="450"/>
      <c r="Z37" s="450"/>
      <c r="AB37" s="450"/>
      <c r="AD37" s="450"/>
      <c r="AF37" s="450"/>
      <c r="AH37" s="450"/>
      <c r="AJ37" s="450"/>
      <c r="AL37" s="450"/>
      <c r="AN37" s="450"/>
      <c r="AP37" s="450"/>
      <c r="AQ37" s="450"/>
      <c r="AR37" s="450"/>
      <c r="AT37" s="450"/>
      <c r="AV37" s="450"/>
    </row>
    <row r="38" spans="1:49" s="418" customFormat="1" ht="9.9499999999999993" customHeight="1" x14ac:dyDescent="0.2">
      <c r="A38" s="417"/>
      <c r="B38" s="418" t="s">
        <v>392</v>
      </c>
      <c r="D38"/>
      <c r="E38"/>
      <c r="F38"/>
      <c r="G38"/>
      <c r="H38"/>
      <c r="I38"/>
      <c r="J38"/>
      <c r="K38"/>
      <c r="L38"/>
      <c r="M38"/>
      <c r="N38"/>
      <c r="O38"/>
      <c r="P38"/>
      <c r="Q38"/>
      <c r="R38"/>
      <c r="S38"/>
      <c r="T38"/>
      <c r="V38" s="346">
        <v>4416</v>
      </c>
      <c r="X38" s="346">
        <v>5235</v>
      </c>
      <c r="Z38" s="346">
        <v>4943</v>
      </c>
      <c r="AB38" s="346">
        <v>4716</v>
      </c>
      <c r="AD38" s="346">
        <v>11274</v>
      </c>
      <c r="AF38" s="346">
        <v>11635</v>
      </c>
      <c r="AH38" s="346">
        <v>6220</v>
      </c>
      <c r="AJ38" s="346">
        <v>8357</v>
      </c>
      <c r="AL38" s="346">
        <v>11730</v>
      </c>
      <c r="AN38" s="346">
        <v>13405</v>
      </c>
      <c r="AP38" s="346">
        <v>10445</v>
      </c>
      <c r="AQ38" s="346"/>
      <c r="AR38" s="346">
        <v>14161</v>
      </c>
      <c r="AT38" s="346">
        <v>17564</v>
      </c>
      <c r="AV38" s="346">
        <f>'BSGF-major'!Y62-AV29</f>
        <v>19589</v>
      </c>
    </row>
    <row r="39" spans="1:49" s="418" customFormat="1" ht="9.9499999999999993" customHeight="1" x14ac:dyDescent="0.2">
      <c r="A39" s="417"/>
      <c r="B39" s="398" t="s">
        <v>789</v>
      </c>
      <c r="D39"/>
      <c r="E39"/>
      <c r="F39"/>
      <c r="G39"/>
      <c r="H39"/>
      <c r="I39"/>
      <c r="J39"/>
      <c r="K39"/>
      <c r="L39"/>
      <c r="M39"/>
      <c r="N39"/>
      <c r="O39"/>
      <c r="P39"/>
      <c r="Q39"/>
      <c r="R39"/>
      <c r="S39"/>
      <c r="T39"/>
      <c r="V39" s="273">
        <v>686530</v>
      </c>
      <c r="X39" s="273">
        <v>665530</v>
      </c>
      <c r="Z39" s="273">
        <v>946189</v>
      </c>
      <c r="AB39" s="273">
        <v>853657</v>
      </c>
      <c r="AD39" s="273">
        <f>742930+1768</f>
        <v>744698</v>
      </c>
      <c r="AF39" s="273">
        <v>644983</v>
      </c>
      <c r="AH39" s="273">
        <v>629077</v>
      </c>
      <c r="AJ39" s="273">
        <v>840375</v>
      </c>
      <c r="AL39" s="273">
        <v>976322</v>
      </c>
      <c r="AN39" s="273">
        <v>1019689</v>
      </c>
      <c r="AP39" s="273">
        <v>1115066</v>
      </c>
      <c r="AQ39" s="273"/>
      <c r="AR39" s="273">
        <v>1111742</v>
      </c>
      <c r="AT39" s="273">
        <v>1180425</v>
      </c>
      <c r="AV39" s="273">
        <f>'BSGF-major'!Y63-AV30</f>
        <v>1227410</v>
      </c>
    </row>
    <row r="40" spans="1:49" s="418" customFormat="1" ht="9.9499999999999993" customHeight="1" x14ac:dyDescent="0.2">
      <c r="A40" s="417"/>
      <c r="B40" s="418" t="s">
        <v>393</v>
      </c>
      <c r="D40"/>
      <c r="E40"/>
      <c r="F40"/>
      <c r="G40"/>
      <c r="H40"/>
      <c r="I40"/>
      <c r="J40"/>
      <c r="K40"/>
      <c r="L40"/>
      <c r="M40"/>
      <c r="N40"/>
      <c r="O40"/>
      <c r="P40"/>
      <c r="Q40"/>
      <c r="R40"/>
      <c r="S40"/>
      <c r="T40"/>
      <c r="V40" s="273">
        <v>67281</v>
      </c>
      <c r="X40" s="273">
        <v>77204</v>
      </c>
      <c r="Z40" s="273">
        <v>85060</v>
      </c>
      <c r="AB40" s="273">
        <v>101183</v>
      </c>
      <c r="AD40" s="273">
        <v>101040</v>
      </c>
      <c r="AF40" s="273">
        <v>72312</v>
      </c>
      <c r="AH40" s="273">
        <v>87316</v>
      </c>
      <c r="AJ40" s="273">
        <v>98975</v>
      </c>
      <c r="AL40" s="273">
        <v>135757</v>
      </c>
      <c r="AN40" s="273">
        <v>246157</v>
      </c>
      <c r="AP40" s="273">
        <v>107848</v>
      </c>
      <c r="AQ40" s="273"/>
      <c r="AR40" s="273">
        <v>174300</v>
      </c>
      <c r="AT40" s="273">
        <v>202674</v>
      </c>
      <c r="AV40" s="273">
        <f>'BSGF-major'!Y64-AV31</f>
        <v>323504</v>
      </c>
    </row>
    <row r="41" spans="1:49" s="418" customFormat="1" ht="9.9499999999999993" customHeight="1" x14ac:dyDescent="0.2">
      <c r="B41" s="418" t="s">
        <v>394</v>
      </c>
      <c r="D41"/>
      <c r="E41"/>
      <c r="F41"/>
      <c r="G41"/>
      <c r="H41"/>
      <c r="I41"/>
      <c r="J41"/>
      <c r="K41"/>
      <c r="L41"/>
      <c r="M41"/>
      <c r="N41"/>
      <c r="O41"/>
      <c r="P41"/>
      <c r="Q41"/>
      <c r="R41"/>
      <c r="S41"/>
      <c r="T41"/>
      <c r="V41" s="273">
        <v>13237</v>
      </c>
      <c r="X41" s="273">
        <v>12330</v>
      </c>
      <c r="Z41" s="273">
        <v>19866</v>
      </c>
      <c r="AB41" s="273">
        <f>24367+128</f>
        <v>24495</v>
      </c>
      <c r="AD41" s="273">
        <f>19234+150</f>
        <v>19384</v>
      </c>
      <c r="AF41" s="273">
        <v>32407</v>
      </c>
      <c r="AH41" s="273">
        <v>10665</v>
      </c>
      <c r="AJ41" s="273">
        <v>3367</v>
      </c>
      <c r="AL41" s="273">
        <v>4225</v>
      </c>
      <c r="AN41" s="273">
        <v>7338</v>
      </c>
      <c r="AP41" s="273">
        <v>8993</v>
      </c>
      <c r="AQ41" s="273"/>
      <c r="AR41" s="273">
        <v>17647</v>
      </c>
      <c r="AT41" s="273">
        <v>20770</v>
      </c>
      <c r="AV41" s="273">
        <f>'BSGF-major'!Y65-AV32</f>
        <v>14891</v>
      </c>
    </row>
    <row r="42" spans="1:49" s="418" customFormat="1" ht="9.9499999999999993" customHeight="1" x14ac:dyDescent="0.2">
      <c r="B42" s="418" t="s">
        <v>395</v>
      </c>
      <c r="D42"/>
      <c r="E42"/>
      <c r="F42"/>
      <c r="G42"/>
      <c r="H42"/>
      <c r="I42"/>
      <c r="J42"/>
      <c r="K42"/>
      <c r="L42"/>
      <c r="M42"/>
      <c r="N42"/>
      <c r="O42"/>
      <c r="P42"/>
      <c r="Q42"/>
      <c r="R42"/>
      <c r="S42"/>
      <c r="T42"/>
      <c r="V42" s="273">
        <f>-75508+712</f>
        <v>-74796</v>
      </c>
      <c r="X42" s="273">
        <f>-36129-2787</f>
        <v>-38916</v>
      </c>
      <c r="Z42" s="273">
        <v>-30699</v>
      </c>
      <c r="AB42" s="273">
        <f>-4812+1385</f>
        <v>-3427</v>
      </c>
      <c r="AD42" s="273">
        <v>-14860</v>
      </c>
      <c r="AF42" s="273">
        <v>-10478</v>
      </c>
      <c r="AH42" s="273">
        <v>-7617</v>
      </c>
      <c r="AJ42" s="273">
        <v>-7346</v>
      </c>
      <c r="AL42" s="273">
        <v>-6463</v>
      </c>
      <c r="AN42" s="273">
        <v>-164302</v>
      </c>
      <c r="AP42" s="273">
        <v>-90547</v>
      </c>
      <c r="AQ42" s="273"/>
      <c r="AR42" s="273">
        <v>-60453</v>
      </c>
      <c r="AT42" s="273">
        <f>-45026-424</f>
        <v>-45450</v>
      </c>
      <c r="AV42" s="273">
        <f>'BSGF-major'!Y66-AV33</f>
        <v>-79608</v>
      </c>
    </row>
    <row r="43" spans="1:49" s="418" customFormat="1" ht="5.0999999999999996" customHeight="1" x14ac:dyDescent="0.2">
      <c r="D43"/>
      <c r="E43"/>
      <c r="F43"/>
      <c r="G43"/>
      <c r="H43"/>
      <c r="I43"/>
      <c r="J43"/>
      <c r="K43"/>
      <c r="L43"/>
      <c r="M43"/>
      <c r="N43"/>
      <c r="O43"/>
      <c r="P43"/>
      <c r="Q43"/>
      <c r="R43"/>
      <c r="S43"/>
      <c r="T43"/>
      <c r="V43" s="452"/>
      <c r="X43" s="452"/>
      <c r="Z43" s="452"/>
      <c r="AB43" s="452"/>
      <c r="AD43" s="452"/>
      <c r="AF43" s="452"/>
      <c r="AH43" s="452"/>
      <c r="AJ43" s="452"/>
      <c r="AL43" s="452"/>
      <c r="AN43" s="452"/>
      <c r="AP43" s="452"/>
      <c r="AQ43" s="450"/>
      <c r="AR43" s="452"/>
      <c r="AT43" s="452"/>
      <c r="AV43" s="452"/>
    </row>
    <row r="44" spans="1:49" s="448" customFormat="1" ht="11.1" customHeight="1" thickBot="1" x14ac:dyDescent="0.25">
      <c r="A44" s="417" t="s">
        <v>821</v>
      </c>
      <c r="B44" s="418"/>
      <c r="C44" s="418"/>
      <c r="D44"/>
      <c r="E44"/>
      <c r="F44"/>
      <c r="G44"/>
      <c r="H44"/>
      <c r="I44"/>
      <c r="J44"/>
      <c r="K44"/>
      <c r="L44"/>
      <c r="M44"/>
      <c r="N44"/>
      <c r="O44"/>
      <c r="P44"/>
      <c r="Q44"/>
      <c r="R44"/>
      <c r="S44"/>
      <c r="T44"/>
      <c r="V44" s="453">
        <f>SUM(V38:V42)</f>
        <v>696668</v>
      </c>
      <c r="X44" s="453">
        <f>SUM(X38:X42)</f>
        <v>721383</v>
      </c>
      <c r="Z44" s="453">
        <f>SUM(Z38:Z42)</f>
        <v>1025359</v>
      </c>
      <c r="AB44" s="453">
        <f>SUM(AB38:AB42)</f>
        <v>980624</v>
      </c>
      <c r="AD44" s="453">
        <f>SUM(AD38:AD42)</f>
        <v>861536</v>
      </c>
      <c r="AF44" s="453">
        <f>SUM(AF38:AF42)</f>
        <v>750859</v>
      </c>
      <c r="AH44" s="453">
        <f>SUM(AH38:AH42)</f>
        <v>725661</v>
      </c>
      <c r="AJ44" s="453">
        <f>SUM(AJ38:AJ42)</f>
        <v>943728</v>
      </c>
      <c r="AL44" s="453">
        <f>SUM(AL38:AL42)</f>
        <v>1121571</v>
      </c>
      <c r="AN44" s="453">
        <f>SUM(AN38:AN42)</f>
        <v>1122287</v>
      </c>
      <c r="AP44" s="453">
        <f>SUM(AP38:AP42)</f>
        <v>1151805</v>
      </c>
      <c r="AQ44" s="461"/>
      <c r="AR44" s="453">
        <f>SUM(AR38:AR42)</f>
        <v>1257397</v>
      </c>
      <c r="AT44" s="453">
        <f>SUM(AT38:AT42)</f>
        <v>1375983</v>
      </c>
      <c r="AV44" s="453">
        <f>SUM(AV38:AV42)</f>
        <v>1505786</v>
      </c>
      <c r="AW44" s="789">
        <f>+AV35+AV44-'BSGF-major'!Y68</f>
        <v>0</v>
      </c>
    </row>
    <row r="45" spans="1:49" ht="13.5" thickTop="1" x14ac:dyDescent="0.2">
      <c r="D45"/>
      <c r="E45"/>
      <c r="F45"/>
      <c r="G45"/>
      <c r="H45"/>
      <c r="I45"/>
      <c r="J45"/>
      <c r="K45"/>
      <c r="L45"/>
      <c r="M45"/>
      <c r="N45"/>
      <c r="O45"/>
      <c r="P45"/>
      <c r="Q45"/>
      <c r="R45"/>
      <c r="S45"/>
      <c r="T45"/>
    </row>
    <row r="47" spans="1:49" s="418" customFormat="1" ht="14.25" x14ac:dyDescent="0.2">
      <c r="A47" s="959">
        <v>1</v>
      </c>
      <c r="B47" s="418" t="s">
        <v>891</v>
      </c>
      <c r="D47" s="952"/>
      <c r="F47" s="952"/>
      <c r="H47" s="952"/>
      <c r="J47" s="952"/>
      <c r="L47" s="952"/>
      <c r="N47" s="952"/>
      <c r="O47" s="952"/>
      <c r="P47" s="952"/>
      <c r="R47" s="952"/>
      <c r="T47" s="952"/>
    </row>
    <row r="48" spans="1:49" s="965" customFormat="1" ht="24.75" customHeight="1" x14ac:dyDescent="0.2">
      <c r="A48" s="964">
        <v>2</v>
      </c>
      <c r="B48" s="1458" t="s">
        <v>1275</v>
      </c>
      <c r="C48" s="1458"/>
      <c r="D48" s="1458"/>
      <c r="E48" s="1458"/>
      <c r="F48" s="1458"/>
      <c r="G48" s="1458"/>
      <c r="H48" s="1458"/>
      <c r="I48" s="1458"/>
      <c r="J48" s="1458"/>
      <c r="K48" s="1458"/>
      <c r="L48" s="1458"/>
      <c r="M48" s="1458"/>
      <c r="N48" s="1458"/>
      <c r="O48" s="1458"/>
      <c r="P48" s="1458"/>
      <c r="Q48" s="1458"/>
      <c r="R48" s="1458"/>
      <c r="S48" s="1458"/>
      <c r="T48" s="1458"/>
      <c r="U48" s="1458"/>
      <c r="V48" s="1458"/>
      <c r="W48" s="1458"/>
      <c r="X48" s="1458"/>
      <c r="Y48" s="1458"/>
      <c r="Z48" s="1458"/>
      <c r="AA48" s="1458"/>
      <c r="AB48" s="1458"/>
      <c r="AC48" s="1458"/>
      <c r="AD48" s="1458"/>
      <c r="AE48" s="1458"/>
      <c r="AF48" s="1458"/>
      <c r="AG48" s="1458"/>
      <c r="AH48" s="1458"/>
      <c r="AI48" s="1458"/>
      <c r="AJ48" s="1458"/>
      <c r="AK48" s="1458"/>
      <c r="AL48" s="1458"/>
      <c r="AM48" s="1458"/>
      <c r="AN48" s="1458"/>
      <c r="AO48" s="1458"/>
      <c r="AP48" s="1458"/>
      <c r="AQ48" s="1458"/>
      <c r="AR48" s="1458"/>
      <c r="AS48" s="1458"/>
      <c r="AT48" s="1458"/>
      <c r="AU48" s="1458"/>
      <c r="AV48" s="1458"/>
      <c r="AW48" s="975"/>
    </row>
    <row r="49" spans="1:49" ht="14.25" x14ac:dyDescent="0.2">
      <c r="A49" s="959"/>
    </row>
    <row r="63" spans="1:49" x14ac:dyDescent="0.2">
      <c r="E63" s="434">
        <v>54695</v>
      </c>
      <c r="G63" s="434">
        <v>54695</v>
      </c>
      <c r="I63" s="434">
        <v>57947</v>
      </c>
      <c r="K63" s="434">
        <v>60038</v>
      </c>
      <c r="M63" s="434">
        <v>62078</v>
      </c>
      <c r="Q63" s="434">
        <v>70363</v>
      </c>
      <c r="S63" s="434">
        <v>70363</v>
      </c>
      <c r="AW63" s="434">
        <f>SUM(AW54:AW61)</f>
        <v>0</v>
      </c>
    </row>
    <row r="68" spans="22:48" x14ac:dyDescent="0.2">
      <c r="V68" s="434" t="e">
        <v>#REF!</v>
      </c>
      <c r="X68" s="434" t="e">
        <v>#REF!</v>
      </c>
      <c r="AT68" s="434" t="e">
        <v>#REF!</v>
      </c>
      <c r="AV68" s="434" t="e">
        <f>SUM(AW43:AW47)/(AV49-#REF!-239604)</f>
        <v>#REF!</v>
      </c>
    </row>
    <row r="98" spans="49:49" x14ac:dyDescent="0.2">
      <c r="AW98" s="434">
        <v>51317</v>
      </c>
    </row>
    <row r="102" spans="49:49" x14ac:dyDescent="0.2">
      <c r="AW102" s="434">
        <v>1041</v>
      </c>
    </row>
    <row r="111" spans="49:49" x14ac:dyDescent="0.2">
      <c r="AW111" s="434">
        <v>13936</v>
      </c>
    </row>
    <row r="124" spans="7:7" x14ac:dyDescent="0.2">
      <c r="G124" s="434">
        <v>21</v>
      </c>
    </row>
  </sheetData>
  <phoneticPr fontId="9" type="noConversion"/>
  <printOptions horizontalCentered="1"/>
  <pageMargins left="0.5" right="0.5" top="0.5" bottom="0.625" header="0.5" footer="0.5"/>
  <pageSetup scale="9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7" tint="0.39997558519241921"/>
    <pageSetUpPr fitToPage="1"/>
  </sheetPr>
  <dimension ref="A1:CK228"/>
  <sheetViews>
    <sheetView tabSelected="1" zoomScaleNormal="100" zoomScaleSheetLayoutView="100" workbookViewId="0">
      <pane xSplit="2" ySplit="1" topLeftCell="CD49" activePane="bottomRight" state="frozen"/>
      <selection activeCell="Z13" activeCellId="3" sqref="Z18 Z17 Z15 Z13"/>
      <selection pane="topRight" activeCell="Z13" activeCellId="3" sqref="Z18 Z17 Z15 Z13"/>
      <selection pane="bottomLeft" activeCell="Z13" activeCellId="3" sqref="Z18 Z17 Z15 Z13"/>
      <selection pane="bottomRight" activeCell="B59" activeCellId="1" sqref="B95 B59"/>
    </sheetView>
  </sheetViews>
  <sheetFormatPr defaultColWidth="9.140625" defaultRowHeight="12.75" x14ac:dyDescent="0.2"/>
  <cols>
    <col min="1" max="1" width="46.42578125" style="211" customWidth="1"/>
    <col min="2" max="11" width="14.85546875" style="211" customWidth="1"/>
    <col min="12" max="12" width="14.85546875" style="211" hidden="1" customWidth="1"/>
    <col min="13" max="24" width="14.85546875" style="211" customWidth="1"/>
    <col min="25" max="27" width="14.85546875" style="211" hidden="1" customWidth="1"/>
    <col min="28" max="32" width="14.85546875" style="211" customWidth="1"/>
    <col min="33" max="36" width="14.85546875" style="211" hidden="1" customWidth="1"/>
    <col min="37" max="80" width="14.85546875" style="211" customWidth="1"/>
    <col min="81" max="81" width="7.5703125" style="211" customWidth="1"/>
    <col min="82" max="87" width="14.85546875" style="211" customWidth="1"/>
    <col min="88" max="16384" width="9.140625" style="211"/>
  </cols>
  <sheetData>
    <row r="1" spans="1:89" s="192" customFormat="1" ht="51.75" thickBot="1" x14ac:dyDescent="0.25">
      <c r="A1" s="234" t="s">
        <v>939</v>
      </c>
      <c r="B1" s="235" t="s">
        <v>1055</v>
      </c>
      <c r="C1" s="236" t="s">
        <v>120</v>
      </c>
      <c r="D1" s="237" t="s">
        <v>876</v>
      </c>
      <c r="E1" s="238" t="s">
        <v>1609</v>
      </c>
      <c r="F1" s="238" t="s">
        <v>877</v>
      </c>
      <c r="G1" s="238" t="s">
        <v>879</v>
      </c>
      <c r="H1" s="238" t="s">
        <v>126</v>
      </c>
      <c r="I1" s="238" t="s">
        <v>127</v>
      </c>
      <c r="J1" s="238" t="s">
        <v>880</v>
      </c>
      <c r="K1" s="240" t="s">
        <v>132</v>
      </c>
      <c r="L1" s="240" t="s">
        <v>881</v>
      </c>
      <c r="M1" s="240" t="s">
        <v>125</v>
      </c>
      <c r="N1" s="240" t="s">
        <v>882</v>
      </c>
      <c r="O1" s="240" t="s">
        <v>883</v>
      </c>
      <c r="P1" s="240" t="s">
        <v>885</v>
      </c>
      <c r="Q1" s="240" t="s">
        <v>123</v>
      </c>
      <c r="R1" s="240" t="s">
        <v>1190</v>
      </c>
      <c r="S1" s="240" t="s">
        <v>1501</v>
      </c>
      <c r="T1" s="240" t="s">
        <v>1201</v>
      </c>
      <c r="U1" s="190" t="s">
        <v>1030</v>
      </c>
      <c r="V1" s="552" t="s">
        <v>914</v>
      </c>
      <c r="W1" s="240" t="s">
        <v>858</v>
      </c>
      <c r="X1" s="1208" t="s">
        <v>134</v>
      </c>
      <c r="Y1" s="1209" t="s">
        <v>905</v>
      </c>
      <c r="Z1" s="1209" t="s">
        <v>906</v>
      </c>
      <c r="AA1" s="1209" t="s">
        <v>1323</v>
      </c>
      <c r="AB1" s="1209" t="s">
        <v>1625</v>
      </c>
      <c r="AC1" s="1209" t="s">
        <v>1042</v>
      </c>
      <c r="AD1" s="1209" t="s">
        <v>1312</v>
      </c>
      <c r="AE1" s="1209" t="s">
        <v>1568</v>
      </c>
      <c r="AF1" s="1209" t="s">
        <v>908</v>
      </c>
      <c r="AG1" s="1209" t="s">
        <v>1431</v>
      </c>
      <c r="AH1" s="1209" t="s">
        <v>1456</v>
      </c>
      <c r="AI1" s="1209" t="s">
        <v>1572</v>
      </c>
      <c r="AJ1" s="1209" t="s">
        <v>1622</v>
      </c>
      <c r="AK1" s="1209" t="s">
        <v>1728</v>
      </c>
      <c r="AL1" s="1209" t="s">
        <v>1432</v>
      </c>
      <c r="AM1" s="1209" t="s">
        <v>1457</v>
      </c>
      <c r="AN1" s="1209" t="s">
        <v>1499</v>
      </c>
      <c r="AO1" s="1209" t="s">
        <v>1565</v>
      </c>
      <c r="AP1" s="1209" t="s">
        <v>1619</v>
      </c>
      <c r="AQ1" s="1209" t="s">
        <v>1732</v>
      </c>
      <c r="AR1" s="1209" t="s">
        <v>909</v>
      </c>
      <c r="AS1" s="1209" t="s">
        <v>910</v>
      </c>
      <c r="AT1" s="1209" t="s">
        <v>165</v>
      </c>
      <c r="AU1" s="1209" t="s">
        <v>166</v>
      </c>
      <c r="AV1" s="1209" t="s">
        <v>911</v>
      </c>
      <c r="AW1" s="1209" t="s">
        <v>912</v>
      </c>
      <c r="AX1" s="1209" t="s">
        <v>647</v>
      </c>
      <c r="AY1" s="241" t="s">
        <v>913</v>
      </c>
      <c r="AZ1" s="241" t="s">
        <v>1070</v>
      </c>
      <c r="BA1" s="241" t="s">
        <v>916</v>
      </c>
      <c r="BB1" s="241" t="s">
        <v>917</v>
      </c>
      <c r="BC1" s="241" t="s">
        <v>1412</v>
      </c>
      <c r="BD1" s="385" t="s">
        <v>1687</v>
      </c>
      <c r="BE1" s="385" t="s">
        <v>896</v>
      </c>
      <c r="BF1" s="385" t="s">
        <v>1537</v>
      </c>
      <c r="BG1" s="385" t="s">
        <v>895</v>
      </c>
      <c r="BH1" s="385" t="s">
        <v>1317</v>
      </c>
      <c r="BI1" s="385" t="s">
        <v>898</v>
      </c>
      <c r="BJ1" s="385" t="s">
        <v>1135</v>
      </c>
      <c r="BK1" s="385" t="s">
        <v>904</v>
      </c>
      <c r="BL1" s="385" t="s">
        <v>723</v>
      </c>
      <c r="BM1" s="385" t="s">
        <v>901</v>
      </c>
      <c r="BN1" s="385" t="s">
        <v>1136</v>
      </c>
      <c r="BO1" s="385" t="s">
        <v>902</v>
      </c>
      <c r="BP1" s="385" t="s">
        <v>1098</v>
      </c>
      <c r="BQ1" s="385" t="s">
        <v>1540</v>
      </c>
      <c r="BR1" s="385" t="s">
        <v>1177</v>
      </c>
      <c r="BS1" s="385" t="s">
        <v>1137</v>
      </c>
      <c r="BT1" s="242" t="s">
        <v>918</v>
      </c>
      <c r="BU1" s="242" t="s">
        <v>919</v>
      </c>
      <c r="BV1" s="242" t="s">
        <v>920</v>
      </c>
      <c r="BW1" s="242" t="s">
        <v>921</v>
      </c>
      <c r="BX1" s="242" t="s">
        <v>922</v>
      </c>
      <c r="BY1" s="242" t="s">
        <v>881</v>
      </c>
      <c r="BZ1" s="236" t="s">
        <v>923</v>
      </c>
      <c r="CA1" s="236" t="s">
        <v>1011</v>
      </c>
      <c r="CB1" s="243" t="s">
        <v>924</v>
      </c>
      <c r="CC1" s="191"/>
      <c r="CD1" s="369" t="s">
        <v>771</v>
      </c>
      <c r="CE1" s="370" t="s">
        <v>148</v>
      </c>
      <c r="CF1" s="370" t="s">
        <v>519</v>
      </c>
      <c r="CG1" s="371" t="s">
        <v>760</v>
      </c>
      <c r="CH1" s="371" t="s">
        <v>210</v>
      </c>
      <c r="CI1" s="371" t="s">
        <v>969</v>
      </c>
    </row>
    <row r="2" spans="1:89" ht="12.75" customHeight="1" x14ac:dyDescent="0.2">
      <c r="A2" s="214" t="s">
        <v>589</v>
      </c>
      <c r="B2" s="216"/>
      <c r="C2" s="216"/>
      <c r="D2" s="216"/>
    </row>
    <row r="3" spans="1:89" ht="12.75" customHeight="1" x14ac:dyDescent="0.2">
      <c r="A3" s="215" t="s">
        <v>61</v>
      </c>
      <c r="B3" s="216"/>
      <c r="C3" s="216"/>
      <c r="D3" s="216"/>
      <c r="V3" s="196"/>
      <c r="BW3" s="196"/>
    </row>
    <row r="4" spans="1:89" ht="12.75" customHeight="1" x14ac:dyDescent="0.2">
      <c r="A4" s="217" t="s">
        <v>673</v>
      </c>
      <c r="B4" s="196">
        <f t="shared" ref="B4:B24" si="0">SUM(C4:CB4)</f>
        <v>217159</v>
      </c>
      <c r="C4" s="927">
        <v>104792</v>
      </c>
      <c r="D4" s="218"/>
      <c r="K4" s="928"/>
      <c r="N4" s="928">
        <v>42452</v>
      </c>
      <c r="O4" s="928"/>
      <c r="P4" s="928"/>
      <c r="U4" s="928"/>
      <c r="V4" s="1251"/>
      <c r="Y4" s="211">
        <v>0</v>
      </c>
      <c r="Z4" s="211">
        <v>0</v>
      </c>
      <c r="AA4" s="1098"/>
      <c r="AB4" s="1098"/>
      <c r="AC4" s="1098"/>
      <c r="AD4" s="1098"/>
      <c r="AE4" s="1098"/>
      <c r="AF4" s="1098"/>
      <c r="AG4" s="1098"/>
      <c r="AH4" s="1098"/>
      <c r="AI4" s="1098"/>
      <c r="AJ4" s="1098"/>
      <c r="AK4" s="1098"/>
      <c r="AL4" s="1098"/>
      <c r="AM4" s="1098"/>
      <c r="AN4" s="1098"/>
      <c r="AO4" s="1098"/>
      <c r="AP4" s="1098"/>
      <c r="AQ4" s="1098"/>
      <c r="AR4" s="1098"/>
      <c r="AS4" s="1098"/>
      <c r="AT4" s="1098"/>
      <c r="AU4" s="1098"/>
      <c r="AV4" s="1098"/>
      <c r="AW4" s="1097">
        <f>624-550</f>
        <v>74</v>
      </c>
      <c r="BD4" s="1097"/>
      <c r="BE4" s="1097"/>
      <c r="BF4" s="1098"/>
      <c r="BH4" s="1097">
        <v>10981</v>
      </c>
      <c r="BK4" s="1098"/>
      <c r="BL4" s="1098"/>
      <c r="BP4" s="1097"/>
      <c r="BS4" s="211">
        <v>0</v>
      </c>
      <c r="BT4" s="928">
        <v>8029</v>
      </c>
      <c r="BU4" s="928">
        <v>8074</v>
      </c>
      <c r="BV4" s="928">
        <v>9444</v>
      </c>
      <c r="BW4" s="928">
        <v>2036</v>
      </c>
      <c r="BX4" s="1097">
        <v>31059</v>
      </c>
      <c r="BY4" s="928">
        <v>218</v>
      </c>
      <c r="CD4" s="211">
        <f>SUM(CE4:CI4)</f>
        <v>13880</v>
      </c>
      <c r="CE4" s="211">
        <f>SONPPF!C16</f>
        <v>4358</v>
      </c>
      <c r="CF4" s="211">
        <f>SONPPF!E16</f>
        <v>1413</v>
      </c>
      <c r="CG4" s="211">
        <f>'Nonmajor Ent BS'!G14</f>
        <v>1833</v>
      </c>
      <c r="CH4" s="211">
        <f>'Nonmajor Ent BS'!E14</f>
        <v>92</v>
      </c>
      <c r="CI4" s="211">
        <f>'Nonmajor Ent BS'!C14</f>
        <v>6184</v>
      </c>
    </row>
    <row r="5" spans="1:89" ht="12.75" customHeight="1" x14ac:dyDescent="0.2">
      <c r="A5" s="217" t="s">
        <v>674</v>
      </c>
      <c r="B5" s="196">
        <f t="shared" si="0"/>
        <v>669966</v>
      </c>
      <c r="C5" s="927">
        <v>351836</v>
      </c>
      <c r="D5" s="218"/>
      <c r="K5" s="928"/>
      <c r="N5" s="928">
        <v>118252</v>
      </c>
      <c r="O5" s="928"/>
      <c r="P5" s="928"/>
      <c r="U5" s="928"/>
      <c r="V5" s="1251"/>
      <c r="AA5" s="1098"/>
      <c r="AB5" s="1098"/>
      <c r="AC5" s="1098"/>
      <c r="AD5" s="1098"/>
      <c r="AE5" s="1098"/>
      <c r="AF5" s="1098"/>
      <c r="AG5" s="1098"/>
      <c r="AH5" s="1098"/>
      <c r="AI5" s="1098"/>
      <c r="AJ5" s="1098"/>
      <c r="AK5" s="1098"/>
      <c r="AL5" s="1098"/>
      <c r="AM5" s="1098"/>
      <c r="AN5" s="1098"/>
      <c r="AO5" s="1098"/>
      <c r="AP5" s="1098"/>
      <c r="AQ5" s="1098"/>
      <c r="AR5" s="1098"/>
      <c r="AS5" s="1098"/>
      <c r="AT5" s="1098"/>
      <c r="AU5" s="1098"/>
      <c r="AV5" s="1098"/>
      <c r="AW5" s="1097">
        <v>251</v>
      </c>
      <c r="BD5" s="1097"/>
      <c r="BE5" s="1097"/>
      <c r="BF5" s="1098"/>
      <c r="BH5" s="1097"/>
      <c r="BK5" s="1285"/>
      <c r="BL5" s="1098"/>
      <c r="BP5" s="1097"/>
      <c r="BS5" s="211">
        <v>0</v>
      </c>
      <c r="BT5" s="928">
        <v>27074</v>
      </c>
      <c r="BU5" s="928">
        <v>27457</v>
      </c>
      <c r="BV5" s="928">
        <v>32145</v>
      </c>
      <c r="BW5" s="928">
        <v>7072</v>
      </c>
      <c r="BX5" s="1097">
        <v>104166</v>
      </c>
      <c r="BY5" s="928">
        <v>1713</v>
      </c>
      <c r="CD5" s="211">
        <f t="shared" ref="CD5:CD24" si="1">SUM(CE5:CI5)</f>
        <v>64113</v>
      </c>
      <c r="CE5" s="211">
        <f>SONPPF!C17</f>
        <v>30860</v>
      </c>
      <c r="CF5" s="211">
        <f>SONPPF!E17</f>
        <v>4722</v>
      </c>
      <c r="CG5" s="211">
        <f>'Nonmajor Ent BS'!G15</f>
        <v>6070</v>
      </c>
      <c r="CH5" s="211">
        <f>'Nonmajor Ent BS'!E15</f>
        <v>313</v>
      </c>
      <c r="CI5" s="211">
        <f>'Nonmajor Ent BS'!C15</f>
        <v>22148</v>
      </c>
    </row>
    <row r="6" spans="1:89" s="196" customFormat="1" ht="12.75" customHeight="1" x14ac:dyDescent="0.2">
      <c r="A6" s="217" t="s">
        <v>252</v>
      </c>
      <c r="B6" s="196">
        <f t="shared" si="0"/>
        <v>196832</v>
      </c>
      <c r="C6" s="927">
        <v>193842</v>
      </c>
      <c r="D6" s="218"/>
      <c r="K6" s="928"/>
      <c r="N6" s="928">
        <v>503</v>
      </c>
      <c r="O6" s="928"/>
      <c r="P6" s="928"/>
      <c r="U6" s="928"/>
      <c r="V6" s="1251"/>
      <c r="Y6" s="196">
        <v>0</v>
      </c>
      <c r="Z6" s="196">
        <v>0</v>
      </c>
      <c r="AA6" s="1097"/>
      <c r="AB6" s="1097"/>
      <c r="AC6" s="1097"/>
      <c r="AD6" s="1097"/>
      <c r="AE6" s="1097"/>
      <c r="AF6" s="1097"/>
      <c r="AG6" s="1097"/>
      <c r="AH6" s="1097"/>
      <c r="AI6" s="1097"/>
      <c r="AJ6" s="1097"/>
      <c r="AK6" s="1097"/>
      <c r="AL6" s="1097"/>
      <c r="AM6" s="1097"/>
      <c r="AN6" s="1097"/>
      <c r="AO6" s="1097"/>
      <c r="AP6" s="1097"/>
      <c r="AQ6" s="1097"/>
      <c r="AR6" s="1097"/>
      <c r="AS6" s="1097"/>
      <c r="AT6" s="1097"/>
      <c r="AU6" s="1097"/>
      <c r="AV6" s="1097"/>
      <c r="AW6" s="1097">
        <v>2</v>
      </c>
      <c r="BD6" s="1097"/>
      <c r="BE6" s="1097">
        <v>0</v>
      </c>
      <c r="BF6" s="1097"/>
      <c r="BH6" s="1097">
        <v>820</v>
      </c>
      <c r="BK6" s="1285"/>
      <c r="BL6" s="1097"/>
      <c r="BP6" s="1097"/>
      <c r="BS6" s="211">
        <v>0</v>
      </c>
      <c r="BT6" s="928">
        <v>192</v>
      </c>
      <c r="BU6" s="928">
        <v>170</v>
      </c>
      <c r="BV6" s="928">
        <v>253</v>
      </c>
      <c r="BW6" s="928">
        <v>196</v>
      </c>
      <c r="BX6" s="1097">
        <v>843</v>
      </c>
      <c r="BY6" s="928">
        <v>11</v>
      </c>
      <c r="CD6" s="211">
        <f t="shared" si="1"/>
        <v>20314</v>
      </c>
      <c r="CE6" s="196">
        <f>SONPPF!C18</f>
        <v>6887</v>
      </c>
      <c r="CF6" s="211">
        <f>SONPPF!E18</f>
        <v>12582</v>
      </c>
      <c r="CG6" s="196">
        <f>'Nonmajor Ent BS'!G16</f>
        <v>122</v>
      </c>
      <c r="CH6" s="196">
        <f>'Nonmajor Ent BS'!E16</f>
        <v>105</v>
      </c>
      <c r="CI6" s="196">
        <f>'Nonmajor Ent BS'!C16</f>
        <v>618</v>
      </c>
      <c r="CK6" s="196">
        <f>SUM(CE6:CI6)</f>
        <v>20314</v>
      </c>
    </row>
    <row r="7" spans="1:89" s="196" customFormat="1" ht="12.75" customHeight="1" x14ac:dyDescent="0.2">
      <c r="A7" s="217" t="s">
        <v>763</v>
      </c>
      <c r="B7" s="196">
        <f t="shared" si="0"/>
        <v>14137</v>
      </c>
      <c r="C7" s="927">
        <v>10190</v>
      </c>
      <c r="D7" s="218"/>
      <c r="K7" s="928"/>
      <c r="N7" s="928"/>
      <c r="O7" s="928"/>
      <c r="P7" s="928"/>
      <c r="U7" s="928"/>
      <c r="V7" s="1251"/>
      <c r="AA7" s="1097"/>
      <c r="AB7" s="1097"/>
      <c r="AC7" s="1097"/>
      <c r="AD7" s="1097"/>
      <c r="AE7" s="1097"/>
      <c r="AF7" s="1097"/>
      <c r="AG7" s="1097"/>
      <c r="AH7" s="1097"/>
      <c r="AI7" s="1097"/>
      <c r="AJ7" s="1097"/>
      <c r="AK7" s="1097"/>
      <c r="AL7" s="1097"/>
      <c r="AM7" s="1097"/>
      <c r="AN7" s="1097"/>
      <c r="AO7" s="1097"/>
      <c r="AP7" s="1097"/>
      <c r="AQ7" s="1097"/>
      <c r="AR7" s="1097"/>
      <c r="AS7" s="1097"/>
      <c r="AT7" s="1097"/>
      <c r="AU7" s="1097"/>
      <c r="AV7" s="1097"/>
      <c r="AW7" s="1097"/>
      <c r="BD7" s="1097"/>
      <c r="BE7" s="1097"/>
      <c r="BF7" s="1097"/>
      <c r="BH7" s="1097">
        <v>3</v>
      </c>
      <c r="BK7" s="1285"/>
      <c r="BL7" s="1097"/>
      <c r="BP7" s="1097"/>
      <c r="BS7" s="211">
        <v>391</v>
      </c>
      <c r="BT7" s="928"/>
      <c r="BU7" s="928"/>
      <c r="BV7" s="928"/>
      <c r="BW7" s="928">
        <v>258</v>
      </c>
      <c r="BX7" s="1097">
        <v>3295</v>
      </c>
      <c r="BY7" s="928">
        <v>0</v>
      </c>
      <c r="CD7" s="211">
        <f t="shared" si="1"/>
        <v>1362</v>
      </c>
      <c r="CE7" s="196">
        <f>SONPPF!C19</f>
        <v>1001</v>
      </c>
      <c r="CF7" s="211">
        <f>SONPPF!E19</f>
        <v>43</v>
      </c>
      <c r="CG7" s="196">
        <f>'Nonmajor Ent BS'!G17</f>
        <v>318</v>
      </c>
      <c r="CH7" s="196">
        <f>'Nonmajor Ent BS'!E17</f>
        <v>0</v>
      </c>
    </row>
    <row r="8" spans="1:89" s="196" customFormat="1" ht="12.75" customHeight="1" x14ac:dyDescent="0.2">
      <c r="A8" s="217" t="s">
        <v>680</v>
      </c>
      <c r="B8" s="196">
        <f t="shared" si="0"/>
        <v>15202</v>
      </c>
      <c r="C8" s="927"/>
      <c r="D8" s="218"/>
      <c r="K8" s="928"/>
      <c r="N8" s="928"/>
      <c r="O8" s="928"/>
      <c r="P8" s="928"/>
      <c r="U8" s="928"/>
      <c r="V8" s="1251"/>
      <c r="AA8" s="1097"/>
      <c r="AB8" s="1097"/>
      <c r="AC8" s="1097"/>
      <c r="AD8" s="1097"/>
      <c r="AE8" s="1097"/>
      <c r="AF8" s="1097"/>
      <c r="AG8" s="1097"/>
      <c r="AH8" s="1097"/>
      <c r="AI8" s="1097"/>
      <c r="AJ8" s="1097"/>
      <c r="AK8" s="1097"/>
      <c r="AL8" s="1097"/>
      <c r="AM8" s="1097"/>
      <c r="AN8" s="1097"/>
      <c r="AO8" s="1097"/>
      <c r="AP8" s="1097"/>
      <c r="AQ8" s="1097"/>
      <c r="AR8" s="1097"/>
      <c r="AS8" s="1097"/>
      <c r="AT8" s="1097"/>
      <c r="AU8" s="1097"/>
      <c r="AV8" s="1097"/>
      <c r="AW8" s="1097"/>
      <c r="BD8" s="1097"/>
      <c r="BE8" s="1097"/>
      <c r="BF8" s="1097"/>
      <c r="BH8" s="1097"/>
      <c r="BK8" s="1285"/>
      <c r="BL8" s="1097"/>
      <c r="BP8" s="1097"/>
      <c r="BT8" s="928">
        <v>11834</v>
      </c>
      <c r="BU8" s="928">
        <v>6186</v>
      </c>
      <c r="BV8" s="928">
        <v>2549</v>
      </c>
      <c r="BW8" s="928">
        <v>8560</v>
      </c>
      <c r="BX8" s="1097">
        <v>-17209</v>
      </c>
      <c r="BY8" s="1534">
        <v>3282</v>
      </c>
      <c r="CD8" s="211">
        <f t="shared" si="1"/>
        <v>0</v>
      </c>
      <c r="CF8" s="211">
        <f>SONPPF!E20</f>
        <v>0</v>
      </c>
    </row>
    <row r="9" spans="1:89" s="196" customFormat="1" ht="12.75" customHeight="1" x14ac:dyDescent="0.2">
      <c r="A9" s="217" t="s">
        <v>63</v>
      </c>
      <c r="B9" s="196">
        <f t="shared" si="0"/>
        <v>67561</v>
      </c>
      <c r="C9" s="927">
        <v>65761</v>
      </c>
      <c r="D9" s="218"/>
      <c r="K9" s="928"/>
      <c r="N9" s="928">
        <v>1800</v>
      </c>
      <c r="O9" s="928"/>
      <c r="P9" s="928"/>
      <c r="U9" s="928"/>
      <c r="V9" s="1251"/>
      <c r="AA9" s="1097"/>
      <c r="AB9" s="1097"/>
      <c r="AC9" s="1097"/>
      <c r="AD9" s="1097"/>
      <c r="AE9" s="1097"/>
      <c r="AF9" s="1097"/>
      <c r="AG9" s="1097"/>
      <c r="AH9" s="1097"/>
      <c r="AI9" s="1097"/>
      <c r="AJ9" s="1097"/>
      <c r="AK9" s="1097"/>
      <c r="AL9" s="1097"/>
      <c r="AM9" s="1097"/>
      <c r="AN9" s="1097"/>
      <c r="AO9" s="1097"/>
      <c r="AP9" s="1097"/>
      <c r="AQ9" s="1097"/>
      <c r="AR9" s="1097"/>
      <c r="AS9" s="1097"/>
      <c r="AT9" s="1097"/>
      <c r="AU9" s="1097"/>
      <c r="AV9" s="1097"/>
      <c r="AW9" s="1097"/>
      <c r="BD9" s="1097"/>
      <c r="BE9" s="1097"/>
      <c r="BF9" s="1097"/>
      <c r="BH9" s="1097"/>
      <c r="BK9" s="1285"/>
      <c r="BL9" s="1097"/>
      <c r="BP9" s="1097"/>
      <c r="BT9" s="928"/>
      <c r="BU9" s="928"/>
      <c r="BV9" s="928"/>
      <c r="BW9" s="928"/>
      <c r="BX9" s="1097">
        <v>0</v>
      </c>
      <c r="BY9" s="1443"/>
      <c r="CD9" s="211">
        <f t="shared" si="1"/>
        <v>41</v>
      </c>
      <c r="CE9" s="196">
        <f>SONPPF!C23</f>
        <v>0</v>
      </c>
      <c r="CF9" s="211">
        <f>SONPPF!E23</f>
        <v>0</v>
      </c>
      <c r="CG9" s="196">
        <f>'Nonmajor Ent BS'!G21</f>
        <v>0</v>
      </c>
      <c r="CH9" s="196">
        <f>'Nonmajor Ent BS'!E21</f>
        <v>0</v>
      </c>
      <c r="CI9" s="196">
        <f>'Nonmajor Ent BS'!C21</f>
        <v>41</v>
      </c>
    </row>
    <row r="10" spans="1:89" s="196" customFormat="1" ht="12.75" customHeight="1" x14ac:dyDescent="0.2">
      <c r="A10" s="217" t="s">
        <v>1314</v>
      </c>
      <c r="B10" s="196">
        <f t="shared" si="0"/>
        <v>0</v>
      </c>
      <c r="C10" s="927"/>
      <c r="D10" s="218"/>
      <c r="K10" s="928"/>
      <c r="N10" s="928"/>
      <c r="O10" s="928"/>
      <c r="P10" s="928"/>
      <c r="U10" s="928"/>
      <c r="V10" s="1251"/>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BD10" s="1097"/>
      <c r="BE10" s="1097"/>
      <c r="BF10" s="1097"/>
      <c r="BH10" s="1097"/>
      <c r="BK10" s="1285"/>
      <c r="BL10" s="1097"/>
      <c r="BP10" s="1097"/>
      <c r="BT10" s="928"/>
      <c r="BU10" s="928"/>
      <c r="BV10" s="928"/>
      <c r="BW10" s="1097"/>
      <c r="BX10" s="1097">
        <v>0</v>
      </c>
      <c r="BY10" s="928"/>
      <c r="CD10" s="211">
        <f t="shared" si="1"/>
        <v>0</v>
      </c>
      <c r="CF10" s="211">
        <f>SONPPF!E24</f>
        <v>0</v>
      </c>
    </row>
    <row r="11" spans="1:89" s="196" customFormat="1" ht="12.75" customHeight="1" x14ac:dyDescent="0.2">
      <c r="A11" s="217" t="s">
        <v>592</v>
      </c>
      <c r="B11" s="196">
        <f t="shared" si="0"/>
        <v>4224</v>
      </c>
      <c r="C11" s="927">
        <v>2484</v>
      </c>
      <c r="D11" s="218"/>
      <c r="K11" s="928"/>
      <c r="N11" s="928">
        <v>1455</v>
      </c>
      <c r="O11" s="928"/>
      <c r="P11" s="928"/>
      <c r="U11" s="928"/>
      <c r="V11" s="1251"/>
      <c r="AA11" s="1097"/>
      <c r="AB11" s="1097"/>
      <c r="AC11" s="1097"/>
      <c r="AD11" s="1097"/>
      <c r="AE11" s="1097"/>
      <c r="AF11" s="1097"/>
      <c r="AG11" s="1097"/>
      <c r="AH11" s="1097"/>
      <c r="AI11" s="1097"/>
      <c r="AJ11" s="1097"/>
      <c r="AK11" s="1097"/>
      <c r="AL11" s="1097"/>
      <c r="AM11" s="1097"/>
      <c r="AN11" s="1097"/>
      <c r="AO11" s="1097"/>
      <c r="AP11" s="1097"/>
      <c r="AQ11" s="1097"/>
      <c r="AR11" s="1097"/>
      <c r="AS11" s="1097"/>
      <c r="AT11" s="1097"/>
      <c r="AU11" s="1097"/>
      <c r="AV11" s="1097"/>
      <c r="AW11" s="1097"/>
      <c r="BD11" s="1097"/>
      <c r="BE11" s="1097"/>
      <c r="BF11" s="1097"/>
      <c r="BH11" s="1097"/>
      <c r="BK11" s="1285"/>
      <c r="BL11" s="1097"/>
      <c r="BP11" s="1097"/>
      <c r="BT11" s="928"/>
      <c r="BU11" s="928"/>
      <c r="BV11" s="928"/>
      <c r="BW11" s="928">
        <v>184</v>
      </c>
      <c r="BX11" s="1097">
        <v>101</v>
      </c>
      <c r="BY11" s="928">
        <v>0</v>
      </c>
      <c r="CD11" s="211">
        <f t="shared" si="1"/>
        <v>78</v>
      </c>
      <c r="CE11" s="196">
        <f>+SONPPF!C24</f>
        <v>77</v>
      </c>
      <c r="CF11" s="211">
        <f>SONPPF!E25</f>
        <v>0</v>
      </c>
      <c r="CG11" s="196">
        <f>'Nonmajor Ent BS'!G22</f>
        <v>1</v>
      </c>
      <c r="CH11" s="196">
        <f>'Nonmajor Ent BS'!H22</f>
        <v>0</v>
      </c>
      <c r="CI11" s="196">
        <f>'Nonmajor Ent BS'!C22</f>
        <v>0</v>
      </c>
    </row>
    <row r="12" spans="1:89" s="196" customFormat="1" ht="12.75" customHeight="1" x14ac:dyDescent="0.2">
      <c r="A12" s="217" t="s">
        <v>679</v>
      </c>
      <c r="B12" s="196">
        <f t="shared" si="0"/>
        <v>12701</v>
      </c>
      <c r="C12" s="927">
        <v>1581</v>
      </c>
      <c r="D12" s="218"/>
      <c r="K12" s="928"/>
      <c r="N12" s="928"/>
      <c r="O12" s="928"/>
      <c r="P12" s="928"/>
      <c r="U12" s="928"/>
      <c r="V12" s="1251"/>
      <c r="Y12" s="196">
        <v>0</v>
      </c>
      <c r="Z12" s="196">
        <v>0</v>
      </c>
      <c r="AA12" s="1097"/>
      <c r="AB12" s="1097"/>
      <c r="AC12" s="1097"/>
      <c r="AD12" s="1097"/>
      <c r="AE12" s="1097"/>
      <c r="AF12" s="1097"/>
      <c r="AG12" s="1097"/>
      <c r="AH12" s="1097"/>
      <c r="AI12" s="1097"/>
      <c r="AJ12" s="1097"/>
      <c r="AK12" s="1097"/>
      <c r="AL12" s="1097"/>
      <c r="AM12" s="1097"/>
      <c r="AN12" s="1097"/>
      <c r="AO12" s="1097"/>
      <c r="AP12" s="1097"/>
      <c r="AQ12" s="1097"/>
      <c r="AR12" s="1097"/>
      <c r="AS12" s="1097"/>
      <c r="AT12" s="1097"/>
      <c r="AU12" s="1097"/>
      <c r="AV12" s="1097"/>
      <c r="AW12" s="1097"/>
      <c r="BD12" s="1097"/>
      <c r="BE12" s="1097"/>
      <c r="BF12" s="1097"/>
      <c r="BH12" s="1097">
        <v>668</v>
      </c>
      <c r="BK12" s="1285"/>
      <c r="BL12" s="1097"/>
      <c r="BP12" s="1097"/>
      <c r="BT12" s="928"/>
      <c r="BU12" s="928">
        <v>5191</v>
      </c>
      <c r="BV12" s="928"/>
      <c r="BW12" s="928">
        <v>5258</v>
      </c>
      <c r="BX12" s="1097">
        <v>0</v>
      </c>
      <c r="BY12" s="928">
        <v>3</v>
      </c>
      <c r="CD12" s="211">
        <f t="shared" si="1"/>
        <v>101</v>
      </c>
      <c r="CE12" s="196" t="str">
        <f>SONPPF!C21</f>
        <v xml:space="preserve"> </v>
      </c>
      <c r="CF12" s="211"/>
      <c r="CG12" s="196">
        <f>'Nonmajor Ent BS'!G19</f>
        <v>0</v>
      </c>
      <c r="CH12" s="196">
        <f>'Nonmajor Ent BS'!H19</f>
        <v>0</v>
      </c>
      <c r="CI12" s="196">
        <f>'Nonmajor Ent BS'!C19</f>
        <v>101</v>
      </c>
    </row>
    <row r="13" spans="1:89" s="196" customFormat="1" ht="12.75" customHeight="1" x14ac:dyDescent="0.2">
      <c r="A13" s="217" t="s">
        <v>1575</v>
      </c>
      <c r="B13" s="196">
        <f t="shared" si="0"/>
        <v>3228</v>
      </c>
      <c r="C13" s="927">
        <v>1922</v>
      </c>
      <c r="D13" s="218"/>
      <c r="K13" s="928"/>
      <c r="N13" s="928">
        <v>1021</v>
      </c>
      <c r="O13" s="928"/>
      <c r="P13" s="928"/>
      <c r="U13" s="928"/>
      <c r="V13" s="1251"/>
      <c r="AA13" s="1097"/>
      <c r="AB13" s="1097"/>
      <c r="AC13" s="1097"/>
      <c r="AD13" s="1097"/>
      <c r="AE13" s="1097"/>
      <c r="AF13" s="1097"/>
      <c r="AG13" s="1097"/>
      <c r="AH13" s="1097"/>
      <c r="AI13" s="1097"/>
      <c r="AJ13" s="1097"/>
      <c r="AK13" s="1097"/>
      <c r="AL13" s="1097"/>
      <c r="AM13" s="1097"/>
      <c r="AN13" s="1097"/>
      <c r="AO13" s="1097"/>
      <c r="AP13" s="1097"/>
      <c r="AQ13" s="1097"/>
      <c r="AR13" s="1097"/>
      <c r="AS13" s="1097"/>
      <c r="AT13" s="1097"/>
      <c r="AU13" s="1097"/>
      <c r="AV13" s="1097"/>
      <c r="AW13" s="1097"/>
      <c r="BD13" s="1097"/>
      <c r="BE13" s="1097"/>
      <c r="BF13" s="1097"/>
      <c r="BH13" s="1097"/>
      <c r="BK13" s="1285"/>
      <c r="BL13" s="1097"/>
      <c r="BP13" s="1097"/>
      <c r="BT13" s="928"/>
      <c r="BU13" s="928"/>
      <c r="BV13" s="928"/>
      <c r="BW13" s="928">
        <v>140</v>
      </c>
      <c r="BX13" s="1097">
        <v>145</v>
      </c>
      <c r="BY13" s="928">
        <v>0</v>
      </c>
      <c r="CD13" s="211">
        <f t="shared" si="1"/>
        <v>9666</v>
      </c>
      <c r="CE13" s="196">
        <f>SONPPF!C22</f>
        <v>8200</v>
      </c>
      <c r="CF13" s="211">
        <f>SONPPF!E22</f>
        <v>127</v>
      </c>
      <c r="CG13" s="196">
        <f>'Nonmajor Ent BS'!G20</f>
        <v>102</v>
      </c>
      <c r="CH13" s="196">
        <f>'Nonmajor Ent BS'!E20</f>
        <v>1237</v>
      </c>
      <c r="CI13" s="196">
        <f>'Nonmajor Ent BS'!C20</f>
        <v>0</v>
      </c>
    </row>
    <row r="14" spans="1:89" s="196" customFormat="1" ht="12.75" customHeight="1" x14ac:dyDescent="0.2">
      <c r="A14" s="217" t="s">
        <v>683</v>
      </c>
      <c r="B14" s="196">
        <f t="shared" si="0"/>
        <v>304</v>
      </c>
      <c r="C14" s="927"/>
      <c r="D14" s="218"/>
      <c r="K14" s="928"/>
      <c r="N14" s="928"/>
      <c r="O14" s="928"/>
      <c r="P14" s="928"/>
      <c r="U14" s="928"/>
      <c r="V14" s="1251"/>
      <c r="AA14" s="1097"/>
      <c r="AB14" s="1097"/>
      <c r="AC14" s="1097"/>
      <c r="AD14" s="1097"/>
      <c r="AE14" s="1097"/>
      <c r="AF14" s="1097"/>
      <c r="AG14" s="1097"/>
      <c r="AH14" s="1097"/>
      <c r="AI14" s="1097"/>
      <c r="AJ14" s="1097"/>
      <c r="AK14" s="1097"/>
      <c r="AL14" s="1097"/>
      <c r="AM14" s="1097"/>
      <c r="AN14" s="1097"/>
      <c r="AO14" s="1097"/>
      <c r="AP14" s="1097"/>
      <c r="AQ14" s="1097"/>
      <c r="AR14" s="1097"/>
      <c r="AS14" s="1097"/>
      <c r="AT14" s="1097"/>
      <c r="AU14" s="1097"/>
      <c r="AV14" s="1097"/>
      <c r="AW14" s="1097"/>
      <c r="BD14" s="1097"/>
      <c r="BE14" s="1097"/>
      <c r="BF14" s="1097"/>
      <c r="BH14" s="1097"/>
      <c r="BK14" s="1097"/>
      <c r="BL14" s="1097"/>
      <c r="BP14" s="1097"/>
      <c r="BT14" s="928">
        <v>268</v>
      </c>
      <c r="BU14" s="928"/>
      <c r="BV14" s="928">
        <v>36</v>
      </c>
      <c r="BW14" s="928">
        <v>0</v>
      </c>
      <c r="BX14" s="1097">
        <v>0</v>
      </c>
      <c r="BY14" s="928">
        <v>0</v>
      </c>
      <c r="CD14" s="211">
        <f t="shared" si="1"/>
        <v>0</v>
      </c>
      <c r="CE14" s="196">
        <f>SONPPF!C20</f>
        <v>0</v>
      </c>
      <c r="CF14" s="211">
        <f>SONPPF!E27</f>
        <v>0</v>
      </c>
      <c r="CH14" s="196">
        <f>'Nonmajor Ent BS'!H19</f>
        <v>0</v>
      </c>
    </row>
    <row r="15" spans="1:89" s="196" customFormat="1" ht="12.75" customHeight="1" x14ac:dyDescent="0.2">
      <c r="A15" s="217" t="s">
        <v>685</v>
      </c>
      <c r="C15" s="927"/>
      <c r="D15" s="218"/>
      <c r="K15" s="928"/>
      <c r="N15" s="928"/>
      <c r="O15" s="928"/>
      <c r="P15" s="928"/>
      <c r="U15" s="928"/>
      <c r="V15" s="1251"/>
      <c r="AA15" s="1097"/>
      <c r="AB15" s="1097"/>
      <c r="AC15" s="1097"/>
      <c r="AD15" s="1097"/>
      <c r="AE15" s="1097"/>
      <c r="AF15" s="1097"/>
      <c r="AG15" s="1097"/>
      <c r="AH15" s="1097"/>
      <c r="AI15" s="1097"/>
      <c r="AJ15" s="1097"/>
      <c r="AK15" s="1097"/>
      <c r="AL15" s="1097"/>
      <c r="AM15" s="1097"/>
      <c r="AN15" s="1097"/>
      <c r="AO15" s="1097"/>
      <c r="AP15" s="1097"/>
      <c r="AQ15" s="1097"/>
      <c r="AR15" s="1097"/>
      <c r="AS15" s="1097"/>
      <c r="AT15" s="1097"/>
      <c r="AU15" s="1097"/>
      <c r="AV15" s="1097"/>
      <c r="AW15" s="1097"/>
      <c r="BD15" s="1097"/>
      <c r="BE15" s="1097"/>
      <c r="BF15" s="1097"/>
      <c r="BH15" s="1097"/>
      <c r="BK15" s="1285"/>
      <c r="BL15" s="1097"/>
      <c r="BP15" s="1097"/>
      <c r="BT15" s="928"/>
      <c r="BU15" s="928"/>
      <c r="BV15" s="928"/>
      <c r="BW15" s="928"/>
      <c r="BX15" s="1097">
        <v>0</v>
      </c>
      <c r="BY15" s="1012"/>
      <c r="CD15" s="211">
        <f t="shared" si="1"/>
        <v>0</v>
      </c>
    </row>
    <row r="16" spans="1:89" s="196" customFormat="1" ht="12.75" customHeight="1" x14ac:dyDescent="0.2">
      <c r="A16" s="220" t="s">
        <v>673</v>
      </c>
      <c r="B16" s="196">
        <f t="shared" si="0"/>
        <v>557381</v>
      </c>
      <c r="C16" s="927">
        <v>0</v>
      </c>
      <c r="D16" s="928">
        <v>41281</v>
      </c>
      <c r="E16" s="1097">
        <v>27846</v>
      </c>
      <c r="F16" s="1389">
        <v>2136</v>
      </c>
      <c r="G16" s="1097">
        <v>85</v>
      </c>
      <c r="H16" s="1389">
        <v>1121</v>
      </c>
      <c r="I16" s="1097">
        <v>1110</v>
      </c>
      <c r="J16" s="1389"/>
      <c r="K16" s="928">
        <v>2748</v>
      </c>
      <c r="N16" s="928">
        <v>897</v>
      </c>
      <c r="O16" s="1292">
        <v>20239</v>
      </c>
      <c r="P16" s="928">
        <v>331</v>
      </c>
      <c r="Q16" s="928">
        <v>4523</v>
      </c>
      <c r="R16" s="1097">
        <v>14</v>
      </c>
      <c r="S16" s="1097">
        <v>55</v>
      </c>
      <c r="T16" s="1097">
        <v>6</v>
      </c>
      <c r="U16" s="928">
        <v>657</v>
      </c>
      <c r="V16" s="1251">
        <v>299</v>
      </c>
      <c r="W16" s="1097">
        <v>8727</v>
      </c>
      <c r="X16" s="928">
        <v>13421</v>
      </c>
      <c r="Y16" s="197"/>
      <c r="AA16" s="1097"/>
      <c r="AB16" s="1252">
        <v>1172</v>
      </c>
      <c r="AC16" s="1252">
        <v>3781</v>
      </c>
      <c r="AD16" s="1252">
        <f>34800-48</f>
        <v>34752</v>
      </c>
      <c r="AE16" s="1252">
        <f>78576+1545</f>
        <v>80121</v>
      </c>
      <c r="AF16" s="1097">
        <f>26013+2111</f>
        <v>28124</v>
      </c>
      <c r="AG16" s="1252"/>
      <c r="AH16" s="1252"/>
      <c r="AI16" s="1252"/>
      <c r="AJ16" s="1252"/>
      <c r="AK16" s="1252">
        <f>16034-29</f>
        <v>16005</v>
      </c>
      <c r="AL16" s="1252">
        <v>241</v>
      </c>
      <c r="AM16" s="1252">
        <v>416</v>
      </c>
      <c r="AN16" s="1252">
        <v>2269</v>
      </c>
      <c r="AO16" s="1252">
        <f>3714-3308</f>
        <v>406</v>
      </c>
      <c r="AP16" s="1252">
        <v>213</v>
      </c>
      <c r="AQ16" s="1252">
        <f>20532-1657</f>
        <v>18875</v>
      </c>
      <c r="AR16" s="1097">
        <v>3151</v>
      </c>
      <c r="AS16" s="1097"/>
      <c r="AT16" s="1097">
        <v>21995</v>
      </c>
      <c r="AU16" s="1252">
        <v>25</v>
      </c>
      <c r="AV16" s="1097"/>
      <c r="AW16" s="1156">
        <v>10963</v>
      </c>
      <c r="AX16" s="927"/>
      <c r="AY16" s="1251">
        <v>84</v>
      </c>
      <c r="AZ16" s="1251">
        <v>1185</v>
      </c>
      <c r="BA16" s="1251">
        <v>75</v>
      </c>
      <c r="BB16" s="1251">
        <v>123</v>
      </c>
      <c r="BC16" s="1251">
        <v>309</v>
      </c>
      <c r="BD16" s="1097"/>
      <c r="BE16" s="1097">
        <v>293</v>
      </c>
      <c r="BF16" s="1097">
        <v>326</v>
      </c>
      <c r="BH16" s="1097"/>
      <c r="BI16" s="196">
        <v>29</v>
      </c>
      <c r="BJ16" s="196">
        <v>3313</v>
      </c>
      <c r="BK16" s="1252">
        <v>24125</v>
      </c>
      <c r="BL16" s="1097">
        <v>290</v>
      </c>
      <c r="BM16" s="1097">
        <v>1791</v>
      </c>
      <c r="BP16" s="1097">
        <v>569</v>
      </c>
      <c r="BQ16" s="1097">
        <v>144453</v>
      </c>
      <c r="BR16" s="1252">
        <v>31825</v>
      </c>
      <c r="BS16" s="196">
        <v>478</v>
      </c>
      <c r="BT16" s="928"/>
      <c r="BU16" s="928"/>
      <c r="BV16" s="928"/>
      <c r="BW16" s="928"/>
      <c r="BX16" s="1097">
        <v>108</v>
      </c>
      <c r="BY16" s="1012"/>
      <c r="CD16" s="211">
        <f t="shared" si="1"/>
        <v>164906</v>
      </c>
      <c r="CE16" s="196">
        <f>+SONPPF!C30+SONPPF!C37+SONPPF!C44+SONPPF!C51</f>
        <v>162099</v>
      </c>
      <c r="CF16" s="196">
        <f>+SONPPF!E30+SONPPF!E37+SONPPF!E44+SONPPF!E51</f>
        <v>2454</v>
      </c>
      <c r="CG16" s="196">
        <f>+'Nonmajor Ent BS'!G28+'Nonmajor Ent BS'!G35+'Nonmajor Ent BS'!G42</f>
        <v>321</v>
      </c>
      <c r="CH16" s="196">
        <f>+'Nonmajor Ent BS'!H28+'Nonmajor Ent BS'!H35+'Nonmajor Ent BS'!H42+'Nonmajor Ent BS'!E35</f>
        <v>0</v>
      </c>
      <c r="CI16" s="196">
        <f>+'Nonmajor Ent BS'!C28+'Nonmajor Ent BS'!C35</f>
        <v>32</v>
      </c>
    </row>
    <row r="17" spans="1:89" s="196" customFormat="1" ht="12.75" customHeight="1" x14ac:dyDescent="0.2">
      <c r="A17" s="220" t="s">
        <v>674</v>
      </c>
      <c r="B17" s="196">
        <f t="shared" si="0"/>
        <v>917855</v>
      </c>
      <c r="C17" s="927">
        <v>0</v>
      </c>
      <c r="D17" s="928">
        <v>2050</v>
      </c>
      <c r="E17" s="1097">
        <v>80038</v>
      </c>
      <c r="F17" s="1389">
        <v>421</v>
      </c>
      <c r="G17" s="1097">
        <v>0</v>
      </c>
      <c r="H17" s="1389">
        <v>3806</v>
      </c>
      <c r="I17" s="1097">
        <v>3805</v>
      </c>
      <c r="J17" s="1389"/>
      <c r="K17" s="928">
        <v>9940</v>
      </c>
      <c r="N17" s="928">
        <v>6114</v>
      </c>
      <c r="O17" s="1292">
        <v>85632</v>
      </c>
      <c r="P17" s="928">
        <v>972</v>
      </c>
      <c r="Q17" s="928">
        <v>16754</v>
      </c>
      <c r="R17" s="1097">
        <v>1</v>
      </c>
      <c r="S17" s="1097">
        <v>19</v>
      </c>
      <c r="T17" s="1097">
        <v>12</v>
      </c>
      <c r="U17" s="1098">
        <v>2229</v>
      </c>
      <c r="V17" s="1251">
        <v>11361</v>
      </c>
      <c r="W17" s="1097">
        <v>36076</v>
      </c>
      <c r="X17" s="928">
        <v>45438</v>
      </c>
      <c r="Y17" s="197"/>
      <c r="AA17" s="1097"/>
      <c r="AB17" s="1252">
        <v>3979</v>
      </c>
      <c r="AC17" s="1252">
        <v>12836</v>
      </c>
      <c r="AD17" s="1252">
        <v>120524</v>
      </c>
      <c r="AE17" s="1252">
        <v>293952</v>
      </c>
      <c r="AF17" s="1097"/>
      <c r="AG17" s="1252"/>
      <c r="AH17" s="1252"/>
      <c r="AI17" s="1252"/>
      <c r="AJ17" s="1252"/>
      <c r="AK17" s="1252">
        <v>21319</v>
      </c>
      <c r="AL17" s="1252">
        <v>1073</v>
      </c>
      <c r="AM17" s="1252">
        <v>1485</v>
      </c>
      <c r="AN17" s="1252">
        <v>7701</v>
      </c>
      <c r="AO17" s="1252">
        <v>17640</v>
      </c>
      <c r="AP17" s="1252">
        <v>729</v>
      </c>
      <c r="AQ17" s="1252">
        <v>72131</v>
      </c>
      <c r="AR17" s="1097"/>
      <c r="AS17" s="1097"/>
      <c r="AT17" s="1097"/>
      <c r="AU17" s="1252">
        <v>84</v>
      </c>
      <c r="AV17" s="1097"/>
      <c r="AW17" s="1156">
        <v>45600</v>
      </c>
      <c r="AX17" s="927"/>
      <c r="AY17" s="1251">
        <v>284</v>
      </c>
      <c r="AZ17" s="1251">
        <v>4023</v>
      </c>
      <c r="BA17" s="1251">
        <v>253</v>
      </c>
      <c r="BB17" s="1251">
        <v>417</v>
      </c>
      <c r="BC17" s="1251">
        <v>1048</v>
      </c>
      <c r="BD17" s="1097"/>
      <c r="BE17" s="1097"/>
      <c r="BF17" s="1097">
        <v>592</v>
      </c>
      <c r="BH17" s="1097"/>
      <c r="BJ17" s="196">
        <v>2136</v>
      </c>
      <c r="BK17" s="1252">
        <v>7</v>
      </c>
      <c r="BL17" s="1097"/>
      <c r="BM17" s="1097"/>
      <c r="BP17" s="1097">
        <v>3631</v>
      </c>
      <c r="BQ17" s="1097"/>
      <c r="BR17" s="1252"/>
      <c r="BS17" s="196">
        <v>1623</v>
      </c>
      <c r="BT17" s="928"/>
      <c r="BU17" s="928"/>
      <c r="BV17" s="928"/>
      <c r="BW17" s="928"/>
      <c r="BX17" s="1097">
        <v>120</v>
      </c>
      <c r="BY17" s="1012"/>
      <c r="CD17" s="211">
        <f t="shared" si="1"/>
        <v>330264</v>
      </c>
      <c r="CE17" s="196">
        <f>+SONPPF!C31+SONPPF!C38+SONPPF!C45+SONPPF!C52</f>
        <v>329105</v>
      </c>
      <c r="CF17" s="196">
        <f>+SONPPF!E31+SONPPF!E38+SONPPF!E45</f>
        <v>0</v>
      </c>
      <c r="CG17" s="196">
        <f>+'Nonmajor Ent BS'!G29+'Nonmajor Ent BS'!G36+'Nonmajor Ent BS'!G43</f>
        <v>1091</v>
      </c>
      <c r="CH17" s="196">
        <f>+'Nonmajor Ent BS'!H29+'Nonmajor Ent BS'!H36+'Nonmajor Ent BS'!H43</f>
        <v>0</v>
      </c>
      <c r="CI17" s="196">
        <f>+'Nonmajor Ent BS'!C29+'Nonmajor Ent BS'!C36+'Nonmajor Ent BS'!C43+'Nonmajor Ent BS'!C50</f>
        <v>68</v>
      </c>
    </row>
    <row r="18" spans="1:89" s="196" customFormat="1" ht="12.75" customHeight="1" x14ac:dyDescent="0.2">
      <c r="A18" s="220" t="s">
        <v>252</v>
      </c>
      <c r="B18" s="196">
        <f t="shared" si="0"/>
        <v>121286</v>
      </c>
      <c r="C18" s="927">
        <v>0</v>
      </c>
      <c r="D18" s="928">
        <v>15949</v>
      </c>
      <c r="E18" s="1097">
        <v>495</v>
      </c>
      <c r="F18" s="1389">
        <v>1015</v>
      </c>
      <c r="G18" s="1097">
        <v>10589</v>
      </c>
      <c r="H18" s="1389">
        <v>157</v>
      </c>
      <c r="I18" s="1097">
        <v>30704</v>
      </c>
      <c r="J18" s="1389"/>
      <c r="K18" s="928">
        <v>4150</v>
      </c>
      <c r="N18" s="928">
        <v>12305</v>
      </c>
      <c r="O18" s="1292">
        <v>6110</v>
      </c>
      <c r="P18" s="1250">
        <v>2771</v>
      </c>
      <c r="Q18" s="928">
        <v>104</v>
      </c>
      <c r="R18" s="928">
        <v>8340</v>
      </c>
      <c r="S18" s="1097">
        <v>8340</v>
      </c>
      <c r="T18" s="1097">
        <v>911</v>
      </c>
      <c r="U18" s="1097">
        <v>791</v>
      </c>
      <c r="V18" s="1251">
        <v>616</v>
      </c>
      <c r="W18" s="1097">
        <v>4571</v>
      </c>
      <c r="X18" s="928">
        <v>312</v>
      </c>
      <c r="AA18" s="1097"/>
      <c r="AB18" s="1097">
        <v>25</v>
      </c>
      <c r="AC18" s="1097">
        <v>79</v>
      </c>
      <c r="AD18" s="1097">
        <v>745</v>
      </c>
      <c r="AE18" s="1097">
        <v>4843</v>
      </c>
      <c r="AF18" s="1097">
        <f>4326+4</f>
        <v>4330</v>
      </c>
      <c r="AG18" s="1097"/>
      <c r="AH18" s="1097"/>
      <c r="AI18" s="1097"/>
      <c r="AJ18" s="1097"/>
      <c r="AK18" s="1097">
        <v>132</v>
      </c>
      <c r="AL18" s="1097">
        <v>7</v>
      </c>
      <c r="AM18" s="1097">
        <v>9</v>
      </c>
      <c r="AN18" s="1097">
        <v>48</v>
      </c>
      <c r="AO18" s="1097">
        <v>109</v>
      </c>
      <c r="AP18" s="1097">
        <v>5</v>
      </c>
      <c r="AQ18" s="1097">
        <v>446</v>
      </c>
      <c r="AR18" s="1097"/>
      <c r="AS18" s="1097"/>
      <c r="AT18" s="1097">
        <v>430</v>
      </c>
      <c r="AU18" s="1097">
        <v>1</v>
      </c>
      <c r="AV18" s="1097"/>
      <c r="AW18" s="1097">
        <v>281</v>
      </c>
      <c r="AX18" s="927"/>
      <c r="AY18" s="1251">
        <v>2</v>
      </c>
      <c r="AZ18" s="1251">
        <v>208</v>
      </c>
      <c r="BA18" s="1251">
        <v>1</v>
      </c>
      <c r="BB18" s="1251">
        <v>3</v>
      </c>
      <c r="BC18" s="1251">
        <v>10</v>
      </c>
      <c r="BD18" s="1097"/>
      <c r="BE18" s="1097"/>
      <c r="BF18" s="1097">
        <v>4</v>
      </c>
      <c r="BG18" s="196">
        <v>7</v>
      </c>
      <c r="BH18" s="1097"/>
      <c r="BJ18" s="196">
        <v>95</v>
      </c>
      <c r="BK18" s="927">
        <v>96</v>
      </c>
      <c r="BL18" s="1097">
        <v>1</v>
      </c>
      <c r="BM18" s="1097">
        <v>9</v>
      </c>
      <c r="BP18" s="1097">
        <v>79</v>
      </c>
      <c r="BQ18" s="1097">
        <v>885</v>
      </c>
      <c r="BR18" s="1250">
        <v>156</v>
      </c>
      <c r="BS18" s="196">
        <v>10</v>
      </c>
      <c r="BT18" s="928"/>
      <c r="BU18" s="928"/>
      <c r="BV18" s="928"/>
      <c r="BW18" s="928"/>
      <c r="BX18" s="1097">
        <v>0</v>
      </c>
      <c r="BY18" s="1012"/>
      <c r="CD18" s="211">
        <f t="shared" si="1"/>
        <v>6688</v>
      </c>
      <c r="CE18" s="196">
        <f>+SONPPF!C33+SONPPF!C39+SONPPF!C47+SONPPF!C54</f>
        <v>6681</v>
      </c>
      <c r="CF18" s="196">
        <f>+SONPPF!E33+SONPPF!E39+SONPPF!E47</f>
        <v>0</v>
      </c>
      <c r="CG18" s="196">
        <f>+'Nonmajor Ent BS'!G31+'Nonmajor Ent BS'!G38+'Nonmajor Ent BS'!G45+'Nonmajor Ent BS'!G52</f>
        <v>7</v>
      </c>
      <c r="CH18" s="196">
        <f>+'Nonmajor Ent BS'!H31+'Nonmajor Ent BS'!H45</f>
        <v>0</v>
      </c>
      <c r="CI18" s="196">
        <f>+'Nonmajor Ent BS'!C30+'Nonmajor Ent BS'!C37+'Nonmajor Ent BS'!C38</f>
        <v>0</v>
      </c>
      <c r="CK18" s="196">
        <f>SUM(CE18:CI18)</f>
        <v>6688</v>
      </c>
    </row>
    <row r="19" spans="1:89" s="196" customFormat="1" ht="12.75" customHeight="1" x14ac:dyDescent="0.2">
      <c r="A19" s="220" t="s">
        <v>763</v>
      </c>
      <c r="B19" s="196">
        <f t="shared" si="0"/>
        <v>1647</v>
      </c>
      <c r="C19" s="927"/>
      <c r="D19" s="928"/>
      <c r="E19" s="1389">
        <v>28</v>
      </c>
      <c r="F19" s="1389">
        <v>842</v>
      </c>
      <c r="G19" s="1389"/>
      <c r="H19" s="1389"/>
      <c r="I19" s="1389"/>
      <c r="J19" s="1389"/>
      <c r="K19" s="928"/>
      <c r="N19" s="928">
        <v>38</v>
      </c>
      <c r="O19" s="1292">
        <v>119</v>
      </c>
      <c r="P19" s="928"/>
      <c r="Q19" s="928"/>
      <c r="R19" s="928"/>
      <c r="S19" s="1097"/>
      <c r="T19" s="1097"/>
      <c r="U19" s="1097"/>
      <c r="V19" s="1251"/>
      <c r="W19" s="1097">
        <v>41</v>
      </c>
      <c r="X19" s="928"/>
      <c r="AA19" s="1097"/>
      <c r="AB19" s="1097"/>
      <c r="AC19" s="1097"/>
      <c r="AD19" s="1097"/>
      <c r="AE19" s="1097"/>
      <c r="AF19" s="1097"/>
      <c r="AG19" s="1097"/>
      <c r="AH19" s="1097"/>
      <c r="AI19" s="1097"/>
      <c r="AJ19" s="1097"/>
      <c r="AK19" s="1097"/>
      <c r="AL19" s="1097"/>
      <c r="AM19" s="1097"/>
      <c r="AN19" s="1097"/>
      <c r="AO19" s="1097"/>
      <c r="AP19" s="1097"/>
      <c r="AQ19" s="1097"/>
      <c r="AR19" s="1097"/>
      <c r="AS19" s="1097"/>
      <c r="AT19" s="1097"/>
      <c r="AU19" s="1097"/>
      <c r="AV19" s="1097"/>
      <c r="AW19" s="1097"/>
      <c r="AX19" s="928"/>
      <c r="AY19" s="1251"/>
      <c r="AZ19" s="1251"/>
      <c r="BA19" s="1251"/>
      <c r="BB19" s="1251"/>
      <c r="BC19" s="1251"/>
      <c r="BD19" s="1097"/>
      <c r="BE19" s="1097"/>
      <c r="BF19" s="1097"/>
      <c r="BH19" s="1097"/>
      <c r="BJ19" s="196">
        <v>425</v>
      </c>
      <c r="BK19" s="928"/>
      <c r="BL19" s="1097"/>
      <c r="BM19" s="1097"/>
      <c r="BP19"/>
      <c r="BQ19" s="1097"/>
      <c r="BR19" s="928"/>
      <c r="BS19" s="196">
        <v>154</v>
      </c>
      <c r="BT19" s="928"/>
      <c r="BU19" s="928"/>
      <c r="BV19" s="928"/>
      <c r="BW19" s="928"/>
      <c r="BX19" s="1097"/>
      <c r="BY19" s="1012"/>
      <c r="CD19" s="211">
        <f t="shared" si="1"/>
        <v>0</v>
      </c>
    </row>
    <row r="20" spans="1:89" s="196" customFormat="1" ht="12.75" customHeight="1" x14ac:dyDescent="0.2">
      <c r="A20" s="220" t="s">
        <v>679</v>
      </c>
      <c r="B20" s="196">
        <f t="shared" si="0"/>
        <v>9954</v>
      </c>
      <c r="C20" s="928"/>
      <c r="D20" s="928"/>
      <c r="E20" s="1389">
        <v>5506</v>
      </c>
      <c r="F20" s="1389">
        <v>22</v>
      </c>
      <c r="G20" s="1389"/>
      <c r="H20" s="1389"/>
      <c r="I20" s="1389"/>
      <c r="J20" s="1389"/>
      <c r="K20" s="928"/>
      <c r="N20" s="928"/>
      <c r="O20" s="1292">
        <v>2792</v>
      </c>
      <c r="P20" s="928"/>
      <c r="Q20" s="928"/>
      <c r="R20" s="928"/>
      <c r="S20" s="1097"/>
      <c r="T20" s="1097"/>
      <c r="U20" s="1097"/>
      <c r="V20" s="1251"/>
      <c r="W20" s="1097"/>
      <c r="X20" s="928"/>
      <c r="AA20" s="1097"/>
      <c r="AB20" s="1097"/>
      <c r="AC20" s="1097"/>
      <c r="AD20" s="1097"/>
      <c r="AE20" s="1097"/>
      <c r="AF20" s="1097"/>
      <c r="AG20" s="1097"/>
      <c r="AH20" s="1097"/>
      <c r="AI20" s="1097"/>
      <c r="AJ20" s="1097"/>
      <c r="AK20" s="1097"/>
      <c r="AL20" s="1097"/>
      <c r="AM20" s="1097"/>
      <c r="AN20" s="1097"/>
      <c r="AO20" s="1097"/>
      <c r="AP20" s="1097"/>
      <c r="AQ20" s="1097"/>
      <c r="AR20" s="1097"/>
      <c r="AS20" s="1097"/>
      <c r="AT20" s="1097">
        <v>0</v>
      </c>
      <c r="AU20" s="1097"/>
      <c r="AV20" s="1097"/>
      <c r="AW20" s="1097"/>
      <c r="AX20" s="927"/>
      <c r="AY20" s="1251"/>
      <c r="AZ20" s="1251"/>
      <c r="BA20" s="1251"/>
      <c r="BB20" s="1251"/>
      <c r="BC20" s="1251"/>
      <c r="BD20" s="1097"/>
      <c r="BE20" s="1097"/>
      <c r="BF20" s="1097"/>
      <c r="BH20" s="1097"/>
      <c r="BJ20" s="196">
        <v>44</v>
      </c>
      <c r="BK20" s="927"/>
      <c r="BL20" s="1097">
        <v>3</v>
      </c>
      <c r="BM20" s="1097"/>
      <c r="BP20" s="1097">
        <v>22</v>
      </c>
      <c r="BQ20" s="1097">
        <v>1565</v>
      </c>
      <c r="BR20" s="928"/>
      <c r="BT20" s="928"/>
      <c r="BU20" s="928"/>
      <c r="BV20" s="928"/>
      <c r="BW20" s="928"/>
      <c r="BX20" s="1097"/>
      <c r="BY20" s="1012"/>
      <c r="CD20" s="211">
        <f t="shared" si="1"/>
        <v>264</v>
      </c>
      <c r="CE20" s="196">
        <f>SONPPF!C40+SONPPF!C46</f>
        <v>264</v>
      </c>
      <c r="CH20" s="196">
        <f>+'Nonmajor Ent BS'!E31+'Nonmajor Ent BS'!E38+'Nonmajor Ent BS'!E45+'Nonmajor Ent BS'!E52</f>
        <v>0</v>
      </c>
    </row>
    <row r="21" spans="1:89" s="196" customFormat="1" ht="12.75" customHeight="1" x14ac:dyDescent="0.2">
      <c r="A21" s="220" t="s">
        <v>1773</v>
      </c>
      <c r="B21" s="196">
        <f t="shared" si="0"/>
        <v>2367</v>
      </c>
      <c r="C21" s="928"/>
      <c r="D21" s="928"/>
      <c r="E21" s="1389"/>
      <c r="F21" s="1389"/>
      <c r="G21" s="1097">
        <v>120</v>
      </c>
      <c r="H21" s="1389"/>
      <c r="I21" s="1389"/>
      <c r="J21" s="1389"/>
      <c r="K21" s="928"/>
      <c r="N21" s="928">
        <v>1607</v>
      </c>
      <c r="O21" s="1292">
        <v>546</v>
      </c>
      <c r="P21" s="928"/>
      <c r="Q21" s="928"/>
      <c r="R21" s="928"/>
      <c r="S21" s="1097"/>
      <c r="T21" s="1097"/>
      <c r="U21" s="1097"/>
      <c r="V21" s="1251"/>
      <c r="W21" s="1097"/>
      <c r="X21" s="928"/>
      <c r="AA21" s="1097"/>
      <c r="AB21" s="1097"/>
      <c r="AC21" s="1097"/>
      <c r="AD21" s="1097"/>
      <c r="AE21" s="1097"/>
      <c r="AF21" s="1097"/>
      <c r="AG21" s="1097"/>
      <c r="AH21" s="1097"/>
      <c r="AI21" s="1097"/>
      <c r="AJ21" s="1097"/>
      <c r="AK21" s="1097"/>
      <c r="AL21" s="1097"/>
      <c r="AM21" s="1097"/>
      <c r="AN21" s="1097"/>
      <c r="AO21" s="1097"/>
      <c r="AP21" s="1097"/>
      <c r="AQ21" s="1097"/>
      <c r="AR21" s="1097"/>
      <c r="AS21" s="1097"/>
      <c r="AT21" s="1097"/>
      <c r="AU21" s="1097"/>
      <c r="AV21" s="1097"/>
      <c r="AW21" s="1097"/>
      <c r="AX21" s="927"/>
      <c r="AY21" s="1251"/>
      <c r="AZ21" s="1251"/>
      <c r="BA21" s="1251"/>
      <c r="BB21" s="1251"/>
      <c r="BC21" s="1251"/>
      <c r="BD21" s="1097"/>
      <c r="BE21" s="1097"/>
      <c r="BF21" s="1097"/>
      <c r="BH21" s="1097"/>
      <c r="BK21" s="927"/>
      <c r="BL21" s="1097"/>
      <c r="BM21" s="1097"/>
      <c r="BP21" s="1097">
        <v>94</v>
      </c>
      <c r="BQ21" s="1097"/>
      <c r="BR21" s="928"/>
      <c r="BT21" s="928"/>
      <c r="BU21" s="928"/>
      <c r="BV21" s="928"/>
      <c r="BW21" s="928"/>
      <c r="BX21" s="1097"/>
      <c r="BY21" s="1012"/>
      <c r="CD21" s="211">
        <f t="shared" si="1"/>
        <v>0</v>
      </c>
    </row>
    <row r="22" spans="1:89" s="196" customFormat="1" ht="12.75" customHeight="1" x14ac:dyDescent="0.2">
      <c r="A22" s="220" t="s">
        <v>683</v>
      </c>
      <c r="B22" s="196">
        <f t="shared" si="0"/>
        <v>15</v>
      </c>
      <c r="C22" s="928"/>
      <c r="D22" s="928"/>
      <c r="E22" s="1389"/>
      <c r="F22" s="1389"/>
      <c r="G22" s="1389"/>
      <c r="H22" s="1389"/>
      <c r="I22" s="1389"/>
      <c r="J22" s="1389"/>
      <c r="K22" s="928"/>
      <c r="N22" s="928"/>
      <c r="O22" s="1292">
        <v>15</v>
      </c>
      <c r="P22" s="928"/>
      <c r="Q22" s="928"/>
      <c r="R22" s="928"/>
      <c r="S22" s="1097"/>
      <c r="T22" s="1097"/>
      <c r="U22" s="1097"/>
      <c r="V22" s="1251"/>
      <c r="W22" s="1097"/>
      <c r="X22" s="928"/>
      <c r="AA22" s="1097"/>
      <c r="AB22" s="1097"/>
      <c r="AC22" s="1097"/>
      <c r="AD22" s="1097"/>
      <c r="AE22" s="1097"/>
      <c r="AF22" s="1097"/>
      <c r="AG22" s="1097"/>
      <c r="AH22" s="1097"/>
      <c r="AI22" s="1097"/>
      <c r="AJ22" s="1097"/>
      <c r="AK22" s="1097"/>
      <c r="AL22" s="1097"/>
      <c r="AM22" s="1097"/>
      <c r="AN22" s="1097"/>
      <c r="AO22" s="1097"/>
      <c r="AP22" s="1097"/>
      <c r="AQ22" s="1097"/>
      <c r="AR22" s="1097"/>
      <c r="AS22" s="1097"/>
      <c r="AT22" s="1097"/>
      <c r="AU22" s="1097"/>
      <c r="AV22" s="1097"/>
      <c r="AW22" s="1097"/>
      <c r="AX22" s="927"/>
      <c r="AY22" s="1251"/>
      <c r="AZ22" s="1251"/>
      <c r="BA22" s="1251"/>
      <c r="BB22" s="1251"/>
      <c r="BC22" s="1251"/>
      <c r="BD22" s="1097"/>
      <c r="BE22" s="1097"/>
      <c r="BF22" s="1097"/>
      <c r="BH22" s="1097"/>
      <c r="BK22" s="927"/>
      <c r="BL22" s="1097"/>
      <c r="BM22" s="1097"/>
      <c r="BP22" s="1097"/>
      <c r="BQ22" s="1097"/>
      <c r="BR22" s="928"/>
      <c r="BT22" s="928"/>
      <c r="BU22" s="928"/>
      <c r="BV22" s="928"/>
      <c r="BW22" s="928"/>
      <c r="BX22" s="1097"/>
      <c r="BY22" s="1012"/>
      <c r="CD22" s="211">
        <f t="shared" si="1"/>
        <v>0</v>
      </c>
    </row>
    <row r="23" spans="1:89" s="196" customFormat="1" ht="12.75" customHeight="1" x14ac:dyDescent="0.2">
      <c r="A23" s="220" t="s">
        <v>63</v>
      </c>
      <c r="B23" s="196">
        <f t="shared" si="0"/>
        <v>14841</v>
      </c>
      <c r="C23" s="928"/>
      <c r="D23" s="928">
        <v>435</v>
      </c>
      <c r="E23" s="1389">
        <v>5416</v>
      </c>
      <c r="F23" s="1389"/>
      <c r="G23" s="1415"/>
      <c r="H23" s="1389"/>
      <c r="I23" s="1389"/>
      <c r="J23" s="1389"/>
      <c r="K23" s="928"/>
      <c r="N23" s="928"/>
      <c r="O23" s="1292"/>
      <c r="P23" s="928"/>
      <c r="Q23" s="928">
        <v>0</v>
      </c>
      <c r="R23" s="928"/>
      <c r="S23" s="1097"/>
      <c r="T23" s="1097"/>
      <c r="U23" s="1097"/>
      <c r="V23" s="1251"/>
      <c r="W23" s="1097">
        <v>0</v>
      </c>
      <c r="X23" s="928"/>
      <c r="AA23" s="1097"/>
      <c r="AB23" s="1097"/>
      <c r="AC23" s="1252"/>
      <c r="AD23" s="1097"/>
      <c r="AE23" s="1097"/>
      <c r="AF23" s="1097"/>
      <c r="AG23" s="1097"/>
      <c r="AH23" s="1097"/>
      <c r="AI23" s="1097"/>
      <c r="AJ23" s="1097"/>
      <c r="AK23" s="1097"/>
      <c r="AL23" s="1252"/>
      <c r="AM23" s="1252"/>
      <c r="AN23" s="1252"/>
      <c r="AO23" s="1252"/>
      <c r="AP23" s="1252"/>
      <c r="AQ23" s="1252"/>
      <c r="AR23" s="1097"/>
      <c r="AS23" s="1097"/>
      <c r="AT23" s="1097"/>
      <c r="AU23" s="1097"/>
      <c r="AV23" s="1097"/>
      <c r="AW23" s="1252"/>
      <c r="AX23" s="927">
        <v>0</v>
      </c>
      <c r="AY23" s="1251"/>
      <c r="AZ23" s="1251"/>
      <c r="BA23" s="1251"/>
      <c r="BB23" s="1251"/>
      <c r="BC23" s="1251">
        <v>0</v>
      </c>
      <c r="BD23" s="1097"/>
      <c r="BE23" s="1097"/>
      <c r="BF23" s="1097"/>
      <c r="BH23" s="1097"/>
      <c r="BJ23" s="196">
        <v>0</v>
      </c>
      <c r="BK23" s="927"/>
      <c r="BL23" s="1097"/>
      <c r="BM23" s="1097"/>
      <c r="BP23" s="1097"/>
      <c r="BQ23" s="1097">
        <v>8990</v>
      </c>
      <c r="BR23" s="928"/>
      <c r="BT23" s="928"/>
      <c r="BU23" s="928"/>
      <c r="BV23" s="928"/>
      <c r="BW23" s="928"/>
      <c r="BX23" s="1097"/>
      <c r="BY23" s="1012"/>
      <c r="CD23" s="211">
        <f t="shared" si="1"/>
        <v>0</v>
      </c>
      <c r="CE23" s="196">
        <f>+SONPPF!C34+SONPPF!C41+SONPPF!C48+SONPPF!C55</f>
        <v>0</v>
      </c>
      <c r="CF23" s="196">
        <f>+SONPPF!E48</f>
        <v>0</v>
      </c>
      <c r="CG23" s="196">
        <f>'Nonmajor Ent BS'!G46</f>
        <v>0</v>
      </c>
      <c r="CI23" s="196">
        <f>'Nonmajor Ent BS'!C39</f>
        <v>0</v>
      </c>
    </row>
    <row r="24" spans="1:89" s="196" customFormat="1" ht="12.75" customHeight="1" x14ac:dyDescent="0.2">
      <c r="A24" s="220" t="s">
        <v>592</v>
      </c>
      <c r="B24" s="196">
        <f t="shared" si="0"/>
        <v>92556</v>
      </c>
      <c r="C24" s="927">
        <v>1130</v>
      </c>
      <c r="D24" s="928"/>
      <c r="E24" s="1389">
        <v>21831</v>
      </c>
      <c r="F24" s="1389">
        <v>59771</v>
      </c>
      <c r="G24" s="1097">
        <v>1225</v>
      </c>
      <c r="H24" s="1389"/>
      <c r="I24" s="1389">
        <v>422</v>
      </c>
      <c r="J24" s="1389"/>
      <c r="K24" s="926"/>
      <c r="N24" s="928">
        <v>18</v>
      </c>
      <c r="O24" s="1292">
        <v>1772</v>
      </c>
      <c r="P24" s="928"/>
      <c r="Q24" s="926"/>
      <c r="R24" s="928"/>
      <c r="S24" s="1097"/>
      <c r="T24" s="1097"/>
      <c r="U24" s="1097">
        <v>363</v>
      </c>
      <c r="V24" s="1251"/>
      <c r="W24" s="1098"/>
      <c r="X24" s="928">
        <v>473</v>
      </c>
      <c r="AA24" s="1097"/>
      <c r="AB24" s="1097"/>
      <c r="AC24" s="1097"/>
      <c r="AD24" s="1097"/>
      <c r="AE24" s="1097"/>
      <c r="AF24" s="1097">
        <v>5476</v>
      </c>
      <c r="AG24" s="1097"/>
      <c r="AH24" s="1097"/>
      <c r="AI24" s="1097"/>
      <c r="AJ24" s="1097"/>
      <c r="AK24" s="1097"/>
      <c r="AL24" s="1097"/>
      <c r="AM24" s="1097"/>
      <c r="AN24" s="1097"/>
      <c r="AO24" s="1097"/>
      <c r="AP24" s="1097"/>
      <c r="AQ24" s="1097"/>
      <c r="AR24" s="1097"/>
      <c r="AS24" s="1097"/>
      <c r="AT24" s="1097">
        <v>75</v>
      </c>
      <c r="AU24" s="1097"/>
      <c r="AV24" s="1097"/>
      <c r="AW24" s="1097"/>
      <c r="AX24" s="927"/>
      <c r="AY24" s="1251"/>
      <c r="AZ24" s="1251"/>
      <c r="BA24" s="1251"/>
      <c r="BB24" s="1251"/>
      <c r="BC24" s="1251"/>
      <c r="BD24" s="1097"/>
      <c r="BE24" s="1097"/>
      <c r="BF24" s="1097"/>
      <c r="BH24" s="1097"/>
      <c r="BK24" s="927"/>
      <c r="BL24" s="1097"/>
      <c r="BM24" s="1097"/>
      <c r="BP24" s="1097"/>
      <c r="BQ24" s="1097"/>
      <c r="BR24" s="928"/>
      <c r="BT24" s="928"/>
      <c r="BU24" s="928"/>
      <c r="BV24" s="928"/>
      <c r="BW24" s="928"/>
      <c r="BX24" s="1097"/>
      <c r="BY24" s="1012"/>
      <c r="CD24" s="211">
        <f t="shared" si="1"/>
        <v>150</v>
      </c>
      <c r="CE24" s="196">
        <f>+SONPPF!C35+SONPPF!C42+SONPPF!C49+SONPPF!C56</f>
        <v>150</v>
      </c>
      <c r="CG24" s="196">
        <f>'Nonmajor Ent BS'!G47</f>
        <v>0</v>
      </c>
    </row>
    <row r="25" spans="1:89" s="196" customFormat="1" ht="12.75" customHeight="1" x14ac:dyDescent="0.2">
      <c r="A25" s="222" t="s">
        <v>64</v>
      </c>
      <c r="B25" s="204">
        <f>SUM(B4:B24)</f>
        <v>2919216</v>
      </c>
      <c r="C25" s="1267">
        <f>SUM(C4:C24)</f>
        <v>733538</v>
      </c>
      <c r="D25" s="1489">
        <f>SUM(D4:D24)</f>
        <v>59715</v>
      </c>
      <c r="E25" s="1468">
        <f t="shared" ref="E25" si="2">SUM(E4:E24)</f>
        <v>141160</v>
      </c>
      <c r="F25" s="1468">
        <f t="shared" ref="F25:I25" si="3">SUM(F4:F24)</f>
        <v>64207</v>
      </c>
      <c r="G25" s="1469">
        <f t="shared" si="3"/>
        <v>12019</v>
      </c>
      <c r="H25" s="1390">
        <f t="shared" si="3"/>
        <v>5084</v>
      </c>
      <c r="I25" s="1468">
        <f t="shared" si="3"/>
        <v>36041</v>
      </c>
      <c r="J25" s="1267">
        <f t="shared" ref="J25:BP25" si="4">SUM(J4:J24)</f>
        <v>0</v>
      </c>
      <c r="K25" s="1099">
        <f t="shared" ref="K25" si="5">SUM(K4:K24)</f>
        <v>16838</v>
      </c>
      <c r="L25" s="1267">
        <f t="shared" si="4"/>
        <v>0</v>
      </c>
      <c r="M25" s="1267">
        <f t="shared" si="4"/>
        <v>0</v>
      </c>
      <c r="N25" s="1143">
        <f t="shared" ref="N25" si="6">SUM(N4:N24)</f>
        <v>186462</v>
      </c>
      <c r="O25" s="1300">
        <f>SUM(O5:O24)</f>
        <v>117225</v>
      </c>
      <c r="P25" s="1143">
        <f t="shared" ref="P25" si="7">SUM(P4:P24)</f>
        <v>4074</v>
      </c>
      <c r="Q25" s="1099">
        <f t="shared" ref="Q25" si="8">SUM(Q4:Q24)</f>
        <v>21381</v>
      </c>
      <c r="R25" s="1359">
        <f>SUM(R4:R24)</f>
        <v>8355</v>
      </c>
      <c r="S25" s="1143">
        <f>SUM(S4:S24)</f>
        <v>8414</v>
      </c>
      <c r="T25" s="1143">
        <f t="shared" ref="T25:U25" si="9">SUM(T4:T24)</f>
        <v>929</v>
      </c>
      <c r="U25" s="1267">
        <f t="shared" si="9"/>
        <v>4040</v>
      </c>
      <c r="V25" s="1267">
        <f t="shared" ref="V25" si="10">SUM(V4:V24)</f>
        <v>12276</v>
      </c>
      <c r="W25" s="1143">
        <f>SUM(W16:W24)</f>
        <v>49415</v>
      </c>
      <c r="X25" s="1489">
        <f>SUM(X4:X24)</f>
        <v>59644</v>
      </c>
      <c r="Y25" s="1267">
        <f t="shared" si="4"/>
        <v>0</v>
      </c>
      <c r="Z25" s="1267">
        <f t="shared" si="4"/>
        <v>0</v>
      </c>
      <c r="AA25" s="1267">
        <f t="shared" si="4"/>
        <v>0</v>
      </c>
      <c r="AB25" s="1267">
        <f t="shared" ref="AB25:AW25" si="11">SUM(AB4:AB24)</f>
        <v>5176</v>
      </c>
      <c r="AC25" s="1267">
        <f t="shared" si="11"/>
        <v>16696</v>
      </c>
      <c r="AD25" s="1267">
        <f t="shared" si="11"/>
        <v>156021</v>
      </c>
      <c r="AE25" s="1267">
        <f t="shared" si="11"/>
        <v>378916</v>
      </c>
      <c r="AF25" s="1267">
        <f t="shared" si="11"/>
        <v>37930</v>
      </c>
      <c r="AG25" s="1267">
        <f t="shared" si="11"/>
        <v>0</v>
      </c>
      <c r="AH25" s="1267">
        <f t="shared" si="11"/>
        <v>0</v>
      </c>
      <c r="AI25" s="1267">
        <f t="shared" si="11"/>
        <v>0</v>
      </c>
      <c r="AJ25" s="1267">
        <f t="shared" si="11"/>
        <v>0</v>
      </c>
      <c r="AK25" s="1267">
        <f t="shared" si="11"/>
        <v>37456</v>
      </c>
      <c r="AL25" s="1267">
        <f t="shared" si="11"/>
        <v>1321</v>
      </c>
      <c r="AM25" s="1267">
        <f t="shared" si="11"/>
        <v>1910</v>
      </c>
      <c r="AN25" s="1267">
        <f t="shared" si="11"/>
        <v>10018</v>
      </c>
      <c r="AO25" s="1267">
        <f t="shared" si="11"/>
        <v>18155</v>
      </c>
      <c r="AP25" s="1267">
        <f t="shared" si="11"/>
        <v>947</v>
      </c>
      <c r="AQ25" s="1267">
        <f t="shared" si="11"/>
        <v>91452</v>
      </c>
      <c r="AR25" s="1267">
        <f t="shared" si="11"/>
        <v>3151</v>
      </c>
      <c r="AS25" s="1267">
        <f t="shared" si="11"/>
        <v>0</v>
      </c>
      <c r="AT25" s="1267">
        <f t="shared" ref="AT25" si="12">SUM(AT4:AT24)</f>
        <v>22500</v>
      </c>
      <c r="AU25" s="1267">
        <f t="shared" si="11"/>
        <v>110</v>
      </c>
      <c r="AV25" s="1267">
        <f t="shared" si="11"/>
        <v>0</v>
      </c>
      <c r="AW25" s="1267">
        <f t="shared" si="11"/>
        <v>57171</v>
      </c>
      <c r="AX25" s="1267">
        <f t="shared" si="4"/>
        <v>0</v>
      </c>
      <c r="AY25" s="1267">
        <f t="shared" ref="AY25:BC25" si="13">SUM(AY4:AY24)</f>
        <v>370</v>
      </c>
      <c r="AZ25" s="1267">
        <f t="shared" si="13"/>
        <v>5416</v>
      </c>
      <c r="BA25" s="1267">
        <f t="shared" si="13"/>
        <v>329</v>
      </c>
      <c r="BB25" s="1267">
        <f t="shared" si="13"/>
        <v>543</v>
      </c>
      <c r="BC25" s="1267">
        <f t="shared" si="13"/>
        <v>1367</v>
      </c>
      <c r="BD25" s="1267">
        <f t="shared" ref="BD25" si="14">SUM(BD4:BD24)</f>
        <v>0</v>
      </c>
      <c r="BE25" s="1267">
        <f t="shared" si="4"/>
        <v>293</v>
      </c>
      <c r="BF25" s="1267">
        <f t="shared" ref="BF25" si="15">SUM(BF4:BF24)</f>
        <v>922</v>
      </c>
      <c r="BG25" s="1267">
        <f t="shared" si="4"/>
        <v>7</v>
      </c>
      <c r="BH25" s="1143">
        <f t="shared" ref="BH25" si="16">SUM(BH4:BH24)</f>
        <v>12472</v>
      </c>
      <c r="BI25" s="1267">
        <f t="shared" si="4"/>
        <v>29</v>
      </c>
      <c r="BJ25" s="1267">
        <f t="shared" ref="BJ25" si="17">SUM(BJ4:BJ24)</f>
        <v>6013</v>
      </c>
      <c r="BK25" s="1312">
        <f>SUM(BK4:BK24)</f>
        <v>24228</v>
      </c>
      <c r="BL25" s="1143">
        <f>SUM(BL4:BL24)</f>
        <v>294</v>
      </c>
      <c r="BM25" s="1267">
        <f t="shared" si="4"/>
        <v>1800</v>
      </c>
      <c r="BN25" s="1267">
        <f t="shared" si="4"/>
        <v>0</v>
      </c>
      <c r="BO25" s="1267">
        <f t="shared" si="4"/>
        <v>0</v>
      </c>
      <c r="BP25" s="1267">
        <f t="shared" si="4"/>
        <v>4395</v>
      </c>
      <c r="BQ25" s="1143">
        <f t="shared" ref="BQ25" si="18">SUM(BQ4:BQ24)</f>
        <v>155893</v>
      </c>
      <c r="BR25" s="1143">
        <f t="shared" ref="BR25" si="19">SUM(BR4:BR24)</f>
        <v>31981</v>
      </c>
      <c r="BS25" s="1267">
        <f t="shared" ref="BS25" si="20">SUM(BS4:BS24)</f>
        <v>2656</v>
      </c>
      <c r="BT25" s="1267">
        <f t="shared" ref="BT25:BV25" si="21">SUM(BT4:BT24)</f>
        <v>47397</v>
      </c>
      <c r="BU25" s="1267">
        <f t="shared" si="21"/>
        <v>47078</v>
      </c>
      <c r="BV25" s="1267">
        <f t="shared" si="21"/>
        <v>44427</v>
      </c>
      <c r="BW25" s="1359">
        <f>SUM(BW4:BW24)</f>
        <v>23704</v>
      </c>
      <c r="BX25" s="1143">
        <f t="shared" ref="BX25" si="22">SUM(BX4:BX24)</f>
        <v>122628</v>
      </c>
      <c r="BY25" s="1143">
        <f t="shared" ref="BY25" si="23">SUM(BY4:BY24)</f>
        <v>5227</v>
      </c>
      <c r="BZ25" s="1267">
        <f t="shared" ref="BZ25:CB25" si="24">SUM(BZ4:BZ24)</f>
        <v>0</v>
      </c>
      <c r="CA25" s="1267">
        <f t="shared" si="24"/>
        <v>0</v>
      </c>
      <c r="CB25" s="1267">
        <f t="shared" si="24"/>
        <v>0</v>
      </c>
      <c r="CC25" s="197"/>
      <c r="CD25" s="204">
        <f t="shared" ref="CD25:CI25" si="25">SUM(CD4:CD24)</f>
        <v>611827</v>
      </c>
      <c r="CE25" s="204">
        <f t="shared" si="25"/>
        <v>549682</v>
      </c>
      <c r="CF25" s="204">
        <f t="shared" si="25"/>
        <v>21341</v>
      </c>
      <c r="CG25" s="204">
        <f t="shared" si="25"/>
        <v>9865</v>
      </c>
      <c r="CH25" s="204">
        <f t="shared" si="25"/>
        <v>1747</v>
      </c>
      <c r="CI25" s="204">
        <f t="shared" si="25"/>
        <v>29192</v>
      </c>
    </row>
    <row r="26" spans="1:89" s="196" customFormat="1" ht="12.75" customHeight="1" x14ac:dyDescent="0.2">
      <c r="A26" s="222"/>
      <c r="B26" s="197"/>
      <c r="C26" s="1490"/>
      <c r="D26" s="928"/>
      <c r="E26" s="1391"/>
      <c r="F26" s="1391"/>
      <c r="G26" s="1389"/>
      <c r="H26" s="1389"/>
      <c r="I26" s="1391"/>
      <c r="J26" s="1399"/>
      <c r="K26" s="926"/>
      <c r="L26" s="197"/>
      <c r="M26" s="197"/>
      <c r="N26" s="928"/>
      <c r="O26" s="1292"/>
      <c r="P26" s="928"/>
      <c r="Q26" s="926"/>
      <c r="R26" s="928"/>
      <c r="S26" s="1139"/>
      <c r="T26" s="1139"/>
      <c r="U26" s="1139"/>
      <c r="V26" s="1286"/>
      <c r="W26" s="1223"/>
      <c r="X26" s="928"/>
      <c r="Y26" s="197"/>
      <c r="Z26" s="197"/>
      <c r="AA26" s="1139"/>
      <c r="AB26" s="1139"/>
      <c r="AC26" s="1139"/>
      <c r="AD26" s="1139"/>
      <c r="AE26" s="1139"/>
      <c r="AF26" s="1139"/>
      <c r="AG26" s="1139"/>
      <c r="AH26" s="1139"/>
      <c r="AI26" s="1139"/>
      <c r="AJ26" s="1139"/>
      <c r="AK26" s="1139"/>
      <c r="AL26" s="1139"/>
      <c r="AM26" s="1139"/>
      <c r="AN26" s="1139"/>
      <c r="AO26" s="1139"/>
      <c r="AP26" s="1139"/>
      <c r="AQ26" s="1139"/>
      <c r="AR26" s="1139"/>
      <c r="AS26" s="1139"/>
      <c r="AT26" s="1139"/>
      <c r="AU26" s="1139"/>
      <c r="AV26" s="1139"/>
      <c r="AW26" s="1139"/>
      <c r="AX26" s="927"/>
      <c r="AY26" s="1286"/>
      <c r="AZ26" s="1301"/>
      <c r="BA26" s="1286"/>
      <c r="BB26" s="1286"/>
      <c r="BC26" s="1286"/>
      <c r="BD26" s="1139"/>
      <c r="BE26" s="1139"/>
      <c r="BF26" s="1139"/>
      <c r="BG26" s="197"/>
      <c r="BH26" s="1139"/>
      <c r="BI26" s="197"/>
      <c r="BJ26" s="197"/>
      <c r="BK26" s="927"/>
      <c r="BL26" s="1139"/>
      <c r="BM26" s="1139"/>
      <c r="BN26" s="197"/>
      <c r="BO26" s="197"/>
      <c r="BP26" s="1268"/>
      <c r="BQ26" s="1139"/>
      <c r="BR26" s="928"/>
      <c r="BS26" s="197"/>
      <c r="BT26" s="928"/>
      <c r="BU26" s="928"/>
      <c r="BV26" s="928"/>
      <c r="BW26" s="1139"/>
      <c r="BX26" s="1139"/>
      <c r="BY26" s="1012"/>
      <c r="BZ26" s="197"/>
      <c r="CA26" s="197"/>
      <c r="CB26" s="197"/>
      <c r="CC26" s="197"/>
      <c r="CD26" s="197"/>
      <c r="CE26" s="197"/>
      <c r="CF26" s="197"/>
      <c r="CG26" s="197"/>
      <c r="CH26" s="197"/>
      <c r="CI26" s="197"/>
    </row>
    <row r="27" spans="1:89" s="196" customFormat="1" ht="12.75" customHeight="1" x14ac:dyDescent="0.2">
      <c r="A27" s="222" t="s">
        <v>70</v>
      </c>
      <c r="C27" s="1490"/>
      <c r="D27" s="928"/>
      <c r="E27" s="1391"/>
      <c r="F27" s="1391"/>
      <c r="G27" s="1389"/>
      <c r="H27" s="1389"/>
      <c r="I27" s="1391"/>
      <c r="J27" s="1399"/>
      <c r="K27" s="926"/>
      <c r="N27" s="928"/>
      <c r="O27" s="1292"/>
      <c r="P27" s="928"/>
      <c r="Q27" s="926"/>
      <c r="R27" s="928"/>
      <c r="S27" s="1097"/>
      <c r="T27" s="1097"/>
      <c r="U27" s="1097"/>
      <c r="V27" s="1288"/>
      <c r="W27" s="1098"/>
      <c r="X27" s="928"/>
      <c r="AA27" s="1097"/>
      <c r="AB27" s="1097"/>
      <c r="AC27" s="1097"/>
      <c r="AD27" s="1097"/>
      <c r="AE27" s="1097"/>
      <c r="AF27" s="1097"/>
      <c r="AG27" s="1097"/>
      <c r="AH27" s="1097"/>
      <c r="AI27" s="1097"/>
      <c r="AJ27" s="1097"/>
      <c r="AK27" s="1097"/>
      <c r="AL27" s="1097"/>
      <c r="AM27" s="1097"/>
      <c r="AN27" s="1097"/>
      <c r="AO27" s="1097"/>
      <c r="AP27" s="1097"/>
      <c r="AQ27" s="1097"/>
      <c r="AR27" s="1097"/>
      <c r="AS27" s="1097"/>
      <c r="AT27" s="1097"/>
      <c r="AU27" s="1097"/>
      <c r="AV27" s="1097"/>
      <c r="AW27" s="1097"/>
      <c r="AX27" s="927"/>
      <c r="AY27" s="1288"/>
      <c r="AZ27" s="1251"/>
      <c r="BA27" s="1288"/>
      <c r="BB27" s="1288"/>
      <c r="BC27" s="1288"/>
      <c r="BD27" s="1097"/>
      <c r="BE27" s="1097"/>
      <c r="BF27" s="1097"/>
      <c r="BH27" s="1097"/>
      <c r="BK27" s="927"/>
      <c r="BL27" s="1097"/>
      <c r="BM27" s="1097"/>
      <c r="BP27" s="1265"/>
      <c r="BQ27" s="1097"/>
      <c r="BR27" s="928"/>
      <c r="BT27" s="928"/>
      <c r="BU27" s="928"/>
      <c r="BV27" s="928"/>
      <c r="BW27" s="1097"/>
      <c r="BX27" s="1097"/>
      <c r="BY27" s="1012"/>
    </row>
    <row r="28" spans="1:89" s="196" customFormat="1" ht="12.75" customHeight="1" x14ac:dyDescent="0.2">
      <c r="A28" s="217" t="s">
        <v>686</v>
      </c>
      <c r="C28" s="927"/>
      <c r="D28" s="928"/>
      <c r="E28" s="1391"/>
      <c r="F28" s="1391"/>
      <c r="G28" s="1389"/>
      <c r="H28" s="1389"/>
      <c r="I28" s="1391"/>
      <c r="J28" s="1399"/>
      <c r="K28" s="928"/>
      <c r="N28" s="928"/>
      <c r="O28" s="1292"/>
      <c r="P28" s="928"/>
      <c r="Q28" s="926"/>
      <c r="R28" s="928"/>
      <c r="S28" s="1097"/>
      <c r="T28" s="1097"/>
      <c r="U28" s="1097"/>
      <c r="V28" s="1288"/>
      <c r="W28" s="1098"/>
      <c r="X28" s="928"/>
      <c r="AA28" s="1097"/>
      <c r="AB28" s="1097"/>
      <c r="AC28" s="1097"/>
      <c r="AD28" s="1097"/>
      <c r="AE28" s="1097"/>
      <c r="AF28" s="1097"/>
      <c r="AG28" s="1097"/>
      <c r="AH28" s="1097"/>
      <c r="AI28" s="1097"/>
      <c r="AJ28" s="1097"/>
      <c r="AK28" s="1097"/>
      <c r="AL28" s="1097"/>
      <c r="AM28" s="1097"/>
      <c r="AN28" s="1097"/>
      <c r="AO28" s="1097"/>
      <c r="AP28" s="1097"/>
      <c r="AQ28" s="1097"/>
      <c r="AR28" s="1097"/>
      <c r="AS28" s="1097"/>
      <c r="AT28" s="1097"/>
      <c r="AU28" s="1097"/>
      <c r="AV28" s="1097"/>
      <c r="AW28" s="1097"/>
      <c r="AX28" s="927"/>
      <c r="AY28" s="1288"/>
      <c r="AZ28" s="1251"/>
      <c r="BA28" s="1288"/>
      <c r="BB28" s="1288"/>
      <c r="BC28" s="1288"/>
      <c r="BD28" s="1097"/>
      <c r="BE28" s="1097"/>
      <c r="BF28" s="1097"/>
      <c r="BH28" s="1097"/>
      <c r="BK28" s="927"/>
      <c r="BL28" s="1097"/>
      <c r="BM28" s="1097"/>
      <c r="BP28" s="1265"/>
      <c r="BQ28" s="1097"/>
      <c r="BR28" s="928"/>
      <c r="BT28" s="928"/>
      <c r="BU28" s="928"/>
      <c r="BV28" s="928"/>
      <c r="BW28" s="1097"/>
      <c r="BX28" s="1097"/>
      <c r="BY28" s="1012"/>
    </row>
    <row r="29" spans="1:89" s="196" customFormat="1" ht="12.75" customHeight="1" x14ac:dyDescent="0.2">
      <c r="A29" s="220" t="s">
        <v>536</v>
      </c>
      <c r="B29" s="196">
        <f t="shared" ref="B29:B41" si="26">SUM(C29:CB29)</f>
        <v>2306612</v>
      </c>
      <c r="C29" s="928"/>
      <c r="D29" s="928"/>
      <c r="E29" s="1391"/>
      <c r="F29" s="1391"/>
      <c r="G29" s="1389"/>
      <c r="H29" s="1389"/>
      <c r="I29" s="1391"/>
      <c r="J29" s="1399"/>
      <c r="K29" s="928"/>
      <c r="N29" s="928"/>
      <c r="O29" s="1292"/>
      <c r="P29" s="928"/>
      <c r="Q29" s="926"/>
      <c r="R29" s="928"/>
      <c r="S29" s="1097"/>
      <c r="T29" s="1097"/>
      <c r="U29" s="1097"/>
      <c r="V29" s="1288"/>
      <c r="W29" s="1098"/>
      <c r="X29" s="928"/>
      <c r="AA29" s="1097"/>
      <c r="AB29" s="1097"/>
      <c r="AC29" s="1097"/>
      <c r="AD29" s="1097"/>
      <c r="AE29" s="1097"/>
      <c r="AF29" s="1097"/>
      <c r="AG29" s="1097"/>
      <c r="AH29" s="1097"/>
      <c r="AI29" s="1097"/>
      <c r="AJ29" s="1097"/>
      <c r="AK29" s="1097"/>
      <c r="AL29" s="1097"/>
      <c r="AM29" s="1097"/>
      <c r="AN29" s="1097"/>
      <c r="AO29" s="1097"/>
      <c r="AP29" s="1097"/>
      <c r="AQ29" s="1097"/>
      <c r="AR29" s="1097"/>
      <c r="AS29" s="1097"/>
      <c r="AT29" s="1097"/>
      <c r="AU29" s="928"/>
      <c r="AV29" s="1097"/>
      <c r="AW29" s="1097"/>
      <c r="AX29" s="927"/>
      <c r="AY29" s="1288"/>
      <c r="AZ29" s="1251"/>
      <c r="BA29" s="1288"/>
      <c r="BB29" s="1288"/>
      <c r="BC29" s="1288"/>
      <c r="BD29" s="1097"/>
      <c r="BE29" s="1097"/>
      <c r="BF29" s="1097"/>
      <c r="BH29" s="1097">
        <v>0</v>
      </c>
      <c r="BJ29" s="196">
        <v>5079</v>
      </c>
      <c r="BK29" s="927"/>
      <c r="BL29" s="1097"/>
      <c r="BM29" s="1097"/>
      <c r="BP29" s="1265">
        <v>553</v>
      </c>
      <c r="BQ29" s="1097">
        <v>780</v>
      </c>
      <c r="BR29" s="928"/>
      <c r="BT29" s="928"/>
      <c r="BU29" s="928"/>
      <c r="BV29" s="928"/>
      <c r="BW29" s="1097"/>
      <c r="BX29" s="1097"/>
      <c r="BY29" s="1012"/>
      <c r="CA29" s="1097">
        <v>2300200</v>
      </c>
      <c r="CC29" s="196">
        <f>SUM(C29:BS29)</f>
        <v>6412</v>
      </c>
      <c r="CD29" s="196">
        <f t="shared" ref="CD29:CD41" si="27">SUM(CE29:CI29)</f>
        <v>121132</v>
      </c>
      <c r="CE29" s="196">
        <f>+SONPPF!C65+SONPPF!C71</f>
        <v>109604</v>
      </c>
      <c r="CF29" s="196">
        <f>+SONPPF!E65+SONPPF!E71</f>
        <v>1107</v>
      </c>
      <c r="CG29" s="196">
        <f>+'Nonmajor Ent BS'!G63+'Nonmajor Ent BS'!G69</f>
        <v>8125</v>
      </c>
      <c r="CH29" s="196">
        <f>+'Nonmajor Ent BS'!E63+'Nonmajor Ent BS'!E69</f>
        <v>45</v>
      </c>
      <c r="CI29" s="196">
        <f>+'Nonmajor Ent BS'!C63+'Nonmajor Ent BS'!C69</f>
        <v>2251</v>
      </c>
    </row>
    <row r="30" spans="1:89" s="196" customFormat="1" ht="12.75" customHeight="1" x14ac:dyDescent="0.2">
      <c r="A30" s="220" t="s">
        <v>1036</v>
      </c>
      <c r="B30" s="196">
        <f t="shared" si="26"/>
        <v>3578014</v>
      </c>
      <c r="C30" s="928"/>
      <c r="D30" s="928"/>
      <c r="E30" s="1391"/>
      <c r="F30" s="1391"/>
      <c r="G30" s="1389"/>
      <c r="H30" s="1389"/>
      <c r="I30" s="1391"/>
      <c r="J30" s="1399"/>
      <c r="K30" s="928"/>
      <c r="N30" s="928"/>
      <c r="O30" s="1292"/>
      <c r="P30" s="928"/>
      <c r="Q30" s="926"/>
      <c r="R30" s="928"/>
      <c r="S30" s="1097"/>
      <c r="T30" s="1097"/>
      <c r="U30" s="1097"/>
      <c r="V30" s="1288"/>
      <c r="W30" s="1098"/>
      <c r="X30" s="928"/>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928"/>
      <c r="AV30" s="1097"/>
      <c r="AW30" s="1097"/>
      <c r="AX30" s="927"/>
      <c r="AY30" s="1288"/>
      <c r="AZ30" s="1251"/>
      <c r="BA30" s="1288"/>
      <c r="BB30" s="1288"/>
      <c r="BC30" s="1288"/>
      <c r="BD30" s="1097"/>
      <c r="BE30" s="1097"/>
      <c r="BF30" s="1097"/>
      <c r="BH30" s="1097">
        <v>1207</v>
      </c>
      <c r="BJ30" s="196">
        <v>24562</v>
      </c>
      <c r="BK30" s="927">
        <v>39270</v>
      </c>
      <c r="BL30" s="1097"/>
      <c r="BM30" s="1097"/>
      <c r="BP30" s="1265">
        <v>1804</v>
      </c>
      <c r="BQ30" s="1097"/>
      <c r="BR30" s="928"/>
      <c r="BT30" s="928">
        <v>0</v>
      </c>
      <c r="BU30" s="928">
        <v>0</v>
      </c>
      <c r="BV30" s="928">
        <v>1</v>
      </c>
      <c r="BW30" s="928">
        <v>66</v>
      </c>
      <c r="BX30" s="1097">
        <v>143359</v>
      </c>
      <c r="BY30" s="928">
        <v>131</v>
      </c>
      <c r="CA30" s="1097">
        <v>3367614</v>
      </c>
      <c r="CC30" s="196">
        <f>SUM(C30:BS30)</f>
        <v>66843</v>
      </c>
      <c r="CD30" s="196">
        <f t="shared" si="27"/>
        <v>677729</v>
      </c>
      <c r="CE30" s="196">
        <f>+SONPPF!C66+SONPPF!C67+SONPPF!C68-SONPPF!C72+SONPPF!C69</f>
        <v>641661</v>
      </c>
      <c r="CF30" s="196">
        <f>+SONPPF!E66+SONPPF!E67+SONPPF!E68-SONPPF!E72</f>
        <v>18559</v>
      </c>
      <c r="CG30" s="196">
        <f>+'Nonmajor Ent BS'!G64+'Nonmajor Ent BS'!G65+'Nonmajor Ent BS'!G66-'Nonmajor Ent BS'!G70</f>
        <v>8037</v>
      </c>
      <c r="CH30" s="196">
        <f>+'Nonmajor Ent BS'!E64+'Nonmajor Ent BS'!E65+'Nonmajor Ent BS'!E66+'Nonmajor Ent BS'!E67-'Nonmajor Ent BS'!E70</f>
        <v>3756</v>
      </c>
      <c r="CI30" s="196">
        <f>+'Nonmajor Ent BS'!C65+'Nonmajor Ent BS'!C66+'Nonmajor Ent BS'!C67-'Nonmajor Ent BS'!C70</f>
        <v>5716</v>
      </c>
    </row>
    <row r="31" spans="1:89" s="196" customFormat="1" ht="12.75" customHeight="1" x14ac:dyDescent="0.2">
      <c r="A31" s="217" t="s">
        <v>1576</v>
      </c>
      <c r="B31" s="196">
        <f t="shared" si="26"/>
        <v>94890</v>
      </c>
      <c r="C31" s="928">
        <v>15075</v>
      </c>
      <c r="D31" s="928"/>
      <c r="E31" s="1391">
        <v>5</v>
      </c>
      <c r="F31" s="1391">
        <v>13616</v>
      </c>
      <c r="G31" s="1389"/>
      <c r="H31" s="1389"/>
      <c r="I31" s="1391"/>
      <c r="J31" s="1389"/>
      <c r="K31" s="928"/>
      <c r="N31" s="928">
        <v>42</v>
      </c>
      <c r="O31" s="1292">
        <v>5</v>
      </c>
      <c r="P31" s="928"/>
      <c r="Q31" s="928"/>
      <c r="R31" s="928"/>
      <c r="S31" s="1097"/>
      <c r="T31" s="1097"/>
      <c r="U31" s="1097">
        <v>3</v>
      </c>
      <c r="V31" s="1288"/>
      <c r="W31" s="1097">
        <v>13</v>
      </c>
      <c r="X31" s="928"/>
      <c r="AA31" s="1097"/>
      <c r="AB31" s="1097"/>
      <c r="AC31" s="1097"/>
      <c r="AD31" s="1097"/>
      <c r="AE31" s="1097"/>
      <c r="AF31" s="1097"/>
      <c r="AG31" s="1097"/>
      <c r="AH31" s="1097"/>
      <c r="AI31" s="1097"/>
      <c r="AJ31" s="1097"/>
      <c r="AK31" s="1097"/>
      <c r="AL31" s="1097"/>
      <c r="AM31" s="1097"/>
      <c r="AN31" s="1097"/>
      <c r="AO31" s="1097"/>
      <c r="AP31" s="1097"/>
      <c r="AQ31" s="1097"/>
      <c r="AR31" s="1097"/>
      <c r="AS31" s="1097"/>
      <c r="AT31" s="1097"/>
      <c r="AU31" s="928"/>
      <c r="AV31" s="1097"/>
      <c r="AW31" s="1097"/>
      <c r="AX31" s="927"/>
      <c r="AY31" s="1288"/>
      <c r="AZ31" s="1251"/>
      <c r="BA31" s="1288"/>
      <c r="BB31" s="1288"/>
      <c r="BC31" s="1288"/>
      <c r="BD31" s="1097"/>
      <c r="BE31" s="1097"/>
      <c r="BF31" s="1097"/>
      <c r="BH31" s="1097">
        <v>1077</v>
      </c>
      <c r="BJ31" s="196">
        <v>3038</v>
      </c>
      <c r="BK31" s="927"/>
      <c r="BL31" s="1097"/>
      <c r="BM31" s="1097"/>
      <c r="BP31" s="1265">
        <v>9506</v>
      </c>
      <c r="BQ31" s="1097">
        <v>25076</v>
      </c>
      <c r="BR31" s="928"/>
      <c r="BT31" s="928"/>
      <c r="BU31" s="928"/>
      <c r="BV31" s="928"/>
      <c r="BW31" s="928">
        <v>27336</v>
      </c>
      <c r="BX31" s="1097">
        <v>84</v>
      </c>
      <c r="BY31" s="928">
        <v>14</v>
      </c>
      <c r="CA31" s="1097"/>
      <c r="CD31" s="196">
        <f t="shared" si="27"/>
        <v>11137</v>
      </c>
      <c r="CE31" s="196">
        <f>+SONPPF!C76-SONPPF!C77</f>
        <v>11042</v>
      </c>
      <c r="CF31" s="196">
        <f>SONPPF!E76-SONPPF!E77</f>
        <v>83</v>
      </c>
      <c r="CG31" s="196">
        <f>+'Nonmajor Ent BS'!G74-'Nonmajor Ent BS'!G75</f>
        <v>12</v>
      </c>
      <c r="CH31" s="196">
        <f>+'Nonmajor Ent BS'!E74-'Nonmajor Ent BS'!E75</f>
        <v>0</v>
      </c>
      <c r="CI31" s="196">
        <f>+'Nonmajor Ent BS'!C74-'Nonmajor Ent BS'!C75</f>
        <v>0</v>
      </c>
    </row>
    <row r="32" spans="1:89" s="196" customFormat="1" ht="12.75" customHeight="1" x14ac:dyDescent="0.2">
      <c r="A32" s="217" t="s">
        <v>1636</v>
      </c>
      <c r="B32" s="196">
        <f t="shared" si="26"/>
        <v>90901</v>
      </c>
      <c r="C32" s="928">
        <v>64346</v>
      </c>
      <c r="D32" s="928"/>
      <c r="E32" s="1391"/>
      <c r="F32" s="1391">
        <v>5</v>
      </c>
      <c r="G32" s="1389"/>
      <c r="H32" s="1389">
        <v>80</v>
      </c>
      <c r="I32" s="1391"/>
      <c r="J32" s="1389"/>
      <c r="K32" s="928">
        <v>8</v>
      </c>
      <c r="N32" s="928">
        <v>259</v>
      </c>
      <c r="O32" s="1292">
        <v>36</v>
      </c>
      <c r="P32" s="928"/>
      <c r="Q32" s="928"/>
      <c r="R32" s="928"/>
      <c r="S32" s="1097"/>
      <c r="T32" s="1097"/>
      <c r="U32" s="1097"/>
      <c r="V32" s="1288"/>
      <c r="W32" s="1097">
        <v>469</v>
      </c>
      <c r="X32" s="928"/>
      <c r="AA32" s="1097"/>
      <c r="AB32" s="1097"/>
      <c r="AC32" s="1097"/>
      <c r="AD32" s="1097"/>
      <c r="AE32" s="1097"/>
      <c r="AF32" s="1097"/>
      <c r="AG32" s="1097"/>
      <c r="AH32" s="1097"/>
      <c r="AI32" s="1097"/>
      <c r="AJ32" s="1097"/>
      <c r="AK32" s="1097"/>
      <c r="AL32" s="1097"/>
      <c r="AM32" s="1097"/>
      <c r="AN32" s="1097"/>
      <c r="AO32" s="1097"/>
      <c r="AP32" s="1097"/>
      <c r="AQ32" s="1097"/>
      <c r="AR32" s="1097"/>
      <c r="AS32" s="1097"/>
      <c r="AT32" s="1097"/>
      <c r="AU32" s="928"/>
      <c r="AV32" s="1097"/>
      <c r="AW32" s="1097"/>
      <c r="AX32" s="927"/>
      <c r="AY32" s="1288"/>
      <c r="AZ32" s="1251"/>
      <c r="BA32" s="1288"/>
      <c r="BB32" s="1288"/>
      <c r="BC32" s="1288"/>
      <c r="BD32" s="1097"/>
      <c r="BE32" s="1097"/>
      <c r="BF32" s="1097"/>
      <c r="BH32" s="1097"/>
      <c r="BK32" s="927"/>
      <c r="BL32" s="1097"/>
      <c r="BM32" s="1097"/>
      <c r="BP32" s="1265"/>
      <c r="BQ32" s="1097">
        <v>1281</v>
      </c>
      <c r="BR32" s="928"/>
      <c r="BT32" s="928"/>
      <c r="BU32" s="928"/>
      <c r="BV32" s="928"/>
      <c r="BW32" s="928">
        <v>24101</v>
      </c>
      <c r="BX32" s="1097">
        <v>211</v>
      </c>
      <c r="BY32" s="928">
        <v>105</v>
      </c>
      <c r="CA32" s="1097"/>
      <c r="CD32" s="196">
        <f t="shared" si="27"/>
        <v>7285</v>
      </c>
      <c r="CE32" s="196">
        <f>SONPPF!C84</f>
        <v>5343</v>
      </c>
      <c r="CF32" s="196">
        <f>SONPPF!E84</f>
        <v>223</v>
      </c>
      <c r="CG32" s="196">
        <f>'Nonmajor Ent BS'!G82</f>
        <v>0</v>
      </c>
      <c r="CH32" s="196">
        <f>'Nonmajor Ent BS'!E82</f>
        <v>0</v>
      </c>
      <c r="CI32" s="196">
        <f>'Nonmajor Ent BS'!C82</f>
        <v>1719</v>
      </c>
    </row>
    <row r="33" spans="1:89" s="196" customFormat="1" ht="12.75" customHeight="1" x14ac:dyDescent="0.2">
      <c r="A33" s="220" t="s">
        <v>1205</v>
      </c>
      <c r="B33" s="196">
        <f t="shared" si="26"/>
        <v>0</v>
      </c>
      <c r="C33" s="928"/>
      <c r="D33" s="928"/>
      <c r="E33" s="1391"/>
      <c r="F33" s="1391"/>
      <c r="G33" s="1391"/>
      <c r="H33" s="1389"/>
      <c r="I33" s="1391"/>
      <c r="J33" s="1389"/>
      <c r="K33" s="928"/>
      <c r="N33" s="928"/>
      <c r="O33" s="1292"/>
      <c r="P33" s="928"/>
      <c r="Q33" s="928"/>
      <c r="R33" s="928"/>
      <c r="S33" s="1097"/>
      <c r="T33" s="1097"/>
      <c r="U33" s="1097"/>
      <c r="V33" s="1288"/>
      <c r="W33" s="1097"/>
      <c r="X33" s="928"/>
      <c r="AA33" s="1097"/>
      <c r="AB33" s="1097"/>
      <c r="AC33" s="1097"/>
      <c r="AD33" s="1097"/>
      <c r="AE33" s="1097"/>
      <c r="AF33" s="1097"/>
      <c r="AG33" s="1097"/>
      <c r="AH33" s="1097"/>
      <c r="AI33" s="1097"/>
      <c r="AJ33" s="1097"/>
      <c r="AK33" s="1097"/>
      <c r="AL33" s="1097"/>
      <c r="AM33" s="1097"/>
      <c r="AN33" s="1097"/>
      <c r="AO33" s="1097"/>
      <c r="AP33" s="1097"/>
      <c r="AQ33" s="1097"/>
      <c r="AR33" s="1097"/>
      <c r="AS33" s="1097"/>
      <c r="AT33" s="1097"/>
      <c r="AU33" s="1097"/>
      <c r="AV33" s="1097"/>
      <c r="AW33" s="1097"/>
      <c r="AX33" s="927"/>
      <c r="AY33" s="1288"/>
      <c r="AZ33" s="1251"/>
      <c r="BA33" s="1288"/>
      <c r="BB33" s="1288"/>
      <c r="BC33" s="1288"/>
      <c r="BD33" s="1097"/>
      <c r="BE33" s="1097"/>
      <c r="BF33" s="1097"/>
      <c r="BH33" s="1097"/>
      <c r="BK33" s="927"/>
      <c r="BL33" s="1097"/>
      <c r="BM33" s="1097"/>
      <c r="BP33" s="1265"/>
      <c r="BQ33" s="1097"/>
      <c r="BR33" s="928"/>
      <c r="BT33" s="928"/>
      <c r="BU33" s="928"/>
      <c r="BV33" s="928"/>
      <c r="BW33" s="1097"/>
      <c r="BX33" s="1097"/>
      <c r="BY33" s="1012"/>
      <c r="CD33" s="196">
        <f t="shared" si="27"/>
        <v>0</v>
      </c>
    </row>
    <row r="34" spans="1:89" s="196" customFormat="1" ht="13.5" customHeight="1" x14ac:dyDescent="0.2">
      <c r="A34" s="217" t="s">
        <v>764</v>
      </c>
      <c r="B34" s="196">
        <f t="shared" si="26"/>
        <v>0</v>
      </c>
      <c r="C34" s="927"/>
      <c r="D34" s="928"/>
      <c r="E34" s="1391"/>
      <c r="F34" s="1391"/>
      <c r="G34" s="1391"/>
      <c r="H34" s="1389"/>
      <c r="I34" s="1391"/>
      <c r="J34" s="1399"/>
      <c r="K34" s="928"/>
      <c r="N34" s="928"/>
      <c r="O34" s="1292"/>
      <c r="P34" s="928"/>
      <c r="Q34" s="926"/>
      <c r="R34" s="928"/>
      <c r="S34" s="1097"/>
      <c r="T34" s="1097"/>
      <c r="U34" s="1097"/>
      <c r="V34" s="1288"/>
      <c r="W34" s="1098"/>
      <c r="X34" s="928"/>
      <c r="AA34" s="1097"/>
      <c r="AB34" s="1097"/>
      <c r="AC34" s="1097"/>
      <c r="AD34" s="1097"/>
      <c r="AE34" s="1097"/>
      <c r="AF34" s="1097"/>
      <c r="AG34" s="1097"/>
      <c r="AH34" s="1097"/>
      <c r="AI34" s="1097"/>
      <c r="AJ34" s="1097"/>
      <c r="AK34" s="1097"/>
      <c r="AL34" s="1097"/>
      <c r="AM34" s="1097"/>
      <c r="AN34" s="1097"/>
      <c r="AO34" s="1097"/>
      <c r="AP34" s="1097"/>
      <c r="AQ34" s="1097"/>
      <c r="AR34" s="1097"/>
      <c r="AS34" s="1097"/>
      <c r="AT34" s="1097"/>
      <c r="AU34" s="1097"/>
      <c r="AV34" s="1097"/>
      <c r="AW34" s="1097"/>
      <c r="AX34" s="927"/>
      <c r="AY34" s="1288"/>
      <c r="AZ34" s="1251"/>
      <c r="BA34" s="1288"/>
      <c r="BB34" s="1288"/>
      <c r="BC34" s="1288"/>
      <c r="BD34" s="1097"/>
      <c r="BE34" s="1097"/>
      <c r="BF34" s="1097"/>
      <c r="BH34" s="1097"/>
      <c r="BK34" s="927"/>
      <c r="BL34" s="1097"/>
      <c r="BM34" s="1097"/>
      <c r="BP34" s="1265"/>
      <c r="BQ34" s="1097"/>
      <c r="BR34" s="928"/>
      <c r="BT34" s="928"/>
      <c r="BU34" s="928"/>
      <c r="BV34" s="928"/>
      <c r="BW34" s="1097"/>
      <c r="BX34" s="1097"/>
      <c r="BY34" s="1012"/>
      <c r="CD34" s="196">
        <f t="shared" si="27"/>
        <v>0</v>
      </c>
    </row>
    <row r="35" spans="1:89" s="196" customFormat="1" ht="13.5" customHeight="1" x14ac:dyDescent="0.2">
      <c r="A35" s="217" t="s">
        <v>674</v>
      </c>
      <c r="B35" s="196">
        <f t="shared" si="26"/>
        <v>700</v>
      </c>
      <c r="C35" s="927"/>
      <c r="D35" s="928"/>
      <c r="E35" s="1391"/>
      <c r="F35" s="1391"/>
      <c r="G35" s="1391"/>
      <c r="H35" s="1389"/>
      <c r="I35" s="1391"/>
      <c r="J35" s="1399"/>
      <c r="K35" s="928"/>
      <c r="N35" s="928"/>
      <c r="O35" s="1292"/>
      <c r="P35" s="928"/>
      <c r="Q35" s="926"/>
      <c r="R35" s="928"/>
      <c r="S35" s="1097"/>
      <c r="T35" s="1097"/>
      <c r="U35" s="1097"/>
      <c r="V35" s="1288"/>
      <c r="W35" s="1098"/>
      <c r="X35" s="928"/>
      <c r="AA35" s="1097"/>
      <c r="AB35" s="1097"/>
      <c r="AC35" s="1097"/>
      <c r="AD35" s="1097"/>
      <c r="AE35" s="1097"/>
      <c r="AF35" s="1097"/>
      <c r="AG35" s="1097"/>
      <c r="AH35" s="1097"/>
      <c r="AI35" s="1097"/>
      <c r="AJ35" s="1097"/>
      <c r="AK35" s="1097"/>
      <c r="AL35" s="1097"/>
      <c r="AM35" s="1097"/>
      <c r="AN35" s="1097"/>
      <c r="AO35" s="1097"/>
      <c r="AP35" s="1097"/>
      <c r="AQ35" s="1097"/>
      <c r="AR35" s="1097"/>
      <c r="AS35" s="1097"/>
      <c r="AT35" s="1097"/>
      <c r="AU35" s="1097"/>
      <c r="AV35" s="1097"/>
      <c r="AW35" s="1097"/>
      <c r="AX35" s="927"/>
      <c r="AY35" s="1288"/>
      <c r="AZ35" s="1251"/>
      <c r="BA35" s="1288"/>
      <c r="BB35" s="1288"/>
      <c r="BC35" s="1288"/>
      <c r="BD35" s="1097"/>
      <c r="BE35" s="1097"/>
      <c r="BF35" s="1097"/>
      <c r="BH35" s="1097"/>
      <c r="BK35" s="927"/>
      <c r="BL35" s="1097"/>
      <c r="BM35" s="1097">
        <v>700</v>
      </c>
      <c r="BP35" s="1265"/>
      <c r="BQ35" s="1097"/>
      <c r="BR35" s="928"/>
      <c r="BT35" s="928"/>
      <c r="BU35" s="928"/>
      <c r="BV35" s="928"/>
      <c r="BW35" s="1097"/>
      <c r="BX35" s="1097"/>
      <c r="BY35" s="1012"/>
      <c r="CD35" s="196">
        <f t="shared" si="27"/>
        <v>0</v>
      </c>
    </row>
    <row r="36" spans="1:89" s="196" customFormat="1" ht="12.75" customHeight="1" x14ac:dyDescent="0.2">
      <c r="A36" s="217" t="s">
        <v>252</v>
      </c>
      <c r="B36" s="196">
        <f t="shared" si="26"/>
        <v>63869</v>
      </c>
      <c r="C36" s="927">
        <v>33753</v>
      </c>
      <c r="D36" s="928"/>
      <c r="E36" s="1391"/>
      <c r="F36" s="1391"/>
      <c r="G36" s="1391">
        <v>0</v>
      </c>
      <c r="H36" s="1389"/>
      <c r="I36" s="1391">
        <v>0</v>
      </c>
      <c r="J36" s="1399"/>
      <c r="K36" s="926"/>
      <c r="N36" s="928"/>
      <c r="O36" s="1292">
        <v>29991</v>
      </c>
      <c r="P36" s="928"/>
      <c r="Q36" s="926"/>
      <c r="R36" s="928"/>
      <c r="S36" s="1097"/>
      <c r="T36" s="1097"/>
      <c r="U36" s="1097"/>
      <c r="V36" s="1288"/>
      <c r="W36" s="1098"/>
      <c r="X36" s="928"/>
      <c r="AA36" s="1097"/>
      <c r="AB36" s="1097"/>
      <c r="AC36" s="1097"/>
      <c r="AD36" s="1097"/>
      <c r="AE36" s="1097"/>
      <c r="AF36" s="1097"/>
      <c r="AG36" s="1097"/>
      <c r="AH36" s="1097"/>
      <c r="AI36" s="1097"/>
      <c r="AJ36" s="1097"/>
      <c r="AK36" s="1097"/>
      <c r="AL36" s="1097"/>
      <c r="AM36" s="1097"/>
      <c r="AN36" s="1097"/>
      <c r="AO36" s="1097"/>
      <c r="AP36" s="1097"/>
      <c r="AQ36" s="1097"/>
      <c r="AR36" s="1097"/>
      <c r="AS36" s="1097"/>
      <c r="AT36" s="1097"/>
      <c r="AU36" s="1097"/>
      <c r="AV36" s="1097"/>
      <c r="AW36" s="1097"/>
      <c r="AX36" s="927"/>
      <c r="AY36" s="1288"/>
      <c r="AZ36" s="1251"/>
      <c r="BA36" s="1288"/>
      <c r="BB36" s="1288"/>
      <c r="BC36" s="1288"/>
      <c r="BD36" s="1097"/>
      <c r="BE36" s="1097"/>
      <c r="BF36" s="1097"/>
      <c r="BH36" s="1097"/>
      <c r="BK36" s="927"/>
      <c r="BL36" s="1097"/>
      <c r="BM36" s="1097">
        <v>125</v>
      </c>
      <c r="BP36" s="1265"/>
      <c r="BQ36" s="1097"/>
      <c r="BR36" s="928"/>
      <c r="BT36" s="928"/>
      <c r="BU36" s="928"/>
      <c r="BV36" s="928"/>
      <c r="BW36" s="1097"/>
      <c r="BX36" s="1097"/>
      <c r="BY36" s="1012"/>
      <c r="CD36" s="196">
        <f t="shared" si="27"/>
        <v>0</v>
      </c>
      <c r="CK36" s="196">
        <f>SUM(CE36:CI36)</f>
        <v>0</v>
      </c>
    </row>
    <row r="37" spans="1:89" s="196" customFormat="1" ht="12.75" customHeight="1" x14ac:dyDescent="0.2">
      <c r="A37" s="217" t="s">
        <v>1773</v>
      </c>
      <c r="B37" s="196">
        <f t="shared" si="26"/>
        <v>52019</v>
      </c>
      <c r="C37" s="927">
        <v>8032</v>
      </c>
      <c r="D37" s="928"/>
      <c r="E37" s="1391"/>
      <c r="F37" s="1391"/>
      <c r="G37" s="1391">
        <v>302</v>
      </c>
      <c r="H37" s="1389"/>
      <c r="I37" s="1391"/>
      <c r="J37" s="1399"/>
      <c r="K37" s="926"/>
      <c r="N37" s="928">
        <v>23954</v>
      </c>
      <c r="O37" s="1292">
        <v>12297</v>
      </c>
      <c r="P37" s="928"/>
      <c r="Q37" s="926"/>
      <c r="R37" s="928"/>
      <c r="S37" s="1097"/>
      <c r="T37" s="1097"/>
      <c r="U37" s="1097"/>
      <c r="V37" s="1288"/>
      <c r="W37" s="1098"/>
      <c r="X37" s="928"/>
      <c r="AA37" s="1097"/>
      <c r="AB37" s="1097"/>
      <c r="AC37" s="1097"/>
      <c r="AD37" s="1097"/>
      <c r="AE37" s="1097"/>
      <c r="AF37" s="1097"/>
      <c r="AG37" s="1097"/>
      <c r="AH37" s="1097"/>
      <c r="AI37" s="1097"/>
      <c r="AJ37" s="1097"/>
      <c r="AK37" s="1097"/>
      <c r="AL37" s="1097"/>
      <c r="AM37" s="1097"/>
      <c r="AN37" s="1097"/>
      <c r="AO37" s="1097"/>
      <c r="AP37" s="1097"/>
      <c r="AQ37" s="1097"/>
      <c r="AR37" s="1097"/>
      <c r="AS37" s="1097"/>
      <c r="AT37" s="1097"/>
      <c r="AU37" s="1097"/>
      <c r="AV37" s="1097"/>
      <c r="AW37" s="1097"/>
      <c r="AX37" s="927"/>
      <c r="AY37" s="1288"/>
      <c r="AZ37" s="1251"/>
      <c r="BA37" s="1288"/>
      <c r="BB37" s="1288"/>
      <c r="BC37" s="1288"/>
      <c r="BD37" s="1097"/>
      <c r="BE37" s="1097"/>
      <c r="BF37" s="1097"/>
      <c r="BH37" s="1097"/>
      <c r="BK37" s="927"/>
      <c r="BL37" s="1097"/>
      <c r="BM37" s="1097"/>
      <c r="BP37" s="1265">
        <v>5881</v>
      </c>
      <c r="BQ37" s="1097"/>
      <c r="BR37" s="928"/>
      <c r="BT37" s="928"/>
      <c r="BU37" s="928"/>
      <c r="BV37" s="928"/>
      <c r="BW37" s="928">
        <v>1513</v>
      </c>
      <c r="BX37" s="1097">
        <v>40</v>
      </c>
      <c r="BY37" s="928">
        <v>0</v>
      </c>
      <c r="CD37" s="196">
        <f t="shared" si="27"/>
        <v>71446</v>
      </c>
      <c r="CE37" s="196">
        <f>SONPPF!C88</f>
        <v>64532</v>
      </c>
      <c r="CF37" s="196">
        <f>SONPPF!E88</f>
        <v>0</v>
      </c>
      <c r="CG37" s="196">
        <f>'Nonmajor Ent BS'!G87</f>
        <v>623</v>
      </c>
      <c r="CH37" s="196">
        <f>'Nonmajor Ent BS'!E87</f>
        <v>6291</v>
      </c>
    </row>
    <row r="38" spans="1:89" s="196" customFormat="1" ht="12.75" customHeight="1" x14ac:dyDescent="0.2">
      <c r="A38" s="217" t="s">
        <v>679</v>
      </c>
      <c r="B38" s="196">
        <f t="shared" si="26"/>
        <v>0</v>
      </c>
      <c r="C38" s="927"/>
      <c r="D38" s="928"/>
      <c r="E38" s="1391"/>
      <c r="F38" s="1391"/>
      <c r="G38" s="1391"/>
      <c r="H38" s="1389"/>
      <c r="I38" s="1391"/>
      <c r="J38" s="1399"/>
      <c r="K38" s="926"/>
      <c r="N38" s="928"/>
      <c r="O38" s="1292"/>
      <c r="P38" s="928"/>
      <c r="Q38" s="926"/>
      <c r="R38" s="928"/>
      <c r="S38" s="1097"/>
      <c r="T38" s="1097"/>
      <c r="U38" s="1097"/>
      <c r="V38" s="1288"/>
      <c r="W38" s="1098"/>
      <c r="X38" s="928"/>
      <c r="AA38" s="1097"/>
      <c r="AB38" s="1097"/>
      <c r="AC38" s="1097"/>
      <c r="AD38" s="1097"/>
      <c r="AE38" s="1097"/>
      <c r="AF38" s="1097"/>
      <c r="AG38" s="1097"/>
      <c r="AH38" s="1097"/>
      <c r="AI38" s="1097"/>
      <c r="AJ38" s="1097"/>
      <c r="AK38" s="1097"/>
      <c r="AL38" s="1097"/>
      <c r="AM38" s="1097"/>
      <c r="AN38" s="1097"/>
      <c r="AO38" s="1097"/>
      <c r="AP38" s="1097"/>
      <c r="AQ38" s="1097"/>
      <c r="AR38" s="1097"/>
      <c r="AS38" s="1097"/>
      <c r="AT38" s="1097"/>
      <c r="AU38" s="1097"/>
      <c r="AV38" s="1097"/>
      <c r="AW38" s="1097"/>
      <c r="AX38" s="1310"/>
      <c r="AY38" s="1288"/>
      <c r="AZ38" s="1251"/>
      <c r="BA38" s="1288"/>
      <c r="BB38" s="1288"/>
      <c r="BC38" s="1288"/>
      <c r="BD38" s="1097"/>
      <c r="BE38" s="1097"/>
      <c r="BF38" s="1097"/>
      <c r="BH38" s="1097"/>
      <c r="BK38" s="1310"/>
      <c r="BL38" s="1097"/>
      <c r="BM38" s="1097"/>
      <c r="BP38" s="1265"/>
      <c r="BQ38" s="1097"/>
      <c r="BR38" s="928"/>
      <c r="BT38" s="928"/>
      <c r="BU38" s="928"/>
      <c r="BV38" s="928"/>
      <c r="BW38" s="1097"/>
      <c r="BX38" s="1097"/>
      <c r="BY38" s="1012"/>
      <c r="CD38" s="196">
        <f t="shared" si="27"/>
        <v>0</v>
      </c>
    </row>
    <row r="39" spans="1:89" s="196" customFormat="1" ht="12.75" customHeight="1" x14ac:dyDescent="0.2">
      <c r="A39" s="217" t="s">
        <v>984</v>
      </c>
      <c r="B39" s="196">
        <f t="shared" si="26"/>
        <v>0</v>
      </c>
      <c r="C39" s="927"/>
      <c r="D39" s="928"/>
      <c r="E39" s="1391"/>
      <c r="F39" s="1391"/>
      <c r="G39" s="1391"/>
      <c r="H39" s="1389"/>
      <c r="I39" s="1391"/>
      <c r="J39" s="1399"/>
      <c r="K39" s="926"/>
      <c r="N39" s="928"/>
      <c r="O39" s="1292"/>
      <c r="P39" s="928"/>
      <c r="Q39" s="926"/>
      <c r="R39" s="928"/>
      <c r="S39" s="1097"/>
      <c r="T39" s="1097"/>
      <c r="U39" s="1097"/>
      <c r="V39" s="1288"/>
      <c r="W39" s="1098"/>
      <c r="X39" s="928"/>
      <c r="AA39" s="1097"/>
      <c r="AB39" s="1097"/>
      <c r="AC39" s="1097"/>
      <c r="AD39" s="1097"/>
      <c r="AE39" s="1097"/>
      <c r="AF39" s="1097"/>
      <c r="AG39" s="1097"/>
      <c r="AH39" s="1097"/>
      <c r="AI39" s="1097"/>
      <c r="AJ39" s="1097"/>
      <c r="AK39" s="1097"/>
      <c r="AL39" s="1097"/>
      <c r="AM39" s="1097"/>
      <c r="AN39" s="1097"/>
      <c r="AO39" s="1097"/>
      <c r="AP39" s="1097"/>
      <c r="AQ39" s="1097"/>
      <c r="AR39" s="1097"/>
      <c r="AS39" s="1097"/>
      <c r="AT39" s="1097"/>
      <c r="AU39" s="1097"/>
      <c r="AV39" s="1097"/>
      <c r="AW39" s="1097"/>
      <c r="AX39" s="1310"/>
      <c r="AY39" s="1288"/>
      <c r="AZ39" s="1251"/>
      <c r="BA39" s="1288"/>
      <c r="BB39" s="1288"/>
      <c r="BC39" s="1288"/>
      <c r="BD39" s="1097"/>
      <c r="BE39" s="1097"/>
      <c r="BF39" s="1097"/>
      <c r="BH39" s="1097"/>
      <c r="BK39" s="1310"/>
      <c r="BL39" s="1097"/>
      <c r="BM39" s="1097"/>
      <c r="BP39" s="1265"/>
      <c r="BQ39" s="1097"/>
      <c r="BR39" s="928"/>
      <c r="BT39" s="928"/>
      <c r="BU39" s="928"/>
      <c r="BV39" s="928"/>
      <c r="BW39" s="1097"/>
      <c r="BX39" s="1097"/>
      <c r="BY39" s="1012"/>
      <c r="CD39" s="196">
        <f t="shared" si="27"/>
        <v>0</v>
      </c>
    </row>
    <row r="40" spans="1:89" s="196" customFormat="1" ht="12.75" customHeight="1" x14ac:dyDescent="0.2">
      <c r="A40" s="217" t="s">
        <v>1309</v>
      </c>
      <c r="B40" s="196">
        <f t="shared" si="26"/>
        <v>0</v>
      </c>
      <c r="C40" s="927"/>
      <c r="D40" s="928"/>
      <c r="E40" s="1391"/>
      <c r="F40" s="1391"/>
      <c r="G40" s="1391"/>
      <c r="H40" s="1389"/>
      <c r="I40" s="1391"/>
      <c r="J40" s="1399"/>
      <c r="K40" s="926"/>
      <c r="N40" s="928"/>
      <c r="O40" s="1292"/>
      <c r="P40" s="928"/>
      <c r="Q40" s="926"/>
      <c r="R40" s="928"/>
      <c r="S40" s="1097"/>
      <c r="T40" s="1097"/>
      <c r="U40" s="1097"/>
      <c r="V40" s="1288"/>
      <c r="W40" s="1098"/>
      <c r="X40" s="928"/>
      <c r="AA40" s="1097"/>
      <c r="AB40" s="1097"/>
      <c r="AC40" s="1097"/>
      <c r="AD40" s="1097"/>
      <c r="AE40" s="1097"/>
      <c r="AF40" s="1097"/>
      <c r="AG40" s="1097"/>
      <c r="AH40" s="1097"/>
      <c r="AI40" s="1097"/>
      <c r="AJ40" s="1097"/>
      <c r="AK40" s="1097"/>
      <c r="AL40" s="1097"/>
      <c r="AM40" s="1097"/>
      <c r="AN40" s="1097"/>
      <c r="AO40" s="1097"/>
      <c r="AP40" s="1097"/>
      <c r="AQ40" s="1097"/>
      <c r="AR40" s="1097"/>
      <c r="AS40" s="1097"/>
      <c r="AT40" s="1097"/>
      <c r="AU40" s="1097"/>
      <c r="AV40" s="1097"/>
      <c r="AW40" s="1097"/>
      <c r="AX40" s="1310"/>
      <c r="AY40" s="1288"/>
      <c r="AZ40" s="1251"/>
      <c r="BA40" s="1288"/>
      <c r="BB40" s="1288"/>
      <c r="BC40" s="1288"/>
      <c r="BD40" s="1097"/>
      <c r="BE40" s="1097"/>
      <c r="BF40" s="1097"/>
      <c r="BH40" s="1097"/>
      <c r="BK40" s="1310"/>
      <c r="BL40" s="1097"/>
      <c r="BM40" s="1097"/>
      <c r="BP40" s="1265"/>
      <c r="BQ40" s="1097"/>
      <c r="BR40" s="928"/>
      <c r="BT40" s="928"/>
      <c r="BU40" s="928"/>
      <c r="BV40" s="928"/>
      <c r="BW40" s="1097"/>
      <c r="BX40" s="1097"/>
      <c r="BY40" s="273"/>
      <c r="CD40" s="196">
        <f t="shared" si="27"/>
        <v>0</v>
      </c>
    </row>
    <row r="41" spans="1:89" ht="12.75" customHeight="1" x14ac:dyDescent="0.2">
      <c r="A41" s="217" t="s">
        <v>609</v>
      </c>
      <c r="B41" s="196">
        <f t="shared" si="26"/>
        <v>0</v>
      </c>
      <c r="C41" s="927"/>
      <c r="D41" s="928"/>
      <c r="E41" s="1391"/>
      <c r="F41" s="1391"/>
      <c r="G41" s="1391"/>
      <c r="H41" s="1389"/>
      <c r="I41" s="1391"/>
      <c r="J41" s="1399"/>
      <c r="K41" s="926"/>
      <c r="N41" s="928"/>
      <c r="O41" s="1292"/>
      <c r="P41" s="928"/>
      <c r="Q41" s="926"/>
      <c r="R41" s="928"/>
      <c r="S41" s="1098"/>
      <c r="T41" s="1097"/>
      <c r="U41" s="1097"/>
      <c r="V41" s="1288"/>
      <c r="W41" s="1098"/>
      <c r="X41" s="928"/>
      <c r="AA41" s="1098"/>
      <c r="AB41" s="1098"/>
      <c r="AC41" s="1098"/>
      <c r="AD41" s="1098"/>
      <c r="AE41" s="1098"/>
      <c r="AF41" s="1098"/>
      <c r="AG41" s="1098"/>
      <c r="AH41" s="1098"/>
      <c r="AI41" s="1098"/>
      <c r="AJ41" s="1098"/>
      <c r="AK41" s="1098"/>
      <c r="AL41" s="1098"/>
      <c r="AM41" s="1098"/>
      <c r="AN41" s="1098"/>
      <c r="AO41" s="1098"/>
      <c r="AP41" s="1098"/>
      <c r="AQ41" s="1098"/>
      <c r="AR41" s="1098"/>
      <c r="AS41" s="1098"/>
      <c r="AT41" s="1098"/>
      <c r="AU41" s="1098"/>
      <c r="AV41" s="1098"/>
      <c r="AW41" s="1098"/>
      <c r="AX41" s="927"/>
      <c r="AY41" s="1288"/>
      <c r="AZ41" s="1251"/>
      <c r="BA41" s="1288"/>
      <c r="BB41" s="1288"/>
      <c r="BC41" s="1288"/>
      <c r="BD41" s="1098"/>
      <c r="BE41" s="1098"/>
      <c r="BF41" s="1098"/>
      <c r="BH41" s="1097"/>
      <c r="BK41" s="927"/>
      <c r="BL41" s="1098"/>
      <c r="BM41" s="1098"/>
      <c r="BP41" s="1265"/>
      <c r="BQ41" s="1098"/>
      <c r="BR41" s="928"/>
      <c r="BT41" s="928"/>
      <c r="BU41" s="928"/>
      <c r="BV41" s="928"/>
      <c r="BW41" s="1097"/>
      <c r="BX41" s="1097"/>
      <c r="BY41" s="1012"/>
      <c r="CD41" s="196">
        <f t="shared" si="27"/>
        <v>0</v>
      </c>
      <c r="CF41" s="211">
        <f>+'Nonmajor Ent BS'!I88</f>
        <v>0</v>
      </c>
      <c r="CG41" s="211">
        <f>+'Nonmajor Ent BS'!G88</f>
        <v>0</v>
      </c>
    </row>
    <row r="42" spans="1:89" ht="12.75" customHeight="1" x14ac:dyDescent="0.2">
      <c r="A42" s="222" t="s">
        <v>976</v>
      </c>
      <c r="B42" s="213">
        <f>SUM(B29:B41)</f>
        <v>6187005</v>
      </c>
      <c r="C42" s="1267">
        <f t="shared" ref="C42" si="28">SUM(C29:C41)</f>
        <v>121206</v>
      </c>
      <c r="D42" s="1489">
        <f t="shared" ref="D42:I42" si="29">SUM(D29:D41)</f>
        <v>0</v>
      </c>
      <c r="E42" s="1468">
        <f t="shared" si="29"/>
        <v>5</v>
      </c>
      <c r="F42" s="1468">
        <f t="shared" si="29"/>
        <v>13621</v>
      </c>
      <c r="G42" s="1468">
        <f t="shared" si="29"/>
        <v>302</v>
      </c>
      <c r="H42" s="1390">
        <f t="shared" si="29"/>
        <v>80</v>
      </c>
      <c r="I42" s="1468">
        <f t="shared" si="29"/>
        <v>0</v>
      </c>
      <c r="J42" s="1312">
        <f t="shared" ref="J42:BO42" si="30">SUM(J29:J41)</f>
        <v>0</v>
      </c>
      <c r="K42" s="1099">
        <f t="shared" ref="K42" si="31">SUM(K29:K41)</f>
        <v>8</v>
      </c>
      <c r="L42" s="1312">
        <f t="shared" si="30"/>
        <v>0</v>
      </c>
      <c r="M42" s="1312">
        <f t="shared" si="30"/>
        <v>0</v>
      </c>
      <c r="N42" s="1143">
        <f t="shared" ref="N42" si="32">SUM(N29:N41)</f>
        <v>24255</v>
      </c>
      <c r="O42" s="1300">
        <f>SUM(O29:O41)</f>
        <v>42329</v>
      </c>
      <c r="P42" s="1143">
        <f t="shared" ref="P42" si="33">SUM(P29:P41)</f>
        <v>0</v>
      </c>
      <c r="Q42" s="1099">
        <f t="shared" ref="Q42" si="34">SUM(Q29:Q41)</f>
        <v>0</v>
      </c>
      <c r="R42" s="1359">
        <f t="shared" ref="R42:S42" si="35">SUM(R29:R41)</f>
        <v>0</v>
      </c>
      <c r="S42" s="1047">
        <f t="shared" si="35"/>
        <v>0</v>
      </c>
      <c r="T42" s="1143">
        <f t="shared" ref="T42:U42" si="36">SUM(T29:T41)</f>
        <v>0</v>
      </c>
      <c r="U42" s="1267">
        <f t="shared" si="36"/>
        <v>3</v>
      </c>
      <c r="V42" s="1312">
        <f t="shared" ref="V42" si="37">SUM(V29:V41)</f>
        <v>0</v>
      </c>
      <c r="W42" s="1099">
        <f t="shared" ref="W42" si="38">SUM(W29:W41)</f>
        <v>482</v>
      </c>
      <c r="X42" s="1489">
        <f t="shared" ref="X42" si="39">SUM(X29:X41)</f>
        <v>0</v>
      </c>
      <c r="Y42" s="1312">
        <f t="shared" si="30"/>
        <v>0</v>
      </c>
      <c r="Z42" s="1312">
        <f t="shared" si="30"/>
        <v>0</v>
      </c>
      <c r="AA42" s="1312">
        <f t="shared" si="30"/>
        <v>0</v>
      </c>
      <c r="AB42" s="1312">
        <f t="shared" ref="AB42:AW42" si="40">SUM(AB29:AB41)</f>
        <v>0</v>
      </c>
      <c r="AC42" s="1312">
        <f t="shared" si="40"/>
        <v>0</v>
      </c>
      <c r="AD42" s="1312">
        <f t="shared" si="40"/>
        <v>0</v>
      </c>
      <c r="AE42" s="1312">
        <f t="shared" si="40"/>
        <v>0</v>
      </c>
      <c r="AF42" s="1312">
        <f t="shared" si="40"/>
        <v>0</v>
      </c>
      <c r="AG42" s="1312">
        <f t="shared" si="40"/>
        <v>0</v>
      </c>
      <c r="AH42" s="1312">
        <f t="shared" si="40"/>
        <v>0</v>
      </c>
      <c r="AI42" s="1312">
        <f t="shared" si="40"/>
        <v>0</v>
      </c>
      <c r="AJ42" s="1312">
        <f t="shared" si="40"/>
        <v>0</v>
      </c>
      <c r="AK42" s="1312">
        <f t="shared" si="40"/>
        <v>0</v>
      </c>
      <c r="AL42" s="1312">
        <f t="shared" si="40"/>
        <v>0</v>
      </c>
      <c r="AM42" s="1312">
        <f t="shared" si="40"/>
        <v>0</v>
      </c>
      <c r="AN42" s="1312">
        <f t="shared" si="40"/>
        <v>0</v>
      </c>
      <c r="AO42" s="1312">
        <f t="shared" si="40"/>
        <v>0</v>
      </c>
      <c r="AP42" s="1312">
        <f t="shared" si="40"/>
        <v>0</v>
      </c>
      <c r="AQ42" s="1312">
        <f t="shared" si="40"/>
        <v>0</v>
      </c>
      <c r="AR42" s="1312">
        <f t="shared" si="40"/>
        <v>0</v>
      </c>
      <c r="AS42" s="1312">
        <f t="shared" si="40"/>
        <v>0</v>
      </c>
      <c r="AT42" s="1312">
        <f t="shared" ref="AT42" si="41">SUM(AT29:AT41)</f>
        <v>0</v>
      </c>
      <c r="AU42" s="1312">
        <f t="shared" si="40"/>
        <v>0</v>
      </c>
      <c r="AV42" s="1312">
        <f t="shared" si="40"/>
        <v>0</v>
      </c>
      <c r="AW42" s="1312">
        <f t="shared" si="40"/>
        <v>0</v>
      </c>
      <c r="AX42" s="1312">
        <f t="shared" si="30"/>
        <v>0</v>
      </c>
      <c r="AY42" s="1312">
        <f t="shared" ref="AY42:BC42" si="42">SUM(AY29:AY41)</f>
        <v>0</v>
      </c>
      <c r="AZ42" s="1312">
        <f t="shared" si="42"/>
        <v>0</v>
      </c>
      <c r="BA42" s="1312">
        <f t="shared" si="42"/>
        <v>0</v>
      </c>
      <c r="BB42" s="1312">
        <f t="shared" si="42"/>
        <v>0</v>
      </c>
      <c r="BC42" s="1312">
        <f t="shared" si="42"/>
        <v>0</v>
      </c>
      <c r="BD42" s="1312">
        <f t="shared" ref="BD42" si="43">SUM(BD29:BD41)</f>
        <v>0</v>
      </c>
      <c r="BE42" s="1312">
        <f t="shared" si="30"/>
        <v>0</v>
      </c>
      <c r="BF42" s="1267">
        <f t="shared" ref="BF42" si="44">SUM(BF29:BF41)</f>
        <v>0</v>
      </c>
      <c r="BG42" s="1312">
        <f t="shared" si="30"/>
        <v>0</v>
      </c>
      <c r="BH42" s="1143">
        <f>SUM(BH28:BH41)</f>
        <v>2284</v>
      </c>
      <c r="BI42" s="1312">
        <f t="shared" si="30"/>
        <v>0</v>
      </c>
      <c r="BJ42" s="1312">
        <f t="shared" ref="BJ42" si="45">SUM(BJ29:BJ41)</f>
        <v>32679</v>
      </c>
      <c r="BK42" s="1312">
        <f>SUM(BK29:BK41)</f>
        <v>39270</v>
      </c>
      <c r="BL42" s="1099">
        <f>SUM(BL29:BL41)</f>
        <v>0</v>
      </c>
      <c r="BM42" s="1312">
        <f t="shared" si="30"/>
        <v>825</v>
      </c>
      <c r="BN42" s="1312">
        <f t="shared" si="30"/>
        <v>0</v>
      </c>
      <c r="BO42" s="1312">
        <f t="shared" si="30"/>
        <v>0</v>
      </c>
      <c r="BP42" s="1312">
        <f t="shared" ref="BP42:CB42" si="46">SUM(BP29:BP41)</f>
        <v>17744</v>
      </c>
      <c r="BQ42" s="1099">
        <f t="shared" ref="BQ42" si="47">SUM(BQ29:BQ41)</f>
        <v>27137</v>
      </c>
      <c r="BR42" s="1143">
        <f t="shared" ref="BR42" si="48">SUM(BR29:BR41)</f>
        <v>0</v>
      </c>
      <c r="BS42" s="1312">
        <f t="shared" ref="BS42" si="49">SUM(BS29:BS41)</f>
        <v>0</v>
      </c>
      <c r="BT42" s="1267">
        <f t="shared" ref="BT42:BV42" si="50">SUM(BT29:BT41)</f>
        <v>0</v>
      </c>
      <c r="BU42" s="1267">
        <f t="shared" si="50"/>
        <v>0</v>
      </c>
      <c r="BV42" s="1267">
        <f t="shared" si="50"/>
        <v>1</v>
      </c>
      <c r="BW42" s="1359">
        <f>SUM(BW29:BW41)</f>
        <v>53016</v>
      </c>
      <c r="BX42" s="1143">
        <f>SUM(BX28:BX41)</f>
        <v>143694</v>
      </c>
      <c r="BY42" s="1143">
        <f>SUM(BY29:BY41)</f>
        <v>250</v>
      </c>
      <c r="BZ42" s="1312">
        <f t="shared" si="46"/>
        <v>0</v>
      </c>
      <c r="CA42" s="1267">
        <f>SUM(CA29:CA41)</f>
        <v>5667814</v>
      </c>
      <c r="CB42" s="1312">
        <f t="shared" si="46"/>
        <v>0</v>
      </c>
      <c r="CC42" s="760"/>
      <c r="CD42" s="213">
        <f t="shared" ref="CD42:CI42" si="51">SUM(CD28:CD41)</f>
        <v>888729</v>
      </c>
      <c r="CE42" s="213">
        <f t="shared" si="51"/>
        <v>832182</v>
      </c>
      <c r="CF42" s="213">
        <f t="shared" si="51"/>
        <v>19972</v>
      </c>
      <c r="CG42" s="213">
        <f t="shared" si="51"/>
        <v>16797</v>
      </c>
      <c r="CH42" s="213">
        <f t="shared" si="51"/>
        <v>10092</v>
      </c>
      <c r="CI42" s="213">
        <f t="shared" si="51"/>
        <v>9686</v>
      </c>
    </row>
    <row r="43" spans="1:89" ht="12.75" customHeight="1" x14ac:dyDescent="0.2">
      <c r="A43" s="222" t="s">
        <v>687</v>
      </c>
      <c r="B43" s="223">
        <f>+B25+B42</f>
        <v>9106221</v>
      </c>
      <c r="C43" s="1270">
        <f>+C42+C25</f>
        <v>854744</v>
      </c>
      <c r="D43" s="1492">
        <f t="shared" ref="D43" si="52">+D42+D25</f>
        <v>59715</v>
      </c>
      <c r="E43" s="1470">
        <f>+E42+E25</f>
        <v>141165</v>
      </c>
      <c r="F43" s="1470">
        <f t="shared" ref="F43:I43" si="53">+F42+F25</f>
        <v>77828</v>
      </c>
      <c r="G43" s="1470">
        <f t="shared" si="53"/>
        <v>12321</v>
      </c>
      <c r="H43" s="1471">
        <f t="shared" si="53"/>
        <v>5164</v>
      </c>
      <c r="I43" s="1470">
        <f t="shared" si="53"/>
        <v>36041</v>
      </c>
      <c r="J43" s="1313">
        <f t="shared" ref="J43:BO43" si="54">+J42+J25</f>
        <v>0</v>
      </c>
      <c r="K43" s="1154">
        <f t="shared" si="54"/>
        <v>16846</v>
      </c>
      <c r="L43" s="1313">
        <f t="shared" si="54"/>
        <v>0</v>
      </c>
      <c r="M43" s="1313">
        <f t="shared" si="54"/>
        <v>0</v>
      </c>
      <c r="N43" s="1154">
        <f t="shared" si="54"/>
        <v>210717</v>
      </c>
      <c r="O43" s="1345">
        <f>+O42+O25</f>
        <v>159554</v>
      </c>
      <c r="P43" s="1154">
        <f t="shared" si="54"/>
        <v>4074</v>
      </c>
      <c r="Q43" s="1154">
        <f t="shared" si="54"/>
        <v>21381</v>
      </c>
      <c r="R43" s="1467">
        <f t="shared" si="54"/>
        <v>8355</v>
      </c>
      <c r="S43" s="1467">
        <f>+S42+S25</f>
        <v>8414</v>
      </c>
      <c r="T43" s="1154">
        <f t="shared" ref="T43:U43" si="55">+T42+T25</f>
        <v>929</v>
      </c>
      <c r="U43" s="1270">
        <f t="shared" si="55"/>
        <v>4043</v>
      </c>
      <c r="V43" s="1313">
        <f t="shared" si="54"/>
        <v>12276</v>
      </c>
      <c r="W43" s="1154">
        <f t="shared" si="54"/>
        <v>49897</v>
      </c>
      <c r="X43" s="1492">
        <f t="shared" si="54"/>
        <v>59644</v>
      </c>
      <c r="Y43" s="1313">
        <f t="shared" si="54"/>
        <v>0</v>
      </c>
      <c r="Z43" s="1313">
        <f t="shared" si="54"/>
        <v>0</v>
      </c>
      <c r="AA43" s="1313">
        <f t="shared" si="54"/>
        <v>0</v>
      </c>
      <c r="AB43" s="1313">
        <f t="shared" si="54"/>
        <v>5176</v>
      </c>
      <c r="AC43" s="1313">
        <f t="shared" si="54"/>
        <v>16696</v>
      </c>
      <c r="AD43" s="1313">
        <f t="shared" si="54"/>
        <v>156021</v>
      </c>
      <c r="AE43" s="1313">
        <f t="shared" si="54"/>
        <v>378916</v>
      </c>
      <c r="AF43" s="1313">
        <f t="shared" si="54"/>
        <v>37930</v>
      </c>
      <c r="AG43" s="1313">
        <f t="shared" si="54"/>
        <v>0</v>
      </c>
      <c r="AH43" s="1313">
        <f t="shared" si="54"/>
        <v>0</v>
      </c>
      <c r="AI43" s="1313">
        <f t="shared" si="54"/>
        <v>0</v>
      </c>
      <c r="AJ43" s="1313">
        <f t="shared" si="54"/>
        <v>0</v>
      </c>
      <c r="AK43" s="1313">
        <f t="shared" si="54"/>
        <v>37456</v>
      </c>
      <c r="AL43" s="1313">
        <f t="shared" si="54"/>
        <v>1321</v>
      </c>
      <c r="AM43" s="1313">
        <f t="shared" si="54"/>
        <v>1910</v>
      </c>
      <c r="AN43" s="1313">
        <f t="shared" si="54"/>
        <v>10018</v>
      </c>
      <c r="AO43" s="1313">
        <f t="shared" si="54"/>
        <v>18155</v>
      </c>
      <c r="AP43" s="1313">
        <f t="shared" si="54"/>
        <v>947</v>
      </c>
      <c r="AQ43" s="1313">
        <f t="shared" si="54"/>
        <v>91452</v>
      </c>
      <c r="AR43" s="1313">
        <f t="shared" si="54"/>
        <v>3151</v>
      </c>
      <c r="AS43" s="1313">
        <f t="shared" si="54"/>
        <v>0</v>
      </c>
      <c r="AT43" s="1313">
        <f t="shared" si="54"/>
        <v>22500</v>
      </c>
      <c r="AU43" s="1313">
        <f t="shared" si="54"/>
        <v>110</v>
      </c>
      <c r="AV43" s="1313">
        <f t="shared" si="54"/>
        <v>0</v>
      </c>
      <c r="AW43" s="1313">
        <f t="shared" si="54"/>
        <v>57171</v>
      </c>
      <c r="AX43" s="1313">
        <f t="shared" si="54"/>
        <v>0</v>
      </c>
      <c r="AY43" s="1313">
        <f t="shared" si="54"/>
        <v>370</v>
      </c>
      <c r="AZ43" s="1313">
        <f t="shared" si="54"/>
        <v>5416</v>
      </c>
      <c r="BA43" s="1313">
        <f t="shared" si="54"/>
        <v>329</v>
      </c>
      <c r="BB43" s="1313">
        <f t="shared" si="54"/>
        <v>543</v>
      </c>
      <c r="BC43" s="1313">
        <f t="shared" si="54"/>
        <v>1367</v>
      </c>
      <c r="BD43" s="1313">
        <f t="shared" si="54"/>
        <v>0</v>
      </c>
      <c r="BE43" s="1313">
        <f t="shared" si="54"/>
        <v>293</v>
      </c>
      <c r="BF43" s="1270">
        <f t="shared" si="54"/>
        <v>922</v>
      </c>
      <c r="BG43" s="1313">
        <f t="shared" si="54"/>
        <v>7</v>
      </c>
      <c r="BH43" s="1154">
        <f>+BH25+BH42</f>
        <v>14756</v>
      </c>
      <c r="BI43" s="1313">
        <f t="shared" si="54"/>
        <v>29</v>
      </c>
      <c r="BJ43" s="1313">
        <f t="shared" si="54"/>
        <v>38692</v>
      </c>
      <c r="BK43" s="1313">
        <f>+BK42+BK25</f>
        <v>63498</v>
      </c>
      <c r="BL43" s="1154">
        <f>+BL42+BL25</f>
        <v>294</v>
      </c>
      <c r="BM43" s="1313">
        <f t="shared" si="54"/>
        <v>2625</v>
      </c>
      <c r="BN43" s="1313">
        <f t="shared" si="54"/>
        <v>0</v>
      </c>
      <c r="BO43" s="1313">
        <f t="shared" si="54"/>
        <v>0</v>
      </c>
      <c r="BP43" s="1313">
        <f t="shared" ref="BP43:CB43" si="56">+BP42+BP25</f>
        <v>22139</v>
      </c>
      <c r="BQ43" s="1154">
        <f t="shared" si="56"/>
        <v>183030</v>
      </c>
      <c r="BR43" s="1154">
        <f t="shared" si="56"/>
        <v>31981</v>
      </c>
      <c r="BS43" s="1313">
        <f t="shared" si="56"/>
        <v>2656</v>
      </c>
      <c r="BT43" s="1270">
        <f t="shared" si="56"/>
        <v>47397</v>
      </c>
      <c r="BU43" s="1270">
        <f t="shared" si="56"/>
        <v>47078</v>
      </c>
      <c r="BV43" s="1270">
        <f t="shared" si="56"/>
        <v>44428</v>
      </c>
      <c r="BW43" s="1467">
        <f>+BW42+BW25</f>
        <v>76720</v>
      </c>
      <c r="BX43" s="1154">
        <f>+BX25+BX42</f>
        <v>266322</v>
      </c>
      <c r="BY43" s="1154">
        <f>+BY42+BY25</f>
        <v>5477</v>
      </c>
      <c r="BZ43" s="1313">
        <f t="shared" si="56"/>
        <v>0</v>
      </c>
      <c r="CA43" s="1270">
        <f>+CA42+CA25</f>
        <v>5667814</v>
      </c>
      <c r="CB43" s="1313">
        <f t="shared" si="56"/>
        <v>0</v>
      </c>
      <c r="CC43" s="330"/>
      <c r="CD43" s="223">
        <f t="shared" ref="CD43:CI43" si="57">+CD25+CD42</f>
        <v>1500556</v>
      </c>
      <c r="CE43" s="223">
        <f t="shared" si="57"/>
        <v>1381864</v>
      </c>
      <c r="CF43" s="223">
        <f t="shared" si="57"/>
        <v>41313</v>
      </c>
      <c r="CG43" s="223">
        <f t="shared" si="57"/>
        <v>26662</v>
      </c>
      <c r="CH43" s="223">
        <f t="shared" si="57"/>
        <v>11839</v>
      </c>
      <c r="CI43" s="223">
        <f t="shared" si="57"/>
        <v>38878</v>
      </c>
    </row>
    <row r="44" spans="1:89" ht="12.75" customHeight="1" x14ac:dyDescent="0.2">
      <c r="A44" s="222"/>
      <c r="B44" s="330"/>
      <c r="C44" s="1074"/>
      <c r="D44" s="1074"/>
      <c r="E44" s="1392"/>
      <c r="F44" s="1392"/>
      <c r="G44" s="1392"/>
      <c r="H44" s="1393"/>
      <c r="I44" s="1392"/>
      <c r="J44" s="1393"/>
      <c r="K44" s="1074"/>
      <c r="L44" s="1074"/>
      <c r="M44" s="1074"/>
      <c r="N44" s="1074"/>
      <c r="O44" s="1553"/>
      <c r="P44" s="1074"/>
      <c r="Q44" s="1074"/>
      <c r="R44" s="1074"/>
      <c r="S44" s="1074"/>
      <c r="T44" s="1100"/>
      <c r="U44" s="1100"/>
      <c r="V44" s="1291"/>
      <c r="W44" s="1100"/>
      <c r="X44" s="1074"/>
      <c r="Y44" s="330"/>
      <c r="Z44" s="330"/>
      <c r="AA44" s="1100"/>
      <c r="AB44" s="1100"/>
      <c r="AC44" s="1100"/>
      <c r="AD44" s="1100"/>
      <c r="AE44" s="1100"/>
      <c r="AF44" s="1100"/>
      <c r="AG44" s="1100"/>
      <c r="AH44" s="1100"/>
      <c r="AI44" s="1100"/>
      <c r="AJ44" s="1100"/>
      <c r="AK44" s="1100"/>
      <c r="AL44" s="1100"/>
      <c r="AM44" s="1100"/>
      <c r="AN44" s="1100"/>
      <c r="AO44" s="1100"/>
      <c r="AP44" s="1100"/>
      <c r="AQ44" s="1100"/>
      <c r="AR44" s="1100"/>
      <c r="AS44" s="1100"/>
      <c r="AT44" s="1100"/>
      <c r="AU44" s="1100"/>
      <c r="AV44" s="1100"/>
      <c r="AW44" s="1100"/>
      <c r="AX44" s="1314"/>
      <c r="AY44" s="1291"/>
      <c r="AZ44" s="1346"/>
      <c r="BA44" s="1291"/>
      <c r="BB44" s="1291"/>
      <c r="BC44" s="1291"/>
      <c r="BD44" s="1100"/>
      <c r="BE44" s="1100"/>
      <c r="BF44" s="1100"/>
      <c r="BG44" s="330"/>
      <c r="BH44" s="1100"/>
      <c r="BI44" s="330"/>
      <c r="BJ44" s="330"/>
      <c r="BK44" s="1314"/>
      <c r="BL44" s="1100"/>
      <c r="BM44" s="1100"/>
      <c r="BN44" s="330"/>
      <c r="BO44" s="330"/>
      <c r="BP44" s="1271"/>
      <c r="BQ44" s="1100"/>
      <c r="BR44" s="1074"/>
      <c r="BS44" s="330"/>
      <c r="BT44" s="1074"/>
      <c r="BU44" s="1074">
        <v>0</v>
      </c>
      <c r="BV44" s="1074"/>
      <c r="BW44" s="1100"/>
      <c r="BX44" s="1100"/>
      <c r="BY44" s="1444"/>
      <c r="BZ44" s="330"/>
      <c r="CA44" s="330"/>
      <c r="CB44" s="330"/>
      <c r="CC44" s="330"/>
      <c r="CD44" s="330"/>
      <c r="CE44" s="330"/>
      <c r="CF44" s="330"/>
      <c r="CG44" s="330"/>
      <c r="CH44" s="330"/>
      <c r="CI44" s="330"/>
    </row>
    <row r="45" spans="1:89" ht="12.75" customHeight="1" x14ac:dyDescent="0.2">
      <c r="B45" s="330"/>
      <c r="C45" s="1074"/>
      <c r="D45" s="1074"/>
      <c r="E45" s="1392"/>
      <c r="F45" s="1392"/>
      <c r="G45" s="1392"/>
      <c r="H45" s="1393"/>
      <c r="I45" s="1392"/>
      <c r="J45" s="1393"/>
      <c r="K45" s="1074"/>
      <c r="L45" s="1074"/>
      <c r="M45" s="1074"/>
      <c r="N45" s="1074"/>
      <c r="O45" s="1553"/>
      <c r="P45" s="1074"/>
      <c r="Q45" s="1074"/>
      <c r="R45" s="1074"/>
      <c r="S45" s="1074"/>
      <c r="T45" s="1100"/>
      <c r="U45" s="1100"/>
      <c r="V45" s="1291"/>
      <c r="W45" s="1100"/>
      <c r="X45" s="1074"/>
      <c r="Y45" s="330"/>
      <c r="Z45" s="330"/>
      <c r="AA45" s="1100"/>
      <c r="AB45" s="1100"/>
      <c r="AC45" s="1100"/>
      <c r="AD45" s="1100"/>
      <c r="AE45" s="1100"/>
      <c r="AF45" s="1100"/>
      <c r="AG45" s="1100"/>
      <c r="AH45" s="1100"/>
      <c r="AI45" s="1100"/>
      <c r="AJ45" s="1100"/>
      <c r="AK45" s="1100"/>
      <c r="AL45" s="1100"/>
      <c r="AM45" s="1100"/>
      <c r="AN45" s="1100"/>
      <c r="AO45" s="1100"/>
      <c r="AP45" s="1100"/>
      <c r="AQ45" s="1100"/>
      <c r="AR45" s="1100"/>
      <c r="AS45" s="1100"/>
      <c r="AT45" s="1100"/>
      <c r="AU45" s="1100"/>
      <c r="AV45" s="1100"/>
      <c r="AW45" s="1100"/>
      <c r="AX45" s="1314"/>
      <c r="AY45" s="1291"/>
      <c r="AZ45" s="1346"/>
      <c r="BA45" s="1291"/>
      <c r="BB45" s="1291"/>
      <c r="BC45" s="1291"/>
      <c r="BD45" s="1100"/>
      <c r="BE45" s="1100"/>
      <c r="BF45" s="1100"/>
      <c r="BG45" s="330"/>
      <c r="BH45" s="1100"/>
      <c r="BI45" s="330"/>
      <c r="BJ45" s="330"/>
      <c r="BK45" s="1314"/>
      <c r="BL45" s="1100"/>
      <c r="BM45" s="1100"/>
      <c r="BN45" s="330"/>
      <c r="BO45" s="330"/>
      <c r="BP45" s="1271"/>
      <c r="BQ45" s="1100"/>
      <c r="BR45" s="1074"/>
      <c r="BS45" s="330"/>
      <c r="BT45" s="1074"/>
      <c r="BU45" s="1074"/>
      <c r="BV45" s="1074"/>
      <c r="BW45" s="1100"/>
      <c r="BX45" s="1100"/>
      <c r="BY45" s="1444"/>
      <c r="BZ45" s="330"/>
      <c r="CA45" s="330"/>
      <c r="CB45" s="330"/>
      <c r="CC45" s="330"/>
      <c r="CD45" s="211">
        <f>SUM(CE45:CI45)</f>
        <v>0</v>
      </c>
      <c r="CE45" s="330"/>
      <c r="CF45" s="330"/>
      <c r="CG45" s="330"/>
      <c r="CH45" s="330"/>
      <c r="CI45" s="330"/>
    </row>
    <row r="46" spans="1:89" ht="12.75" customHeight="1" x14ac:dyDescent="0.2">
      <c r="A46" s="222" t="s">
        <v>1132</v>
      </c>
      <c r="B46" s="223">
        <f t="shared" ref="B46" si="58">SUM(C46:CB46)</f>
        <v>854347</v>
      </c>
      <c r="C46" s="1270"/>
      <c r="D46" s="1492">
        <v>27091</v>
      </c>
      <c r="E46" s="1394">
        <v>0</v>
      </c>
      <c r="F46" s="1394">
        <v>0</v>
      </c>
      <c r="G46" s="1394">
        <v>0</v>
      </c>
      <c r="H46" s="1395">
        <v>0</v>
      </c>
      <c r="I46" s="1394">
        <v>0</v>
      </c>
      <c r="J46" s="1395">
        <v>0</v>
      </c>
      <c r="K46" s="1154"/>
      <c r="L46" s="223"/>
      <c r="M46" s="223"/>
      <c r="N46" s="1154">
        <v>0</v>
      </c>
      <c r="O46" s="1345"/>
      <c r="P46" s="1154">
        <v>0</v>
      </c>
      <c r="Q46" s="1154"/>
      <c r="R46" s="1154">
        <v>0</v>
      </c>
      <c r="S46" s="1154"/>
      <c r="T46" s="1154"/>
      <c r="U46" s="1154"/>
      <c r="V46" s="1289">
        <v>0</v>
      </c>
      <c r="W46" s="1154"/>
      <c r="X46" s="1492"/>
      <c r="Y46" s="223">
        <v>0</v>
      </c>
      <c r="Z46" s="223">
        <v>0</v>
      </c>
      <c r="AA46" s="1154">
        <v>0</v>
      </c>
      <c r="AB46" s="1154">
        <v>0</v>
      </c>
      <c r="AC46" s="1154">
        <v>0</v>
      </c>
      <c r="AD46" s="1154">
        <v>0</v>
      </c>
      <c r="AE46" s="1154"/>
      <c r="AF46" s="1154">
        <v>0</v>
      </c>
      <c r="AG46" s="1154">
        <v>0</v>
      </c>
      <c r="AH46" s="1154">
        <v>0</v>
      </c>
      <c r="AI46" s="1154">
        <v>0</v>
      </c>
      <c r="AJ46" s="1154">
        <v>0</v>
      </c>
      <c r="AK46" s="1154">
        <v>0</v>
      </c>
      <c r="AL46" s="1154"/>
      <c r="AM46" s="1154"/>
      <c r="AN46" s="1154"/>
      <c r="AO46" s="1154"/>
      <c r="AP46" s="1154"/>
      <c r="AQ46" s="1154"/>
      <c r="AR46" s="1154">
        <v>0</v>
      </c>
      <c r="AS46" s="1154">
        <v>0</v>
      </c>
      <c r="AT46" s="1154">
        <v>0</v>
      </c>
      <c r="AU46" s="1154">
        <v>0</v>
      </c>
      <c r="AV46" s="1154">
        <v>0</v>
      </c>
      <c r="AW46" s="1154">
        <v>0</v>
      </c>
      <c r="AX46" s="1313"/>
      <c r="AY46" s="1289">
        <v>0</v>
      </c>
      <c r="AZ46" s="1345">
        <v>0</v>
      </c>
      <c r="BA46" s="1289">
        <v>0</v>
      </c>
      <c r="BB46" s="1289">
        <v>0</v>
      </c>
      <c r="BC46" s="1289"/>
      <c r="BD46" s="1154"/>
      <c r="BE46" s="1154"/>
      <c r="BF46" s="1154"/>
      <c r="BG46" s="223"/>
      <c r="BH46" s="1154"/>
      <c r="BI46" s="223"/>
      <c r="BJ46" s="223"/>
      <c r="BK46" s="1313">
        <v>0</v>
      </c>
      <c r="BL46" s="1154">
        <v>394</v>
      </c>
      <c r="BM46" s="1154"/>
      <c r="BN46" s="223"/>
      <c r="BO46" s="223"/>
      <c r="BP46" s="1270"/>
      <c r="BQ46" s="1154"/>
      <c r="BR46" s="1154">
        <v>7058</v>
      </c>
      <c r="BS46" s="223"/>
      <c r="BT46" s="1154">
        <v>796</v>
      </c>
      <c r="BU46" s="1154">
        <v>710</v>
      </c>
      <c r="BV46" s="1154">
        <v>682</v>
      </c>
      <c r="BW46" s="1154">
        <v>11678</v>
      </c>
      <c r="BX46" s="1154">
        <v>10611</v>
      </c>
      <c r="BY46" s="1154">
        <v>6299</v>
      </c>
      <c r="BZ46" s="1492">
        <v>789028</v>
      </c>
      <c r="CA46" s="223"/>
      <c r="CB46" s="1313"/>
      <c r="CC46" s="330"/>
      <c r="CD46" s="223">
        <f>SUM(CE46:CI46)</f>
        <v>49256</v>
      </c>
      <c r="CE46" s="223">
        <f>SONPPF!C94</f>
        <v>20436</v>
      </c>
      <c r="CF46" s="223">
        <f>+SONPPF!E94</f>
        <v>17858</v>
      </c>
      <c r="CG46" s="223">
        <f>'Nonmajor Ent BS'!G94</f>
        <v>1815</v>
      </c>
      <c r="CH46" s="223">
        <f>'Nonmajor Ent BS'!E94</f>
        <v>152</v>
      </c>
      <c r="CI46" s="223">
        <f>'Nonmajor Ent BS'!C94</f>
        <v>8995</v>
      </c>
    </row>
    <row r="47" spans="1:89" ht="12.75" customHeight="1" x14ac:dyDescent="0.2">
      <c r="A47" s="222"/>
      <c r="B47" s="330"/>
      <c r="C47" s="927"/>
      <c r="D47" s="928"/>
      <c r="E47" s="1392"/>
      <c r="F47" s="1392"/>
      <c r="G47" s="1392"/>
      <c r="H47" s="1393"/>
      <c r="I47" s="1392"/>
      <c r="J47" s="1393"/>
      <c r="K47" s="926"/>
      <c r="L47" s="330"/>
      <c r="M47" s="330"/>
      <c r="N47" s="928"/>
      <c r="O47" s="1292"/>
      <c r="P47" s="928"/>
      <c r="Q47" s="926"/>
      <c r="R47" s="928"/>
      <c r="S47" s="1100"/>
      <c r="T47" s="1100"/>
      <c r="U47" s="1100"/>
      <c r="V47" s="1291"/>
      <c r="W47" s="1100"/>
      <c r="X47" s="928"/>
      <c r="Y47" s="330"/>
      <c r="Z47" s="330"/>
      <c r="AA47" s="1100"/>
      <c r="AB47" s="1100"/>
      <c r="AC47" s="1100"/>
      <c r="AD47" s="1100"/>
      <c r="AE47" s="1100"/>
      <c r="AF47" s="1100"/>
      <c r="AG47" s="1100"/>
      <c r="AH47" s="1100"/>
      <c r="AI47" s="1100"/>
      <c r="AJ47" s="1100"/>
      <c r="AK47" s="1100"/>
      <c r="AL47" s="1100"/>
      <c r="AM47" s="1100"/>
      <c r="AN47" s="1100"/>
      <c r="AO47" s="1100"/>
      <c r="AP47" s="1100"/>
      <c r="AQ47" s="1100"/>
      <c r="AR47" s="1100"/>
      <c r="AS47" s="1100"/>
      <c r="AT47" s="1100"/>
      <c r="AU47" s="1100"/>
      <c r="AV47" s="1100"/>
      <c r="AW47" s="1100"/>
      <c r="AX47" s="1314"/>
      <c r="AY47" s="1291"/>
      <c r="AZ47" s="1346"/>
      <c r="BA47" s="1291"/>
      <c r="BB47" s="1291"/>
      <c r="BC47" s="1291"/>
      <c r="BD47" s="1098"/>
      <c r="BE47" s="1098"/>
      <c r="BF47" s="1098"/>
      <c r="BH47" s="1097"/>
      <c r="BK47" s="1314"/>
      <c r="BL47" s="1098"/>
      <c r="BM47" s="1098"/>
      <c r="BP47" s="1265"/>
      <c r="BQ47" s="1100"/>
      <c r="BR47" s="928"/>
      <c r="BS47" s="330"/>
      <c r="BT47" s="928"/>
      <c r="BU47" s="928"/>
      <c r="BV47" s="928"/>
      <c r="BW47" s="1100"/>
      <c r="BX47" s="1100"/>
      <c r="BY47" s="1012"/>
      <c r="BZ47" s="928"/>
      <c r="CA47" s="330"/>
      <c r="CB47" s="928"/>
      <c r="CC47" s="330"/>
      <c r="CD47" s="330"/>
      <c r="CE47" s="330"/>
      <c r="CF47" s="330"/>
      <c r="CG47" s="330"/>
      <c r="CH47" s="330"/>
      <c r="CI47" s="330"/>
    </row>
    <row r="48" spans="1:89" ht="12.75" customHeight="1" x14ac:dyDescent="0.2">
      <c r="A48" s="224" t="s">
        <v>751</v>
      </c>
      <c r="B48" s="224"/>
      <c r="C48" s="1493"/>
      <c r="D48" s="928"/>
      <c r="E48" s="1391"/>
      <c r="F48" s="1391"/>
      <c r="G48" s="1391"/>
      <c r="H48" s="1389"/>
      <c r="I48" s="1391"/>
      <c r="J48" s="1399"/>
      <c r="K48" s="926"/>
      <c r="N48" s="928"/>
      <c r="O48" s="1292"/>
      <c r="P48" s="928"/>
      <c r="Q48" s="926"/>
      <c r="R48" s="928"/>
      <c r="S48" s="1098"/>
      <c r="T48" s="1097"/>
      <c r="U48" s="1097"/>
      <c r="V48" s="1288"/>
      <c r="W48" s="1098"/>
      <c r="X48" s="928"/>
      <c r="AA48" s="1098"/>
      <c r="AB48" s="1098"/>
      <c r="AC48" s="1098"/>
      <c r="AD48" s="1098"/>
      <c r="AE48" s="1098"/>
      <c r="AF48" s="1098"/>
      <c r="AG48" s="1098"/>
      <c r="AH48" s="1098"/>
      <c r="AI48" s="1098"/>
      <c r="AJ48" s="1098"/>
      <c r="AK48" s="1098"/>
      <c r="AL48" s="1098"/>
      <c r="AM48" s="1098"/>
      <c r="AN48" s="1098"/>
      <c r="AO48" s="1098"/>
      <c r="AP48" s="1098"/>
      <c r="AQ48" s="1098"/>
      <c r="AR48" s="1098"/>
      <c r="AS48" s="1098"/>
      <c r="AT48" s="1098"/>
      <c r="AU48" s="1098"/>
      <c r="AV48" s="1098"/>
      <c r="AW48" s="1098"/>
      <c r="AX48" s="1315"/>
      <c r="AY48" s="1288"/>
      <c r="AZ48" s="1251"/>
      <c r="BA48" s="1288"/>
      <c r="BB48" s="1288"/>
      <c r="BC48" s="1288"/>
      <c r="BD48" s="1098"/>
      <c r="BE48" s="1098"/>
      <c r="BF48" s="1098"/>
      <c r="BH48" s="1097"/>
      <c r="BK48" s="1315"/>
      <c r="BL48" s="1098"/>
      <c r="BM48" s="1098"/>
      <c r="BP48" s="1265"/>
      <c r="BQ48" s="1098"/>
      <c r="BR48" s="928"/>
      <c r="BT48" s="928"/>
      <c r="BU48" s="928"/>
      <c r="BV48" s="928"/>
      <c r="BW48" s="1097"/>
      <c r="BX48" s="1097"/>
      <c r="BY48" s="1012"/>
      <c r="BZ48" s="928"/>
      <c r="CB48" s="928"/>
      <c r="CC48" s="760"/>
    </row>
    <row r="49" spans="1:87" ht="12.75" customHeight="1" x14ac:dyDescent="0.2">
      <c r="A49" s="225" t="s">
        <v>80</v>
      </c>
      <c r="C49" s="1494"/>
      <c r="D49" s="928"/>
      <c r="E49" s="1391"/>
      <c r="F49" s="1391"/>
      <c r="G49" s="1391"/>
      <c r="H49" s="1389"/>
      <c r="I49" s="1391"/>
      <c r="J49" s="1399"/>
      <c r="K49" s="928"/>
      <c r="N49" s="928"/>
      <c r="O49" s="1292"/>
      <c r="P49" s="928"/>
      <c r="Q49" s="926"/>
      <c r="R49" s="928"/>
      <c r="S49" s="1098"/>
      <c r="T49" s="1097"/>
      <c r="U49" s="1097"/>
      <c r="V49" s="1288"/>
      <c r="W49" s="1098"/>
      <c r="X49" s="928"/>
      <c r="AA49" s="1098"/>
      <c r="AB49" s="1098"/>
      <c r="AC49" s="1098"/>
      <c r="AD49" s="1098"/>
      <c r="AE49" s="1098"/>
      <c r="AF49" s="1098"/>
      <c r="AG49" s="1098"/>
      <c r="AH49" s="1098"/>
      <c r="AI49" s="1098"/>
      <c r="AJ49" s="1098"/>
      <c r="AK49" s="1098"/>
      <c r="AL49" s="1098"/>
      <c r="AM49" s="1098"/>
      <c r="AN49" s="1098"/>
      <c r="AO49" s="1098"/>
      <c r="AP49" s="1098"/>
      <c r="AQ49" s="1098"/>
      <c r="AR49" s="1098"/>
      <c r="AS49" s="1098"/>
      <c r="AT49" s="1098"/>
      <c r="AU49" s="1098"/>
      <c r="AV49" s="1098"/>
      <c r="AW49" s="1098"/>
      <c r="AX49" s="1311"/>
      <c r="AY49" s="1288"/>
      <c r="AZ49" s="1251"/>
      <c r="BA49" s="1288"/>
      <c r="BB49" s="1288"/>
      <c r="BC49" s="1288"/>
      <c r="BD49" s="1098"/>
      <c r="BE49" s="1098"/>
      <c r="BF49" s="1098"/>
      <c r="BH49" s="1097"/>
      <c r="BK49" s="1311"/>
      <c r="BL49" s="1098"/>
      <c r="BM49" s="1098"/>
      <c r="BP49" s="1265"/>
      <c r="BQ49" s="1098"/>
      <c r="BR49" s="928"/>
      <c r="BT49" s="928"/>
      <c r="BU49" s="928"/>
      <c r="BV49" s="928"/>
      <c r="BW49" s="1097"/>
      <c r="BX49" s="1097"/>
      <c r="BY49" s="1012"/>
      <c r="BZ49" s="928"/>
      <c r="CB49" s="928"/>
    </row>
    <row r="50" spans="1:87" ht="12.75" customHeight="1" x14ac:dyDescent="0.2">
      <c r="A50" s="217" t="s">
        <v>689</v>
      </c>
      <c r="B50" s="211">
        <f t="shared" ref="B50:B61" si="59">SUM(C50:CB50)</f>
        <v>107988</v>
      </c>
      <c r="C50" s="1357">
        <v>72925</v>
      </c>
      <c r="D50" s="928"/>
      <c r="E50" s="1556"/>
      <c r="F50" s="202"/>
      <c r="H50" s="202"/>
      <c r="I50" s="202"/>
      <c r="J50" s="1399"/>
      <c r="K50" s="928"/>
      <c r="N50" s="928">
        <v>9612</v>
      </c>
      <c r="O50" s="1292"/>
      <c r="P50" s="928"/>
      <c r="Q50" s="926"/>
      <c r="R50" s="928"/>
      <c r="S50" s="1098"/>
      <c r="T50" s="1097"/>
      <c r="U50" s="928"/>
      <c r="V50" s="1288"/>
      <c r="W50" s="1098"/>
      <c r="X50" s="928"/>
      <c r="Y50" s="211">
        <v>0</v>
      </c>
      <c r="Z50" s="211">
        <v>0</v>
      </c>
      <c r="AA50" s="1098">
        <v>0</v>
      </c>
      <c r="AB50" s="1098">
        <v>0</v>
      </c>
      <c r="AC50" s="1098">
        <v>0</v>
      </c>
      <c r="AD50" s="1098"/>
      <c r="AE50" s="1098"/>
      <c r="AF50" s="1098"/>
      <c r="AG50" s="1098">
        <v>0</v>
      </c>
      <c r="AH50" s="1098"/>
      <c r="AI50" s="1098"/>
      <c r="AJ50" s="1098"/>
      <c r="AK50" s="1098"/>
      <c r="AL50" s="1098"/>
      <c r="AM50" s="1098"/>
      <c r="AN50" s="1098"/>
      <c r="AO50" s="1098"/>
      <c r="AP50" s="1098"/>
      <c r="AQ50" s="1098"/>
      <c r="AR50" s="1098"/>
      <c r="AS50" s="1098">
        <v>0</v>
      </c>
      <c r="AT50" s="1098">
        <v>0</v>
      </c>
      <c r="AU50" s="1098">
        <v>0</v>
      </c>
      <c r="AV50" s="1098">
        <v>0</v>
      </c>
      <c r="AW50" s="1098">
        <v>0</v>
      </c>
      <c r="AX50" s="927"/>
      <c r="AY50" s="1288"/>
      <c r="AZ50" s="1251"/>
      <c r="BA50" s="1288"/>
      <c r="BB50" s="1288"/>
      <c r="BC50" s="1288"/>
      <c r="BD50" s="1098"/>
      <c r="BE50" s="1098"/>
      <c r="BF50" s="1098"/>
      <c r="BH50" s="1097">
        <v>2261</v>
      </c>
      <c r="BK50" s="927"/>
      <c r="BL50" s="1098"/>
      <c r="BM50" s="1098"/>
      <c r="BP50" s="1265"/>
      <c r="BQ50" s="1098"/>
      <c r="BR50" s="928"/>
      <c r="BS50" s="211">
        <v>15</v>
      </c>
      <c r="BT50" s="928">
        <v>10440</v>
      </c>
      <c r="BU50" s="927">
        <v>2012</v>
      </c>
      <c r="BV50" s="928">
        <v>580</v>
      </c>
      <c r="BW50" s="928">
        <v>2972</v>
      </c>
      <c r="BX50" s="1097">
        <v>6477</v>
      </c>
      <c r="BY50" s="928">
        <v>694</v>
      </c>
      <c r="BZ50" s="928"/>
      <c r="CB50" s="928"/>
      <c r="CD50" s="211">
        <f t="shared" ref="CD50:CD61" si="60">SUM(CE50:CI50)</f>
        <v>28929</v>
      </c>
      <c r="CE50" s="211">
        <f>+SONPPF!C112+SONPPF!C113+SONPPF!C115</f>
        <v>16768</v>
      </c>
      <c r="CF50" s="196">
        <f>+SONPPF!E112+SONPPF!E113+SONPPF!E115</f>
        <v>6491</v>
      </c>
      <c r="CG50" s="211">
        <f>+'Nonmajor Ent BS'!G111+'Nonmajor Ent BS'!G112+'Nonmajor Ent BS'!G114</f>
        <v>263</v>
      </c>
      <c r="CH50" s="211">
        <f>+'Nonmajor Ent BS'!E111+'Nonmajor Ent BS'!E112+'Nonmajor Ent BS'!E114</f>
        <v>121</v>
      </c>
      <c r="CI50" s="211">
        <f>+'Nonmajor Ent BS'!C111+'Nonmajor Ent BS'!C112+'Nonmajor Ent BS'!C114</f>
        <v>5286</v>
      </c>
    </row>
    <row r="51" spans="1:87" ht="12.75" customHeight="1" x14ac:dyDescent="0.2">
      <c r="A51" s="217" t="s">
        <v>692</v>
      </c>
      <c r="B51" s="211">
        <f t="shared" si="59"/>
        <v>4550</v>
      </c>
      <c r="C51" s="927">
        <v>4247</v>
      </c>
      <c r="D51" s="928"/>
      <c r="E51" s="1556"/>
      <c r="F51" s="202"/>
      <c r="H51" s="202"/>
      <c r="I51" s="202"/>
      <c r="J51" s="1389"/>
      <c r="K51" s="928"/>
      <c r="N51" s="928"/>
      <c r="O51" s="1292"/>
      <c r="P51" s="928"/>
      <c r="Q51" s="926"/>
      <c r="R51" s="928"/>
      <c r="S51" s="1098"/>
      <c r="T51" s="1097"/>
      <c r="U51" s="928"/>
      <c r="V51" s="1288"/>
      <c r="W51" s="1098"/>
      <c r="X51" s="928"/>
      <c r="AA51" s="1098"/>
      <c r="AB51" s="1098"/>
      <c r="AC51" s="1098"/>
      <c r="AD51" s="1098"/>
      <c r="AE51" s="1098"/>
      <c r="AF51" s="1098"/>
      <c r="AG51" s="1098"/>
      <c r="AH51" s="1098"/>
      <c r="AI51" s="1098"/>
      <c r="AJ51" s="1098"/>
      <c r="AK51" s="1098"/>
      <c r="AL51" s="1098"/>
      <c r="AM51" s="1098"/>
      <c r="AN51" s="1098"/>
      <c r="AO51" s="1098"/>
      <c r="AP51" s="1098"/>
      <c r="AQ51" s="1098"/>
      <c r="AR51" s="1098"/>
      <c r="AS51" s="1098"/>
      <c r="AT51" s="1098">
        <v>0</v>
      </c>
      <c r="AU51" s="1098"/>
      <c r="AV51" s="1098"/>
      <c r="AW51" s="1098"/>
      <c r="AX51" s="927"/>
      <c r="AY51" s="1288"/>
      <c r="AZ51" s="1251"/>
      <c r="BA51" s="1288"/>
      <c r="BB51" s="1288"/>
      <c r="BC51" s="1288"/>
      <c r="BD51" s="1098"/>
      <c r="BE51" s="1098"/>
      <c r="BF51" s="1098"/>
      <c r="BH51" s="1097">
        <v>267</v>
      </c>
      <c r="BK51" s="927"/>
      <c r="BL51" s="1098"/>
      <c r="BM51" s="1098"/>
      <c r="BP51" s="1265"/>
      <c r="BQ51" s="1098"/>
      <c r="BR51" s="928"/>
      <c r="BT51" s="928"/>
      <c r="BU51" s="928"/>
      <c r="BV51" s="928"/>
      <c r="BW51" s="928">
        <v>30</v>
      </c>
      <c r="BX51" s="1097">
        <v>6</v>
      </c>
      <c r="BY51" s="928"/>
      <c r="BZ51" s="928"/>
      <c r="CB51" s="928"/>
      <c r="CD51" s="211">
        <f t="shared" si="60"/>
        <v>1220</v>
      </c>
      <c r="CE51" s="211">
        <f>+SONPPF!C118</f>
        <v>1188</v>
      </c>
      <c r="CF51" s="196">
        <f>+SONPPF!E118</f>
        <v>0</v>
      </c>
      <c r="CG51" s="211">
        <f>+'Nonmajor Ent BS'!G117</f>
        <v>18</v>
      </c>
      <c r="CH51" s="211">
        <f>+'Nonmajor Ent BS'!E117</f>
        <v>14</v>
      </c>
      <c r="CI51" s="211">
        <f>+'Nonmajor Ent BS'!C117</f>
        <v>0</v>
      </c>
    </row>
    <row r="52" spans="1:87" ht="12.75" customHeight="1" x14ac:dyDescent="0.2">
      <c r="A52" s="217" t="s">
        <v>676</v>
      </c>
      <c r="B52" s="211">
        <f t="shared" si="59"/>
        <v>34</v>
      </c>
      <c r="C52" s="927"/>
      <c r="D52" s="928"/>
      <c r="E52" s="1556"/>
      <c r="F52" s="202"/>
      <c r="H52" s="1389"/>
      <c r="I52" s="202"/>
      <c r="J52" s="1389"/>
      <c r="K52" s="928"/>
      <c r="N52" s="928"/>
      <c r="O52" s="1292"/>
      <c r="P52" s="928"/>
      <c r="Q52" s="926"/>
      <c r="R52" s="928"/>
      <c r="S52" s="1098"/>
      <c r="T52" s="1097"/>
      <c r="U52" s="928"/>
      <c r="V52" s="1288"/>
      <c r="W52" s="1098"/>
      <c r="X52" s="928"/>
      <c r="AA52" s="1098"/>
      <c r="AB52" s="1098"/>
      <c r="AC52" s="1098"/>
      <c r="AD52" s="1098"/>
      <c r="AE52" s="1098"/>
      <c r="AF52" s="1098"/>
      <c r="AG52" s="1098"/>
      <c r="AH52" s="1098"/>
      <c r="AI52" s="1098"/>
      <c r="AJ52" s="1098"/>
      <c r="AK52" s="1098"/>
      <c r="AL52" s="1098"/>
      <c r="AM52" s="1098"/>
      <c r="AN52" s="1098"/>
      <c r="AO52" s="1098"/>
      <c r="AP52" s="1098"/>
      <c r="AQ52" s="1098"/>
      <c r="AR52" s="1098"/>
      <c r="AS52" s="1098"/>
      <c r="AT52" s="1098"/>
      <c r="AU52" s="1098"/>
      <c r="AV52" s="1098"/>
      <c r="AW52" s="1098"/>
      <c r="AX52" s="927"/>
      <c r="AY52" s="1288"/>
      <c r="AZ52" s="1251"/>
      <c r="BA52" s="1288"/>
      <c r="BB52" s="1288"/>
      <c r="BC52" s="1288"/>
      <c r="BD52" s="1098"/>
      <c r="BE52" s="1098"/>
      <c r="BF52" s="1098"/>
      <c r="BH52" s="1097"/>
      <c r="BK52" s="927"/>
      <c r="BL52" s="1098"/>
      <c r="BM52" s="1098"/>
      <c r="BP52" s="1265"/>
      <c r="BQ52" s="1098"/>
      <c r="BR52" s="928"/>
      <c r="BT52" s="928"/>
      <c r="BU52" s="928"/>
      <c r="BV52" s="928"/>
      <c r="BW52" s="928"/>
      <c r="BX52" s="1097">
        <v>34</v>
      </c>
      <c r="BY52" s="1012"/>
      <c r="BZ52" s="928"/>
      <c r="CB52" s="928"/>
      <c r="CD52" s="211">
        <f t="shared" si="60"/>
        <v>54</v>
      </c>
      <c r="CE52" s="211">
        <f>+SONPPF!C116</f>
        <v>3</v>
      </c>
      <c r="CF52" s="196">
        <f>+SONPPF!E116</f>
        <v>51</v>
      </c>
      <c r="CG52" s="211">
        <f>+'Nonmajor Ent BS'!G115</f>
        <v>0</v>
      </c>
      <c r="CH52" s="211">
        <f>+'Nonmajor Ent BS'!E115</f>
        <v>0</v>
      </c>
      <c r="CI52" s="211">
        <f>+'Nonmajor Ent BS'!C115</f>
        <v>0</v>
      </c>
    </row>
    <row r="53" spans="1:87" ht="12.75" customHeight="1" x14ac:dyDescent="0.2">
      <c r="A53" s="217" t="s">
        <v>604</v>
      </c>
      <c r="B53" s="211">
        <f t="shared" si="59"/>
        <v>5851</v>
      </c>
      <c r="C53" s="927">
        <v>5851</v>
      </c>
      <c r="D53" s="928"/>
      <c r="E53" s="1396">
        <v>0</v>
      </c>
      <c r="F53" s="202"/>
      <c r="H53" s="1389"/>
      <c r="I53" s="202"/>
      <c r="J53" s="1389"/>
      <c r="K53" s="928"/>
      <c r="N53" s="928"/>
      <c r="O53" s="1292"/>
      <c r="P53" s="928"/>
      <c r="Q53" s="926"/>
      <c r="R53" s="928"/>
      <c r="S53" s="1098"/>
      <c r="T53" s="1097"/>
      <c r="U53" s="928"/>
      <c r="V53" s="1288"/>
      <c r="W53" s="1097"/>
      <c r="X53" s="928"/>
      <c r="AA53" s="1098">
        <v>0</v>
      </c>
      <c r="AB53" s="1098">
        <v>0</v>
      </c>
      <c r="AC53" s="1098">
        <v>0</v>
      </c>
      <c r="AD53" s="1098">
        <v>0</v>
      </c>
      <c r="AE53" s="1098"/>
      <c r="AF53" s="1098">
        <v>0</v>
      </c>
      <c r="AG53" s="1098">
        <v>0</v>
      </c>
      <c r="AH53" s="1098">
        <v>0</v>
      </c>
      <c r="AI53" s="1098">
        <v>0</v>
      </c>
      <c r="AJ53" s="1098">
        <v>0</v>
      </c>
      <c r="AK53" s="1098">
        <v>0</v>
      </c>
      <c r="AL53" s="1098">
        <v>0</v>
      </c>
      <c r="AM53" s="1098">
        <v>0</v>
      </c>
      <c r="AN53" s="1098">
        <v>0</v>
      </c>
      <c r="AO53" s="1098"/>
      <c r="AP53" s="1098"/>
      <c r="AQ53" s="1098"/>
      <c r="AR53" s="1098">
        <v>0</v>
      </c>
      <c r="AS53" s="1098">
        <v>0</v>
      </c>
      <c r="AT53" s="1098"/>
      <c r="AU53" s="1098">
        <v>0</v>
      </c>
      <c r="AV53" s="1098">
        <v>0</v>
      </c>
      <c r="AW53" s="1098">
        <v>0</v>
      </c>
      <c r="AX53" s="927"/>
      <c r="AY53" s="1288"/>
      <c r="AZ53" s="1251"/>
      <c r="BA53" s="1288"/>
      <c r="BB53" s="1288"/>
      <c r="BC53" s="1288"/>
      <c r="BD53" s="1098"/>
      <c r="BE53" s="1098"/>
      <c r="BF53" s="1098"/>
      <c r="BH53" s="1098"/>
      <c r="BK53" s="927"/>
      <c r="BL53" s="1098"/>
      <c r="BM53" s="1098"/>
      <c r="BP53" s="1265"/>
      <c r="BQ53" s="1098"/>
      <c r="BR53" s="928"/>
      <c r="BT53" s="928"/>
      <c r="BU53" s="928"/>
      <c r="BV53" s="928"/>
      <c r="BW53" s="1097"/>
      <c r="BX53" s="1097"/>
      <c r="BY53" s="1012"/>
      <c r="BZ53" s="928"/>
      <c r="CB53" s="928"/>
      <c r="CD53" s="211">
        <f t="shared" si="60"/>
        <v>0</v>
      </c>
      <c r="CE53" s="211">
        <f>+SONPPF!C125+SONPPF!C126</f>
        <v>0</v>
      </c>
      <c r="CF53" s="196">
        <f>+SONPPF!E125</f>
        <v>0</v>
      </c>
      <c r="CG53" s="211">
        <f>+'Nonmajor Ent BS'!G124</f>
        <v>0</v>
      </c>
      <c r="CH53" s="211">
        <f>+'Nonmajor Ent BS'!E124</f>
        <v>0</v>
      </c>
      <c r="CI53" s="211">
        <f>+'Nonmajor Ent BS'!C124</f>
        <v>0</v>
      </c>
    </row>
    <row r="54" spans="1:87" ht="12.75" customHeight="1" x14ac:dyDescent="0.2">
      <c r="A54" s="217" t="s">
        <v>593</v>
      </c>
      <c r="B54" s="211">
        <f t="shared" si="59"/>
        <v>0</v>
      </c>
      <c r="C54" s="928">
        <v>0</v>
      </c>
      <c r="D54" s="928"/>
      <c r="E54" s="1391"/>
      <c r="F54" s="1391"/>
      <c r="H54" s="1389"/>
      <c r="I54" s="1391"/>
      <c r="J54" s="1389"/>
      <c r="K54" s="928"/>
      <c r="N54" s="928"/>
      <c r="O54" s="1292"/>
      <c r="P54" s="928"/>
      <c r="Q54" s="926"/>
      <c r="R54" s="928"/>
      <c r="S54" s="1098"/>
      <c r="T54" s="1097"/>
      <c r="U54" s="1097"/>
      <c r="V54" s="1288"/>
      <c r="W54" s="1097"/>
      <c r="X54" s="928"/>
      <c r="AA54" s="1098"/>
      <c r="AB54" s="1098"/>
      <c r="AC54" s="1098"/>
      <c r="AD54" s="1098"/>
      <c r="AE54" s="1098"/>
      <c r="AF54" s="1098"/>
      <c r="AG54" s="1098"/>
      <c r="AH54" s="1098"/>
      <c r="AI54" s="1098"/>
      <c r="AJ54" s="1098"/>
      <c r="AK54" s="1098"/>
      <c r="AL54" s="1098"/>
      <c r="AM54" s="1098"/>
      <c r="AN54" s="1098"/>
      <c r="AO54" s="1098"/>
      <c r="AP54" s="1098"/>
      <c r="AQ54" s="1098"/>
      <c r="AR54" s="1098"/>
      <c r="AS54" s="1098"/>
      <c r="AT54" s="1098"/>
      <c r="AU54" s="1098"/>
      <c r="AV54" s="1098"/>
      <c r="AW54" s="1098"/>
      <c r="AX54" s="927"/>
      <c r="AY54" s="1288"/>
      <c r="AZ54" s="1251"/>
      <c r="BA54" s="1288"/>
      <c r="BB54" s="1288"/>
      <c r="BC54" s="1288"/>
      <c r="BD54" s="1098"/>
      <c r="BE54" s="1098"/>
      <c r="BF54" s="1098"/>
      <c r="BH54" s="1098"/>
      <c r="BK54" s="927"/>
      <c r="BL54" s="1098"/>
      <c r="BM54" s="1098"/>
      <c r="BP54" s="1265"/>
      <c r="BQ54" s="1098"/>
      <c r="BR54" s="928"/>
      <c r="BT54" s="928"/>
      <c r="BU54" s="928"/>
      <c r="BV54" s="928"/>
      <c r="BW54" s="1097"/>
      <c r="BX54" s="1097"/>
      <c r="BY54" s="1012"/>
      <c r="BZ54" s="928"/>
      <c r="CB54" s="928"/>
      <c r="CD54" s="211">
        <f t="shared" si="60"/>
        <v>0</v>
      </c>
      <c r="CF54" s="196"/>
      <c r="CG54" s="211">
        <f>+'Nonmajor Ent BS'!G125</f>
        <v>0</v>
      </c>
      <c r="CH54" s="211">
        <f>+'Nonmajor Ent BS'!E125</f>
        <v>0</v>
      </c>
      <c r="CI54" s="211">
        <f>+'Nonmajor Ent BS'!C125</f>
        <v>0</v>
      </c>
    </row>
    <row r="55" spans="1:87" ht="12.75" customHeight="1" x14ac:dyDescent="0.2">
      <c r="A55" s="217" t="s">
        <v>472</v>
      </c>
      <c r="B55" s="211">
        <f t="shared" si="59"/>
        <v>0</v>
      </c>
      <c r="C55" s="927"/>
      <c r="D55" s="928"/>
      <c r="E55" s="1391"/>
      <c r="F55" s="1391"/>
      <c r="H55" s="1389"/>
      <c r="I55"/>
      <c r="J55" s="1476"/>
      <c r="K55" s="928"/>
      <c r="N55" s="928"/>
      <c r="O55" s="1292"/>
      <c r="P55" s="928"/>
      <c r="Q55" s="926"/>
      <c r="R55" s="928"/>
      <c r="S55" s="1098"/>
      <c r="T55" s="1097"/>
      <c r="U55" s="1097"/>
      <c r="V55" s="1288"/>
      <c r="W55" s="1097"/>
      <c r="X55" s="928"/>
      <c r="AA55" s="1098"/>
      <c r="AB55" s="1098"/>
      <c r="AC55" s="1098"/>
      <c r="AD55" s="1098"/>
      <c r="AE55" s="1098"/>
      <c r="AF55" s="1098"/>
      <c r="AG55" s="1098"/>
      <c r="AH55" s="1098"/>
      <c r="AI55" s="1098"/>
      <c r="AJ55" s="1098"/>
      <c r="AK55" s="1098"/>
      <c r="AL55" s="1098"/>
      <c r="AM55" s="1098"/>
      <c r="AN55" s="1098"/>
      <c r="AO55" s="1098"/>
      <c r="AP55" s="1098"/>
      <c r="AQ55" s="1098"/>
      <c r="AR55" s="1098"/>
      <c r="AS55" s="1098"/>
      <c r="AT55" s="1098"/>
      <c r="AU55" s="1098"/>
      <c r="AV55" s="1098"/>
      <c r="AW55" s="1098"/>
      <c r="AX55" s="927"/>
      <c r="AY55" s="1288"/>
      <c r="AZ55" s="1251"/>
      <c r="BA55" s="1288"/>
      <c r="BB55" s="1288"/>
      <c r="BC55" s="1288"/>
      <c r="BD55" s="1098"/>
      <c r="BE55" s="1098"/>
      <c r="BF55" s="1098"/>
      <c r="BH55" s="1098"/>
      <c r="BK55" s="927"/>
      <c r="BL55" s="1098"/>
      <c r="BM55" s="1098"/>
      <c r="BP55" s="1265"/>
      <c r="BQ55" s="1098"/>
      <c r="BR55" s="928"/>
      <c r="BT55" s="928"/>
      <c r="BU55" s="928"/>
      <c r="BV55" s="928"/>
      <c r="BW55" s="1097"/>
      <c r="BX55" s="1097"/>
      <c r="BY55" s="1012"/>
      <c r="BZ55" s="928"/>
      <c r="CB55" s="928"/>
      <c r="CD55" s="211">
        <f t="shared" si="60"/>
        <v>0</v>
      </c>
      <c r="CF55" s="196"/>
    </row>
    <row r="56" spans="1:87" ht="12.75" customHeight="1" x14ac:dyDescent="0.2">
      <c r="A56" s="220" t="s">
        <v>689</v>
      </c>
      <c r="B56" s="211">
        <f t="shared" si="59"/>
        <v>148561</v>
      </c>
      <c r="C56" s="928">
        <v>54</v>
      </c>
      <c r="D56" s="928"/>
      <c r="E56" s="1396">
        <v>7261</v>
      </c>
      <c r="F56" s="211">
        <v>16742</v>
      </c>
      <c r="G56" s="211">
        <v>993</v>
      </c>
      <c r="H56" s="1389">
        <v>78</v>
      </c>
      <c r="I56" s="211">
        <v>1779</v>
      </c>
      <c r="J56" s="1476"/>
      <c r="K56" s="928">
        <v>180</v>
      </c>
      <c r="N56" s="928">
        <v>14101</v>
      </c>
      <c r="O56" s="1292">
        <v>4596</v>
      </c>
      <c r="P56" s="928"/>
      <c r="Q56" s="928"/>
      <c r="R56" s="928">
        <v>1056</v>
      </c>
      <c r="S56" s="1097">
        <v>172</v>
      </c>
      <c r="T56" s="1097">
        <v>432</v>
      </c>
      <c r="U56" s="1097">
        <v>95</v>
      </c>
      <c r="V56" s="1292"/>
      <c r="W56" s="1097">
        <v>1080</v>
      </c>
      <c r="X56" s="928">
        <v>1056</v>
      </c>
      <c r="AA56" s="1098">
        <v>0</v>
      </c>
      <c r="AB56" s="1098">
        <v>0</v>
      </c>
      <c r="AC56" s="1098">
        <v>0</v>
      </c>
      <c r="AD56" s="1098">
        <v>0</v>
      </c>
      <c r="AE56" s="1098">
        <v>0</v>
      </c>
      <c r="AF56" s="1098">
        <f>36004+3109</f>
        <v>39113</v>
      </c>
      <c r="AG56" s="1098">
        <v>0</v>
      </c>
      <c r="AH56" s="1098">
        <v>0</v>
      </c>
      <c r="AI56" s="1098">
        <v>0</v>
      </c>
      <c r="AJ56" s="1098">
        <v>0</v>
      </c>
      <c r="AK56" s="1098">
        <v>0</v>
      </c>
      <c r="AL56" s="1098">
        <v>0</v>
      </c>
      <c r="AM56" s="1098">
        <v>0</v>
      </c>
      <c r="AN56" s="1098">
        <v>0</v>
      </c>
      <c r="AO56" s="1098">
        <v>0</v>
      </c>
      <c r="AP56" s="1098">
        <v>0</v>
      </c>
      <c r="AQ56" s="1098">
        <v>0</v>
      </c>
      <c r="AR56" s="1098">
        <v>3606</v>
      </c>
      <c r="AS56" s="1098">
        <v>0</v>
      </c>
      <c r="AT56" s="1097">
        <v>28227</v>
      </c>
      <c r="AU56" s="1098">
        <v>0</v>
      </c>
      <c r="AV56" s="1098">
        <v>0</v>
      </c>
      <c r="AW56" s="1097">
        <v>0</v>
      </c>
      <c r="AX56" s="927">
        <v>0</v>
      </c>
      <c r="AY56" s="1288"/>
      <c r="AZ56" s="1292">
        <v>3</v>
      </c>
      <c r="BA56" s="1292"/>
      <c r="BB56" s="1292"/>
      <c r="BC56" s="1292"/>
      <c r="BD56" s="1098"/>
      <c r="BE56" s="1098"/>
      <c r="BF56" s="1098">
        <v>275</v>
      </c>
      <c r="BH56" s="1098"/>
      <c r="BJ56" s="211">
        <v>1524</v>
      </c>
      <c r="BK56" s="927">
        <v>10</v>
      </c>
      <c r="BL56" s="1098"/>
      <c r="BM56" s="1098">
        <v>39</v>
      </c>
      <c r="BP56" s="1265">
        <v>250</v>
      </c>
      <c r="BQ56" s="1098">
        <v>25650</v>
      </c>
      <c r="BR56" s="928"/>
      <c r="BS56" s="211">
        <v>189</v>
      </c>
      <c r="BT56" s="928"/>
      <c r="BU56" s="928"/>
      <c r="BV56" s="928"/>
      <c r="BW56" s="1097"/>
      <c r="BX56" s="1097"/>
      <c r="BY56" s="1012"/>
      <c r="BZ56" s="928"/>
      <c r="CB56" s="928"/>
      <c r="CD56" s="211">
        <f t="shared" si="60"/>
        <v>27221</v>
      </c>
      <c r="CE56" s="211">
        <f>+SONPPF!C131+SONPPF!C141+SONPPF!C132</f>
        <v>27183</v>
      </c>
      <c r="CF56" s="211">
        <f>+SONPPF!E131+SONPPF!E141+SONPPF!E132+SONPPF!E134</f>
        <v>0</v>
      </c>
      <c r="CG56" s="211">
        <f>+'Nonmajor Ent BS'!G131+'Nonmajor Ent BS'!G133</f>
        <v>0</v>
      </c>
      <c r="CH56" s="211">
        <f>+'Nonmajor Ent BS'!E130+'Nonmajor Ent BS'!E131+'Nonmajor Ent BS'!E133</f>
        <v>0</v>
      </c>
      <c r="CI56" s="211">
        <f>'Nonmajor Ent BS'!C130+'Nonmajor Ent BS'!C140+'Nonmajor Ent BS'!C131+'Nonmajor Ent BS'!C133</f>
        <v>38</v>
      </c>
    </row>
    <row r="57" spans="1:87" ht="12.75" customHeight="1" x14ac:dyDescent="0.2">
      <c r="A57" s="220" t="s">
        <v>692</v>
      </c>
      <c r="B57" s="211">
        <f t="shared" si="59"/>
        <v>15198</v>
      </c>
      <c r="C57" s="928"/>
      <c r="D57" s="928"/>
      <c r="E57" s="1396">
        <v>1025</v>
      </c>
      <c r="F57" s="211">
        <v>3286</v>
      </c>
      <c r="H57" s="1389"/>
      <c r="I57" s="211">
        <v>3667</v>
      </c>
      <c r="J57" s="1476"/>
      <c r="K57" s="928"/>
      <c r="N57" s="928">
        <v>125</v>
      </c>
      <c r="O57" s="1292">
        <v>196</v>
      </c>
      <c r="P57" s="928"/>
      <c r="Q57" s="928"/>
      <c r="R57" s="928">
        <v>1</v>
      </c>
      <c r="S57" s="1097">
        <v>1</v>
      </c>
      <c r="T57" s="1097"/>
      <c r="U57" s="1097"/>
      <c r="V57" s="1292"/>
      <c r="W57" s="1097"/>
      <c r="X57" s="928"/>
      <c r="Y57" s="211">
        <v>0</v>
      </c>
      <c r="Z57" s="211">
        <v>0</v>
      </c>
      <c r="AA57" s="1098">
        <v>0</v>
      </c>
      <c r="AB57" s="1098">
        <v>0</v>
      </c>
      <c r="AC57" s="1098">
        <v>0</v>
      </c>
      <c r="AD57" s="1098">
        <v>0</v>
      </c>
      <c r="AE57" s="1098">
        <v>0</v>
      </c>
      <c r="AF57" s="1098">
        <f>2758-145</f>
        <v>2613</v>
      </c>
      <c r="AG57" s="1098">
        <v>0</v>
      </c>
      <c r="AH57" s="1098">
        <v>0</v>
      </c>
      <c r="AI57" s="1098">
        <v>0</v>
      </c>
      <c r="AJ57" s="1098">
        <v>0</v>
      </c>
      <c r="AK57" s="1098">
        <v>0</v>
      </c>
      <c r="AL57" s="1098">
        <v>0</v>
      </c>
      <c r="AM57" s="1098">
        <v>0</v>
      </c>
      <c r="AN57" s="1098">
        <v>0</v>
      </c>
      <c r="AO57" s="1098">
        <v>0</v>
      </c>
      <c r="AP57" s="1098">
        <v>0</v>
      </c>
      <c r="AQ57" s="1098">
        <v>0</v>
      </c>
      <c r="AR57" s="1098">
        <v>52</v>
      </c>
      <c r="AS57" s="1098">
        <v>0</v>
      </c>
      <c r="AT57" s="1098">
        <v>4209</v>
      </c>
      <c r="AU57" s="1098">
        <v>0</v>
      </c>
      <c r="AV57" s="1098">
        <v>0</v>
      </c>
      <c r="AW57" s="1098">
        <v>0</v>
      </c>
      <c r="AX57" s="927"/>
      <c r="AY57" s="1292"/>
      <c r="AZ57" s="1292"/>
      <c r="BA57" s="1292"/>
      <c r="BB57" s="1292"/>
      <c r="BC57" s="1292"/>
      <c r="BD57" s="1098"/>
      <c r="BE57" s="1098"/>
      <c r="BF57" s="1098"/>
      <c r="BH57" s="1098"/>
      <c r="BK57" s="927"/>
      <c r="BL57" s="1098"/>
      <c r="BM57" s="1098"/>
      <c r="BP57" s="1265">
        <v>23</v>
      </c>
      <c r="BQ57" s="1098"/>
      <c r="BR57" s="928"/>
      <c r="BT57" s="928"/>
      <c r="BU57" s="928"/>
      <c r="BV57" s="928"/>
      <c r="BW57" s="1097"/>
      <c r="BX57" s="1097"/>
      <c r="BY57" s="1012"/>
      <c r="BZ57" s="928"/>
      <c r="CB57" s="928"/>
      <c r="CD57" s="211">
        <f t="shared" si="60"/>
        <v>576</v>
      </c>
      <c r="CE57" s="211">
        <f>+SONPPF!C135</f>
        <v>576</v>
      </c>
      <c r="CF57" s="211">
        <f>+SONPPF!E135</f>
        <v>0</v>
      </c>
      <c r="CG57" s="211">
        <f>+'Nonmajor Ent BS'!G134</f>
        <v>0</v>
      </c>
      <c r="CH57" s="211">
        <f>+'Nonmajor Ent BS'!E134</f>
        <v>0</v>
      </c>
      <c r="CI57" s="211">
        <f>+'Nonmajor Ent BS'!C134</f>
        <v>0</v>
      </c>
    </row>
    <row r="58" spans="1:87" ht="12.75" customHeight="1" x14ac:dyDescent="0.2">
      <c r="A58" s="220" t="s">
        <v>676</v>
      </c>
      <c r="B58" s="211">
        <f t="shared" si="59"/>
        <v>17528</v>
      </c>
      <c r="C58" s="928">
        <v>0</v>
      </c>
      <c r="D58" s="928">
        <v>15782</v>
      </c>
      <c r="E58" s="1391"/>
      <c r="F58" s="1476"/>
      <c r="H58" s="1389"/>
      <c r="J58" s="1476">
        <v>0</v>
      </c>
      <c r="K58" s="928"/>
      <c r="N58" s="928"/>
      <c r="O58" s="1292"/>
      <c r="P58" s="928"/>
      <c r="Q58" s="928"/>
      <c r="R58" s="928"/>
      <c r="S58" s="1097"/>
      <c r="T58" s="1097"/>
      <c r="U58" s="1097"/>
      <c r="V58" s="1292"/>
      <c r="W58" s="1097"/>
      <c r="X58" s="928"/>
      <c r="AA58" s="1098"/>
      <c r="AB58" s="1098"/>
      <c r="AC58" s="1098"/>
      <c r="AD58" s="1098"/>
      <c r="AE58" s="1098"/>
      <c r="AF58" s="1098"/>
      <c r="AG58" s="1098"/>
      <c r="AH58" s="1098"/>
      <c r="AI58" s="1098"/>
      <c r="AJ58" s="1098"/>
      <c r="AK58" s="1098"/>
      <c r="AL58" s="1098"/>
      <c r="AM58" s="1098"/>
      <c r="AN58" s="1098"/>
      <c r="AO58" s="1098"/>
      <c r="AP58" s="1098"/>
      <c r="AQ58" s="1098"/>
      <c r="AR58" s="1098"/>
      <c r="AS58" s="1098"/>
      <c r="AT58" s="1098"/>
      <c r="AU58" s="1098"/>
      <c r="AV58" s="1098"/>
      <c r="AW58" s="1098"/>
      <c r="AX58" s="927"/>
      <c r="AY58" s="1292"/>
      <c r="AZ58" s="1292"/>
      <c r="BA58" s="1292"/>
      <c r="BB58" s="1292"/>
      <c r="BC58" s="1292"/>
      <c r="BD58" s="1098"/>
      <c r="BE58" s="1098"/>
      <c r="BF58" s="1098"/>
      <c r="BH58" s="1098"/>
      <c r="BK58" s="927">
        <v>662</v>
      </c>
      <c r="BL58" s="1098">
        <v>66</v>
      </c>
      <c r="BM58" s="1098"/>
      <c r="BP58" s="1265"/>
      <c r="BQ58" s="1098"/>
      <c r="BR58" s="928">
        <v>1018</v>
      </c>
      <c r="BT58" s="928"/>
      <c r="BU58" s="928"/>
      <c r="BV58" s="928"/>
      <c r="BW58" s="1097"/>
      <c r="BX58" s="1097"/>
      <c r="BY58" s="1012"/>
      <c r="BZ58" s="928"/>
      <c r="CB58" s="928"/>
      <c r="CD58" s="211">
        <f t="shared" si="60"/>
        <v>6322</v>
      </c>
      <c r="CE58" s="211">
        <f>+SONPPF!C133</f>
        <v>6322</v>
      </c>
      <c r="CF58" s="211">
        <f>+SONPPF!E133</f>
        <v>0</v>
      </c>
      <c r="CG58" s="211">
        <f>'Nonmajor Ent BS'!G132</f>
        <v>0</v>
      </c>
      <c r="CH58" s="211">
        <f>'Nonmajor Ent BS'!E132</f>
        <v>0</v>
      </c>
      <c r="CI58" s="211">
        <f>'Nonmajor Ent BS'!C132</f>
        <v>0</v>
      </c>
    </row>
    <row r="59" spans="1:87" ht="12.75" customHeight="1" x14ac:dyDescent="0.2">
      <c r="A59" s="220" t="s">
        <v>296</v>
      </c>
      <c r="B59" s="211">
        <f t="shared" si="59"/>
        <v>3306</v>
      </c>
      <c r="C59" s="928"/>
      <c r="D59" s="928">
        <v>575</v>
      </c>
      <c r="E59" s="1391"/>
      <c r="F59" s="1476"/>
      <c r="H59" s="1389"/>
      <c r="J59" s="1477"/>
      <c r="K59" s="926"/>
      <c r="N59" s="928"/>
      <c r="O59" s="1292"/>
      <c r="P59" s="928"/>
      <c r="Q59" s="928"/>
      <c r="R59" s="928"/>
      <c r="S59" s="1097"/>
      <c r="T59" s="1097"/>
      <c r="U59" s="1097"/>
      <c r="V59" s="1288"/>
      <c r="W59" s="1097"/>
      <c r="X59" s="928"/>
      <c r="AA59" s="1098"/>
      <c r="AB59" s="1098">
        <v>0</v>
      </c>
      <c r="AC59" s="1098">
        <v>0</v>
      </c>
      <c r="AD59" s="1098">
        <v>2429</v>
      </c>
      <c r="AE59" s="1098">
        <v>0</v>
      </c>
      <c r="AF59" s="1098">
        <v>0</v>
      </c>
      <c r="AG59" s="1098">
        <v>0</v>
      </c>
      <c r="AH59" s="1098">
        <v>0</v>
      </c>
      <c r="AI59" s="1098">
        <v>0</v>
      </c>
      <c r="AJ59" s="1098">
        <v>0</v>
      </c>
      <c r="AK59" s="1098">
        <v>0</v>
      </c>
      <c r="AL59" s="1098">
        <v>258</v>
      </c>
      <c r="AM59" s="1098">
        <v>0</v>
      </c>
      <c r="AN59" s="1098">
        <v>0</v>
      </c>
      <c r="AO59" s="1098">
        <v>0</v>
      </c>
      <c r="AP59" s="1098">
        <v>0</v>
      </c>
      <c r="AQ59" s="1098">
        <v>0</v>
      </c>
      <c r="AR59" s="1098">
        <v>0</v>
      </c>
      <c r="AS59" s="1098">
        <v>0</v>
      </c>
      <c r="AT59" s="1098">
        <v>0</v>
      </c>
      <c r="AU59" s="1098">
        <v>0</v>
      </c>
      <c r="AV59" s="1098">
        <v>0</v>
      </c>
      <c r="AW59" s="1098">
        <v>44</v>
      </c>
      <c r="AX59" s="927"/>
      <c r="AY59" s="1288"/>
      <c r="AZ59" s="1251"/>
      <c r="BA59" s="1288"/>
      <c r="BB59" s="1288"/>
      <c r="BC59" s="1288"/>
      <c r="BD59" s="1098"/>
      <c r="BE59" s="1098"/>
      <c r="BF59" s="1098"/>
      <c r="BH59" s="1098"/>
      <c r="BK59" s="927"/>
      <c r="BL59" s="1098"/>
      <c r="BM59" s="1098"/>
      <c r="BP59" s="1265"/>
      <c r="BQ59" s="1098"/>
      <c r="BR59" s="928"/>
      <c r="BT59" s="928"/>
      <c r="BU59" s="928"/>
      <c r="BV59" s="928"/>
      <c r="BW59" s="1097"/>
      <c r="BX59" s="1097"/>
      <c r="BY59" s="1012"/>
      <c r="BZ59" s="928"/>
      <c r="CB59" s="928"/>
      <c r="CD59" s="211">
        <f t="shared" si="60"/>
        <v>0</v>
      </c>
    </row>
    <row r="60" spans="1:87" ht="12.75" customHeight="1" x14ac:dyDescent="0.2">
      <c r="A60" s="220" t="s">
        <v>604</v>
      </c>
      <c r="B60" s="211">
        <f t="shared" si="59"/>
        <v>83140</v>
      </c>
      <c r="C60" s="928"/>
      <c r="D60" s="928">
        <v>100</v>
      </c>
      <c r="E60" s="1396">
        <v>20802</v>
      </c>
      <c r="F60" s="1476">
        <v>44168</v>
      </c>
      <c r="G60" s="211">
        <v>90</v>
      </c>
      <c r="H60" s="1389"/>
      <c r="J60" s="1389">
        <v>0</v>
      </c>
      <c r="K60" s="926"/>
      <c r="N60" s="928">
        <v>0</v>
      </c>
      <c r="O60" s="1292">
        <v>0</v>
      </c>
      <c r="P60" s="928">
        <v>1800</v>
      </c>
      <c r="Q60" s="928">
        <v>0</v>
      </c>
      <c r="R60" s="928">
        <v>7298</v>
      </c>
      <c r="S60" s="1097">
        <v>8241</v>
      </c>
      <c r="T60" s="1097">
        <v>600</v>
      </c>
      <c r="U60" s="1097"/>
      <c r="V60" s="1288"/>
      <c r="W60" s="1097"/>
      <c r="X60" s="928">
        <v>0</v>
      </c>
      <c r="Y60" s="211">
        <v>0</v>
      </c>
      <c r="Z60" s="211">
        <v>0</v>
      </c>
      <c r="AA60" s="1098">
        <v>0</v>
      </c>
      <c r="AB60" s="1098">
        <v>0</v>
      </c>
      <c r="AC60" s="1098">
        <v>0</v>
      </c>
      <c r="AD60" s="1098">
        <v>0</v>
      </c>
      <c r="AE60" s="1098">
        <v>0</v>
      </c>
      <c r="AF60" s="1098">
        <v>0</v>
      </c>
      <c r="AG60" s="1098">
        <v>0</v>
      </c>
      <c r="AH60" s="1098">
        <v>0</v>
      </c>
      <c r="AI60" s="1098">
        <v>0</v>
      </c>
      <c r="AJ60" s="1098">
        <v>0</v>
      </c>
      <c r="AK60" s="1098">
        <v>0</v>
      </c>
      <c r="AL60" s="1098">
        <v>0</v>
      </c>
      <c r="AM60" s="1098">
        <v>0</v>
      </c>
      <c r="AN60" s="1098">
        <v>0</v>
      </c>
      <c r="AO60" s="1098">
        <v>0</v>
      </c>
      <c r="AP60" s="1098">
        <v>0</v>
      </c>
      <c r="AQ60" s="1098">
        <v>0</v>
      </c>
      <c r="AR60" s="1098">
        <v>0</v>
      </c>
      <c r="AS60" s="1098">
        <v>0</v>
      </c>
      <c r="AT60" s="1098">
        <v>41</v>
      </c>
      <c r="AU60" s="1098">
        <v>0</v>
      </c>
      <c r="AV60" s="1098">
        <v>0</v>
      </c>
      <c r="AW60" s="1097">
        <v>0</v>
      </c>
      <c r="AX60" s="927"/>
      <c r="AY60" s="1288"/>
      <c r="AZ60" s="1251"/>
      <c r="BA60" s="1288"/>
      <c r="BB60" s="1288"/>
      <c r="BC60" s="1288"/>
      <c r="BD60" s="1098"/>
      <c r="BE60" s="1098"/>
      <c r="BF60" s="1098"/>
      <c r="BH60" s="1098"/>
      <c r="BK60" s="927"/>
      <c r="BL60" s="1098"/>
      <c r="BM60" s="1098"/>
      <c r="BP60" s="1265"/>
      <c r="BQ60" s="1098"/>
      <c r="BR60" s="928">
        <v>0</v>
      </c>
      <c r="BS60" s="211">
        <v>0</v>
      </c>
      <c r="BT60" s="928"/>
      <c r="BU60" s="928"/>
      <c r="BV60" s="928"/>
      <c r="BW60" s="1097"/>
      <c r="BX60" s="1097">
        <v>0</v>
      </c>
      <c r="BY60" s="1012"/>
      <c r="BZ60" s="928"/>
      <c r="CB60" s="928"/>
      <c r="CD60" s="211">
        <f t="shared" si="60"/>
        <v>0</v>
      </c>
      <c r="CE60" s="211">
        <f>+SONPPF!C138</f>
        <v>0</v>
      </c>
      <c r="CF60" s="211">
        <f>+SONPPF!E138</f>
        <v>0</v>
      </c>
      <c r="CG60" s="211">
        <f>'Nonmajor Ent BS'!G137</f>
        <v>0</v>
      </c>
      <c r="CH60" s="211">
        <f>'Nonmajor Ent BS'!E137</f>
        <v>0</v>
      </c>
      <c r="CI60" s="211">
        <f>'Nonmajor Ent BS'!C137</f>
        <v>0</v>
      </c>
    </row>
    <row r="61" spans="1:87" ht="12.75" customHeight="1" x14ac:dyDescent="0.2">
      <c r="A61" s="220" t="s">
        <v>593</v>
      </c>
      <c r="B61" s="211">
        <f t="shared" si="59"/>
        <v>11</v>
      </c>
      <c r="C61" s="927"/>
      <c r="D61" s="928"/>
      <c r="E61" s="1389"/>
      <c r="F61" s="1476">
        <v>11</v>
      </c>
      <c r="H61" s="1396"/>
      <c r="J61" s="1399">
        <v>0</v>
      </c>
      <c r="K61" s="926"/>
      <c r="N61" s="928"/>
      <c r="O61" s="1292"/>
      <c r="P61" s="928"/>
      <c r="Q61" s="926"/>
      <c r="R61" s="928"/>
      <c r="S61" s="1098"/>
      <c r="T61" s="1097"/>
      <c r="U61" s="1098"/>
      <c r="V61" s="1288"/>
      <c r="W61" s="1098"/>
      <c r="X61" s="928"/>
      <c r="AA61" s="1098"/>
      <c r="AB61" s="1098"/>
      <c r="AC61" s="1098"/>
      <c r="AD61" s="1098"/>
      <c r="AE61" s="1098"/>
      <c r="AF61" s="1098"/>
      <c r="AG61" s="1098"/>
      <c r="AH61" s="1098"/>
      <c r="AI61" s="1098"/>
      <c r="AJ61" s="1098"/>
      <c r="AK61" s="1098"/>
      <c r="AL61" s="1098"/>
      <c r="AM61" s="1098"/>
      <c r="AN61" s="1098"/>
      <c r="AO61" s="1098"/>
      <c r="AP61" s="1098"/>
      <c r="AQ61" s="1098"/>
      <c r="AR61" s="1098"/>
      <c r="AS61" s="1098"/>
      <c r="AT61" s="1098"/>
      <c r="AU61" s="1098"/>
      <c r="AV61" s="1098"/>
      <c r="AW61" s="1098"/>
      <c r="AX61" s="928"/>
      <c r="AY61" s="1288"/>
      <c r="AZ61" s="1251"/>
      <c r="BA61" s="1288"/>
      <c r="BB61" s="1288"/>
      <c r="BC61" s="1288"/>
      <c r="BD61" s="1098"/>
      <c r="BE61" s="1098"/>
      <c r="BF61" s="1098"/>
      <c r="BH61" s="1098"/>
      <c r="BK61" s="928"/>
      <c r="BL61" s="1098"/>
      <c r="BM61" s="1098"/>
      <c r="BP61" s="1265"/>
      <c r="BQ61" s="1098"/>
      <c r="BR61" s="928"/>
      <c r="BS61" s="211">
        <v>0</v>
      </c>
      <c r="BT61" s="928"/>
      <c r="BU61" s="928"/>
      <c r="BV61" s="928"/>
      <c r="BW61" s="1097"/>
      <c r="BX61" s="1097"/>
      <c r="BY61" s="1012"/>
      <c r="BZ61" s="928"/>
      <c r="CB61" s="928"/>
      <c r="CD61" s="211">
        <f t="shared" si="60"/>
        <v>0</v>
      </c>
    </row>
    <row r="62" spans="1:87" ht="12.75" customHeight="1" x14ac:dyDescent="0.2">
      <c r="A62" s="225" t="s">
        <v>81</v>
      </c>
      <c r="B62" s="226">
        <f>SUM(B50:B61)</f>
        <v>386167</v>
      </c>
      <c r="C62" s="1153">
        <f>SUM(C50:C61)</f>
        <v>83077</v>
      </c>
      <c r="D62" s="1495">
        <f>SUM(D50:D61)</f>
        <v>16457</v>
      </c>
      <c r="E62" s="1470">
        <f>SUM(E53:E61)</f>
        <v>29088</v>
      </c>
      <c r="F62" s="1516">
        <f>SUM(F54:F61)</f>
        <v>64207</v>
      </c>
      <c r="G62" s="1470">
        <f>SUM(G54:G61)</f>
        <v>1083</v>
      </c>
      <c r="H62" s="1507">
        <f>SUM(H54:H61)</f>
        <v>78</v>
      </c>
      <c r="I62" s="1508">
        <f>SUM(I54:I61)</f>
        <v>5446</v>
      </c>
      <c r="J62" s="226">
        <f t="shared" ref="J62:BN62" si="61">SUM(J50:J61)</f>
        <v>0</v>
      </c>
      <c r="K62" s="1153">
        <f>SUM(K50:K61)</f>
        <v>180</v>
      </c>
      <c r="L62" s="226">
        <f t="shared" si="61"/>
        <v>0</v>
      </c>
      <c r="M62" s="226">
        <f t="shared" si="61"/>
        <v>0</v>
      </c>
      <c r="N62" s="1153">
        <f t="shared" ref="N62" si="62">SUM(N50:N61)</f>
        <v>23838</v>
      </c>
      <c r="O62" s="1153">
        <f t="shared" ref="O62" si="63">SUM(O50:O61)</f>
        <v>4792</v>
      </c>
      <c r="P62" s="1153">
        <f t="shared" ref="P62" si="64">SUM(P50:P61)</f>
        <v>1800</v>
      </c>
      <c r="Q62" s="1153">
        <v>0</v>
      </c>
      <c r="R62" s="226">
        <f t="shared" si="61"/>
        <v>8355</v>
      </c>
      <c r="S62" s="226">
        <f t="shared" si="61"/>
        <v>8414</v>
      </c>
      <c r="T62" s="1153">
        <f t="shared" ref="T62:U62" si="65">SUM(T50:T61)</f>
        <v>1032</v>
      </c>
      <c r="U62" s="1153">
        <f t="shared" si="65"/>
        <v>95</v>
      </c>
      <c r="V62" s="226">
        <f t="shared" si="61"/>
        <v>0</v>
      </c>
      <c r="W62" s="1153">
        <f t="shared" ref="W62" si="66">SUM(W50:W61)</f>
        <v>1080</v>
      </c>
      <c r="X62" s="1495">
        <f>SUM(X50:X61)</f>
        <v>1056</v>
      </c>
      <c r="Y62" s="226">
        <f t="shared" si="61"/>
        <v>0</v>
      </c>
      <c r="Z62" s="226">
        <f t="shared" si="61"/>
        <v>0</v>
      </c>
      <c r="AA62" s="226">
        <f t="shared" si="61"/>
        <v>0</v>
      </c>
      <c r="AB62" s="226">
        <f t="shared" ref="AB62:AW62" si="67">SUM(AB50:AB61)</f>
        <v>0</v>
      </c>
      <c r="AC62" s="226">
        <f t="shared" si="67"/>
        <v>0</v>
      </c>
      <c r="AD62" s="226">
        <f t="shared" si="67"/>
        <v>2429</v>
      </c>
      <c r="AE62" s="226">
        <f t="shared" si="67"/>
        <v>0</v>
      </c>
      <c r="AF62" s="226">
        <f t="shared" si="67"/>
        <v>41726</v>
      </c>
      <c r="AG62" s="226">
        <f t="shared" si="67"/>
        <v>0</v>
      </c>
      <c r="AH62" s="226">
        <f t="shared" si="67"/>
        <v>0</v>
      </c>
      <c r="AI62" s="226">
        <f t="shared" si="67"/>
        <v>0</v>
      </c>
      <c r="AJ62" s="226">
        <f t="shared" si="67"/>
        <v>0</v>
      </c>
      <c r="AK62" s="226">
        <f t="shared" si="67"/>
        <v>0</v>
      </c>
      <c r="AL62" s="226">
        <f t="shared" si="67"/>
        <v>258</v>
      </c>
      <c r="AM62" s="226">
        <f t="shared" si="67"/>
        <v>0</v>
      </c>
      <c r="AN62" s="226">
        <f t="shared" si="67"/>
        <v>0</v>
      </c>
      <c r="AO62" s="226">
        <f t="shared" si="67"/>
        <v>0</v>
      </c>
      <c r="AP62" s="226">
        <f t="shared" si="67"/>
        <v>0</v>
      </c>
      <c r="AQ62" s="226">
        <f t="shared" si="67"/>
        <v>0</v>
      </c>
      <c r="AR62" s="226">
        <f t="shared" si="67"/>
        <v>3658</v>
      </c>
      <c r="AS62" s="226">
        <f t="shared" si="67"/>
        <v>0</v>
      </c>
      <c r="AT62" s="226">
        <f t="shared" ref="AT62" si="68">SUM(AT50:AT61)</f>
        <v>32477</v>
      </c>
      <c r="AU62" s="226">
        <f t="shared" si="67"/>
        <v>0</v>
      </c>
      <c r="AV62" s="226">
        <f t="shared" si="67"/>
        <v>0</v>
      </c>
      <c r="AW62" s="226">
        <f t="shared" si="67"/>
        <v>44</v>
      </c>
      <c r="AX62" s="226">
        <f t="shared" si="61"/>
        <v>0</v>
      </c>
      <c r="AY62" s="226">
        <f t="shared" si="61"/>
        <v>0</v>
      </c>
      <c r="AZ62" s="226">
        <f t="shared" si="61"/>
        <v>3</v>
      </c>
      <c r="BA62" s="226">
        <f t="shared" si="61"/>
        <v>0</v>
      </c>
      <c r="BB62" s="226">
        <f t="shared" si="61"/>
        <v>0</v>
      </c>
      <c r="BC62" s="226">
        <f t="shared" si="61"/>
        <v>0</v>
      </c>
      <c r="BD62" s="226">
        <f t="shared" si="61"/>
        <v>0</v>
      </c>
      <c r="BE62" s="226">
        <f t="shared" si="61"/>
        <v>0</v>
      </c>
      <c r="BF62" s="226">
        <f t="shared" si="61"/>
        <v>275</v>
      </c>
      <c r="BG62" s="226">
        <f t="shared" si="61"/>
        <v>0</v>
      </c>
      <c r="BH62" s="226">
        <f t="shared" si="61"/>
        <v>2528</v>
      </c>
      <c r="BI62" s="226">
        <f t="shared" si="61"/>
        <v>0</v>
      </c>
      <c r="BJ62" s="226">
        <f t="shared" ref="BJ62" si="69">SUM(BJ50:BJ61)</f>
        <v>1524</v>
      </c>
      <c r="BK62" s="1316">
        <f>SUM(BK50:BK61)</f>
        <v>672</v>
      </c>
      <c r="BL62" s="1153">
        <f>SUM(BL50:BL61)</f>
        <v>66</v>
      </c>
      <c r="BM62" s="226">
        <f t="shared" si="61"/>
        <v>39</v>
      </c>
      <c r="BN62" s="226">
        <f t="shared" si="61"/>
        <v>0</v>
      </c>
      <c r="BO62" s="226">
        <f t="shared" ref="BO62:CA62" si="70">SUM(BO50:BO61)</f>
        <v>0</v>
      </c>
      <c r="BP62" s="226">
        <f t="shared" si="70"/>
        <v>273</v>
      </c>
      <c r="BQ62" s="226">
        <f t="shared" si="70"/>
        <v>25650</v>
      </c>
      <c r="BR62" s="226">
        <f t="shared" si="70"/>
        <v>1018</v>
      </c>
      <c r="BS62" s="226">
        <f t="shared" si="70"/>
        <v>204</v>
      </c>
      <c r="BT62" s="1153">
        <f t="shared" ref="BT62:BV62" si="71">SUM(BT50:BT61)</f>
        <v>10440</v>
      </c>
      <c r="BU62" s="1153">
        <f t="shared" si="71"/>
        <v>2012</v>
      </c>
      <c r="BV62" s="1153">
        <f t="shared" si="71"/>
        <v>580</v>
      </c>
      <c r="BW62" s="226">
        <f t="shared" si="70"/>
        <v>3002</v>
      </c>
      <c r="BX62" s="226">
        <f t="shared" si="70"/>
        <v>6517</v>
      </c>
      <c r="BY62" s="226">
        <f t="shared" si="70"/>
        <v>694</v>
      </c>
      <c r="BZ62" s="1495">
        <f>SUM(BZ50:BZ61)</f>
        <v>0</v>
      </c>
      <c r="CA62" s="226">
        <f t="shared" si="70"/>
        <v>0</v>
      </c>
      <c r="CB62" s="1316"/>
      <c r="CC62" s="331"/>
      <c r="CD62" s="226">
        <f t="shared" ref="CD62:CI62" si="72">SUM(CD50:CD61)</f>
        <v>64322</v>
      </c>
      <c r="CE62" s="226">
        <f t="shared" si="72"/>
        <v>52040</v>
      </c>
      <c r="CF62" s="226">
        <f t="shared" si="72"/>
        <v>6542</v>
      </c>
      <c r="CG62" s="226">
        <f t="shared" si="72"/>
        <v>281</v>
      </c>
      <c r="CH62" s="226">
        <f t="shared" si="72"/>
        <v>135</v>
      </c>
      <c r="CI62" s="226">
        <f t="shared" si="72"/>
        <v>5324</v>
      </c>
    </row>
    <row r="63" spans="1:87" ht="12.75" customHeight="1" x14ac:dyDescent="0.2">
      <c r="A63" s="222"/>
      <c r="B63" s="217"/>
      <c r="C63" s="1317"/>
      <c r="D63" s="1317"/>
      <c r="E63" s="1397"/>
      <c r="F63" s="1397"/>
      <c r="G63" s="1397"/>
      <c r="H63" s="1397"/>
      <c r="I63" s="1398"/>
      <c r="J63" s="1397"/>
      <c r="K63" s="1317"/>
      <c r="L63" s="217"/>
      <c r="M63" s="217"/>
      <c r="N63" s="1317"/>
      <c r="O63" s="1317"/>
      <c r="P63" s="1317"/>
      <c r="Q63" s="1317"/>
      <c r="R63" s="1317"/>
      <c r="S63" s="1357"/>
      <c r="T63" s="1357"/>
      <c r="U63" s="1357"/>
      <c r="V63" s="1293"/>
      <c r="W63" s="1357"/>
      <c r="X63" s="1317"/>
      <c r="Y63" s="217"/>
      <c r="Z63" s="217"/>
      <c r="AA63" s="1357"/>
      <c r="AB63" s="1357"/>
      <c r="AC63" s="1357"/>
      <c r="AD63" s="1357"/>
      <c r="AE63" s="1357"/>
      <c r="AF63" s="1357"/>
      <c r="AG63" s="1357"/>
      <c r="AH63" s="1357"/>
      <c r="AI63" s="1357"/>
      <c r="AJ63" s="1357"/>
      <c r="AK63" s="1357"/>
      <c r="AL63" s="1357"/>
      <c r="AM63" s="1357"/>
      <c r="AN63" s="1357"/>
      <c r="AO63" s="1357"/>
      <c r="AP63" s="1357"/>
      <c r="AQ63" s="1357"/>
      <c r="AR63" s="1357"/>
      <c r="AS63" s="1357"/>
      <c r="AT63" s="1357"/>
      <c r="AU63" s="1357"/>
      <c r="AV63" s="1357"/>
      <c r="AW63" s="1357"/>
      <c r="AX63" s="1309"/>
      <c r="AY63" s="1293"/>
      <c r="AZ63" s="1347"/>
      <c r="BA63" s="1293"/>
      <c r="BB63" s="1293"/>
      <c r="BC63" s="1293"/>
      <c r="BD63" s="1357"/>
      <c r="BE63" s="1357"/>
      <c r="BF63" s="1357"/>
      <c r="BG63" s="217"/>
      <c r="BH63" s="1357"/>
      <c r="BI63" s="217"/>
      <c r="BJ63" s="217"/>
      <c r="BK63" s="1309"/>
      <c r="BL63" s="1357"/>
      <c r="BM63" s="1357"/>
      <c r="BN63" s="217"/>
      <c r="BO63" s="217"/>
      <c r="BP63" s="1266"/>
      <c r="BQ63" s="1357"/>
      <c r="BR63" s="1317"/>
      <c r="BS63" s="217"/>
      <c r="BT63" s="1317"/>
      <c r="BU63" s="1317"/>
      <c r="BV63" s="1317"/>
      <c r="BW63" s="1357"/>
      <c r="BX63" s="1357"/>
      <c r="BY63" s="1445"/>
      <c r="BZ63" s="1317"/>
      <c r="CA63" s="217"/>
      <c r="CB63" s="1317"/>
      <c r="CC63" s="217"/>
      <c r="CD63" s="217"/>
      <c r="CE63" s="217"/>
      <c r="CF63" s="217"/>
      <c r="CG63" s="217"/>
      <c r="CH63" s="217"/>
      <c r="CI63" s="217"/>
    </row>
    <row r="64" spans="1:87" ht="12.75" customHeight="1" x14ac:dyDescent="0.2">
      <c r="A64" s="225" t="s">
        <v>1038</v>
      </c>
      <c r="C64" s="926"/>
      <c r="D64" s="928"/>
      <c r="E64" s="1399"/>
      <c r="F64" s="1399"/>
      <c r="G64" s="1400"/>
      <c r="H64" s="1389"/>
      <c r="I64" s="1400"/>
      <c r="J64" s="1399"/>
      <c r="K64" s="926"/>
      <c r="N64" s="926"/>
      <c r="O64" s="928"/>
      <c r="P64" s="928"/>
      <c r="Q64" s="926"/>
      <c r="R64" s="926"/>
      <c r="S64" s="1098"/>
      <c r="T64" s="1097"/>
      <c r="U64" s="1098"/>
      <c r="V64" s="1288"/>
      <c r="W64" s="1098"/>
      <c r="X64" s="928"/>
      <c r="AA64" s="1098"/>
      <c r="AB64" s="1098"/>
      <c r="AC64" s="1098"/>
      <c r="AD64" s="1098"/>
      <c r="AE64" s="1098"/>
      <c r="AF64" s="1098"/>
      <c r="AG64" s="1098"/>
      <c r="AH64" s="1098"/>
      <c r="AI64" s="1098"/>
      <c r="AJ64" s="1098"/>
      <c r="AK64" s="1098"/>
      <c r="AL64" s="1098"/>
      <c r="AM64" s="1098"/>
      <c r="AN64" s="1098"/>
      <c r="AO64" s="1098"/>
      <c r="AP64" s="1098"/>
      <c r="AQ64" s="1098"/>
      <c r="AR64" s="1098"/>
      <c r="AS64" s="1098"/>
      <c r="AT64" s="1098"/>
      <c r="AU64" s="1098"/>
      <c r="AV64" s="1098"/>
      <c r="AW64" s="1098"/>
      <c r="AX64" s="1308"/>
      <c r="AY64" s="1288"/>
      <c r="AZ64" s="1251"/>
      <c r="BA64" s="1288"/>
      <c r="BB64" s="1288"/>
      <c r="BC64" s="1288"/>
      <c r="BD64" s="1098"/>
      <c r="BE64" s="1098"/>
      <c r="BF64" s="1098"/>
      <c r="BH64" s="1098"/>
      <c r="BK64" s="1308"/>
      <c r="BL64" s="1098"/>
      <c r="BM64" s="1098"/>
      <c r="BP64" s="1265"/>
      <c r="BQ64" s="1098"/>
      <c r="BR64" s="928"/>
      <c r="BT64" s="928"/>
      <c r="BU64" s="928"/>
      <c r="BV64" s="928"/>
      <c r="BW64" s="1097"/>
      <c r="BX64" s="1097"/>
      <c r="BY64" s="1012"/>
      <c r="BZ64" s="928"/>
      <c r="CB64" s="928"/>
    </row>
    <row r="65" spans="1:87" ht="12.75" customHeight="1" x14ac:dyDescent="0.2">
      <c r="A65" s="220" t="s">
        <v>943</v>
      </c>
      <c r="C65" s="927"/>
      <c r="D65" s="927"/>
      <c r="E65" s="1393"/>
      <c r="F65" s="1393"/>
      <c r="G65" s="1392"/>
      <c r="H65" s="1393"/>
      <c r="I65" s="1392"/>
      <c r="J65" s="1393"/>
      <c r="K65" s="927"/>
      <c r="L65" s="218"/>
      <c r="M65" s="218"/>
      <c r="N65" s="927"/>
      <c r="O65" s="927"/>
      <c r="P65" s="927"/>
      <c r="Q65" s="927"/>
      <c r="R65" s="927"/>
      <c r="S65" s="1096"/>
      <c r="T65" s="1096"/>
      <c r="U65" s="1096"/>
      <c r="V65" s="1295"/>
      <c r="W65" s="1096"/>
      <c r="X65" s="927"/>
      <c r="Y65" s="218"/>
      <c r="Z65" s="218"/>
      <c r="AA65" s="1096"/>
      <c r="AB65" s="1096"/>
      <c r="AC65" s="1096"/>
      <c r="AD65" s="1096"/>
      <c r="AE65" s="1096"/>
      <c r="AF65" s="1096"/>
      <c r="AG65" s="1096"/>
      <c r="AH65" s="1096"/>
      <c r="AI65" s="1096"/>
      <c r="AJ65" s="1096"/>
      <c r="AK65" s="1096"/>
      <c r="AL65" s="1096"/>
      <c r="AM65" s="1096"/>
      <c r="AN65" s="1096"/>
      <c r="AO65" s="1096"/>
      <c r="AP65" s="1096"/>
      <c r="AQ65" s="1096"/>
      <c r="AR65" s="1096"/>
      <c r="AS65" s="1096"/>
      <c r="AT65" s="1096"/>
      <c r="AU65" s="1096"/>
      <c r="AV65" s="1096"/>
      <c r="AW65" s="1096"/>
      <c r="AX65" s="1310"/>
      <c r="AY65" s="1295"/>
      <c r="AZ65" s="1348"/>
      <c r="BA65" s="1295"/>
      <c r="BB65" s="1295"/>
      <c r="BC65" s="1295"/>
      <c r="BD65" s="1096"/>
      <c r="BE65" s="1096"/>
      <c r="BF65" s="1096"/>
      <c r="BG65" s="218"/>
      <c r="BH65" s="1096"/>
      <c r="BI65" s="218"/>
      <c r="BJ65" s="218"/>
      <c r="BK65" s="1310"/>
      <c r="BL65" s="1096"/>
      <c r="BM65" s="1096"/>
      <c r="BN65" s="218"/>
      <c r="BO65" s="218"/>
      <c r="BP65" s="1269"/>
      <c r="BQ65" s="1096"/>
      <c r="BR65" s="927"/>
      <c r="BS65" s="218"/>
      <c r="BT65" s="927"/>
      <c r="BU65" s="927"/>
      <c r="BV65" s="927"/>
      <c r="BW65" s="1096"/>
      <c r="BX65" s="1096"/>
      <c r="BY65" s="1446"/>
      <c r="BZ65" s="927"/>
      <c r="CA65" s="218"/>
      <c r="CB65" s="927"/>
      <c r="CC65" s="218"/>
      <c r="CD65" s="218"/>
      <c r="CE65" s="218"/>
      <c r="CF65" s="218"/>
      <c r="CG65" s="218"/>
      <c r="CH65" s="218"/>
      <c r="CI65" s="218"/>
    </row>
    <row r="66" spans="1:87" s="332" customFormat="1" ht="12.75" customHeight="1" x14ac:dyDescent="0.2">
      <c r="A66" s="1181" t="s">
        <v>696</v>
      </c>
      <c r="B66" s="244">
        <f>SUM(C66:CB66)</f>
        <v>251776</v>
      </c>
      <c r="C66" s="244"/>
      <c r="D66" s="1279">
        <v>-67341</v>
      </c>
      <c r="E66" s="1401"/>
      <c r="F66" s="1401"/>
      <c r="G66" s="1402"/>
      <c r="H66" s="1401"/>
      <c r="I66" s="1402"/>
      <c r="J66" s="1401"/>
      <c r="K66" s="1279"/>
      <c r="L66" s="245"/>
      <c r="M66" s="245"/>
      <c r="N66" s="1279"/>
      <c r="O66" s="1279"/>
      <c r="P66" s="1279"/>
      <c r="Q66" s="1279"/>
      <c r="R66" s="1279"/>
      <c r="S66" s="1279"/>
      <c r="T66" s="1279"/>
      <c r="U66" s="1279"/>
      <c r="V66" s="1296"/>
      <c r="W66" s="1279"/>
      <c r="X66" s="1497"/>
      <c r="Y66" s="245">
        <v>0</v>
      </c>
      <c r="Z66" s="245">
        <v>0</v>
      </c>
      <c r="AA66" s="1279">
        <v>0</v>
      </c>
      <c r="AB66" s="245">
        <v>0</v>
      </c>
      <c r="AC66" s="245">
        <v>17075</v>
      </c>
      <c r="AD66" s="245">
        <v>27205</v>
      </c>
      <c r="AE66" s="245">
        <v>41100</v>
      </c>
      <c r="AF66" s="245">
        <v>0</v>
      </c>
      <c r="AG66" s="245">
        <v>0</v>
      </c>
      <c r="AH66" s="245">
        <v>0</v>
      </c>
      <c r="AI66" s="245"/>
      <c r="AJ66" s="245"/>
      <c r="AK66" s="245">
        <v>18015</v>
      </c>
      <c r="AL66" s="245">
        <v>1955</v>
      </c>
      <c r="AM66" s="245">
        <v>2570</v>
      </c>
      <c r="AN66" s="245">
        <v>4345</v>
      </c>
      <c r="AO66" s="245">
        <v>2640</v>
      </c>
      <c r="AP66" s="245">
        <v>3925</v>
      </c>
      <c r="AQ66" s="245">
        <v>20975</v>
      </c>
      <c r="AR66" s="245">
        <v>0</v>
      </c>
      <c r="AS66" s="245">
        <v>0</v>
      </c>
      <c r="AT66" s="245">
        <v>0</v>
      </c>
      <c r="AU66" s="245">
        <v>0</v>
      </c>
      <c r="AV66" s="245">
        <v>0</v>
      </c>
      <c r="AW66" s="245">
        <v>33240</v>
      </c>
      <c r="AX66" s="1318">
        <v>2335</v>
      </c>
      <c r="AY66" s="1296"/>
      <c r="AZ66" s="1349"/>
      <c r="BA66" s="1296"/>
      <c r="BB66" s="1296"/>
      <c r="BC66" s="1296"/>
      <c r="BD66" s="1279"/>
      <c r="BE66" s="1279"/>
      <c r="BF66" s="1279"/>
      <c r="BG66" s="245"/>
      <c r="BH66" s="1279"/>
      <c r="BI66" s="245"/>
      <c r="BJ66" s="245"/>
      <c r="BK66" s="245">
        <v>2305</v>
      </c>
      <c r="BL66" s="1279">
        <v>1135</v>
      </c>
      <c r="BM66" s="1279"/>
      <c r="BN66" s="245"/>
      <c r="BO66" s="245"/>
      <c r="BP66" s="1279"/>
      <c r="BQ66" s="1279"/>
      <c r="BR66" s="1279">
        <v>5630</v>
      </c>
      <c r="BS66" s="245"/>
      <c r="BT66" s="1279"/>
      <c r="BU66" s="1279"/>
      <c r="BV66" s="1279"/>
      <c r="BW66" s="244"/>
      <c r="BX66" s="1279">
        <v>222</v>
      </c>
      <c r="BY66" s="1279"/>
      <c r="BZ66" s="1497">
        <v>134445</v>
      </c>
      <c r="CA66" s="245"/>
      <c r="CB66" s="1318"/>
      <c r="CC66" s="1182"/>
      <c r="CD66" s="245">
        <f t="shared" ref="CD66:CD98" si="73">SUM(CE66:CI66)</f>
        <v>24731</v>
      </c>
      <c r="CE66" s="245">
        <f>+SONPPF!C137</f>
        <v>24407</v>
      </c>
      <c r="CF66" s="245">
        <f>+SONPPF!E137</f>
        <v>0</v>
      </c>
      <c r="CG66" s="245">
        <f>'Nonmajor Ent BS'!G136</f>
        <v>0</v>
      </c>
      <c r="CH66" s="245">
        <f>'Nonmajor Ent BS'!E135</f>
        <v>0</v>
      </c>
      <c r="CI66" s="245">
        <f>'Nonmajor Ent BS'!C136</f>
        <v>324</v>
      </c>
    </row>
    <row r="67" spans="1:87" s="332" customFormat="1" ht="12.75" customHeight="1" x14ac:dyDescent="0.2">
      <c r="A67" s="1183" t="s">
        <v>254</v>
      </c>
      <c r="B67" s="211">
        <f t="shared" ref="B67:B97" si="74">SUM(C67:CB67)</f>
        <v>30365</v>
      </c>
      <c r="C67" s="1096"/>
      <c r="D67" s="1491"/>
      <c r="E67" s="1393"/>
      <c r="F67" s="1393"/>
      <c r="G67" s="1392"/>
      <c r="H67" s="1393"/>
      <c r="I67" s="1392"/>
      <c r="J67" s="1393"/>
      <c r="K67" s="1096"/>
      <c r="L67" s="218"/>
      <c r="M67" s="218"/>
      <c r="N67" s="1096"/>
      <c r="O67" s="1096"/>
      <c r="P67" s="1096"/>
      <c r="Q67" s="1096"/>
      <c r="R67" s="1096"/>
      <c r="S67" s="1096"/>
      <c r="T67" s="1096"/>
      <c r="U67" s="1096"/>
      <c r="V67" s="1295"/>
      <c r="W67" s="1096"/>
      <c r="X67" s="1491"/>
      <c r="Y67" s="218"/>
      <c r="Z67" s="218"/>
      <c r="AA67" s="1096"/>
      <c r="AB67" s="1096"/>
      <c r="AC67" s="1096"/>
      <c r="AD67" s="1096"/>
      <c r="AE67" s="1096"/>
      <c r="AF67" s="1096"/>
      <c r="AG67" s="1096"/>
      <c r="AH67" s="1096"/>
      <c r="AI67" s="1096"/>
      <c r="AJ67" s="1096"/>
      <c r="AK67" s="1096"/>
      <c r="AL67" s="1096"/>
      <c r="AM67" s="1096"/>
      <c r="AN67" s="1096"/>
      <c r="AO67" s="1096"/>
      <c r="AP67" s="1096"/>
      <c r="AQ67" s="1096"/>
      <c r="AR67" s="1096"/>
      <c r="AS67" s="1096"/>
      <c r="AT67" s="1096"/>
      <c r="AU67" s="1096"/>
      <c r="AV67" s="1096"/>
      <c r="AW67" s="1096"/>
      <c r="AX67" s="1310"/>
      <c r="AY67" s="1295"/>
      <c r="AZ67" s="1348"/>
      <c r="BA67" s="1295"/>
      <c r="BB67" s="1295"/>
      <c r="BC67" s="1295"/>
      <c r="BD67" s="1096"/>
      <c r="BE67" s="1096"/>
      <c r="BF67" s="1096"/>
      <c r="BG67" s="218"/>
      <c r="BH67" s="1096"/>
      <c r="BI67" s="218"/>
      <c r="BJ67" s="218"/>
      <c r="BK67" s="1310">
        <v>0</v>
      </c>
      <c r="BL67" s="1096"/>
      <c r="BM67" s="1096"/>
      <c r="BN67" s="218"/>
      <c r="BO67" s="218"/>
      <c r="BP67" s="1096"/>
      <c r="BQ67" s="1096"/>
      <c r="BR67" s="1096"/>
      <c r="BS67" s="218"/>
      <c r="BT67" s="1269">
        <v>10849</v>
      </c>
      <c r="BU67" s="1269">
        <v>11881</v>
      </c>
      <c r="BV67" s="1269">
        <v>7635</v>
      </c>
      <c r="BW67" s="211">
        <v>0</v>
      </c>
      <c r="BX67" s="1096"/>
      <c r="BY67" s="1096">
        <v>0</v>
      </c>
      <c r="BZ67" s="1491"/>
      <c r="CA67" s="218"/>
      <c r="CB67" s="1310"/>
      <c r="CC67" s="1184"/>
      <c r="CD67" s="218">
        <f t="shared" si="73"/>
        <v>0</v>
      </c>
      <c r="CE67" s="218"/>
      <c r="CF67" s="218"/>
      <c r="CG67" s="218"/>
      <c r="CH67" s="218"/>
      <c r="CI67" s="218"/>
    </row>
    <row r="68" spans="1:87" s="332" customFormat="1" ht="12.75" customHeight="1" x14ac:dyDescent="0.2">
      <c r="A68" s="1183" t="s">
        <v>705</v>
      </c>
      <c r="B68" s="211">
        <f t="shared" si="74"/>
        <v>0</v>
      </c>
      <c r="C68" s="1096"/>
      <c r="D68" s="1491"/>
      <c r="E68" s="1393"/>
      <c r="F68" s="1393"/>
      <c r="G68" s="1392"/>
      <c r="H68" s="1393"/>
      <c r="I68" s="1392"/>
      <c r="J68" s="1393"/>
      <c r="K68" s="1096"/>
      <c r="L68" s="218"/>
      <c r="M68" s="218"/>
      <c r="N68" s="1096"/>
      <c r="O68" s="1096"/>
      <c r="P68" s="1096"/>
      <c r="Q68" s="1096"/>
      <c r="R68" s="1096"/>
      <c r="S68" s="1096"/>
      <c r="T68" s="1096"/>
      <c r="U68" s="1096"/>
      <c r="V68" s="1295"/>
      <c r="W68" s="1096"/>
      <c r="X68" s="1491"/>
      <c r="Y68" s="218"/>
      <c r="Z68" s="218"/>
      <c r="AA68" s="1096"/>
      <c r="AB68" s="1096"/>
      <c r="AC68" s="1096"/>
      <c r="AD68" s="1096"/>
      <c r="AE68" s="1096"/>
      <c r="AF68" s="1096"/>
      <c r="AG68" s="1096"/>
      <c r="AH68" s="1096"/>
      <c r="AI68" s="1096"/>
      <c r="AJ68" s="1096"/>
      <c r="AK68" s="1096"/>
      <c r="AL68" s="1096"/>
      <c r="AM68" s="1096"/>
      <c r="AN68" s="1096"/>
      <c r="AO68" s="1096"/>
      <c r="AP68" s="1096"/>
      <c r="AQ68" s="1096"/>
      <c r="AR68" s="1096"/>
      <c r="AS68" s="1096"/>
      <c r="AT68" s="1096"/>
      <c r="AU68" s="1096"/>
      <c r="AV68" s="1096"/>
      <c r="AW68" s="1096"/>
      <c r="AX68" s="1310"/>
      <c r="AY68" s="1295"/>
      <c r="AZ68" s="1348"/>
      <c r="BA68" s="1295"/>
      <c r="BB68" s="1295"/>
      <c r="BC68" s="1295"/>
      <c r="BD68" s="1096"/>
      <c r="BE68" s="1096"/>
      <c r="BF68" s="1096"/>
      <c r="BG68" s="218"/>
      <c r="BH68" s="1096"/>
      <c r="BI68" s="218"/>
      <c r="BJ68" s="218"/>
      <c r="BK68" s="1310"/>
      <c r="BL68" s="1096"/>
      <c r="BM68" s="1096"/>
      <c r="BN68" s="218"/>
      <c r="BO68" s="218"/>
      <c r="BP68" s="1096"/>
      <c r="BQ68" s="1096"/>
      <c r="BR68" s="1096"/>
      <c r="BS68" s="218"/>
      <c r="BT68" s="1269"/>
      <c r="BU68" s="1269"/>
      <c r="BV68" s="1269"/>
      <c r="BW68" s="211"/>
      <c r="BX68" s="1096"/>
      <c r="BY68" s="1096"/>
      <c r="BZ68" s="1491"/>
      <c r="CA68" s="218"/>
      <c r="CB68" s="1310"/>
      <c r="CC68" s="1184"/>
      <c r="CD68" s="218">
        <f t="shared" si="73"/>
        <v>0</v>
      </c>
      <c r="CE68" s="218"/>
      <c r="CF68" s="218"/>
      <c r="CG68" s="218"/>
      <c r="CH68" s="218"/>
      <c r="CI68" s="218"/>
    </row>
    <row r="69" spans="1:87" s="332" customFormat="1" ht="12.75" customHeight="1" x14ac:dyDescent="0.2">
      <c r="A69" s="1185" t="s">
        <v>697</v>
      </c>
      <c r="B69" s="232">
        <f t="shared" si="74"/>
        <v>29361</v>
      </c>
      <c r="C69" s="232"/>
      <c r="D69" s="1280">
        <v>3157</v>
      </c>
      <c r="E69" s="1403"/>
      <c r="F69" s="1403"/>
      <c r="G69" s="1404"/>
      <c r="H69" s="1403"/>
      <c r="I69" s="1404"/>
      <c r="J69" s="1403"/>
      <c r="K69" s="1280"/>
      <c r="L69" s="233"/>
      <c r="M69" s="233"/>
      <c r="N69" s="1280"/>
      <c r="O69" s="1280"/>
      <c r="P69" s="1280"/>
      <c r="Q69" s="1280"/>
      <c r="R69" s="1280"/>
      <c r="S69" s="1280"/>
      <c r="T69" s="1280"/>
      <c r="U69" s="1280"/>
      <c r="V69" s="1297"/>
      <c r="W69" s="1280"/>
      <c r="X69" s="1498"/>
      <c r="Y69" s="233">
        <v>0</v>
      </c>
      <c r="Z69" s="233">
        <v>0</v>
      </c>
      <c r="AA69" s="1280">
        <v>0</v>
      </c>
      <c r="AB69" s="233">
        <v>0</v>
      </c>
      <c r="AC69" s="233">
        <v>2044</v>
      </c>
      <c r="AD69" s="233">
        <v>7540</v>
      </c>
      <c r="AE69" s="233">
        <v>3990</v>
      </c>
      <c r="AF69" s="233">
        <v>0</v>
      </c>
      <c r="AG69" s="233">
        <v>0</v>
      </c>
      <c r="AH69" s="233">
        <v>0</v>
      </c>
      <c r="AI69" s="233">
        <v>0</v>
      </c>
      <c r="AJ69" s="233">
        <v>0</v>
      </c>
      <c r="AK69" s="233">
        <v>2374</v>
      </c>
      <c r="AL69" s="233">
        <v>386</v>
      </c>
      <c r="AM69" s="233">
        <v>629</v>
      </c>
      <c r="AN69" s="233">
        <v>602</v>
      </c>
      <c r="AO69" s="233">
        <v>781</v>
      </c>
      <c r="AP69" s="233">
        <v>591</v>
      </c>
      <c r="AQ69" s="233">
        <v>2480</v>
      </c>
      <c r="AR69" s="233">
        <v>0</v>
      </c>
      <c r="AS69" s="233">
        <v>0</v>
      </c>
      <c r="AT69" s="233">
        <v>0</v>
      </c>
      <c r="AU69" s="233">
        <v>0</v>
      </c>
      <c r="AV69" s="233">
        <v>0</v>
      </c>
      <c r="AW69" s="233">
        <v>673</v>
      </c>
      <c r="AX69" s="1319"/>
      <c r="AY69" s="1297"/>
      <c r="AZ69" s="1350"/>
      <c r="BA69" s="1297"/>
      <c r="BB69" s="1297"/>
      <c r="BC69" s="1297"/>
      <c r="BD69" s="1280"/>
      <c r="BE69" s="1280"/>
      <c r="BF69" s="1280"/>
      <c r="BG69" s="233"/>
      <c r="BH69" s="1280"/>
      <c r="BI69" s="233"/>
      <c r="BJ69" s="233"/>
      <c r="BK69" s="1319">
        <v>691</v>
      </c>
      <c r="BL69" s="1280">
        <v>7</v>
      </c>
      <c r="BM69" s="1280"/>
      <c r="BN69" s="233"/>
      <c r="BO69" s="233"/>
      <c r="BP69" s="1280"/>
      <c r="BQ69" s="1280"/>
      <c r="BR69" s="1280">
        <v>3416</v>
      </c>
      <c r="BS69" s="233"/>
      <c r="BT69" s="1280"/>
      <c r="BU69" s="1280"/>
      <c r="BV69" s="1280"/>
      <c r="BW69" s="232"/>
      <c r="BX69" s="1280"/>
      <c r="BY69" s="1280"/>
      <c r="BZ69" s="1498"/>
      <c r="CA69" s="233"/>
      <c r="CB69" s="1319"/>
      <c r="CC69" s="1186"/>
      <c r="CD69" s="233">
        <f t="shared" si="73"/>
        <v>0</v>
      </c>
      <c r="CE69" s="233">
        <f>+SONPPF!C139</f>
        <v>0</v>
      </c>
      <c r="CF69" s="233"/>
      <c r="CG69" s="233">
        <f>'Nonmajor Ent BS'!G138</f>
        <v>0</v>
      </c>
      <c r="CH69" s="233">
        <f>'Nonmajor Ent BS'!E138</f>
        <v>0</v>
      </c>
      <c r="CI69" s="233">
        <f>'Nonmajor Ent BS'!C138</f>
        <v>0</v>
      </c>
    </row>
    <row r="70" spans="1:87" s="332" customFormat="1" ht="12.75" customHeight="1" x14ac:dyDescent="0.2">
      <c r="A70" s="1185" t="s">
        <v>698</v>
      </c>
      <c r="B70" s="232">
        <f t="shared" si="74"/>
        <v>-14</v>
      </c>
      <c r="C70" s="232"/>
      <c r="D70" s="1498"/>
      <c r="E70" s="1403"/>
      <c r="F70" s="1403"/>
      <c r="G70" s="1404"/>
      <c r="H70" s="1403"/>
      <c r="I70" s="1404"/>
      <c r="J70" s="1403"/>
      <c r="K70" s="1280"/>
      <c r="L70" s="233"/>
      <c r="M70" s="233"/>
      <c r="N70" s="1280"/>
      <c r="O70" s="1280"/>
      <c r="P70" s="1280"/>
      <c r="Q70" s="1280"/>
      <c r="R70" s="1280"/>
      <c r="S70" s="1280"/>
      <c r="T70" s="1280"/>
      <c r="U70" s="1280"/>
      <c r="V70" s="1297"/>
      <c r="W70" s="1280"/>
      <c r="X70" s="1498"/>
      <c r="Y70" s="233"/>
      <c r="Z70" s="233"/>
      <c r="AA70" s="1280"/>
      <c r="AB70" s="1280"/>
      <c r="AC70" s="1280"/>
      <c r="AD70" s="1280"/>
      <c r="AE70" s="1280"/>
      <c r="AF70" s="1280"/>
      <c r="AG70" s="1280"/>
      <c r="AH70" s="1280"/>
      <c r="AI70" s="1280"/>
      <c r="AJ70" s="1280"/>
      <c r="AK70" s="1280"/>
      <c r="AL70" s="1280"/>
      <c r="AM70" s="1280"/>
      <c r="AN70" s="1280"/>
      <c r="AO70" s="1280"/>
      <c r="AP70" s="1280"/>
      <c r="AQ70" s="1280"/>
      <c r="AR70" s="1280"/>
      <c r="AS70" s="1280"/>
      <c r="AT70" s="1280"/>
      <c r="AU70" s="1280"/>
      <c r="AV70" s="1280"/>
      <c r="AW70" s="1280"/>
      <c r="AX70" s="1319"/>
      <c r="AY70" s="1297"/>
      <c r="AZ70" s="1350"/>
      <c r="BA70" s="1297"/>
      <c r="BB70" s="1297"/>
      <c r="BC70" s="1297"/>
      <c r="BD70" s="1280"/>
      <c r="BE70" s="1280"/>
      <c r="BF70" s="1280"/>
      <c r="BG70" s="233"/>
      <c r="BH70" s="1280"/>
      <c r="BI70" s="233"/>
      <c r="BJ70" s="233"/>
      <c r="BK70" s="1319">
        <v>-14</v>
      </c>
      <c r="BL70" s="1280"/>
      <c r="BM70" s="1280"/>
      <c r="BN70" s="233"/>
      <c r="BO70" s="233"/>
      <c r="BP70" s="1280"/>
      <c r="BQ70" s="1280"/>
      <c r="BR70" s="1280"/>
      <c r="BS70" s="233"/>
      <c r="BT70" s="1280"/>
      <c r="BU70" s="1280"/>
      <c r="BV70" s="1280"/>
      <c r="BW70" s="232"/>
      <c r="BX70" s="1280"/>
      <c r="BY70" s="1280"/>
      <c r="BZ70" s="1498"/>
      <c r="CA70" s="233"/>
      <c r="CB70" s="1319"/>
      <c r="CC70" s="1186"/>
      <c r="CD70" s="233">
        <f t="shared" si="73"/>
        <v>0</v>
      </c>
      <c r="CE70" s="233"/>
      <c r="CF70" s="233"/>
      <c r="CG70" s="233"/>
      <c r="CH70" s="233"/>
      <c r="CI70" s="233"/>
    </row>
    <row r="71" spans="1:87" s="332" customFormat="1" ht="12.75" customHeight="1" x14ac:dyDescent="0.2">
      <c r="A71" s="1185" t="s">
        <v>664</v>
      </c>
      <c r="B71" s="232">
        <f t="shared" si="74"/>
        <v>0</v>
      </c>
      <c r="C71" s="1280"/>
      <c r="D71" s="1498"/>
      <c r="E71" s="1403"/>
      <c r="F71" s="1403"/>
      <c r="G71" s="1404"/>
      <c r="H71" s="1403"/>
      <c r="I71" s="1404"/>
      <c r="J71" s="1403"/>
      <c r="K71" s="1280"/>
      <c r="L71" s="233"/>
      <c r="M71" s="233"/>
      <c r="N71" s="1280"/>
      <c r="O71" s="1280"/>
      <c r="P71" s="1280"/>
      <c r="Q71" s="1280"/>
      <c r="R71" s="1280"/>
      <c r="S71" s="1280"/>
      <c r="T71" s="1280"/>
      <c r="U71" s="1280"/>
      <c r="V71" s="1297"/>
      <c r="W71" s="1280"/>
      <c r="X71" s="1498"/>
      <c r="Y71" s="233">
        <v>0</v>
      </c>
      <c r="Z71" s="233">
        <v>0</v>
      </c>
      <c r="AA71" s="1280">
        <v>0</v>
      </c>
      <c r="AB71" s="1280">
        <v>0</v>
      </c>
      <c r="AC71" s="1280">
        <v>0</v>
      </c>
      <c r="AD71" s="1280"/>
      <c r="AE71" s="1280"/>
      <c r="AF71" s="1280">
        <v>0</v>
      </c>
      <c r="AG71" s="1280"/>
      <c r="AH71" s="1280"/>
      <c r="AI71" s="1280"/>
      <c r="AJ71" s="1280"/>
      <c r="AK71" s="1280"/>
      <c r="AL71" s="1280"/>
      <c r="AM71" s="1280"/>
      <c r="AN71" s="1280"/>
      <c r="AO71" s="1280"/>
      <c r="AP71" s="1280"/>
      <c r="AQ71" s="1280"/>
      <c r="AR71" s="1280">
        <v>0</v>
      </c>
      <c r="AS71" s="1280">
        <v>0</v>
      </c>
      <c r="AT71" s="1280">
        <v>0</v>
      </c>
      <c r="AU71" s="1280">
        <v>0</v>
      </c>
      <c r="AV71" s="1280">
        <v>0</v>
      </c>
      <c r="AW71" s="1280">
        <v>0</v>
      </c>
      <c r="AX71" s="1319"/>
      <c r="AY71" s="1297"/>
      <c r="AZ71" s="1350"/>
      <c r="BA71" s="1297"/>
      <c r="BB71" s="1297"/>
      <c r="BC71" s="1297"/>
      <c r="BD71" s="1280"/>
      <c r="BE71" s="1280"/>
      <c r="BF71" s="1280"/>
      <c r="BG71" s="233"/>
      <c r="BH71" s="1280"/>
      <c r="BI71" s="233"/>
      <c r="BJ71" s="233"/>
      <c r="BK71" s="1319"/>
      <c r="BL71" s="1280"/>
      <c r="BM71" s="1280"/>
      <c r="BN71" s="233"/>
      <c r="BO71" s="233"/>
      <c r="BP71" s="1280"/>
      <c r="BQ71" s="1280"/>
      <c r="BR71" s="1280"/>
      <c r="BS71" s="233"/>
      <c r="BT71" s="1280"/>
      <c r="BU71" s="1280"/>
      <c r="BV71" s="1280"/>
      <c r="BW71" s="232"/>
      <c r="BX71" s="1280"/>
      <c r="BY71" s="1280"/>
      <c r="BZ71" s="1498"/>
      <c r="CA71" s="233"/>
      <c r="CB71" s="1319"/>
      <c r="CC71" s="1186"/>
      <c r="CD71" s="233">
        <f t="shared" si="73"/>
        <v>0</v>
      </c>
      <c r="CE71" s="233">
        <f>+SONPPF!C140</f>
        <v>0</v>
      </c>
      <c r="CF71" s="233"/>
      <c r="CG71" s="233">
        <f>'Nonmajor Ent BS'!G139</f>
        <v>0</v>
      </c>
      <c r="CH71" s="233">
        <f>'Nonmajor Ent BS'!E139</f>
        <v>0</v>
      </c>
      <c r="CI71" s="233">
        <f>'Nonmajor Ent BS'!C139</f>
        <v>0</v>
      </c>
    </row>
    <row r="72" spans="1:87" s="332" customFormat="1" ht="12.75" customHeight="1" x14ac:dyDescent="0.2">
      <c r="A72" s="1187" t="s">
        <v>179</v>
      </c>
      <c r="B72" s="1179">
        <f t="shared" si="74"/>
        <v>2052</v>
      </c>
      <c r="C72" s="1281">
        <v>78</v>
      </c>
      <c r="D72" s="1499"/>
      <c r="E72" s="1499"/>
      <c r="F72" s="1320"/>
      <c r="G72" s="1320"/>
      <c r="H72" s="1320"/>
      <c r="I72" s="1320"/>
      <c r="J72" s="1320"/>
      <c r="K72" s="1281"/>
      <c r="L72" s="1180"/>
      <c r="M72" s="1180"/>
      <c r="N72" s="1281">
        <v>8</v>
      </c>
      <c r="O72" s="1281"/>
      <c r="P72" s="1281"/>
      <c r="Q72" s="1281"/>
      <c r="R72" s="1281"/>
      <c r="S72" s="1281"/>
      <c r="T72" s="1281"/>
      <c r="U72" s="1281"/>
      <c r="V72" s="1298"/>
      <c r="W72" s="1281"/>
      <c r="X72" s="1499"/>
      <c r="Y72" s="1179"/>
      <c r="Z72" s="1179"/>
      <c r="AA72" s="1360">
        <v>0</v>
      </c>
      <c r="AB72" s="1360">
        <v>0</v>
      </c>
      <c r="AC72" s="1360">
        <v>0</v>
      </c>
      <c r="AD72" s="1360">
        <v>0</v>
      </c>
      <c r="AE72" s="1360">
        <v>0</v>
      </c>
      <c r="AF72" s="1360">
        <f>892+71</f>
        <v>963</v>
      </c>
      <c r="AG72" s="1360">
        <v>0</v>
      </c>
      <c r="AH72" s="1360">
        <v>0</v>
      </c>
      <c r="AI72" s="1360">
        <v>0</v>
      </c>
      <c r="AJ72" s="1360">
        <v>0</v>
      </c>
      <c r="AK72" s="1360">
        <v>0</v>
      </c>
      <c r="AL72" s="1360">
        <v>0</v>
      </c>
      <c r="AM72" s="1360">
        <v>0</v>
      </c>
      <c r="AN72" s="1360">
        <v>0</v>
      </c>
      <c r="AO72" s="1360">
        <v>0</v>
      </c>
      <c r="AP72" s="1360">
        <v>0</v>
      </c>
      <c r="AQ72" s="1360">
        <v>0</v>
      </c>
      <c r="AR72" s="1360">
        <f>102+387</f>
        <v>489</v>
      </c>
      <c r="AS72" s="1360">
        <v>0</v>
      </c>
      <c r="AT72" s="1360">
        <f>5428-4914</f>
        <v>514</v>
      </c>
      <c r="AU72" s="1360">
        <v>0</v>
      </c>
      <c r="AV72" s="1360">
        <v>0</v>
      </c>
      <c r="AW72" s="1360">
        <v>0</v>
      </c>
      <c r="AX72" s="1320"/>
      <c r="AY72" s="1298"/>
      <c r="AZ72" s="1351"/>
      <c r="BA72" s="1298"/>
      <c r="BB72" s="1298"/>
      <c r="BC72" s="1298"/>
      <c r="BD72" s="1281"/>
      <c r="BE72" s="1281"/>
      <c r="BF72" s="1281"/>
      <c r="BG72" s="1180"/>
      <c r="BH72" s="1281"/>
      <c r="BI72" s="1180"/>
      <c r="BJ72" s="1180"/>
      <c r="BK72" s="1320">
        <v>0</v>
      </c>
      <c r="BL72" s="1281"/>
      <c r="BM72" s="1281"/>
      <c r="BN72" s="1180"/>
      <c r="BO72" s="1180"/>
      <c r="BP72" s="1281"/>
      <c r="BQ72" s="1281"/>
      <c r="BR72" s="1281"/>
      <c r="BS72" s="1180"/>
      <c r="BT72" s="1281"/>
      <c r="BU72" s="1281"/>
      <c r="BV72" s="1281"/>
      <c r="BW72" s="1179"/>
      <c r="BX72" s="1281">
        <v>0</v>
      </c>
      <c r="BY72" s="1281"/>
      <c r="BZ72" s="1499"/>
      <c r="CA72" s="1180"/>
      <c r="CB72" s="1320"/>
      <c r="CC72" s="1188"/>
      <c r="CD72" s="1180">
        <f t="shared" si="73"/>
        <v>0</v>
      </c>
      <c r="CE72" s="1180">
        <f>SONPPF!C123</f>
        <v>0</v>
      </c>
      <c r="CF72" s="1180"/>
      <c r="CG72" s="1180"/>
      <c r="CH72" s="1180"/>
      <c r="CI72" s="1180"/>
    </row>
    <row r="73" spans="1:87" s="332" customFormat="1" ht="12.75" customHeight="1" x14ac:dyDescent="0.2">
      <c r="A73" s="1187" t="s">
        <v>1435</v>
      </c>
      <c r="B73" s="1179">
        <f t="shared" si="74"/>
        <v>263</v>
      </c>
      <c r="C73" s="1281"/>
      <c r="D73" s="1499"/>
      <c r="E73" s="1499"/>
      <c r="F73" s="1320"/>
      <c r="G73" s="1320"/>
      <c r="H73" s="1320"/>
      <c r="I73" s="1320"/>
      <c r="J73" s="1320"/>
      <c r="K73" s="1281"/>
      <c r="L73" s="1180"/>
      <c r="M73" s="1180"/>
      <c r="N73" s="1281"/>
      <c r="O73" s="1281"/>
      <c r="P73" s="1281"/>
      <c r="Q73" s="1281"/>
      <c r="R73" s="1281"/>
      <c r="S73" s="1281"/>
      <c r="T73" s="1281"/>
      <c r="U73" s="1281"/>
      <c r="V73" s="1298"/>
      <c r="W73" s="1281"/>
      <c r="X73" s="1499"/>
      <c r="Y73" s="1179"/>
      <c r="Z73" s="1179"/>
      <c r="AA73" s="1360"/>
      <c r="AB73" s="1360"/>
      <c r="AC73" s="1360"/>
      <c r="AD73" s="1360"/>
      <c r="AE73" s="1360"/>
      <c r="AF73" s="1360"/>
      <c r="AG73" s="1360"/>
      <c r="AH73" s="1360"/>
      <c r="AI73" s="1360"/>
      <c r="AJ73" s="1360"/>
      <c r="AK73" s="1360"/>
      <c r="AL73" s="1360"/>
      <c r="AM73" s="1360"/>
      <c r="AN73" s="1360"/>
      <c r="AO73" s="1360"/>
      <c r="AP73" s="1360"/>
      <c r="AQ73" s="1360"/>
      <c r="AR73" s="1360"/>
      <c r="AS73" s="1360"/>
      <c r="AT73" s="1360"/>
      <c r="AU73" s="1360"/>
      <c r="AV73" s="1360"/>
      <c r="AW73" s="1360"/>
      <c r="AX73" s="1320"/>
      <c r="AY73" s="1298"/>
      <c r="AZ73" s="1351"/>
      <c r="BA73" s="1298"/>
      <c r="BB73" s="1298"/>
      <c r="BC73" s="1298"/>
      <c r="BD73" s="1281"/>
      <c r="BE73" s="1281"/>
      <c r="BF73" s="1281"/>
      <c r="BG73" s="1180"/>
      <c r="BH73" s="1281"/>
      <c r="BI73" s="1180"/>
      <c r="BJ73" s="1180"/>
      <c r="BK73" s="1320"/>
      <c r="BL73" s="1281"/>
      <c r="BM73" s="1281"/>
      <c r="BN73" s="1180"/>
      <c r="BO73" s="1180"/>
      <c r="BP73" s="1281"/>
      <c r="BQ73" s="1281"/>
      <c r="BR73" s="1281"/>
      <c r="BS73" s="1180"/>
      <c r="BT73" s="1281"/>
      <c r="BU73" s="1281"/>
      <c r="BV73" s="1281"/>
      <c r="BW73" s="1179"/>
      <c r="BX73" s="1281">
        <v>263</v>
      </c>
      <c r="BY73" s="1281"/>
      <c r="BZ73" s="1499"/>
      <c r="CA73" s="1180"/>
      <c r="CB73" s="1320"/>
      <c r="CC73" s="1188"/>
      <c r="CD73" s="1180">
        <f t="shared" si="73"/>
        <v>0</v>
      </c>
      <c r="CE73" s="1180">
        <f>SONPPF!C124</f>
        <v>0</v>
      </c>
      <c r="CF73" s="1180"/>
      <c r="CG73" s="1180"/>
      <c r="CH73" s="1180"/>
      <c r="CI73" s="1180"/>
    </row>
    <row r="74" spans="1:87" s="332" customFormat="1" ht="12.75" customHeight="1" x14ac:dyDescent="0.2">
      <c r="A74" s="1183" t="s">
        <v>699</v>
      </c>
      <c r="B74" s="211">
        <f t="shared" si="74"/>
        <v>0</v>
      </c>
      <c r="C74" s="1096"/>
      <c r="D74" s="1491"/>
      <c r="E74" s="1393"/>
      <c r="F74" s="1393"/>
      <c r="G74" s="1392"/>
      <c r="H74" s="1393"/>
      <c r="I74" s="1392"/>
      <c r="J74" s="1393"/>
      <c r="K74" s="1096"/>
      <c r="L74" s="218"/>
      <c r="M74" s="218"/>
      <c r="N74" s="1096"/>
      <c r="O74" s="1096"/>
      <c r="P74" s="1096"/>
      <c r="Q74" s="1096"/>
      <c r="R74" s="1096"/>
      <c r="S74" s="1096"/>
      <c r="T74" s="1096"/>
      <c r="U74" s="1096"/>
      <c r="V74" s="1295"/>
      <c r="W74" s="1096"/>
      <c r="X74" s="1491"/>
      <c r="Y74" s="218"/>
      <c r="Z74" s="218"/>
      <c r="AA74" s="1096"/>
      <c r="AB74" s="1096"/>
      <c r="AC74" s="1096"/>
      <c r="AD74" s="1096"/>
      <c r="AE74" s="1096"/>
      <c r="AF74" s="1096"/>
      <c r="AG74" s="1096"/>
      <c r="AH74" s="1096"/>
      <c r="AI74" s="1096"/>
      <c r="AJ74" s="1096"/>
      <c r="AK74" s="1096"/>
      <c r="AL74" s="1096"/>
      <c r="AM74" s="1096"/>
      <c r="AN74" s="1096"/>
      <c r="AO74" s="1096"/>
      <c r="AP74" s="1096"/>
      <c r="AQ74" s="1096"/>
      <c r="AR74" s="1096"/>
      <c r="AS74" s="1096"/>
      <c r="AT74" s="1096"/>
      <c r="AU74" s="1096"/>
      <c r="AV74" s="1096"/>
      <c r="AW74" s="1096"/>
      <c r="AX74" s="1310"/>
      <c r="AY74" s="1295"/>
      <c r="AZ74" s="1348"/>
      <c r="BA74" s="1295"/>
      <c r="BB74" s="1295"/>
      <c r="BC74" s="1295"/>
      <c r="BD74" s="1096"/>
      <c r="BE74" s="1096"/>
      <c r="BF74" s="1096"/>
      <c r="BG74" s="218"/>
      <c r="BH74" s="1096"/>
      <c r="BI74" s="218"/>
      <c r="BJ74" s="211">
        <v>0</v>
      </c>
      <c r="BK74" s="1310"/>
      <c r="BL74" s="1096"/>
      <c r="BM74" s="1096"/>
      <c r="BN74" s="218"/>
      <c r="BO74" s="218"/>
      <c r="BP74" s="1096">
        <v>0</v>
      </c>
      <c r="BQ74" s="1096"/>
      <c r="BR74" s="1096"/>
      <c r="BS74" s="218"/>
      <c r="BT74" s="1269"/>
      <c r="BU74" s="1269"/>
      <c r="BV74" s="1269"/>
      <c r="BW74" s="211"/>
      <c r="BX74" s="1096"/>
      <c r="BY74" s="1096"/>
      <c r="BZ74" s="1491"/>
      <c r="CA74" s="218"/>
      <c r="CB74" s="1310"/>
      <c r="CC74" s="1184"/>
      <c r="CD74" s="218">
        <f t="shared" si="73"/>
        <v>0</v>
      </c>
      <c r="CE74" s="218"/>
      <c r="CF74" s="218"/>
      <c r="CG74" s="218"/>
      <c r="CH74" s="218"/>
      <c r="CI74" s="218"/>
    </row>
    <row r="75" spans="1:87" s="332" customFormat="1" ht="12.75" customHeight="1" x14ac:dyDescent="0.2">
      <c r="A75" s="1189" t="s">
        <v>691</v>
      </c>
      <c r="B75" s="230">
        <f t="shared" si="74"/>
        <v>102196</v>
      </c>
      <c r="C75" s="1500">
        <v>8130</v>
      </c>
      <c r="D75" s="1500"/>
      <c r="E75" s="1405"/>
      <c r="F75" s="1405"/>
      <c r="G75" s="1406"/>
      <c r="H75" s="1405"/>
      <c r="I75" s="1406"/>
      <c r="J75" s="1405"/>
      <c r="K75" s="1101"/>
      <c r="L75" s="231"/>
      <c r="M75" s="231"/>
      <c r="N75" s="1101"/>
      <c r="O75" s="1101">
        <v>2</v>
      </c>
      <c r="P75" s="1101"/>
      <c r="Q75" s="1101"/>
      <c r="R75" s="1101"/>
      <c r="S75" s="1101"/>
      <c r="T75" s="1101"/>
      <c r="U75" s="1101">
        <v>0</v>
      </c>
      <c r="V75" s="1299"/>
      <c r="W75" s="1101">
        <v>0</v>
      </c>
      <c r="X75" s="1500"/>
      <c r="Y75" s="231"/>
      <c r="Z75" s="231"/>
      <c r="AA75" s="1101"/>
      <c r="AB75" s="1101"/>
      <c r="AC75" s="1101"/>
      <c r="AD75" s="1101"/>
      <c r="AE75" s="1101"/>
      <c r="AF75" s="1101"/>
      <c r="AG75" s="1101"/>
      <c r="AH75" s="1101"/>
      <c r="AI75" s="1101"/>
      <c r="AJ75" s="1101"/>
      <c r="AK75" s="1101"/>
      <c r="AL75" s="1101"/>
      <c r="AM75" s="1101"/>
      <c r="AN75" s="1101"/>
      <c r="AO75" s="1101"/>
      <c r="AP75" s="1101"/>
      <c r="AQ75" s="1101"/>
      <c r="AR75" s="1101"/>
      <c r="AS75" s="1101"/>
      <c r="AT75" s="1101"/>
      <c r="AU75" s="1101"/>
      <c r="AV75" s="1101"/>
      <c r="AW75" s="1101"/>
      <c r="AX75" s="1321"/>
      <c r="AY75" s="1299"/>
      <c r="AZ75" s="1352"/>
      <c r="BA75" s="1299"/>
      <c r="BB75" s="1299"/>
      <c r="BC75" s="1299"/>
      <c r="BD75" s="1101"/>
      <c r="BE75" s="1101"/>
      <c r="BF75" s="1101">
        <v>38</v>
      </c>
      <c r="BG75" s="231"/>
      <c r="BH75" s="1101"/>
      <c r="BI75" s="231"/>
      <c r="BJ75" s="231"/>
      <c r="BK75" s="1321"/>
      <c r="BL75" s="1101"/>
      <c r="BM75" s="1101"/>
      <c r="BN75" s="231"/>
      <c r="BO75" s="231"/>
      <c r="BP75" s="1101">
        <v>0</v>
      </c>
      <c r="BQ75" s="1101"/>
      <c r="BR75" s="1101"/>
      <c r="BS75" s="231"/>
      <c r="BT75" s="1101">
        <v>121</v>
      </c>
      <c r="BU75" s="1101">
        <v>124</v>
      </c>
      <c r="BV75" s="1101">
        <v>83</v>
      </c>
      <c r="BW75" s="230">
        <v>2139</v>
      </c>
      <c r="BX75" s="1101">
        <v>1470</v>
      </c>
      <c r="BY75" s="1101">
        <v>928</v>
      </c>
      <c r="BZ75" s="1500">
        <v>89161</v>
      </c>
      <c r="CA75" s="231"/>
      <c r="CB75" s="1321"/>
      <c r="CC75" s="1190"/>
      <c r="CD75" s="231">
        <f t="shared" si="73"/>
        <v>6369</v>
      </c>
      <c r="CE75" s="231">
        <f>SONPPF!C117+SONPPF!C134</f>
        <v>2565</v>
      </c>
      <c r="CF75" s="231">
        <f>+SONPPF!E117</f>
        <v>2147</v>
      </c>
      <c r="CG75" s="231">
        <f>'Nonmajor Ent BS'!G116</f>
        <v>236</v>
      </c>
      <c r="CH75" s="231">
        <f>'Nonmajor Ent BS'!E116</f>
        <v>12</v>
      </c>
      <c r="CI75" s="231">
        <f>'Nonmajor Ent BS'!C116</f>
        <v>1409</v>
      </c>
    </row>
    <row r="76" spans="1:87" s="938" customFormat="1" ht="12.75" customHeight="1" x14ac:dyDescent="0.2">
      <c r="A76" s="1183" t="s">
        <v>1164</v>
      </c>
      <c r="B76" s="211">
        <f t="shared" si="74"/>
        <v>0</v>
      </c>
      <c r="C76" s="1096"/>
      <c r="D76" s="1491"/>
      <c r="E76" s="1393"/>
      <c r="F76" s="1393"/>
      <c r="G76" s="1392"/>
      <c r="H76" s="1393"/>
      <c r="I76" s="1392"/>
      <c r="J76" s="1393"/>
      <c r="K76" s="1096"/>
      <c r="L76" s="218"/>
      <c r="M76" s="218"/>
      <c r="N76" s="1096"/>
      <c r="O76" s="1096"/>
      <c r="P76" s="1096"/>
      <c r="Q76" s="1096"/>
      <c r="R76" s="1096"/>
      <c r="S76" s="1096"/>
      <c r="T76" s="1096"/>
      <c r="U76" s="1096"/>
      <c r="V76" s="1295"/>
      <c r="W76" s="1096"/>
      <c r="X76" s="1491"/>
      <c r="Y76" s="218"/>
      <c r="Z76" s="218"/>
      <c r="AA76" s="1096"/>
      <c r="AB76" s="1096"/>
      <c r="AC76" s="1096"/>
      <c r="AD76" s="1096"/>
      <c r="AE76" s="1096"/>
      <c r="AF76" s="1096"/>
      <c r="AG76" s="1096"/>
      <c r="AH76" s="1096"/>
      <c r="AI76" s="1096"/>
      <c r="AJ76" s="1096"/>
      <c r="AK76" s="1096"/>
      <c r="AL76" s="1096"/>
      <c r="AM76" s="1096"/>
      <c r="AN76" s="1096"/>
      <c r="AO76" s="1096"/>
      <c r="AP76" s="1096"/>
      <c r="AQ76" s="1096"/>
      <c r="AR76" s="1096"/>
      <c r="AS76" s="1096"/>
      <c r="AT76" s="1096"/>
      <c r="AU76" s="1096"/>
      <c r="AV76" s="1096"/>
      <c r="AW76" s="1096"/>
      <c r="AX76" s="1310"/>
      <c r="AY76" s="1295"/>
      <c r="AZ76" s="1348"/>
      <c r="BA76" s="1295"/>
      <c r="BB76" s="1295"/>
      <c r="BC76" s="1295"/>
      <c r="BD76" s="1096"/>
      <c r="BE76" s="1096"/>
      <c r="BF76" s="1096"/>
      <c r="BG76" s="218"/>
      <c r="BH76" s="1096"/>
      <c r="BI76" s="218"/>
      <c r="BJ76" s="218"/>
      <c r="BK76" s="1310"/>
      <c r="BL76" s="1096"/>
      <c r="BM76" s="1096"/>
      <c r="BN76" s="218"/>
      <c r="BO76" s="218"/>
      <c r="BP76" s="1096"/>
      <c r="BQ76" s="1096"/>
      <c r="BR76" s="1096"/>
      <c r="BS76" s="218"/>
      <c r="BT76" s="1269"/>
      <c r="BU76" s="1269"/>
      <c r="BV76" s="1269"/>
      <c r="BW76" s="211"/>
      <c r="BX76" s="1096"/>
      <c r="BY76" s="1096"/>
      <c r="BZ76" s="1491"/>
      <c r="CA76" s="218"/>
      <c r="CB76" s="1310"/>
      <c r="CC76" s="1184"/>
      <c r="CD76" s="218">
        <f t="shared" si="73"/>
        <v>0</v>
      </c>
      <c r="CE76" s="218"/>
      <c r="CF76" s="218"/>
      <c r="CG76" s="218"/>
      <c r="CH76" s="218"/>
      <c r="CI76" s="218"/>
    </row>
    <row r="77" spans="1:87" s="332" customFormat="1" ht="12.75" customHeight="1" x14ac:dyDescent="0.2">
      <c r="A77" s="1183" t="s">
        <v>701</v>
      </c>
      <c r="B77" s="211">
        <f t="shared" si="74"/>
        <v>10122</v>
      </c>
      <c r="C77" s="1096">
        <v>2885</v>
      </c>
      <c r="D77" s="1491"/>
      <c r="E77" s="1393">
        <v>2</v>
      </c>
      <c r="F77" s="1393">
        <v>2344</v>
      </c>
      <c r="G77" s="1392"/>
      <c r="H77" s="1393"/>
      <c r="I77" s="1392"/>
      <c r="J77" s="1393"/>
      <c r="K77" s="1096"/>
      <c r="L77" s="218"/>
      <c r="M77" s="218"/>
      <c r="N77" s="1096">
        <v>12</v>
      </c>
      <c r="O77" s="1096">
        <v>2</v>
      </c>
      <c r="P77" s="1096"/>
      <c r="Q77" s="1096"/>
      <c r="R77" s="1096"/>
      <c r="S77" s="1096"/>
      <c r="T77" s="1096"/>
      <c r="U77" s="1096">
        <v>1</v>
      </c>
      <c r="V77" s="1295"/>
      <c r="W77" s="1096">
        <v>6</v>
      </c>
      <c r="X77" s="1491"/>
      <c r="Y77" s="218"/>
      <c r="Z77" s="218"/>
      <c r="AA77" s="1096"/>
      <c r="AB77" s="1096"/>
      <c r="AC77" s="1096"/>
      <c r="AD77" s="1096"/>
      <c r="AE77" s="1096"/>
      <c r="AF77" s="1096"/>
      <c r="AG77" s="1096"/>
      <c r="AH77" s="1096"/>
      <c r="AI77" s="1096"/>
      <c r="AJ77" s="1096"/>
      <c r="AK77" s="1096"/>
      <c r="AL77" s="1096"/>
      <c r="AM77" s="1096"/>
      <c r="AN77" s="1096"/>
      <c r="AO77" s="1096"/>
      <c r="AP77" s="1096"/>
      <c r="AQ77" s="1096"/>
      <c r="AR77" s="1096"/>
      <c r="AS77" s="1096"/>
      <c r="AT77" s="1096"/>
      <c r="AU77" s="1096"/>
      <c r="AV77" s="1096"/>
      <c r="AW77" s="1096"/>
      <c r="AX77" s="1310"/>
      <c r="AY77" s="1295"/>
      <c r="AZ77" s="1348"/>
      <c r="BA77" s="1295"/>
      <c r="BB77" s="1295"/>
      <c r="BC77" s="1295"/>
      <c r="BD77" s="1096"/>
      <c r="BE77" s="1096"/>
      <c r="BF77" s="1096"/>
      <c r="BG77" s="218"/>
      <c r="BH77" s="1096">
        <v>475</v>
      </c>
      <c r="BI77" s="218"/>
      <c r="BJ77" s="218">
        <v>795</v>
      </c>
      <c r="BK77" s="1310"/>
      <c r="BL77" s="1096"/>
      <c r="BM77" s="1096"/>
      <c r="BN77" s="218"/>
      <c r="BO77" s="218"/>
      <c r="BP77" s="1096">
        <v>71</v>
      </c>
      <c r="BQ77" s="1096">
        <v>2602</v>
      </c>
      <c r="BR77" s="1096"/>
      <c r="BS77" s="218"/>
      <c r="BT77" s="1269"/>
      <c r="BU77" s="1269"/>
      <c r="BV77" s="1269"/>
      <c r="BW77" s="211">
        <v>901</v>
      </c>
      <c r="BX77" s="1096">
        <v>20</v>
      </c>
      <c r="BY77" s="1096">
        <v>6</v>
      </c>
      <c r="BZ77" s="1491"/>
      <c r="CA77" s="218"/>
      <c r="CB77" s="1310"/>
      <c r="CC77" s="1184"/>
      <c r="CD77" s="218">
        <f t="shared" si="73"/>
        <v>549</v>
      </c>
      <c r="CE77" s="218">
        <f>+SONPPF!C119</f>
        <v>529</v>
      </c>
      <c r="CF77" s="218">
        <f>+SONPPF!E119</f>
        <v>18</v>
      </c>
      <c r="CG77" s="218">
        <f>'Nonmajor Ent BS'!G118</f>
        <v>2</v>
      </c>
      <c r="CH77" s="218">
        <f>'Nonmajor Ent BS'!E118</f>
        <v>0</v>
      </c>
      <c r="CI77" s="218">
        <f>'Nonmajor Ent BS'!C118</f>
        <v>0</v>
      </c>
    </row>
    <row r="78" spans="1:87" s="332" customFormat="1" ht="12.75" customHeight="1" x14ac:dyDescent="0.2">
      <c r="A78" s="1183" t="s">
        <v>1637</v>
      </c>
      <c r="B78" s="211">
        <f t="shared" si="74"/>
        <v>16611</v>
      </c>
      <c r="C78" s="1096">
        <v>6915</v>
      </c>
      <c r="D78" s="1491"/>
      <c r="E78" s="1393"/>
      <c r="F78" s="1393">
        <v>2</v>
      </c>
      <c r="G78" s="1392"/>
      <c r="H78" s="1393">
        <v>66</v>
      </c>
      <c r="I78" s="1392"/>
      <c r="J78" s="1393"/>
      <c r="K78" s="1096">
        <v>3</v>
      </c>
      <c r="L78" s="218"/>
      <c r="M78" s="218"/>
      <c r="N78" s="1096">
        <v>125</v>
      </c>
      <c r="O78" s="1096"/>
      <c r="P78" s="1096"/>
      <c r="Q78" s="1096"/>
      <c r="R78" s="1096"/>
      <c r="S78" s="1096"/>
      <c r="T78" s="1096"/>
      <c r="U78" s="1096"/>
      <c r="V78" s="1295"/>
      <c r="W78" s="1096">
        <v>153</v>
      </c>
      <c r="X78" s="1491"/>
      <c r="Y78" s="218"/>
      <c r="Z78" s="218"/>
      <c r="AA78" s="1096"/>
      <c r="AB78" s="1096"/>
      <c r="AC78" s="1096"/>
      <c r="AD78" s="1096"/>
      <c r="AE78" s="1096"/>
      <c r="AF78" s="1096"/>
      <c r="AG78" s="1096"/>
      <c r="AH78" s="1096"/>
      <c r="AI78" s="1096"/>
      <c r="AJ78" s="1096"/>
      <c r="AK78" s="1096"/>
      <c r="AL78" s="1096"/>
      <c r="AM78" s="1096"/>
      <c r="AN78" s="1096"/>
      <c r="AO78" s="1096"/>
      <c r="AP78" s="1096"/>
      <c r="AQ78" s="1096"/>
      <c r="AR78" s="1096"/>
      <c r="AS78" s="1096"/>
      <c r="AT78" s="1096"/>
      <c r="AU78" s="1096"/>
      <c r="AV78" s="1096"/>
      <c r="AW78" s="1096"/>
      <c r="AX78" s="1310"/>
      <c r="AY78" s="1295"/>
      <c r="AZ78" s="1348"/>
      <c r="BA78" s="1295"/>
      <c r="BB78" s="1295"/>
      <c r="BC78" s="1295"/>
      <c r="BD78" s="1096"/>
      <c r="BE78" s="1096"/>
      <c r="BF78" s="1096"/>
      <c r="BG78" s="218"/>
      <c r="BH78" s="1096"/>
      <c r="BI78" s="218"/>
      <c r="BJ78" s="218"/>
      <c r="BK78" s="1310"/>
      <c r="BL78" s="1096"/>
      <c r="BM78" s="1096"/>
      <c r="BN78" s="218"/>
      <c r="BO78" s="218"/>
      <c r="BP78" s="1096"/>
      <c r="BQ78" s="1096">
        <v>211</v>
      </c>
      <c r="BR78" s="1096"/>
      <c r="BS78" s="218"/>
      <c r="BT78" s="1269"/>
      <c r="BU78" s="1269"/>
      <c r="BV78" s="1269"/>
      <c r="BW78" s="211">
        <v>8962</v>
      </c>
      <c r="BX78" s="1096">
        <v>110</v>
      </c>
      <c r="BY78" s="1096">
        <v>64</v>
      </c>
      <c r="BZ78" s="1491"/>
      <c r="CA78" s="218"/>
      <c r="CB78" s="1310"/>
      <c r="CC78" s="1184"/>
      <c r="CD78" s="218">
        <f t="shared" si="73"/>
        <v>891</v>
      </c>
      <c r="CE78" s="218">
        <f>SONPPF!C120</f>
        <v>466</v>
      </c>
      <c r="CF78" s="218">
        <f>SONPPF!E120</f>
        <v>5</v>
      </c>
      <c r="CG78" s="218">
        <f>'Nonmajor Ent BS'!G120</f>
        <v>0</v>
      </c>
      <c r="CH78" s="218">
        <f>'Nonmajor Ent BS'!E120</f>
        <v>0</v>
      </c>
      <c r="CI78" s="218">
        <f>'Nonmajor Ent BS'!C120</f>
        <v>420</v>
      </c>
    </row>
    <row r="79" spans="1:87" s="332" customFormat="1" ht="12.75" customHeight="1" x14ac:dyDescent="0.2">
      <c r="A79" s="1183" t="s">
        <v>1598</v>
      </c>
      <c r="B79" s="211">
        <f t="shared" si="74"/>
        <v>1740</v>
      </c>
      <c r="C79" s="1096"/>
      <c r="D79" s="1491"/>
      <c r="E79" s="1393"/>
      <c r="F79" s="1393"/>
      <c r="G79" s="1392"/>
      <c r="H79" s="1393"/>
      <c r="I79" s="1392"/>
      <c r="J79" s="1393"/>
      <c r="K79" s="1096"/>
      <c r="L79" s="218"/>
      <c r="M79" s="218"/>
      <c r="N79" s="1096"/>
      <c r="O79" s="1096"/>
      <c r="P79" s="1096"/>
      <c r="Q79" s="1096"/>
      <c r="R79" s="1096"/>
      <c r="S79" s="1096"/>
      <c r="T79" s="1096"/>
      <c r="U79" s="1096"/>
      <c r="V79" s="1295"/>
      <c r="W79" s="1096"/>
      <c r="X79" s="1491"/>
      <c r="Y79" s="218"/>
      <c r="Z79" s="218"/>
      <c r="AA79" s="1096"/>
      <c r="AB79" s="1096"/>
      <c r="AC79" s="1096"/>
      <c r="AD79" s="1096"/>
      <c r="AE79" s="1096"/>
      <c r="AF79" s="1096"/>
      <c r="AG79" s="1096"/>
      <c r="AH79" s="1096"/>
      <c r="AI79" s="1096"/>
      <c r="AJ79" s="1096"/>
      <c r="AK79" s="1096"/>
      <c r="AL79" s="1096"/>
      <c r="AM79" s="1096"/>
      <c r="AN79" s="1096"/>
      <c r="AO79" s="1096"/>
      <c r="AP79" s="1096"/>
      <c r="AQ79" s="1096"/>
      <c r="AR79" s="1096"/>
      <c r="AS79" s="1096"/>
      <c r="AT79" s="1096"/>
      <c r="AU79" s="1096"/>
      <c r="AV79" s="1096"/>
      <c r="AW79" s="1096"/>
      <c r="AX79" s="1310"/>
      <c r="AY79" s="1295"/>
      <c r="AZ79" s="1348"/>
      <c r="BA79" s="1295"/>
      <c r="BB79" s="1295"/>
      <c r="BC79" s="1295"/>
      <c r="BD79" s="1096"/>
      <c r="BE79" s="1096"/>
      <c r="BF79" s="1096"/>
      <c r="BG79" s="218"/>
      <c r="BH79" s="1096">
        <v>93</v>
      </c>
      <c r="BI79" s="218"/>
      <c r="BJ79" s="218">
        <v>1053</v>
      </c>
      <c r="BK79" s="1310"/>
      <c r="BL79" s="1096"/>
      <c r="BM79" s="1096"/>
      <c r="BN79" s="218"/>
      <c r="BO79" s="218"/>
      <c r="BP79" s="1096"/>
      <c r="BQ79" s="1096"/>
      <c r="BR79" s="1096"/>
      <c r="BS79" s="218"/>
      <c r="BT79" s="1269"/>
      <c r="BU79" s="1269"/>
      <c r="BV79" s="1269"/>
      <c r="BW79" s="211"/>
      <c r="BX79" s="1096"/>
      <c r="BY79" s="1096"/>
      <c r="BZ79" s="1491">
        <v>594</v>
      </c>
      <c r="CA79" s="218"/>
      <c r="CB79" s="1310"/>
      <c r="CC79" s="1184"/>
      <c r="CD79" s="218">
        <f t="shared" si="73"/>
        <v>1541</v>
      </c>
      <c r="CE79" s="218">
        <f>SONPPF!C121</f>
        <v>225</v>
      </c>
      <c r="CF79" s="218">
        <f>SONPPF!E121</f>
        <v>1316</v>
      </c>
      <c r="CG79" s="218"/>
      <c r="CH79" s="218"/>
      <c r="CI79" s="218">
        <f>'Nonmajor Ent BS'!K119</f>
        <v>0</v>
      </c>
    </row>
    <row r="80" spans="1:87" s="332" customFormat="1" ht="12.75" customHeight="1" x14ac:dyDescent="0.2">
      <c r="A80" s="1183" t="s">
        <v>3</v>
      </c>
      <c r="B80" s="211">
        <f t="shared" si="74"/>
        <v>0</v>
      </c>
      <c r="C80" s="1096"/>
      <c r="D80" s="1491"/>
      <c r="E80" s="1393"/>
      <c r="F80" s="1393"/>
      <c r="G80" s="1392"/>
      <c r="H80" s="1393"/>
      <c r="I80" s="1392"/>
      <c r="J80" s="1393"/>
      <c r="K80" s="1096"/>
      <c r="L80" s="218"/>
      <c r="M80" s="218"/>
      <c r="N80" s="1096"/>
      <c r="O80" s="1096"/>
      <c r="P80" s="1096"/>
      <c r="Q80" s="1096"/>
      <c r="R80" s="1096"/>
      <c r="S80" s="1096"/>
      <c r="T80" s="1096"/>
      <c r="U80" s="1096"/>
      <c r="V80" s="1295"/>
      <c r="W80" s="1096"/>
      <c r="X80" s="1491"/>
      <c r="Y80" s="218"/>
      <c r="Z80" s="218"/>
      <c r="AA80" s="1096"/>
      <c r="AB80" s="1096"/>
      <c r="AC80" s="1096"/>
      <c r="AD80" s="1096"/>
      <c r="AE80" s="1096"/>
      <c r="AF80" s="1096"/>
      <c r="AG80" s="1096"/>
      <c r="AH80" s="1096"/>
      <c r="AI80" s="1096"/>
      <c r="AJ80" s="1096"/>
      <c r="AK80" s="1096"/>
      <c r="AL80" s="1096"/>
      <c r="AM80" s="1096"/>
      <c r="AN80" s="1096"/>
      <c r="AO80" s="1096"/>
      <c r="AP80" s="1096"/>
      <c r="AQ80" s="1096"/>
      <c r="AR80" s="1096"/>
      <c r="AS80" s="1096"/>
      <c r="AT80" s="1096"/>
      <c r="AU80" s="1096"/>
      <c r="AV80" s="1096"/>
      <c r="AW80" s="1096"/>
      <c r="AX80" s="1310"/>
      <c r="AY80" s="1295"/>
      <c r="AZ80" s="1348"/>
      <c r="BA80" s="1295"/>
      <c r="BB80" s="1295"/>
      <c r="BC80" s="1295"/>
      <c r="BD80" s="1096"/>
      <c r="BE80" s="1096"/>
      <c r="BF80" s="1096"/>
      <c r="BG80" s="218"/>
      <c r="BH80" s="1096"/>
      <c r="BI80" s="218"/>
      <c r="BJ80" s="218"/>
      <c r="BK80" s="1310"/>
      <c r="BL80" s="1096"/>
      <c r="BM80" s="1096"/>
      <c r="BN80" s="218"/>
      <c r="BO80" s="218"/>
      <c r="BP80" s="1096"/>
      <c r="BQ80" s="1096"/>
      <c r="BR80" s="1096"/>
      <c r="BS80" s="218"/>
      <c r="BT80" s="1269" t="s">
        <v>1050</v>
      </c>
      <c r="BU80" s="1269"/>
      <c r="BV80" s="1269"/>
      <c r="BW80" s="211"/>
      <c r="BX80" s="1096"/>
      <c r="BY80" s="1096"/>
      <c r="BZ80" s="1491"/>
      <c r="CA80" s="218"/>
      <c r="CB80" s="1310"/>
      <c r="CC80" s="1184"/>
      <c r="CD80" s="218">
        <f t="shared" si="73"/>
        <v>159</v>
      </c>
      <c r="CE80" s="218"/>
      <c r="CF80" s="218">
        <f>+SONPPF!E122</f>
        <v>159</v>
      </c>
      <c r="CG80" s="218">
        <f>'Nonmajor Ent BS'!G121</f>
        <v>0</v>
      </c>
      <c r="CH80" s="218">
        <f>'Nonmajor Ent BS'!E121</f>
        <v>0</v>
      </c>
      <c r="CI80" s="218">
        <f>'Nonmajor Ent BS'!C121</f>
        <v>0</v>
      </c>
    </row>
    <row r="81" spans="1:87" s="332" customFormat="1" ht="12.75" customHeight="1" x14ac:dyDescent="0.2">
      <c r="A81" s="1191" t="s">
        <v>942</v>
      </c>
      <c r="B81" s="211">
        <f t="shared" si="74"/>
        <v>0</v>
      </c>
      <c r="C81" s="1096"/>
      <c r="D81" s="1491"/>
      <c r="E81" s="1393"/>
      <c r="F81" s="1393"/>
      <c r="G81" s="1392"/>
      <c r="H81" s="1393"/>
      <c r="I81" s="1392"/>
      <c r="J81" s="1393"/>
      <c r="K81" s="1096"/>
      <c r="L81" s="218"/>
      <c r="M81" s="218"/>
      <c r="N81" s="1096"/>
      <c r="O81" s="1096"/>
      <c r="P81" s="1096"/>
      <c r="Q81" s="1096"/>
      <c r="R81" s="1096"/>
      <c r="S81" s="1096"/>
      <c r="T81" s="1096"/>
      <c r="U81" s="1096"/>
      <c r="V81" s="1295"/>
      <c r="W81" s="1096"/>
      <c r="X81" s="1491"/>
      <c r="Y81" s="218"/>
      <c r="Z81" s="218"/>
      <c r="AA81" s="1096"/>
      <c r="AB81" s="1096"/>
      <c r="AC81" s="1096"/>
      <c r="AD81" s="1096"/>
      <c r="AE81" s="1096"/>
      <c r="AF81" s="1096"/>
      <c r="AG81" s="1096"/>
      <c r="AH81" s="1096"/>
      <c r="AI81" s="1096"/>
      <c r="AJ81" s="1096"/>
      <c r="AK81" s="1096"/>
      <c r="AL81" s="1096"/>
      <c r="AM81" s="1096"/>
      <c r="AN81" s="1096"/>
      <c r="AO81" s="1096"/>
      <c r="AP81" s="1096"/>
      <c r="AQ81" s="1096"/>
      <c r="AR81" s="1096"/>
      <c r="AS81" s="1096"/>
      <c r="AT81" s="1096"/>
      <c r="AU81" s="1096"/>
      <c r="AV81" s="1096"/>
      <c r="AW81" s="1096"/>
      <c r="AX81" s="1310"/>
      <c r="AY81" s="1295"/>
      <c r="AZ81" s="1348"/>
      <c r="BA81" s="1295"/>
      <c r="BB81" s="1295"/>
      <c r="BC81" s="1295"/>
      <c r="BD81" s="1096"/>
      <c r="BE81" s="1096"/>
      <c r="BF81" s="1096"/>
      <c r="BG81" s="218"/>
      <c r="BH81" s="1096"/>
      <c r="BI81" s="218"/>
      <c r="BJ81" s="218"/>
      <c r="BK81" s="1310"/>
      <c r="BL81" s="1096"/>
      <c r="BM81" s="1096"/>
      <c r="BN81" s="218"/>
      <c r="BO81" s="218"/>
      <c r="BP81" s="1096"/>
      <c r="BQ81" s="1096"/>
      <c r="BR81" s="1096"/>
      <c r="BS81" s="218"/>
      <c r="BT81" s="1269"/>
      <c r="BU81" s="1269"/>
      <c r="BV81" s="1269"/>
      <c r="BW81" s="211"/>
      <c r="BX81" s="1096"/>
      <c r="BY81" s="1096"/>
      <c r="BZ81" s="1491"/>
      <c r="CA81" s="218"/>
      <c r="CB81" s="1310"/>
      <c r="CC81" s="1184"/>
      <c r="CD81" s="218">
        <f t="shared" si="73"/>
        <v>0</v>
      </c>
      <c r="CE81" s="218"/>
      <c r="CF81" s="218"/>
      <c r="CG81" s="218"/>
      <c r="CH81" s="218"/>
      <c r="CI81" s="218"/>
    </row>
    <row r="82" spans="1:87" s="332" customFormat="1" ht="12.75" customHeight="1" x14ac:dyDescent="0.2">
      <c r="A82" s="1181" t="s">
        <v>696</v>
      </c>
      <c r="B82" s="244">
        <f t="shared" si="74"/>
        <v>2980263</v>
      </c>
      <c r="C82" s="244">
        <v>-39360</v>
      </c>
      <c r="D82" s="1279">
        <v>-3114073</v>
      </c>
      <c r="E82" s="1401"/>
      <c r="F82" s="1401"/>
      <c r="G82" s="1402"/>
      <c r="H82" s="1401"/>
      <c r="I82" s="1402"/>
      <c r="J82" s="1401">
        <v>25692</v>
      </c>
      <c r="K82" s="1279"/>
      <c r="L82" s="245"/>
      <c r="M82" s="245"/>
      <c r="N82" s="1279"/>
      <c r="O82" s="1279">
        <v>15955</v>
      </c>
      <c r="P82" s="1279"/>
      <c r="Q82" s="1279"/>
      <c r="R82" s="1279"/>
      <c r="S82" s="1279"/>
      <c r="T82" s="1279"/>
      <c r="U82" s="1279"/>
      <c r="V82" s="1296"/>
      <c r="W82" s="1279"/>
      <c r="X82" s="1497"/>
      <c r="Y82" s="245">
        <v>0</v>
      </c>
      <c r="Z82" s="245"/>
      <c r="AA82" s="1279"/>
      <c r="AB82" s="1279">
        <v>679378</v>
      </c>
      <c r="AC82" s="1279">
        <v>507177</v>
      </c>
      <c r="AD82" s="1279">
        <v>704690</v>
      </c>
      <c r="AE82" s="1279">
        <v>479760</v>
      </c>
      <c r="AF82" s="1279">
        <v>0</v>
      </c>
      <c r="AG82" s="1279">
        <v>0</v>
      </c>
      <c r="AH82" s="1279">
        <v>0</v>
      </c>
      <c r="AI82" s="1279">
        <v>0</v>
      </c>
      <c r="AJ82" s="1279">
        <v>0</v>
      </c>
      <c r="AK82" s="1279">
        <v>984870</v>
      </c>
      <c r="AL82" s="1279">
        <v>28280</v>
      </c>
      <c r="AM82" s="1279">
        <v>53370</v>
      </c>
      <c r="AN82" s="1279">
        <v>59970</v>
      </c>
      <c r="AO82" s="1279">
        <v>77190</v>
      </c>
      <c r="AP82" s="1279">
        <v>43065</v>
      </c>
      <c r="AQ82" s="1279">
        <v>135230</v>
      </c>
      <c r="AR82" s="1279">
        <v>0</v>
      </c>
      <c r="AS82" s="1279">
        <v>25805</v>
      </c>
      <c r="AT82" s="1279">
        <v>58105</v>
      </c>
      <c r="AU82" s="1279">
        <v>105210</v>
      </c>
      <c r="AV82" s="1279">
        <v>0</v>
      </c>
      <c r="AW82" s="1279">
        <v>558560</v>
      </c>
      <c r="AX82" s="1318">
        <v>26465</v>
      </c>
      <c r="AY82" s="1296"/>
      <c r="AZ82" s="1349"/>
      <c r="BA82" s="1296"/>
      <c r="BB82" s="1296"/>
      <c r="BC82" s="1296"/>
      <c r="BD82" s="1279"/>
      <c r="BE82" s="1279"/>
      <c r="BF82" s="1279"/>
      <c r="BG82" s="245"/>
      <c r="BH82" s="1279"/>
      <c r="BI82" s="245"/>
      <c r="BJ82" s="245"/>
      <c r="BK82" s="245">
        <v>141070</v>
      </c>
      <c r="BL82" s="1279">
        <v>10885</v>
      </c>
      <c r="BM82" s="1279"/>
      <c r="BN82" s="245"/>
      <c r="BO82" s="245"/>
      <c r="BP82" s="1279"/>
      <c r="BQ82" s="1279"/>
      <c r="BR82" s="1279">
        <v>536950</v>
      </c>
      <c r="BS82" s="245"/>
      <c r="BT82" s="1272"/>
      <c r="BU82" s="1272"/>
      <c r="BV82" s="1272"/>
      <c r="BW82" s="244"/>
      <c r="BX82" s="1279">
        <v>4008</v>
      </c>
      <c r="BY82" s="1279"/>
      <c r="BZ82" s="1497">
        <v>872011</v>
      </c>
      <c r="CA82" s="245"/>
      <c r="CB82" s="1318"/>
      <c r="CC82" s="1182"/>
      <c r="CD82" s="245">
        <f t="shared" si="73"/>
        <v>568925</v>
      </c>
      <c r="CE82" s="245">
        <f>+SONPPF!C149</f>
        <v>563486</v>
      </c>
      <c r="CF82" s="245">
        <f>+SONPPF!E149</f>
        <v>0</v>
      </c>
      <c r="CG82" s="245">
        <f>'Nonmajor Ent BS'!G148</f>
        <v>0</v>
      </c>
      <c r="CH82" s="245">
        <f>'Nonmajor Ent BS'!E148</f>
        <v>0</v>
      </c>
      <c r="CI82" s="245">
        <f>'Nonmajor Ent BS'!C148</f>
        <v>5439</v>
      </c>
    </row>
    <row r="83" spans="1:87" s="332" customFormat="1" ht="12.75" customHeight="1" x14ac:dyDescent="0.2">
      <c r="A83" s="1183" t="s">
        <v>254</v>
      </c>
      <c r="B83" s="211">
        <f t="shared" si="74"/>
        <v>59417</v>
      </c>
      <c r="C83" s="1096"/>
      <c r="D83" s="1491"/>
      <c r="E83" s="1393"/>
      <c r="F83" s="1393"/>
      <c r="G83" s="1392"/>
      <c r="H83" s="1393"/>
      <c r="I83" s="1392"/>
      <c r="J83" s="1393"/>
      <c r="K83" s="1096"/>
      <c r="L83" s="218"/>
      <c r="M83" s="218"/>
      <c r="N83" s="1096"/>
      <c r="O83" s="1096"/>
      <c r="P83" s="1096"/>
      <c r="Q83" s="1096"/>
      <c r="R83" s="1096"/>
      <c r="S83" s="1096"/>
      <c r="T83" s="1096"/>
      <c r="U83" s="1096"/>
      <c r="V83" s="1295"/>
      <c r="W83" s="1096"/>
      <c r="X83" s="1491"/>
      <c r="Y83" s="218"/>
      <c r="Z83" s="218"/>
      <c r="AA83" s="1096"/>
      <c r="AB83" s="1096"/>
      <c r="AC83" s="1096"/>
      <c r="AD83" s="1096"/>
      <c r="AE83" s="1096"/>
      <c r="AF83" s="1096"/>
      <c r="AG83" s="1096"/>
      <c r="AH83" s="1096"/>
      <c r="AI83" s="1096"/>
      <c r="AJ83" s="1096"/>
      <c r="AK83" s="1096"/>
      <c r="AL83" s="1096"/>
      <c r="AM83" s="1096"/>
      <c r="AN83" s="1096"/>
      <c r="AO83" s="1096"/>
      <c r="AP83" s="1096"/>
      <c r="AQ83" s="1096"/>
      <c r="AR83" s="1096"/>
      <c r="AS83" s="1096"/>
      <c r="AT83" s="1096"/>
      <c r="AU83" s="1096"/>
      <c r="AV83" s="1096"/>
      <c r="AW83" s="1096"/>
      <c r="AX83" s="1310"/>
      <c r="AY83" s="1295"/>
      <c r="AZ83" s="1348"/>
      <c r="BA83" s="1295"/>
      <c r="BB83" s="1295"/>
      <c r="BC83" s="1295"/>
      <c r="BD83" s="1096"/>
      <c r="BE83" s="1096"/>
      <c r="BF83" s="1096"/>
      <c r="BG83" s="218"/>
      <c r="BH83" s="1096"/>
      <c r="BI83" s="218"/>
      <c r="BJ83" s="218"/>
      <c r="BK83" s="1310"/>
      <c r="BL83" s="1096"/>
      <c r="BM83" s="1096"/>
      <c r="BN83" s="218"/>
      <c r="BO83" s="218"/>
      <c r="BP83" s="1096"/>
      <c r="BQ83" s="1096"/>
      <c r="BR83" s="1096"/>
      <c r="BS83" s="218"/>
      <c r="BT83" s="1269">
        <v>0</v>
      </c>
      <c r="BU83" s="1269">
        <v>28763</v>
      </c>
      <c r="BV83" s="1269">
        <v>30654</v>
      </c>
      <c r="BW83" s="211">
        <v>0</v>
      </c>
      <c r="BX83" s="1096"/>
      <c r="BY83" s="1096">
        <v>0</v>
      </c>
      <c r="BZ83" s="1491"/>
      <c r="CA83" s="218"/>
      <c r="CB83" s="1310"/>
      <c r="CC83" s="1184"/>
      <c r="CD83" s="218">
        <f t="shared" si="73"/>
        <v>0</v>
      </c>
      <c r="CE83" s="218"/>
      <c r="CF83" s="218"/>
      <c r="CG83" s="218"/>
      <c r="CH83" s="218"/>
      <c r="CI83" s="218"/>
    </row>
    <row r="84" spans="1:87" s="332" customFormat="1" ht="12.75" customHeight="1" x14ac:dyDescent="0.2">
      <c r="A84" s="1183" t="s">
        <v>705</v>
      </c>
      <c r="B84" s="211">
        <f t="shared" si="74"/>
        <v>0</v>
      </c>
      <c r="C84" s="1096"/>
      <c r="D84" s="1491"/>
      <c r="E84" s="1393"/>
      <c r="F84" s="1393"/>
      <c r="G84" s="1392"/>
      <c r="H84" s="1393"/>
      <c r="I84" s="1392"/>
      <c r="J84" s="1393"/>
      <c r="K84" s="1096"/>
      <c r="L84" s="218"/>
      <c r="M84" s="218"/>
      <c r="N84" s="1096"/>
      <c r="O84" s="1096"/>
      <c r="P84" s="1096"/>
      <c r="Q84" s="1096"/>
      <c r="R84" s="1096"/>
      <c r="S84" s="1096"/>
      <c r="T84" s="1096"/>
      <c r="U84" s="1096"/>
      <c r="V84" s="1295"/>
      <c r="W84" s="1096"/>
      <c r="X84" s="1491"/>
      <c r="Y84" s="218"/>
      <c r="Z84" s="218"/>
      <c r="AA84" s="1096"/>
      <c r="AB84" s="1096"/>
      <c r="AC84" s="1096"/>
      <c r="AD84" s="1096"/>
      <c r="AE84" s="1096"/>
      <c r="AF84" s="1096"/>
      <c r="AG84" s="1096"/>
      <c r="AH84" s="1096"/>
      <c r="AI84" s="1096"/>
      <c r="AJ84" s="1096"/>
      <c r="AK84" s="1096"/>
      <c r="AL84" s="1096"/>
      <c r="AM84" s="1096"/>
      <c r="AN84" s="1096"/>
      <c r="AO84" s="1096"/>
      <c r="AP84" s="1096"/>
      <c r="AQ84" s="1096"/>
      <c r="AR84" s="1096"/>
      <c r="AS84" s="1096"/>
      <c r="AT84" s="1096"/>
      <c r="AU84" s="1096"/>
      <c r="AV84" s="1096"/>
      <c r="AW84" s="1096"/>
      <c r="AX84" s="1310"/>
      <c r="AY84" s="1295"/>
      <c r="AZ84" s="1348"/>
      <c r="BA84" s="1295"/>
      <c r="BB84" s="1295"/>
      <c r="BC84" s="1295"/>
      <c r="BD84" s="1096"/>
      <c r="BE84" s="1096"/>
      <c r="BF84" s="1096"/>
      <c r="BG84" s="218"/>
      <c r="BH84" s="1096"/>
      <c r="BI84" s="218"/>
      <c r="BJ84" s="218"/>
      <c r="BK84" s="1310"/>
      <c r="BL84" s="1096"/>
      <c r="BM84" s="1096"/>
      <c r="BN84" s="218"/>
      <c r="BO84" s="218"/>
      <c r="BP84" s="1096"/>
      <c r="BQ84" s="1096"/>
      <c r="BR84" s="1096"/>
      <c r="BS84" s="218"/>
      <c r="BT84" s="1269"/>
      <c r="BU84" s="1269"/>
      <c r="BV84" s="1269"/>
      <c r="BW84" s="211"/>
      <c r="BX84" s="1096"/>
      <c r="BY84" s="1096"/>
      <c r="BZ84" s="1491"/>
      <c r="CA84" s="218"/>
      <c r="CB84" s="1310"/>
      <c r="CC84" s="1184"/>
      <c r="CD84" s="218">
        <f t="shared" si="73"/>
        <v>0</v>
      </c>
      <c r="CE84" s="218"/>
      <c r="CF84" s="218"/>
      <c r="CG84" s="218"/>
      <c r="CH84" s="218"/>
      <c r="CI84" s="218"/>
    </row>
    <row r="85" spans="1:87" s="332" customFormat="1" ht="12.75" customHeight="1" x14ac:dyDescent="0.2">
      <c r="A85" s="1185" t="s">
        <v>697</v>
      </c>
      <c r="B85" s="232">
        <f t="shared" si="74"/>
        <v>160621</v>
      </c>
      <c r="C85" s="1280"/>
      <c r="D85" s="1498">
        <v>13445</v>
      </c>
      <c r="E85" s="1403"/>
      <c r="F85" s="1403"/>
      <c r="G85" s="1404"/>
      <c r="H85" s="1403"/>
      <c r="I85" s="1404"/>
      <c r="J85" s="1403"/>
      <c r="K85" s="1280"/>
      <c r="L85" s="233"/>
      <c r="M85" s="233"/>
      <c r="N85" s="1280"/>
      <c r="O85" s="1280"/>
      <c r="P85" s="1280"/>
      <c r="Q85" s="1280"/>
      <c r="R85" s="1280"/>
      <c r="S85" s="1280"/>
      <c r="T85" s="1280"/>
      <c r="U85" s="1280"/>
      <c r="V85" s="1297"/>
      <c r="W85" s="1280"/>
      <c r="X85" s="1498"/>
      <c r="Y85" s="233">
        <v>0</v>
      </c>
      <c r="Z85" s="233">
        <v>0</v>
      </c>
      <c r="AA85" s="1280">
        <v>0</v>
      </c>
      <c r="AB85" s="233">
        <v>0</v>
      </c>
      <c r="AC85" s="1280">
        <v>5632</v>
      </c>
      <c r="AD85" s="1280">
        <v>48917</v>
      </c>
      <c r="AE85" s="1280">
        <v>23525</v>
      </c>
      <c r="AF85" s="233">
        <v>0</v>
      </c>
      <c r="AG85" s="233">
        <v>0</v>
      </c>
      <c r="AH85" s="233">
        <v>0</v>
      </c>
      <c r="AI85" s="233">
        <v>0</v>
      </c>
      <c r="AJ85" s="233">
        <v>0</v>
      </c>
      <c r="AK85" s="1280">
        <v>12749</v>
      </c>
      <c r="AL85" s="1280">
        <v>1744</v>
      </c>
      <c r="AM85" s="1280">
        <v>3745</v>
      </c>
      <c r="AN85" s="1280">
        <v>4142</v>
      </c>
      <c r="AO85" s="1280">
        <v>5670</v>
      </c>
      <c r="AP85" s="1280">
        <v>1923</v>
      </c>
      <c r="AQ85" s="1280">
        <v>7109</v>
      </c>
      <c r="AR85" s="233">
        <v>0</v>
      </c>
      <c r="AS85" s="233">
        <v>0</v>
      </c>
      <c r="AT85" s="233">
        <v>0</v>
      </c>
      <c r="AU85" s="233">
        <v>0</v>
      </c>
      <c r="AV85" s="233">
        <v>0</v>
      </c>
      <c r="AW85" s="1280">
        <v>475</v>
      </c>
      <c r="AX85" s="1319"/>
      <c r="AY85" s="1297"/>
      <c r="AZ85" s="1350"/>
      <c r="BA85" s="1297"/>
      <c r="BB85" s="1297"/>
      <c r="BC85" s="1297"/>
      <c r="BD85" s="1280"/>
      <c r="BE85" s="1280"/>
      <c r="BF85" s="1280"/>
      <c r="BG85" s="233"/>
      <c r="BH85" s="1280"/>
      <c r="BI85" s="233"/>
      <c r="BJ85" s="233"/>
      <c r="BK85" s="1319">
        <v>8294</v>
      </c>
      <c r="BL85" s="1280">
        <v>28</v>
      </c>
      <c r="BM85" s="1280"/>
      <c r="BN85" s="233"/>
      <c r="BO85" s="233"/>
      <c r="BP85" s="1280"/>
      <c r="BQ85" s="1280"/>
      <c r="BR85" s="1280">
        <v>23223</v>
      </c>
      <c r="BS85" s="233"/>
      <c r="BT85" s="1273"/>
      <c r="BU85" s="1273"/>
      <c r="BV85" s="1273"/>
      <c r="BW85" s="232"/>
      <c r="BX85" s="1280"/>
      <c r="BY85" s="1280"/>
      <c r="BZ85" s="1498"/>
      <c r="CA85" s="233"/>
      <c r="CB85" s="1319"/>
      <c r="CC85" s="1186"/>
      <c r="CD85" s="233">
        <f t="shared" si="73"/>
        <v>0</v>
      </c>
      <c r="CE85" s="233">
        <f>+SONPPF!C150</f>
        <v>0</v>
      </c>
      <c r="CF85" s="233"/>
      <c r="CG85" s="233">
        <f>'Nonmajor Ent BS'!G149</f>
        <v>0</v>
      </c>
      <c r="CH85" s="233">
        <f>'Nonmajor Ent BS'!E149</f>
        <v>0</v>
      </c>
      <c r="CI85" s="233">
        <f>'Nonmajor Ent BS'!C149</f>
        <v>0</v>
      </c>
    </row>
    <row r="86" spans="1:87" s="332" customFormat="1" ht="12.75" customHeight="1" x14ac:dyDescent="0.2">
      <c r="A86" s="1185" t="s">
        <v>1600</v>
      </c>
      <c r="B86" s="232">
        <f t="shared" si="74"/>
        <v>-112</v>
      </c>
      <c r="C86" s="1280"/>
      <c r="D86" s="1498"/>
      <c r="E86" s="1403"/>
      <c r="F86" s="1403"/>
      <c r="G86" s="1404"/>
      <c r="H86" s="1403"/>
      <c r="I86" s="1404"/>
      <c r="J86" s="1403"/>
      <c r="K86" s="1280"/>
      <c r="L86" s="233"/>
      <c r="M86" s="233"/>
      <c r="N86" s="1280"/>
      <c r="O86" s="1280"/>
      <c r="P86" s="1280"/>
      <c r="Q86" s="1280"/>
      <c r="R86" s="1280"/>
      <c r="S86" s="1280"/>
      <c r="T86" s="1280"/>
      <c r="U86" s="1280"/>
      <c r="V86" s="1297"/>
      <c r="W86" s="1280"/>
      <c r="X86" s="1498"/>
      <c r="Y86" s="233">
        <v>0</v>
      </c>
      <c r="Z86" s="233">
        <v>0</v>
      </c>
      <c r="AA86" s="1280">
        <v>0</v>
      </c>
      <c r="AB86" s="1280">
        <v>0</v>
      </c>
      <c r="AC86" s="1280">
        <v>0</v>
      </c>
      <c r="AD86" s="1280"/>
      <c r="AE86" s="1280"/>
      <c r="AF86" s="1280">
        <v>0</v>
      </c>
      <c r="AG86" s="1280"/>
      <c r="AH86" s="1280"/>
      <c r="AI86" s="1280"/>
      <c r="AJ86" s="1280"/>
      <c r="AK86" s="1280"/>
      <c r="AL86" s="1280"/>
      <c r="AM86" s="1280"/>
      <c r="AN86" s="1280"/>
      <c r="AO86" s="1280"/>
      <c r="AP86" s="1280"/>
      <c r="AQ86" s="1280"/>
      <c r="AR86" s="1280">
        <v>0</v>
      </c>
      <c r="AS86" s="1280">
        <v>0</v>
      </c>
      <c r="AT86" s="1280">
        <v>0</v>
      </c>
      <c r="AU86" s="1280">
        <v>0</v>
      </c>
      <c r="AV86" s="1280">
        <v>0</v>
      </c>
      <c r="AW86" s="1280">
        <v>0</v>
      </c>
      <c r="AX86" s="1319"/>
      <c r="AY86" s="1297"/>
      <c r="AZ86" s="1350"/>
      <c r="BA86" s="1297"/>
      <c r="BB86" s="1297"/>
      <c r="BC86" s="1297"/>
      <c r="BD86" s="1280"/>
      <c r="BE86" s="1280"/>
      <c r="BF86" s="1280"/>
      <c r="BG86" s="233"/>
      <c r="BH86" s="1280"/>
      <c r="BI86" s="233"/>
      <c r="BJ86" s="233"/>
      <c r="BK86" s="1319">
        <v>-112</v>
      </c>
      <c r="BL86" s="1280"/>
      <c r="BM86" s="1280"/>
      <c r="BN86" s="233"/>
      <c r="BO86" s="233"/>
      <c r="BP86" s="1280"/>
      <c r="BQ86" s="1280"/>
      <c r="BR86" s="1280"/>
      <c r="BS86" s="233"/>
      <c r="BT86" s="1273"/>
      <c r="BU86" s="1273"/>
      <c r="BV86" s="1273"/>
      <c r="BW86" s="232"/>
      <c r="BX86" s="1280"/>
      <c r="BY86" s="1280"/>
      <c r="BZ86" s="1498"/>
      <c r="CA86" s="233"/>
      <c r="CB86" s="1319"/>
      <c r="CC86" s="1186"/>
      <c r="CD86" s="233">
        <f t="shared" si="73"/>
        <v>0</v>
      </c>
      <c r="CE86" s="233"/>
      <c r="CF86" s="233"/>
      <c r="CG86" s="233"/>
      <c r="CH86" s="233"/>
      <c r="CI86" s="233"/>
    </row>
    <row r="87" spans="1:87" s="332" customFormat="1" ht="12.75" customHeight="1" x14ac:dyDescent="0.2">
      <c r="A87" s="1185" t="s">
        <v>664</v>
      </c>
      <c r="B87" s="232">
        <f t="shared" si="74"/>
        <v>0</v>
      </c>
      <c r="C87" s="1280"/>
      <c r="D87" s="1498"/>
      <c r="E87" s="1403"/>
      <c r="F87" s="1403"/>
      <c r="G87" s="1404"/>
      <c r="H87" s="1403"/>
      <c r="I87" s="1404"/>
      <c r="J87" s="1403"/>
      <c r="K87" s="1280"/>
      <c r="L87" s="233"/>
      <c r="M87" s="233"/>
      <c r="N87" s="1280"/>
      <c r="O87" s="1280"/>
      <c r="P87" s="1280"/>
      <c r="Q87" s="1280"/>
      <c r="R87" s="1280"/>
      <c r="S87" s="1280"/>
      <c r="T87" s="1280"/>
      <c r="U87" s="1280"/>
      <c r="V87" s="1297"/>
      <c r="W87" s="1280"/>
      <c r="X87" s="1498"/>
      <c r="Y87" s="233">
        <v>0</v>
      </c>
      <c r="Z87" s="233">
        <v>0</v>
      </c>
      <c r="AA87" s="1280">
        <v>0</v>
      </c>
      <c r="AB87" s="1280">
        <v>0</v>
      </c>
      <c r="AC87" s="1280">
        <v>0</v>
      </c>
      <c r="AD87" s="1280"/>
      <c r="AE87" s="1280"/>
      <c r="AF87" s="1280">
        <v>0</v>
      </c>
      <c r="AG87" s="1280"/>
      <c r="AH87" s="1280"/>
      <c r="AI87" s="1280"/>
      <c r="AJ87" s="1280"/>
      <c r="AK87" s="1280"/>
      <c r="AL87" s="1280"/>
      <c r="AM87" s="1280"/>
      <c r="AN87" s="1280"/>
      <c r="AO87" s="1280"/>
      <c r="AP87" s="1280"/>
      <c r="AQ87" s="1280"/>
      <c r="AR87" s="1280">
        <v>0</v>
      </c>
      <c r="AS87" s="1280">
        <v>0</v>
      </c>
      <c r="AT87" s="1280">
        <v>0</v>
      </c>
      <c r="AU87" s="1280">
        <v>0</v>
      </c>
      <c r="AV87" s="1280">
        <v>0</v>
      </c>
      <c r="AW87" s="1280">
        <v>0</v>
      </c>
      <c r="AX87" s="1319"/>
      <c r="AY87" s="1297"/>
      <c r="AZ87" s="1350"/>
      <c r="BA87" s="1297"/>
      <c r="BB87" s="1297"/>
      <c r="BC87" s="1297"/>
      <c r="BD87" s="1280"/>
      <c r="BE87" s="1280"/>
      <c r="BF87" s="1280"/>
      <c r="BG87" s="233"/>
      <c r="BH87" s="1280"/>
      <c r="BI87" s="233"/>
      <c r="BJ87" s="233"/>
      <c r="BK87" s="1319"/>
      <c r="BL87" s="1280"/>
      <c r="BM87" s="1280"/>
      <c r="BN87" s="233"/>
      <c r="BO87" s="233"/>
      <c r="BP87" s="1280"/>
      <c r="BQ87" s="1280"/>
      <c r="BR87" s="1280"/>
      <c r="BS87" s="233"/>
      <c r="BT87" s="1273"/>
      <c r="BU87" s="1273"/>
      <c r="BV87" s="1273"/>
      <c r="BW87" s="232"/>
      <c r="BX87" s="1280"/>
      <c r="BY87" s="1280"/>
      <c r="BZ87" s="1498"/>
      <c r="CA87" s="233"/>
      <c r="CB87" s="1319"/>
      <c r="CC87" s="1186"/>
      <c r="CD87" s="233">
        <f t="shared" si="73"/>
        <v>0</v>
      </c>
      <c r="CE87" s="233">
        <f>+SONPPF!C151</f>
        <v>0</v>
      </c>
      <c r="CF87" s="233"/>
      <c r="CG87" s="233">
        <f>'Nonmajor Ent BS'!G150</f>
        <v>0</v>
      </c>
      <c r="CH87" s="233">
        <f>'Nonmajor Ent BS'!E150</f>
        <v>0</v>
      </c>
      <c r="CI87" s="233">
        <f>'Nonmajor Ent BS'!C150</f>
        <v>0</v>
      </c>
    </row>
    <row r="88" spans="1:87" s="332" customFormat="1" ht="12.75" customHeight="1" x14ac:dyDescent="0.2">
      <c r="A88" s="1183" t="s">
        <v>699</v>
      </c>
      <c r="B88" s="211">
        <f t="shared" si="74"/>
        <v>0</v>
      </c>
      <c r="C88" s="1096"/>
      <c r="D88" s="1491"/>
      <c r="E88" s="1393"/>
      <c r="F88" s="1393"/>
      <c r="G88" s="1392"/>
      <c r="H88" s="1393"/>
      <c r="I88" s="1392"/>
      <c r="J88" s="1393"/>
      <c r="K88" s="1096"/>
      <c r="L88" s="218"/>
      <c r="M88" s="218"/>
      <c r="N88" s="1096"/>
      <c r="O88" s="1096"/>
      <c r="P88" s="1096"/>
      <c r="Q88" s="1096"/>
      <c r="R88" s="1096"/>
      <c r="S88" s="1096"/>
      <c r="T88" s="1096"/>
      <c r="U88" s="1096"/>
      <c r="V88" s="1295"/>
      <c r="W88" s="1096"/>
      <c r="X88" s="1491"/>
      <c r="Y88" s="218"/>
      <c r="Z88" s="218"/>
      <c r="AA88" s="1096"/>
      <c r="AB88" s="1096"/>
      <c r="AC88" s="1096"/>
      <c r="AD88" s="1096"/>
      <c r="AE88" s="1096"/>
      <c r="AF88" s="1096"/>
      <c r="AG88" s="1096"/>
      <c r="AH88" s="1096"/>
      <c r="AI88" s="1096"/>
      <c r="AJ88" s="1096"/>
      <c r="AK88" s="1096"/>
      <c r="AL88" s="1096"/>
      <c r="AM88" s="1096"/>
      <c r="AN88" s="1096"/>
      <c r="AO88" s="1096"/>
      <c r="AP88" s="1096"/>
      <c r="AQ88" s="1096"/>
      <c r="AR88" s="1096"/>
      <c r="AS88" s="1096"/>
      <c r="AT88" s="1096"/>
      <c r="AU88" s="1096"/>
      <c r="AV88" s="1096"/>
      <c r="AW88" s="1096"/>
      <c r="AX88" s="1310"/>
      <c r="AY88" s="1295"/>
      <c r="AZ88" s="1348"/>
      <c r="BA88" s="1295"/>
      <c r="BB88" s="1295"/>
      <c r="BC88" s="1295"/>
      <c r="BD88" s="1096"/>
      <c r="BE88" s="1096"/>
      <c r="BF88" s="1096"/>
      <c r="BG88" s="218"/>
      <c r="BH88" s="1096"/>
      <c r="BI88" s="218"/>
      <c r="BJ88" s="211"/>
      <c r="BK88" s="1310"/>
      <c r="BL88" s="1096"/>
      <c r="BM88" s="1096"/>
      <c r="BN88" s="218"/>
      <c r="BO88" s="218"/>
      <c r="BP88" s="1096">
        <v>0</v>
      </c>
      <c r="BQ88" s="1096"/>
      <c r="BR88" s="1096"/>
      <c r="BS88" s="218"/>
      <c r="BT88" s="1269"/>
      <c r="BU88" s="1269"/>
      <c r="BV88" s="1269"/>
      <c r="BW88" s="211"/>
      <c r="BX88" s="1096"/>
      <c r="BY88" s="1096"/>
      <c r="BZ88" s="1491"/>
      <c r="CA88" s="218"/>
      <c r="CB88" s="1310"/>
      <c r="CC88" s="1184"/>
      <c r="CD88" s="218">
        <f t="shared" si="73"/>
        <v>0</v>
      </c>
      <c r="CE88" s="218"/>
      <c r="CF88" s="218"/>
      <c r="CG88" s="218"/>
      <c r="CH88" s="218"/>
      <c r="CI88" s="218"/>
    </row>
    <row r="89" spans="1:87" s="332" customFormat="1" ht="12.75" customHeight="1" x14ac:dyDescent="0.2">
      <c r="A89" s="1189" t="s">
        <v>691</v>
      </c>
      <c r="B89" s="230">
        <f t="shared" si="74"/>
        <v>161160</v>
      </c>
      <c r="C89" s="1101"/>
      <c r="D89" s="1500"/>
      <c r="E89" s="1405"/>
      <c r="F89" s="1405"/>
      <c r="G89" s="1406"/>
      <c r="H89" s="1405"/>
      <c r="I89" s="1406"/>
      <c r="J89" s="1405"/>
      <c r="K89" s="1101"/>
      <c r="L89" s="231"/>
      <c r="M89" s="231"/>
      <c r="N89" s="1101"/>
      <c r="O89" s="1101"/>
      <c r="P89" s="1101"/>
      <c r="Q89" s="1101"/>
      <c r="R89" s="1101"/>
      <c r="S89" s="1101"/>
      <c r="T89" s="1101"/>
      <c r="U89" s="1101"/>
      <c r="V89" s="1299"/>
      <c r="W89" s="1101"/>
      <c r="X89" s="1500"/>
      <c r="Y89" s="231"/>
      <c r="Z89" s="231"/>
      <c r="AA89" s="1101"/>
      <c r="AB89" s="1101"/>
      <c r="AC89" s="1101"/>
      <c r="AD89" s="1101"/>
      <c r="AE89" s="1101"/>
      <c r="AF89" s="1101"/>
      <c r="AG89" s="1101"/>
      <c r="AH89" s="1101"/>
      <c r="AI89" s="1101"/>
      <c r="AJ89" s="1101"/>
      <c r="AK89" s="1101"/>
      <c r="AL89" s="1101"/>
      <c r="AM89" s="1101"/>
      <c r="AN89" s="1101"/>
      <c r="AO89" s="1101"/>
      <c r="AP89" s="1101"/>
      <c r="AQ89" s="1101"/>
      <c r="AR89" s="1101"/>
      <c r="AS89" s="1101"/>
      <c r="AT89" s="1101"/>
      <c r="AU89" s="1101"/>
      <c r="AV89" s="1101"/>
      <c r="AW89" s="1101"/>
      <c r="AX89" s="1321"/>
      <c r="AY89" s="1299"/>
      <c r="AZ89" s="1352"/>
      <c r="BA89" s="1299"/>
      <c r="BB89" s="1299"/>
      <c r="BC89" s="1299"/>
      <c r="BD89" s="1101"/>
      <c r="BE89" s="1101"/>
      <c r="BF89" s="1101">
        <v>471</v>
      </c>
      <c r="BG89" s="231"/>
      <c r="BH89" s="1101"/>
      <c r="BI89" s="231"/>
      <c r="BJ89" s="231"/>
      <c r="BK89" s="1321"/>
      <c r="BL89" s="1101"/>
      <c r="BM89" s="1101"/>
      <c r="BN89" s="231"/>
      <c r="BO89" s="231"/>
      <c r="BP89" s="1101"/>
      <c r="BQ89" s="1101"/>
      <c r="BR89" s="1101"/>
      <c r="BS89" s="231"/>
      <c r="BT89" s="1275">
        <v>79</v>
      </c>
      <c r="BU89" s="1275">
        <v>24</v>
      </c>
      <c r="BV89" s="1275">
        <v>0</v>
      </c>
      <c r="BW89" s="230">
        <v>1275</v>
      </c>
      <c r="BX89" s="1101">
        <v>167</v>
      </c>
      <c r="BY89" s="1101">
        <v>290</v>
      </c>
      <c r="BZ89" s="1500">
        <v>158854</v>
      </c>
      <c r="CA89" s="231"/>
      <c r="CB89" s="1321"/>
      <c r="CC89" s="1190"/>
      <c r="CD89" s="231">
        <f t="shared" si="73"/>
        <v>1920</v>
      </c>
      <c r="CE89" s="231">
        <f>SONPPF!C153</f>
        <v>1225</v>
      </c>
      <c r="CF89" s="231">
        <f>+SONPPF!E153</f>
        <v>660</v>
      </c>
      <c r="CG89" s="231">
        <f>'Nonmajor Ent BS'!G152</f>
        <v>0</v>
      </c>
      <c r="CH89" s="231">
        <f>'Nonmajor Ent BS'!E152</f>
        <v>3</v>
      </c>
      <c r="CI89" s="231">
        <f>'Nonmajor Ent BS'!C152</f>
        <v>32</v>
      </c>
    </row>
    <row r="90" spans="1:87" s="332" customFormat="1" ht="12.75" customHeight="1" x14ac:dyDescent="0.2">
      <c r="A90" s="1183" t="s">
        <v>209</v>
      </c>
      <c r="B90" s="211">
        <f t="shared" si="74"/>
        <v>2162087</v>
      </c>
      <c r="C90" s="1096"/>
      <c r="D90" s="1491"/>
      <c r="E90" s="1393"/>
      <c r="F90" s="1393"/>
      <c r="G90" s="1392"/>
      <c r="H90" s="1393"/>
      <c r="I90" s="1392"/>
      <c r="J90" s="1393"/>
      <c r="K90" s="1096"/>
      <c r="L90" s="218"/>
      <c r="M90" s="218"/>
      <c r="N90" s="1096"/>
      <c r="O90" s="1096"/>
      <c r="P90" s="1096"/>
      <c r="Q90" s="1096"/>
      <c r="R90" s="1096"/>
      <c r="S90" s="1096"/>
      <c r="T90" s="1096"/>
      <c r="U90" s="1096"/>
      <c r="V90" s="1295"/>
      <c r="W90" s="1096"/>
      <c r="X90" s="1491"/>
      <c r="Y90" s="218"/>
      <c r="Z90" s="218"/>
      <c r="AA90" s="1096"/>
      <c r="AB90" s="1096"/>
      <c r="AC90" s="1096"/>
      <c r="AD90" s="1096"/>
      <c r="AE90" s="1096"/>
      <c r="AF90" s="1096"/>
      <c r="AG90" s="1096"/>
      <c r="AH90" s="1096"/>
      <c r="AI90" s="1096"/>
      <c r="AJ90" s="1096"/>
      <c r="AK90" s="1096"/>
      <c r="AL90" s="1096"/>
      <c r="AM90" s="1096"/>
      <c r="AN90" s="1096"/>
      <c r="AO90" s="1096"/>
      <c r="AP90" s="1096"/>
      <c r="AQ90" s="1096"/>
      <c r="AR90" s="1096"/>
      <c r="AS90" s="1096"/>
      <c r="AT90" s="1096"/>
      <c r="AU90" s="1096"/>
      <c r="AV90" s="1096"/>
      <c r="AW90" s="1096"/>
      <c r="AX90" s="1310"/>
      <c r="AY90" s="1295"/>
      <c r="AZ90" s="1348"/>
      <c r="BA90" s="1295"/>
      <c r="BB90" s="1295"/>
      <c r="BC90" s="1295"/>
      <c r="BD90" s="1096"/>
      <c r="BE90" s="1096"/>
      <c r="BF90" s="1096"/>
      <c r="BG90" s="218"/>
      <c r="BH90" s="1096"/>
      <c r="BI90" s="218"/>
      <c r="BJ90" s="218"/>
      <c r="BK90" s="1310"/>
      <c r="BL90" s="1096"/>
      <c r="BM90" s="1096"/>
      <c r="BN90" s="218"/>
      <c r="BO90" s="218"/>
      <c r="BP90" s="1096"/>
      <c r="BQ90" s="1096"/>
      <c r="BR90" s="1096"/>
      <c r="BS90" s="218"/>
      <c r="BT90" s="1269">
        <v>2737</v>
      </c>
      <c r="BU90" s="1269">
        <v>2801</v>
      </c>
      <c r="BV90" s="1269">
        <v>2607</v>
      </c>
      <c r="BW90" s="1096">
        <v>46272</v>
      </c>
      <c r="BX90" s="1387">
        <v>41512</v>
      </c>
      <c r="BY90" s="1387">
        <v>24253</v>
      </c>
      <c r="BZ90" s="1491">
        <v>2041905</v>
      </c>
      <c r="CA90" s="218"/>
      <c r="CB90" s="1310"/>
      <c r="CC90" s="1184"/>
      <c r="CD90" s="218">
        <f t="shared" si="73"/>
        <v>168347</v>
      </c>
      <c r="CE90" s="218">
        <f>SONPPF!C157</f>
        <v>58439</v>
      </c>
      <c r="CF90" s="218">
        <f>+SONPPF!E157</f>
        <v>67001</v>
      </c>
      <c r="CG90" s="218">
        <f>'Nonmajor Ent BS'!G156</f>
        <v>6099</v>
      </c>
      <c r="CH90" s="218">
        <f>'Nonmajor Ent BS'!E156</f>
        <v>504</v>
      </c>
      <c r="CI90" s="218">
        <f>'Nonmajor Ent BS'!C156</f>
        <v>36304</v>
      </c>
    </row>
    <row r="91" spans="1:87" s="332" customFormat="1" ht="12.75" customHeight="1" x14ac:dyDescent="0.2">
      <c r="A91" s="1183" t="s">
        <v>1164</v>
      </c>
      <c r="B91" s="211">
        <f t="shared" si="74"/>
        <v>30</v>
      </c>
      <c r="C91" s="1098"/>
      <c r="D91" s="1496"/>
      <c r="E91" s="1389"/>
      <c r="F91" s="1389"/>
      <c r="G91" s="1400"/>
      <c r="H91" s="1399"/>
      <c r="I91" s="1400"/>
      <c r="J91" s="1399"/>
      <c r="K91" s="1097"/>
      <c r="L91" s="211"/>
      <c r="M91" s="211"/>
      <c r="N91" s="1097"/>
      <c r="O91" s="1097"/>
      <c r="P91" s="1098"/>
      <c r="Q91" s="1098"/>
      <c r="R91" s="1097"/>
      <c r="S91" s="1098"/>
      <c r="T91" s="1097"/>
      <c r="U91" s="1098"/>
      <c r="V91" s="1288"/>
      <c r="W91" s="1098"/>
      <c r="X91" s="1496"/>
      <c r="Y91" s="211"/>
      <c r="Z91" s="211"/>
      <c r="AA91" s="1098"/>
      <c r="AB91" s="1098"/>
      <c r="AC91" s="1098"/>
      <c r="AD91" s="1098"/>
      <c r="AE91" s="1098"/>
      <c r="AF91" s="1098"/>
      <c r="AG91" s="1098"/>
      <c r="AH91" s="1098"/>
      <c r="AI91" s="1098"/>
      <c r="AJ91" s="1098"/>
      <c r="AK91" s="1098"/>
      <c r="AL91" s="1098"/>
      <c r="AM91" s="1098"/>
      <c r="AN91" s="1098"/>
      <c r="AO91" s="1098"/>
      <c r="AP91" s="1098"/>
      <c r="AQ91" s="1098"/>
      <c r="AR91" s="1098"/>
      <c r="AS91" s="1098"/>
      <c r="AT91" s="1098"/>
      <c r="AU91" s="1098"/>
      <c r="AV91" s="1098"/>
      <c r="AW91" s="1098"/>
      <c r="AX91" s="1310"/>
      <c r="AY91" s="1288"/>
      <c r="AZ91" s="1251"/>
      <c r="BA91" s="1288"/>
      <c r="BB91" s="1288"/>
      <c r="BC91" s="1288"/>
      <c r="BD91" s="1098"/>
      <c r="BE91" s="1098"/>
      <c r="BF91" s="1098"/>
      <c r="BG91" s="211"/>
      <c r="BH91" s="1098"/>
      <c r="BI91" s="211"/>
      <c r="BJ91" s="218"/>
      <c r="BK91" s="1310"/>
      <c r="BL91" s="1098"/>
      <c r="BM91" s="1098"/>
      <c r="BN91" s="211"/>
      <c r="BO91" s="211"/>
      <c r="BP91" s="1098">
        <v>30</v>
      </c>
      <c r="BQ91" s="1098"/>
      <c r="BR91" s="1098"/>
      <c r="BS91" s="211"/>
      <c r="BT91" s="1264"/>
      <c r="BU91" s="1264"/>
      <c r="BV91" s="1264"/>
      <c r="BW91" s="1097"/>
      <c r="BX91" s="1097"/>
      <c r="BY91" s="1447"/>
      <c r="BZ91" s="1496"/>
      <c r="CA91" s="211"/>
      <c r="CB91" s="1308"/>
      <c r="CD91" s="211">
        <f t="shared" si="73"/>
        <v>0</v>
      </c>
      <c r="CE91" s="211"/>
      <c r="CF91" s="211"/>
      <c r="CG91" s="211"/>
      <c r="CH91" s="211"/>
      <c r="CI91" s="211"/>
    </row>
    <row r="92" spans="1:87" s="332" customFormat="1" ht="12.75" customHeight="1" x14ac:dyDescent="0.2">
      <c r="A92" s="1183" t="s">
        <v>701</v>
      </c>
      <c r="B92" s="211">
        <f t="shared" si="74"/>
        <v>73806</v>
      </c>
      <c r="C92" s="1096">
        <v>12679</v>
      </c>
      <c r="D92" s="1491"/>
      <c r="E92" s="1393">
        <v>3</v>
      </c>
      <c r="F92" s="1393">
        <v>11743</v>
      </c>
      <c r="G92" s="1392"/>
      <c r="H92" s="1393"/>
      <c r="I92" s="1392"/>
      <c r="J92" s="1393"/>
      <c r="K92" s="1096"/>
      <c r="L92" s="218"/>
      <c r="M92" s="218"/>
      <c r="N92" s="1096">
        <v>31</v>
      </c>
      <c r="O92" s="1096">
        <v>3</v>
      </c>
      <c r="P92" s="1096"/>
      <c r="Q92" s="1096"/>
      <c r="R92" s="1096"/>
      <c r="S92" s="1096"/>
      <c r="T92" s="1096"/>
      <c r="U92" s="1096">
        <v>3</v>
      </c>
      <c r="V92" s="1295"/>
      <c r="W92" s="1096">
        <v>7</v>
      </c>
      <c r="X92" s="1491"/>
      <c r="Y92" s="218"/>
      <c r="Z92" s="218"/>
      <c r="AA92" s="1096"/>
      <c r="AB92" s="1096"/>
      <c r="AC92" s="1096"/>
      <c r="AD92" s="1096"/>
      <c r="AE92" s="1096"/>
      <c r="AF92" s="1096"/>
      <c r="AG92" s="1096"/>
      <c r="AH92" s="1096"/>
      <c r="AI92" s="1096"/>
      <c r="AJ92" s="1096"/>
      <c r="AK92" s="1096"/>
      <c r="AL92" s="1096"/>
      <c r="AM92" s="1096"/>
      <c r="AN92" s="1096"/>
      <c r="AO92" s="1096"/>
      <c r="AP92" s="1096"/>
      <c r="AQ92" s="1096"/>
      <c r="AR92" s="1096"/>
      <c r="AS92" s="1096"/>
      <c r="AT92" s="1096"/>
      <c r="AU92" s="1096"/>
      <c r="AV92" s="1096"/>
      <c r="AW92" s="1096"/>
      <c r="AX92" s="1310"/>
      <c r="AY92" s="1295"/>
      <c r="AZ92" s="1348"/>
      <c r="BA92" s="1295"/>
      <c r="BB92" s="1295"/>
      <c r="BC92" s="1295"/>
      <c r="BD92" s="1096"/>
      <c r="BE92" s="1096"/>
      <c r="BF92" s="1096"/>
      <c r="BG92" s="218"/>
      <c r="BH92" s="1096">
        <v>602</v>
      </c>
      <c r="BI92" s="218"/>
      <c r="BJ92" s="218">
        <v>2365</v>
      </c>
      <c r="BK92" s="1310"/>
      <c r="BL92" s="1096"/>
      <c r="BM92" s="1096"/>
      <c r="BN92" s="218"/>
      <c r="BO92" s="218"/>
      <c r="BP92" s="1096">
        <v>10279</v>
      </c>
      <c r="BQ92" s="1096">
        <v>7999</v>
      </c>
      <c r="BR92" s="1096"/>
      <c r="BS92" s="218"/>
      <c r="BT92" s="1269"/>
      <c r="BU92" s="1269"/>
      <c r="BV92" s="1269"/>
      <c r="BW92" s="1096">
        <v>28018</v>
      </c>
      <c r="BX92" s="1096">
        <v>66</v>
      </c>
      <c r="BY92" s="1096">
        <v>8</v>
      </c>
      <c r="BZ92" s="1491"/>
      <c r="CA92" s="218"/>
      <c r="CB92" s="1310"/>
      <c r="CC92" s="1192"/>
      <c r="CD92" s="218">
        <f t="shared" si="73"/>
        <v>11130</v>
      </c>
      <c r="CE92" s="218">
        <f>SONPPF!C154</f>
        <v>11053</v>
      </c>
      <c r="CF92" s="218">
        <f>+SONPPF!E154</f>
        <v>67</v>
      </c>
      <c r="CG92" s="218">
        <f>'Nonmajor Ent BS'!G153</f>
        <v>10</v>
      </c>
      <c r="CH92" s="218">
        <f>'Nonmajor Ent BS'!E153</f>
        <v>0</v>
      </c>
      <c r="CI92" s="218">
        <f>'Nonmajor Ent BS'!C153</f>
        <v>0</v>
      </c>
    </row>
    <row r="93" spans="1:87" s="332" customFormat="1" ht="12.75" customHeight="1" x14ac:dyDescent="0.2">
      <c r="A93" s="1183" t="s">
        <v>1637</v>
      </c>
      <c r="B93" s="211">
        <f t="shared" si="74"/>
        <v>72876</v>
      </c>
      <c r="C93" s="1096">
        <v>58878</v>
      </c>
      <c r="D93" s="1491"/>
      <c r="E93" s="1393"/>
      <c r="F93" s="1393">
        <v>4</v>
      </c>
      <c r="G93" s="1392"/>
      <c r="H93" s="1393">
        <v>0</v>
      </c>
      <c r="I93" s="1392"/>
      <c r="J93" s="1393"/>
      <c r="K93" s="1096">
        <v>3</v>
      </c>
      <c r="L93" s="218"/>
      <c r="M93" s="218"/>
      <c r="N93" s="1096">
        <v>1</v>
      </c>
      <c r="O93" s="1096"/>
      <c r="P93" s="1096"/>
      <c r="Q93" s="1096"/>
      <c r="R93" s="1096"/>
      <c r="S93" s="1096"/>
      <c r="T93" s="1096"/>
      <c r="U93" s="1096"/>
      <c r="V93" s="1295"/>
      <c r="W93" s="1096">
        <v>357</v>
      </c>
      <c r="X93" s="1491"/>
      <c r="Y93" s="218"/>
      <c r="Z93" s="218"/>
      <c r="AA93" s="1096"/>
      <c r="AB93" s="1096"/>
      <c r="AC93" s="1096"/>
      <c r="AD93" s="1096"/>
      <c r="AE93" s="1096"/>
      <c r="AF93" s="1096"/>
      <c r="AG93" s="1096"/>
      <c r="AH93" s="1096"/>
      <c r="AI93" s="1096"/>
      <c r="AJ93" s="1096"/>
      <c r="AK93" s="1096"/>
      <c r="AL93" s="1096"/>
      <c r="AM93" s="1096"/>
      <c r="AN93" s="1096"/>
      <c r="AO93" s="1096"/>
      <c r="AP93" s="1096"/>
      <c r="AQ93" s="1096"/>
      <c r="AR93" s="1096"/>
      <c r="AS93" s="1096"/>
      <c r="AT93" s="1096"/>
      <c r="AU93" s="1096"/>
      <c r="AV93" s="1096"/>
      <c r="AW93" s="1096"/>
      <c r="AX93" s="1310"/>
      <c r="AY93" s="1295"/>
      <c r="AZ93" s="1348"/>
      <c r="BA93" s="1295"/>
      <c r="BB93" s="1295"/>
      <c r="BC93" s="1295"/>
      <c r="BD93" s="1096"/>
      <c r="BE93" s="1096"/>
      <c r="BF93" s="1096"/>
      <c r="BG93" s="218"/>
      <c r="BH93" s="1096"/>
      <c r="BI93" s="218"/>
      <c r="BJ93" s="218"/>
      <c r="BK93" s="1310"/>
      <c r="BL93" s="1096"/>
      <c r="BM93" s="1096"/>
      <c r="BN93" s="218"/>
      <c r="BO93" s="218"/>
      <c r="BP93" s="1096"/>
      <c r="BQ93" s="1096">
        <v>476</v>
      </c>
      <c r="BR93" s="1096"/>
      <c r="BS93" s="218"/>
      <c r="BT93" s="1269"/>
      <c r="BU93" s="1269"/>
      <c r="BV93" s="1269"/>
      <c r="BW93" s="1096">
        <v>13136</v>
      </c>
      <c r="BX93" s="1096">
        <v>5</v>
      </c>
      <c r="BY93" s="1096">
        <v>16</v>
      </c>
      <c r="BZ93" s="1491"/>
      <c r="CA93" s="218"/>
      <c r="CB93" s="1310"/>
      <c r="CC93" s="1192"/>
      <c r="CD93" s="218">
        <f t="shared" si="73"/>
        <v>5803</v>
      </c>
      <c r="CE93" s="218">
        <f>SONPPF!C155</f>
        <v>4877</v>
      </c>
      <c r="CF93" s="218">
        <f>SONPPF!E155</f>
        <v>0</v>
      </c>
      <c r="CG93" s="218"/>
      <c r="CH93" s="218"/>
      <c r="CI93" s="218">
        <f>'Nonmajor Ent BS'!C154</f>
        <v>926</v>
      </c>
    </row>
    <row r="94" spans="1:87" s="332" customFormat="1" ht="12.75" customHeight="1" x14ac:dyDescent="0.2">
      <c r="A94" s="1183" t="s">
        <v>1598</v>
      </c>
      <c r="B94" s="211">
        <f t="shared" si="74"/>
        <v>3429</v>
      </c>
      <c r="C94" s="1096"/>
      <c r="D94" s="1491"/>
      <c r="E94" s="1393"/>
      <c r="F94" s="1393"/>
      <c r="G94" s="1392"/>
      <c r="H94" s="1393"/>
      <c r="I94" s="1392"/>
      <c r="J94" s="1393"/>
      <c r="K94" s="1096"/>
      <c r="L94" s="218"/>
      <c r="M94" s="218"/>
      <c r="N94" s="1096"/>
      <c r="O94" s="1096"/>
      <c r="P94" s="1096"/>
      <c r="Q94" s="1096"/>
      <c r="R94" s="1096"/>
      <c r="S94" s="1096"/>
      <c r="T94" s="1096"/>
      <c r="U94" s="1096"/>
      <c r="V94" s="1295"/>
      <c r="W94" s="1096"/>
      <c r="X94" s="1491"/>
      <c r="Y94" s="218"/>
      <c r="Z94" s="218"/>
      <c r="AA94" s="1096"/>
      <c r="AB94" s="1096"/>
      <c r="AC94" s="1096"/>
      <c r="AD94" s="1096"/>
      <c r="AE94" s="1096"/>
      <c r="AF94" s="1096"/>
      <c r="AG94" s="1096"/>
      <c r="AH94" s="1096"/>
      <c r="AI94" s="1096"/>
      <c r="AJ94" s="1096"/>
      <c r="AK94" s="1096"/>
      <c r="AL94" s="1096"/>
      <c r="AM94" s="1096"/>
      <c r="AN94" s="1096"/>
      <c r="AO94" s="1096"/>
      <c r="AP94" s="1096"/>
      <c r="AQ94" s="1096"/>
      <c r="AR94" s="1096"/>
      <c r="AS94" s="1096"/>
      <c r="AT94" s="1096"/>
      <c r="AU94" s="1096"/>
      <c r="AV94" s="1096"/>
      <c r="AW94" s="1096"/>
      <c r="AX94" s="1310"/>
      <c r="AY94" s="1295"/>
      <c r="AZ94" s="1348"/>
      <c r="BA94" s="1295"/>
      <c r="BB94" s="1295"/>
      <c r="BC94" s="1295"/>
      <c r="BD94" s="1096"/>
      <c r="BE94" s="1096"/>
      <c r="BF94" s="1096"/>
      <c r="BG94" s="218"/>
      <c r="BH94" s="1096">
        <v>162</v>
      </c>
      <c r="BI94" s="218"/>
      <c r="BJ94" s="218">
        <v>2536</v>
      </c>
      <c r="BK94" s="1310"/>
      <c r="BL94" s="1096"/>
      <c r="BM94" s="1096"/>
      <c r="BN94" s="218"/>
      <c r="BO94" s="218"/>
      <c r="BP94" s="1096"/>
      <c r="BQ94" s="1096"/>
      <c r="BR94" s="1096"/>
      <c r="BS94" s="218"/>
      <c r="BT94" s="1269"/>
      <c r="BU94" s="1269"/>
      <c r="BV94" s="1269"/>
      <c r="BW94" s="1096"/>
      <c r="BX94" s="1096">
        <v>0</v>
      </c>
      <c r="BY94" s="1096"/>
      <c r="BZ94" s="1491">
        <v>731</v>
      </c>
      <c r="CA94" s="218"/>
      <c r="CB94" s="1310"/>
      <c r="CC94" s="1192"/>
      <c r="CD94" s="218">
        <f t="shared" si="73"/>
        <v>7087</v>
      </c>
      <c r="CE94" s="218">
        <f>SONPPF!C156</f>
        <v>290</v>
      </c>
      <c r="CF94" s="218">
        <f>SONPPF!E156</f>
        <v>6797</v>
      </c>
      <c r="CG94" s="218">
        <f>'Nonmajor Ent BS'!G154</f>
        <v>0</v>
      </c>
      <c r="CH94" s="218">
        <f>'Nonmajor Ent BS'!E154</f>
        <v>0</v>
      </c>
      <c r="CI94" s="218">
        <f>'Nonmajor Ent BS'!C155</f>
        <v>0</v>
      </c>
    </row>
    <row r="95" spans="1:87" s="332" customFormat="1" ht="12.75" customHeight="1" x14ac:dyDescent="0.2">
      <c r="A95" s="1183" t="s">
        <v>419</v>
      </c>
      <c r="B95" s="211">
        <f t="shared" si="74"/>
        <v>12613</v>
      </c>
      <c r="C95" s="1096"/>
      <c r="D95" s="1491"/>
      <c r="E95" s="1393"/>
      <c r="F95" s="1393"/>
      <c r="G95" s="1392"/>
      <c r="H95" s="1393"/>
      <c r="I95" s="1392"/>
      <c r="J95" s="1393"/>
      <c r="K95" s="1096"/>
      <c r="L95" s="218"/>
      <c r="M95" s="218"/>
      <c r="N95" s="1096"/>
      <c r="O95" s="1096"/>
      <c r="P95" s="1096"/>
      <c r="Q95" s="1096"/>
      <c r="R95" s="1096"/>
      <c r="S95" s="1096"/>
      <c r="T95" s="1096"/>
      <c r="U95" s="1096"/>
      <c r="V95" s="1295"/>
      <c r="W95" s="1096"/>
      <c r="X95" s="1491"/>
      <c r="Y95" s="211"/>
      <c r="Z95" s="211"/>
      <c r="AA95" s="1098"/>
      <c r="AB95" s="211">
        <v>0</v>
      </c>
      <c r="AC95" s="211">
        <v>0</v>
      </c>
      <c r="AD95" s="211">
        <f>819+6384</f>
        <v>7203</v>
      </c>
      <c r="AE95" s="211">
        <v>2522</v>
      </c>
      <c r="AF95" s="211">
        <v>0</v>
      </c>
      <c r="AG95" s="211">
        <v>0</v>
      </c>
      <c r="AH95" s="211">
        <v>0</v>
      </c>
      <c r="AI95" s="211">
        <v>0</v>
      </c>
      <c r="AJ95" s="211">
        <v>0</v>
      </c>
      <c r="AK95" s="211">
        <v>0</v>
      </c>
      <c r="AL95" s="211">
        <f>152-152</f>
        <v>0</v>
      </c>
      <c r="AM95" s="211">
        <f>11+33</f>
        <v>44</v>
      </c>
      <c r="AN95" s="211">
        <v>223</v>
      </c>
      <c r="AO95" s="211">
        <v>491</v>
      </c>
      <c r="AP95" s="211">
        <v>86</v>
      </c>
      <c r="AQ95" s="211">
        <v>0</v>
      </c>
      <c r="AR95" s="211">
        <v>0</v>
      </c>
      <c r="AS95" s="211">
        <v>0</v>
      </c>
      <c r="AT95" s="211">
        <v>0</v>
      </c>
      <c r="AU95" s="211">
        <v>0</v>
      </c>
      <c r="AV95" s="211">
        <v>0</v>
      </c>
      <c r="AW95" s="211">
        <f>35+817</f>
        <v>852</v>
      </c>
      <c r="AX95" s="1310"/>
      <c r="AY95" s="1295"/>
      <c r="AZ95" s="1348"/>
      <c r="BA95" s="1295"/>
      <c r="BB95" s="1295"/>
      <c r="BC95" s="1295"/>
      <c r="BD95" s="1096"/>
      <c r="BE95" s="1096"/>
      <c r="BF95" s="1096"/>
      <c r="BG95" s="218"/>
      <c r="BH95" s="1096"/>
      <c r="BI95" s="218"/>
      <c r="BJ95" s="218"/>
      <c r="BK95" s="1310">
        <v>203</v>
      </c>
      <c r="BL95" s="1096"/>
      <c r="BM95" s="1096"/>
      <c r="BN95" s="218"/>
      <c r="BO95" s="218"/>
      <c r="BP95" s="1096"/>
      <c r="BQ95" s="1096"/>
      <c r="BR95" s="1096">
        <v>989</v>
      </c>
      <c r="BS95" s="218"/>
      <c r="BT95" s="1269"/>
      <c r="BU95" s="1269"/>
      <c r="BV95" s="1269"/>
      <c r="BW95" s="1096"/>
      <c r="BX95" s="1096">
        <v>0</v>
      </c>
      <c r="BY95" s="1448"/>
      <c r="BZ95" s="1491"/>
      <c r="CA95" s="218"/>
      <c r="CB95" s="1310"/>
      <c r="CC95" s="1192"/>
      <c r="CD95" s="218">
        <f t="shared" si="73"/>
        <v>0</v>
      </c>
      <c r="CE95" s="218"/>
      <c r="CF95" s="218"/>
      <c r="CG95" s="218"/>
      <c r="CH95" s="218"/>
      <c r="CI95" s="218"/>
    </row>
    <row r="96" spans="1:87" s="332" customFormat="1" ht="12.75" customHeight="1" x14ac:dyDescent="0.2">
      <c r="A96" s="1187" t="s">
        <v>179</v>
      </c>
      <c r="B96" s="1179">
        <f t="shared" si="74"/>
        <v>0</v>
      </c>
      <c r="C96" s="1179"/>
      <c r="D96" s="1499"/>
      <c r="E96" s="1499"/>
      <c r="F96" s="1320"/>
      <c r="G96" s="1320"/>
      <c r="H96" s="1320"/>
      <c r="I96" s="1320"/>
      <c r="J96" s="1320"/>
      <c r="K96" s="1281"/>
      <c r="L96" s="1180"/>
      <c r="M96" s="1180"/>
      <c r="N96" s="1281"/>
      <c r="O96" s="1281"/>
      <c r="P96" s="1281"/>
      <c r="Q96" s="1281"/>
      <c r="R96" s="1281"/>
      <c r="S96" s="1281"/>
      <c r="T96" s="1281"/>
      <c r="U96" s="1281"/>
      <c r="V96" s="1298"/>
      <c r="W96" s="1281"/>
      <c r="X96" s="1499"/>
      <c r="Y96" s="1179">
        <v>0</v>
      </c>
      <c r="Z96" s="1179">
        <v>0</v>
      </c>
      <c r="AA96" s="1360">
        <v>0</v>
      </c>
      <c r="AB96" s="1179">
        <v>0</v>
      </c>
      <c r="AC96" s="1179">
        <v>0</v>
      </c>
      <c r="AD96" s="1179">
        <v>0</v>
      </c>
      <c r="AE96" s="1179">
        <v>0</v>
      </c>
      <c r="AF96" s="1179">
        <v>0</v>
      </c>
      <c r="AG96" s="1179">
        <v>0</v>
      </c>
      <c r="AH96" s="1179">
        <v>0</v>
      </c>
      <c r="AI96" s="1179">
        <v>0</v>
      </c>
      <c r="AJ96" s="1179">
        <v>0</v>
      </c>
      <c r="AK96" s="1179">
        <v>0</v>
      </c>
      <c r="AL96" s="1179">
        <v>0</v>
      </c>
      <c r="AM96" s="1179">
        <v>0</v>
      </c>
      <c r="AN96" s="1179">
        <v>0</v>
      </c>
      <c r="AO96" s="1179">
        <v>0</v>
      </c>
      <c r="AP96" s="1179">
        <v>0</v>
      </c>
      <c r="AQ96" s="1179">
        <v>0</v>
      </c>
      <c r="AR96" s="1179">
        <v>0</v>
      </c>
      <c r="AS96" s="1179">
        <v>0</v>
      </c>
      <c r="AT96" s="1179">
        <v>0</v>
      </c>
      <c r="AU96" s="1179">
        <v>0</v>
      </c>
      <c r="AV96" s="1179">
        <v>0</v>
      </c>
      <c r="AW96" s="1179">
        <v>0</v>
      </c>
      <c r="AX96" s="1320"/>
      <c r="AY96" s="1298"/>
      <c r="AZ96" s="1351"/>
      <c r="BA96" s="1298"/>
      <c r="BB96" s="1298"/>
      <c r="BC96" s="1298"/>
      <c r="BD96" s="1281"/>
      <c r="BE96" s="1281"/>
      <c r="BF96" s="1281"/>
      <c r="BG96" s="1180"/>
      <c r="BH96" s="1281"/>
      <c r="BI96" s="1180"/>
      <c r="BJ96" s="1180"/>
      <c r="BK96" s="1320"/>
      <c r="BL96" s="1281"/>
      <c r="BM96" s="1281"/>
      <c r="BN96" s="1180"/>
      <c r="BO96" s="1180"/>
      <c r="BP96" s="1281"/>
      <c r="BQ96" s="1281"/>
      <c r="BR96" s="1281"/>
      <c r="BS96" s="1180"/>
      <c r="BT96" s="1274"/>
      <c r="BU96" s="1274"/>
      <c r="BV96" s="1274"/>
      <c r="BW96" s="1320"/>
      <c r="BX96" s="1320">
        <v>0</v>
      </c>
      <c r="BY96" s="1320"/>
      <c r="BZ96" s="1499"/>
      <c r="CA96" s="1180"/>
      <c r="CB96" s="1320"/>
      <c r="CC96" s="1193"/>
      <c r="CD96" s="1180">
        <f t="shared" si="73"/>
        <v>1274</v>
      </c>
      <c r="CE96" s="1180">
        <f>SONPPF!C158</f>
        <v>1274</v>
      </c>
      <c r="CF96" s="1180"/>
      <c r="CG96" s="1180"/>
      <c r="CH96" s="1180"/>
      <c r="CI96" s="1180"/>
    </row>
    <row r="97" spans="1:87" s="332" customFormat="1" ht="12.75" customHeight="1" x14ac:dyDescent="0.2">
      <c r="A97" s="1187" t="s">
        <v>1435</v>
      </c>
      <c r="B97" s="1179">
        <f t="shared" si="74"/>
        <v>1825</v>
      </c>
      <c r="C97" s="1281"/>
      <c r="D97" s="1499"/>
      <c r="E97" s="1499"/>
      <c r="F97" s="1320"/>
      <c r="G97" s="1320"/>
      <c r="H97" s="1320"/>
      <c r="I97" s="1320"/>
      <c r="J97" s="1320"/>
      <c r="K97" s="1281"/>
      <c r="L97" s="1180"/>
      <c r="M97" s="1180"/>
      <c r="N97" s="1281"/>
      <c r="O97" s="1281"/>
      <c r="P97" s="1281"/>
      <c r="Q97" s="1281"/>
      <c r="R97" s="1281"/>
      <c r="S97" s="1281"/>
      <c r="T97" s="1281"/>
      <c r="U97" s="1281"/>
      <c r="V97" s="1298"/>
      <c r="W97" s="1281"/>
      <c r="X97" s="1499"/>
      <c r="Y97" s="1179"/>
      <c r="Z97" s="1179"/>
      <c r="AA97" s="1360"/>
      <c r="AB97" s="1360"/>
      <c r="AC97" s="1360"/>
      <c r="AD97" s="1360"/>
      <c r="AE97" s="1360"/>
      <c r="AF97" s="1360"/>
      <c r="AG97" s="1360"/>
      <c r="AH97" s="1360"/>
      <c r="AI97" s="1360">
        <v>0</v>
      </c>
      <c r="AJ97" s="1360"/>
      <c r="AK97" s="1360">
        <v>0</v>
      </c>
      <c r="AL97" s="1360"/>
      <c r="AM97" s="1360"/>
      <c r="AN97" s="1360"/>
      <c r="AO97" s="1360"/>
      <c r="AP97" s="1360"/>
      <c r="AQ97" s="1360"/>
      <c r="AR97" s="1360"/>
      <c r="AS97" s="1360"/>
      <c r="AT97" s="1360"/>
      <c r="AU97" s="1360"/>
      <c r="AV97" s="1360"/>
      <c r="AW97" s="1360"/>
      <c r="AX97" s="1320"/>
      <c r="AY97" s="1298"/>
      <c r="AZ97" s="1351"/>
      <c r="BA97" s="1298"/>
      <c r="BB97" s="1298"/>
      <c r="BC97" s="1298"/>
      <c r="BD97" s="1281"/>
      <c r="BE97" s="1281"/>
      <c r="BF97" s="1281"/>
      <c r="BG97" s="1180"/>
      <c r="BH97" s="1281"/>
      <c r="BI97" s="1180"/>
      <c r="BJ97" s="1180"/>
      <c r="BK97" s="1320"/>
      <c r="BL97" s="1281"/>
      <c r="BM97" s="1281"/>
      <c r="BN97" s="1180"/>
      <c r="BO97" s="1180"/>
      <c r="BP97" s="1281"/>
      <c r="BQ97" s="1281"/>
      <c r="BR97" s="1281"/>
      <c r="BS97" s="1180"/>
      <c r="BT97" s="1274"/>
      <c r="BU97" s="1274"/>
      <c r="BV97" s="1274"/>
      <c r="BW97" s="1320"/>
      <c r="BX97" s="1320">
        <v>1825</v>
      </c>
      <c r="BY97" s="1320"/>
      <c r="BZ97" s="1499"/>
      <c r="CA97" s="1180"/>
      <c r="CB97" s="1320"/>
      <c r="CC97" s="1193"/>
      <c r="CD97" s="1180">
        <f t="shared" si="73"/>
        <v>786</v>
      </c>
      <c r="CE97" s="1180">
        <f>SONPPF!C159</f>
        <v>786</v>
      </c>
      <c r="CF97" s="1180"/>
      <c r="CG97" s="1180"/>
      <c r="CH97" s="1180"/>
      <c r="CI97" s="1180"/>
    </row>
    <row r="98" spans="1:87" s="332" customFormat="1" ht="12.75" customHeight="1" x14ac:dyDescent="0.2">
      <c r="A98" s="1183" t="s">
        <v>3</v>
      </c>
      <c r="B98" s="211">
        <f>SUM(C98:CB98)</f>
        <v>0</v>
      </c>
      <c r="C98" s="1096"/>
      <c r="D98" s="1491"/>
      <c r="E98" s="1393"/>
      <c r="F98" s="1393"/>
      <c r="G98" s="1392"/>
      <c r="H98" s="1393"/>
      <c r="I98" s="1392"/>
      <c r="J98" s="1393"/>
      <c r="K98" s="1096"/>
      <c r="L98" s="218"/>
      <c r="M98" s="218"/>
      <c r="N98" s="1096"/>
      <c r="O98" s="1096"/>
      <c r="P98" s="1096"/>
      <c r="Q98" s="1096"/>
      <c r="R98" s="1096"/>
      <c r="S98" s="1096"/>
      <c r="T98" s="1096"/>
      <c r="U98" s="1096"/>
      <c r="V98" s="1295"/>
      <c r="W98" s="1096"/>
      <c r="X98" s="1491"/>
      <c r="Y98" s="218"/>
      <c r="Z98" s="218"/>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c r="AV98" s="1096"/>
      <c r="AW98" s="1096"/>
      <c r="AX98" s="1310"/>
      <c r="AY98" s="1295"/>
      <c r="AZ98" s="1348"/>
      <c r="BA98" s="1295"/>
      <c r="BB98" s="1295"/>
      <c r="BC98" s="1295"/>
      <c r="BD98" s="1096"/>
      <c r="BE98" s="1096"/>
      <c r="BF98" s="1096"/>
      <c r="BG98" s="218"/>
      <c r="BH98" s="1096"/>
      <c r="BI98" s="218"/>
      <c r="BJ98" s="218"/>
      <c r="BK98" s="1294"/>
      <c r="BL98" s="1096"/>
      <c r="BM98" s="1096"/>
      <c r="BN98" s="218"/>
      <c r="BO98" s="218"/>
      <c r="BP98" s="1269"/>
      <c r="BQ98" s="1096"/>
      <c r="BR98" s="1096"/>
      <c r="BS98" s="218"/>
      <c r="BT98" s="1269"/>
      <c r="BU98" s="1269"/>
      <c r="BV98" s="1269"/>
      <c r="BW98" s="1096"/>
      <c r="BX98" s="1096"/>
      <c r="BY98" s="1448"/>
      <c r="BZ98" s="1491"/>
      <c r="CA98" s="218"/>
      <c r="CB98" s="1310"/>
      <c r="CC98" s="1192"/>
      <c r="CD98" s="218">
        <f t="shared" si="73"/>
        <v>0</v>
      </c>
      <c r="CE98" s="218">
        <f>+SONPPF!C160</f>
        <v>0</v>
      </c>
      <c r="CF98" s="218">
        <f>+SONPPF!E160</f>
        <v>0</v>
      </c>
      <c r="CG98" s="218">
        <f>'Nonmajor Ent BS'!G159</f>
        <v>0</v>
      </c>
      <c r="CH98" s="218">
        <f>'Nonmajor Ent BS'!E159</f>
        <v>0</v>
      </c>
      <c r="CI98" s="218">
        <f>'Nonmajor Ent BS'!C159</f>
        <v>0</v>
      </c>
    </row>
    <row r="99" spans="1:87" ht="12.75" customHeight="1" x14ac:dyDescent="0.2">
      <c r="A99" s="225" t="s">
        <v>82</v>
      </c>
      <c r="B99" s="213">
        <f>SUM(B65:B98)</f>
        <v>6132487</v>
      </c>
      <c r="C99" s="1143">
        <f t="shared" ref="C99" si="75">SUM(C65:C98)</f>
        <v>50205</v>
      </c>
      <c r="D99" s="1489">
        <f>SUM(D65:D98)</f>
        <v>-3164812</v>
      </c>
      <c r="E99" s="1390">
        <f t="shared" ref="E99:I99" si="76">SUM(E65:E98)</f>
        <v>5</v>
      </c>
      <c r="F99" s="1390">
        <f t="shared" si="76"/>
        <v>14093</v>
      </c>
      <c r="G99" s="1509">
        <f t="shared" si="76"/>
        <v>0</v>
      </c>
      <c r="H99" s="1390">
        <f t="shared" si="76"/>
        <v>66</v>
      </c>
      <c r="I99" s="1468">
        <f t="shared" si="76"/>
        <v>0</v>
      </c>
      <c r="J99" s="213">
        <f t="shared" ref="J99:BN99" si="77">SUM(J65:J98)</f>
        <v>25692</v>
      </c>
      <c r="K99" s="1099">
        <f t="shared" ref="K99" si="78">SUM(K65:K98)</f>
        <v>6</v>
      </c>
      <c r="L99" s="213">
        <f t="shared" si="77"/>
        <v>0</v>
      </c>
      <c r="M99" s="213">
        <f t="shared" si="77"/>
        <v>0</v>
      </c>
      <c r="N99" s="1099">
        <f t="shared" ref="N99" si="79">SUM(N65:N98)</f>
        <v>177</v>
      </c>
      <c r="O99" s="1099">
        <f>SUM(O65:O98)</f>
        <v>15962</v>
      </c>
      <c r="P99" s="1143">
        <f t="shared" ref="P99" si="80">SUM(P65:P98)</f>
        <v>0</v>
      </c>
      <c r="Q99" s="1099">
        <v>0</v>
      </c>
      <c r="R99" s="213">
        <f t="shared" si="77"/>
        <v>0</v>
      </c>
      <c r="S99" s="213">
        <f t="shared" si="77"/>
        <v>0</v>
      </c>
      <c r="T99" s="1143">
        <f t="shared" ref="T99:U99" si="81">SUM(T65:T98)</f>
        <v>0</v>
      </c>
      <c r="U99" s="1099">
        <f t="shared" si="81"/>
        <v>4</v>
      </c>
      <c r="V99" s="213">
        <f t="shared" si="77"/>
        <v>0</v>
      </c>
      <c r="W99" s="1099">
        <f t="shared" ref="W99" si="82">SUM(W65:W98)</f>
        <v>523</v>
      </c>
      <c r="X99" s="1489">
        <f t="shared" ref="X99" si="83">SUM(X65:X98)</f>
        <v>0</v>
      </c>
      <c r="Y99" s="213">
        <f t="shared" si="77"/>
        <v>0</v>
      </c>
      <c r="Z99" s="213">
        <f t="shared" si="77"/>
        <v>0</v>
      </c>
      <c r="AA99" s="213">
        <f t="shared" si="77"/>
        <v>0</v>
      </c>
      <c r="AB99" s="213">
        <f t="shared" si="77"/>
        <v>679378</v>
      </c>
      <c r="AC99" s="213">
        <f t="shared" si="77"/>
        <v>531928</v>
      </c>
      <c r="AD99" s="213">
        <f t="shared" si="77"/>
        <v>795555</v>
      </c>
      <c r="AE99" s="213">
        <f t="shared" si="77"/>
        <v>550897</v>
      </c>
      <c r="AF99" s="213">
        <f t="shared" si="77"/>
        <v>963</v>
      </c>
      <c r="AG99" s="213">
        <f t="shared" si="77"/>
        <v>0</v>
      </c>
      <c r="AH99" s="213">
        <f t="shared" si="77"/>
        <v>0</v>
      </c>
      <c r="AI99" s="213">
        <f t="shared" si="77"/>
        <v>0</v>
      </c>
      <c r="AJ99" s="213">
        <f t="shared" si="77"/>
        <v>0</v>
      </c>
      <c r="AK99" s="213">
        <f t="shared" si="77"/>
        <v>1018008</v>
      </c>
      <c r="AL99" s="213">
        <f t="shared" si="77"/>
        <v>32365</v>
      </c>
      <c r="AM99" s="213">
        <f t="shared" si="77"/>
        <v>60358</v>
      </c>
      <c r="AN99" s="213">
        <f t="shared" si="77"/>
        <v>69282</v>
      </c>
      <c r="AO99" s="213">
        <f t="shared" si="77"/>
        <v>86772</v>
      </c>
      <c r="AP99" s="213">
        <f t="shared" si="77"/>
        <v>49590</v>
      </c>
      <c r="AQ99" s="213">
        <f t="shared" si="77"/>
        <v>165794</v>
      </c>
      <c r="AR99" s="213">
        <f t="shared" si="77"/>
        <v>489</v>
      </c>
      <c r="AS99" s="213">
        <f t="shared" si="77"/>
        <v>25805</v>
      </c>
      <c r="AT99" s="213">
        <f t="shared" si="77"/>
        <v>58619</v>
      </c>
      <c r="AU99" s="213">
        <f t="shared" si="77"/>
        <v>105210</v>
      </c>
      <c r="AV99" s="213">
        <f t="shared" si="77"/>
        <v>0</v>
      </c>
      <c r="AW99" s="213">
        <f t="shared" si="77"/>
        <v>593800</v>
      </c>
      <c r="AX99" s="213">
        <f t="shared" si="77"/>
        <v>28800</v>
      </c>
      <c r="AY99" s="213">
        <f t="shared" si="77"/>
        <v>0</v>
      </c>
      <c r="AZ99" s="213">
        <f t="shared" si="77"/>
        <v>0</v>
      </c>
      <c r="BA99" s="213">
        <f t="shared" si="77"/>
        <v>0</v>
      </c>
      <c r="BB99" s="213">
        <f t="shared" si="77"/>
        <v>0</v>
      </c>
      <c r="BC99" s="213">
        <f t="shared" si="77"/>
        <v>0</v>
      </c>
      <c r="BD99" s="213">
        <f t="shared" si="77"/>
        <v>0</v>
      </c>
      <c r="BE99" s="213">
        <f t="shared" si="77"/>
        <v>0</v>
      </c>
      <c r="BF99" s="213">
        <f t="shared" si="77"/>
        <v>509</v>
      </c>
      <c r="BG99" s="213">
        <f t="shared" si="77"/>
        <v>0</v>
      </c>
      <c r="BH99" s="213">
        <f t="shared" si="77"/>
        <v>1332</v>
      </c>
      <c r="BI99" s="213">
        <f t="shared" si="77"/>
        <v>0</v>
      </c>
      <c r="BJ99" s="213">
        <f t="shared" si="77"/>
        <v>6749</v>
      </c>
      <c r="BK99" s="1513">
        <f>SUM(BK65:BK98)</f>
        <v>152437</v>
      </c>
      <c r="BL99" s="1099">
        <f>SUM(BL65:BL98)</f>
        <v>12055</v>
      </c>
      <c r="BM99" s="213">
        <f t="shared" si="77"/>
        <v>0</v>
      </c>
      <c r="BN99" s="213">
        <f t="shared" si="77"/>
        <v>0</v>
      </c>
      <c r="BO99" s="213">
        <f t="shared" ref="BO99:CB99" si="84">SUM(BO65:BO98)</f>
        <v>0</v>
      </c>
      <c r="BP99" s="213">
        <f t="shared" si="84"/>
        <v>10380</v>
      </c>
      <c r="BQ99" s="213">
        <f t="shared" si="84"/>
        <v>11288</v>
      </c>
      <c r="BR99" s="213">
        <f t="shared" si="84"/>
        <v>570208</v>
      </c>
      <c r="BS99" s="213">
        <f t="shared" si="84"/>
        <v>0</v>
      </c>
      <c r="BT99" s="1099">
        <f t="shared" ref="BT99:BV99" si="85">SUM(BT65:BT98)</f>
        <v>13786</v>
      </c>
      <c r="BU99" s="1099">
        <f t="shared" si="85"/>
        <v>43593</v>
      </c>
      <c r="BV99" s="1099">
        <f t="shared" si="85"/>
        <v>40979</v>
      </c>
      <c r="BW99" s="213">
        <f t="shared" si="84"/>
        <v>100703</v>
      </c>
      <c r="BX99" s="213">
        <f t="shared" si="84"/>
        <v>49668</v>
      </c>
      <c r="BY99" s="213">
        <f t="shared" si="84"/>
        <v>25565</v>
      </c>
      <c r="BZ99" s="1489">
        <f>SUM(BZ65:BZ98)</f>
        <v>3297701</v>
      </c>
      <c r="CA99" s="213">
        <f t="shared" si="84"/>
        <v>0</v>
      </c>
      <c r="CB99" s="213">
        <f t="shared" si="84"/>
        <v>0</v>
      </c>
      <c r="CC99" s="760"/>
      <c r="CD99" s="213">
        <f t="shared" ref="CD99:CI99" si="86">SUM(CD65:CD98)</f>
        <v>799512</v>
      </c>
      <c r="CE99" s="213">
        <f t="shared" si="86"/>
        <v>669622</v>
      </c>
      <c r="CF99" s="213">
        <f>SUM(CF65:CF98)</f>
        <v>78170</v>
      </c>
      <c r="CG99" s="213">
        <f>SUM(CG65:CG98)</f>
        <v>6347</v>
      </c>
      <c r="CH99" s="213">
        <f>SUM(CH65:CH98)</f>
        <v>519</v>
      </c>
      <c r="CI99" s="213">
        <f t="shared" si="86"/>
        <v>44854</v>
      </c>
    </row>
    <row r="100" spans="1:87" ht="12.75" customHeight="1" x14ac:dyDescent="0.2">
      <c r="A100" s="222" t="s">
        <v>702</v>
      </c>
      <c r="B100" s="223">
        <f>+B62+B99</f>
        <v>6518654</v>
      </c>
      <c r="C100" s="1154">
        <f>+C99+C62</f>
        <v>133282</v>
      </c>
      <c r="D100" s="1492">
        <f>+D99+D62</f>
        <v>-3148355</v>
      </c>
      <c r="E100" s="1471">
        <f>+E99+E62</f>
        <v>29093</v>
      </c>
      <c r="F100" s="1471">
        <f t="shared" ref="F100:I100" si="87">+F99+F62</f>
        <v>78300</v>
      </c>
      <c r="G100" s="1471">
        <f t="shared" si="87"/>
        <v>1083</v>
      </c>
      <c r="H100" s="1471">
        <f t="shared" si="87"/>
        <v>144</v>
      </c>
      <c r="I100" s="1470">
        <f t="shared" si="87"/>
        <v>5446</v>
      </c>
      <c r="J100" s="1154">
        <f t="shared" ref="J100:BO100" si="88">+J99+J62</f>
        <v>25692</v>
      </c>
      <c r="K100" s="1154">
        <f t="shared" si="88"/>
        <v>186</v>
      </c>
      <c r="L100" s="1154">
        <f t="shared" si="88"/>
        <v>0</v>
      </c>
      <c r="M100" s="1154">
        <f t="shared" si="88"/>
        <v>0</v>
      </c>
      <c r="N100" s="1154">
        <f>+N99+N62</f>
        <v>24015</v>
      </c>
      <c r="O100" s="1154">
        <f>+O99+O62</f>
        <v>20754</v>
      </c>
      <c r="P100" s="1154">
        <f t="shared" ref="P100" si="89">+P99+P62</f>
        <v>1800</v>
      </c>
      <c r="Q100" s="1154">
        <v>0</v>
      </c>
      <c r="R100" s="1154">
        <f t="shared" si="88"/>
        <v>8355</v>
      </c>
      <c r="S100" s="1154">
        <f t="shared" si="88"/>
        <v>8414</v>
      </c>
      <c r="T100" s="1154">
        <f>+T99+T62</f>
        <v>1032</v>
      </c>
      <c r="U100" s="1154">
        <f t="shared" ref="U100" si="90">+U99+U62</f>
        <v>99</v>
      </c>
      <c r="V100" s="1154">
        <f t="shared" ref="V100" si="91">+V99+V62</f>
        <v>0</v>
      </c>
      <c r="W100" s="1154">
        <f>+W99+W62</f>
        <v>1603</v>
      </c>
      <c r="X100" s="1492">
        <f>+X99+X62</f>
        <v>1056</v>
      </c>
      <c r="Y100" s="1154">
        <f t="shared" si="88"/>
        <v>0</v>
      </c>
      <c r="Z100" s="1154">
        <f t="shared" si="88"/>
        <v>0</v>
      </c>
      <c r="AA100" s="1154">
        <f t="shared" si="88"/>
        <v>0</v>
      </c>
      <c r="AB100" s="1154">
        <f t="shared" si="88"/>
        <v>679378</v>
      </c>
      <c r="AC100" s="1154">
        <f t="shared" si="88"/>
        <v>531928</v>
      </c>
      <c r="AD100" s="1154">
        <f t="shared" si="88"/>
        <v>797984</v>
      </c>
      <c r="AE100" s="1154">
        <f t="shared" si="88"/>
        <v>550897</v>
      </c>
      <c r="AF100" s="1154">
        <f t="shared" si="88"/>
        <v>42689</v>
      </c>
      <c r="AG100" s="1154">
        <f t="shared" si="88"/>
        <v>0</v>
      </c>
      <c r="AH100" s="1154">
        <f t="shared" si="88"/>
        <v>0</v>
      </c>
      <c r="AI100" s="1154">
        <f t="shared" si="88"/>
        <v>0</v>
      </c>
      <c r="AJ100" s="1154">
        <f t="shared" si="88"/>
        <v>0</v>
      </c>
      <c r="AK100" s="1154">
        <f t="shared" si="88"/>
        <v>1018008</v>
      </c>
      <c r="AL100" s="1154">
        <f t="shared" si="88"/>
        <v>32623</v>
      </c>
      <c r="AM100" s="1154">
        <f t="shared" si="88"/>
        <v>60358</v>
      </c>
      <c r="AN100" s="1154">
        <f t="shared" si="88"/>
        <v>69282</v>
      </c>
      <c r="AO100" s="1154">
        <f t="shared" si="88"/>
        <v>86772</v>
      </c>
      <c r="AP100" s="1154">
        <f t="shared" si="88"/>
        <v>49590</v>
      </c>
      <c r="AQ100" s="1154">
        <f t="shared" si="88"/>
        <v>165794</v>
      </c>
      <c r="AR100" s="1154">
        <f t="shared" si="88"/>
        <v>4147</v>
      </c>
      <c r="AS100" s="1154">
        <f t="shared" si="88"/>
        <v>25805</v>
      </c>
      <c r="AT100" s="1154">
        <f t="shared" si="88"/>
        <v>91096</v>
      </c>
      <c r="AU100" s="1154">
        <f t="shared" si="88"/>
        <v>105210</v>
      </c>
      <c r="AV100" s="1154">
        <f t="shared" si="88"/>
        <v>0</v>
      </c>
      <c r="AW100" s="1154">
        <f t="shared" si="88"/>
        <v>593844</v>
      </c>
      <c r="AX100" s="1154">
        <f t="shared" si="88"/>
        <v>28800</v>
      </c>
      <c r="AY100" s="1154">
        <f t="shared" si="88"/>
        <v>0</v>
      </c>
      <c r="AZ100" s="1154">
        <f t="shared" si="88"/>
        <v>3</v>
      </c>
      <c r="BA100" s="1154">
        <f t="shared" si="88"/>
        <v>0</v>
      </c>
      <c r="BB100" s="1154">
        <f t="shared" si="88"/>
        <v>0</v>
      </c>
      <c r="BC100" s="1154">
        <f t="shared" si="88"/>
        <v>0</v>
      </c>
      <c r="BD100" s="1154">
        <f t="shared" si="88"/>
        <v>0</v>
      </c>
      <c r="BE100" s="1154">
        <f t="shared" si="88"/>
        <v>0</v>
      </c>
      <c r="BF100" s="1154">
        <f t="shared" si="88"/>
        <v>784</v>
      </c>
      <c r="BG100" s="1154">
        <f t="shared" si="88"/>
        <v>0</v>
      </c>
      <c r="BH100" s="1154">
        <f t="shared" si="88"/>
        <v>3860</v>
      </c>
      <c r="BI100" s="1154">
        <f t="shared" si="88"/>
        <v>0</v>
      </c>
      <c r="BJ100" s="1154">
        <f t="shared" si="88"/>
        <v>8273</v>
      </c>
      <c r="BK100" s="1472">
        <f>+BK99+BK62</f>
        <v>153109</v>
      </c>
      <c r="BL100" s="1154">
        <f t="shared" ref="BL100" si="92">+BL99+BL62</f>
        <v>12121</v>
      </c>
      <c r="BM100" s="1154">
        <f t="shared" si="88"/>
        <v>39</v>
      </c>
      <c r="BN100" s="1154">
        <f t="shared" si="88"/>
        <v>0</v>
      </c>
      <c r="BO100" s="1154">
        <f t="shared" si="88"/>
        <v>0</v>
      </c>
      <c r="BP100" s="1154">
        <f t="shared" ref="BP100:CA100" si="93">+BP99+BP62</f>
        <v>10653</v>
      </c>
      <c r="BQ100" s="1154">
        <f>+BQ99+BQ62</f>
        <v>36938</v>
      </c>
      <c r="BR100" s="1154">
        <f t="shared" ref="BR100" si="94">+BR99+BR62</f>
        <v>571226</v>
      </c>
      <c r="BS100" s="1154">
        <f t="shared" si="93"/>
        <v>204</v>
      </c>
      <c r="BT100" s="1154">
        <f t="shared" si="93"/>
        <v>24226</v>
      </c>
      <c r="BU100" s="1154">
        <f t="shared" si="93"/>
        <v>45605</v>
      </c>
      <c r="BV100" s="1154">
        <f t="shared" si="93"/>
        <v>41559</v>
      </c>
      <c r="BW100" s="1467">
        <f>+BW99+BW62</f>
        <v>103705</v>
      </c>
      <c r="BX100" s="1154">
        <f>+BX62+BX99</f>
        <v>56185</v>
      </c>
      <c r="BY100" s="1270">
        <f>+BY99+BY62</f>
        <v>26259</v>
      </c>
      <c r="BZ100" s="1492">
        <f>+BZ99+BZ62</f>
        <v>3297701</v>
      </c>
      <c r="CA100" s="1154">
        <f t="shared" si="93"/>
        <v>0</v>
      </c>
      <c r="CB100" s="1313"/>
      <c r="CC100" s="330"/>
      <c r="CD100" s="223">
        <f t="shared" ref="CD100:CI100" si="95">+CD62+CD99</f>
        <v>863834</v>
      </c>
      <c r="CE100" s="223">
        <f t="shared" si="95"/>
        <v>721662</v>
      </c>
      <c r="CF100" s="223">
        <f>+CF62+CF99</f>
        <v>84712</v>
      </c>
      <c r="CG100" s="223">
        <f>+CG62+CG99</f>
        <v>6628</v>
      </c>
      <c r="CH100" s="223">
        <f>+CH62+CH99</f>
        <v>654</v>
      </c>
      <c r="CI100" s="223">
        <f t="shared" si="95"/>
        <v>50178</v>
      </c>
    </row>
    <row r="101" spans="1:87" ht="12.75" customHeight="1" x14ac:dyDescent="0.2">
      <c r="A101" s="222"/>
      <c r="B101" s="330"/>
      <c r="C101" s="1074"/>
      <c r="D101" s="1074"/>
      <c r="E101" s="1393"/>
      <c r="F101" s="1393"/>
      <c r="G101" s="1393"/>
      <c r="H101" s="1393"/>
      <c r="I101" s="1392"/>
      <c r="J101" s="1393"/>
      <c r="K101" s="1100"/>
      <c r="L101" s="330"/>
      <c r="M101" s="330"/>
      <c r="N101" s="1100"/>
      <c r="O101" s="1100"/>
      <c r="P101" s="1100"/>
      <c r="Q101" s="1100"/>
      <c r="R101" s="1074"/>
      <c r="S101" s="1100"/>
      <c r="T101" s="1100"/>
      <c r="U101" s="1100"/>
      <c r="V101" s="1291"/>
      <c r="W101" s="1100"/>
      <c r="X101" s="1074"/>
      <c r="Y101" s="330"/>
      <c r="Z101" s="330"/>
      <c r="AA101" s="1100"/>
      <c r="AB101" s="1100"/>
      <c r="AC101" s="1100"/>
      <c r="AD101" s="1100"/>
      <c r="AE101" s="1100"/>
      <c r="AF101" s="1100"/>
      <c r="AG101" s="1100"/>
      <c r="AH101" s="1100"/>
      <c r="AI101" s="1100"/>
      <c r="AJ101" s="1100"/>
      <c r="AK101" s="1100"/>
      <c r="AL101" s="1100"/>
      <c r="AM101" s="1100"/>
      <c r="AN101" s="1100"/>
      <c r="AO101" s="1100"/>
      <c r="AP101" s="1100"/>
      <c r="AQ101" s="1100"/>
      <c r="AR101" s="1100"/>
      <c r="AS101" s="1100"/>
      <c r="AT101" s="1100"/>
      <c r="AU101" s="1100"/>
      <c r="AV101" s="1100"/>
      <c r="AW101" s="1100"/>
      <c r="AX101" s="1314"/>
      <c r="AY101" s="1291"/>
      <c r="AZ101" s="1346"/>
      <c r="BA101" s="1291"/>
      <c r="BB101" s="1291"/>
      <c r="BC101" s="1291"/>
      <c r="BD101" s="1100"/>
      <c r="BE101" s="1100"/>
      <c r="BF101" s="1100"/>
      <c r="BG101" s="330"/>
      <c r="BH101" s="1100"/>
      <c r="BI101" s="330"/>
      <c r="BJ101" s="330"/>
      <c r="BK101" s="1290"/>
      <c r="BL101" s="1100"/>
      <c r="BM101" s="1100"/>
      <c r="BN101" s="330"/>
      <c r="BO101" s="330"/>
      <c r="BP101" s="1271"/>
      <c r="BQ101" s="1100"/>
      <c r="BR101" s="1100"/>
      <c r="BS101" s="330"/>
      <c r="BT101" s="1074"/>
      <c r="BU101" s="1074"/>
      <c r="BV101" s="1074"/>
      <c r="BW101" s="1100"/>
      <c r="BX101" s="1100"/>
      <c r="BY101" s="1444"/>
      <c r="BZ101" s="1074"/>
      <c r="CA101" s="330"/>
      <c r="CB101" s="1074"/>
      <c r="CC101" s="330"/>
      <c r="CD101" s="330"/>
      <c r="CE101" s="330"/>
      <c r="CF101" s="330"/>
      <c r="CG101" s="330"/>
      <c r="CH101" s="330"/>
      <c r="CI101" s="330"/>
    </row>
    <row r="102" spans="1:87" ht="12.75" customHeight="1" x14ac:dyDescent="0.2">
      <c r="A102" s="1075" t="s">
        <v>1130</v>
      </c>
      <c r="B102" s="213">
        <f>SUM(C102:CB102)</f>
        <v>527827</v>
      </c>
      <c r="C102" s="1467">
        <v>35997</v>
      </c>
      <c r="D102" s="1467"/>
      <c r="E102" s="1473">
        <v>0</v>
      </c>
      <c r="F102" s="1473"/>
      <c r="G102" s="1510">
        <v>398</v>
      </c>
      <c r="H102" s="1473"/>
      <c r="I102" s="1473"/>
      <c r="J102" s="1473"/>
      <c r="K102" s="1467"/>
      <c r="L102" s="1467"/>
      <c r="M102" s="1467"/>
      <c r="N102" s="1467">
        <v>26221</v>
      </c>
      <c r="O102" s="1467">
        <v>12116</v>
      </c>
      <c r="P102" s="1467"/>
      <c r="Q102" s="1467"/>
      <c r="R102" s="1467"/>
      <c r="S102" s="1467"/>
      <c r="T102" s="1467"/>
      <c r="U102" s="1467"/>
      <c r="V102" s="1474"/>
      <c r="W102" s="1467"/>
      <c r="X102" s="1467"/>
      <c r="Y102" s="1467"/>
      <c r="Z102" s="1467"/>
      <c r="AA102" s="1467"/>
      <c r="AB102" s="1467">
        <v>0</v>
      </c>
      <c r="AC102" s="1467">
        <v>0</v>
      </c>
      <c r="AD102" s="1467">
        <v>0</v>
      </c>
      <c r="AE102" s="1467"/>
      <c r="AF102" s="1467"/>
      <c r="AG102" s="1467">
        <v>0</v>
      </c>
      <c r="AH102" s="1467">
        <v>0</v>
      </c>
      <c r="AI102" s="1467">
        <v>0</v>
      </c>
      <c r="AJ102" s="1467">
        <v>0</v>
      </c>
      <c r="AK102" s="1467">
        <v>0</v>
      </c>
      <c r="AL102" s="1467">
        <v>0</v>
      </c>
      <c r="AM102" s="1467">
        <v>0</v>
      </c>
      <c r="AN102" s="1467">
        <v>0</v>
      </c>
      <c r="AO102" s="1467">
        <v>0</v>
      </c>
      <c r="AP102" s="1467">
        <v>0</v>
      </c>
      <c r="AQ102" s="1467">
        <v>0</v>
      </c>
      <c r="AR102" s="1467"/>
      <c r="AS102" s="1467">
        <v>0</v>
      </c>
      <c r="AT102" s="1467"/>
      <c r="AU102" s="1467">
        <v>0</v>
      </c>
      <c r="AV102" s="1467">
        <v>0</v>
      </c>
      <c r="AW102" s="1467">
        <v>0</v>
      </c>
      <c r="AX102" s="1467"/>
      <c r="AY102" s="1474"/>
      <c r="AZ102" s="1474"/>
      <c r="BA102" s="1474"/>
      <c r="BB102" s="1474"/>
      <c r="BC102" s="1474"/>
      <c r="BD102" s="1467"/>
      <c r="BE102" s="1467"/>
      <c r="BF102" s="1467"/>
      <c r="BG102" s="1467"/>
      <c r="BH102" s="1467"/>
      <c r="BI102" s="1467"/>
      <c r="BJ102" s="1467"/>
      <c r="BK102" s="1467"/>
      <c r="BL102" s="1501"/>
      <c r="BM102" s="1467"/>
      <c r="BN102" s="1467"/>
      <c r="BO102" s="1467"/>
      <c r="BP102" s="1467">
        <v>5792</v>
      </c>
      <c r="BQ102" s="1467"/>
      <c r="BR102" s="1467"/>
      <c r="BS102" s="1475"/>
      <c r="BT102" s="1154">
        <v>859</v>
      </c>
      <c r="BU102" s="1154">
        <v>836</v>
      </c>
      <c r="BV102" s="1154">
        <v>768</v>
      </c>
      <c r="BW102" s="1154">
        <v>13671</v>
      </c>
      <c r="BX102" s="1467">
        <v>12244</v>
      </c>
      <c r="BY102" s="1154">
        <v>6523</v>
      </c>
      <c r="BZ102" s="1467">
        <v>412402</v>
      </c>
      <c r="CA102" s="1467"/>
      <c r="CB102" s="1467"/>
      <c r="CC102" s="330"/>
      <c r="CD102" s="933">
        <f>SUM(CE102:CI102)</f>
        <v>134897</v>
      </c>
      <c r="CE102" s="933">
        <f>SONPPF!C166</f>
        <v>91091</v>
      </c>
      <c r="CF102" s="933">
        <f>SONPPF!E166</f>
        <v>22331</v>
      </c>
      <c r="CG102" s="933">
        <f>'Nonmajor Ent BS'!G165</f>
        <v>3365</v>
      </c>
      <c r="CH102" s="933">
        <f>'Nonmajor Ent BS'!E165</f>
        <v>7420</v>
      </c>
      <c r="CI102" s="933">
        <f>'Nonmajor Ent BS'!C165</f>
        <v>10690</v>
      </c>
    </row>
    <row r="103" spans="1:87" ht="12.75" customHeight="1" x14ac:dyDescent="0.2">
      <c r="A103" s="222"/>
      <c r="B103" s="330"/>
      <c r="C103" s="1074"/>
      <c r="D103" s="1074"/>
      <c r="E103" s="1393"/>
      <c r="F103" s="1393"/>
      <c r="G103" s="1393"/>
      <c r="H103" s="1393"/>
      <c r="I103" s="1392"/>
      <c r="J103" s="1393"/>
      <c r="K103" s="1100"/>
      <c r="L103" s="330"/>
      <c r="M103" s="330"/>
      <c r="N103" s="1100"/>
      <c r="O103" s="1100"/>
      <c r="P103" s="1100"/>
      <c r="Q103" s="1100"/>
      <c r="R103" s="1074"/>
      <c r="S103" s="1100"/>
      <c r="T103" s="1100"/>
      <c r="U103" s="1100"/>
      <c r="V103" s="1291"/>
      <c r="W103" s="1100"/>
      <c r="X103" s="1074"/>
      <c r="Y103" s="330"/>
      <c r="Z103" s="330"/>
      <c r="AA103" s="1100"/>
      <c r="AB103" s="1100"/>
      <c r="AC103" s="1100"/>
      <c r="AD103" s="1100"/>
      <c r="AE103" s="1100"/>
      <c r="AF103" s="1100"/>
      <c r="AG103" s="1100"/>
      <c r="AH103" s="1100"/>
      <c r="AI103" s="1100"/>
      <c r="AJ103" s="1100"/>
      <c r="AK103" s="1100"/>
      <c r="AL103" s="1100"/>
      <c r="AM103" s="1100"/>
      <c r="AN103" s="1100"/>
      <c r="AO103" s="1100"/>
      <c r="AP103" s="1100"/>
      <c r="AQ103" s="1100"/>
      <c r="AR103" s="1100"/>
      <c r="AS103" s="1100"/>
      <c r="AT103" s="1100"/>
      <c r="AU103" s="1100"/>
      <c r="AV103" s="1100"/>
      <c r="AW103" s="1100"/>
      <c r="AX103" s="1314"/>
      <c r="AY103" s="1291"/>
      <c r="AZ103" s="1346"/>
      <c r="BA103" s="1291"/>
      <c r="BB103" s="1291"/>
      <c r="BC103" s="1291"/>
      <c r="BD103" s="1100"/>
      <c r="BE103" s="1100"/>
      <c r="BF103" s="1100"/>
      <c r="BG103" s="330"/>
      <c r="BH103" s="1100"/>
      <c r="BI103" s="330"/>
      <c r="BJ103" s="330"/>
      <c r="BK103" s="1290"/>
      <c r="BL103" s="1100"/>
      <c r="BM103" s="1100"/>
      <c r="BN103" s="330"/>
      <c r="BO103" s="330"/>
      <c r="BP103" s="1271"/>
      <c r="BQ103" s="1100"/>
      <c r="BR103" s="1100"/>
      <c r="BS103" s="1456"/>
      <c r="BT103" s="1074"/>
      <c r="BU103" s="1074"/>
      <c r="BV103" s="1074"/>
      <c r="BW103" s="1100"/>
      <c r="BX103" s="1100"/>
      <c r="BY103" s="1444"/>
      <c r="BZ103" s="1074"/>
      <c r="CA103" s="330"/>
      <c r="CB103" s="1074"/>
      <c r="CC103" s="330"/>
      <c r="CD103" s="330"/>
      <c r="CE103" s="330"/>
      <c r="CF103" s="330"/>
      <c r="CG103" s="330"/>
      <c r="CH103" s="330"/>
      <c r="CI103" s="330"/>
    </row>
    <row r="104" spans="1:87" ht="12.75" customHeight="1" x14ac:dyDescent="0.2">
      <c r="A104" s="224" t="s">
        <v>703</v>
      </c>
      <c r="B104" s="224"/>
      <c r="C104" s="1493"/>
      <c r="D104" s="928"/>
      <c r="E104" s="1389"/>
      <c r="F104" s="1389"/>
      <c r="G104" s="1389"/>
      <c r="H104" s="1389"/>
      <c r="I104" s="1391"/>
      <c r="J104" s="1389"/>
      <c r="K104" s="926"/>
      <c r="N104" s="926"/>
      <c r="O104" s="928"/>
      <c r="P104" s="928"/>
      <c r="Q104" s="1098"/>
      <c r="R104" s="926"/>
      <c r="S104" s="1098"/>
      <c r="T104" s="1097"/>
      <c r="U104" s="1098"/>
      <c r="V104" s="1288"/>
      <c r="W104" s="1098"/>
      <c r="X104" s="928"/>
      <c r="AA104" s="1098"/>
      <c r="AB104" s="1098"/>
      <c r="AC104" s="1098"/>
      <c r="AD104" s="1098"/>
      <c r="AE104" s="1098"/>
      <c r="AF104" s="1098"/>
      <c r="AG104" s="1098"/>
      <c r="AH104" s="1098"/>
      <c r="AI104" s="1098"/>
      <c r="AJ104" s="1098"/>
      <c r="AK104" s="1098"/>
      <c r="AL104" s="1098"/>
      <c r="AM104" s="1098"/>
      <c r="AN104" s="1098"/>
      <c r="AO104" s="1098"/>
      <c r="AP104" s="1098"/>
      <c r="AQ104" s="1098"/>
      <c r="AR104" s="1098"/>
      <c r="AS104" s="1098"/>
      <c r="AT104" s="1098"/>
      <c r="AU104" s="1098"/>
      <c r="AV104" s="1098"/>
      <c r="AW104" s="1098"/>
      <c r="AX104" s="1315"/>
      <c r="AY104" s="1288"/>
      <c r="AZ104" s="1251"/>
      <c r="BA104" s="1288"/>
      <c r="BB104" s="1288"/>
      <c r="BC104" s="1288"/>
      <c r="BD104" s="1098"/>
      <c r="BE104" s="1098"/>
      <c r="BF104" s="1098"/>
      <c r="BH104" s="1098"/>
      <c r="BJ104" s="218"/>
      <c r="BK104" s="1287"/>
      <c r="BL104" s="1098"/>
      <c r="BM104" s="1098"/>
      <c r="BP104" s="1265"/>
      <c r="BQ104" s="1353"/>
      <c r="BR104" s="1098"/>
      <c r="BT104" s="928"/>
      <c r="BU104" s="928"/>
      <c r="BV104" s="928"/>
      <c r="BW104" s="1097"/>
      <c r="BX104" s="1097"/>
      <c r="BY104" s="1012"/>
      <c r="BZ104" s="928"/>
      <c r="CB104" s="928"/>
      <c r="CC104" s="760"/>
    </row>
    <row r="105" spans="1:87" x14ac:dyDescent="0.2">
      <c r="A105" s="217" t="s">
        <v>1110</v>
      </c>
      <c r="B105" s="211">
        <f>SUM(C105:CB105)</f>
        <v>3241934</v>
      </c>
      <c r="C105" s="1096">
        <f>+C29+C30+C31+C79+C94-C77-C82-C92-C86-C85-C70-C69-C66+C32-C78-C93</f>
        <v>37424</v>
      </c>
      <c r="D105" s="1096">
        <f>+D46+D93+D78-D66-D69-D82-D85</f>
        <v>3191903</v>
      </c>
      <c r="E105" s="1096">
        <f>+E29+E30+E31+E79+E94-E77-E82-E92-E86-E85-E70-E69-E66+E32-E78-E93</f>
        <v>0</v>
      </c>
      <c r="F105" s="1096">
        <f t="shared" ref="F105:X105" si="96">+F29+F30+F31+F79+F94-F77-F82-F92-F86-F85-F70-F69-F66+F32-F78-F93</f>
        <v>-472</v>
      </c>
      <c r="G105" s="1096">
        <f t="shared" si="96"/>
        <v>0</v>
      </c>
      <c r="H105" s="1096">
        <f t="shared" si="96"/>
        <v>14</v>
      </c>
      <c r="I105" s="1096">
        <f t="shared" si="96"/>
        <v>0</v>
      </c>
      <c r="J105" s="1096">
        <f t="shared" si="96"/>
        <v>-25692</v>
      </c>
      <c r="K105" s="1096">
        <f t="shared" si="96"/>
        <v>2</v>
      </c>
      <c r="L105" s="1096">
        <f t="shared" si="96"/>
        <v>0</v>
      </c>
      <c r="M105" s="1096">
        <f t="shared" si="96"/>
        <v>0</v>
      </c>
      <c r="N105" s="1096">
        <f t="shared" si="96"/>
        <v>132</v>
      </c>
      <c r="O105" s="1096">
        <f t="shared" si="96"/>
        <v>-15919</v>
      </c>
      <c r="P105" s="1096">
        <f t="shared" si="96"/>
        <v>0</v>
      </c>
      <c r="Q105" s="1096">
        <f t="shared" si="96"/>
        <v>0</v>
      </c>
      <c r="R105" s="1096">
        <f t="shared" si="96"/>
        <v>0</v>
      </c>
      <c r="S105" s="1096">
        <f t="shared" si="96"/>
        <v>0</v>
      </c>
      <c r="T105" s="1096">
        <f t="shared" si="96"/>
        <v>0</v>
      </c>
      <c r="U105" s="1096">
        <f t="shared" si="96"/>
        <v>-1</v>
      </c>
      <c r="V105" s="1096">
        <f t="shared" si="96"/>
        <v>0</v>
      </c>
      <c r="W105" s="1096">
        <f t="shared" si="96"/>
        <v>-41</v>
      </c>
      <c r="X105" s="1096">
        <f t="shared" si="96"/>
        <v>0</v>
      </c>
      <c r="Y105" s="1096">
        <f>+Y29+Y30+Y31+Y79+Y94-Y77-Y82-Y92-Y86-Y85-Y70-Y69-Y66</f>
        <v>0</v>
      </c>
      <c r="Z105" s="1096">
        <f>+Z29+Z30+Z31+Z79+Z94-Z77-Z82-Z92-Z86-Z85-Z70-Z69-Z66</f>
        <v>0</v>
      </c>
      <c r="AA105" s="1096">
        <f>-AA66-AA69-AA82-AA85</f>
        <v>0</v>
      </c>
      <c r="AB105" s="1096">
        <f>-AB66-AB69-AB82-AB85+AB16+AB17</f>
        <v>-674227</v>
      </c>
      <c r="AC105" s="1096">
        <f t="shared" ref="AC105:AE105" si="97">-AC66-AC69-AC82-AC85+AC16+AC17</f>
        <v>-515311</v>
      </c>
      <c r="AD105" s="1096">
        <f t="shared" si="97"/>
        <v>-633076</v>
      </c>
      <c r="AE105" s="1096">
        <f t="shared" si="97"/>
        <v>-174302</v>
      </c>
      <c r="AF105" s="1096">
        <f t="shared" ref="AF105" si="98">-AF66-AF69-AF82-AF85-AF56</f>
        <v>-39113</v>
      </c>
      <c r="AG105" s="1096"/>
      <c r="AH105" s="1096"/>
      <c r="AI105" s="1096">
        <f t="shared" ref="AI105:AQ105" si="99">-AI66-AI69-AI82-AI85+AI16+AI17</f>
        <v>0</v>
      </c>
      <c r="AJ105" s="1096">
        <f t="shared" si="99"/>
        <v>0</v>
      </c>
      <c r="AK105" s="1096">
        <f t="shared" si="99"/>
        <v>-980684</v>
      </c>
      <c r="AL105" s="1096">
        <f t="shared" si="99"/>
        <v>-31051</v>
      </c>
      <c r="AM105" s="1096">
        <f>-AM66-AM69-AM82-AM85+AM16+AM17-AM56</f>
        <v>-58413</v>
      </c>
      <c r="AN105" s="1096">
        <f t="shared" si="99"/>
        <v>-59089</v>
      </c>
      <c r="AO105" s="1096">
        <f t="shared" si="99"/>
        <v>-68235</v>
      </c>
      <c r="AP105" s="1096">
        <f t="shared" si="99"/>
        <v>-48562</v>
      </c>
      <c r="AQ105" s="1096">
        <f t="shared" si="99"/>
        <v>-74788</v>
      </c>
      <c r="AR105" s="1096">
        <f>-AR66-AR69-AR82-AR85-AR56</f>
        <v>-3606</v>
      </c>
      <c r="AS105" s="1096">
        <f t="shared" ref="AS105" si="100">-AS66-AS69-AS82-AS85-AS56</f>
        <v>-25805</v>
      </c>
      <c r="AT105" s="1096">
        <f>-AT66-AT69-AT82-AT85-AT56</f>
        <v>-86332</v>
      </c>
      <c r="AU105" s="1096">
        <f>-AU66-AU69-AU82-AU85-AU56+AU16+AU17</f>
        <v>-105101</v>
      </c>
      <c r="AV105" s="1096">
        <f>-AV66-AV69-AV82-AV85+AV16+AV17</f>
        <v>0</v>
      </c>
      <c r="AW105" s="1096">
        <f>-AW66-AW69-AW82-AW85+AW16+AW17</f>
        <v>-536385</v>
      </c>
      <c r="AX105" s="1096">
        <f>-AX66-AX69-AX82-AX85+AX16+AX17</f>
        <v>-28800</v>
      </c>
      <c r="AY105" s="1295">
        <v>0</v>
      </c>
      <c r="AZ105" s="1348">
        <v>0</v>
      </c>
      <c r="BA105" s="1295">
        <v>0</v>
      </c>
      <c r="BB105" s="1295">
        <v>0</v>
      </c>
      <c r="BC105" s="1295"/>
      <c r="BD105" s="218">
        <f>-BD66-BD69-BD70-BD71-BD82-BD85-BD86-BD87+BD29+BD30+BD31-BD77-BD92+BD46-BD74-BD88</f>
        <v>0</v>
      </c>
      <c r="BE105" s="218">
        <f>-BE66-BE69-BE70-BE71-BE82-BE85-BE86-BE87+BE29+BE30+BE31-BE77-BE92+BE46</f>
        <v>0</v>
      </c>
      <c r="BF105" s="218">
        <f>-BF66-BF69-BF70-BF71-BF82-BF85-BF86-BF87+BF29+BF30+BF31-BF77-BF92+BF46</f>
        <v>0</v>
      </c>
      <c r="BG105" s="218">
        <f>-BG66-BG69-BG70-BG71-BG82-BG85-BG86-BG87+BG29+BG30+BG31-BG77-BG92+BG46</f>
        <v>0</v>
      </c>
      <c r="BH105" s="1096">
        <f>-BH66-BH69-BH70-BH71-BH82-BH85-BH86-BH87+BH29+BH30+BH34-BH77-BH92+BH46+BH31-BH76-BH78-BH93-BH79-BH94</f>
        <v>952</v>
      </c>
      <c r="BI105" s="218">
        <f>-BI66-BI69-BI70-BI71-BI82-BI85-BI86-BI87+BI29+BI30+BI31-BI77-BI92+BI46</f>
        <v>0</v>
      </c>
      <c r="BJ105" s="218">
        <f>-BJ66-BJ69-BJ70-BJ71-BJ82-BJ85-BJ86-BJ87+BJ29+BJ30+BJ34-BJ79-BJ94+BJ46+BJ31-BJ77-BJ92</f>
        <v>25930</v>
      </c>
      <c r="BK105" s="218">
        <f>-BK66-BK69-BK70-BK71-BK82-BK85-BK86-BK87+BK29+BK30+BK34-BK79-BK94+BK46+BK16+BK17</f>
        <v>-88832</v>
      </c>
      <c r="BL105" s="218">
        <f>-BL66-BL69-BL70-BL71-BL82-BL85-BL86-BL87+BL29+BL30+BL31-BL77-BL92+BL46</f>
        <v>-11661</v>
      </c>
      <c r="BM105" s="218">
        <f>-BM66-BM69-BM70-BM71-BM82-BM85-BM86-BM87+BM29+BM30+BM31-BM77-BM92+BM46</f>
        <v>0</v>
      </c>
      <c r="BN105" s="218">
        <f>-BN66-BN69-BN70-BN71-BN82-BN85-BN86-BN87+BN29+BN30+BN31-BN77-BN92+BN46</f>
        <v>0</v>
      </c>
      <c r="BO105" s="218">
        <f>-BO66-BO69-BO70-BO71-BO82-BO85-BO86-BO87+BO29+BO30+BO31-BO77-BO92+BO46</f>
        <v>0</v>
      </c>
      <c r="BP105" s="218">
        <f>-BP66-BP69-BP70-BP71-BP82-BP85-BP86-BP87+BP29+BP30+BP31-BP77-BP92+BP46</f>
        <v>1513</v>
      </c>
      <c r="BQ105" s="1096">
        <f>-BQ66-BQ69-BQ70-BQ71-BQ82-BQ85-BQ86-BQ87+BQ29+BQ30+BQ34-BQ79-BQ94+BQ46+BQ31+BQ32-BQ77-BQ78-BQ92-BQ93-16000</f>
        <v>-151</v>
      </c>
      <c r="BR105" s="218">
        <f>-BR66-BR69-BR70-BR71-BR82-BR85-BR86-BR87+BR29+BR30+BR31-BR77-BR92+BR46+BR16</f>
        <v>-530336</v>
      </c>
      <c r="BS105" s="218">
        <f>-BS66-BS69-BS70-BS71-BS82-BS85-BS86-BS87+BS29+BS30+BS31-BS77-BS92+BS46</f>
        <v>0</v>
      </c>
      <c r="BT105" s="1269">
        <v>0</v>
      </c>
      <c r="BU105" s="1269">
        <v>0</v>
      </c>
      <c r="BV105" s="1096">
        <f t="shared" ref="BV105:BY105" si="101">+BV29+BV30+BV31+BV79+BV94-BV77-BV82-BV92-BV86-BV85-BV70-BV69-BV66+BV32-BV78-BV93</f>
        <v>1</v>
      </c>
      <c r="BW105" s="1096">
        <f>+BW29+BW30+BW31+BW79+BW94-BW77-BW82-BW92-BW86-BW85-BW70-BW69-BW66+BW32-BW78-BW93</f>
        <v>486</v>
      </c>
      <c r="BX105" s="1096">
        <f>+BX29+BX30+BX31+BX79+BX94-BX77-BX82-BX92-BX86-BX85-BX70-BX69-BX66+BX32-BX78-BX93+BX16+BX17-SONPPF!K30-SONPPF!K31</f>
        <v>139373</v>
      </c>
      <c r="BY105" s="1096">
        <f t="shared" si="101"/>
        <v>156</v>
      </c>
      <c r="BZ105" s="1096">
        <f>-BZ66-BZ79-BZ82-BZ94</f>
        <v>-1007781</v>
      </c>
      <c r="CA105" s="218">
        <f>CA43</f>
        <v>5667814</v>
      </c>
      <c r="CB105" s="1096"/>
      <c r="CC105" s="760"/>
      <c r="CD105" s="211">
        <f t="shared" ref="CD105:CD113" si="102">SUM(CE105:CI105)</f>
        <v>322560</v>
      </c>
      <c r="CE105" s="218">
        <f>+SONPPF!C169</f>
        <v>288753</v>
      </c>
      <c r="CF105" s="218">
        <f>+SONPPF!E169</f>
        <v>11803</v>
      </c>
      <c r="CG105" s="218">
        <f>'Nonmajor Ent BS'!G168</f>
        <v>16162</v>
      </c>
      <c r="CH105" s="218">
        <f>'Nonmajor Ent BS'!E168</f>
        <v>3801</v>
      </c>
      <c r="CI105" s="218">
        <f>'Nonmajor Ent BS'!C168</f>
        <v>2041</v>
      </c>
    </row>
    <row r="106" spans="1:87" ht="12.75" customHeight="1" x14ac:dyDescent="0.2">
      <c r="A106" s="217" t="s">
        <v>755</v>
      </c>
      <c r="C106" s="927"/>
      <c r="D106" s="1491"/>
      <c r="E106" s="1396"/>
      <c r="F106" s="1396"/>
      <c r="G106" s="1396"/>
      <c r="H106" s="1396"/>
      <c r="I106" s="1396"/>
      <c r="J106" s="1396"/>
      <c r="K106" s="928"/>
      <c r="N106" s="928"/>
      <c r="O106" s="928"/>
      <c r="P106" s="928"/>
      <c r="Q106" s="1098"/>
      <c r="R106" s="926"/>
      <c r="S106" s="1098"/>
      <c r="T106" s="1097"/>
      <c r="U106" s="1098"/>
      <c r="V106" s="1288"/>
      <c r="W106" s="1098"/>
      <c r="X106" s="1491"/>
      <c r="AA106" s="1098"/>
      <c r="AB106" s="1098"/>
      <c r="AC106" s="1098"/>
      <c r="AD106" s="1098"/>
      <c r="AE106" s="1098"/>
      <c r="AF106" s="1098"/>
      <c r="AG106" s="1098"/>
      <c r="AH106" s="1098"/>
      <c r="AI106" s="1098"/>
      <c r="AJ106" s="1098"/>
      <c r="AK106" s="1098"/>
      <c r="AL106" s="1098"/>
      <c r="AM106" s="1098"/>
      <c r="AN106" s="1098"/>
      <c r="AO106" s="1098"/>
      <c r="AP106" s="1098"/>
      <c r="AQ106" s="1098"/>
      <c r="AR106" s="1098"/>
      <c r="AS106" s="1098"/>
      <c r="AT106" s="1098"/>
      <c r="AU106" s="1098"/>
      <c r="AV106" s="1098"/>
      <c r="AW106" s="1098"/>
      <c r="AX106" s="1310"/>
      <c r="AY106" s="1288"/>
      <c r="AZ106" s="1251"/>
      <c r="BA106" s="1288"/>
      <c r="BB106" s="1288"/>
      <c r="BC106" s="1288"/>
      <c r="BD106" s="1098"/>
      <c r="BE106" s="1098"/>
      <c r="BF106" s="1098"/>
      <c r="BH106" s="1098"/>
      <c r="BK106" s="1287"/>
      <c r="BL106" s="1098"/>
      <c r="BM106" s="1098"/>
      <c r="BP106" s="1265"/>
      <c r="BQ106" s="1098"/>
      <c r="BR106" s="1097"/>
      <c r="BT106" s="926"/>
      <c r="BU106" s="926"/>
      <c r="BV106" s="926"/>
      <c r="BW106" s="1097"/>
      <c r="BX106" s="1097"/>
      <c r="BY106" s="1012"/>
      <c r="BZ106" s="1491"/>
      <c r="CB106" s="1310"/>
      <c r="CC106" s="760"/>
      <c r="CD106" s="211">
        <f t="shared" si="102"/>
        <v>0</v>
      </c>
      <c r="CE106" s="218"/>
      <c r="CF106" s="218"/>
      <c r="CG106" s="218"/>
      <c r="CH106" s="218"/>
      <c r="CI106" s="218"/>
    </row>
    <row r="107" spans="1:87" ht="12.75" customHeight="1" x14ac:dyDescent="0.2">
      <c r="A107" s="220" t="s">
        <v>756</v>
      </c>
      <c r="B107" s="211">
        <f t="shared" ref="B107:B113" si="103">SUM(C107:CB107)</f>
        <v>43302</v>
      </c>
      <c r="C107" s="926"/>
      <c r="D107" s="928">
        <v>43258</v>
      </c>
      <c r="E107" s="1396"/>
      <c r="F107" s="1396"/>
      <c r="G107" s="1396"/>
      <c r="H107" s="1396"/>
      <c r="I107" s="1396"/>
      <c r="J107" s="1396"/>
      <c r="K107" s="928"/>
      <c r="N107" s="928"/>
      <c r="O107" s="928"/>
      <c r="P107" s="928"/>
      <c r="Q107" s="1098"/>
      <c r="R107" s="926"/>
      <c r="S107" s="1098"/>
      <c r="T107" s="1097"/>
      <c r="U107" s="1098"/>
      <c r="V107" s="1288"/>
      <c r="W107" s="1098"/>
      <c r="X107" s="928"/>
      <c r="AA107" s="1098"/>
      <c r="AB107" s="1098"/>
      <c r="AC107" s="1098"/>
      <c r="AD107" s="1098"/>
      <c r="AE107" s="1098"/>
      <c r="AF107" s="1098"/>
      <c r="AG107" s="1098"/>
      <c r="AH107" s="1098"/>
      <c r="AI107" s="1098"/>
      <c r="AJ107" s="1098"/>
      <c r="AK107" s="1098"/>
      <c r="AL107" s="1098"/>
      <c r="AM107" s="1098"/>
      <c r="AN107" s="1098"/>
      <c r="AO107" s="1098"/>
      <c r="AP107" s="1098"/>
      <c r="AQ107" s="1098"/>
      <c r="AR107" s="1098"/>
      <c r="AS107" s="1098"/>
      <c r="AT107" s="1098"/>
      <c r="AU107" s="1098"/>
      <c r="AV107" s="1098"/>
      <c r="AW107" s="1098"/>
      <c r="AX107" s="927"/>
      <c r="AY107" s="1288"/>
      <c r="AZ107" s="1251"/>
      <c r="BA107" s="1288"/>
      <c r="BB107" s="1288"/>
      <c r="BC107" s="1288"/>
      <c r="BD107" s="1098"/>
      <c r="BE107" s="1098"/>
      <c r="BF107" s="1098"/>
      <c r="BH107" s="1098"/>
      <c r="BK107" s="1287"/>
      <c r="BL107" s="1098"/>
      <c r="BM107" s="1098"/>
      <c r="BP107" s="1265"/>
      <c r="BQ107" s="1098"/>
      <c r="BR107" s="1097"/>
      <c r="BT107" s="926"/>
      <c r="BU107" s="926"/>
      <c r="BV107" s="926"/>
      <c r="BW107" s="1097"/>
      <c r="BX107" s="1097">
        <v>44</v>
      </c>
      <c r="BY107" s="1012"/>
      <c r="BZ107" s="928" t="s">
        <v>1050</v>
      </c>
      <c r="CB107" s="928"/>
      <c r="CC107" s="760"/>
      <c r="CD107" s="211">
        <f t="shared" si="102"/>
        <v>38691</v>
      </c>
      <c r="CE107" s="218">
        <f>+SONPPF!C171</f>
        <v>38270</v>
      </c>
      <c r="CF107" s="218">
        <f>+SONPPF!E171</f>
        <v>0</v>
      </c>
      <c r="CG107" s="218">
        <f>'Nonmajor Ent BS'!G170</f>
        <v>421</v>
      </c>
      <c r="CH107" s="218">
        <f>'Nonmajor Ent BS'!E170</f>
        <v>0</v>
      </c>
      <c r="CI107" s="218">
        <f>'Nonmajor Ent BS'!C170</f>
        <v>0</v>
      </c>
    </row>
    <row r="108" spans="1:87" ht="12.75" customHeight="1" x14ac:dyDescent="0.2">
      <c r="A108" s="220" t="s">
        <v>706</v>
      </c>
      <c r="B108" s="211">
        <f t="shared" si="103"/>
        <v>-4663</v>
      </c>
      <c r="C108" s="926"/>
      <c r="D108" s="928"/>
      <c r="E108" s="1396"/>
      <c r="F108" s="1396"/>
      <c r="G108" s="1396"/>
      <c r="H108" s="1396"/>
      <c r="I108" s="1396"/>
      <c r="J108" s="1396"/>
      <c r="K108" s="928"/>
      <c r="N108" s="928"/>
      <c r="O108" s="928"/>
      <c r="P108" s="928"/>
      <c r="Q108" s="1098"/>
      <c r="R108" s="926"/>
      <c r="S108" s="1098"/>
      <c r="T108" s="1097"/>
      <c r="U108" s="1097"/>
      <c r="V108" s="1288"/>
      <c r="W108" s="1098"/>
      <c r="X108" s="928"/>
      <c r="Y108" s="211">
        <f>Y43-Y100-Y105-Y113</f>
        <v>0</v>
      </c>
      <c r="Z108" s="211">
        <f>Z43-Z100-Z105-Z113</f>
        <v>0</v>
      </c>
      <c r="AA108" s="1098">
        <f t="shared" ref="AA108" si="104">AA43+AA46-AA100-AA102-AA105-AA113</f>
        <v>0</v>
      </c>
      <c r="AB108" s="1098">
        <v>25</v>
      </c>
      <c r="AC108" s="1098">
        <v>79</v>
      </c>
      <c r="AD108" s="1098">
        <v>-8887</v>
      </c>
      <c r="AE108" s="1098">
        <v>2321</v>
      </c>
      <c r="AF108" s="1098">
        <v>0</v>
      </c>
      <c r="AG108" s="1098"/>
      <c r="AH108" s="1098"/>
      <c r="AI108" s="1098">
        <v>0</v>
      </c>
      <c r="AJ108" s="1098">
        <v>0</v>
      </c>
      <c r="AK108" s="1098">
        <v>132</v>
      </c>
      <c r="AL108" s="1098">
        <v>-251</v>
      </c>
      <c r="AM108" s="1098">
        <v>-35</v>
      </c>
      <c r="AN108" s="1098">
        <v>-175</v>
      </c>
      <c r="AO108" s="1098">
        <v>-382</v>
      </c>
      <c r="AP108" s="1098">
        <v>-81</v>
      </c>
      <c r="AQ108" s="1098">
        <v>446</v>
      </c>
      <c r="AR108" s="1098">
        <v>2610</v>
      </c>
      <c r="AS108" s="1098">
        <v>0</v>
      </c>
      <c r="AT108" s="1098"/>
      <c r="AU108" s="1098">
        <v>0</v>
      </c>
      <c r="AV108" s="1098">
        <v>0</v>
      </c>
      <c r="AW108" s="1098">
        <v>-615</v>
      </c>
      <c r="AX108" s="927"/>
      <c r="AY108" s="1288"/>
      <c r="AZ108" s="1251"/>
      <c r="BA108" s="1288"/>
      <c r="BB108" s="1288"/>
      <c r="BC108" s="1288"/>
      <c r="BD108" s="1098"/>
      <c r="BE108" s="1098"/>
      <c r="BF108" s="1098"/>
      <c r="BH108" s="1098"/>
      <c r="BK108" s="1287">
        <v>0</v>
      </c>
      <c r="BL108" s="1098"/>
      <c r="BM108" s="1098"/>
      <c r="BP108" s="1265"/>
      <c r="BQ108" s="1098"/>
      <c r="BR108" s="1097"/>
      <c r="BT108" s="926"/>
      <c r="BU108" s="926"/>
      <c r="BV108" s="926"/>
      <c r="BW108" s="1097"/>
      <c r="BX108" s="1097">
        <v>150</v>
      </c>
      <c r="BY108" s="1012"/>
      <c r="BZ108" s="928"/>
      <c r="CB108" s="928"/>
      <c r="CC108" s="760"/>
      <c r="CD108" s="211">
        <f t="shared" si="102"/>
        <v>267828</v>
      </c>
      <c r="CE108" s="218">
        <f>+SONPPF!C172</f>
        <v>266323</v>
      </c>
      <c r="CF108" s="218">
        <f>+SONPPF!E172</f>
        <v>0</v>
      </c>
      <c r="CG108" s="218">
        <f>'Nonmajor Ent BS'!G171</f>
        <v>998</v>
      </c>
      <c r="CH108" s="218">
        <f>'Nonmajor Ent BS'!E171</f>
        <v>0</v>
      </c>
      <c r="CI108" s="218">
        <f>'Nonmajor Ent BS'!C171</f>
        <v>507</v>
      </c>
    </row>
    <row r="109" spans="1:87" ht="12.75" customHeight="1" x14ac:dyDescent="0.2">
      <c r="A109" s="217" t="s">
        <v>727</v>
      </c>
      <c r="B109" s="211">
        <f t="shared" si="103"/>
        <v>149559</v>
      </c>
      <c r="C109" s="926"/>
      <c r="D109" s="928"/>
      <c r="E109" s="1396"/>
      <c r="F109" s="1396"/>
      <c r="G109" s="1396"/>
      <c r="H109" s="1396"/>
      <c r="I109" s="1396"/>
      <c r="J109" s="1396"/>
      <c r="K109" s="928"/>
      <c r="N109" s="928"/>
      <c r="O109" s="928"/>
      <c r="P109" s="928"/>
      <c r="Q109" s="1098"/>
      <c r="R109" s="926"/>
      <c r="S109" s="1098"/>
      <c r="T109" s="1097"/>
      <c r="U109" s="1098"/>
      <c r="V109" s="1288"/>
      <c r="W109" s="1098"/>
      <c r="X109" s="928"/>
      <c r="AA109" s="1098"/>
      <c r="AB109" s="1098"/>
      <c r="AC109" s="1098"/>
      <c r="AD109" s="1098"/>
      <c r="AE109" s="1098"/>
      <c r="AF109" s="1098"/>
      <c r="AG109" s="1098"/>
      <c r="AH109" s="1098"/>
      <c r="AI109" s="1098"/>
      <c r="AJ109" s="1098"/>
      <c r="AK109" s="1098"/>
      <c r="AL109" s="1098"/>
      <c r="AM109" s="1098"/>
      <c r="AN109" s="1098"/>
      <c r="AO109" s="1098"/>
      <c r="AP109" s="1098"/>
      <c r="AQ109" s="1098"/>
      <c r="AR109" s="1098"/>
      <c r="AS109" s="1098"/>
      <c r="AT109" s="1098"/>
      <c r="AU109" s="1098"/>
      <c r="AV109" s="1098"/>
      <c r="AW109" s="1098"/>
      <c r="AX109" s="927"/>
      <c r="AY109" s="1288"/>
      <c r="AZ109" s="1251"/>
      <c r="BA109" s="1288"/>
      <c r="BB109" s="1288"/>
      <c r="BC109" s="1288"/>
      <c r="BD109" s="1098"/>
      <c r="BE109" s="1098"/>
      <c r="BF109" s="1098"/>
      <c r="BH109" s="1098"/>
      <c r="BK109" s="1287"/>
      <c r="BL109" s="1098"/>
      <c r="BM109" s="1098"/>
      <c r="BP109" s="1265">
        <v>3316</v>
      </c>
      <c r="BQ109" s="1098">
        <f>130243+16000</f>
        <v>146243</v>
      </c>
      <c r="BR109" s="1097"/>
      <c r="BT109" s="926"/>
      <c r="BU109" s="926"/>
      <c r="BV109" s="926"/>
      <c r="BW109" s="1097"/>
      <c r="BX109" s="1097"/>
      <c r="BY109" s="1012"/>
      <c r="BZ109" s="928"/>
      <c r="CB109" s="928"/>
      <c r="CC109" s="760"/>
      <c r="CD109" s="211">
        <f t="shared" si="102"/>
        <v>0</v>
      </c>
      <c r="CE109" s="218"/>
      <c r="CF109" s="218"/>
      <c r="CG109" s="218"/>
      <c r="CH109" s="218"/>
      <c r="CI109" s="218"/>
    </row>
    <row r="110" spans="1:87" ht="12.75" customHeight="1" x14ac:dyDescent="0.2">
      <c r="A110" s="217" t="s">
        <v>707</v>
      </c>
      <c r="B110" s="211">
        <f t="shared" si="103"/>
        <v>0</v>
      </c>
      <c r="C110" s="926"/>
      <c r="D110" s="928"/>
      <c r="E110" s="1396"/>
      <c r="F110" s="1396"/>
      <c r="G110" s="1396"/>
      <c r="H110" s="1396"/>
      <c r="I110" s="1396"/>
      <c r="J110" s="1396"/>
      <c r="K110" s="928"/>
      <c r="N110" s="928"/>
      <c r="O110" s="928"/>
      <c r="P110" s="928"/>
      <c r="Q110" s="1098"/>
      <c r="R110" s="926"/>
      <c r="S110" s="1098"/>
      <c r="T110" s="1097"/>
      <c r="U110" s="1098"/>
      <c r="V110" s="1288"/>
      <c r="W110" s="1098"/>
      <c r="X110" s="928"/>
      <c r="AA110" s="1098"/>
      <c r="AB110" s="1098"/>
      <c r="AC110" s="1098"/>
      <c r="AD110" s="1098"/>
      <c r="AE110" s="1098"/>
      <c r="AF110" s="1098"/>
      <c r="AG110" s="1098"/>
      <c r="AH110" s="1098"/>
      <c r="AI110" s="1098"/>
      <c r="AJ110" s="1098"/>
      <c r="AK110" s="1098"/>
      <c r="AL110" s="1098"/>
      <c r="AM110" s="1098"/>
      <c r="AN110" s="1098"/>
      <c r="AO110" s="1098"/>
      <c r="AP110" s="1098"/>
      <c r="AQ110" s="1098"/>
      <c r="AR110" s="1098"/>
      <c r="AS110" s="1098"/>
      <c r="AT110" s="1098"/>
      <c r="AU110" s="1098"/>
      <c r="AV110" s="1098"/>
      <c r="AW110" s="1098"/>
      <c r="AX110" s="927"/>
      <c r="AY110" s="1288"/>
      <c r="AZ110" s="1251"/>
      <c r="BA110" s="1288"/>
      <c r="BB110" s="1288"/>
      <c r="BC110" s="1288"/>
      <c r="BD110" s="1098"/>
      <c r="BE110" s="1098"/>
      <c r="BF110" s="1098"/>
      <c r="BH110" s="1098"/>
      <c r="BK110" s="1287"/>
      <c r="BL110" s="1098"/>
      <c r="BM110" s="1098"/>
      <c r="BP110" s="1265"/>
      <c r="BQ110" s="1098"/>
      <c r="BR110" s="1097"/>
      <c r="BT110" s="926"/>
      <c r="BU110" s="926"/>
      <c r="BV110" s="926"/>
      <c r="BW110" s="1097"/>
      <c r="BX110" s="1097"/>
      <c r="BY110" s="1012"/>
      <c r="BZ110" s="928"/>
      <c r="CB110" s="928"/>
      <c r="CC110" s="760"/>
      <c r="CD110" s="211">
        <f t="shared" si="102"/>
        <v>0</v>
      </c>
      <c r="CF110" s="218"/>
      <c r="CG110" s="218"/>
      <c r="CH110" s="218"/>
      <c r="CI110" s="218"/>
    </row>
    <row r="111" spans="1:87" ht="12.75" customHeight="1" x14ac:dyDescent="0.2">
      <c r="A111" s="220" t="s">
        <v>708</v>
      </c>
      <c r="B111" s="211">
        <f t="shared" si="103"/>
        <v>13387</v>
      </c>
      <c r="C111" s="927"/>
      <c r="D111" s="928"/>
      <c r="E111" s="1396"/>
      <c r="F111" s="1396"/>
      <c r="G111" s="1396"/>
      <c r="H111" s="1396"/>
      <c r="I111" s="1396"/>
      <c r="J111" s="1396"/>
      <c r="K111" s="928"/>
      <c r="N111" s="928"/>
      <c r="O111" s="928"/>
      <c r="P111" s="928"/>
      <c r="Q111" s="1098"/>
      <c r="R111" s="926"/>
      <c r="S111" s="1098"/>
      <c r="T111" s="1097"/>
      <c r="U111" s="1098"/>
      <c r="V111" s="1288">
        <v>12276</v>
      </c>
      <c r="W111" s="1098"/>
      <c r="X111" s="928"/>
      <c r="AA111" s="1098"/>
      <c r="AB111" s="1098"/>
      <c r="AC111" s="1098"/>
      <c r="AD111" s="1098"/>
      <c r="AE111" s="1098"/>
      <c r="AF111" s="1098"/>
      <c r="AG111" s="1098"/>
      <c r="AH111" s="1098"/>
      <c r="AI111" s="1098"/>
      <c r="AJ111" s="1098"/>
      <c r="AK111" s="1098"/>
      <c r="AL111" s="1098"/>
      <c r="AM111" s="1098"/>
      <c r="AN111" s="1098"/>
      <c r="AO111" s="1098"/>
      <c r="AP111" s="1098"/>
      <c r="AQ111" s="1098"/>
      <c r="AR111" s="1098"/>
      <c r="AS111" s="1098"/>
      <c r="AT111" s="1098"/>
      <c r="AU111" s="1098"/>
      <c r="AV111" s="1098"/>
      <c r="AW111" s="1098"/>
      <c r="AX111" s="928"/>
      <c r="AY111" s="1288">
        <v>36</v>
      </c>
      <c r="AZ111" s="1251">
        <v>767</v>
      </c>
      <c r="BA111" s="1288">
        <v>16</v>
      </c>
      <c r="BB111" s="1288">
        <v>29</v>
      </c>
      <c r="BC111" s="1288">
        <v>263</v>
      </c>
      <c r="BD111" s="1098"/>
      <c r="BE111" s="1098"/>
      <c r="BF111" s="1098"/>
      <c r="BH111" s="1098"/>
      <c r="BK111" s="1287"/>
      <c r="BL111" s="1098"/>
      <c r="BM111" s="1098"/>
      <c r="BP111" s="1265"/>
      <c r="BQ111" s="1098"/>
      <c r="BR111" s="1097"/>
      <c r="BT111" s="926"/>
      <c r="BU111" s="926"/>
      <c r="BV111" s="926"/>
      <c r="BW111" s="1097"/>
      <c r="BX111" s="1097"/>
      <c r="BY111" s="1012"/>
      <c r="BZ111" s="928"/>
      <c r="CB111" s="928"/>
      <c r="CC111" s="760"/>
      <c r="CD111" s="211">
        <f t="shared" si="102"/>
        <v>0</v>
      </c>
    </row>
    <row r="112" spans="1:87" ht="12.75" customHeight="1" x14ac:dyDescent="0.2">
      <c r="A112" s="220" t="s">
        <v>709</v>
      </c>
      <c r="B112" s="211">
        <f t="shared" si="103"/>
        <v>6952</v>
      </c>
      <c r="C112" s="927"/>
      <c r="D112" s="928"/>
      <c r="E112" s="1396"/>
      <c r="F112" s="1396"/>
      <c r="G112" s="1396"/>
      <c r="H112" s="1396"/>
      <c r="I112" s="1396"/>
      <c r="J112" s="1396"/>
      <c r="K112" s="928"/>
      <c r="N112" s="928"/>
      <c r="O112" s="928"/>
      <c r="P112" s="928"/>
      <c r="Q112" s="1097"/>
      <c r="R112" s="926"/>
      <c r="S112" s="1098"/>
      <c r="T112" s="1097"/>
      <c r="U112" s="1098"/>
      <c r="V112" s="1288"/>
      <c r="W112" s="1097">
        <v>41</v>
      </c>
      <c r="X112" s="928"/>
      <c r="AA112" s="1098"/>
      <c r="AB112" s="1098"/>
      <c r="AC112" s="1098"/>
      <c r="AD112" s="1098"/>
      <c r="AE112" s="1098"/>
      <c r="AF112" s="1098"/>
      <c r="AG112" s="1098"/>
      <c r="AH112" s="1098"/>
      <c r="AI112" s="1098"/>
      <c r="AJ112" s="1098"/>
      <c r="AK112" s="1098"/>
      <c r="AL112" s="1098"/>
      <c r="AM112" s="1098"/>
      <c r="AN112" s="1098"/>
      <c r="AO112" s="1098"/>
      <c r="AP112" s="1098"/>
      <c r="AQ112" s="1098"/>
      <c r="AR112" s="1098"/>
      <c r="AS112" s="1098"/>
      <c r="AT112" s="1098"/>
      <c r="AU112" s="1098"/>
      <c r="AV112" s="1098"/>
      <c r="AW112" s="1098"/>
      <c r="AX112" s="928"/>
      <c r="AY112" s="1288">
        <v>334</v>
      </c>
      <c r="AZ112" s="1251">
        <v>4646</v>
      </c>
      <c r="BA112" s="1288">
        <v>313</v>
      </c>
      <c r="BB112" s="1288">
        <v>514</v>
      </c>
      <c r="BC112" s="1288">
        <v>1104</v>
      </c>
      <c r="BD112" s="1098"/>
      <c r="BE112" s="1098"/>
      <c r="BF112" s="1098"/>
      <c r="BH112" s="1098"/>
      <c r="BK112" s="1287"/>
      <c r="BL112" s="1098"/>
      <c r="BM112" s="1098"/>
      <c r="BP112" s="1265"/>
      <c r="BQ112" s="1098"/>
      <c r="BR112" s="1097"/>
      <c r="BT112" s="926"/>
      <c r="BU112" s="926"/>
      <c r="BV112" s="926"/>
      <c r="BW112" s="1097"/>
      <c r="BX112" s="1097"/>
      <c r="BY112" s="1012"/>
      <c r="BZ112" s="928"/>
      <c r="CB112" s="928"/>
      <c r="CC112" s="760"/>
      <c r="CD112" s="211">
        <f t="shared" si="102"/>
        <v>0</v>
      </c>
    </row>
    <row r="113" spans="1:89" s="196" customFormat="1" ht="12.75" customHeight="1" x14ac:dyDescent="0.2">
      <c r="A113" s="217" t="s">
        <v>1039</v>
      </c>
      <c r="B113" s="211">
        <f t="shared" si="103"/>
        <v>-536384</v>
      </c>
      <c r="C113" s="927">
        <v>648041</v>
      </c>
      <c r="D113" s="928"/>
      <c r="E113" s="1396">
        <v>112072</v>
      </c>
      <c r="F113" s="1396"/>
      <c r="G113" s="1511">
        <v>10840</v>
      </c>
      <c r="H113" s="1396">
        <v>5006</v>
      </c>
      <c r="I113" s="1396">
        <v>30595</v>
      </c>
      <c r="J113"/>
      <c r="K113" s="928">
        <v>16658</v>
      </c>
      <c r="N113" s="928">
        <v>160349</v>
      </c>
      <c r="O113" s="928">
        <v>142603</v>
      </c>
      <c r="P113" s="928">
        <v>2274</v>
      </c>
      <c r="Q113" s="928">
        <v>21381</v>
      </c>
      <c r="R113" s="928">
        <v>0</v>
      </c>
      <c r="S113" s="1097"/>
      <c r="T113" s="928">
        <v>-103</v>
      </c>
      <c r="U113" s="1097">
        <v>3945</v>
      </c>
      <c r="V113" s="1288"/>
      <c r="W113" s="1097">
        <v>48294</v>
      </c>
      <c r="X113" s="928">
        <v>58588</v>
      </c>
      <c r="Y113" s="211"/>
      <c r="Z113" s="211"/>
      <c r="AA113" s="1098"/>
      <c r="AB113" s="1098"/>
      <c r="AC113" s="1098"/>
      <c r="AD113" s="1098"/>
      <c r="AE113" s="1098"/>
      <c r="AF113" s="1098">
        <v>34354</v>
      </c>
      <c r="AG113" s="1098"/>
      <c r="AH113" s="1098"/>
      <c r="AI113" s="1098"/>
      <c r="AJ113" s="1098"/>
      <c r="AK113" s="1098"/>
      <c r="AL113" s="1098"/>
      <c r="AM113" s="1098"/>
      <c r="AN113" s="1098"/>
      <c r="AO113" s="1098"/>
      <c r="AP113" s="1098"/>
      <c r="AQ113" s="1098"/>
      <c r="AR113" s="1098">
        <v>0</v>
      </c>
      <c r="AS113" s="1098"/>
      <c r="AT113" s="1098">
        <v>17736</v>
      </c>
      <c r="AU113" s="1098">
        <v>1</v>
      </c>
      <c r="AV113" s="1098"/>
      <c r="AW113" s="1098">
        <v>327</v>
      </c>
      <c r="AX113" s="927"/>
      <c r="AY113" s="1288"/>
      <c r="AZ113" s="1251"/>
      <c r="BA113" s="1288"/>
      <c r="BB113" s="1288"/>
      <c r="BC113" s="1288"/>
      <c r="BD113" s="1097"/>
      <c r="BE113" s="1097">
        <v>293</v>
      </c>
      <c r="BF113" s="1097">
        <v>138</v>
      </c>
      <c r="BG113" s="211">
        <v>7</v>
      </c>
      <c r="BH113" s="1097">
        <v>9944</v>
      </c>
      <c r="BI113" s="211">
        <v>29</v>
      </c>
      <c r="BJ113" s="211">
        <v>4489</v>
      </c>
      <c r="BK113" s="1287">
        <v>-779</v>
      </c>
      <c r="BL113" s="1097">
        <v>228</v>
      </c>
      <c r="BM113" s="1097">
        <v>2586</v>
      </c>
      <c r="BP113" s="1265">
        <v>865</v>
      </c>
      <c r="BQ113" s="1097"/>
      <c r="BR113" s="1097">
        <v>-1851</v>
      </c>
      <c r="BS113" s="211">
        <v>2452</v>
      </c>
      <c r="BT113" s="928">
        <v>23108</v>
      </c>
      <c r="BU113" s="928">
        <v>1347</v>
      </c>
      <c r="BV113" s="1269">
        <v>2782</v>
      </c>
      <c r="BW113" s="1097">
        <v>-29464</v>
      </c>
      <c r="BX113" s="928">
        <v>68937</v>
      </c>
      <c r="BY113" s="1097">
        <v>-21162</v>
      </c>
      <c r="BZ113" s="928">
        <v>-1913294</v>
      </c>
      <c r="CB113" s="928"/>
      <c r="CC113" s="197"/>
      <c r="CD113" s="211">
        <f t="shared" si="102"/>
        <v>-77998</v>
      </c>
      <c r="CE113" s="196">
        <f>+SONPPF!C173</f>
        <v>-3799</v>
      </c>
      <c r="CF113" s="196">
        <f>+SONPPF!E173</f>
        <v>-59675</v>
      </c>
      <c r="CG113" s="196">
        <f>'Nonmajor Ent BS'!G172</f>
        <v>903</v>
      </c>
      <c r="CH113" s="196">
        <f>'Nonmajor Ent BS'!E172</f>
        <v>116</v>
      </c>
      <c r="CI113" s="196">
        <f>'Nonmajor Ent BS'!C172</f>
        <v>-15543</v>
      </c>
    </row>
    <row r="114" spans="1:89" ht="13.5" customHeight="1" thickBot="1" x14ac:dyDescent="0.25">
      <c r="A114" s="222" t="s">
        <v>712</v>
      </c>
      <c r="B114" s="227">
        <f>SUM(B105:B113)</f>
        <v>2914087</v>
      </c>
      <c r="C114" s="227">
        <f>SUM(C105:C113)</f>
        <v>685465</v>
      </c>
      <c r="D114" s="227">
        <f t="shared" ref="D114:BP114" si="105">SUM(D105:D113)</f>
        <v>3235161</v>
      </c>
      <c r="E114" s="227">
        <f t="shared" si="105"/>
        <v>112072</v>
      </c>
      <c r="F114" s="227">
        <f t="shared" si="105"/>
        <v>-472</v>
      </c>
      <c r="G114" s="227">
        <f t="shared" si="105"/>
        <v>10840</v>
      </c>
      <c r="H114" s="227">
        <f t="shared" si="105"/>
        <v>5020</v>
      </c>
      <c r="I114" s="227">
        <f t="shared" si="105"/>
        <v>30595</v>
      </c>
      <c r="J114" s="227">
        <f t="shared" si="105"/>
        <v>-25692</v>
      </c>
      <c r="K114" s="227">
        <f t="shared" si="105"/>
        <v>16660</v>
      </c>
      <c r="L114" s="227">
        <f t="shared" si="105"/>
        <v>0</v>
      </c>
      <c r="M114" s="227">
        <f t="shared" si="105"/>
        <v>0</v>
      </c>
      <c r="N114" s="227">
        <f t="shared" si="105"/>
        <v>160481</v>
      </c>
      <c r="O114" s="227">
        <f t="shared" si="105"/>
        <v>126684</v>
      </c>
      <c r="P114" s="227">
        <f t="shared" si="105"/>
        <v>2274</v>
      </c>
      <c r="Q114" s="227">
        <f t="shared" si="105"/>
        <v>21381</v>
      </c>
      <c r="R114" s="227">
        <f t="shared" si="105"/>
        <v>0</v>
      </c>
      <c r="S114" s="227">
        <f t="shared" si="105"/>
        <v>0</v>
      </c>
      <c r="T114" s="227">
        <f t="shared" si="105"/>
        <v>-103</v>
      </c>
      <c r="U114" s="227">
        <f t="shared" si="105"/>
        <v>3944</v>
      </c>
      <c r="V114" s="227">
        <f t="shared" si="105"/>
        <v>12276</v>
      </c>
      <c r="W114" s="227">
        <f t="shared" si="105"/>
        <v>48294</v>
      </c>
      <c r="X114" s="227">
        <f t="shared" si="105"/>
        <v>58588</v>
      </c>
      <c r="Y114" s="227">
        <f t="shared" si="105"/>
        <v>0</v>
      </c>
      <c r="Z114" s="227">
        <f t="shared" si="105"/>
        <v>0</v>
      </c>
      <c r="AA114" s="227">
        <f t="shared" si="105"/>
        <v>0</v>
      </c>
      <c r="AB114" s="227">
        <f t="shared" si="105"/>
        <v>-674202</v>
      </c>
      <c r="AC114" s="227">
        <f t="shared" si="105"/>
        <v>-515232</v>
      </c>
      <c r="AD114" s="227">
        <f t="shared" si="105"/>
        <v>-641963</v>
      </c>
      <c r="AE114" s="227">
        <f t="shared" si="105"/>
        <v>-171981</v>
      </c>
      <c r="AF114" s="227">
        <f t="shared" si="105"/>
        <v>-4759</v>
      </c>
      <c r="AG114" s="227">
        <f t="shared" si="105"/>
        <v>0</v>
      </c>
      <c r="AH114" s="227">
        <f t="shared" si="105"/>
        <v>0</v>
      </c>
      <c r="AI114" s="227">
        <f t="shared" si="105"/>
        <v>0</v>
      </c>
      <c r="AJ114" s="227">
        <f t="shared" si="105"/>
        <v>0</v>
      </c>
      <c r="AK114" s="227">
        <f t="shared" si="105"/>
        <v>-980552</v>
      </c>
      <c r="AL114" s="227">
        <f t="shared" si="105"/>
        <v>-31302</v>
      </c>
      <c r="AM114" s="227">
        <f t="shared" si="105"/>
        <v>-58448</v>
      </c>
      <c r="AN114" s="227">
        <f t="shared" si="105"/>
        <v>-59264</v>
      </c>
      <c r="AO114" s="227">
        <f t="shared" si="105"/>
        <v>-68617</v>
      </c>
      <c r="AP114" s="227">
        <f t="shared" si="105"/>
        <v>-48643</v>
      </c>
      <c r="AQ114" s="227">
        <f t="shared" ref="AQ114" si="106">SUM(AQ105:AQ113)</f>
        <v>-74342</v>
      </c>
      <c r="AR114" s="227">
        <f t="shared" si="105"/>
        <v>-996</v>
      </c>
      <c r="AS114" s="227">
        <f t="shared" si="105"/>
        <v>-25805</v>
      </c>
      <c r="AT114" s="227">
        <f t="shared" si="105"/>
        <v>-68596</v>
      </c>
      <c r="AU114" s="227">
        <f t="shared" si="105"/>
        <v>-105100</v>
      </c>
      <c r="AV114" s="227">
        <f t="shared" si="105"/>
        <v>0</v>
      </c>
      <c r="AW114" s="227">
        <f t="shared" si="105"/>
        <v>-536673</v>
      </c>
      <c r="AX114" s="227">
        <f t="shared" si="105"/>
        <v>-28800</v>
      </c>
      <c r="AY114" s="227">
        <f t="shared" si="105"/>
        <v>370</v>
      </c>
      <c r="AZ114" s="227">
        <f t="shared" si="105"/>
        <v>5413</v>
      </c>
      <c r="BA114" s="227">
        <f t="shared" si="105"/>
        <v>329</v>
      </c>
      <c r="BB114" s="227">
        <f t="shared" si="105"/>
        <v>543</v>
      </c>
      <c r="BC114" s="227">
        <f t="shared" si="105"/>
        <v>1367</v>
      </c>
      <c r="BD114" s="227">
        <f t="shared" si="105"/>
        <v>0</v>
      </c>
      <c r="BE114" s="227">
        <f t="shared" si="105"/>
        <v>293</v>
      </c>
      <c r="BF114" s="227">
        <f t="shared" si="105"/>
        <v>138</v>
      </c>
      <c r="BG114" s="227">
        <f t="shared" si="105"/>
        <v>7</v>
      </c>
      <c r="BH114" s="227">
        <f t="shared" si="105"/>
        <v>10896</v>
      </c>
      <c r="BI114" s="227">
        <f t="shared" si="105"/>
        <v>29</v>
      </c>
      <c r="BJ114" s="227">
        <f t="shared" si="105"/>
        <v>30419</v>
      </c>
      <c r="BK114" s="227">
        <f t="shared" si="105"/>
        <v>-89611</v>
      </c>
      <c r="BL114" s="227">
        <f t="shared" si="105"/>
        <v>-11433</v>
      </c>
      <c r="BM114" s="227">
        <f t="shared" si="105"/>
        <v>2586</v>
      </c>
      <c r="BN114" s="227">
        <f t="shared" si="105"/>
        <v>0</v>
      </c>
      <c r="BO114" s="227">
        <f t="shared" si="105"/>
        <v>0</v>
      </c>
      <c r="BP114" s="227">
        <f t="shared" si="105"/>
        <v>5694</v>
      </c>
      <c r="BQ114" s="227">
        <f t="shared" ref="BQ114:CB114" si="107">SUM(BQ105:BQ113)</f>
        <v>146092</v>
      </c>
      <c r="BR114" s="227">
        <f t="shared" si="107"/>
        <v>-532187</v>
      </c>
      <c r="BS114" s="227">
        <f t="shared" si="107"/>
        <v>2452</v>
      </c>
      <c r="BT114" s="227">
        <f t="shared" si="107"/>
        <v>23108</v>
      </c>
      <c r="BU114" s="227">
        <f t="shared" si="107"/>
        <v>1347</v>
      </c>
      <c r="BV114" s="227">
        <f t="shared" si="107"/>
        <v>2783</v>
      </c>
      <c r="BW114" s="227">
        <f t="shared" si="107"/>
        <v>-28978</v>
      </c>
      <c r="BX114" s="227">
        <f t="shared" si="107"/>
        <v>208504</v>
      </c>
      <c r="BY114" s="227">
        <f t="shared" si="107"/>
        <v>-21006</v>
      </c>
      <c r="BZ114" s="227">
        <f t="shared" si="107"/>
        <v>-2921075</v>
      </c>
      <c r="CA114" s="227">
        <f t="shared" si="107"/>
        <v>5667814</v>
      </c>
      <c r="CB114" s="227">
        <f t="shared" si="107"/>
        <v>0</v>
      </c>
      <c r="CC114" s="330"/>
      <c r="CD114" s="227">
        <f t="shared" ref="CD114:CI114" si="108">SUM(CD105:CD113)</f>
        <v>551081</v>
      </c>
      <c r="CE114" s="227">
        <f t="shared" si="108"/>
        <v>589547</v>
      </c>
      <c r="CF114" s="227">
        <f t="shared" si="108"/>
        <v>-47872</v>
      </c>
      <c r="CG114" s="227">
        <f t="shared" si="108"/>
        <v>18484</v>
      </c>
      <c r="CH114" s="227">
        <f t="shared" si="108"/>
        <v>3917</v>
      </c>
      <c r="CI114" s="227">
        <f t="shared" si="108"/>
        <v>-12995</v>
      </c>
    </row>
    <row r="115" spans="1:89" ht="13.5" customHeight="1" thickTop="1" x14ac:dyDescent="0.2">
      <c r="X115" s="1098"/>
      <c r="AZ115" s="330"/>
      <c r="CC115" s="760"/>
    </row>
    <row r="116" spans="1:89" ht="12.75" customHeight="1" x14ac:dyDescent="0.2">
      <c r="A116" s="333" t="s">
        <v>1026</v>
      </c>
      <c r="CD116" s="211">
        <f>SUM(CE116:CJ116)</f>
        <v>-15202</v>
      </c>
      <c r="CE116" s="211">
        <f>SOAws!C161</f>
        <v>-12163</v>
      </c>
      <c r="CF116" s="211">
        <f>SOAws!D161</f>
        <v>1485</v>
      </c>
      <c r="CG116" s="211">
        <f>SOAws!H161</f>
        <v>-889</v>
      </c>
      <c r="CH116" s="211">
        <f>SOAws!F161</f>
        <v>-237</v>
      </c>
      <c r="CI116" s="211">
        <f>SOAws!G161</f>
        <v>-3398</v>
      </c>
      <c r="CJ116" s="211">
        <f>1026*0</f>
        <v>0</v>
      </c>
      <c r="CK116" s="211" t="s">
        <v>1421</v>
      </c>
    </row>
    <row r="117" spans="1:89" s="196" customFormat="1" ht="12.75" customHeight="1" x14ac:dyDescent="0.2">
      <c r="A117" s="1095"/>
      <c r="Y117" s="197"/>
      <c r="AB117" s="1155"/>
      <c r="AC117" s="1155"/>
      <c r="AD117" s="1155"/>
      <c r="AE117" s="1155"/>
      <c r="AG117" s="1155"/>
      <c r="AH117" s="1155"/>
      <c r="AI117" s="1155"/>
      <c r="AJ117" s="1155"/>
      <c r="AK117" s="1155"/>
      <c r="AL117" s="1155"/>
      <c r="AM117" s="1155"/>
      <c r="AN117" s="1155"/>
      <c r="AO117" s="1155"/>
      <c r="AP117" s="1155"/>
      <c r="AQ117" s="1155"/>
      <c r="AU117" s="1155"/>
      <c r="AW117" s="1156"/>
      <c r="AX117" s="928"/>
      <c r="BR117" s="1156"/>
    </row>
    <row r="118" spans="1:89" ht="13.5" customHeight="1" thickBot="1" x14ac:dyDescent="0.25">
      <c r="A118" s="334" t="s">
        <v>1029</v>
      </c>
      <c r="CD118" s="335">
        <f t="shared" ref="CD118:CI118" si="109">+CD114+CD116</f>
        <v>535879</v>
      </c>
      <c r="CE118" s="335">
        <f t="shared" si="109"/>
        <v>577384</v>
      </c>
      <c r="CF118" s="335">
        <f t="shared" si="109"/>
        <v>-46387</v>
      </c>
      <c r="CG118" s="335">
        <f t="shared" si="109"/>
        <v>17595</v>
      </c>
      <c r="CH118" s="335">
        <f t="shared" si="109"/>
        <v>3680</v>
      </c>
      <c r="CI118" s="335">
        <f t="shared" si="109"/>
        <v>-16393</v>
      </c>
    </row>
    <row r="119" spans="1:89" ht="13.5" customHeight="1" thickTop="1" x14ac:dyDescent="0.2"/>
    <row r="120" spans="1:89" s="228" customFormat="1" ht="12.75" customHeight="1" x14ac:dyDescent="0.2">
      <c r="A120" s="781" t="s">
        <v>940</v>
      </c>
      <c r="B120" s="228">
        <f>+B43-B100-B114+B46-B102</f>
        <v>0</v>
      </c>
      <c r="C120" s="228">
        <f t="shared" ref="C120:AG120" si="110">+C43-C100-C114+C46-C102</f>
        <v>0</v>
      </c>
      <c r="D120" s="228">
        <f t="shared" si="110"/>
        <v>0</v>
      </c>
      <c r="E120" s="228">
        <f t="shared" si="110"/>
        <v>0</v>
      </c>
      <c r="F120" s="228">
        <f t="shared" si="110"/>
        <v>0</v>
      </c>
      <c r="G120" s="228">
        <f t="shared" si="110"/>
        <v>0</v>
      </c>
      <c r="H120" s="228">
        <f t="shared" si="110"/>
        <v>0</v>
      </c>
      <c r="I120" s="228">
        <f t="shared" si="110"/>
        <v>0</v>
      </c>
      <c r="J120" s="228">
        <f t="shared" si="110"/>
        <v>0</v>
      </c>
      <c r="K120" s="228">
        <f t="shared" si="110"/>
        <v>0</v>
      </c>
      <c r="L120" s="228">
        <f t="shared" si="110"/>
        <v>0</v>
      </c>
      <c r="M120" s="228">
        <f t="shared" si="110"/>
        <v>0</v>
      </c>
      <c r="N120" s="228">
        <f t="shared" si="110"/>
        <v>0</v>
      </c>
      <c r="O120" s="228">
        <f t="shared" si="110"/>
        <v>0</v>
      </c>
      <c r="P120" s="228">
        <f t="shared" si="110"/>
        <v>0</v>
      </c>
      <c r="Q120" s="228">
        <f t="shared" si="110"/>
        <v>0</v>
      </c>
      <c r="R120" s="228">
        <f t="shared" si="110"/>
        <v>0</v>
      </c>
      <c r="S120" s="228">
        <f t="shared" si="110"/>
        <v>0</v>
      </c>
      <c r="T120" s="228">
        <f t="shared" si="110"/>
        <v>0</v>
      </c>
      <c r="U120" s="228">
        <f t="shared" si="110"/>
        <v>0</v>
      </c>
      <c r="V120" s="228">
        <f t="shared" si="110"/>
        <v>0</v>
      </c>
      <c r="W120" s="228">
        <f t="shared" si="110"/>
        <v>0</v>
      </c>
      <c r="X120" s="228">
        <f t="shared" si="110"/>
        <v>0</v>
      </c>
      <c r="Y120" s="228">
        <f t="shared" si="110"/>
        <v>0</v>
      </c>
      <c r="Z120" s="228">
        <f t="shared" si="110"/>
        <v>0</v>
      </c>
      <c r="AA120" s="228">
        <f t="shared" si="110"/>
        <v>0</v>
      </c>
      <c r="AB120" s="228">
        <f t="shared" si="110"/>
        <v>0</v>
      </c>
      <c r="AC120" s="228">
        <f t="shared" si="110"/>
        <v>0</v>
      </c>
      <c r="AD120" s="228">
        <f t="shared" si="110"/>
        <v>0</v>
      </c>
      <c r="AE120" s="228">
        <f t="shared" si="110"/>
        <v>0</v>
      </c>
      <c r="AF120" s="228">
        <f t="shared" si="110"/>
        <v>0</v>
      </c>
      <c r="AG120" s="228">
        <f t="shared" si="110"/>
        <v>0</v>
      </c>
      <c r="AH120" s="228">
        <f t="shared" ref="AH120:BM120" si="111">+AH43-AH100-AH114+AH46-AH102</f>
        <v>0</v>
      </c>
      <c r="AI120" s="228">
        <f t="shared" si="111"/>
        <v>0</v>
      </c>
      <c r="AJ120" s="228">
        <f t="shared" si="111"/>
        <v>0</v>
      </c>
      <c r="AK120" s="228">
        <f t="shared" si="111"/>
        <v>0</v>
      </c>
      <c r="AL120" s="228">
        <f t="shared" si="111"/>
        <v>0</v>
      </c>
      <c r="AM120" s="228">
        <f t="shared" si="111"/>
        <v>0</v>
      </c>
      <c r="AN120" s="228">
        <f t="shared" si="111"/>
        <v>0</v>
      </c>
      <c r="AO120" s="228">
        <f t="shared" si="111"/>
        <v>0</v>
      </c>
      <c r="AP120" s="228">
        <f t="shared" si="111"/>
        <v>0</v>
      </c>
      <c r="AQ120" s="228">
        <f t="shared" si="111"/>
        <v>0</v>
      </c>
      <c r="AR120" s="228">
        <f t="shared" si="111"/>
        <v>0</v>
      </c>
      <c r="AS120" s="228">
        <f t="shared" si="111"/>
        <v>0</v>
      </c>
      <c r="AT120" s="228">
        <f t="shared" si="111"/>
        <v>0</v>
      </c>
      <c r="AU120" s="228">
        <f t="shared" si="111"/>
        <v>0</v>
      </c>
      <c r="AV120" s="228">
        <f t="shared" si="111"/>
        <v>0</v>
      </c>
      <c r="AW120" s="228">
        <f t="shared" si="111"/>
        <v>0</v>
      </c>
      <c r="AX120" s="228">
        <f t="shared" si="111"/>
        <v>0</v>
      </c>
      <c r="AY120" s="228">
        <f t="shared" si="111"/>
        <v>0</v>
      </c>
      <c r="AZ120" s="228">
        <f t="shared" si="111"/>
        <v>0</v>
      </c>
      <c r="BA120" s="228">
        <f t="shared" si="111"/>
        <v>0</v>
      </c>
      <c r="BB120" s="228">
        <f t="shared" si="111"/>
        <v>0</v>
      </c>
      <c r="BC120" s="228">
        <f t="shared" si="111"/>
        <v>0</v>
      </c>
      <c r="BD120" s="228">
        <f t="shared" si="111"/>
        <v>0</v>
      </c>
      <c r="BE120" s="228">
        <f t="shared" si="111"/>
        <v>0</v>
      </c>
      <c r="BF120" s="228">
        <f t="shared" si="111"/>
        <v>0</v>
      </c>
      <c r="BG120" s="228">
        <f t="shared" si="111"/>
        <v>0</v>
      </c>
      <c r="BH120" s="228">
        <f t="shared" si="111"/>
        <v>0</v>
      </c>
      <c r="BI120" s="228">
        <f t="shared" si="111"/>
        <v>0</v>
      </c>
      <c r="BJ120" s="228">
        <f t="shared" si="111"/>
        <v>0</v>
      </c>
      <c r="BK120" s="228">
        <f t="shared" si="111"/>
        <v>0</v>
      </c>
      <c r="BL120" s="228">
        <f t="shared" si="111"/>
        <v>0</v>
      </c>
      <c r="BM120" s="228">
        <f t="shared" si="111"/>
        <v>0</v>
      </c>
      <c r="BN120" s="228">
        <f t="shared" ref="BN120:CB120" si="112">+BN43-BN100-BN114+BN46-BN102</f>
        <v>0</v>
      </c>
      <c r="BO120" s="228">
        <f t="shared" si="112"/>
        <v>0</v>
      </c>
      <c r="BP120" s="228">
        <f t="shared" si="112"/>
        <v>0</v>
      </c>
      <c r="BQ120" s="228">
        <f t="shared" si="112"/>
        <v>0</v>
      </c>
      <c r="BR120" s="228">
        <f t="shared" si="112"/>
        <v>0</v>
      </c>
      <c r="BS120" s="228">
        <f t="shared" si="112"/>
        <v>0</v>
      </c>
      <c r="BT120" s="228">
        <f t="shared" si="112"/>
        <v>0</v>
      </c>
      <c r="BU120" s="228">
        <f t="shared" si="112"/>
        <v>0</v>
      </c>
      <c r="BV120" s="228">
        <f t="shared" si="112"/>
        <v>0</v>
      </c>
      <c r="BW120" s="228">
        <f t="shared" si="112"/>
        <v>0</v>
      </c>
      <c r="BX120" s="228">
        <f t="shared" si="112"/>
        <v>0</v>
      </c>
      <c r="BY120" s="228">
        <f t="shared" si="112"/>
        <v>0</v>
      </c>
      <c r="BZ120" s="228">
        <f t="shared" si="112"/>
        <v>0</v>
      </c>
      <c r="CA120" s="228">
        <f t="shared" si="112"/>
        <v>0</v>
      </c>
      <c r="CB120" s="228">
        <f t="shared" si="112"/>
        <v>0</v>
      </c>
      <c r="CD120" s="228">
        <f t="shared" ref="CD120:CI120" si="113">+CD43+CD46-CD100-CD114-CD102</f>
        <v>0</v>
      </c>
      <c r="CE120" s="228">
        <f t="shared" si="113"/>
        <v>0</v>
      </c>
      <c r="CF120" s="228">
        <f t="shared" si="113"/>
        <v>0</v>
      </c>
      <c r="CG120" s="228">
        <f t="shared" si="113"/>
        <v>0</v>
      </c>
      <c r="CH120" s="228">
        <f t="shared" si="113"/>
        <v>0</v>
      </c>
      <c r="CI120" s="228">
        <f t="shared" si="113"/>
        <v>0</v>
      </c>
    </row>
    <row r="121" spans="1:89" s="228" customFormat="1" ht="12.75" customHeight="1" x14ac:dyDescent="0.2">
      <c r="A121" s="781" t="s">
        <v>941</v>
      </c>
      <c r="B121" s="228">
        <f t="shared" ref="B121:B152" si="114">SUM(C121:CB121)</f>
        <v>0</v>
      </c>
      <c r="C121" s="228">
        <f>+C114-SOAws!C95</f>
        <v>0</v>
      </c>
      <c r="D121" s="228">
        <f>+D114-SOAws!D95</f>
        <v>0</v>
      </c>
      <c r="E121" s="228">
        <f>+E114-SOAws!E95</f>
        <v>0</v>
      </c>
      <c r="F121" s="228">
        <f>+F114-SOAws!F95</f>
        <v>0</v>
      </c>
      <c r="G121" s="228">
        <f>+G114-SOAws!G95</f>
        <v>0</v>
      </c>
      <c r="H121" s="228">
        <f>+H114-SOAws!H95</f>
        <v>0</v>
      </c>
      <c r="I121" s="228">
        <f>+I114-SOAws!I95</f>
        <v>0</v>
      </c>
      <c r="J121" s="228">
        <f>+J114-SOAws!J95</f>
        <v>0</v>
      </c>
      <c r="K121" s="228">
        <f>+K114-SOAws!K95</f>
        <v>0</v>
      </c>
      <c r="L121" s="228">
        <f>+L114-SOAws!L95</f>
        <v>0</v>
      </c>
      <c r="M121" s="228">
        <f>+M114-SOAws!M95</f>
        <v>0</v>
      </c>
      <c r="N121" s="228">
        <f>+N114-SOAws!N95</f>
        <v>0</v>
      </c>
      <c r="O121" s="228">
        <f>+O114-SOAws!O95</f>
        <v>0</v>
      </c>
      <c r="P121" s="228">
        <f>+P114-SOAws!P95</f>
        <v>0</v>
      </c>
      <c r="Q121" s="228">
        <f>+Q114-SOAws!Q95</f>
        <v>0</v>
      </c>
      <c r="R121" s="228">
        <f>+R114-SOAws!R95</f>
        <v>0</v>
      </c>
      <c r="S121" s="228">
        <f>+S114-SOAws!S95</f>
        <v>0</v>
      </c>
      <c r="T121" s="228">
        <f>+T114-SOAws!T95</f>
        <v>0</v>
      </c>
      <c r="U121" s="228">
        <f>+U114-SOAws!U95</f>
        <v>0</v>
      </c>
      <c r="V121" s="228">
        <f>+V114-SOAws!V95</f>
        <v>0</v>
      </c>
      <c r="W121" s="228">
        <f>+W114-SOAws!W95</f>
        <v>0</v>
      </c>
      <c r="X121" s="228">
        <f>+X114-SOAws!X95</f>
        <v>0</v>
      </c>
      <c r="Y121" s="228">
        <f>+Y114-SOAws!Y95</f>
        <v>0</v>
      </c>
      <c r="Z121" s="228">
        <f>+Z114-SOAws!Z95</f>
        <v>0</v>
      </c>
      <c r="AA121" s="228">
        <f>+AA114-SOAws!AA95</f>
        <v>0</v>
      </c>
      <c r="AB121" s="228">
        <f>+AB114-SOAws!AB95</f>
        <v>0</v>
      </c>
      <c r="AC121" s="228">
        <f>+AC114-SOAws!AC95</f>
        <v>0</v>
      </c>
      <c r="AD121" s="228">
        <f>+AD114-SOAws!AD95</f>
        <v>0</v>
      </c>
      <c r="AE121" s="228">
        <f>+AE114-SOAws!AE95</f>
        <v>0</v>
      </c>
      <c r="AF121" s="228">
        <f>+AF114-SOAws!AF95</f>
        <v>0</v>
      </c>
      <c r="AG121" s="228">
        <f>+AG114-SOAws!AG95</f>
        <v>0</v>
      </c>
      <c r="AH121" s="228">
        <f>+AH114-SOAws!AH95</f>
        <v>0</v>
      </c>
      <c r="AI121" s="228">
        <f>+AI114-SOAws!AI95</f>
        <v>0</v>
      </c>
      <c r="AJ121" s="228">
        <f>+AJ114-SOAws!AJ95</f>
        <v>0</v>
      </c>
      <c r="AK121" s="228">
        <f>+AK114-SOAws!AK95</f>
        <v>0</v>
      </c>
      <c r="AL121" s="228">
        <f>+AL114-SOAws!AL95</f>
        <v>0</v>
      </c>
      <c r="AM121" s="228">
        <f>+AM114-SOAws!AM95</f>
        <v>0</v>
      </c>
      <c r="AN121" s="228">
        <f>+AN114-SOAws!AN95</f>
        <v>0</v>
      </c>
      <c r="AO121" s="228">
        <f>+AO114-SOAws!AO95</f>
        <v>0</v>
      </c>
      <c r="AP121" s="228">
        <f>+AP114-SOAws!AP95</f>
        <v>0</v>
      </c>
      <c r="AQ121" s="228">
        <f>+AQ114-SOAws!AQ95</f>
        <v>0</v>
      </c>
      <c r="AR121" s="228">
        <f>+AR114-SOAws!AR95</f>
        <v>0</v>
      </c>
      <c r="AS121" s="228">
        <f>+AS114-SOAws!AS95</f>
        <v>0</v>
      </c>
      <c r="AT121" s="228">
        <f>+AT114-SOAws!AT95</f>
        <v>0</v>
      </c>
      <c r="AU121" s="228">
        <f>+AU114-SOAws!AU95</f>
        <v>0</v>
      </c>
      <c r="AV121" s="228">
        <f>+AV114-SOAws!AV95</f>
        <v>0</v>
      </c>
      <c r="AW121" s="228">
        <f>+AW114-SOAws!AW95</f>
        <v>0</v>
      </c>
      <c r="AX121" s="228">
        <f>+AX114-SOAws!AX95</f>
        <v>0</v>
      </c>
      <c r="AY121" s="228">
        <f>+AY114-SOAws!AY95</f>
        <v>0</v>
      </c>
      <c r="AZ121" s="228">
        <f>+AZ114-SOAws!AZ95</f>
        <v>0</v>
      </c>
      <c r="BA121" s="228">
        <f>+BA114-SOAws!BA95</f>
        <v>0</v>
      </c>
      <c r="BB121" s="228">
        <f>+BB114-SOAws!BB95</f>
        <v>0</v>
      </c>
      <c r="BC121" s="228">
        <f>+BC114-SOAws!BC95</f>
        <v>0</v>
      </c>
      <c r="BD121" s="228">
        <f>+BD114-SOAws!BD95</f>
        <v>0</v>
      </c>
      <c r="BE121" s="228">
        <f>+BE114-SOAws!BE95</f>
        <v>0</v>
      </c>
      <c r="BF121" s="228">
        <f>+BF114-SOAws!BF95</f>
        <v>0</v>
      </c>
      <c r="BG121" s="228">
        <f>+BG114-SOAws!BG95</f>
        <v>0</v>
      </c>
      <c r="BH121" s="228">
        <f>+BH114-SOAws!BH95</f>
        <v>0</v>
      </c>
      <c r="BI121" s="228">
        <f>+BI114-SOAws!BI95</f>
        <v>0</v>
      </c>
      <c r="BJ121" s="228">
        <f>+BJ114-SOAws!BJ95</f>
        <v>0</v>
      </c>
      <c r="BK121" s="228">
        <f>+BK114-SOAws!BK95</f>
        <v>0</v>
      </c>
      <c r="BL121" s="228">
        <f>+BL114-SOAws!BL95</f>
        <v>0</v>
      </c>
      <c r="BM121" s="228">
        <f>+BM114-SOAws!BM95</f>
        <v>0</v>
      </c>
      <c r="BN121" s="228">
        <f>+BN114-SOAws!BN95</f>
        <v>0</v>
      </c>
      <c r="BO121" s="228">
        <f>+BO114-SOAws!BO95</f>
        <v>0</v>
      </c>
      <c r="BP121" s="228">
        <f>+BP114-SOAws!BP95</f>
        <v>0</v>
      </c>
      <c r="BQ121" s="228">
        <f>+BQ114-SOAws!BQ95</f>
        <v>0</v>
      </c>
      <c r="BR121" s="228">
        <f>+BR114-SOAws!BR95</f>
        <v>0</v>
      </c>
      <c r="BS121" s="228">
        <f>+BS114-SOAws!BS95</f>
        <v>0</v>
      </c>
      <c r="BT121" s="228">
        <f>+BT114-SOAws!BT95</f>
        <v>0</v>
      </c>
      <c r="BU121" s="228">
        <f>+BU114-SOAws!BU95</f>
        <v>0</v>
      </c>
      <c r="BV121" s="228">
        <f>+BV114-SOAws!BV95</f>
        <v>0</v>
      </c>
      <c r="BW121" s="228">
        <f>+BW114-SOAws!BW95</f>
        <v>0</v>
      </c>
      <c r="BX121" s="228">
        <f>+BX114-SOAws!BX95</f>
        <v>0</v>
      </c>
      <c r="BY121" s="228">
        <f>+BY114-SOAws!BY95</f>
        <v>0</v>
      </c>
      <c r="BZ121" s="228">
        <f>+BZ114-SOAws!BZ95</f>
        <v>0</v>
      </c>
      <c r="CA121" s="228">
        <f>+CA114-SOAws!CA95</f>
        <v>0</v>
      </c>
      <c r="CB121" s="228">
        <f>+CB114-SOAws!CB95</f>
        <v>0</v>
      </c>
      <c r="CD121" s="228">
        <f>+CD118-SOAws!B163</f>
        <v>0</v>
      </c>
      <c r="CE121" s="228">
        <f>+CE118-SOAws!C163</f>
        <v>0</v>
      </c>
      <c r="CF121" s="228">
        <f>+CF118-SOAws!D163</f>
        <v>0</v>
      </c>
      <c r="CG121" s="228">
        <f>+CG118-SOAws!H163</f>
        <v>0</v>
      </c>
      <c r="CH121" s="228">
        <f>+CH118-SOAws!F163</f>
        <v>0</v>
      </c>
      <c r="CI121" s="228">
        <f>+CI118-SOAws!G163</f>
        <v>0</v>
      </c>
    </row>
    <row r="122" spans="1:89" s="228" customFormat="1" ht="12.75" customHeight="1" x14ac:dyDescent="0.2">
      <c r="A122" s="781" t="s">
        <v>737</v>
      </c>
      <c r="B122" s="228">
        <f t="shared" si="114"/>
        <v>0</v>
      </c>
      <c r="C122" s="228">
        <f>+C114-'recon-SONPws'!C60</f>
        <v>0</v>
      </c>
      <c r="D122" s="228">
        <f>+D114-'recon-SONPws'!D60</f>
        <v>0</v>
      </c>
      <c r="E122" s="228">
        <f>+E114-'recon-SONPws'!E60</f>
        <v>0</v>
      </c>
      <c r="F122" s="228">
        <f>+F114-'recon-SONPws'!F60</f>
        <v>0</v>
      </c>
      <c r="G122" s="228">
        <f>+G114-'recon-SONPws'!G60</f>
        <v>0</v>
      </c>
      <c r="H122" s="228">
        <f>+H114-'recon-SONPws'!H60</f>
        <v>0</v>
      </c>
      <c r="I122" s="228">
        <f>+I114-'recon-SONPws'!I60</f>
        <v>0</v>
      </c>
      <c r="J122" s="228">
        <f>+J114-'recon-SONPws'!J60</f>
        <v>0</v>
      </c>
      <c r="K122" s="228">
        <f>+K114-'recon-SONPws'!K60</f>
        <v>0</v>
      </c>
      <c r="L122" s="228">
        <f>+L114-'recon-SONPws'!L60</f>
        <v>0</v>
      </c>
      <c r="M122" s="228">
        <f>+M114-'recon-SONPws'!M60</f>
        <v>0</v>
      </c>
      <c r="N122" s="228">
        <f>+N114-'recon-SONPws'!N60</f>
        <v>0</v>
      </c>
      <c r="O122" s="228">
        <f>+O114-'recon-SONPws'!O60</f>
        <v>0</v>
      </c>
      <c r="P122" s="228">
        <f>+P114-'recon-SONPws'!P60</f>
        <v>0</v>
      </c>
      <c r="Q122" s="228">
        <f>+Q114-'recon-SONPws'!Q60</f>
        <v>0</v>
      </c>
      <c r="R122" s="228">
        <f>+R114-'recon-SONPws'!R60</f>
        <v>0</v>
      </c>
      <c r="S122" s="228">
        <f>+S114-'recon-SONPws'!S60</f>
        <v>0</v>
      </c>
      <c r="T122" s="228">
        <f>+T114-'recon-SONPws'!T60</f>
        <v>0</v>
      </c>
      <c r="U122" s="228">
        <f>+U114-'recon-SONPws'!U60</f>
        <v>0</v>
      </c>
      <c r="V122" s="228">
        <f>+V114-'recon-SONPws'!V60</f>
        <v>0</v>
      </c>
      <c r="W122" s="228">
        <f>+W114-'recon-SONPws'!W60</f>
        <v>0</v>
      </c>
      <c r="X122" s="228">
        <f>+X114-'recon-SONPws'!X60</f>
        <v>0</v>
      </c>
      <c r="Y122" s="228">
        <f>+Y114-'recon-SONPws'!Y60</f>
        <v>0</v>
      </c>
      <c r="Z122" s="228">
        <f>+Z114-'recon-SONPws'!Z60</f>
        <v>0</v>
      </c>
      <c r="AA122" s="228">
        <f>+AA114-'recon-SONPws'!AA60</f>
        <v>0</v>
      </c>
      <c r="AB122" s="228">
        <f>+AB114-'recon-SONPws'!AB60</f>
        <v>0</v>
      </c>
      <c r="AC122" s="228">
        <f>+AC114-'recon-SONPws'!AC60</f>
        <v>0</v>
      </c>
      <c r="AD122" s="228">
        <f>+AD114-'recon-SONPws'!AD60</f>
        <v>0</v>
      </c>
      <c r="AE122" s="228">
        <f>+AE114-'recon-SONPws'!AE60</f>
        <v>0</v>
      </c>
      <c r="AF122" s="228">
        <f>+AF114-'recon-SONPws'!AF60</f>
        <v>0</v>
      </c>
      <c r="AG122" s="228">
        <f>+AG114-'recon-SONPws'!AG60</f>
        <v>0</v>
      </c>
      <c r="AH122" s="228">
        <f>+AH114-'recon-SONPws'!AH60</f>
        <v>0</v>
      </c>
      <c r="AI122" s="228">
        <f>+AI114-'recon-SONPws'!AI60</f>
        <v>0</v>
      </c>
      <c r="AJ122" s="228">
        <f>+AJ114-'recon-SONPws'!AJ60</f>
        <v>0</v>
      </c>
      <c r="AK122" s="228">
        <f>+AK114-'recon-SONPws'!AK60</f>
        <v>0</v>
      </c>
      <c r="AL122" s="228">
        <f>+AL114-'recon-SONPws'!AL60</f>
        <v>0</v>
      </c>
      <c r="AM122" s="228">
        <f>+AM114-'recon-SONPws'!AM60</f>
        <v>0</v>
      </c>
      <c r="AN122" s="228">
        <f>+AN114-'recon-SONPws'!AN60</f>
        <v>0</v>
      </c>
      <c r="AO122" s="228">
        <f>+AO114-'recon-SONPws'!AO60</f>
        <v>0</v>
      </c>
      <c r="AP122" s="228">
        <f>+AP114-'recon-SONPws'!AP60</f>
        <v>0</v>
      </c>
      <c r="AQ122" s="228">
        <f>+AQ114-'recon-SONPws'!AQ60</f>
        <v>0</v>
      </c>
      <c r="AR122" s="228">
        <f>+AR114-'recon-SONPws'!AR60</f>
        <v>0</v>
      </c>
      <c r="AS122" s="228">
        <f>+AS114-'recon-SONPws'!AS60</f>
        <v>0</v>
      </c>
      <c r="AT122" s="228">
        <f>+AT114-'recon-SONPws'!AT60</f>
        <v>0</v>
      </c>
      <c r="AU122" s="228">
        <f>+AU114-'recon-SONPws'!AU60</f>
        <v>0</v>
      </c>
      <c r="AV122" s="228">
        <f>+AV114-'recon-SONPws'!AV60</f>
        <v>0</v>
      </c>
      <c r="AW122" s="228">
        <f>+AW114-'recon-SONPws'!AW60</f>
        <v>0</v>
      </c>
      <c r="AX122" s="228">
        <f>+AX114-'recon-SONPws'!AX60</f>
        <v>0</v>
      </c>
      <c r="AY122" s="228">
        <f>+AY114-'recon-SONPws'!AY60</f>
        <v>0</v>
      </c>
      <c r="AZ122" s="228">
        <f>+AZ114-'recon-SONPws'!AZ60</f>
        <v>0</v>
      </c>
      <c r="BA122" s="228">
        <f>+BA114-'recon-SONPws'!BA60</f>
        <v>0</v>
      </c>
      <c r="BB122" s="228">
        <f>+BB114-'recon-SONPws'!BB60</f>
        <v>0</v>
      </c>
      <c r="BC122" s="228">
        <f>+BC114-'recon-SONPws'!BC60</f>
        <v>0</v>
      </c>
      <c r="BD122" s="228">
        <f>+BD114-'recon-SONPws'!BD60</f>
        <v>0</v>
      </c>
      <c r="BE122" s="228">
        <f>+BE114-'recon-SONPws'!BE60</f>
        <v>0</v>
      </c>
      <c r="BF122" s="228">
        <f>+BF114-'recon-SONPws'!BF60</f>
        <v>0</v>
      </c>
      <c r="BG122" s="228">
        <f>+BG114-'recon-SONPws'!BG60</f>
        <v>0</v>
      </c>
      <c r="BH122" s="228">
        <f>+BH114-'recon-SONPws'!BH60</f>
        <v>0</v>
      </c>
      <c r="BI122" s="228">
        <f>+BI114-'recon-SONPws'!BI60</f>
        <v>0</v>
      </c>
      <c r="BJ122" s="228">
        <f>+BJ114-'recon-SONPws'!BJ60</f>
        <v>0</v>
      </c>
      <c r="BK122" s="228">
        <f>+BK114-'recon-SONPws'!BK60</f>
        <v>0</v>
      </c>
      <c r="BL122" s="228">
        <f>+BL114-'recon-SONPws'!BL60</f>
        <v>0</v>
      </c>
      <c r="BM122" s="228">
        <f>+BM114-'recon-SONPws'!BM60</f>
        <v>0</v>
      </c>
      <c r="BN122" s="228">
        <f>+BN114-'recon-SONPws'!BN60</f>
        <v>0</v>
      </c>
      <c r="BO122" s="228">
        <f>+BO114-'recon-SONPws'!BO60</f>
        <v>0</v>
      </c>
      <c r="BP122" s="228">
        <f>+BP114-'recon-SONPws'!BP60</f>
        <v>0</v>
      </c>
      <c r="BQ122" s="228">
        <f>+BQ114-'recon-SONPws'!BQ60</f>
        <v>0</v>
      </c>
      <c r="BR122" s="228">
        <f>+BR114-'recon-SONPws'!BR60</f>
        <v>0</v>
      </c>
      <c r="BS122" s="228">
        <f>+BS114-'recon-SONPws'!BS60</f>
        <v>0</v>
      </c>
      <c r="BT122" s="228">
        <f>+BT114-'recon-SONPws'!BT60</f>
        <v>0</v>
      </c>
      <c r="BU122" s="228">
        <f>+BU114-'recon-SONPws'!BU60</f>
        <v>0</v>
      </c>
      <c r="BV122" s="228">
        <f>+BV114-'recon-SONPws'!BV60</f>
        <v>0</v>
      </c>
      <c r="BW122" s="228">
        <f>+BW114-'recon-SONPws'!BW60</f>
        <v>0</v>
      </c>
      <c r="BX122" s="228">
        <f>+BX114-'recon-SONPws'!BX60</f>
        <v>0</v>
      </c>
      <c r="BY122" s="228">
        <f>+BY114-'recon-SONPws'!BY60</f>
        <v>0</v>
      </c>
      <c r="BZ122" s="228">
        <f>+BZ114-'recon-SONPws'!BZ60</f>
        <v>0</v>
      </c>
      <c r="CA122" s="228">
        <f>+CA114-'recon-SONPws'!CB60-'recon-SONPws'!CA17</f>
        <v>0</v>
      </c>
      <c r="CB122" s="228">
        <f>+CB114-'recon-SONPws'!CC60</f>
        <v>0</v>
      </c>
    </row>
    <row r="123" spans="1:89" s="228" customFormat="1" ht="12.75" customHeight="1" x14ac:dyDescent="0.2">
      <c r="A123" s="781" t="s">
        <v>1257</v>
      </c>
      <c r="B123" s="228">
        <f t="shared" si="114"/>
        <v>0</v>
      </c>
      <c r="C123" s="228">
        <f>+C6-BSGFws!C5</f>
        <v>0</v>
      </c>
      <c r="D123" s="228">
        <f>+D6-BSGFws!D5</f>
        <v>0</v>
      </c>
      <c r="E123" s="228">
        <f>+E6-BSGFws!E5</f>
        <v>0</v>
      </c>
      <c r="F123" s="228">
        <f>+F6-BSGFws!F5</f>
        <v>0</v>
      </c>
      <c r="G123" s="228">
        <f>+G6-BSGFws!G5</f>
        <v>0</v>
      </c>
      <c r="H123" s="228">
        <f>+H6-BSGFws!H5</f>
        <v>0</v>
      </c>
      <c r="I123" s="228">
        <f>+I6-BSGFws!I5</f>
        <v>0</v>
      </c>
      <c r="J123" s="228">
        <f>+J6-BSGFws!J5</f>
        <v>0</v>
      </c>
      <c r="K123" s="228">
        <f>+K6-BSGFws!K5</f>
        <v>0</v>
      </c>
      <c r="L123" s="228">
        <f>+L6-BSGFws!L5</f>
        <v>0</v>
      </c>
      <c r="M123" s="228">
        <f>+M6-BSGFws!M5</f>
        <v>0</v>
      </c>
      <c r="N123" s="228">
        <f>+N6-BSGFws!N5</f>
        <v>0</v>
      </c>
      <c r="O123" s="228">
        <f>+O6-BSGFws!O5</f>
        <v>0</v>
      </c>
      <c r="P123" s="228">
        <f>+P6-BSGFws!P5</f>
        <v>0</v>
      </c>
      <c r="Q123" s="228">
        <f>+Q6-BSGFws!Q5</f>
        <v>0</v>
      </c>
      <c r="R123" s="228">
        <f>+R6-BSGFws!R5</f>
        <v>0</v>
      </c>
      <c r="S123" s="228">
        <f>+S6-BSGFws!S5</f>
        <v>0</v>
      </c>
      <c r="T123" s="228">
        <f>+T6-BSGFws!T5</f>
        <v>0</v>
      </c>
      <c r="U123" s="228">
        <f>+U6-BSGFws!U5</f>
        <v>0</v>
      </c>
      <c r="V123" s="228">
        <f>+V6-BSGFws!V5</f>
        <v>0</v>
      </c>
      <c r="W123" s="228">
        <f>+W6-BSGFws!W5</f>
        <v>0</v>
      </c>
      <c r="X123" s="228">
        <f>+X6-BSGFws!X5</f>
        <v>0</v>
      </c>
      <c r="Y123" s="228">
        <f>+Y6-BSGFws!Y5</f>
        <v>0</v>
      </c>
      <c r="Z123" s="228">
        <f>+Z6-BSGFws!Z5</f>
        <v>0</v>
      </c>
      <c r="AA123" s="228">
        <f>+AA6-BSGFws!AA5</f>
        <v>0</v>
      </c>
      <c r="AB123" s="228">
        <f>+AB6-BSGFws!AB5</f>
        <v>0</v>
      </c>
      <c r="AC123" s="228">
        <f>+AC6-BSGFws!AC5</f>
        <v>0</v>
      </c>
      <c r="AD123" s="228">
        <f>+AD6-BSGFws!AD5</f>
        <v>0</v>
      </c>
      <c r="AE123" s="228">
        <f>+AE6-BSGFws!AE5</f>
        <v>0</v>
      </c>
      <c r="AF123" s="228">
        <f>+AF6-BSGFws!AF5</f>
        <v>0</v>
      </c>
      <c r="AG123" s="228">
        <f>+AG6-BSGFws!AG5</f>
        <v>0</v>
      </c>
      <c r="AH123" s="228">
        <f>+AH6-BSGFws!AH5</f>
        <v>0</v>
      </c>
      <c r="AI123" s="228">
        <f>+AI6-BSGFws!AI5</f>
        <v>0</v>
      </c>
      <c r="AJ123" s="228">
        <f>+AJ6-BSGFws!AJ5</f>
        <v>0</v>
      </c>
      <c r="AK123" s="228">
        <f>+AK6-BSGFws!AK5</f>
        <v>0</v>
      </c>
      <c r="AL123" s="228">
        <f>+AL6-BSGFws!AL5</f>
        <v>0</v>
      </c>
      <c r="AM123" s="228">
        <f>+AM6-BSGFws!AM5</f>
        <v>0</v>
      </c>
      <c r="AN123" s="228">
        <f>+AN6-BSGFws!AN5</f>
        <v>0</v>
      </c>
      <c r="AO123" s="228">
        <f>+AO6-BSGFws!AO5</f>
        <v>0</v>
      </c>
      <c r="AP123" s="228">
        <f>+AP6-BSGFws!AP5</f>
        <v>0</v>
      </c>
      <c r="AQ123" s="228">
        <f>+AQ6-BSGFws!AQ5</f>
        <v>0</v>
      </c>
      <c r="AR123" s="228">
        <f>+AR6-BSGFws!AR5</f>
        <v>0</v>
      </c>
      <c r="AS123" s="228">
        <f>+AS6-BSGFws!AS5</f>
        <v>0</v>
      </c>
      <c r="AT123" s="228">
        <f>+AT6-BSGFws!AT5</f>
        <v>0</v>
      </c>
      <c r="AU123" s="228">
        <f>+AU6-BSGFws!AU5</f>
        <v>0</v>
      </c>
      <c r="AV123" s="228">
        <f>+AV6-BSGFws!AV5</f>
        <v>0</v>
      </c>
      <c r="AW123" s="228">
        <f>+AW6-BSGFws!AW5</f>
        <v>0</v>
      </c>
      <c r="AX123" s="228">
        <f>+AX6-BSGFws!AX5</f>
        <v>0</v>
      </c>
      <c r="AY123" s="228">
        <f>+AY6-BSGFws!AY5</f>
        <v>0</v>
      </c>
      <c r="AZ123" s="228">
        <f>+AZ6-BSGFws!AZ5</f>
        <v>0</v>
      </c>
      <c r="BA123" s="228">
        <f>+BA6-BSGFws!BA5</f>
        <v>0</v>
      </c>
      <c r="BB123" s="228">
        <f>+BB6-BSGFws!BB5</f>
        <v>0</v>
      </c>
      <c r="BC123" s="228">
        <f>+BC6-BSGFws!BC5</f>
        <v>0</v>
      </c>
      <c r="BD123" s="228">
        <f>+BD6-BSGFws!BD5</f>
        <v>0</v>
      </c>
      <c r="BE123" s="228">
        <f>+BE6-BSGFws!BE5</f>
        <v>0</v>
      </c>
      <c r="BF123" s="228">
        <f>+BF6-BSGFws!BF5</f>
        <v>0</v>
      </c>
      <c r="BG123" s="228">
        <f>+BG6-BSGFws!BG5</f>
        <v>0</v>
      </c>
      <c r="BH123" s="228">
        <f>+BH6-BSGFws!BH5</f>
        <v>0</v>
      </c>
      <c r="BI123" s="228">
        <f>+BI6-BSGFws!BI5</f>
        <v>0</v>
      </c>
      <c r="BJ123" s="228">
        <f>+BJ6-BSGFws!BJ5</f>
        <v>0</v>
      </c>
      <c r="BK123" s="228">
        <f>+BK6-BSGFws!BK5</f>
        <v>0</v>
      </c>
      <c r="BL123" s="228">
        <f>+BL6-BSGFws!BL5</f>
        <v>0</v>
      </c>
      <c r="BM123" s="228">
        <f>+BM6-BSGFws!BM5</f>
        <v>0</v>
      </c>
      <c r="BN123" s="228">
        <f>+BN6-BSGFws!BN5</f>
        <v>0</v>
      </c>
      <c r="BO123" s="228">
        <f>+BO6-BSGFws!BO5</f>
        <v>0</v>
      </c>
      <c r="BP123" s="228">
        <f>+BP6-BSGFws!BP5</f>
        <v>0</v>
      </c>
      <c r="BQ123" s="228">
        <f>+BQ6-BSGFws!BQ5</f>
        <v>0</v>
      </c>
      <c r="BR123" s="228">
        <f>+BR6-BSGFws!BR5</f>
        <v>0</v>
      </c>
      <c r="BS123" s="228">
        <f>+BS6-BSGFws!BS5</f>
        <v>0</v>
      </c>
    </row>
    <row r="124" spans="1:89" s="228" customFormat="1" ht="12.75" customHeight="1" x14ac:dyDescent="0.2">
      <c r="A124" s="781" t="s">
        <v>1258</v>
      </c>
      <c r="B124" s="228">
        <f t="shared" si="114"/>
        <v>-125</v>
      </c>
      <c r="C124" s="228">
        <f>+C18+C36-BSGFws!C15</f>
        <v>0</v>
      </c>
      <c r="D124" s="228">
        <f>+D18+D36-BSGFws!D15</f>
        <v>0</v>
      </c>
      <c r="E124" s="228">
        <f>+E18+E36-BSGFws!E15</f>
        <v>0</v>
      </c>
      <c r="F124" s="228">
        <f>+F18+F36-BSGFws!F15</f>
        <v>0</v>
      </c>
      <c r="G124" s="228">
        <f>+G18+G36-BSGFws!G15</f>
        <v>0</v>
      </c>
      <c r="H124" s="228">
        <f>+H18+H36-BSGFws!H15</f>
        <v>0</v>
      </c>
      <c r="I124" s="228">
        <f>+I18+I36-BSGFws!I15</f>
        <v>0</v>
      </c>
      <c r="J124" s="228">
        <f>+J18+J36-BSGFws!J15</f>
        <v>0</v>
      </c>
      <c r="K124" s="228">
        <f>+K18+K36-BSGFws!K15</f>
        <v>0</v>
      </c>
      <c r="L124" s="228">
        <f>+L18+L36-BSGFws!L15</f>
        <v>0</v>
      </c>
      <c r="M124" s="228">
        <f>+M18+M36-BSGFws!M15</f>
        <v>0</v>
      </c>
      <c r="N124" s="228">
        <f>+N18+N36-BSGFws!N15</f>
        <v>0</v>
      </c>
      <c r="O124" s="228">
        <f>+O18+O36-BSGFws!O15</f>
        <v>0</v>
      </c>
      <c r="P124" s="228">
        <f>+P18-BSGFws!P15</f>
        <v>0</v>
      </c>
      <c r="Q124" s="228">
        <f>+Q18-BSGFws!Q15</f>
        <v>0</v>
      </c>
      <c r="R124" s="228">
        <f>+R18-BSGFws!R15</f>
        <v>0</v>
      </c>
      <c r="S124" s="228">
        <f>+S18-BSGFws!S15</f>
        <v>0</v>
      </c>
      <c r="T124" s="228">
        <f>+T18-BSGFws!T15</f>
        <v>0</v>
      </c>
      <c r="U124" s="228">
        <f>+U18-BSGFws!U15</f>
        <v>0</v>
      </c>
      <c r="V124" s="228">
        <f>+V18-BSGFws!V15</f>
        <v>0</v>
      </c>
      <c r="W124" s="228">
        <f>+W18-BSGFws!W15</f>
        <v>0</v>
      </c>
      <c r="X124" s="228">
        <f>+X18-BSGFws!X15</f>
        <v>0</v>
      </c>
      <c r="Y124" s="228">
        <f>+Y18-BSGFws!Y15</f>
        <v>0</v>
      </c>
      <c r="Z124" s="228">
        <f>+Z18-BSGFws!Z15</f>
        <v>0</v>
      </c>
      <c r="AA124" s="228">
        <f>+AA18-BSGFws!AA15</f>
        <v>0</v>
      </c>
      <c r="AB124" s="228">
        <f>+AB18-BSGFws!AB15</f>
        <v>0</v>
      </c>
      <c r="AC124" s="228">
        <f>+AC18-BSGFws!AC15</f>
        <v>0</v>
      </c>
      <c r="AD124" s="228">
        <f>+AD18-BSGFws!AD15</f>
        <v>0</v>
      </c>
      <c r="AE124" s="228">
        <f>+AE18-BSGFws!AE15</f>
        <v>0</v>
      </c>
      <c r="AF124" s="228">
        <f>+AF18-BSGFws!AF15</f>
        <v>0</v>
      </c>
      <c r="AG124" s="228">
        <f>+AG18-BSGFws!AG15</f>
        <v>0</v>
      </c>
      <c r="AH124" s="228">
        <f>+AH18-BSGFws!AH15</f>
        <v>0</v>
      </c>
      <c r="AI124" s="228">
        <f>+AI18-BSGFws!AI15</f>
        <v>0</v>
      </c>
      <c r="AJ124" s="228">
        <f>+AJ18-BSGFws!AJ15</f>
        <v>0</v>
      </c>
      <c r="AK124" s="228">
        <f>+AK18-BSGFws!AK15</f>
        <v>0</v>
      </c>
      <c r="AL124" s="228">
        <f>+AL18-BSGFws!AL15</f>
        <v>0</v>
      </c>
      <c r="AM124" s="228">
        <f>+AM18-BSGFws!AM15</f>
        <v>0</v>
      </c>
      <c r="AN124" s="228">
        <f>+AN18-BSGFws!AN15</f>
        <v>0</v>
      </c>
      <c r="AO124" s="228">
        <f>+AO18-BSGFws!AO15</f>
        <v>0</v>
      </c>
      <c r="AP124" s="228">
        <f>+AP18-BSGFws!AP15</f>
        <v>0</v>
      </c>
      <c r="AQ124" s="228">
        <f>+AQ18-BSGFws!AQ15</f>
        <v>0</v>
      </c>
      <c r="AR124" s="228">
        <f>+AR18-BSGFws!AR15</f>
        <v>0</v>
      </c>
      <c r="AS124" s="228">
        <f>+AS18-BSGFws!AS15</f>
        <v>0</v>
      </c>
      <c r="AT124" s="228">
        <f>+AT18-BSGFws!AT15</f>
        <v>0</v>
      </c>
      <c r="AU124" s="228">
        <f>+AU18-BSGFws!AU15</f>
        <v>0</v>
      </c>
      <c r="AV124" s="228">
        <f>+AV18-BSGFws!AV15</f>
        <v>0</v>
      </c>
      <c r="AW124" s="228">
        <f>+AW18-BSGFws!AW15</f>
        <v>0</v>
      </c>
      <c r="AX124" s="228">
        <f>+AX18-BSGFws!AX15</f>
        <v>0</v>
      </c>
      <c r="AY124" s="228">
        <f>+AY18-BSGFws!AY15</f>
        <v>0</v>
      </c>
      <c r="AZ124" s="228">
        <f>+AZ18-BSGFws!AZ15</f>
        <v>0</v>
      </c>
      <c r="BA124" s="228">
        <f>+BA18-BSGFws!BA15</f>
        <v>0</v>
      </c>
      <c r="BB124" s="228">
        <f>+BB18-BSGFws!BB15</f>
        <v>0</v>
      </c>
      <c r="BC124" s="228">
        <f>+BC18-BSGFws!BC15</f>
        <v>0</v>
      </c>
      <c r="BD124" s="228">
        <f>+BD18-BSGFws!BD15</f>
        <v>0</v>
      </c>
      <c r="BE124" s="228">
        <f>+BE18-BSGFws!BE15</f>
        <v>0</v>
      </c>
      <c r="BF124" s="228">
        <f>+BF18-BSGFws!BF15</f>
        <v>0</v>
      </c>
      <c r="BG124" s="228">
        <f>+BG18-BSGFws!BG15</f>
        <v>0</v>
      </c>
      <c r="BH124" s="228">
        <f>+BH18-BSGFws!BH15</f>
        <v>0</v>
      </c>
      <c r="BI124" s="228">
        <f>+BI18-BSGFws!BI15</f>
        <v>0</v>
      </c>
      <c r="BJ124" s="228">
        <f>+BJ18-BSGFws!BJ15+BJ36</f>
        <v>0</v>
      </c>
      <c r="BK124" s="228">
        <f>+BK18-BSGFws!BK15</f>
        <v>0</v>
      </c>
      <c r="BL124" s="228">
        <f>+BL18-BSGFws!BL15</f>
        <v>0</v>
      </c>
      <c r="BM124" s="228">
        <f>+BM18-BSGFws!BM15</f>
        <v>-125</v>
      </c>
      <c r="BN124" s="228">
        <f>+BN18-BSGFws!BN15</f>
        <v>0</v>
      </c>
      <c r="BO124" s="228">
        <f>+BO18-BSGFws!BO15</f>
        <v>0</v>
      </c>
      <c r="BP124" s="228">
        <f>+BP18-BSGFws!BP15</f>
        <v>0</v>
      </c>
      <c r="BQ124" s="228">
        <f>+BQ18-BSGFws!BQ15</f>
        <v>0</v>
      </c>
      <c r="BR124" s="228">
        <f>+BR18-BSGFws!BR15</f>
        <v>0</v>
      </c>
      <c r="BS124" s="228">
        <f>+BS18-BSGFws!BS15</f>
        <v>0</v>
      </c>
    </row>
    <row r="125" spans="1:89" s="228" customFormat="1" ht="12.75" customHeight="1" x14ac:dyDescent="0.2">
      <c r="A125" s="781" t="s">
        <v>1071</v>
      </c>
      <c r="B125" s="228">
        <f t="shared" si="114"/>
        <v>0</v>
      </c>
      <c r="C125" s="228">
        <f>SUM(D125:CC125)</f>
        <v>0</v>
      </c>
      <c r="D125" s="228">
        <f>SUM(F125:CD125)</f>
        <v>0</v>
      </c>
      <c r="E125" s="228">
        <f>SUM(G125:CE125)</f>
        <v>0</v>
      </c>
      <c r="F125" s="228">
        <f t="shared" ref="F125:AC125" si="115">SUM(G125:CF125)</f>
        <v>0</v>
      </c>
      <c r="G125" s="228">
        <f t="shared" si="115"/>
        <v>0</v>
      </c>
      <c r="H125" s="228">
        <f t="shared" si="115"/>
        <v>0</v>
      </c>
      <c r="I125" s="228">
        <f t="shared" si="115"/>
        <v>0</v>
      </c>
      <c r="J125" s="228">
        <f t="shared" si="115"/>
        <v>0</v>
      </c>
      <c r="K125" s="228">
        <f t="shared" si="115"/>
        <v>0</v>
      </c>
      <c r="L125" s="228">
        <f t="shared" si="115"/>
        <v>0</v>
      </c>
      <c r="M125" s="228">
        <f t="shared" si="115"/>
        <v>0</v>
      </c>
      <c r="N125" s="228">
        <f t="shared" si="115"/>
        <v>0</v>
      </c>
      <c r="O125" s="228">
        <f t="shared" si="115"/>
        <v>0</v>
      </c>
      <c r="P125" s="228">
        <f t="shared" si="115"/>
        <v>0</v>
      </c>
      <c r="Q125" s="228">
        <f t="shared" si="115"/>
        <v>0</v>
      </c>
      <c r="R125" s="228">
        <f t="shared" si="115"/>
        <v>0</v>
      </c>
      <c r="S125" s="228">
        <f t="shared" si="115"/>
        <v>0</v>
      </c>
      <c r="T125" s="228">
        <f t="shared" si="115"/>
        <v>0</v>
      </c>
      <c r="U125" s="228">
        <f t="shared" si="115"/>
        <v>0</v>
      </c>
      <c r="V125" s="228">
        <f t="shared" si="115"/>
        <v>0</v>
      </c>
      <c r="W125" s="228">
        <f t="shared" si="115"/>
        <v>0</v>
      </c>
      <c r="X125" s="228">
        <f t="shared" si="115"/>
        <v>0</v>
      </c>
      <c r="Y125" s="228">
        <f t="shared" si="115"/>
        <v>0</v>
      </c>
      <c r="Z125" s="228">
        <f t="shared" si="115"/>
        <v>0</v>
      </c>
      <c r="AA125" s="228">
        <f t="shared" si="115"/>
        <v>0</v>
      </c>
      <c r="AB125" s="228">
        <f t="shared" si="115"/>
        <v>0</v>
      </c>
      <c r="AC125" s="228">
        <f t="shared" si="115"/>
        <v>0</v>
      </c>
      <c r="AD125" s="228">
        <f>SUM(AF125:DD125)</f>
        <v>0</v>
      </c>
      <c r="AE125" s="228">
        <f>SUM(AG125:DE125)</f>
        <v>0</v>
      </c>
      <c r="AF125" s="228">
        <f t="shared" ref="AF125" si="116">SUM(AG125:DE125)</f>
        <v>0</v>
      </c>
      <c r="AG125" s="228">
        <f>SUM(AH125:DG125)</f>
        <v>0</v>
      </c>
      <c r="AH125" s="228">
        <f>SUM(AI125:DH125)</f>
        <v>0</v>
      </c>
      <c r="AI125" s="228">
        <f>SUM(AJ125:DI125)</f>
        <v>0</v>
      </c>
      <c r="AJ125" s="228">
        <f>SUM(AR125:DJ125)</f>
        <v>0</v>
      </c>
      <c r="AK125" s="228">
        <f>SUM(AS125:DK125)</f>
        <v>0</v>
      </c>
      <c r="AL125" s="228">
        <f>SUM(AT125:DL125)</f>
        <v>0</v>
      </c>
      <c r="AM125" s="228">
        <f t="shared" ref="AM125:AO125" si="117">SUM(AU125:DM125)</f>
        <v>0</v>
      </c>
      <c r="AN125" s="228">
        <f t="shared" si="117"/>
        <v>0</v>
      </c>
      <c r="AO125" s="228">
        <f t="shared" si="117"/>
        <v>0</v>
      </c>
      <c r="AP125" s="228">
        <f t="shared" ref="AP125" si="118">SUM(AX125:DP125)</f>
        <v>0</v>
      </c>
      <c r="AQ125" s="228">
        <f t="shared" ref="AQ125" si="119">SUM(AY125:DQ125)</f>
        <v>0</v>
      </c>
      <c r="AR125" s="228">
        <f>SUM(AS125:DK125)</f>
        <v>0</v>
      </c>
      <c r="AS125" s="228">
        <f>SUM(AT125:DM125)</f>
        <v>0</v>
      </c>
      <c r="AT125" s="228">
        <f>SUM(AU125:DN125)</f>
        <v>0</v>
      </c>
      <c r="AU125" s="228">
        <f t="shared" ref="AU125:BA125" si="120">SUM(AV125:DP125)</f>
        <v>0</v>
      </c>
      <c r="AV125" s="228">
        <f t="shared" si="120"/>
        <v>0</v>
      </c>
      <c r="AW125" s="228">
        <f t="shared" si="120"/>
        <v>0</v>
      </c>
      <c r="AX125" s="228">
        <f t="shared" si="120"/>
        <v>0</v>
      </c>
      <c r="AY125" s="228">
        <f t="shared" si="120"/>
        <v>0</v>
      </c>
      <c r="AZ125" s="228">
        <f t="shared" si="120"/>
        <v>0</v>
      </c>
      <c r="BA125" s="228">
        <f t="shared" si="120"/>
        <v>0</v>
      </c>
      <c r="BB125" s="228">
        <f>SUM(BD125:DW125)</f>
        <v>0</v>
      </c>
      <c r="BC125" s="228">
        <f>SUM(BE125:DX125)</f>
        <v>0</v>
      </c>
      <c r="BD125" s="228">
        <f t="shared" ref="BD125:BQ125" si="121">SUM(BE125:DX125)</f>
        <v>0</v>
      </c>
      <c r="BE125" s="228">
        <f t="shared" si="121"/>
        <v>0</v>
      </c>
      <c r="BF125" s="228">
        <f t="shared" si="121"/>
        <v>0</v>
      </c>
      <c r="BG125" s="228">
        <f t="shared" si="121"/>
        <v>0</v>
      </c>
      <c r="BH125" s="228">
        <f t="shared" si="121"/>
        <v>0</v>
      </c>
      <c r="BI125" s="228">
        <f t="shared" si="121"/>
        <v>0</v>
      </c>
      <c r="BJ125" s="228">
        <f t="shared" si="121"/>
        <v>0</v>
      </c>
      <c r="BK125" s="228">
        <f t="shared" si="121"/>
        <v>0</v>
      </c>
      <c r="BL125" s="228">
        <f t="shared" si="121"/>
        <v>0</v>
      </c>
      <c r="BM125" s="228">
        <f t="shared" si="121"/>
        <v>0</v>
      </c>
      <c r="BN125" s="228">
        <f t="shared" si="121"/>
        <v>0</v>
      </c>
      <c r="BO125" s="228">
        <f t="shared" si="121"/>
        <v>0</v>
      </c>
      <c r="BP125" s="228">
        <f t="shared" si="121"/>
        <v>0</v>
      </c>
      <c r="BQ125" s="228">
        <f t="shared" si="121"/>
        <v>0</v>
      </c>
      <c r="BR125" s="228">
        <f>BR11-BSGFws!BR11</f>
        <v>0</v>
      </c>
      <c r="BS125" s="228">
        <f>BS11-BSGFws!BS11</f>
        <v>0</v>
      </c>
      <c r="BZ125" s="228">
        <f>BZ11-BSGFws!CA11</f>
        <v>0</v>
      </c>
      <c r="CA125" s="228">
        <f>CA11-BSGFws!CB11</f>
        <v>0</v>
      </c>
      <c r="CB125" s="228">
        <f>CB11-BSGFws!CC11</f>
        <v>0</v>
      </c>
    </row>
    <row r="126" spans="1:89" s="228" customFormat="1" ht="12.75" customHeight="1" x14ac:dyDescent="0.2">
      <c r="A126" s="781" t="s">
        <v>1072</v>
      </c>
      <c r="B126" s="228">
        <f t="shared" si="114"/>
        <v>0</v>
      </c>
      <c r="C126" s="228">
        <f>C24-BSGFws!C21</f>
        <v>0</v>
      </c>
      <c r="D126" s="228">
        <f>D24-BSGFws!D21</f>
        <v>0</v>
      </c>
      <c r="E126" s="228">
        <f>E24-BSGFws!E21</f>
        <v>0</v>
      </c>
      <c r="F126" s="228">
        <f>F24-BSGFws!F21</f>
        <v>0</v>
      </c>
      <c r="G126" s="228">
        <f>G24-BSGFws!G21</f>
        <v>0</v>
      </c>
      <c r="H126" s="228">
        <f>H24-BSGFws!H21</f>
        <v>0</v>
      </c>
      <c r="I126" s="228">
        <f>I24-BSGFws!I21</f>
        <v>0</v>
      </c>
      <c r="J126" s="228">
        <f>J24-BSGFws!J21</f>
        <v>0</v>
      </c>
      <c r="K126" s="228">
        <f>K24-BSGFws!K21</f>
        <v>0</v>
      </c>
      <c r="L126" s="228">
        <f>L24-BSGFws!L21</f>
        <v>0</v>
      </c>
      <c r="M126" s="228">
        <f>M24-BSGFws!M21</f>
        <v>0</v>
      </c>
      <c r="N126" s="228">
        <f>N24-BSGFws!N21</f>
        <v>0</v>
      </c>
      <c r="O126" s="228">
        <f>O24-BSGFws!O21</f>
        <v>0</v>
      </c>
      <c r="P126" s="228">
        <f>P24-BSGFws!P21</f>
        <v>0</v>
      </c>
      <c r="Q126" s="228">
        <f>Q24-BSGFws!Q21</f>
        <v>0</v>
      </c>
      <c r="R126" s="228">
        <f>R24-BSGFws!R21</f>
        <v>0</v>
      </c>
      <c r="S126" s="228">
        <f>S24-BSGFws!S21</f>
        <v>0</v>
      </c>
      <c r="T126" s="228">
        <f>T24-BSGFws!T21</f>
        <v>0</v>
      </c>
      <c r="U126" s="228">
        <f>U24-BSGFws!U21</f>
        <v>0</v>
      </c>
      <c r="V126" s="228">
        <f>V24-BSGFws!V21</f>
        <v>0</v>
      </c>
      <c r="W126" s="228">
        <f>W24-BSGFws!W21</f>
        <v>0</v>
      </c>
      <c r="X126" s="228">
        <f>X24-BSGFws!X21</f>
        <v>0</v>
      </c>
      <c r="Y126" s="228">
        <f>Y24-BSGFws!Y21</f>
        <v>0</v>
      </c>
      <c r="Z126" s="228">
        <f>Z24-BSGFws!Z21</f>
        <v>0</v>
      </c>
      <c r="AA126" s="228">
        <f>AA24-BSGFws!AA21</f>
        <v>0</v>
      </c>
      <c r="AB126" s="228">
        <f>AB24-BSGFws!AB21</f>
        <v>0</v>
      </c>
      <c r="AC126" s="228">
        <f>AC24-BSGFws!AC21</f>
        <v>0</v>
      </c>
      <c r="AD126" s="228">
        <f>AD24-BSGFws!AD21</f>
        <v>0</v>
      </c>
      <c r="AE126" s="228">
        <f>AE24-BSGFws!AE21</f>
        <v>0</v>
      </c>
      <c r="AF126" s="228">
        <f>AF24-BSGFws!AF21</f>
        <v>0</v>
      </c>
      <c r="AG126" s="228">
        <f>AG24-BSGFws!AG21</f>
        <v>0</v>
      </c>
      <c r="AH126" s="228">
        <f>AH24-BSGFws!AH21</f>
        <v>0</v>
      </c>
      <c r="AI126" s="228">
        <f>AI24-BSGFws!AI21</f>
        <v>0</v>
      </c>
      <c r="AJ126" s="228">
        <f>AJ24-BSGFws!AJ21</f>
        <v>0</v>
      </c>
      <c r="AK126" s="228">
        <f>AK24-BSGFws!AK21</f>
        <v>0</v>
      </c>
      <c r="AL126" s="228">
        <f>AL24-BSGFws!AL21</f>
        <v>0</v>
      </c>
      <c r="AM126" s="228">
        <f>AM24-BSGFws!AM21</f>
        <v>0</v>
      </c>
      <c r="AN126" s="228">
        <f>AN24-BSGFws!AN21</f>
        <v>0</v>
      </c>
      <c r="AO126" s="228">
        <f>AO24-BSGFws!AO21</f>
        <v>0</v>
      </c>
      <c r="AP126" s="228">
        <f>AP24-BSGFws!AP21</f>
        <v>0</v>
      </c>
      <c r="AQ126" s="228">
        <f>AQ24-BSGFws!AQ21</f>
        <v>0</v>
      </c>
      <c r="AR126" s="228">
        <f>AR24-BSGFws!AR21</f>
        <v>0</v>
      </c>
      <c r="AS126" s="228">
        <f>AS24-BSGFws!AS21</f>
        <v>0</v>
      </c>
      <c r="AT126" s="228">
        <f>AT24-BSGFws!AT21</f>
        <v>0</v>
      </c>
      <c r="AU126" s="228">
        <f>AU24-BSGFws!AU21</f>
        <v>0</v>
      </c>
      <c r="AV126" s="228">
        <f>AV24-BSGFws!AV21</f>
        <v>0</v>
      </c>
      <c r="AW126" s="228">
        <f>AW24-BSGFws!AW21</f>
        <v>0</v>
      </c>
      <c r="AX126" s="228">
        <f>AX24-BSGFws!AX21</f>
        <v>0</v>
      </c>
      <c r="AY126" s="228">
        <f>AY24-BSGFws!AY21</f>
        <v>0</v>
      </c>
      <c r="AZ126" s="228">
        <f>AZ24-BSGFws!AZ21</f>
        <v>0</v>
      </c>
      <c r="BA126" s="228">
        <f>BA24-BSGFws!BA21</f>
        <v>0</v>
      </c>
      <c r="BB126" s="228">
        <f>BB24-BSGFws!BB21</f>
        <v>0</v>
      </c>
      <c r="BC126" s="228">
        <f>BC24-BSGFws!BC21</f>
        <v>0</v>
      </c>
      <c r="BD126" s="228">
        <f>BD24-BSGFws!BD21</f>
        <v>0</v>
      </c>
      <c r="BE126" s="228">
        <f>BE24-BSGFws!BE21</f>
        <v>0</v>
      </c>
      <c r="BF126" s="228">
        <f>BF24-BSGFws!BF21</f>
        <v>0</v>
      </c>
      <c r="BG126" s="228">
        <f>BG24-BSGFws!BG21</f>
        <v>0</v>
      </c>
      <c r="BH126" s="228">
        <f>BH24-BSGFws!BH21</f>
        <v>0</v>
      </c>
      <c r="BI126" s="228">
        <f>BI24-BSGFws!BI21</f>
        <v>0</v>
      </c>
      <c r="BJ126" s="228">
        <f>BJ24-BSGFws!BJ21</f>
        <v>0</v>
      </c>
      <c r="BK126" s="228">
        <f>BK24-BSGFws!BK21</f>
        <v>0</v>
      </c>
      <c r="BL126" s="228">
        <f>BL24-BSGFws!BL21</f>
        <v>0</v>
      </c>
      <c r="BM126" s="228">
        <f>BM24-BSGFws!BM21</f>
        <v>0</v>
      </c>
      <c r="BN126" s="228">
        <f>BN24-BSGFws!BN21</f>
        <v>0</v>
      </c>
      <c r="BO126" s="228">
        <f>BO24-BSGFws!BO21</f>
        <v>0</v>
      </c>
      <c r="BP126" s="228">
        <f>BP24-BSGFws!BP21</f>
        <v>0</v>
      </c>
      <c r="BQ126" s="228">
        <f>BQ24-BSGFws!BQ21</f>
        <v>0</v>
      </c>
      <c r="BR126" s="228">
        <f>BR24-BSGFws!BR21</f>
        <v>0</v>
      </c>
      <c r="BS126" s="228">
        <f>BS24-BSGFws!BS21</f>
        <v>0</v>
      </c>
      <c r="BZ126" s="228">
        <f>BZ24-BSGFws!CA21</f>
        <v>0</v>
      </c>
      <c r="CA126" s="228">
        <f>CA24-BSGFws!CB21</f>
        <v>0</v>
      </c>
      <c r="CB126" s="228">
        <f>CB24-BSGFws!CC21</f>
        <v>0</v>
      </c>
    </row>
    <row r="127" spans="1:89" s="228" customFormat="1" ht="12.75" customHeight="1" x14ac:dyDescent="0.2">
      <c r="A127" s="781" t="s">
        <v>674</v>
      </c>
      <c r="B127" s="228">
        <f t="shared" si="114"/>
        <v>0</v>
      </c>
      <c r="C127" s="228">
        <f>+C50-BSGFws!C28-BSGFws!C29-BSGFws!C30</f>
        <v>0</v>
      </c>
      <c r="D127" s="228">
        <f>+D50-BSGFws!D28-BSGFws!D29-BSGFws!D30</f>
        <v>0</v>
      </c>
      <c r="E127" s="228">
        <f>+E50-BSGFws!E28-BSGFws!E29-BSGFws!E30</f>
        <v>0</v>
      </c>
      <c r="F127" s="228">
        <f>+F50-BSGFws!F28-BSGFws!F29-BSGFws!F30</f>
        <v>0</v>
      </c>
      <c r="G127" s="228">
        <f>+G50-BSGFws!G28-BSGFws!G29-BSGFws!G30</f>
        <v>0</v>
      </c>
      <c r="H127" s="228">
        <f>+H50-BSGFws!H28-BSGFws!H29-BSGFws!H30</f>
        <v>0</v>
      </c>
      <c r="I127" s="228">
        <f>+I50-BSGFws!I28-BSGFws!I29-BSGFws!I30</f>
        <v>0</v>
      </c>
      <c r="J127" s="228">
        <f>+J50-BSGFws!J28-BSGFws!J29-BSGFws!J30</f>
        <v>0</v>
      </c>
      <c r="K127" s="228">
        <f>+K50-BSGFws!K28-BSGFws!K29-BSGFws!K30</f>
        <v>0</v>
      </c>
      <c r="L127" s="228">
        <f>+L50-BSGFws!L28-BSGFws!L29-BSGFws!L30</f>
        <v>0</v>
      </c>
      <c r="M127" s="228">
        <f>+M50-BSGFws!M28-BSGFws!M29-BSGFws!M30</f>
        <v>0</v>
      </c>
      <c r="N127" s="228">
        <f>+N50-BSGFws!N28-BSGFws!N29-BSGFws!N30</f>
        <v>0</v>
      </c>
      <c r="O127" s="228">
        <f>+O50-BSGFws!O28-BSGFws!O29-BSGFws!O30</f>
        <v>0</v>
      </c>
      <c r="P127" s="228">
        <f>+P50-BSGFws!P28-BSGFws!P29-BSGFws!P30</f>
        <v>0</v>
      </c>
      <c r="Q127" s="228">
        <f>+Q50-BSGFws!Q28-BSGFws!Q29-BSGFws!Q30</f>
        <v>0</v>
      </c>
      <c r="R127" s="228">
        <f>+R50-BSGFws!R28-BSGFws!R29-BSGFws!R30</f>
        <v>0</v>
      </c>
      <c r="S127" s="228">
        <f>+S50-BSGFws!S28-BSGFws!S29-BSGFws!S30</f>
        <v>0</v>
      </c>
      <c r="T127" s="228">
        <f>+T50-BSGFws!T28-BSGFws!T29-BSGFws!T30</f>
        <v>0</v>
      </c>
      <c r="U127" s="228">
        <f>+U50-BSGFws!U28-BSGFws!U29-BSGFws!U30</f>
        <v>0</v>
      </c>
      <c r="V127" s="228">
        <f>+V50-BSGFws!V28-BSGFws!V29-BSGFws!V30</f>
        <v>0</v>
      </c>
      <c r="W127" s="228">
        <f>+W50-BSGFws!W28-BSGFws!W29-BSGFws!W30</f>
        <v>0</v>
      </c>
      <c r="X127" s="228">
        <f>+X50-BSGFws!X28-BSGFws!X29-BSGFws!X30</f>
        <v>0</v>
      </c>
      <c r="Y127" s="228">
        <f>+Y50-BSGFws!Y28-BSGFws!Y29-BSGFws!Y30</f>
        <v>0</v>
      </c>
      <c r="Z127" s="228">
        <f>+Z50-BSGFws!Z28-BSGFws!Z29-BSGFws!Z30</f>
        <v>0</v>
      </c>
      <c r="AA127" s="228">
        <f>+AA50-BSGFws!AA28-BSGFws!AA29-BSGFws!AA30</f>
        <v>0</v>
      </c>
      <c r="AB127" s="228">
        <f>+AB50-BSGFws!AB28-BSGFws!AB29-BSGFws!AB30</f>
        <v>0</v>
      </c>
      <c r="AC127" s="228">
        <f>+AC50-BSGFws!AC28-BSGFws!AC29-BSGFws!AC30</f>
        <v>0</v>
      </c>
      <c r="AD127" s="228">
        <f>+AD50-BSGFws!AD28-BSGFws!AD29-BSGFws!AD30</f>
        <v>0</v>
      </c>
      <c r="AE127" s="228">
        <f>+AE50-BSGFws!AE28-BSGFws!AE29-BSGFws!AE30</f>
        <v>0</v>
      </c>
      <c r="AF127" s="228">
        <f>+AF50-BSGFws!AF28-BSGFws!AF29-BSGFws!AF30</f>
        <v>0</v>
      </c>
      <c r="AG127" s="228">
        <f>+AG50-BSGFws!AG28-BSGFws!AG29-BSGFws!AG30</f>
        <v>0</v>
      </c>
      <c r="AH127" s="228">
        <f>+AH50-BSGFws!AH28-BSGFws!AH29-BSGFws!AH30</f>
        <v>0</v>
      </c>
      <c r="AI127" s="228">
        <f>+AI50-BSGFws!AI28-BSGFws!AI29-BSGFws!AI30</f>
        <v>0</v>
      </c>
      <c r="AJ127" s="228">
        <f>+AJ50-BSGFws!AJ28-BSGFws!AJ29-BSGFws!AJ30</f>
        <v>0</v>
      </c>
      <c r="AK127" s="228">
        <f>+AK50-BSGFws!AK28-BSGFws!AK29-BSGFws!AK30</f>
        <v>0</v>
      </c>
      <c r="AL127" s="228">
        <f>+AL50-BSGFws!AL28-BSGFws!AL29-BSGFws!AL30</f>
        <v>0</v>
      </c>
      <c r="AM127" s="228">
        <f>+AM50-BSGFws!AM28-BSGFws!AM29-BSGFws!AM30</f>
        <v>0</v>
      </c>
      <c r="AN127" s="228">
        <f>+AN50-BSGFws!AN28-BSGFws!AN29-BSGFws!AN30</f>
        <v>0</v>
      </c>
      <c r="AO127" s="228">
        <f>+AO50-BSGFws!AO28-BSGFws!AO29-BSGFws!AO30</f>
        <v>0</v>
      </c>
      <c r="AP127" s="228">
        <f>+AP50-BSGFws!AP28-BSGFws!AP29-BSGFws!AP30</f>
        <v>0</v>
      </c>
      <c r="AQ127" s="228">
        <f>+AQ50-BSGFws!AQ28-BSGFws!AQ29-BSGFws!AQ30</f>
        <v>0</v>
      </c>
      <c r="AR127" s="228">
        <f>+AR50-BSGFws!AR28-BSGFws!AR29-BSGFws!AR30</f>
        <v>0</v>
      </c>
      <c r="AS127" s="228">
        <f>+AS50-BSGFws!AS28-BSGFws!AS29-BSGFws!AS30</f>
        <v>0</v>
      </c>
      <c r="AT127" s="228">
        <f>+AT50-BSGFws!AT28-BSGFws!AT29-BSGFws!AT30</f>
        <v>0</v>
      </c>
      <c r="AU127" s="228">
        <f>+AU50-BSGFws!AU28-BSGFws!AU29-BSGFws!AU30</f>
        <v>0</v>
      </c>
      <c r="AV127" s="228">
        <f>+AV50-BSGFws!AV28-BSGFws!AV29-BSGFws!AV30</f>
        <v>0</v>
      </c>
      <c r="AW127" s="228">
        <f>+AW50-BSGFws!AW28-BSGFws!AW29-BSGFws!AW30</f>
        <v>0</v>
      </c>
      <c r="AX127" s="228">
        <f>+AX50-BSGFws!AX28-BSGFws!AX29-BSGFws!AX30</f>
        <v>0</v>
      </c>
      <c r="AY127" s="228">
        <f>+AY50-BSGFws!AY28-BSGFws!AY29-BSGFws!AY30</f>
        <v>0</v>
      </c>
      <c r="AZ127" s="228">
        <f>+AZ50-BSGFws!AZ28-BSGFws!AZ29-BSGFws!AZ30</f>
        <v>0</v>
      </c>
      <c r="BA127" s="228">
        <f>+BA50-BSGFws!BA28-BSGFws!BA29-BSGFws!BA30</f>
        <v>0</v>
      </c>
      <c r="BB127" s="228">
        <f>+BB50-BSGFws!BB28-BSGFws!BB29-BSGFws!BB30</f>
        <v>0</v>
      </c>
      <c r="BC127" s="228">
        <f>+BC50-BSGFws!BC28-BSGFws!BC29-BSGFws!BC30</f>
        <v>0</v>
      </c>
      <c r="BD127" s="228">
        <f>+BD50-BSGFws!BD28-BSGFws!BD29-BSGFws!BD30</f>
        <v>0</v>
      </c>
      <c r="BE127" s="228">
        <f>+BE50-BSGFws!BE28-BSGFws!BE29-BSGFws!BE30</f>
        <v>0</v>
      </c>
      <c r="BF127" s="228">
        <f>+BF50-BSGFws!BF28-BSGFws!BF29-BSGFws!BF30</f>
        <v>0</v>
      </c>
      <c r="BG127" s="228">
        <f>+BG50-BSGFws!BG28-BSGFws!BG29-BSGFws!BG30</f>
        <v>0</v>
      </c>
      <c r="BH127" s="228">
        <f>+BH50-BSGFws!BH28-BSGFws!BH29-BSGFws!BH30</f>
        <v>0</v>
      </c>
      <c r="BI127" s="228">
        <f>+BI50-BSGFws!BI28-BSGFws!BI29-BSGFws!BI30</f>
        <v>0</v>
      </c>
      <c r="BJ127" s="228">
        <f>+BJ50-BSGFws!BJ28-BSGFws!BJ29-BSGFws!BJ30</f>
        <v>0</v>
      </c>
      <c r="BK127" s="228">
        <f>+BK50-BSGFws!BK28-BSGFws!BK29-BSGFws!BK30</f>
        <v>0</v>
      </c>
      <c r="BL127" s="228">
        <f>+BL50-BSGFws!BL28-BSGFws!BL29-BSGFws!BL30</f>
        <v>0</v>
      </c>
      <c r="BM127" s="228">
        <f>+BM50-BSGFws!BM28-BSGFws!BM29-BSGFws!BM30</f>
        <v>0</v>
      </c>
      <c r="BN127" s="228">
        <f>+BN50-BSGFws!BN28-BSGFws!BN29-BSGFws!BN30</f>
        <v>0</v>
      </c>
      <c r="BO127" s="228">
        <f>+BO50-BSGFws!BO28-BSGFws!BO29-BSGFws!BO30</f>
        <v>0</v>
      </c>
      <c r="BP127" s="228">
        <f>+BP50-BSGFws!BP28-BSGFws!BP29-BSGFws!BP30</f>
        <v>0</v>
      </c>
      <c r="BQ127" s="228">
        <f>+BQ50-BSGFws!BQ28-BSGFws!BQ29-BSGFws!BQ30</f>
        <v>0</v>
      </c>
      <c r="BR127" s="228">
        <f>+BR50-BSGFws!BR28-BSGFws!BR29-BSGFws!BR30</f>
        <v>0</v>
      </c>
      <c r="BS127" s="228">
        <f>+BS50-BSGFws!BS28-BSGFws!BS29-BSGFws!BS30</f>
        <v>0</v>
      </c>
      <c r="BZ127" s="228">
        <f>+BZ50-BSGFws!CA28-BSGFws!CA29-BSGFws!CA30</f>
        <v>0</v>
      </c>
      <c r="CA127" s="228">
        <f>+CA50-BSGFws!CB28-BSGFws!CB29-BSGFws!CB30</f>
        <v>0</v>
      </c>
      <c r="CB127" s="228">
        <f>+CB50-BSGFws!CC28-BSGFws!CC29-BSGFws!CC30</f>
        <v>0</v>
      </c>
    </row>
    <row r="128" spans="1:89" s="228" customFormat="1" ht="12.75" customHeight="1" x14ac:dyDescent="0.2">
      <c r="A128" s="781" t="s">
        <v>1073</v>
      </c>
      <c r="B128" s="228">
        <f t="shared" si="114"/>
        <v>0</v>
      </c>
      <c r="C128" s="228">
        <f>C54-BSGFws!C35</f>
        <v>0</v>
      </c>
      <c r="D128" s="228">
        <f>D54-BSGFws!D35</f>
        <v>0</v>
      </c>
      <c r="E128" s="228">
        <f>E54-BSGFws!E35</f>
        <v>0</v>
      </c>
      <c r="F128" s="228">
        <f>F54-BSGFws!F35</f>
        <v>0</v>
      </c>
      <c r="G128" s="228">
        <f>G54-BSGFws!G35</f>
        <v>0</v>
      </c>
      <c r="H128" s="228">
        <f>H54-BSGFws!H35</f>
        <v>0</v>
      </c>
      <c r="I128" s="228">
        <f>I54-BSGFws!I35</f>
        <v>0</v>
      </c>
      <c r="J128" s="228">
        <f>J54-BSGFws!J35</f>
        <v>0</v>
      </c>
      <c r="K128" s="228">
        <f>K54-BSGFws!K35</f>
        <v>0</v>
      </c>
      <c r="L128" s="228">
        <f>L54-BSGFws!L35</f>
        <v>0</v>
      </c>
      <c r="M128" s="228">
        <f>M54-BSGFws!M35</f>
        <v>0</v>
      </c>
      <c r="N128" s="228">
        <f>N54-BSGFws!N35</f>
        <v>0</v>
      </c>
      <c r="O128" s="228">
        <f>O54-BSGFws!O35</f>
        <v>0</v>
      </c>
      <c r="P128" s="228">
        <f>P54-BSGFws!P35</f>
        <v>0</v>
      </c>
      <c r="Q128" s="228">
        <f>Q54-BSGFws!Q35</f>
        <v>0</v>
      </c>
      <c r="R128" s="228">
        <f>R54-BSGFws!R35</f>
        <v>0</v>
      </c>
      <c r="S128" s="228">
        <f>S54-BSGFws!S35</f>
        <v>0</v>
      </c>
      <c r="T128" s="228">
        <f>T54-BSGFws!T35</f>
        <v>0</v>
      </c>
      <c r="U128" s="228">
        <f>U54-BSGFws!U35</f>
        <v>0</v>
      </c>
      <c r="V128" s="228">
        <f>V54-BSGFws!V35</f>
        <v>0</v>
      </c>
      <c r="W128" s="228">
        <f>W54-BSGFws!W35</f>
        <v>0</v>
      </c>
      <c r="X128" s="228">
        <f>X54-BSGFws!X35</f>
        <v>0</v>
      </c>
      <c r="Y128" s="228">
        <f>Y54-BSGFws!Y35</f>
        <v>0</v>
      </c>
      <c r="Z128" s="228">
        <f>Z54-BSGFws!Z35</f>
        <v>0</v>
      </c>
      <c r="AA128" s="228">
        <f>AA54-BSGFws!AA35</f>
        <v>0</v>
      </c>
      <c r="AB128" s="228">
        <f>AB54-BSGFws!AB35</f>
        <v>0</v>
      </c>
      <c r="AC128" s="228">
        <f>AC54-BSGFws!AC35</f>
        <v>0</v>
      </c>
      <c r="AD128" s="228">
        <f>AD54-BSGFws!AD35</f>
        <v>0</v>
      </c>
      <c r="AE128" s="228">
        <f>AE54-BSGFws!AE35</f>
        <v>0</v>
      </c>
      <c r="AF128" s="228">
        <f>AF54-BSGFws!AF35</f>
        <v>0</v>
      </c>
      <c r="AG128" s="228">
        <f>AG54-BSGFws!AG35</f>
        <v>0</v>
      </c>
      <c r="AH128" s="228">
        <f>AH54-BSGFws!AH35</f>
        <v>0</v>
      </c>
      <c r="AI128" s="228">
        <f>AI54-BSGFws!AI35</f>
        <v>0</v>
      </c>
      <c r="AJ128" s="228">
        <f>AJ54-BSGFws!AJ35</f>
        <v>0</v>
      </c>
      <c r="AK128" s="228">
        <f>AK54-BSGFws!AK35</f>
        <v>0</v>
      </c>
      <c r="AL128" s="228">
        <f>AL54-BSGFws!AL35</f>
        <v>0</v>
      </c>
      <c r="AM128" s="228">
        <f>AM54-BSGFws!AM35</f>
        <v>0</v>
      </c>
      <c r="AN128" s="228">
        <f>AN54-BSGFws!AN35</f>
        <v>0</v>
      </c>
      <c r="AO128" s="228">
        <f>AO54-BSGFws!AO35</f>
        <v>0</v>
      </c>
      <c r="AP128" s="228">
        <f>AP54-BSGFws!AP35</f>
        <v>0</v>
      </c>
      <c r="AQ128" s="228">
        <f>AQ54-BSGFws!AQ35</f>
        <v>0</v>
      </c>
      <c r="AR128" s="228">
        <f>AR54-BSGFws!AR35</f>
        <v>0</v>
      </c>
      <c r="AS128" s="228">
        <f>AS54-BSGFws!AS35</f>
        <v>0</v>
      </c>
      <c r="AT128" s="228">
        <f>AT54-BSGFws!AT35</f>
        <v>0</v>
      </c>
      <c r="AU128" s="228">
        <f>AU54-BSGFws!AU35</f>
        <v>0</v>
      </c>
      <c r="AV128" s="228">
        <f>AV54-BSGFws!AV35</f>
        <v>0</v>
      </c>
      <c r="AW128" s="228">
        <f>AW54-BSGFws!AW35</f>
        <v>0</v>
      </c>
      <c r="AX128" s="228">
        <f>AX54-BSGFws!AX35</f>
        <v>0</v>
      </c>
      <c r="AY128" s="228">
        <f>AY54-BSGFws!AY35</f>
        <v>0</v>
      </c>
      <c r="AZ128" s="228">
        <f>AZ54-BSGFws!AZ35</f>
        <v>0</v>
      </c>
      <c r="BA128" s="228">
        <f>BA54-BSGFws!BA35</f>
        <v>0</v>
      </c>
      <c r="BB128" s="228">
        <f>BB54-BSGFws!BB35</f>
        <v>0</v>
      </c>
      <c r="BC128" s="228">
        <f>BC54-BSGFws!BC35</f>
        <v>0</v>
      </c>
      <c r="BD128" s="228">
        <f>BD54-BSGFws!BD35</f>
        <v>0</v>
      </c>
      <c r="BE128" s="228">
        <f>BE54-BSGFws!BE35</f>
        <v>0</v>
      </c>
      <c r="BF128" s="228">
        <f>BF54-BSGFws!BF35</f>
        <v>0</v>
      </c>
      <c r="BG128" s="228">
        <f>BG54-BSGFws!BG35</f>
        <v>0</v>
      </c>
      <c r="BH128" s="228">
        <f>BH54-BSGFws!BH35</f>
        <v>0</v>
      </c>
      <c r="BI128" s="228">
        <f>BI54-BSGFws!BI35</f>
        <v>0</v>
      </c>
      <c r="BJ128" s="228">
        <f>BJ54-BSGFws!BJ35</f>
        <v>0</v>
      </c>
      <c r="BK128" s="228">
        <f>BK54-BSGFws!BK35</f>
        <v>0</v>
      </c>
      <c r="BL128" s="228">
        <f>BL54-BSGFws!BL35</f>
        <v>0</v>
      </c>
      <c r="BM128" s="228">
        <f>BM54-BSGFws!BM35</f>
        <v>0</v>
      </c>
      <c r="BN128" s="228">
        <f>BN54-BSGFws!BN35</f>
        <v>0</v>
      </c>
      <c r="BO128" s="228">
        <f>BO54-BSGFws!BO35</f>
        <v>0</v>
      </c>
      <c r="BP128" s="228">
        <f>BP54-BSGFws!BP35</f>
        <v>0</v>
      </c>
      <c r="BQ128" s="228">
        <f>BQ54-BSGFws!BQ35</f>
        <v>0</v>
      </c>
      <c r="BR128" s="228">
        <f>BR54-BSGFws!BR35</f>
        <v>0</v>
      </c>
      <c r="BS128" s="228">
        <f>BS54-BSGFws!BS35</f>
        <v>0</v>
      </c>
      <c r="BZ128" s="228">
        <f>BZ54-BSGFws!CA35</f>
        <v>0</v>
      </c>
      <c r="CA128" s="228">
        <f>CA54-BSGFws!CB35</f>
        <v>0</v>
      </c>
      <c r="CB128" s="228">
        <f>CB54-BSGFws!CC35</f>
        <v>0</v>
      </c>
    </row>
    <row r="129" spans="1:80" s="228" customFormat="1" ht="12.75" customHeight="1" x14ac:dyDescent="0.2">
      <c r="A129" s="781" t="s">
        <v>1074</v>
      </c>
      <c r="B129" s="228">
        <f t="shared" si="114"/>
        <v>0</v>
      </c>
      <c r="C129" s="228">
        <f>C61-BSGFws!C44</f>
        <v>0</v>
      </c>
      <c r="D129" s="228">
        <f>D61-BSGFws!D44</f>
        <v>0</v>
      </c>
      <c r="E129" s="228">
        <f>E61-BSGFws!E44</f>
        <v>0</v>
      </c>
      <c r="F129" s="228">
        <f>F61-BSGFws!F44</f>
        <v>0</v>
      </c>
      <c r="G129" s="228">
        <f>G61-BSGFws!G44</f>
        <v>0</v>
      </c>
      <c r="H129" s="228">
        <f>H61-BSGFws!H44</f>
        <v>0</v>
      </c>
      <c r="I129" s="228">
        <f>I61-BSGFws!I44</f>
        <v>0</v>
      </c>
      <c r="J129" s="228">
        <f>J61-BSGFws!J44</f>
        <v>0</v>
      </c>
      <c r="K129" s="228">
        <f>K61-BSGFws!K44</f>
        <v>0</v>
      </c>
      <c r="L129" s="228">
        <f>L61-BSGFws!L44</f>
        <v>0</v>
      </c>
      <c r="M129" s="228">
        <f>M61-BSGFws!M44</f>
        <v>0</v>
      </c>
      <c r="N129" s="228">
        <f>N61-BSGFws!N44</f>
        <v>0</v>
      </c>
      <c r="O129" s="228">
        <f>O61-BSGFws!O44</f>
        <v>0</v>
      </c>
      <c r="P129" s="228">
        <f>P61-BSGFws!P44</f>
        <v>0</v>
      </c>
      <c r="Q129" s="228">
        <f>Q61-BSGFws!Q44</f>
        <v>0</v>
      </c>
      <c r="R129" s="228">
        <f>R61-BSGFws!R44</f>
        <v>0</v>
      </c>
      <c r="S129" s="228">
        <f>S61-BSGFws!S44</f>
        <v>0</v>
      </c>
      <c r="T129" s="228">
        <f>T61-BSGFws!T44</f>
        <v>0</v>
      </c>
      <c r="U129" s="228">
        <f>U61-BSGFws!U44</f>
        <v>0</v>
      </c>
      <c r="V129" s="228">
        <f>V61-BSGFws!V44</f>
        <v>0</v>
      </c>
      <c r="W129" s="228">
        <f>W61-BSGFws!W44</f>
        <v>0</v>
      </c>
      <c r="X129" s="228">
        <f>X61-BSGFws!X44</f>
        <v>0</v>
      </c>
      <c r="Y129" s="228">
        <f>Y61-BSGFws!Y44</f>
        <v>0</v>
      </c>
      <c r="Z129" s="228">
        <f>Z61-BSGFws!Z44</f>
        <v>0</v>
      </c>
      <c r="AA129" s="228">
        <f>AA61-BSGFws!AA44</f>
        <v>0</v>
      </c>
      <c r="AB129" s="228">
        <f>AB61-BSGFws!AB44</f>
        <v>0</v>
      </c>
      <c r="AC129" s="228">
        <f>AC61-BSGFws!AC44</f>
        <v>0</v>
      </c>
      <c r="AD129" s="228">
        <f>AD61-BSGFws!AD44</f>
        <v>0</v>
      </c>
      <c r="AE129" s="228">
        <f>AE61-BSGFws!AE44</f>
        <v>0</v>
      </c>
      <c r="AF129" s="228">
        <f>AF61-BSGFws!AF44</f>
        <v>0</v>
      </c>
      <c r="AG129" s="228">
        <f>AG61-BSGFws!AG44</f>
        <v>0</v>
      </c>
      <c r="AH129" s="228">
        <f>AH61-BSGFws!AH44</f>
        <v>0</v>
      </c>
      <c r="AI129" s="228">
        <f>AI61-BSGFws!AI44</f>
        <v>0</v>
      </c>
      <c r="AJ129" s="228">
        <f>AJ61-BSGFws!AJ44</f>
        <v>0</v>
      </c>
      <c r="AK129" s="228">
        <f>AK61-BSGFws!AK44</f>
        <v>0</v>
      </c>
      <c r="AL129" s="228">
        <f>AL61-BSGFws!AL44</f>
        <v>0</v>
      </c>
      <c r="AM129" s="228">
        <f>AM61-BSGFws!AM44</f>
        <v>0</v>
      </c>
      <c r="AN129" s="228">
        <f>AN61-BSGFws!AN44</f>
        <v>0</v>
      </c>
      <c r="AO129" s="228">
        <f>AO61-BSGFws!AO44</f>
        <v>0</v>
      </c>
      <c r="AP129" s="228">
        <f>AP61-BSGFws!AP44</f>
        <v>0</v>
      </c>
      <c r="AQ129" s="228">
        <f>AQ61-BSGFws!AQ44</f>
        <v>0</v>
      </c>
      <c r="AR129" s="228">
        <f>AR61-BSGFws!AR44</f>
        <v>0</v>
      </c>
      <c r="AS129" s="228">
        <f>AS61-BSGFws!AS44</f>
        <v>0</v>
      </c>
      <c r="AT129" s="228">
        <f>AT61-BSGFws!AT44</f>
        <v>0</v>
      </c>
      <c r="AU129" s="228">
        <f>AU61-BSGFws!AU44</f>
        <v>0</v>
      </c>
      <c r="AV129" s="228">
        <f>AV61-BSGFws!AV44</f>
        <v>0</v>
      </c>
      <c r="AW129" s="228">
        <f>AW61-BSGFws!AW44</f>
        <v>0</v>
      </c>
      <c r="AX129" s="228">
        <f>AX61-BSGFws!AX44</f>
        <v>0</v>
      </c>
      <c r="AY129" s="228">
        <f>AY61-BSGFws!AY44</f>
        <v>0</v>
      </c>
      <c r="AZ129" s="228">
        <f>AZ61-BSGFws!AZ44</f>
        <v>0</v>
      </c>
      <c r="BA129" s="228">
        <f>BA61-BSGFws!BA44</f>
        <v>0</v>
      </c>
      <c r="BB129" s="228">
        <f>BB61-BSGFws!BB44</f>
        <v>0</v>
      </c>
      <c r="BC129" s="228">
        <f>BC61-BSGFws!BC44</f>
        <v>0</v>
      </c>
      <c r="BD129" s="228">
        <f>BD61-BSGFws!BD44</f>
        <v>0</v>
      </c>
      <c r="BE129" s="228">
        <f>BE61-BSGFws!BE44</f>
        <v>0</v>
      </c>
      <c r="BF129" s="228">
        <f>BF61-BSGFws!BF44</f>
        <v>0</v>
      </c>
      <c r="BG129" s="228">
        <f>BG61-BSGFws!BG44</f>
        <v>0</v>
      </c>
      <c r="BH129" s="228">
        <f>BH61-BSGFws!BH44</f>
        <v>0</v>
      </c>
      <c r="BI129" s="228">
        <f>BI61-BSGFws!BI44</f>
        <v>0</v>
      </c>
      <c r="BJ129" s="228">
        <f>BJ61-BSGFws!BJ44</f>
        <v>0</v>
      </c>
      <c r="BK129" s="228">
        <f>BK61-BSGFws!BK44</f>
        <v>0</v>
      </c>
      <c r="BL129" s="228">
        <f>BL61-BSGFws!BL44</f>
        <v>0</v>
      </c>
      <c r="BM129" s="228">
        <f>BM61-BSGFws!BM44</f>
        <v>0</v>
      </c>
      <c r="BN129" s="228">
        <f>BN61-BSGFws!BN44</f>
        <v>0</v>
      </c>
      <c r="BO129" s="228">
        <f>BO61-BSGFws!BO44</f>
        <v>0</v>
      </c>
      <c r="BP129" s="228">
        <f>BP61-BSGFws!BP44</f>
        <v>0</v>
      </c>
      <c r="BQ129" s="228">
        <f>BQ61-BSGFws!BQ44</f>
        <v>0</v>
      </c>
      <c r="BR129" s="228">
        <f>BR61-BSGFws!BR44</f>
        <v>0</v>
      </c>
      <c r="BS129" s="228">
        <f>BS61-BSGFws!BS44</f>
        <v>0</v>
      </c>
      <c r="BZ129" s="228">
        <f>BZ61-BSGFws!CA44</f>
        <v>0</v>
      </c>
      <c r="CA129" s="228">
        <f>CA61-BSGFws!CB44</f>
        <v>0</v>
      </c>
      <c r="CB129" s="228">
        <f>CB61-BSGFws!CC44</f>
        <v>0</v>
      </c>
    </row>
    <row r="130" spans="1:80" s="228" customFormat="1" ht="12.75" customHeight="1" x14ac:dyDescent="0.2">
      <c r="A130" s="781" t="s">
        <v>1416</v>
      </c>
      <c r="B130" s="228">
        <f t="shared" si="114"/>
        <v>7652</v>
      </c>
      <c r="C130" s="228">
        <f>C62-BSGFws!C45</f>
        <v>-8130</v>
      </c>
      <c r="D130" s="228">
        <f>D62-BSGFws!D45</f>
        <v>15782</v>
      </c>
      <c r="E130" s="228">
        <f>E62-BSGFws!E45</f>
        <v>0</v>
      </c>
      <c r="G130" s="228">
        <f>G50-BSGFws!G28-BSGFws!G29-BSGFws!G30</f>
        <v>0</v>
      </c>
      <c r="H130" s="228">
        <f>H50-BSGFws!H28-BSGFws!H29-BSGFws!H30</f>
        <v>0</v>
      </c>
      <c r="I130" s="228">
        <f>I50-BSGFws!I28-BSGFws!I29-BSGFws!I30</f>
        <v>0</v>
      </c>
      <c r="J130" s="228">
        <f>J50-BSGFws!J28-BSGFws!J29-BSGFws!J30</f>
        <v>0</v>
      </c>
      <c r="K130" s="228">
        <f>K50-BSGFws!K28-BSGFws!K29-BSGFws!K30</f>
        <v>0</v>
      </c>
      <c r="L130" s="228">
        <f>L50-BSGFws!L28-BSGFws!L29-BSGFws!L30</f>
        <v>0</v>
      </c>
      <c r="M130" s="228">
        <f>M50-BSGFws!M28-BSGFws!M29-BSGFws!M30</f>
        <v>0</v>
      </c>
      <c r="N130" s="228">
        <f>N50-BSGFws!N28-BSGFws!N29-BSGFws!N30</f>
        <v>0</v>
      </c>
      <c r="O130" s="228">
        <f>O50-BSGFws!O28-BSGFws!O29-BSGFws!O30</f>
        <v>0</v>
      </c>
      <c r="P130" s="228">
        <f>P50-BSGFws!P28-BSGFws!P29-BSGFws!P30</f>
        <v>0</v>
      </c>
      <c r="Q130" s="228">
        <f>Q50-BSGFws!Q28-BSGFws!Q29-BSGFws!Q30</f>
        <v>0</v>
      </c>
      <c r="R130" s="228">
        <f>R50-BSGFws!R28-BSGFws!R29-BSGFws!R30</f>
        <v>0</v>
      </c>
      <c r="S130" s="228">
        <f>S50-BSGFws!S28-BSGFws!S29-BSGFws!S30</f>
        <v>0</v>
      </c>
      <c r="T130" s="228">
        <f>T50-BSGFws!T28-BSGFws!T29-BSGFws!T30</f>
        <v>0</v>
      </c>
      <c r="U130" s="228">
        <f>U50-BSGFws!U28-BSGFws!U29-BSGFws!U30</f>
        <v>0</v>
      </c>
      <c r="V130" s="228">
        <f>V50-BSGFws!V28-BSGFws!V29-BSGFws!V30</f>
        <v>0</v>
      </c>
      <c r="W130" s="228">
        <f>W50-BSGFws!W28-BSGFws!W29-BSGFws!W30</f>
        <v>0</v>
      </c>
      <c r="X130" s="228">
        <f>X50-BSGFws!X28-BSGFws!X29-BSGFws!X30</f>
        <v>0</v>
      </c>
      <c r="Y130" s="228">
        <f>Y50-BSGFws!Y28-BSGFws!Y29-BSGFws!Y30</f>
        <v>0</v>
      </c>
      <c r="Z130" s="228">
        <f>Z50-BSGFws!Z28-BSGFws!Z29-BSGFws!Z30</f>
        <v>0</v>
      </c>
      <c r="AA130" s="228">
        <f>AA50-BSGFws!AA28-BSGFws!AA29-BSGFws!AA30</f>
        <v>0</v>
      </c>
      <c r="AB130" s="228">
        <f>AB50-BSGFws!AB28-BSGFws!AB29-BSGFws!AB30</f>
        <v>0</v>
      </c>
      <c r="AC130" s="228">
        <f>AC50-BSGFws!AC28-BSGFws!AC29-BSGFws!AC30</f>
        <v>0</v>
      </c>
      <c r="AD130" s="228">
        <f>AD50-BSGFws!AD28-BSGFws!AD29-BSGFws!AD30</f>
        <v>0</v>
      </c>
      <c r="AE130" s="228">
        <f>AE50-BSGFws!AE28-BSGFws!AE29-BSGFws!AE30</f>
        <v>0</v>
      </c>
      <c r="AF130" s="228">
        <f>AF50-BSGFws!AF28-BSGFws!AF29-BSGFws!AF30</f>
        <v>0</v>
      </c>
      <c r="AG130" s="228">
        <f>AG50-BSGFws!AG28-BSGFws!AG29-BSGFws!AG30</f>
        <v>0</v>
      </c>
      <c r="AH130" s="228">
        <f>AH50-BSGFws!AH28-BSGFws!AH29-BSGFws!AH30</f>
        <v>0</v>
      </c>
      <c r="AI130" s="228">
        <f>AI50-BSGFws!AI28-BSGFws!AI29-BSGFws!AI30</f>
        <v>0</v>
      </c>
      <c r="AJ130" s="228">
        <f>AJ50-BSGFws!AJ28-BSGFws!AJ29-BSGFws!AJ30</f>
        <v>0</v>
      </c>
      <c r="AK130" s="228">
        <f>AK50-BSGFws!AK28-BSGFws!AK29-BSGFws!AK30</f>
        <v>0</v>
      </c>
      <c r="AL130" s="228">
        <f>AL50-BSGFws!AL28-BSGFws!AL29-BSGFws!AL30</f>
        <v>0</v>
      </c>
      <c r="AM130" s="228">
        <f>AM50-BSGFws!AM28-BSGFws!AM29-BSGFws!AM30</f>
        <v>0</v>
      </c>
      <c r="AN130" s="228">
        <f>AN50-BSGFws!AN28-BSGFws!AN29-BSGFws!AN30</f>
        <v>0</v>
      </c>
      <c r="AO130" s="228">
        <f>AO50-BSGFws!AO28-BSGFws!AO29-BSGFws!AO30</f>
        <v>0</v>
      </c>
      <c r="AP130" s="228">
        <f>AP50-BSGFws!AP28-BSGFws!AP29-BSGFws!AP30</f>
        <v>0</v>
      </c>
      <c r="AQ130" s="228">
        <f>AQ50-BSGFws!AQ28-BSGFws!AQ29-BSGFws!AQ30</f>
        <v>0</v>
      </c>
      <c r="AR130" s="228">
        <f>AR50-BSGFws!AR28-BSGFws!AR29-BSGFws!AR30</f>
        <v>0</v>
      </c>
      <c r="AS130" s="228">
        <f>AS50-BSGFws!AS28-BSGFws!AS29-BSGFws!AS30</f>
        <v>0</v>
      </c>
      <c r="AT130" s="228">
        <f>AT50-BSGFws!AT28-BSGFws!AT29-BSGFws!AT30</f>
        <v>0</v>
      </c>
      <c r="AU130" s="228">
        <f>AU50-BSGFws!AU28-BSGFws!AU29-BSGFws!AU30</f>
        <v>0</v>
      </c>
      <c r="AV130" s="228">
        <f>AV50-BSGFws!AV28-BSGFws!AV29-BSGFws!AV30</f>
        <v>0</v>
      </c>
      <c r="AW130" s="228">
        <f>AW50-BSGFws!AW28-BSGFws!AW29-BSGFws!AW30</f>
        <v>0</v>
      </c>
      <c r="AX130" s="228">
        <f>AX50-BSGFws!AX28-BSGFws!AX29-BSGFws!AX30</f>
        <v>0</v>
      </c>
      <c r="AY130" s="228">
        <f>AY50-BSGFws!AY28-BSGFws!AY29-BSGFws!AY30</f>
        <v>0</v>
      </c>
      <c r="AZ130" s="228">
        <f>AZ50-BSGFws!AZ28-BSGFws!AZ29-BSGFws!AZ30</f>
        <v>0</v>
      </c>
      <c r="BA130" s="228">
        <f>BA50-BSGFws!BA28-BSGFws!BA29-BSGFws!BA30</f>
        <v>0</v>
      </c>
      <c r="BB130" s="228">
        <f>BB50-BSGFws!BB28-BSGFws!BB29-BSGFws!BB30</f>
        <v>0</v>
      </c>
      <c r="BC130" s="228">
        <f>BC50-BSGFws!BC28-BSGFws!BC29-BSGFws!BC30</f>
        <v>0</v>
      </c>
      <c r="BD130" s="228">
        <f>BD50-BSGFws!BD28-BSGFws!BD29-BSGFws!BD30</f>
        <v>0</v>
      </c>
      <c r="BE130" s="228">
        <f>BE50-BSGFws!BE28-BSGFws!BE29-BSGFws!BE30</f>
        <v>0</v>
      </c>
      <c r="BF130" s="228">
        <f>BF50-BSGFws!BF28-BSGFws!BF29-BSGFws!BF30</f>
        <v>0</v>
      </c>
      <c r="BG130" s="228">
        <f>BG50-BSGFws!BG28-BSGFws!BG29-BSGFws!BG30</f>
        <v>0</v>
      </c>
      <c r="BH130" s="228">
        <f>BH50-BSGFws!BH28-BSGFws!BH29-BSGFws!BH30</f>
        <v>0</v>
      </c>
      <c r="BI130" s="228">
        <f>BI50-BSGFws!BI28-BSGFws!BI29-BSGFws!BI30</f>
        <v>0</v>
      </c>
      <c r="BJ130" s="228">
        <f>BJ50-BSGFws!BJ28-BSGFws!BJ29-BSGFws!BJ30</f>
        <v>0</v>
      </c>
      <c r="BK130" s="228">
        <f>BK50-BSGFws!BK28-BSGFws!BK29-BSGFws!BK30</f>
        <v>0</v>
      </c>
      <c r="BL130" s="228">
        <f>BL50-BSGFws!BL28-BSGFws!BL29-BSGFws!BL30</f>
        <v>0</v>
      </c>
      <c r="BM130" s="228">
        <f>BM50-BSGFws!BM28-BSGFws!BM29-BSGFws!BM30</f>
        <v>0</v>
      </c>
      <c r="BN130" s="228">
        <f>BN50-BSGFws!BN28-BSGFws!BN29-BSGFws!BN30</f>
        <v>0</v>
      </c>
      <c r="BO130" s="228">
        <f>BO50-BSGFws!BO28-BSGFws!BO29-BSGFws!BO30</f>
        <v>0</v>
      </c>
      <c r="BP130" s="228">
        <f>BP50-BSGFws!BP28-BSGFws!BP29-BSGFws!BP30</f>
        <v>0</v>
      </c>
      <c r="BQ130" s="228">
        <f>BQ50-BSGFws!BQ28-BSGFws!BQ29-BSGFws!BQ30</f>
        <v>0</v>
      </c>
      <c r="BR130" s="228">
        <f>BR50-BSGFws!BR28-BSGFws!BR29-BSGFws!BR30</f>
        <v>0</v>
      </c>
      <c r="BS130" s="228">
        <f>BS50-BSGFws!BS28-BSGFws!BS29-BSGFws!BS30</f>
        <v>0</v>
      </c>
      <c r="BT130" s="228">
        <f>BT50-'ISF-SONP'!C88-'ISF-SONP'!C89-'ISF-SONP'!C91</f>
        <v>0</v>
      </c>
      <c r="BU130" s="228">
        <f>BU50-'ISF-SONP'!E88-'ISF-SONP'!E89-'ISF-SONP'!E91</f>
        <v>0</v>
      </c>
      <c r="BV130" s="228">
        <f>BV50-'ISF-SONP'!G88-'ISF-SONP'!G89-'ISF-SONP'!G91</f>
        <v>0</v>
      </c>
      <c r="BW130" s="228">
        <f>BW50-'ISF-SONP'!I88-'ISF-SONP'!I89-'ISF-SONP'!I91</f>
        <v>0</v>
      </c>
      <c r="BX130" s="228">
        <f>BX50-'ISF-SONP'!K88-'ISF-SONP'!K89-'ISF-SONP'!K91</f>
        <v>0</v>
      </c>
      <c r="BY130" s="228">
        <f>BY50-'ISF-SONP'!M88-'ISF-SONP'!M89-'ISF-SONP'!M91</f>
        <v>0</v>
      </c>
    </row>
    <row r="131" spans="1:80" s="228" customFormat="1" ht="12.75" customHeight="1" x14ac:dyDescent="0.2">
      <c r="A131" s="781" t="s">
        <v>1075</v>
      </c>
      <c r="B131" s="228">
        <f t="shared" si="114"/>
        <v>-3306</v>
      </c>
      <c r="C131" s="228">
        <f>C56-BSGFws!C37-BSGFws!C38-BSGFws!C39</f>
        <v>0</v>
      </c>
      <c r="D131" s="228">
        <f>D56-BSGFws!D37-BSGFws!D38-BSGFws!D39</f>
        <v>-575</v>
      </c>
      <c r="E131" s="228">
        <f>E56-BSGFws!E37-BSGFws!E38-BSGFws!E39</f>
        <v>0</v>
      </c>
      <c r="F131" s="228">
        <f>F56-BSGFws!F37-BSGFws!F38-BSGFws!F39</f>
        <v>0</v>
      </c>
      <c r="G131" s="228">
        <f>G56-BSGFws!G37-BSGFws!G38-BSGFws!G39</f>
        <v>0</v>
      </c>
      <c r="H131" s="228">
        <f>H56-BSGFws!H37-BSGFws!H38-BSGFws!H39</f>
        <v>0</v>
      </c>
      <c r="I131" s="228">
        <f>I56-BSGFws!I37-BSGFws!I38-BSGFws!I39</f>
        <v>0</v>
      </c>
      <c r="J131" s="228">
        <f>J56-BSGFws!J37-BSGFws!J38-BSGFws!J39</f>
        <v>0</v>
      </c>
      <c r="K131" s="228">
        <f>K56-BSGFws!K37-BSGFws!K38-BSGFws!K39</f>
        <v>0</v>
      </c>
      <c r="L131" s="228">
        <f>L56-BSGFws!L37-BSGFws!L38-BSGFws!L39</f>
        <v>0</v>
      </c>
      <c r="M131" s="228">
        <f>M56-BSGFws!M37-BSGFws!M38-BSGFws!M39</f>
        <v>0</v>
      </c>
      <c r="N131" s="228">
        <f>N56-BSGFws!N37-BSGFws!N38-BSGFws!N39</f>
        <v>0</v>
      </c>
      <c r="O131" s="228">
        <f>O56-BSGFws!O37-BSGFws!O38-BSGFws!O39</f>
        <v>0</v>
      </c>
      <c r="P131" s="228">
        <f>P56-BSGFws!P37-BSGFws!P38-BSGFws!P39</f>
        <v>0</v>
      </c>
      <c r="Q131" s="228">
        <f>Q56-BSGFws!Q37-BSGFws!Q38-BSGFws!Q39</f>
        <v>0</v>
      </c>
      <c r="R131" s="228">
        <f>R56-BSGFws!R37-BSGFws!R38-BSGFws!R39</f>
        <v>0</v>
      </c>
      <c r="S131" s="228">
        <f>S56-BSGFws!S37-BSGFws!S38-BSGFws!S39</f>
        <v>0</v>
      </c>
      <c r="T131" s="228">
        <f>T56-BSGFws!T37-BSGFws!T38-BSGFws!T39</f>
        <v>0</v>
      </c>
      <c r="U131" s="228">
        <f>U56-BSGFws!U37-BSGFws!U38-BSGFws!U39</f>
        <v>0</v>
      </c>
      <c r="V131" s="228">
        <f>V56-BSGFws!V37-BSGFws!V38-BSGFws!V39</f>
        <v>0</v>
      </c>
      <c r="W131" s="228">
        <f>W56-BSGFws!W37-BSGFws!W38-BSGFws!W39</f>
        <v>0</v>
      </c>
      <c r="X131" s="228">
        <f>X56-BSGFws!X37-BSGFws!X38-BSGFws!X39</f>
        <v>0</v>
      </c>
      <c r="Y131" s="228">
        <f>Y56-BSGFws!Y37-BSGFws!Y38-BSGFws!Y39</f>
        <v>0</v>
      </c>
      <c r="Z131" s="228">
        <f>Z56-BSGFws!Z37-BSGFws!Z38-BSGFws!Z39</f>
        <v>0</v>
      </c>
      <c r="AA131" s="228">
        <f>AA56-BSGFws!AA37-BSGFws!AA38-BSGFws!AA39</f>
        <v>0</v>
      </c>
      <c r="AB131" s="228">
        <f>AB56-BSGFws!AB37-BSGFws!AB38-BSGFws!AB39</f>
        <v>0</v>
      </c>
      <c r="AC131" s="228">
        <f>AC56-BSGFws!AC37-BSGFws!AC38-BSGFws!AC39</f>
        <v>0</v>
      </c>
      <c r="AD131" s="228">
        <f>AD56-BSGFws!AD37-BSGFws!AD38-BSGFws!AD39</f>
        <v>-2429</v>
      </c>
      <c r="AE131" s="228">
        <f>AE56-BSGFws!AE37-BSGFws!AE38-BSGFws!AE39</f>
        <v>0</v>
      </c>
      <c r="AF131" s="228">
        <f>AF56-BSGFws!AF37-BSGFws!AF38-BSGFws!AF39</f>
        <v>0</v>
      </c>
      <c r="AG131" s="228">
        <f>AG56-BSGFws!AG37-BSGFws!AG38-BSGFws!AG39</f>
        <v>0</v>
      </c>
      <c r="AH131" s="228">
        <f>AH56-BSGFws!AH37-BSGFws!AH38-BSGFws!AH39</f>
        <v>0</v>
      </c>
      <c r="AI131" s="228">
        <f>AI56-BSGFws!AI37-BSGFws!AI38-BSGFws!AI39</f>
        <v>0</v>
      </c>
      <c r="AJ131" s="228">
        <f>AJ56-BSGFws!AJ37-BSGFws!AJ38-BSGFws!AJ39</f>
        <v>0</v>
      </c>
      <c r="AK131" s="228">
        <f>AK56-BSGFws!AK37-BSGFws!AK38-BSGFws!AK39</f>
        <v>0</v>
      </c>
      <c r="AL131" s="228">
        <f>AL56-BSGFws!AL37-BSGFws!AL38-BSGFws!AL39</f>
        <v>-258</v>
      </c>
      <c r="AM131" s="228">
        <f>AM56-BSGFws!AM37-BSGFws!AM38-BSGFws!AM39</f>
        <v>0</v>
      </c>
      <c r="AN131" s="228">
        <f>AN56-BSGFws!AN37-BSGFws!AN38-BSGFws!AN39</f>
        <v>0</v>
      </c>
      <c r="AO131" s="228">
        <f>AO56-BSGFws!AO37-BSGFws!AO38-BSGFws!AO39</f>
        <v>0</v>
      </c>
      <c r="AP131" s="228">
        <f>AP56-BSGFws!AP37-BSGFws!AP38-BSGFws!AP39</f>
        <v>0</v>
      </c>
      <c r="AQ131" s="228">
        <f>AQ56-BSGFws!AQ37-BSGFws!AQ38-BSGFws!AQ39</f>
        <v>0</v>
      </c>
      <c r="AR131" s="228">
        <f>AR56-BSGFws!AR37-BSGFws!AR38-BSGFws!AR39</f>
        <v>0</v>
      </c>
      <c r="AS131" s="228">
        <f>AS56-BSGFws!AS37-BSGFws!AS38-BSGFws!AS39</f>
        <v>0</v>
      </c>
      <c r="AT131" s="228">
        <f>AT56-BSGFws!AT37-BSGFws!AT38-BSGFws!AT39</f>
        <v>0</v>
      </c>
      <c r="AU131" s="228">
        <f>AU56-BSGFws!AU37-BSGFws!AU38-BSGFws!AU39</f>
        <v>0</v>
      </c>
      <c r="AV131" s="228">
        <f>AV56-BSGFws!AV37-BSGFws!AV38-BSGFws!AV39</f>
        <v>0</v>
      </c>
      <c r="AW131" s="228">
        <f>AW56-BSGFws!AW37-BSGFws!AW38-BSGFws!AW39</f>
        <v>-44</v>
      </c>
      <c r="AX131" s="228">
        <f>AX56-BSGFws!AX37-BSGFws!AX38-BSGFws!AX39</f>
        <v>0</v>
      </c>
      <c r="AY131" s="228">
        <f>AY56-BSGFws!AY37-BSGFws!AY38-BSGFws!AY39</f>
        <v>0</v>
      </c>
      <c r="AZ131" s="228">
        <f>AZ56-BSGFws!AZ37-BSGFws!AZ38-BSGFws!AZ39</f>
        <v>0</v>
      </c>
      <c r="BA131" s="228">
        <f>BA56-BSGFws!BA37-BSGFws!BA38-BSGFws!BA39</f>
        <v>0</v>
      </c>
      <c r="BB131" s="228">
        <f>BB56-BSGFws!BB37-BSGFws!BB38-BSGFws!BB39</f>
        <v>0</v>
      </c>
      <c r="BC131" s="228">
        <f>BC56-BSGFws!BC37-BSGFws!BC38-BSGFws!BC39</f>
        <v>0</v>
      </c>
      <c r="BD131" s="228">
        <f>BD56-BSGFws!BD37-BSGFws!BD38-BSGFws!BD39</f>
        <v>0</v>
      </c>
      <c r="BE131" s="228">
        <f>BE56-BSGFws!BE37-BSGFws!BE38-BSGFws!BE39</f>
        <v>0</v>
      </c>
      <c r="BF131" s="228">
        <f>BF56-BSGFws!BF37-BSGFws!BF38-BSGFws!BF39</f>
        <v>0</v>
      </c>
      <c r="BG131" s="228">
        <f>BG56-BSGFws!BG37-BSGFws!BG38-BSGFws!BG39</f>
        <v>0</v>
      </c>
      <c r="BH131" s="228">
        <f>BH56-BSGFws!BH37-BSGFws!BH38-BSGFws!BH39</f>
        <v>0</v>
      </c>
      <c r="BI131" s="228">
        <f>BI56-BSGFws!BI37-BSGFws!BI38-BSGFws!BI39</f>
        <v>0</v>
      </c>
      <c r="BJ131" s="228">
        <f>BJ56-BSGFws!BJ37-BSGFws!BJ38-BSGFws!BJ39</f>
        <v>0</v>
      </c>
      <c r="BK131" s="228">
        <f>BK56-BSGFws!BK37-BSGFws!BK38-BSGFws!BK39</f>
        <v>0</v>
      </c>
      <c r="BL131" s="228">
        <f>BL56-BSGFws!BL37-BSGFws!BL38-BSGFws!BL39</f>
        <v>0</v>
      </c>
      <c r="BM131" s="228">
        <f>BM56-BSGFws!BM37-BSGFws!BM38-BSGFws!BM39</f>
        <v>0</v>
      </c>
      <c r="BN131" s="228">
        <f>BN56-BSGFws!BN37-BSGFws!BN38-BSGFws!BN39</f>
        <v>0</v>
      </c>
      <c r="BO131" s="228">
        <f>BO56-BSGFws!BO37-BSGFws!BO38-BSGFws!BO39</f>
        <v>0</v>
      </c>
      <c r="BP131" s="228">
        <f>BP56-BSGFws!BP37-BSGFws!BP38-BSGFws!BP39</f>
        <v>0</v>
      </c>
      <c r="BQ131" s="228">
        <f>BQ56-BSGFws!BQ37-BSGFws!BQ38-BSGFws!BQ39</f>
        <v>0</v>
      </c>
      <c r="BR131" s="228">
        <f>BR56-BSGFws!BR37-BSGFws!BR38-BSGFws!BR39</f>
        <v>0</v>
      </c>
      <c r="BS131" s="228">
        <f>BS56-BSGFws!BS37-BSGFws!BS38-BSGFws!BS39</f>
        <v>0</v>
      </c>
      <c r="BZ131" s="228">
        <f>BZ56-BSGFws!CA37-BSGFws!CA38-BSGFws!CA39-BSGFws!CA42</f>
        <v>0</v>
      </c>
      <c r="CA131" s="228">
        <f>CA56-BSGFws!CB37-BSGFws!CB38-BSGFws!CB39-BSGFws!CB42</f>
        <v>0</v>
      </c>
      <c r="CB131" s="228">
        <f>CB56-BSGFws!CC37-BSGFws!CC38-BSGFws!CC39-BSGFws!CC42</f>
        <v>0</v>
      </c>
    </row>
    <row r="132" spans="1:80" s="770" customFormat="1" ht="12.75" customHeight="1" x14ac:dyDescent="0.2">
      <c r="A132" s="1325" t="s">
        <v>1076</v>
      </c>
      <c r="B132" s="770">
        <f t="shared" si="114"/>
        <v>0</v>
      </c>
      <c r="C132" s="770">
        <f>+C66+C82+'recon-SONPws'!C43</f>
        <v>0</v>
      </c>
      <c r="D132" s="770">
        <f>+D66+D82+'recon-SONPws'!D43</f>
        <v>0</v>
      </c>
      <c r="E132" s="770">
        <f>+E66+E82+'recon-SONPws'!E43</f>
        <v>0</v>
      </c>
      <c r="F132" s="770">
        <f>+F66+F82+'recon-SONPws'!F43</f>
        <v>0</v>
      </c>
      <c r="G132" s="770">
        <f>+G66+G82+'recon-SONPws'!G43</f>
        <v>0</v>
      </c>
      <c r="H132" s="770">
        <f>+H66+H82+'recon-SONPws'!H43</f>
        <v>0</v>
      </c>
      <c r="I132" s="770">
        <f>+I66+I82+'recon-SONPws'!I43</f>
        <v>0</v>
      </c>
      <c r="J132" s="770">
        <f>+J66+J82+'recon-SONPws'!J43</f>
        <v>0</v>
      </c>
      <c r="K132" s="770">
        <f>+K66+K82+'recon-SONPws'!K43</f>
        <v>0</v>
      </c>
      <c r="L132" s="770">
        <f>+L66+L82+'recon-SONPws'!L43</f>
        <v>0</v>
      </c>
      <c r="M132" s="770">
        <f>+M66+M82+'recon-SONPws'!M43</f>
        <v>0</v>
      </c>
      <c r="N132" s="770">
        <f>+N66+N82+'recon-SONPws'!N43</f>
        <v>0</v>
      </c>
      <c r="O132" s="770">
        <f>+O66+O82+'recon-SONPws'!O43</f>
        <v>0</v>
      </c>
      <c r="P132" s="770">
        <f>+P66+P82+'recon-SONPws'!P43</f>
        <v>0</v>
      </c>
      <c r="Q132" s="770">
        <f>+Q66+Q82+'recon-SONPws'!Q43</f>
        <v>0</v>
      </c>
      <c r="R132" s="770">
        <f>+R66+R82+'recon-SONPws'!R43</f>
        <v>0</v>
      </c>
      <c r="S132" s="770">
        <f>+S66+S82+'recon-SONPws'!S43</f>
        <v>0</v>
      </c>
      <c r="T132" s="770">
        <f>+T66+T82+'recon-SONPws'!T43</f>
        <v>0</v>
      </c>
      <c r="U132" s="770">
        <f>+U66+U82+'recon-SONPws'!U43</f>
        <v>0</v>
      </c>
      <c r="V132" s="770">
        <f>+V66+V82+'recon-SONPws'!V43</f>
        <v>0</v>
      </c>
      <c r="W132" s="770">
        <f>+W66+W82+'recon-SONPws'!W43</f>
        <v>0</v>
      </c>
      <c r="X132" s="770">
        <f>+X66+X82+'recon-SONPws'!X43</f>
        <v>0</v>
      </c>
      <c r="Y132" s="770">
        <f>+Y66+Y82+'recon-SONPws'!Y43</f>
        <v>0</v>
      </c>
      <c r="Z132" s="770">
        <f>+Z66+Z82+'recon-SONPws'!Z43</f>
        <v>0</v>
      </c>
      <c r="AA132" s="770">
        <f>+AA66+AA82+'recon-SONPws'!AA43</f>
        <v>0</v>
      </c>
      <c r="AB132" s="770">
        <f>+AB66+AB82+'recon-SONPws'!AB43</f>
        <v>0</v>
      </c>
      <c r="AC132" s="770">
        <f>+AC66+AC82+'recon-SONPws'!AC43</f>
        <v>0</v>
      </c>
      <c r="AD132" s="770">
        <f>+AD66+AD82+'recon-SONPws'!AD43</f>
        <v>0</v>
      </c>
      <c r="AE132" s="770">
        <f>+AE66+AE82+'recon-SONPws'!AE43</f>
        <v>0</v>
      </c>
      <c r="AF132" s="770">
        <f>+AF66+AF82+'recon-SONPws'!AF43</f>
        <v>0</v>
      </c>
      <c r="AG132" s="770">
        <f>+AG66+AG82+'recon-SONPws'!AG43</f>
        <v>0</v>
      </c>
      <c r="AH132" s="770">
        <f>+AH66+AH82+'recon-SONPws'!AH43</f>
        <v>0</v>
      </c>
      <c r="AI132" s="770">
        <f>+AI66+AI82+'recon-SONPws'!AI43</f>
        <v>0</v>
      </c>
      <c r="AJ132" s="770">
        <f>+AJ66+AJ82+'recon-SONPws'!AJ43</f>
        <v>0</v>
      </c>
      <c r="AK132" s="770">
        <f>+AK66+AK82+'recon-SONPws'!AK43</f>
        <v>0</v>
      </c>
      <c r="AL132" s="770">
        <f>+AL66+AL82+'recon-SONPws'!AL43</f>
        <v>0</v>
      </c>
      <c r="AM132" s="770">
        <f>+AM66+AM82+'recon-SONPws'!AM43</f>
        <v>0</v>
      </c>
      <c r="AN132" s="770">
        <f>+AN66+AN82+'recon-SONPws'!AN43</f>
        <v>0</v>
      </c>
      <c r="AO132" s="770">
        <f>+AO66+AO82+'recon-SONPws'!AO43</f>
        <v>0</v>
      </c>
      <c r="AP132" s="770">
        <f>+AP66+AP82+'recon-SONPws'!AP43</f>
        <v>0</v>
      </c>
      <c r="AQ132" s="770">
        <f>+AQ66+AQ82+'recon-SONPws'!AQ43</f>
        <v>0</v>
      </c>
      <c r="AR132" s="770">
        <f>+AR66+AR82+'recon-SONPws'!AR43</f>
        <v>0</v>
      </c>
      <c r="AS132" s="770">
        <f>+AS66+AS82+'recon-SONPws'!AS43</f>
        <v>0</v>
      </c>
      <c r="AT132" s="770">
        <f>+AT66+AT82+'recon-SONPws'!AT43</f>
        <v>0</v>
      </c>
      <c r="AU132" s="770">
        <f>+AU66+AU82+'recon-SONPws'!AU43</f>
        <v>0</v>
      </c>
      <c r="AV132" s="770">
        <f>+AV66+AV82+'recon-SONPws'!AV43</f>
        <v>0</v>
      </c>
      <c r="AW132" s="770">
        <f>+AW66+AW82+'recon-SONPws'!AW43</f>
        <v>0</v>
      </c>
      <c r="AX132" s="770">
        <f>+AX66+AX82+'recon-SONPws'!AX43</f>
        <v>0</v>
      </c>
      <c r="AY132" s="770">
        <f>+AY66+AY82+'recon-SONPws'!AY43</f>
        <v>0</v>
      </c>
      <c r="AZ132" s="770">
        <f>+AZ66+AZ82+'recon-SONPws'!AZ43</f>
        <v>0</v>
      </c>
      <c r="BA132" s="770">
        <f>+BA66+BA82+'recon-SONPws'!BA43</f>
        <v>0</v>
      </c>
      <c r="BB132" s="770">
        <f>+BB66+BB82+'recon-SONPws'!BB43</f>
        <v>0</v>
      </c>
      <c r="BC132" s="770">
        <f>+BC66+BC82+'recon-SONPws'!BC43</f>
        <v>0</v>
      </c>
      <c r="BD132" s="770">
        <f>+BD66+BD82+'recon-SONPws'!BD43</f>
        <v>0</v>
      </c>
      <c r="BE132" s="770">
        <f>+BE66+BE82+'recon-SONPws'!BE43</f>
        <v>0</v>
      </c>
      <c r="BF132" s="770">
        <f>+BF66+BF82+'recon-SONPws'!BF43</f>
        <v>0</v>
      </c>
      <c r="BG132" s="770">
        <f>+BG66+BG82+'recon-SONPws'!BG43</f>
        <v>0</v>
      </c>
      <c r="BH132" s="770">
        <f>+BH66+BH82+'recon-SONPws'!BH43</f>
        <v>0</v>
      </c>
      <c r="BI132" s="770">
        <f>+BI66+BI82+'recon-SONPws'!BI43</f>
        <v>0</v>
      </c>
      <c r="BJ132" s="770">
        <f>+BJ66+BJ82+'recon-SONPws'!BJ43</f>
        <v>0</v>
      </c>
      <c r="BK132" s="770">
        <f>+BK66+BK82+'recon-SONPws'!BK43</f>
        <v>0</v>
      </c>
      <c r="BL132" s="770">
        <f>+BL66+BL82+'recon-SONPws'!BL43</f>
        <v>0</v>
      </c>
      <c r="BM132" s="770">
        <f>+BM66+BM82+'recon-SONPws'!BM43</f>
        <v>0</v>
      </c>
      <c r="BN132" s="770">
        <f>+BN66+BN82+'recon-SONPws'!BN43</f>
        <v>0</v>
      </c>
      <c r="BO132" s="770">
        <f>+BO66+BO82+'recon-SONPws'!BO43</f>
        <v>0</v>
      </c>
      <c r="BP132" s="770">
        <f>+BP66+BP82+'recon-SONPws'!BP43</f>
        <v>0</v>
      </c>
      <c r="BQ132" s="770">
        <f>+BQ66+BQ82+'recon-SONPws'!BQ43</f>
        <v>0</v>
      </c>
      <c r="BR132" s="770">
        <f>+BR66+BR82+'recon-SONPws'!BR43</f>
        <v>0</v>
      </c>
      <c r="BS132" s="770">
        <f>+BS66+BS82+'recon-SONPws'!BS43</f>
        <v>0</v>
      </c>
      <c r="BZ132" s="770">
        <f>+BZ66+BZ82+'recon-SONPws'!BZ43</f>
        <v>0</v>
      </c>
      <c r="CA132" s="770">
        <f>+CA66+CA82+'recon-SONPws'!CA43</f>
        <v>0</v>
      </c>
      <c r="CB132" s="770">
        <f>+CB66+CB82+'recon-SONPws'!CB43</f>
        <v>0</v>
      </c>
    </row>
    <row r="133" spans="1:80" s="770" customFormat="1" ht="12.75" customHeight="1" x14ac:dyDescent="0.2">
      <c r="A133" s="1325" t="s">
        <v>1077</v>
      </c>
      <c r="B133" s="770">
        <f t="shared" si="114"/>
        <v>0</v>
      </c>
      <c r="C133" s="770">
        <f>+C69+C70+C86+C85+'recon-SONPws'!C45</f>
        <v>0</v>
      </c>
      <c r="D133" s="770">
        <f>+D69+D70+D86+D85+'recon-SONPws'!D45</f>
        <v>0</v>
      </c>
      <c r="E133" s="770">
        <f>+E69+E70+E86+E85+'recon-SONPws'!E45</f>
        <v>0</v>
      </c>
      <c r="F133" s="770">
        <f>+F69+F70+F86+F85+'recon-SONPws'!F45</f>
        <v>0</v>
      </c>
      <c r="G133" s="770">
        <f>+G69+G70+G86+G85+'recon-SONPws'!G45</f>
        <v>0</v>
      </c>
      <c r="H133" s="770">
        <f>+H69+H70+H86+H85+'recon-SONPws'!H45</f>
        <v>0</v>
      </c>
      <c r="I133" s="770">
        <f>+I69+I70+I86+I85+'recon-SONPws'!I45</f>
        <v>0</v>
      </c>
      <c r="J133" s="770">
        <f>+J69+J70+J86+J85+'recon-SONPws'!J45</f>
        <v>0</v>
      </c>
      <c r="K133" s="770">
        <f>+K69+K70+K86+K85+'recon-SONPws'!K45</f>
        <v>0</v>
      </c>
      <c r="L133" s="770">
        <f>+L69+L70+L86+L85+'recon-SONPws'!L45</f>
        <v>0</v>
      </c>
      <c r="M133" s="770">
        <f>+M69+M70+M86+M85+'recon-SONPws'!M45</f>
        <v>0</v>
      </c>
      <c r="N133" s="770">
        <f>+N69+N70+N86+N85+'recon-SONPws'!N45</f>
        <v>0</v>
      </c>
      <c r="O133" s="770">
        <f>+O69+O70+O86+O85+'recon-SONPws'!O45</f>
        <v>0</v>
      </c>
      <c r="P133" s="770">
        <f>+P69+P70+P86+P85+'recon-SONPws'!P45</f>
        <v>0</v>
      </c>
      <c r="Q133" s="770">
        <f>+Q69+Q70+Q86+Q85+'recon-SONPws'!Q45</f>
        <v>0</v>
      </c>
      <c r="R133" s="770">
        <f>+R69+R70+R86+R85+'recon-SONPws'!R45</f>
        <v>0</v>
      </c>
      <c r="S133" s="770">
        <f>+S69+S70+S86+S85+'recon-SONPws'!S45</f>
        <v>0</v>
      </c>
      <c r="T133" s="770">
        <f>+T69+T70+T86+T85+'recon-SONPws'!T45</f>
        <v>0</v>
      </c>
      <c r="U133" s="770">
        <f>+U69+U70+U86+U85+'recon-SONPws'!U45</f>
        <v>0</v>
      </c>
      <c r="V133" s="770">
        <f>+V69+V70+V86+V85+'recon-SONPws'!V45</f>
        <v>0</v>
      </c>
      <c r="W133" s="770">
        <f>+W69+W70+W86+W85+'recon-SONPws'!W45</f>
        <v>0</v>
      </c>
      <c r="X133" s="770">
        <f>+X69+X70+X86+X85+'recon-SONPws'!X45</f>
        <v>0</v>
      </c>
      <c r="Y133" s="770">
        <f>+Y69+Y70+Y86+Y85+'recon-SONPws'!Y45</f>
        <v>0</v>
      </c>
      <c r="Z133" s="770">
        <f>+Z69+Z70+Z86+Z85+'recon-SONPws'!Z45</f>
        <v>0</v>
      </c>
      <c r="AA133" s="770">
        <f>+AA69+AA70+AA86+AA85+'recon-SONPws'!AA45</f>
        <v>0</v>
      </c>
      <c r="AB133" s="770">
        <f>+AB69+AB70+AB86+AB85+'recon-SONPws'!AB45</f>
        <v>0</v>
      </c>
      <c r="AC133" s="770">
        <f>+AC69+AC70+AC86+AC85+'recon-SONPws'!AC45</f>
        <v>0</v>
      </c>
      <c r="AD133" s="770">
        <f>+AD69+AD70+AD86+AD85+'recon-SONPws'!AD45</f>
        <v>0</v>
      </c>
      <c r="AE133" s="770">
        <f>+AE69+AE70+AE86+AE85+'recon-SONPws'!AE45</f>
        <v>0</v>
      </c>
      <c r="AF133" s="770">
        <f>+AF69+AF70+AF86+AF85+'recon-SONPws'!AF45</f>
        <v>0</v>
      </c>
      <c r="AG133" s="770">
        <f>+AG69+AG70+AG86+AG85+'recon-SONPws'!AG45</f>
        <v>0</v>
      </c>
      <c r="AH133" s="770">
        <f>+AH69+AH70+AH86+AH85+'recon-SONPws'!AH45</f>
        <v>0</v>
      </c>
      <c r="AI133" s="770">
        <f>+AI69+AI70+AI86+AI85+'recon-SONPws'!AI45</f>
        <v>0</v>
      </c>
      <c r="AJ133" s="770">
        <f>+AJ69+AJ70+AJ86+AJ85+'recon-SONPws'!AJ45</f>
        <v>0</v>
      </c>
      <c r="AK133" s="770">
        <f>+AK69+AK70+AK86+AK85+'recon-SONPws'!AK45</f>
        <v>0</v>
      </c>
      <c r="AL133" s="770">
        <f>+AL69+AL70+AL86+AL85+'recon-SONPws'!AL45</f>
        <v>0</v>
      </c>
      <c r="AM133" s="770">
        <f>+AM69+AM70+AM86+AM85+'recon-SONPws'!AM45</f>
        <v>0</v>
      </c>
      <c r="AN133" s="770">
        <f>+AN69+AN70+AN86+AN85+'recon-SONPws'!AN45</f>
        <v>0</v>
      </c>
      <c r="AO133" s="770">
        <f>+AO69+AO70+AO86+AO85+'recon-SONPws'!AO45</f>
        <v>0</v>
      </c>
      <c r="AP133" s="770">
        <f>+AP69+AP70+AP86+AP85+'recon-SONPws'!AP45</f>
        <v>0</v>
      </c>
      <c r="AQ133" s="770">
        <f>+AQ69+AQ70+AQ86+AQ85+'recon-SONPws'!AQ45</f>
        <v>0</v>
      </c>
      <c r="AR133" s="770">
        <f>+AR69+AR70+AR86+AR85+'recon-SONPws'!AR45</f>
        <v>0</v>
      </c>
      <c r="AS133" s="770">
        <f>+AS69+AS70+AS86+AS85+'recon-SONPws'!AS45</f>
        <v>0</v>
      </c>
      <c r="AT133" s="770">
        <f>+AT69+AT70+AT86+AT85+'recon-SONPws'!AT45</f>
        <v>0</v>
      </c>
      <c r="AU133" s="770">
        <f>+AU69+AU70+AU86+AU85+'recon-SONPws'!AU45</f>
        <v>0</v>
      </c>
      <c r="AV133" s="770">
        <f>+AV69+AV70+AV86+AV85+'recon-SONPws'!AV45</f>
        <v>0</v>
      </c>
      <c r="AW133" s="770">
        <f>+AW69+AW70+AW86+AW85+'recon-SONPws'!AW45</f>
        <v>0</v>
      </c>
      <c r="AX133" s="770">
        <f>+AX69+AX70+AX86+AX85+'recon-SONPws'!AX45</f>
        <v>0</v>
      </c>
      <c r="AY133" s="770">
        <f>+AY69+AY70+AY86+AY85+'recon-SONPws'!AY45</f>
        <v>0</v>
      </c>
      <c r="AZ133" s="770">
        <f>+AZ69+AZ70+AZ86+AZ85+'recon-SONPws'!AZ45</f>
        <v>0</v>
      </c>
      <c r="BA133" s="770">
        <f>+BA69+BA70+BA86+BA85+'recon-SONPws'!BA45</f>
        <v>0</v>
      </c>
      <c r="BB133" s="770">
        <f>+BB69+BB70+BB86+BB85+'recon-SONPws'!BB45</f>
        <v>0</v>
      </c>
      <c r="BC133" s="770">
        <f>+BC69+BC70+BC86+BC85+'recon-SONPws'!BC45</f>
        <v>0</v>
      </c>
      <c r="BD133" s="770">
        <f>+BD69+BD70+BD86+BD85+'recon-SONPws'!BD45</f>
        <v>0</v>
      </c>
      <c r="BE133" s="770">
        <f>+BE69+BE70+BE86+BE85+'recon-SONPws'!BE45</f>
        <v>0</v>
      </c>
      <c r="BF133" s="770">
        <f>+BF69+BF70+BF86+BF85+'recon-SONPws'!BF45</f>
        <v>0</v>
      </c>
      <c r="BG133" s="770">
        <f>+BG69+BG70+BG86+BG85+'recon-SONPws'!BG45</f>
        <v>0</v>
      </c>
      <c r="BH133" s="770">
        <f>+BH69+BH70+BH86+BH85+'recon-SONPws'!BH45</f>
        <v>0</v>
      </c>
      <c r="BI133" s="770">
        <f>+BI69+BI70+BI86+BI85+'recon-SONPws'!BI45</f>
        <v>0</v>
      </c>
      <c r="BJ133" s="770">
        <f>+BJ69+BJ70+BJ86+BJ85+'recon-SONPws'!BJ45</f>
        <v>0</v>
      </c>
      <c r="BK133" s="770">
        <f>+BK69+BK70+BK86+BK85+'recon-SONPws'!BK45</f>
        <v>0</v>
      </c>
      <c r="BL133" s="770">
        <f>+BL69+BL70+BL86+BL85+'recon-SONPws'!BL45</f>
        <v>0</v>
      </c>
      <c r="BM133" s="770">
        <f>+BM69+BM70+BM86+BM85+'recon-SONPws'!BM45</f>
        <v>0</v>
      </c>
      <c r="BN133" s="770">
        <f>+BN69+BN70+BN86+BN85+'recon-SONPws'!BN45</f>
        <v>0</v>
      </c>
      <c r="BO133" s="770">
        <f>+BO69+BO70+BO86+BO85+'recon-SONPws'!BO45</f>
        <v>0</v>
      </c>
      <c r="BP133" s="770">
        <f>+BP69+BP70+BP86+BP85+'recon-SONPws'!BP45</f>
        <v>0</v>
      </c>
      <c r="BQ133" s="770">
        <f>+BQ69+BQ70+BQ86+BQ85+'recon-SONPws'!BQ45</f>
        <v>0</v>
      </c>
      <c r="BR133" s="770">
        <f>+BR69+BR70+BR86+BR85+'recon-SONPws'!BR45</f>
        <v>0</v>
      </c>
      <c r="BS133" s="770">
        <f>+BS69+BS70+BS86+BS85+'recon-SONPws'!BS45</f>
        <v>0</v>
      </c>
      <c r="BZ133" s="770">
        <f>+BZ69+BZ70+BZ86+BZ85+'recon-SONPws'!BZ45</f>
        <v>0</v>
      </c>
      <c r="CA133" s="770">
        <f>+CA69+CA70+CA86+CA85+'recon-SONPws'!CA45</f>
        <v>0</v>
      </c>
      <c r="CB133" s="770">
        <f>+CB69+CB70+CB86+CB85+'recon-SONPws'!CB45</f>
        <v>0</v>
      </c>
    </row>
    <row r="134" spans="1:80" s="770" customFormat="1" ht="12.75" customHeight="1" x14ac:dyDescent="0.2">
      <c r="A134" s="1325" t="s">
        <v>1078</v>
      </c>
      <c r="B134" s="770">
        <f t="shared" si="114"/>
        <v>0</v>
      </c>
      <c r="C134" s="770">
        <f>+C71+C87+'recon-SONPws'!C46</f>
        <v>0</v>
      </c>
      <c r="D134" s="770">
        <f>+D71+D87+'recon-SONPws'!D46</f>
        <v>0</v>
      </c>
      <c r="E134" s="770">
        <f>+E71+E87+'recon-SONPws'!E46</f>
        <v>0</v>
      </c>
      <c r="F134" s="770">
        <f>+F71+F87+'recon-SONPws'!F46</f>
        <v>0</v>
      </c>
      <c r="G134" s="770">
        <f>+G71+G87+'recon-SONPws'!G46</f>
        <v>0</v>
      </c>
      <c r="H134" s="770">
        <f>+H71+H87+'recon-SONPws'!H46</f>
        <v>0</v>
      </c>
      <c r="I134" s="770">
        <f>+I71+I87+'recon-SONPws'!I46</f>
        <v>0</v>
      </c>
      <c r="J134" s="770">
        <f>+J71+J87+'recon-SONPws'!J46</f>
        <v>0</v>
      </c>
      <c r="K134" s="770">
        <f>+K71+K87+'recon-SONPws'!K46</f>
        <v>0</v>
      </c>
      <c r="L134" s="770">
        <f>+L71+L87+'recon-SONPws'!L46</f>
        <v>0</v>
      </c>
      <c r="M134" s="770">
        <f>+M71+M87+'recon-SONPws'!M46</f>
        <v>0</v>
      </c>
      <c r="N134" s="770">
        <f>+N71+N87+'recon-SONPws'!N46</f>
        <v>0</v>
      </c>
      <c r="O134" s="770">
        <f>+O71+O87+'recon-SONPws'!O46</f>
        <v>0</v>
      </c>
      <c r="P134" s="770">
        <f>+P71+P87+'recon-SONPws'!P46</f>
        <v>0</v>
      </c>
      <c r="Q134" s="770">
        <f>+Q71+Q87+'recon-SONPws'!Q46</f>
        <v>0</v>
      </c>
      <c r="R134" s="770">
        <f>+R71+R87+'recon-SONPws'!R46</f>
        <v>0</v>
      </c>
      <c r="S134" s="770">
        <f>+S71+S87+'recon-SONPws'!S46</f>
        <v>0</v>
      </c>
      <c r="T134" s="770">
        <f>+T71+T87+'recon-SONPws'!T46</f>
        <v>0</v>
      </c>
      <c r="U134" s="770">
        <f>+U71+U87+'recon-SONPws'!U46</f>
        <v>0</v>
      </c>
      <c r="V134" s="770">
        <f>+V71+V87+'recon-SONPws'!V46</f>
        <v>0</v>
      </c>
      <c r="W134" s="770">
        <f>+W71+W87+'recon-SONPws'!W46</f>
        <v>0</v>
      </c>
      <c r="X134" s="770">
        <f>+X71+X87+'recon-SONPws'!X46</f>
        <v>0</v>
      </c>
      <c r="Y134" s="770">
        <f>+Y71+Y87+'recon-SONPws'!Y46</f>
        <v>0</v>
      </c>
      <c r="Z134" s="770">
        <f>+Z71+Z87+'recon-SONPws'!Z46</f>
        <v>0</v>
      </c>
      <c r="AA134" s="770">
        <f>+AA71+AA87+'recon-SONPws'!AA46</f>
        <v>0</v>
      </c>
      <c r="AB134" s="770">
        <f>+AB71+AB87+'recon-SONPws'!AB46</f>
        <v>0</v>
      </c>
      <c r="AC134" s="770">
        <f>+AC71+AC87+'recon-SONPws'!AC46</f>
        <v>0</v>
      </c>
      <c r="AD134" s="770">
        <f>+AD71+AD87+'recon-SONPws'!AD46</f>
        <v>0</v>
      </c>
      <c r="AE134" s="770">
        <f>+AE71+AE87+'recon-SONPws'!AE46</f>
        <v>0</v>
      </c>
      <c r="AF134" s="770">
        <f>+AF71+AF87+'recon-SONPws'!AF46</f>
        <v>0</v>
      </c>
      <c r="AG134" s="770">
        <f>+AG71+AG87+'recon-SONPws'!AG46</f>
        <v>0</v>
      </c>
      <c r="AH134" s="770">
        <f>+AH71+AH87+'recon-SONPws'!AH46</f>
        <v>0</v>
      </c>
      <c r="AI134" s="770">
        <f>+AI71+AI87+'recon-SONPws'!AI46</f>
        <v>0</v>
      </c>
      <c r="AJ134" s="770">
        <f>+AJ71+AJ87+'recon-SONPws'!AJ46</f>
        <v>0</v>
      </c>
      <c r="AK134" s="770">
        <f>+AK71+AK87+'recon-SONPws'!AK46</f>
        <v>0</v>
      </c>
      <c r="AL134" s="770">
        <f>+AL71+AL87+'recon-SONPws'!AL46</f>
        <v>0</v>
      </c>
      <c r="AM134" s="770">
        <f>+AM71+AM87+'recon-SONPws'!AM46</f>
        <v>0</v>
      </c>
      <c r="AN134" s="770">
        <f>+AN71+AN87+'recon-SONPws'!AN46</f>
        <v>0</v>
      </c>
      <c r="AO134" s="770">
        <f>+AO71+AO87+'recon-SONPws'!AO46</f>
        <v>0</v>
      </c>
      <c r="AP134" s="770">
        <f>+AP71+AP87+'recon-SONPws'!AP46</f>
        <v>0</v>
      </c>
      <c r="AQ134" s="770">
        <f>+AQ71+AQ87+'recon-SONPws'!AQ46</f>
        <v>0</v>
      </c>
      <c r="AR134" s="770">
        <f>+AR71+AR87+'recon-SONPws'!AR46</f>
        <v>0</v>
      </c>
      <c r="AS134" s="770">
        <f>+AS71+AS87+'recon-SONPws'!AS46</f>
        <v>0</v>
      </c>
      <c r="AT134" s="770">
        <f>+AT71+AT87+'recon-SONPws'!AT46</f>
        <v>0</v>
      </c>
      <c r="AU134" s="770">
        <f>+AU71+AU87+'recon-SONPws'!AU46</f>
        <v>0</v>
      </c>
      <c r="AV134" s="770">
        <f>+AV71+AV87+'recon-SONPws'!AV46</f>
        <v>0</v>
      </c>
      <c r="AW134" s="770">
        <f>+AW71+AW87+'recon-SONPws'!AW46</f>
        <v>0</v>
      </c>
      <c r="AX134" s="770">
        <f>+AX71+AX87+'recon-SONPws'!AX46</f>
        <v>0</v>
      </c>
      <c r="AY134" s="770">
        <f>+AY71+AY87+'recon-SONPws'!AY46</f>
        <v>0</v>
      </c>
      <c r="AZ134" s="770">
        <f>+AZ71+AZ87+'recon-SONPws'!AZ46</f>
        <v>0</v>
      </c>
      <c r="BA134" s="770">
        <f>+BA71+BA87+'recon-SONPws'!BA46</f>
        <v>0</v>
      </c>
      <c r="BB134" s="770">
        <f>+BB71+BB87+'recon-SONPws'!BB46</f>
        <v>0</v>
      </c>
      <c r="BC134" s="770">
        <f>+BC71+BC87+'recon-SONPws'!BC46</f>
        <v>0</v>
      </c>
      <c r="BD134" s="770">
        <f>+BD71+BD87+'recon-SONPws'!BD46</f>
        <v>0</v>
      </c>
      <c r="BE134" s="770">
        <f>+BE71+BE87+'recon-SONPws'!BE46</f>
        <v>0</v>
      </c>
      <c r="BF134" s="770">
        <f>+BF71+BF87+'recon-SONPws'!BF46</f>
        <v>0</v>
      </c>
      <c r="BG134" s="770">
        <f>+BG71+BG87+'recon-SONPws'!BG46</f>
        <v>0</v>
      </c>
      <c r="BH134" s="770">
        <f>+BH71+BH87+'recon-SONPws'!BH46</f>
        <v>0</v>
      </c>
      <c r="BI134" s="770">
        <f>+BI71+BI87+'recon-SONPws'!BI46</f>
        <v>0</v>
      </c>
      <c r="BJ134" s="770">
        <f>+BJ71+BJ87+'recon-SONPws'!BJ46</f>
        <v>0</v>
      </c>
      <c r="BK134" s="770">
        <f>+BK71+BK87+'recon-SONPws'!BK46</f>
        <v>0</v>
      </c>
      <c r="BL134" s="770">
        <f>+BL71+BL87+'recon-SONPws'!BL46</f>
        <v>0</v>
      </c>
      <c r="BM134" s="770">
        <f>+BM71+BM87+'recon-SONPws'!BM46</f>
        <v>0</v>
      </c>
      <c r="BN134" s="770">
        <f>+BN71+BN87+'recon-SONPws'!BN46</f>
        <v>0</v>
      </c>
      <c r="BO134" s="770">
        <f>+BO71+BO87+'recon-SONPws'!BO46</f>
        <v>0</v>
      </c>
      <c r="BP134" s="770">
        <f>+BP71+BP87+'recon-SONPws'!BP46</f>
        <v>0</v>
      </c>
      <c r="BQ134" s="770">
        <f>+BQ71+BQ87+'recon-SONPws'!BQ46</f>
        <v>0</v>
      </c>
      <c r="BR134" s="770">
        <f>+BR71+BR87+'recon-SONPws'!BR46</f>
        <v>0</v>
      </c>
      <c r="BS134" s="770">
        <f>+BS71+BS87+'recon-SONPws'!BS46</f>
        <v>0</v>
      </c>
      <c r="BZ134" s="770">
        <f>+BZ71+BZ87+'recon-SONPws'!BZ46</f>
        <v>0</v>
      </c>
      <c r="CA134" s="770">
        <f>+CA71+CA87+'recon-SONPws'!CA46</f>
        <v>0</v>
      </c>
      <c r="CB134" s="770">
        <f>+CB71+CB87+'recon-SONPws'!CB46</f>
        <v>0</v>
      </c>
    </row>
    <row r="135" spans="1:80" s="770" customFormat="1" ht="12.75" customHeight="1" x14ac:dyDescent="0.2">
      <c r="A135" s="1325" t="s">
        <v>1170</v>
      </c>
      <c r="B135" s="770">
        <f t="shared" si="114"/>
        <v>0</v>
      </c>
      <c r="C135" s="770">
        <f>+C74+C88+'recon-SONPws'!C50</f>
        <v>0</v>
      </c>
      <c r="D135" s="770">
        <f>+D74+D88+'recon-SONPws'!D50</f>
        <v>0</v>
      </c>
      <c r="E135" s="770">
        <f>+E74+E88+'recon-SONPws'!E50</f>
        <v>0</v>
      </c>
      <c r="F135" s="770">
        <f>+F74+F88+'recon-SONPws'!F50</f>
        <v>0</v>
      </c>
      <c r="G135" s="770">
        <f>+G74+G88+'recon-SONPws'!G50</f>
        <v>0</v>
      </c>
      <c r="H135" s="770">
        <f>+H74+H88+'recon-SONPws'!H50</f>
        <v>0</v>
      </c>
      <c r="I135" s="770">
        <f>+I74+I88+'recon-SONPws'!I50</f>
        <v>0</v>
      </c>
      <c r="J135" s="770">
        <f>+J74+J88+'recon-SONPws'!J50</f>
        <v>0</v>
      </c>
      <c r="K135" s="770">
        <f>+K74+K88+'recon-SONPws'!K50</f>
        <v>0</v>
      </c>
      <c r="L135" s="770">
        <f>+L74+L88+'recon-SONPws'!L50</f>
        <v>0</v>
      </c>
      <c r="M135" s="770">
        <f>+M74+M88+'recon-SONPws'!M50</f>
        <v>0</v>
      </c>
      <c r="N135" s="770">
        <f>+N74+N88+'recon-SONPws'!N50</f>
        <v>0</v>
      </c>
      <c r="O135" s="770">
        <f>+O74+O88+'recon-SONPws'!O50</f>
        <v>0</v>
      </c>
      <c r="P135" s="770">
        <f>+P74+P88+'recon-SONPws'!P50</f>
        <v>0</v>
      </c>
      <c r="Q135" s="770">
        <f>+Q74+Q88+'recon-SONPws'!Q50</f>
        <v>0</v>
      </c>
      <c r="R135" s="770">
        <f>+R74+R88+'recon-SONPws'!R50</f>
        <v>0</v>
      </c>
      <c r="S135" s="770">
        <f>+S74+S88+'recon-SONPws'!S50</f>
        <v>0</v>
      </c>
      <c r="T135" s="770">
        <f>+T74+T88+'recon-SONPws'!T50</f>
        <v>0</v>
      </c>
      <c r="U135" s="770">
        <f>+U74+U88+'recon-SONPws'!U50</f>
        <v>0</v>
      </c>
      <c r="V135" s="770">
        <f>+V74+V88+'recon-SONPws'!V50</f>
        <v>0</v>
      </c>
      <c r="W135" s="770">
        <f>+W74+W88+'recon-SONPws'!W50</f>
        <v>0</v>
      </c>
      <c r="X135" s="770">
        <f>+X74+X88+'recon-SONPws'!X50</f>
        <v>0</v>
      </c>
      <c r="Y135" s="770">
        <f>+Y74+Y88+'recon-SONPws'!Y50</f>
        <v>0</v>
      </c>
      <c r="Z135" s="770">
        <f>+Z74+Z88+'recon-SONPws'!Z50</f>
        <v>0</v>
      </c>
      <c r="AA135" s="770">
        <f>+AA74+AA88+'recon-SONPws'!AA50</f>
        <v>0</v>
      </c>
      <c r="AB135" s="770">
        <f>+AB74+AB88+'recon-SONPws'!AB50</f>
        <v>0</v>
      </c>
      <c r="AC135" s="770">
        <f>+AC74+AC88+'recon-SONPws'!AC50</f>
        <v>0</v>
      </c>
      <c r="AD135" s="770">
        <f>+AD74+AD88+'recon-SONPws'!AD50</f>
        <v>0</v>
      </c>
      <c r="AE135" s="770">
        <f>+AE74+AE88+'recon-SONPws'!AE50</f>
        <v>0</v>
      </c>
      <c r="AF135" s="770">
        <f>+AF74+AF88+'recon-SONPws'!AF50</f>
        <v>0</v>
      </c>
      <c r="AG135" s="770">
        <f>+AG74+AG88+'recon-SONPws'!AG50</f>
        <v>0</v>
      </c>
      <c r="AH135" s="770">
        <f>+AH74+AH88+'recon-SONPws'!AH50</f>
        <v>0</v>
      </c>
      <c r="AI135" s="770">
        <f>+AI74+AI88+'recon-SONPws'!AI50</f>
        <v>0</v>
      </c>
      <c r="AJ135" s="770">
        <f>+AJ74+AJ88+'recon-SONPws'!AJ50</f>
        <v>0</v>
      </c>
      <c r="AK135" s="770">
        <f>+AK74+AK88+'recon-SONPws'!AK50</f>
        <v>0</v>
      </c>
      <c r="AL135" s="770">
        <f>+AL74+AL88+'recon-SONPws'!AL50</f>
        <v>0</v>
      </c>
      <c r="AM135" s="770">
        <f>+AM74+AM88+'recon-SONPws'!AM50</f>
        <v>0</v>
      </c>
      <c r="AN135" s="770">
        <f>+AN74+AN88+'recon-SONPws'!AN50</f>
        <v>0</v>
      </c>
      <c r="AO135" s="770">
        <f>+AO74+AO88+'recon-SONPws'!AO50</f>
        <v>0</v>
      </c>
      <c r="AP135" s="770">
        <f>+AP74+AP88+'recon-SONPws'!AP50</f>
        <v>0</v>
      </c>
      <c r="AQ135" s="770">
        <f>+AQ74+AQ88+'recon-SONPws'!AQ50</f>
        <v>0</v>
      </c>
      <c r="AR135" s="770">
        <f>+AR74+AR88+'recon-SONPws'!AR50</f>
        <v>0</v>
      </c>
      <c r="AS135" s="770">
        <f>+AS74+AS88+'recon-SONPws'!AS50</f>
        <v>0</v>
      </c>
      <c r="AT135" s="770">
        <f>+AT74+AT88+'recon-SONPws'!AT50</f>
        <v>0</v>
      </c>
      <c r="AU135" s="770">
        <f>+AU74+AU88+'recon-SONPws'!AU50</f>
        <v>0</v>
      </c>
      <c r="AV135" s="770">
        <f>+AV74+AV88+'recon-SONPws'!AV50</f>
        <v>0</v>
      </c>
      <c r="AW135" s="770">
        <f>+AW74+AW88+'recon-SONPws'!AW50</f>
        <v>0</v>
      </c>
      <c r="AX135" s="770">
        <f>+AX74+AX88+'recon-SONPws'!AX50</f>
        <v>0</v>
      </c>
      <c r="AY135" s="770">
        <f>+AY74+AY88+'recon-SONPws'!AY50</f>
        <v>0</v>
      </c>
      <c r="AZ135" s="770">
        <f>+AZ74+AZ88+'recon-SONPws'!AZ50</f>
        <v>0</v>
      </c>
      <c r="BA135" s="770">
        <f>+BA74+BA88+'recon-SONPws'!BA50</f>
        <v>0</v>
      </c>
      <c r="BB135" s="770">
        <f>+BB74+BB88+'recon-SONPws'!BB50</f>
        <v>0</v>
      </c>
      <c r="BC135" s="770">
        <f>+BC74+BC88+'recon-SONPws'!BC50</f>
        <v>0</v>
      </c>
      <c r="BD135" s="770">
        <f>+BD74+BD88+'recon-SONPws'!BD50</f>
        <v>0</v>
      </c>
      <c r="BE135" s="770">
        <f>+BE74+BE88+'recon-SONPws'!BE50</f>
        <v>0</v>
      </c>
      <c r="BF135" s="770">
        <f>+BF74+BF88+'recon-SONPws'!BF50</f>
        <v>0</v>
      </c>
      <c r="BG135" s="770">
        <f>+BG74+BG88+'recon-SONPws'!BG50</f>
        <v>0</v>
      </c>
      <c r="BH135" s="770">
        <f>+BH74+BH88+'recon-SONPws'!BH50</f>
        <v>0</v>
      </c>
      <c r="BI135" s="770">
        <f>+BI74+BI88+'recon-SONPws'!BI50</f>
        <v>0</v>
      </c>
      <c r="BJ135" s="770">
        <f>+BJ77+BJ92+'recon-SONPws'!BJ47</f>
        <v>0</v>
      </c>
      <c r="BK135" s="770">
        <f>+BK74+BK88+'recon-SONPws'!BK50</f>
        <v>0</v>
      </c>
      <c r="BL135" s="770">
        <f>+BL74+BL88+'recon-SONPws'!BL50</f>
        <v>0</v>
      </c>
      <c r="BM135" s="770">
        <f>+BM74+BM88+'recon-SONPws'!BM50</f>
        <v>0</v>
      </c>
      <c r="BN135" s="770">
        <f>+BN74+BN88+'recon-SONPws'!BN50</f>
        <v>0</v>
      </c>
      <c r="BO135" s="770">
        <f>+BO74+BO88+'recon-SONPws'!BO50</f>
        <v>0</v>
      </c>
      <c r="BP135" s="770">
        <f>+BP74+BP88+'recon-SONPws'!BP50</f>
        <v>0</v>
      </c>
      <c r="BQ135" s="770">
        <f>+BQ74+BQ88+'recon-SONPws'!BQ50</f>
        <v>0</v>
      </c>
      <c r="BR135" s="770">
        <f>+BR74+BR88+'recon-SONPws'!BR50</f>
        <v>0</v>
      </c>
      <c r="BS135" s="770">
        <f>+BS74+BS88+'recon-SONPws'!BS50</f>
        <v>0</v>
      </c>
      <c r="BT135" s="770">
        <f>+BT74+BT88+'recon-SONPws'!BT50</f>
        <v>0</v>
      </c>
      <c r="BU135" s="770">
        <f>+BU74+BU88+'recon-SONPws'!BU50</f>
        <v>0</v>
      </c>
      <c r="BV135" s="770">
        <f>+BV74+BV88+'recon-SONPws'!BV50</f>
        <v>0</v>
      </c>
      <c r="BW135" s="770">
        <f>+BW74+BW88+'recon-SONPws'!BW50</f>
        <v>0</v>
      </c>
      <c r="BX135" s="770">
        <f>+BX74+BX88+'recon-SONPws'!BX50</f>
        <v>0</v>
      </c>
      <c r="BY135" s="770">
        <f>+BY74+BY88+'recon-SONPws'!BY50</f>
        <v>0</v>
      </c>
      <c r="BZ135" s="770">
        <f>+BZ74+BZ88+'recon-SONPws'!BZ50</f>
        <v>0</v>
      </c>
      <c r="CA135" s="770">
        <f>+CA74+CA88+'recon-SONPws'!CA50</f>
        <v>0</v>
      </c>
      <c r="CB135" s="770">
        <f>+CB74+CB88+'recon-SONPws'!CB50</f>
        <v>0</v>
      </c>
    </row>
    <row r="136" spans="1:80" s="770" customFormat="1" ht="12.75" customHeight="1" x14ac:dyDescent="0.2">
      <c r="A136" s="1325" t="s">
        <v>1079</v>
      </c>
      <c r="B136" s="770">
        <f t="shared" si="114"/>
        <v>0</v>
      </c>
      <c r="C136" s="770">
        <f>+C77+C92+'recon-SONPws'!C47</f>
        <v>0</v>
      </c>
      <c r="D136" s="770">
        <f>+D77+D92+'recon-SONPws'!D47</f>
        <v>0</v>
      </c>
      <c r="E136" s="770">
        <f>+E77+E92+'recon-SONPws'!E47</f>
        <v>0</v>
      </c>
      <c r="F136" s="770">
        <f>+F77+F92+'recon-SONPws'!F47</f>
        <v>0</v>
      </c>
      <c r="G136" s="770">
        <f>+G77+G92+'recon-SONPws'!G47</f>
        <v>0</v>
      </c>
      <c r="H136" s="770">
        <f>+H77+H92+'recon-SONPws'!H47</f>
        <v>0</v>
      </c>
      <c r="I136" s="770">
        <f>+I77+I92+'recon-SONPws'!I47</f>
        <v>0</v>
      </c>
      <c r="J136" s="770">
        <f>+J77+J92+'recon-SONPws'!J47</f>
        <v>0</v>
      </c>
      <c r="K136" s="770">
        <f>+K77+K92+'recon-SONPws'!K47</f>
        <v>0</v>
      </c>
      <c r="L136" s="770">
        <f>+L77+L92+'recon-SONPws'!L47</f>
        <v>0</v>
      </c>
      <c r="M136" s="770">
        <f>+M77+M92+'recon-SONPws'!M47</f>
        <v>0</v>
      </c>
      <c r="N136" s="770">
        <f>+N77+N92+'recon-SONPws'!N47</f>
        <v>0</v>
      </c>
      <c r="O136" s="770">
        <f>+O77+O92+'recon-SONPws'!O47</f>
        <v>0</v>
      </c>
      <c r="P136" s="770">
        <f>+P77+P92+'recon-SONPws'!P47</f>
        <v>0</v>
      </c>
      <c r="Q136" s="770">
        <f>+Q77+Q92+'recon-SONPws'!Q47</f>
        <v>0</v>
      </c>
      <c r="R136" s="770">
        <f>+R77+R92+'recon-SONPws'!R47</f>
        <v>0</v>
      </c>
      <c r="S136" s="770">
        <f>+S77+S92+'recon-SONPws'!S47</f>
        <v>0</v>
      </c>
      <c r="T136" s="770">
        <f>+T77+T92+'recon-SONPws'!T47</f>
        <v>0</v>
      </c>
      <c r="U136" s="770">
        <f>+U77+U92+'recon-SONPws'!U47</f>
        <v>0</v>
      </c>
      <c r="V136" s="770">
        <f>+V77+V92+'recon-SONPws'!V47</f>
        <v>0</v>
      </c>
      <c r="W136" s="770">
        <f>+W77+W92+'recon-SONPws'!W47</f>
        <v>0</v>
      </c>
      <c r="X136" s="770">
        <f>+X77+X92+'recon-SONPws'!X47</f>
        <v>0</v>
      </c>
      <c r="Y136" s="770">
        <f>+Y77+Y92+'recon-SONPws'!Y47</f>
        <v>0</v>
      </c>
      <c r="Z136" s="770">
        <f>+Z77+Z92+'recon-SONPws'!Z47</f>
        <v>0</v>
      </c>
      <c r="AA136" s="770">
        <f>+AA77+AA92+'recon-SONPws'!AA47</f>
        <v>0</v>
      </c>
      <c r="AB136" s="770">
        <f>+AB77+AB92+'recon-SONPws'!AB47</f>
        <v>0</v>
      </c>
      <c r="AC136" s="770">
        <f>+AC77+AC92+'recon-SONPws'!AC47</f>
        <v>0</v>
      </c>
      <c r="AD136" s="770">
        <f>+AD77+AD92+'recon-SONPws'!AD47</f>
        <v>0</v>
      </c>
      <c r="AE136" s="770">
        <f>+AE77+AE92+'recon-SONPws'!AE47</f>
        <v>0</v>
      </c>
      <c r="AF136" s="770">
        <f>+AF77+AF92+'recon-SONPws'!AF47</f>
        <v>0</v>
      </c>
      <c r="AG136" s="770">
        <f>+AG77+AG92+'recon-SONPws'!AG47</f>
        <v>0</v>
      </c>
      <c r="AH136" s="770">
        <f>+AH77+AH92+'recon-SONPws'!AH47</f>
        <v>0</v>
      </c>
      <c r="AI136" s="770">
        <f>+AI77+AI92+'recon-SONPws'!AI47</f>
        <v>0</v>
      </c>
      <c r="AJ136" s="770">
        <f>+AJ77+AJ92+'recon-SONPws'!AJ47</f>
        <v>0</v>
      </c>
      <c r="AK136" s="770">
        <f>+AK77+AK92+'recon-SONPws'!AK47</f>
        <v>0</v>
      </c>
      <c r="AL136" s="770">
        <f>+AL77+AL92+'recon-SONPws'!AL47</f>
        <v>0</v>
      </c>
      <c r="AM136" s="770">
        <f>+AM77+AM92+'recon-SONPws'!AM47</f>
        <v>0</v>
      </c>
      <c r="AN136" s="770">
        <f>+AN77+AN92+'recon-SONPws'!AN47</f>
        <v>0</v>
      </c>
      <c r="AO136" s="770">
        <f>+AO77+AO92+'recon-SONPws'!AO47</f>
        <v>0</v>
      </c>
      <c r="AP136" s="770">
        <f>+AP77+AP92+'recon-SONPws'!AP47</f>
        <v>0</v>
      </c>
      <c r="AQ136" s="770">
        <f>+AQ77+AQ92+'recon-SONPws'!AQ47</f>
        <v>0</v>
      </c>
      <c r="AR136" s="770">
        <f>+AR77+AR92+'recon-SONPws'!AR47</f>
        <v>0</v>
      </c>
      <c r="AS136" s="770">
        <f>+AS77+AS92+'recon-SONPws'!AS47</f>
        <v>0</v>
      </c>
      <c r="AT136" s="770">
        <f>+AT77+AT92+'recon-SONPws'!AT47</f>
        <v>0</v>
      </c>
      <c r="AU136" s="770">
        <f>+AU77+AU92+'recon-SONPws'!AU47</f>
        <v>0</v>
      </c>
      <c r="AV136" s="770">
        <f>+AV77+AV92+'recon-SONPws'!AV47</f>
        <v>0</v>
      </c>
      <c r="AW136" s="770">
        <f>+AW77+AW92+'recon-SONPws'!AW47</f>
        <v>0</v>
      </c>
      <c r="AX136" s="770">
        <f>+AX77+AX92+'recon-SONPws'!AX47</f>
        <v>0</v>
      </c>
      <c r="AY136" s="770">
        <f>+AY77+AY92+'recon-SONPws'!AY47</f>
        <v>0</v>
      </c>
      <c r="AZ136" s="770">
        <f>+AZ77+AZ92+'recon-SONPws'!AZ47</f>
        <v>0</v>
      </c>
      <c r="BA136" s="770">
        <f>+BA77+BA92+'recon-SONPws'!BA47</f>
        <v>0</v>
      </c>
      <c r="BB136" s="770">
        <f>+BB77+BB92+'recon-SONPws'!BB47</f>
        <v>0</v>
      </c>
      <c r="BC136" s="770">
        <f>+BC77+BC92+'recon-SONPws'!BC47</f>
        <v>0</v>
      </c>
      <c r="BD136" s="770">
        <f>+BD77+BD92+'recon-SONPws'!BD47</f>
        <v>0</v>
      </c>
      <c r="BE136" s="770">
        <f>+BE77+BE92+'recon-SONPws'!BE47</f>
        <v>0</v>
      </c>
      <c r="BF136" s="770">
        <f>+BF77+BF92+'recon-SONPws'!BF47</f>
        <v>0</v>
      </c>
      <c r="BG136" s="770">
        <f>+BG77+BG92+'recon-SONPws'!BG47</f>
        <v>0</v>
      </c>
      <c r="BH136" s="770">
        <f>+BH77+BH92+'recon-SONPws'!BH47</f>
        <v>0</v>
      </c>
      <c r="BI136" s="770">
        <f>+BI77+BI92+'recon-SONPws'!BI47</f>
        <v>0</v>
      </c>
      <c r="BJ136" s="770">
        <f>+BJ77+BJ92+'recon-SONPws'!BJ47</f>
        <v>0</v>
      </c>
      <c r="BK136" s="770">
        <f>+BK77+BK92+'recon-SONPws'!BK47</f>
        <v>0</v>
      </c>
      <c r="BL136" s="770">
        <f>+BL77+BL92+'recon-SONPws'!BL47</f>
        <v>0</v>
      </c>
      <c r="BM136" s="770">
        <f>+BM77+BM92+'recon-SONPws'!BM47</f>
        <v>0</v>
      </c>
      <c r="BN136" s="770">
        <f>+BN77+BN92+'recon-SONPws'!BN47</f>
        <v>0</v>
      </c>
      <c r="BO136" s="770">
        <f>+BO77+BO92+'recon-SONPws'!BO47</f>
        <v>0</v>
      </c>
      <c r="BP136" s="770">
        <f>+BP77+BP92+'recon-SONPws'!BP47</f>
        <v>0</v>
      </c>
      <c r="BQ136" s="770">
        <f>+BQ77+BQ92+'recon-SONPws'!BQ47</f>
        <v>0</v>
      </c>
      <c r="BR136" s="770">
        <f>+BR77+BR92+'recon-SONPws'!BR47</f>
        <v>0</v>
      </c>
      <c r="BS136" s="770">
        <f>+BS77+BS92+'recon-SONPws'!BS47</f>
        <v>0</v>
      </c>
      <c r="BZ136" s="770">
        <f>+BZ77+BZ92+'recon-SONPws'!BZ47</f>
        <v>0</v>
      </c>
      <c r="CA136" s="770">
        <f>+CA77+CA92+'recon-SONPws'!CA47</f>
        <v>0</v>
      </c>
      <c r="CB136" s="770">
        <f>+CB77+CB92+'recon-SONPws'!CB47</f>
        <v>0</v>
      </c>
    </row>
    <row r="137" spans="1:80" s="228" customFormat="1" ht="12.75" customHeight="1" x14ac:dyDescent="0.2">
      <c r="A137" s="781" t="s">
        <v>1082</v>
      </c>
      <c r="B137" s="228">
        <f t="shared" si="114"/>
        <v>-220303</v>
      </c>
      <c r="C137" s="228">
        <f>+BSGFws!C32+BSGFws!C41-'recon-SONPws'!C28-SONPws!C51-SONPws!C57-'recon-SONPws'!C29</f>
        <v>-64719</v>
      </c>
      <c r="D137" s="228">
        <f>+BSGFws!D32+BSGFws!D41-'recon-SONPws'!D28-SONPws!D51-SONPws!D57-'recon-SONPws'!D29</f>
        <v>-15108</v>
      </c>
      <c r="E137" s="228">
        <f>+BSGFws!E32+BSGFws!E41-'recon-SONPws'!E28-SONPws!E51-SONPws!E57-'recon-SONPws'!E29</f>
        <v>-18699</v>
      </c>
      <c r="F137" s="228">
        <f>+BSGFws!F32+BSGFws!F41-'recon-SONPws'!F28-SONPws!F51-SONPws!F57-'recon-SONPws'!F29</f>
        <v>-33501</v>
      </c>
      <c r="G137" s="228">
        <f>+BSGFws!G32+BSGFws!G41-'recon-SONPws'!G28-SONPws!G51-SONPws!G57-'recon-SONPws'!G29</f>
        <v>-10687</v>
      </c>
      <c r="H137" s="228">
        <f>+BSGFws!H32+BSGFws!H41-'recon-SONPws'!H28-SONPws!H51-SONPws!H57-'recon-SONPws'!H29</f>
        <v>0</v>
      </c>
      <c r="I137" s="228">
        <f>+BSGFws!I32+BSGFws!I41-'recon-SONPws'!I28-SONPws!I51-SONPws!I57-'recon-SONPws'!I29</f>
        <v>-30920</v>
      </c>
      <c r="J137" s="228">
        <f>+BSGFws!J32+BSGFws!J41-'recon-SONPws'!J28-SONPws!J51-SONPws!J57-'recon-SONPws'!J29</f>
        <v>0</v>
      </c>
      <c r="K137" s="228">
        <f>+BSGFws!K32+BSGFws!K41-'recon-SONPws'!K28-SONPws!K51-SONPws!K57-'recon-SONPws'!K29</f>
        <v>0</v>
      </c>
      <c r="L137" s="228">
        <f>+BSGFws!L32+BSGFws!L41-'recon-SONPws'!L28-SONPws!L51-SONPws!L57-'recon-SONPws'!L29</f>
        <v>0</v>
      </c>
      <c r="M137" s="228">
        <f>+BSGFws!M32+BSGFws!M41-'recon-SONPws'!M28-SONPws!M51-SONPws!M57-'recon-SONPws'!M29</f>
        <v>0</v>
      </c>
      <c r="N137" s="228">
        <f>+BSGFws!N32+BSGFws!N41-'recon-SONPws'!N28-SONPws!N51-SONPws!N57-'recon-SONPws'!N29</f>
        <v>-3531</v>
      </c>
      <c r="O137" s="228">
        <f>+BSGFws!O32+BSGFws!O41-'recon-SONPws'!O28-SONPws!O51-SONPws!O57-'recon-SONPws'!O29</f>
        <v>-32161</v>
      </c>
      <c r="P137" s="228">
        <f>+BSGFws!P32+BSGFws!P41-'recon-SONPws'!P28-SONPws!P51-SONPws!P57-'recon-SONPws'!P29</f>
        <v>-1009</v>
      </c>
      <c r="Q137" s="228">
        <f>+BSGFws!Q32+BSGFws!Q41-'recon-SONPws'!Q28-SONPws!Q51-SONPws!Q57-'recon-SONPws'!Q29</f>
        <v>0</v>
      </c>
      <c r="R137" s="228">
        <f>+BSGFws!R32+BSGFws!R41-'recon-SONPws'!R28-SONPws!R51-SONPws!R57-'recon-SONPws'!R29</f>
        <v>0</v>
      </c>
      <c r="S137" s="228">
        <f>+BSGFws!S32+BSGFws!S41-'recon-SONPws'!S28-SONPws!S51-SONPws!S57-'recon-SONPws'!S29</f>
        <v>0</v>
      </c>
      <c r="T137" s="228">
        <f>+BSGFws!T32+BSGFws!T41-'recon-SONPws'!T28-SONPws!T51-SONPws!T57-'recon-SONPws'!T29</f>
        <v>0</v>
      </c>
      <c r="U137" s="228">
        <f>+BSGFws!U32+BSGFws!U41-'recon-SONPws'!U28-SONPws!U51-SONPws!U57-'recon-SONPws'!U29</f>
        <v>0</v>
      </c>
      <c r="V137" s="228">
        <f>+BSGFws!V32+BSGFws!V41-'recon-SONPws'!V28-SONPws!V51-SONPws!V57-'recon-SONPws'!V29</f>
        <v>-502</v>
      </c>
      <c r="W137" s="228">
        <f>+BSGFws!W32+BSGFws!W41-'recon-SONPws'!W28-SONPws!W51-SONPws!W57-'recon-SONPws'!W29</f>
        <v>0</v>
      </c>
      <c r="X137" s="228">
        <f>+BSGFws!X32+BSGFws!X41-'recon-SONPws'!X28-SONPws!X51-SONPws!X57-'recon-SONPws'!X29</f>
        <v>0</v>
      </c>
      <c r="Y137" s="228">
        <f>+BSGFws!Y32+BSGFws!Y41-'recon-SONPws'!Y28-SONPws!Y51-SONPws!Y57-'recon-SONPws'!Y29</f>
        <v>0</v>
      </c>
      <c r="Z137" s="228">
        <f>+BSGFws!Z32+BSGFws!Z41-'recon-SONPws'!Z28-SONPws!Z51-SONPws!Z57-'recon-SONPws'!Z29</f>
        <v>0</v>
      </c>
      <c r="AA137" s="228">
        <f>+BSGFws!AA32+BSGFws!AA41-'recon-SONPws'!AA28-SONPws!AA51-SONPws!AA57-'recon-SONPws'!AA29</f>
        <v>0</v>
      </c>
      <c r="AB137" s="228">
        <f>+BSGFws!AB32+BSGFws!AB41-'recon-SONPws'!AB28-SONPws!AB51-SONPws!AB57-'recon-SONPws'!AB29</f>
        <v>0</v>
      </c>
      <c r="AC137" s="228">
        <f>+BSGFws!AC32+BSGFws!AC41-'recon-SONPws'!AC28-SONPws!AC51-SONPws!AC57-'recon-SONPws'!AC29</f>
        <v>0</v>
      </c>
      <c r="AD137" s="228">
        <f>+BSGFws!AD32+BSGFws!AD41-'recon-SONPws'!AD28-SONPws!AD51-SONPws!AD57-'recon-SONPws'!AD29</f>
        <v>0</v>
      </c>
      <c r="AE137" s="228">
        <f>+BSGFws!AE32+BSGFws!AE41-'recon-SONPws'!AE28-SONPws!AE51-SONPws!AE57-'recon-SONPws'!AE29</f>
        <v>-3025</v>
      </c>
      <c r="AF137" s="228">
        <f>+BSGFws!AF32+BSGFws!AF41-'recon-SONPws'!AF28-SONPws!AF51-SONPws!AF57-'recon-SONPws'!AF29</f>
        <v>-5338</v>
      </c>
      <c r="AG137" s="228">
        <f>+BSGFws!AG32+BSGFws!AG41-'recon-SONPws'!AG28-SONPws!AG51-SONPws!AG57-'recon-SONPws'!AG29</f>
        <v>0</v>
      </c>
      <c r="AH137" s="228">
        <f>+BSGFws!AH32+BSGFws!AH41-'recon-SONPws'!AH28-SONPws!AH51-SONPws!AH57-'recon-SONPws'!AH29</f>
        <v>0</v>
      </c>
      <c r="AI137" s="228">
        <f>+BSGFws!AI32+BSGFws!AI41-'recon-SONPws'!AI28-SONPws!AI51-SONPws!AI57-'recon-SONPws'!AI29</f>
        <v>0</v>
      </c>
      <c r="AJ137" s="228">
        <f>+BSGFws!AJ32+BSGFws!AJ41-'recon-SONPws'!AJ28-SONPws!AJ51-SONPws!AJ57-'recon-SONPws'!AJ29</f>
        <v>0</v>
      </c>
      <c r="AK137" s="228">
        <f>+BSGFws!AK32+BSGFws!AK41-'recon-SONPws'!AK28-SONPws!AK51-SONPws!AK57-'recon-SONPws'!AK29</f>
        <v>0</v>
      </c>
      <c r="AL137" s="228">
        <f>+BSGFws!AL32+BSGFws!AL41-'recon-SONPws'!AL28-SONPws!AL51-SONPws!AL57-'recon-SONPws'!AL29</f>
        <v>0</v>
      </c>
      <c r="AM137" s="228">
        <f>+BSGFws!AM32+BSGFws!AM41-'recon-SONPws'!AM28-SONPws!AM51-SONPws!AM57-'recon-SONPws'!AM29</f>
        <v>0</v>
      </c>
      <c r="AN137" s="228">
        <f>+BSGFws!AN32+BSGFws!AN41-'recon-SONPws'!AN28-SONPws!AN51-SONPws!AN57-'recon-SONPws'!AN29</f>
        <v>0</v>
      </c>
      <c r="AO137" s="228">
        <f>+BSGFws!AO32+BSGFws!AO41-'recon-SONPws'!AO28-SONPws!AO51-SONPws!AO57-'recon-SONPws'!AO29</f>
        <v>0</v>
      </c>
      <c r="AP137" s="228">
        <f>+BSGFws!AP32+BSGFws!AP41-'recon-SONPws'!AP28-SONPws!AP51-SONPws!AP57-'recon-SONPws'!AP29</f>
        <v>0</v>
      </c>
      <c r="AQ137" s="228">
        <f>+BSGFws!AQ32+BSGFws!AQ41-'recon-SONPws'!AQ28-SONPws!AQ51-SONPws!AQ57-'recon-SONPws'!AQ29</f>
        <v>0</v>
      </c>
      <c r="AR137" s="228">
        <f>+BSGFws!AR32+BSGFws!AR41-'recon-SONPws'!AR28-SONPws!AR51-SONPws!AR57-'recon-SONPws'!AR29</f>
        <v>0</v>
      </c>
      <c r="AS137" s="228">
        <f>+BSGFws!AS32+BSGFws!AS41-'recon-SONPws'!AS28-SONPws!AS51-SONPws!AS57-'recon-SONPws'!AS29</f>
        <v>0</v>
      </c>
      <c r="AT137" s="228">
        <f>+BSGFws!AT32+BSGFws!AT41-'recon-SONPws'!AT28-SONPws!AT51-SONPws!AT57-'recon-SONPws'!AT29</f>
        <v>-278</v>
      </c>
      <c r="AU137" s="228">
        <f>+BSGFws!AU32+BSGFws!AU41-'recon-SONPws'!AU28-SONPws!AU51-SONPws!AU57-'recon-SONPws'!AU29</f>
        <v>0</v>
      </c>
      <c r="AV137" s="228">
        <f>+BSGFws!AV32+BSGFws!AV41-'recon-SONPws'!AV28-SONPws!AV51-SONPws!AV57-'recon-SONPws'!AV29</f>
        <v>0</v>
      </c>
      <c r="AW137" s="228">
        <f>+BSGFws!AW32+BSGFws!AW41-'recon-SONPws'!AW28-SONPws!AW51-SONPws!AW57-'recon-SONPws'!AW29</f>
        <v>0</v>
      </c>
      <c r="AX137" s="228">
        <f>+BSGFws!AX32+BSGFws!AX41-'recon-SONPws'!AX28-SONPws!AX51-SONPws!AX57-'recon-SONPws'!AX29</f>
        <v>0</v>
      </c>
      <c r="AY137" s="228">
        <f>+BSGFws!AY32+BSGFws!AY41-'recon-SONPws'!AY28-SONPws!AY51-SONPws!AY57-'recon-SONPws'!AY29</f>
        <v>0</v>
      </c>
      <c r="AZ137" s="228">
        <f>+BSGFws!AZ32+BSGFws!AZ41-'recon-SONPws'!AZ28-SONPws!AZ51-SONPws!AZ57-'recon-SONPws'!AZ29</f>
        <v>0</v>
      </c>
      <c r="BA137" s="228">
        <f>+BSGFws!BA32+BSGFws!BA41-'recon-SONPws'!BA28-SONPws!BA51-SONPws!BA57-'recon-SONPws'!BA29</f>
        <v>0</v>
      </c>
      <c r="BB137" s="228">
        <f>+BSGFws!BB32+BSGFws!BB41-'recon-SONPws'!BB28-SONPws!BB51-SONPws!BB57-'recon-SONPws'!BB29</f>
        <v>0</v>
      </c>
      <c r="BC137" s="228">
        <f>+BSGFws!BC32+BSGFws!BC41-'recon-SONPws'!BC28-SONPws!BC51-SONPws!BC57-'recon-SONPws'!BC29</f>
        <v>0</v>
      </c>
      <c r="BD137" s="228">
        <f>+BSGFws!BD32+BSGFws!BD41-'recon-SONPws'!BD28-SONPws!BD51-SONPws!BD57-'recon-SONPws'!BD29</f>
        <v>0</v>
      </c>
      <c r="BE137" s="228">
        <f>+BSGFws!BE32+BSGFws!BE41-'recon-SONPws'!BE28-SONPws!BE51-SONPws!BE57-'recon-SONPws'!BE29</f>
        <v>0</v>
      </c>
      <c r="BF137" s="228">
        <f>+BSGFws!BF32+BSGFws!BF41-'recon-SONPws'!BF28-SONPws!BF51-SONPws!BF57-'recon-SONPws'!BF29</f>
        <v>0</v>
      </c>
      <c r="BG137" s="228">
        <f>+BSGFws!BG32+BSGFws!BG41-'recon-SONPws'!BG28-SONPws!BG51-SONPws!BG57-'recon-SONPws'!BG29</f>
        <v>0</v>
      </c>
      <c r="BH137" s="228">
        <f>+BSGFws!BH32+BSGFws!BH41-'recon-SONPws'!BH28-SONPws!BH51-SONPws!BH57-'recon-SONPws'!BH29</f>
        <v>0</v>
      </c>
      <c r="BI137" s="228">
        <f>+BSGFws!BI32+BSGFws!BI41-'recon-SONPws'!BI28-SONPws!BI51-SONPws!BI57-'recon-SONPws'!BI29</f>
        <v>0</v>
      </c>
      <c r="BJ137" s="228">
        <f>+BSGFws!BJ32+BSGFws!BJ41-'recon-SONPws'!BJ28-SONPws!BJ51-SONPws!BJ57-'recon-SONPws'!BJ29</f>
        <v>0</v>
      </c>
      <c r="BK137" s="228">
        <f>+BSGFws!BK32+BSGFws!BK41-'recon-SONPws'!BK28-SONPws!BK51-SONPws!BK57-'recon-SONPws'!BK29</f>
        <v>0</v>
      </c>
      <c r="BL137" s="228">
        <f>+BSGFws!BL32+BSGFws!BL41-'recon-SONPws'!BL28-SONPws!BL51-SONPws!BL57-'recon-SONPws'!BL29</f>
        <v>0</v>
      </c>
      <c r="BM137" s="228">
        <f>+BSGFws!BM32+BSGFws!BM41-'recon-SONPws'!BM28-SONPws!BM51-SONPws!BM57-'recon-SONPws'!BM29</f>
        <v>-825</v>
      </c>
      <c r="BN137" s="228">
        <f>+BSGFws!BN32+BSGFws!BN41-'recon-SONPws'!BN28-SONPws!BN51-SONPws!BN57-'recon-SONPws'!BN29</f>
        <v>0</v>
      </c>
      <c r="BO137" s="228">
        <f>+BSGFws!BO32+BSGFws!BO41-'recon-SONPws'!BO28-SONPws!BO51-SONPws!BO57-'recon-SONPws'!BO29</f>
        <v>0</v>
      </c>
      <c r="BP137" s="228">
        <f>+BSGFws!BP32+BSGFws!BP41-'recon-SONPws'!BP28-SONPws!BP51-SONPws!BP57-'recon-SONPws'!BP29</f>
        <v>0</v>
      </c>
      <c r="BQ137" s="228">
        <f>+BSGFws!BQ32+BSGFws!BQ41-'recon-SONPws'!BQ28-SONPws!BQ51-SONPws!BQ57-'recon-SONPws'!BQ29</f>
        <v>0</v>
      </c>
      <c r="BR137" s="228">
        <f>+BSGFws!BR32+BSGFws!BR41-'recon-SONPws'!BR28-SONPws!BR51-SONPws!BR57-'recon-SONPws'!BR29</f>
        <v>0</v>
      </c>
      <c r="BS137" s="228">
        <f>+BSGFws!BS32+BSGFws!BS41-'recon-SONPws'!BS28-SONPws!BS51-SONPws!BS57-'recon-SONPws'!BS29</f>
        <v>0</v>
      </c>
      <c r="BZ137" s="228">
        <f>+BSGFws!CA32+BSGFws!CA41-'recon-SONPws'!BZ28-SONPws!BZ51-SONPws!BZ57-'recon-SONPws'!BZ29</f>
        <v>0</v>
      </c>
      <c r="CA137" s="228">
        <f>+BSGFws!CB32+BSGFws!CB41-'recon-SONPws'!CA28-SONPws!CA51-SONPws!CA57-'recon-SONPws'!CA29</f>
        <v>0</v>
      </c>
      <c r="CB137" s="228">
        <f>+BSGFws!CC32+BSGFws!CC41-'recon-SONPws'!CB28-SONPws!CB51-SONPws!CB57-'recon-SONPws'!CB29</f>
        <v>0</v>
      </c>
    </row>
    <row r="138" spans="1:80" s="228" customFormat="1" ht="12.75" customHeight="1" x14ac:dyDescent="0.2">
      <c r="A138" s="781" t="s">
        <v>1080</v>
      </c>
      <c r="B138" s="228">
        <f t="shared" si="114"/>
        <v>112037</v>
      </c>
      <c r="C138" s="228">
        <f>+C90+'recon-SONPws'!C52</f>
        <v>0</v>
      </c>
      <c r="D138" s="228">
        <f>+D90+'recon-SONPws'!D52</f>
        <v>0</v>
      </c>
      <c r="E138" s="228">
        <f>+E90+'recon-SONPws'!E52</f>
        <v>0</v>
      </c>
      <c r="F138" s="228">
        <f>+F90+'recon-SONPws'!F52</f>
        <v>0</v>
      </c>
      <c r="G138" s="228">
        <f>+G90+'recon-SONPws'!G52</f>
        <v>0</v>
      </c>
      <c r="H138" s="228">
        <f>+H90+'recon-SONPws'!H52</f>
        <v>0</v>
      </c>
      <c r="I138" s="228">
        <f>+I90+'recon-SONPws'!I52</f>
        <v>0</v>
      </c>
      <c r="J138" s="228">
        <f>+J90+'recon-SONPws'!J52</f>
        <v>0</v>
      </c>
      <c r="K138" s="228">
        <f>+K90+'recon-SONPws'!K52</f>
        <v>0</v>
      </c>
      <c r="L138" s="228">
        <f>+L90+'recon-SONPws'!L52</f>
        <v>0</v>
      </c>
      <c r="M138" s="228">
        <f>+M90+'recon-SONPws'!M52</f>
        <v>0</v>
      </c>
      <c r="N138" s="228">
        <f>+N90+'recon-SONPws'!N52</f>
        <v>0</v>
      </c>
      <c r="O138" s="228">
        <f>+O90+'recon-SONPws'!O52</f>
        <v>0</v>
      </c>
      <c r="P138" s="228">
        <f>+P90+'recon-SONPws'!P52</f>
        <v>0</v>
      </c>
      <c r="Q138" s="228">
        <f>+Q90+'recon-SONPws'!Q52</f>
        <v>0</v>
      </c>
      <c r="R138" s="228">
        <f>+R90+'recon-SONPws'!R52</f>
        <v>0</v>
      </c>
      <c r="S138" s="228">
        <f>+S90+'recon-SONPws'!S52</f>
        <v>0</v>
      </c>
      <c r="T138" s="228">
        <f>+T90+'recon-SONPws'!T52</f>
        <v>0</v>
      </c>
      <c r="U138" s="228">
        <f>+U90+'recon-SONPws'!U52</f>
        <v>0</v>
      </c>
      <c r="V138" s="228">
        <f>+V90+'recon-SONPws'!V52</f>
        <v>0</v>
      </c>
      <c r="W138" s="228">
        <f>+W90+'recon-SONPws'!W52</f>
        <v>0</v>
      </c>
      <c r="X138" s="228">
        <f>+X90+'recon-SONPws'!X52</f>
        <v>0</v>
      </c>
      <c r="Y138" s="228">
        <f>+Y90+'recon-SONPws'!Y52</f>
        <v>0</v>
      </c>
      <c r="Z138" s="228">
        <f>+Z90+'recon-SONPws'!Z52</f>
        <v>0</v>
      </c>
      <c r="AA138" s="228">
        <f>+AA90+'recon-SONPws'!AA52</f>
        <v>0</v>
      </c>
      <c r="AB138" s="228">
        <f>+AB90+'recon-SONPws'!AB52</f>
        <v>0</v>
      </c>
      <c r="AC138" s="228">
        <f>+AC90+'recon-SONPws'!AC52</f>
        <v>0</v>
      </c>
      <c r="AD138" s="228">
        <f>+AD90+'recon-SONPws'!AD52</f>
        <v>0</v>
      </c>
      <c r="AE138" s="228">
        <f>+AE90+'recon-SONPws'!AE52</f>
        <v>0</v>
      </c>
      <c r="AF138" s="228">
        <f>+AF90+'recon-SONPws'!AF52</f>
        <v>0</v>
      </c>
      <c r="AG138" s="228">
        <f>+AG90+'recon-SONPws'!AG52</f>
        <v>0</v>
      </c>
      <c r="AH138" s="228">
        <f>+AH90+'recon-SONPws'!AH52</f>
        <v>0</v>
      </c>
      <c r="AI138" s="228">
        <f>+AI90+'recon-SONPws'!AI52</f>
        <v>0</v>
      </c>
      <c r="AJ138" s="228">
        <f>+AJ90+'recon-SONPws'!AJ52</f>
        <v>0</v>
      </c>
      <c r="AK138" s="228">
        <f>+AK90+'recon-SONPws'!AK52</f>
        <v>0</v>
      </c>
      <c r="AL138" s="228">
        <f>+AL90+'recon-SONPws'!AL52</f>
        <v>0</v>
      </c>
      <c r="AM138" s="228">
        <f>+AM90+'recon-SONPws'!AM52</f>
        <v>0</v>
      </c>
      <c r="AN138" s="228">
        <f>+AN90+'recon-SONPws'!AN52</f>
        <v>0</v>
      </c>
      <c r="AO138" s="228">
        <f>+AO90+'recon-SONPws'!AO52</f>
        <v>0</v>
      </c>
      <c r="AP138" s="228">
        <f>+AP90+'recon-SONPws'!AP52</f>
        <v>0</v>
      </c>
      <c r="AQ138" s="228">
        <f>+AQ90+'recon-SONPws'!AQ52</f>
        <v>0</v>
      </c>
      <c r="AR138" s="228">
        <f>+AR90+'recon-SONPws'!AR52</f>
        <v>0</v>
      </c>
      <c r="AS138" s="228">
        <f>+AS90+'recon-SONPws'!AS52</f>
        <v>0</v>
      </c>
      <c r="AT138" s="228">
        <f>+AT90+'recon-SONPws'!AT52</f>
        <v>0</v>
      </c>
      <c r="AU138" s="228">
        <f>+AU90+'recon-SONPws'!AU52</f>
        <v>0</v>
      </c>
      <c r="AV138" s="228">
        <f>+AV90+'recon-SONPws'!AV52</f>
        <v>0</v>
      </c>
      <c r="AW138" s="228">
        <f>+AW90+'recon-SONPws'!AW52</f>
        <v>0</v>
      </c>
      <c r="AX138" s="228">
        <f>+AX90+'recon-SONPws'!AX52</f>
        <v>0</v>
      </c>
      <c r="AY138" s="228">
        <f>+AY90+'recon-SONPws'!AY52</f>
        <v>0</v>
      </c>
      <c r="AZ138" s="228">
        <f>+AZ90+'recon-SONPws'!AZ52</f>
        <v>0</v>
      </c>
      <c r="BA138" s="228">
        <f>+BA90+'recon-SONPws'!BA52</f>
        <v>0</v>
      </c>
      <c r="BB138" s="228">
        <f>+BB90+'recon-SONPws'!BB52</f>
        <v>0</v>
      </c>
      <c r="BC138" s="228">
        <f>+BC90+'recon-SONPws'!BC52</f>
        <v>0</v>
      </c>
      <c r="BD138" s="228">
        <f>+BD90+'recon-SONPws'!BD52</f>
        <v>0</v>
      </c>
      <c r="BE138" s="228">
        <f>+BE90+'recon-SONPws'!BE52</f>
        <v>0</v>
      </c>
      <c r="BF138" s="228">
        <f>+BF90+'recon-SONPws'!BF52</f>
        <v>0</v>
      </c>
      <c r="BG138" s="228">
        <f>+BG90+'recon-SONPws'!BG52</f>
        <v>0</v>
      </c>
      <c r="BH138" s="228">
        <f>+BH90+'recon-SONPws'!BH52</f>
        <v>0</v>
      </c>
      <c r="BI138" s="228">
        <f>+BI90+'recon-SONPws'!BI52</f>
        <v>0</v>
      </c>
      <c r="BJ138" s="228">
        <f>+BJ90+'recon-SONPws'!BJ52</f>
        <v>0</v>
      </c>
      <c r="BK138" s="228">
        <f>+BK90+'recon-SONPws'!BK52</f>
        <v>0</v>
      </c>
      <c r="BL138" s="228">
        <f>+BL90+'recon-SONPws'!BL52</f>
        <v>0</v>
      </c>
      <c r="BM138" s="228">
        <f>+BM90+'recon-SONPws'!BM52</f>
        <v>0</v>
      </c>
      <c r="BN138" s="228">
        <f>+BN90+'recon-SONPws'!BN52</f>
        <v>0</v>
      </c>
      <c r="BO138" s="228">
        <f>+BO90+'recon-SONPws'!BO52</f>
        <v>0</v>
      </c>
      <c r="BP138" s="228">
        <f>+BP90+'recon-SONPws'!BP52</f>
        <v>0</v>
      </c>
      <c r="BQ138" s="228">
        <f>+BQ90+'recon-SONPws'!BQ52</f>
        <v>0</v>
      </c>
      <c r="BR138" s="228">
        <f>+BR90+'recon-SONPws'!BR52</f>
        <v>0</v>
      </c>
      <c r="BS138" s="228">
        <f>+BS90+'recon-SONPws'!BS52</f>
        <v>0</v>
      </c>
      <c r="BT138" s="228">
        <f>+BT90-'ISF-SONP'!C124</f>
        <v>0</v>
      </c>
      <c r="BU138" s="228">
        <f>+BU90-'ISF-SONP'!E124</f>
        <v>0</v>
      </c>
      <c r="BV138" s="228">
        <f>+BV90-'ISF-SONP'!F124</f>
        <v>2607</v>
      </c>
      <c r="BW138" s="228">
        <f>+BW90-'ISF-SONP'!F124</f>
        <v>46272</v>
      </c>
      <c r="BX138" s="228">
        <f>+BX90-'ISF-SONP'!G124</f>
        <v>38905</v>
      </c>
      <c r="BY138" s="228">
        <f>+BY90-'ISF-SONP'!H124</f>
        <v>24253</v>
      </c>
      <c r="BZ138" s="228">
        <f>+BZ90+'recon-SONPws'!BZ52</f>
        <v>0</v>
      </c>
      <c r="CA138" s="228">
        <f>+CA90+'recon-SONPws'!CA52</f>
        <v>0</v>
      </c>
      <c r="CB138" s="228">
        <f>+CB90+'recon-SONPws'!CB52</f>
        <v>0</v>
      </c>
    </row>
    <row r="139" spans="1:80" s="228" customFormat="1" ht="12.75" customHeight="1" x14ac:dyDescent="0.2">
      <c r="A139" s="781" t="s">
        <v>1083</v>
      </c>
      <c r="B139" s="228">
        <f t="shared" si="114"/>
        <v>0</v>
      </c>
      <c r="C139" s="228">
        <f>+C41-'recon-SONPws'!C51</f>
        <v>0</v>
      </c>
      <c r="D139" s="228">
        <f>+D41-'recon-SONPws'!D51</f>
        <v>0</v>
      </c>
      <c r="E139" s="228">
        <f>+E41-'recon-SONPws'!E51</f>
        <v>0</v>
      </c>
      <c r="F139" s="228">
        <f>+F41-'recon-SONPws'!F51</f>
        <v>0</v>
      </c>
      <c r="G139" s="228">
        <f>+G41-'recon-SONPws'!G51</f>
        <v>0</v>
      </c>
      <c r="H139" s="228">
        <f>+H41-'recon-SONPws'!H51</f>
        <v>0</v>
      </c>
      <c r="I139" s="228">
        <f>+I41-'recon-SONPws'!I51</f>
        <v>0</v>
      </c>
      <c r="J139" s="228">
        <f>+J41-'recon-SONPws'!J51</f>
        <v>0</v>
      </c>
      <c r="K139" s="228">
        <f>+K41-'recon-SONPws'!K51</f>
        <v>0</v>
      </c>
      <c r="L139" s="228">
        <f>+L41-'recon-SONPws'!L51</f>
        <v>0</v>
      </c>
      <c r="M139" s="228">
        <f>+M41-'recon-SONPws'!M51</f>
        <v>0</v>
      </c>
      <c r="N139" s="228">
        <f>+N41-'recon-SONPws'!N51</f>
        <v>0</v>
      </c>
      <c r="O139" s="228">
        <f>+O41-'recon-SONPws'!O51</f>
        <v>0</v>
      </c>
      <c r="P139" s="228">
        <f>+P41-'recon-SONPws'!P51</f>
        <v>0</v>
      </c>
      <c r="Q139" s="228">
        <f>+Q41-'recon-SONPws'!Q51</f>
        <v>0</v>
      </c>
      <c r="R139" s="228">
        <f>+R41-'recon-SONPws'!R51</f>
        <v>0</v>
      </c>
      <c r="S139" s="228">
        <f>+S41-'recon-SONPws'!S51</f>
        <v>0</v>
      </c>
      <c r="T139" s="228">
        <f>+T41-'recon-SONPws'!T51</f>
        <v>0</v>
      </c>
      <c r="U139" s="228">
        <f>+U41-'recon-SONPws'!U51</f>
        <v>0</v>
      </c>
      <c r="V139" s="228">
        <f>+V41-'recon-SONPws'!V51</f>
        <v>0</v>
      </c>
      <c r="W139" s="228">
        <f>+W41-'recon-SONPws'!W51</f>
        <v>0</v>
      </c>
      <c r="X139" s="228">
        <f>+X41-'recon-SONPws'!X51</f>
        <v>0</v>
      </c>
      <c r="Y139" s="228">
        <f>+Y41-'recon-SONPws'!Y51</f>
        <v>0</v>
      </c>
      <c r="Z139" s="228">
        <f>+Z41-'recon-SONPws'!Z51</f>
        <v>0</v>
      </c>
      <c r="AA139" s="228">
        <f>+AA41-'recon-SONPws'!AA51</f>
        <v>0</v>
      </c>
      <c r="AB139" s="228">
        <f>+AB41-'recon-SONPws'!AB51</f>
        <v>0</v>
      </c>
      <c r="AC139" s="228">
        <f>+AC41-'recon-SONPws'!AC51</f>
        <v>0</v>
      </c>
      <c r="AD139" s="228">
        <f>+AD41-'recon-SONPws'!AD51</f>
        <v>0</v>
      </c>
      <c r="AE139" s="228">
        <f>+AE41-'recon-SONPws'!AE51</f>
        <v>0</v>
      </c>
      <c r="AF139" s="228">
        <f>+AF41-'recon-SONPws'!AF51</f>
        <v>0</v>
      </c>
      <c r="AG139" s="228">
        <f>+AG41-'recon-SONPws'!AG51</f>
        <v>0</v>
      </c>
      <c r="AH139" s="228">
        <f>+AH41-'recon-SONPws'!AH51</f>
        <v>0</v>
      </c>
      <c r="AI139" s="228">
        <f>+AI41-'recon-SONPws'!AI51</f>
        <v>0</v>
      </c>
      <c r="AJ139" s="228">
        <f>+AJ41-'recon-SONPws'!AJ51</f>
        <v>0</v>
      </c>
      <c r="AK139" s="228">
        <f>+AK41-'recon-SONPws'!AK51</f>
        <v>0</v>
      </c>
      <c r="AL139" s="228">
        <f>+AL41-'recon-SONPws'!AL51</f>
        <v>0</v>
      </c>
      <c r="AM139" s="228">
        <f>+AM41-'recon-SONPws'!AM51</f>
        <v>0</v>
      </c>
      <c r="AN139" s="228">
        <f>+AN41-'recon-SONPws'!AN51</f>
        <v>0</v>
      </c>
      <c r="AO139" s="228">
        <f>+AO41-'recon-SONPws'!AO51</f>
        <v>0</v>
      </c>
      <c r="AP139" s="228">
        <f>+AP41-'recon-SONPws'!AP51</f>
        <v>0</v>
      </c>
      <c r="AQ139" s="228">
        <f>+AQ41-'recon-SONPws'!AQ51</f>
        <v>0</v>
      </c>
      <c r="AR139" s="228">
        <f>+AR41-'recon-SONPws'!AR51</f>
        <v>0</v>
      </c>
      <c r="AS139" s="228">
        <f>+AS41-'recon-SONPws'!AS51</f>
        <v>0</v>
      </c>
      <c r="AT139" s="228">
        <f>+AT41-'recon-SONPws'!AT51</f>
        <v>0</v>
      </c>
      <c r="AU139" s="228">
        <f>+AU41-'recon-SONPws'!AU51</f>
        <v>0</v>
      </c>
      <c r="AV139" s="228">
        <f>+AV41-'recon-SONPws'!AV51</f>
        <v>0</v>
      </c>
      <c r="AW139" s="228">
        <f>+AW41-'recon-SONPws'!AW51</f>
        <v>0</v>
      </c>
      <c r="AX139" s="228">
        <f>+AX41-'recon-SONPws'!AX51</f>
        <v>0</v>
      </c>
      <c r="AY139" s="228">
        <f>+AY41-'recon-SONPws'!AY51</f>
        <v>0</v>
      </c>
      <c r="AZ139" s="228">
        <f>+AZ41-'recon-SONPws'!AZ51</f>
        <v>0</v>
      </c>
      <c r="BA139" s="228">
        <f>+BA41-'recon-SONPws'!BA51</f>
        <v>0</v>
      </c>
      <c r="BB139" s="228">
        <f>+BB41-'recon-SONPws'!BB51</f>
        <v>0</v>
      </c>
      <c r="BC139" s="228">
        <f>+BC41-'recon-SONPws'!BC51</f>
        <v>0</v>
      </c>
      <c r="BD139" s="228">
        <f>+BD41-'recon-SONPws'!BD51</f>
        <v>0</v>
      </c>
      <c r="BE139" s="228">
        <f>+BE41-'recon-SONPws'!BE51</f>
        <v>0</v>
      </c>
      <c r="BF139" s="228">
        <f>+BF41-'recon-SONPws'!BF51</f>
        <v>0</v>
      </c>
      <c r="BG139" s="228">
        <f>+BG41-'recon-SONPws'!BG51</f>
        <v>0</v>
      </c>
      <c r="BH139" s="228">
        <f>+BH41-'recon-SONPws'!BH51</f>
        <v>0</v>
      </c>
      <c r="BI139" s="228">
        <f>+BI41-'recon-SONPws'!BI51</f>
        <v>0</v>
      </c>
      <c r="BJ139" s="228">
        <f>+BJ41-'recon-SONPws'!BJ51</f>
        <v>0</v>
      </c>
      <c r="BK139" s="228">
        <f>+BK41-'recon-SONPws'!BK51</f>
        <v>0</v>
      </c>
      <c r="BL139" s="228">
        <f>+BL41-'recon-SONPws'!BL51</f>
        <v>0</v>
      </c>
      <c r="BM139" s="228">
        <f>+BM41-'recon-SONPws'!BM51</f>
        <v>0</v>
      </c>
      <c r="BN139" s="228">
        <f>+BN41-'recon-SONPws'!BN51</f>
        <v>0</v>
      </c>
      <c r="BO139" s="228">
        <f>+BO41-'recon-SONPws'!BO51</f>
        <v>0</v>
      </c>
      <c r="BP139" s="228">
        <f>+BP41-'recon-SONPws'!BP51</f>
        <v>0</v>
      </c>
      <c r="BQ139" s="228">
        <f>+BQ41-'recon-SONPws'!BQ51</f>
        <v>0</v>
      </c>
      <c r="BR139" s="228">
        <f>+BR41-'recon-SONPws'!BR51</f>
        <v>0</v>
      </c>
      <c r="BS139" s="228">
        <f>+BS41-'recon-SONPws'!BS51</f>
        <v>0</v>
      </c>
      <c r="BZ139" s="228">
        <f>+BZ41-'recon-SONPws'!BZ51</f>
        <v>0</v>
      </c>
      <c r="CA139" s="228">
        <f>+CA41-'recon-SONPws'!CA51</f>
        <v>0</v>
      </c>
      <c r="CB139" s="228">
        <f>+CB41-'recon-SONPws'!CB51</f>
        <v>0</v>
      </c>
    </row>
    <row r="140" spans="1:80" s="228" customFormat="1" ht="12.75" customHeight="1" x14ac:dyDescent="0.2">
      <c r="A140" s="781" t="s">
        <v>1089</v>
      </c>
      <c r="B140" s="228">
        <f t="shared" si="114"/>
        <v>0</v>
      </c>
      <c r="C140" s="228">
        <f>+C9+C23-BSGFws!C10-BSGFws!C20</f>
        <v>0</v>
      </c>
      <c r="D140" s="228">
        <f>+D9+D23-BSGFws!D10-BSGFws!D20</f>
        <v>0</v>
      </c>
      <c r="E140" s="228">
        <f>+E9+E23-BSGFws!E10-BSGFws!E20</f>
        <v>0</v>
      </c>
      <c r="F140" s="228">
        <f>+F9+F23-BSGFws!F10-BSGFws!F20</f>
        <v>0</v>
      </c>
      <c r="G140" s="228">
        <f>+G9+G23-BSGFws!G10-BSGFws!G20</f>
        <v>0</v>
      </c>
      <c r="H140" s="228">
        <f>+H9+H23-BSGFws!H10-BSGFws!H20</f>
        <v>0</v>
      </c>
      <c r="I140" s="228">
        <f>+I9+I23-BSGFws!I10-BSGFws!I20</f>
        <v>0</v>
      </c>
      <c r="J140" s="228">
        <f>+J9+J23-BSGFws!J10-BSGFws!J20</f>
        <v>0</v>
      </c>
      <c r="K140" s="228">
        <f>+K9+K23-BSGFws!K10-BSGFws!K20</f>
        <v>0</v>
      </c>
      <c r="L140" s="228">
        <f>+L9+L23-BSGFws!L10-BSGFws!L20</f>
        <v>0</v>
      </c>
      <c r="M140" s="228">
        <f>+M9+M23-BSGFws!M10-BSGFws!M20</f>
        <v>0</v>
      </c>
      <c r="N140" s="228">
        <f>+N9+N23-BSGFws!N10-BSGFws!N20</f>
        <v>0</v>
      </c>
      <c r="O140" s="228">
        <f>+O9+O23-BSGFws!O10-BSGFws!O20</f>
        <v>0</v>
      </c>
      <c r="P140" s="228">
        <f>+P9+P23-BSGFws!P10-BSGFws!P20</f>
        <v>0</v>
      </c>
      <c r="Q140" s="228">
        <f>+Q9+Q23-BSGFws!Q10-BSGFws!Q20</f>
        <v>0</v>
      </c>
      <c r="R140" s="228">
        <f>+R9+R23-BSGFws!R10-BSGFws!R20</f>
        <v>0</v>
      </c>
      <c r="S140" s="228">
        <f>+S9+S23-BSGFws!S10-BSGFws!S20</f>
        <v>0</v>
      </c>
      <c r="T140" s="228">
        <f>+T9+T23-BSGFws!T10-BSGFws!T20</f>
        <v>0</v>
      </c>
      <c r="U140" s="228">
        <f>+U9+U23-BSGFws!U10-BSGFws!U20</f>
        <v>0</v>
      </c>
      <c r="V140" s="228">
        <f>+V9+V23-BSGFws!V10-BSGFws!V20</f>
        <v>0</v>
      </c>
      <c r="W140" s="228">
        <f>+W9+W23-BSGFws!W10-BSGFws!W20</f>
        <v>0</v>
      </c>
      <c r="X140" s="228">
        <f>+X9+X23-BSGFws!X10-BSGFws!X20</f>
        <v>0</v>
      </c>
      <c r="Y140" s="228">
        <f>+Y9+Y23-BSGFws!Y10-BSGFws!Y20</f>
        <v>0</v>
      </c>
      <c r="Z140" s="228">
        <f>+Z9+Z23-BSGFws!Z10-BSGFws!Z20</f>
        <v>0</v>
      </c>
      <c r="AA140" s="228">
        <f>+AA9+AA23-BSGFws!AA10-BSGFws!AA20</f>
        <v>0</v>
      </c>
      <c r="AB140" s="228">
        <f>+AB9+AB23-BSGFws!AB10-BSGFws!AB20</f>
        <v>0</v>
      </c>
      <c r="AC140" s="228">
        <f>+AC9+AC23-BSGFws!AC10-BSGFws!AC20</f>
        <v>0</v>
      </c>
      <c r="AD140" s="228">
        <f>+AD9+AD23-BSGFws!AD10-BSGFws!AD20</f>
        <v>0</v>
      </c>
      <c r="AE140" s="228">
        <f>+AE9+AE23-BSGFws!AE10-BSGFws!AE20</f>
        <v>0</v>
      </c>
      <c r="AF140" s="228">
        <f>+AF9+AF23-BSGFws!AF10-BSGFws!AF20</f>
        <v>0</v>
      </c>
      <c r="AG140" s="228">
        <f>+AG9+AG23-BSGFws!AG10-BSGFws!AG20</f>
        <v>0</v>
      </c>
      <c r="AH140" s="228">
        <f>+AH9+AH23-BSGFws!AH10-BSGFws!AH20</f>
        <v>0</v>
      </c>
      <c r="AI140" s="228">
        <f>+AI9+AI23-BSGFws!AI10-BSGFws!AI20</f>
        <v>0</v>
      </c>
      <c r="AJ140" s="228">
        <f>+AJ9+AJ23-BSGFws!AJ10-BSGFws!AJ20</f>
        <v>0</v>
      </c>
      <c r="AK140" s="228">
        <f>+AK9+AK23-BSGFws!AK10-BSGFws!AK20</f>
        <v>0</v>
      </c>
      <c r="AL140" s="228">
        <f>+AL9+AL23-BSGFws!AL10-BSGFws!AL20</f>
        <v>0</v>
      </c>
      <c r="AM140" s="228">
        <f>+AM9+AM23-BSGFws!AM10-BSGFws!AM20</f>
        <v>0</v>
      </c>
      <c r="AN140" s="228">
        <f>+AN9+AN23-BSGFws!AN10-BSGFws!AN20</f>
        <v>0</v>
      </c>
      <c r="AO140" s="228">
        <f>+AO9+AO23-BSGFws!AO10-BSGFws!AO20</f>
        <v>0</v>
      </c>
      <c r="AP140" s="228">
        <f>+AP9+AP23-BSGFws!AP10-BSGFws!AP20</f>
        <v>0</v>
      </c>
      <c r="AQ140" s="228">
        <f>+AQ9+AQ23-BSGFws!AQ10-BSGFws!AQ20</f>
        <v>0</v>
      </c>
      <c r="AR140" s="228">
        <f>+AR9+AR23-BSGFws!AR10-BSGFws!AR20</f>
        <v>0</v>
      </c>
      <c r="AS140" s="228">
        <f>+AS9+AS23-BSGFws!AS10-BSGFws!AS20</f>
        <v>0</v>
      </c>
      <c r="AT140" s="228">
        <f>+AT9+AT23-BSGFws!AT10-BSGFws!AT20</f>
        <v>0</v>
      </c>
      <c r="AU140" s="228">
        <f>+AU9+AU23-BSGFws!AU10-BSGFws!AU20</f>
        <v>0</v>
      </c>
      <c r="AV140" s="228">
        <f>+AV9+AV23-BSGFws!AV10-BSGFws!AV20</f>
        <v>0</v>
      </c>
      <c r="AW140" s="228">
        <f>+AW9+AW23-BSGFws!AW10-BSGFws!AW20</f>
        <v>0</v>
      </c>
      <c r="AX140" s="228">
        <f>+AX9+AX23-BSGFws!AX10-BSGFws!AX20</f>
        <v>0</v>
      </c>
      <c r="AY140" s="228">
        <f>+AY9+AY23-BSGFws!AY10-BSGFws!AY20</f>
        <v>0</v>
      </c>
      <c r="AZ140" s="228">
        <f>+AZ9+AZ23-BSGFws!AZ10-BSGFws!AZ20</f>
        <v>0</v>
      </c>
      <c r="BA140" s="228">
        <f>+BA9+BA23-BSGFws!BA10-BSGFws!BA20</f>
        <v>0</v>
      </c>
      <c r="BB140" s="228">
        <f>+BB9+BB23-BSGFws!BB10-BSGFws!BB20</f>
        <v>0</v>
      </c>
      <c r="BC140" s="228">
        <f>+BC9+BC23-BSGFws!BC10-BSGFws!BC20</f>
        <v>0</v>
      </c>
      <c r="BD140" s="228">
        <f>+BD9+BD23-BSGFws!BD10-BSGFws!BD20</f>
        <v>0</v>
      </c>
      <c r="BE140" s="228">
        <f>+BE9+BE23-BSGFws!BE10-BSGFws!BE20</f>
        <v>0</v>
      </c>
      <c r="BF140" s="228">
        <f>+BF9+BF23-BSGFws!BF10-BSGFws!BF20</f>
        <v>0</v>
      </c>
      <c r="BG140" s="228">
        <f>+BG9+BG23-BSGFws!BG10-BSGFws!BG20</f>
        <v>0</v>
      </c>
      <c r="BH140" s="228">
        <f>+BH9+BH23-BSGFws!BH10-BSGFws!BH20</f>
        <v>0</v>
      </c>
      <c r="BI140" s="228">
        <f>+BI9+BI23-BSGFws!BI10-BSGFws!BI20</f>
        <v>0</v>
      </c>
      <c r="BJ140" s="228">
        <f>+BJ9+BJ23-BSGFws!BJ10-BSGFws!BJ20</f>
        <v>0</v>
      </c>
      <c r="BK140" s="228">
        <f>+BK9+BK23-BSGFws!BK10-BSGFws!BK20</f>
        <v>0</v>
      </c>
      <c r="BL140" s="228">
        <f>+BL9+BL23-BSGFws!BL10-BSGFws!BL20</f>
        <v>0</v>
      </c>
      <c r="BM140" s="228">
        <f>+BM9+BM23-BSGFws!BM10-BSGFws!BM20</f>
        <v>0</v>
      </c>
      <c r="BN140" s="228">
        <f>+BN9+BN23-BSGFws!BN10-BSGFws!BN20</f>
        <v>0</v>
      </c>
      <c r="BO140" s="228">
        <f>+BO9+BO23-BSGFws!BO10-BSGFws!BO20</f>
        <v>0</v>
      </c>
      <c r="BP140" s="228">
        <f>+BP9+BP23-BSGFws!BP10-BSGFws!BP20</f>
        <v>0</v>
      </c>
      <c r="BQ140" s="228">
        <f>+BQ9+BQ23-BSGFws!BQ10-BSGFws!BQ20</f>
        <v>0</v>
      </c>
      <c r="BR140" s="228">
        <f>+BR9+BR23-BSGFws!BR10-BSGFws!BR20</f>
        <v>0</v>
      </c>
      <c r="BS140" s="228">
        <f>+BS9+BS23-BSGFws!BS10-BSGFws!BS20</f>
        <v>0</v>
      </c>
      <c r="BZ140" s="228">
        <f>+BZ9+BZ23-BSGFws!CA10-BSGFws!CA20</f>
        <v>0</v>
      </c>
      <c r="CA140" s="228">
        <f>+CA9+CA23-BSGFws!CB10-BSGFws!CB20</f>
        <v>0</v>
      </c>
      <c r="CB140" s="228">
        <f>+CB9+CB23-BSGFws!CC10-BSGFws!CC20</f>
        <v>0</v>
      </c>
    </row>
    <row r="141" spans="1:80" s="228" customFormat="1" ht="12.75" customHeight="1" x14ac:dyDescent="0.2">
      <c r="A141" s="781" t="s">
        <v>1090</v>
      </c>
      <c r="B141" s="228">
        <f t="shared" si="114"/>
        <v>0</v>
      </c>
      <c r="C141" s="228">
        <f>+C53+C60-BSGFws!C34-BSGFws!C43+'recon-SONPws'!C36</f>
        <v>0</v>
      </c>
      <c r="D141" s="228">
        <f>+D53+D60-BSGFws!D34-BSGFws!D43+'recon-SONPws'!D36</f>
        <v>0</v>
      </c>
      <c r="E141" s="228">
        <f>+E53+E60-BSGFws!E34-BSGFws!E43+'recon-SONPws'!E36</f>
        <v>0</v>
      </c>
      <c r="F141" s="228">
        <f>+F53+F60-BSGFws!F34-BSGFws!F43+'recon-SONPws'!F36</f>
        <v>0</v>
      </c>
      <c r="G141" s="228">
        <f>+G53+G60-BSGFws!G34-BSGFws!G43+'recon-SONPws'!G36</f>
        <v>0</v>
      </c>
      <c r="H141" s="228">
        <f>+H53+H60-BSGFws!H34-BSGFws!H43+'recon-SONPws'!H36</f>
        <v>0</v>
      </c>
      <c r="I141" s="228">
        <f>+I53+I60-BSGFws!I34-BSGFws!I43+'recon-SONPws'!I36</f>
        <v>0</v>
      </c>
      <c r="J141" s="228">
        <f>+J53+J60-BSGFws!J34-BSGFws!J43+'recon-SONPws'!J36</f>
        <v>0</v>
      </c>
      <c r="K141" s="228">
        <f>+K53+K60-BSGFws!K34-BSGFws!K43+'recon-SONPws'!K36</f>
        <v>0</v>
      </c>
      <c r="L141" s="228">
        <f>+L53+L60-BSGFws!L34-BSGFws!L43+'recon-SONPws'!L36</f>
        <v>0</v>
      </c>
      <c r="M141" s="228">
        <f>+M53+M60-BSGFws!M34-BSGFws!M43+'recon-SONPws'!M36</f>
        <v>0</v>
      </c>
      <c r="N141" s="228">
        <f>+N53+N60-BSGFws!N34-BSGFws!N43+'recon-SONPws'!N36</f>
        <v>0</v>
      </c>
      <c r="O141" s="228">
        <f>+O53+O60-BSGFws!O34-BSGFws!O43+'recon-SONPws'!O36</f>
        <v>0</v>
      </c>
      <c r="P141" s="228">
        <f>+P53+P60-BSGFws!P34-BSGFws!P43+'recon-SONPws'!P36</f>
        <v>0</v>
      </c>
      <c r="Q141" s="228">
        <f>+Q53+Q60-BSGFws!Q34-BSGFws!Q43+'recon-SONPws'!Q36</f>
        <v>0</v>
      </c>
      <c r="R141" s="228">
        <f>+R53+R60-BSGFws!R34-BSGFws!R43+'recon-SONPws'!R36</f>
        <v>0</v>
      </c>
      <c r="S141" s="228">
        <f>+S53+S60-BSGFws!S34-BSGFws!S43+'recon-SONPws'!S36</f>
        <v>0</v>
      </c>
      <c r="T141" s="228">
        <f>+T53+T60-BSGFws!T34-BSGFws!T43+'recon-SONPws'!T36</f>
        <v>0</v>
      </c>
      <c r="U141" s="228">
        <f>+U53+U60-BSGFws!U34-BSGFws!U43+'recon-SONPws'!U36</f>
        <v>0</v>
      </c>
      <c r="V141" s="228">
        <f>+V53+V60-BSGFws!V34-BSGFws!V43+'recon-SONPws'!V36</f>
        <v>0</v>
      </c>
      <c r="W141" s="228">
        <f>+W53+W60-BSGFws!W34-BSGFws!W43+'recon-SONPws'!W36</f>
        <v>0</v>
      </c>
      <c r="X141" s="228">
        <f>+X53+X60-BSGFws!X34-BSGFws!X43+'recon-SONPws'!X36</f>
        <v>0</v>
      </c>
      <c r="Y141" s="228">
        <f>+Y53+Y60-BSGFws!Y34-BSGFws!Y43+'recon-SONPws'!Y36</f>
        <v>0</v>
      </c>
      <c r="Z141" s="228">
        <f>+Z53+Z60-BSGFws!Z34-BSGFws!Z43+'recon-SONPws'!Z36</f>
        <v>0</v>
      </c>
      <c r="AA141" s="228">
        <f>+AA53+AA60-BSGFws!AA34-BSGFws!AA43+'recon-SONPws'!AA36</f>
        <v>0</v>
      </c>
      <c r="AB141" s="228">
        <f>+AB53+AB60-BSGFws!AB34-BSGFws!AB43+'recon-SONPws'!AB36</f>
        <v>0</v>
      </c>
      <c r="AC141" s="228">
        <f>+AC53+AC60-BSGFws!AC34-BSGFws!AC43+'recon-SONPws'!AC36</f>
        <v>0</v>
      </c>
      <c r="AD141" s="228">
        <f>+AD53+AD60-BSGFws!AD34-BSGFws!AD43+'recon-SONPws'!AD36</f>
        <v>0</v>
      </c>
      <c r="AE141" s="228">
        <f>+AE53+AE60-BSGFws!AE34-BSGFws!AE43+'recon-SONPws'!AE36</f>
        <v>0</v>
      </c>
      <c r="AF141" s="228">
        <f>+AF53+AF60-BSGFws!AF34-BSGFws!AF43+'recon-SONPws'!AF36</f>
        <v>0</v>
      </c>
      <c r="AG141" s="228">
        <f>+AG53+AG60-BSGFws!AG34-BSGFws!AG43+'recon-SONPws'!AG36</f>
        <v>0</v>
      </c>
      <c r="AH141" s="228">
        <f>+AH53+AH60-BSGFws!AH34-BSGFws!AH43+'recon-SONPws'!AH36</f>
        <v>0</v>
      </c>
      <c r="AI141" s="228">
        <f>+AI53+AI60-BSGFws!AI34-BSGFws!AI43+'recon-SONPws'!AI36</f>
        <v>0</v>
      </c>
      <c r="AJ141" s="228">
        <f>+AJ53+AJ60-BSGFws!AJ34-BSGFws!AJ43+'recon-SONPws'!AJ36</f>
        <v>0</v>
      </c>
      <c r="AK141" s="228">
        <f>+AK53+AK60-BSGFws!AK34-BSGFws!AK43+'recon-SONPws'!AK36</f>
        <v>0</v>
      </c>
      <c r="AL141" s="228">
        <f>+AL53+AL60-BSGFws!AL34-BSGFws!AL43+'recon-SONPws'!AL36</f>
        <v>0</v>
      </c>
      <c r="AM141" s="228">
        <f>+AM53+AM60-BSGFws!AM34-BSGFws!AM43+'recon-SONPws'!AM36</f>
        <v>0</v>
      </c>
      <c r="AN141" s="228">
        <f>+AN53+AN60-BSGFws!AN34-BSGFws!AN43+'recon-SONPws'!AN36</f>
        <v>0</v>
      </c>
      <c r="AO141" s="228">
        <f>+AO53+AO60-BSGFws!AO34-BSGFws!AO43+'recon-SONPws'!AO36</f>
        <v>0</v>
      </c>
      <c r="AP141" s="228">
        <f>+AP53+AP60-BSGFws!AP34-BSGFws!AP43+'recon-SONPws'!AP36</f>
        <v>0</v>
      </c>
      <c r="AQ141" s="228">
        <f>+AQ53+AQ60-BSGFws!AQ34-BSGFws!AQ43+'recon-SONPws'!AQ36</f>
        <v>0</v>
      </c>
      <c r="AR141" s="228">
        <f>+AR53+AR60-BSGFws!AR34-BSGFws!AR43+'recon-SONPws'!AR36</f>
        <v>0</v>
      </c>
      <c r="AS141" s="228">
        <f>+AS53+AS60-BSGFws!AS34-BSGFws!AS43+'recon-SONPws'!AS36</f>
        <v>0</v>
      </c>
      <c r="AT141" s="228">
        <f>+AT53+AT60-BSGFws!AT34-BSGFws!AT43+'recon-SONPws'!AT36</f>
        <v>0</v>
      </c>
      <c r="AU141" s="228">
        <f>+AU53+AU60-BSGFws!AU34-BSGFws!AU43+'recon-SONPws'!AU36</f>
        <v>0</v>
      </c>
      <c r="AV141" s="228">
        <f>+AV53+AV60-BSGFws!AV34-BSGFws!AV43+'recon-SONPws'!AV36</f>
        <v>0</v>
      </c>
      <c r="AW141" s="228">
        <f>+AW53+AW60-BSGFws!AW34-BSGFws!AW43+'recon-SONPws'!AW36</f>
        <v>0</v>
      </c>
      <c r="AX141" s="228">
        <f>+AX53+AX60-BSGFws!AX34-BSGFws!AX43+'recon-SONPws'!AX36</f>
        <v>0</v>
      </c>
      <c r="AY141" s="228">
        <f>+AY53+AY60-BSGFws!AY34-BSGFws!AY43+'recon-SONPws'!AY36</f>
        <v>0</v>
      </c>
      <c r="AZ141" s="228">
        <f>+AZ53+AZ60-BSGFws!AZ34-BSGFws!AZ43+'recon-SONPws'!AZ36</f>
        <v>0</v>
      </c>
      <c r="BA141" s="228">
        <f>+BA53+BA60-BSGFws!BA34-BSGFws!BA43+'recon-SONPws'!BA36</f>
        <v>0</v>
      </c>
      <c r="BB141" s="228">
        <f>+BB53+BB60-BSGFws!BB34-BSGFws!BB43+'recon-SONPws'!BB36</f>
        <v>0</v>
      </c>
      <c r="BC141" s="228">
        <f>+BC53+BC60-BSGFws!BC34-BSGFws!BC43+'recon-SONPws'!BC36</f>
        <v>0</v>
      </c>
      <c r="BD141" s="228">
        <f>+BD53+BD60-BSGFws!BD34-BSGFws!BD43+'recon-SONPws'!BD36</f>
        <v>0</v>
      </c>
      <c r="BE141" s="228">
        <f>+BE53+BE60-BSGFws!BE34-BSGFws!BE43+'recon-SONPws'!BE36</f>
        <v>0</v>
      </c>
      <c r="BF141" s="228">
        <f>+BF53+BF60-BSGFws!BF34-BSGFws!BF43+'recon-SONPws'!BF36</f>
        <v>0</v>
      </c>
      <c r="BG141" s="228">
        <f>+BG53+BG60-BSGFws!BG34-BSGFws!BG43+'recon-SONPws'!BG36</f>
        <v>0</v>
      </c>
      <c r="BH141" s="228">
        <f>+BH53+BH60-BSGFws!BH34-BSGFws!BH43+'recon-SONPws'!BH36</f>
        <v>0</v>
      </c>
      <c r="BI141" s="228">
        <f>+BI53+BI60-BSGFws!BI34-BSGFws!BI43+'recon-SONPws'!BI36</f>
        <v>0</v>
      </c>
      <c r="BJ141" s="228">
        <f>+BJ53+BJ60-BSGFws!BJ34-BSGFws!BJ43+'recon-SONPws'!BJ36</f>
        <v>0</v>
      </c>
      <c r="BK141" s="228">
        <f>+BK53+BK60-BSGFws!BK34-BSGFws!BK43+'recon-SONPws'!BK36</f>
        <v>0</v>
      </c>
      <c r="BL141" s="228">
        <f>+BL53+BL60-BSGFws!BL34-BSGFws!BL43+'recon-SONPws'!BL36</f>
        <v>0</v>
      </c>
      <c r="BM141" s="228">
        <f>+BM53+BM60-BSGFws!BM34-BSGFws!BM43+'recon-SONPws'!BM36</f>
        <v>0</v>
      </c>
      <c r="BN141" s="228">
        <f>+BN53+BN60-BSGFws!BN34-BSGFws!BN43+'recon-SONPws'!BN36</f>
        <v>0</v>
      </c>
      <c r="BO141" s="228">
        <f>+BO53+BO60-BSGFws!BO34-BSGFws!BO43+'recon-SONPws'!BO36</f>
        <v>0</v>
      </c>
      <c r="BP141" s="228">
        <f>+BP53+BP60-BSGFws!BP34-BSGFws!BP43+'recon-SONPws'!BP36</f>
        <v>0</v>
      </c>
      <c r="BQ141" s="228">
        <f>+BQ53+BQ60-BSGFws!BQ34-BSGFws!BQ43+'recon-SONPws'!BQ36</f>
        <v>0</v>
      </c>
      <c r="BR141" s="228">
        <f>+BR53+BR60-BSGFws!BR34-BSGFws!BR43+'recon-SONPws'!BR36</f>
        <v>0</v>
      </c>
      <c r="BS141" s="228">
        <f>+BS53+BS60-BSGFws!BS34-BSGFws!BS43+'recon-SONPws'!BS36</f>
        <v>0</v>
      </c>
      <c r="BZ141" s="228">
        <f>+BZ53+BZ60-BSGFws!CA34-BSGFws!CA43+'recon-SONPws'!BZ36</f>
        <v>0</v>
      </c>
      <c r="CA141" s="228">
        <f>+CA53+CA60-BSGFws!CB34-BSGFws!CB43+'recon-SONPws'!CA36</f>
        <v>0</v>
      </c>
      <c r="CB141" s="228">
        <f>+CB53+CB60-BSGFws!CC34-BSGFws!CC43+'recon-SONPws'!CB36</f>
        <v>0</v>
      </c>
    </row>
    <row r="142" spans="1:80" s="228" customFormat="1" ht="12.75" customHeight="1" x14ac:dyDescent="0.2">
      <c r="A142" s="781" t="s">
        <v>1166</v>
      </c>
      <c r="B142" s="228">
        <f t="shared" si="114"/>
        <v>0</v>
      </c>
      <c r="C142" s="228">
        <f>+C50-BSGFws!C28-BSGFws!C29-BSGFws!C30</f>
        <v>0</v>
      </c>
      <c r="D142" s="228">
        <f>+D50-BSGFws!D28-BSGFws!D29-BSGFws!D30</f>
        <v>0</v>
      </c>
      <c r="E142" s="228">
        <f>+E50-BSGFws!E28-BSGFws!E29-BSGFws!E30</f>
        <v>0</v>
      </c>
      <c r="F142" s="228">
        <f>+F50-BSGFws!F28-BSGFws!F29-BSGFws!F30</f>
        <v>0</v>
      </c>
      <c r="G142" s="228">
        <f>+G50-BSGFws!G28-BSGFws!G29-BSGFws!G30</f>
        <v>0</v>
      </c>
      <c r="H142" s="228">
        <f>+H50-BSGFws!H28-BSGFws!H29-BSGFws!H30</f>
        <v>0</v>
      </c>
      <c r="I142" s="228">
        <f>+I50-BSGFws!I28-BSGFws!I29-BSGFws!I30</f>
        <v>0</v>
      </c>
      <c r="J142" s="228">
        <f>+J50-BSGFws!J28-BSGFws!J29-BSGFws!J30</f>
        <v>0</v>
      </c>
      <c r="K142" s="228">
        <f>+K50-BSGFws!K28-BSGFws!K29-BSGFws!K30</f>
        <v>0</v>
      </c>
      <c r="L142" s="228">
        <f>+L50-BSGFws!L28-BSGFws!L29-BSGFws!L30</f>
        <v>0</v>
      </c>
      <c r="M142" s="228">
        <f>+M50-BSGFws!M28-BSGFws!M29-BSGFws!M30</f>
        <v>0</v>
      </c>
      <c r="N142" s="228">
        <f>+N50-BSGFws!N28-BSGFws!N29-BSGFws!N30</f>
        <v>0</v>
      </c>
      <c r="O142" s="228">
        <f>+O50-BSGFws!O28-BSGFws!O29-BSGFws!O30</f>
        <v>0</v>
      </c>
      <c r="P142" s="228">
        <f>+P50-BSGFws!P28-BSGFws!P29-BSGFws!P30</f>
        <v>0</v>
      </c>
      <c r="Q142" s="228">
        <f>+Q50-BSGFws!Q28-BSGFws!Q29-BSGFws!Q30</f>
        <v>0</v>
      </c>
      <c r="R142" s="228">
        <f>+R50-BSGFws!R28-BSGFws!R29-BSGFws!R30</f>
        <v>0</v>
      </c>
      <c r="S142" s="228">
        <f>+S50-BSGFws!S28-BSGFws!S29-BSGFws!S30</f>
        <v>0</v>
      </c>
      <c r="T142" s="228">
        <f>+T50-BSGFws!T28-BSGFws!T29-BSGFws!T30</f>
        <v>0</v>
      </c>
      <c r="U142" s="228">
        <f>+U50-BSGFws!U28-BSGFws!U29-BSGFws!U30</f>
        <v>0</v>
      </c>
      <c r="V142" s="228">
        <f>+V50-BSGFws!V28-BSGFws!V29-BSGFws!V30</f>
        <v>0</v>
      </c>
      <c r="W142" s="228">
        <f>+W50-BSGFws!W28-BSGFws!W29-BSGFws!W30</f>
        <v>0</v>
      </c>
      <c r="X142" s="228">
        <f>+X50-BSGFws!X28-BSGFws!X29-BSGFws!X30</f>
        <v>0</v>
      </c>
      <c r="Y142" s="228">
        <f>+Y50-BSGFws!Y28-BSGFws!Y29-BSGFws!Y30</f>
        <v>0</v>
      </c>
      <c r="Z142" s="228">
        <f>+Z50-BSGFws!Z28-BSGFws!Z29-BSGFws!Z30</f>
        <v>0</v>
      </c>
      <c r="AA142" s="228">
        <f>+AA50-BSGFws!AA28-BSGFws!AA29-BSGFws!AA30</f>
        <v>0</v>
      </c>
      <c r="AB142" s="228">
        <f>+AB50-BSGFws!AB28-BSGFws!AB29-BSGFws!AB30</f>
        <v>0</v>
      </c>
      <c r="AC142" s="228">
        <f>+AC50-BSGFws!AC28-BSGFws!AC29-BSGFws!AC30</f>
        <v>0</v>
      </c>
      <c r="AD142" s="228">
        <f>+AD50-BSGFws!AD28-BSGFws!AD29-BSGFws!AD30</f>
        <v>0</v>
      </c>
      <c r="AE142" s="228">
        <f>+AE50-BSGFws!AE28-BSGFws!AE29-BSGFws!AE30</f>
        <v>0</v>
      </c>
      <c r="AF142" s="228">
        <f>+AF50-BSGFws!AF28-BSGFws!AF29-BSGFws!AF30</f>
        <v>0</v>
      </c>
      <c r="AG142" s="228">
        <f>+AG50-BSGFws!AG28-BSGFws!AG29-BSGFws!AG30</f>
        <v>0</v>
      </c>
      <c r="AH142" s="228">
        <f>+AH50-BSGFws!AH28-BSGFws!AH29-BSGFws!AH30</f>
        <v>0</v>
      </c>
      <c r="AI142" s="228">
        <f>+AI50-BSGFws!AI28-BSGFws!AI29-BSGFws!AI30</f>
        <v>0</v>
      </c>
      <c r="AJ142" s="228">
        <f>+AJ50-BSGFws!AJ28-BSGFws!AJ29-BSGFws!AJ30</f>
        <v>0</v>
      </c>
      <c r="AK142" s="228">
        <f>+AK50-BSGFws!AK28-BSGFws!AK29-BSGFws!AK30</f>
        <v>0</v>
      </c>
      <c r="AL142" s="228">
        <f>+AL50-BSGFws!AL28-BSGFws!AL29-BSGFws!AL30</f>
        <v>0</v>
      </c>
      <c r="AM142" s="228">
        <f>+AM50-BSGFws!AM28-BSGFws!AM29-BSGFws!AM30</f>
        <v>0</v>
      </c>
      <c r="AN142" s="228">
        <f>+AN50-BSGFws!AN28-BSGFws!AN29-BSGFws!AN30</f>
        <v>0</v>
      </c>
      <c r="AO142" s="228">
        <f>+AO50-BSGFws!AO28-BSGFws!AO29-BSGFws!AO30</f>
        <v>0</v>
      </c>
      <c r="AP142" s="228">
        <f>+AP50-BSGFws!AP28-BSGFws!AP29-BSGFws!AP30</f>
        <v>0</v>
      </c>
      <c r="AQ142" s="228">
        <f>+AQ50-BSGFws!AQ28-BSGFws!AQ29-BSGFws!AQ30</f>
        <v>0</v>
      </c>
      <c r="AR142" s="228">
        <f>+AR50-BSGFws!AR28-BSGFws!AR29-BSGFws!AR30</f>
        <v>0</v>
      </c>
      <c r="AS142" s="228">
        <f>+AS50-BSGFws!AS28-BSGFws!AS29-BSGFws!AS30</f>
        <v>0</v>
      </c>
      <c r="AT142" s="228">
        <f>+AT50-BSGFws!AT28-BSGFws!AT29-BSGFws!AT30</f>
        <v>0</v>
      </c>
      <c r="AU142" s="228">
        <f>+AU50-BSGFws!AU28-BSGFws!AU29-BSGFws!AU30</f>
        <v>0</v>
      </c>
      <c r="AV142" s="228">
        <f>+AV50-BSGFws!AV28-BSGFws!AV29-BSGFws!AV30</f>
        <v>0</v>
      </c>
      <c r="AW142" s="228">
        <f>+AW50-BSGFws!AW28-BSGFws!AW29-BSGFws!AW30</f>
        <v>0</v>
      </c>
      <c r="AX142" s="228">
        <f>+AX50-BSGFws!AX28-BSGFws!AX29-BSGFws!AX30</f>
        <v>0</v>
      </c>
      <c r="AY142" s="228">
        <f>+AY50-BSGFws!AY28-BSGFws!AY29-BSGFws!AY30</f>
        <v>0</v>
      </c>
      <c r="AZ142" s="228">
        <f>+AZ50-BSGFws!AZ28-BSGFws!AZ29-BSGFws!AZ30</f>
        <v>0</v>
      </c>
      <c r="BA142" s="228">
        <f>+BA50-BSGFws!BA28-BSGFws!BA29-BSGFws!BA30</f>
        <v>0</v>
      </c>
      <c r="BB142" s="228">
        <f>+BB50-BSGFws!BB28-BSGFws!BB29-BSGFws!BB30</f>
        <v>0</v>
      </c>
      <c r="BC142" s="228">
        <f>+BC50-BSGFws!BC28-BSGFws!BC29-BSGFws!BC30</f>
        <v>0</v>
      </c>
      <c r="BD142" s="228">
        <f>+BD50-BSGFws!BD28-BSGFws!BD29-BSGFws!BD30</f>
        <v>0</v>
      </c>
      <c r="BE142" s="228">
        <f>+BE50-BSGFws!BE28-BSGFws!BE29-BSGFws!BE30</f>
        <v>0</v>
      </c>
      <c r="BF142" s="228">
        <f>+BF50-BSGFws!BF28-BSGFws!BF29-BSGFws!BF30</f>
        <v>0</v>
      </c>
      <c r="BG142" s="228">
        <f>+BG50-BSGFws!BG28-BSGFws!BG29-BSGFws!BG30</f>
        <v>0</v>
      </c>
      <c r="BH142" s="228">
        <f>+BH50-BSGFws!BH28-BSGFws!BH29-BSGFws!BH30</f>
        <v>0</v>
      </c>
      <c r="BI142" s="228">
        <f>+BI50-BSGFws!BI28-BSGFws!BI29-BSGFws!BI30</f>
        <v>0</v>
      </c>
      <c r="BJ142" s="228">
        <f>+BJ50-BSGFws!BJ28-BSGFws!BJ29-BSGFws!BJ30</f>
        <v>0</v>
      </c>
      <c r="BK142" s="228">
        <f>+BK50-BSGFws!BK28-BSGFws!BK29-BSGFws!BK30</f>
        <v>0</v>
      </c>
      <c r="BL142" s="228">
        <f>+BL50-BSGFws!BL28-BSGFws!BL29-BSGFws!BL30</f>
        <v>0</v>
      </c>
      <c r="BM142" s="228">
        <f>+BM50-BSGFws!BM28-BSGFws!BM29-BSGFws!BM30</f>
        <v>0</v>
      </c>
      <c r="BN142" s="228">
        <f>+BN50-BSGFws!BN28-BSGFws!BN29-BSGFws!BN30</f>
        <v>0</v>
      </c>
      <c r="BO142" s="228">
        <f>+BO50-BSGFws!BO28-BSGFws!BO29-BSGFws!BO30</f>
        <v>0</v>
      </c>
      <c r="BP142" s="228">
        <f>+BP50-BSGFws!BP28-BSGFws!BP29-BSGFws!BP30</f>
        <v>0</v>
      </c>
      <c r="BQ142" s="228">
        <f>+BQ50-BSGFws!BQ28-BSGFws!BQ29-BSGFws!BQ30</f>
        <v>0</v>
      </c>
      <c r="BR142" s="228">
        <f>+BR50-BSGFws!BR28-BSGFws!BR29-BSGFws!BR30</f>
        <v>0</v>
      </c>
      <c r="BS142" s="228">
        <f>+BS50-BSGFws!BS28-BSGFws!BS29-BSGFws!BS30</f>
        <v>0</v>
      </c>
    </row>
    <row r="143" spans="1:80" s="228" customFormat="1" ht="12.75" customHeight="1" x14ac:dyDescent="0.2">
      <c r="A143" s="781" t="s">
        <v>1167</v>
      </c>
      <c r="B143" s="228">
        <f t="shared" si="114"/>
        <v>0</v>
      </c>
    </row>
    <row r="144" spans="1:80" s="228" customFormat="1" ht="12.75" customHeight="1" x14ac:dyDescent="0.2">
      <c r="A144" s="781" t="s">
        <v>1437</v>
      </c>
      <c r="B144" s="228">
        <f t="shared" si="114"/>
        <v>-231</v>
      </c>
      <c r="C144" s="228">
        <f>+C51-BSGFws!C32</f>
        <v>0</v>
      </c>
      <c r="D144" s="228">
        <f>+D51-BSGFws!D32</f>
        <v>0</v>
      </c>
      <c r="E144" s="228">
        <f>+E51-BSGFws!E32</f>
        <v>0</v>
      </c>
      <c r="F144" s="228">
        <f>+F51-BSGFws!F32</f>
        <v>0</v>
      </c>
      <c r="G144" s="228">
        <f>+G51-BSGFws!G32</f>
        <v>0</v>
      </c>
      <c r="H144" s="228">
        <f>+H51-BSGFws!H32</f>
        <v>0</v>
      </c>
      <c r="I144" s="228">
        <f>+I51-BSGFws!I32</f>
        <v>0</v>
      </c>
      <c r="J144" s="228">
        <f>+J51-BSGFws!J32</f>
        <v>0</v>
      </c>
      <c r="K144" s="228">
        <f>+K51-BSGFws!K32</f>
        <v>0</v>
      </c>
      <c r="L144" s="228">
        <f>+L51-BSGFws!L32</f>
        <v>0</v>
      </c>
      <c r="M144" s="228">
        <f>+M51-BSGFws!M32</f>
        <v>0</v>
      </c>
      <c r="N144" s="228">
        <f>+N51-BSGFws!N32</f>
        <v>0</v>
      </c>
      <c r="O144" s="228">
        <f>+O51-BSGFws!O32</f>
        <v>0</v>
      </c>
      <c r="P144" s="228">
        <f>+P51-BSGFws!P32</f>
        <v>0</v>
      </c>
      <c r="Q144" s="228">
        <f>+Q51-BSGFws!Q32</f>
        <v>0</v>
      </c>
      <c r="R144" s="228">
        <f>+R51-BSGFws!R32</f>
        <v>0</v>
      </c>
      <c r="S144" s="228">
        <f>+S51-BSGFws!S32</f>
        <v>0</v>
      </c>
      <c r="T144" s="228">
        <f>+T51-BSGFws!T32</f>
        <v>0</v>
      </c>
      <c r="U144" s="228">
        <f>+U51-BSGFws!U32</f>
        <v>0</v>
      </c>
      <c r="V144" s="228">
        <f>+V51-BSGFws!V32</f>
        <v>0</v>
      </c>
      <c r="W144" s="228">
        <f>+W51-BSGFws!W32</f>
        <v>0</v>
      </c>
      <c r="X144" s="228">
        <f>+X51-BSGFws!X32</f>
        <v>0</v>
      </c>
      <c r="Y144" s="228">
        <f>+Y51-BSGFws!Y32</f>
        <v>0</v>
      </c>
      <c r="Z144" s="228">
        <f>+Z51-BSGFws!Z32</f>
        <v>0</v>
      </c>
      <c r="AA144" s="228">
        <f>+AA51-BSGFws!AA32</f>
        <v>0</v>
      </c>
      <c r="AB144" s="228">
        <f>+AB51-BSGFws!AB32</f>
        <v>0</v>
      </c>
      <c r="AC144" s="228">
        <f>+AC51-BSGFws!AC32</f>
        <v>0</v>
      </c>
      <c r="AD144" s="228">
        <f>+AD51-BSGFws!AD32</f>
        <v>0</v>
      </c>
      <c r="AE144" s="228">
        <f>+AE51-BSGFws!AE32</f>
        <v>0</v>
      </c>
      <c r="AF144" s="228">
        <f>+AF51-BSGFws!AF32</f>
        <v>0</v>
      </c>
      <c r="AG144" s="228">
        <f>+AG51-BSGFws!AG32</f>
        <v>0</v>
      </c>
      <c r="AH144" s="228">
        <f>+AH51-BSGFws!AH32</f>
        <v>0</v>
      </c>
      <c r="AI144" s="228">
        <f>+AI51-BSGFws!AI32</f>
        <v>0</v>
      </c>
      <c r="AJ144" s="228">
        <f>+AJ51-BSGFws!AJ32</f>
        <v>0</v>
      </c>
      <c r="AK144" s="228">
        <f>+AK51-BSGFws!AK32</f>
        <v>0</v>
      </c>
      <c r="AL144" s="228">
        <f>+AL51-BSGFws!AL32</f>
        <v>0</v>
      </c>
      <c r="AM144" s="228">
        <f>+AM51-BSGFws!AM32</f>
        <v>0</v>
      </c>
      <c r="AN144" s="228">
        <f>+AN51-BSGFws!AN32</f>
        <v>0</v>
      </c>
      <c r="AO144" s="228">
        <f>+AO51-BSGFws!AO32</f>
        <v>0</v>
      </c>
      <c r="AP144" s="228">
        <f>+AP51-BSGFws!AP32</f>
        <v>0</v>
      </c>
      <c r="AQ144" s="228">
        <f>+AQ51-BSGFws!AQ32</f>
        <v>0</v>
      </c>
      <c r="AR144" s="228">
        <f>+AR51-BSGFws!AR32</f>
        <v>0</v>
      </c>
      <c r="AS144" s="228">
        <f>+AS51-BSGFws!AS32</f>
        <v>0</v>
      </c>
      <c r="AT144" s="228">
        <f>+AT51-BSGFws!AT32</f>
        <v>0</v>
      </c>
      <c r="AU144" s="228">
        <f>+AU51-BSGFws!AU32</f>
        <v>0</v>
      </c>
      <c r="AV144" s="228">
        <f>+AV51-BSGFws!AV32</f>
        <v>0</v>
      </c>
      <c r="AW144" s="228">
        <f>+AW51-BSGFws!AW32</f>
        <v>0</v>
      </c>
      <c r="AX144" s="228">
        <f>+AX51-BSGFws!AX32</f>
        <v>0</v>
      </c>
      <c r="AY144" s="228">
        <f>+AY51-BSGFws!AY32</f>
        <v>0</v>
      </c>
      <c r="AZ144" s="228">
        <f>+AZ51-BSGFws!AZ32</f>
        <v>0</v>
      </c>
      <c r="BA144" s="228">
        <f>+BA51-BSGFws!BA32</f>
        <v>0</v>
      </c>
      <c r="BB144" s="228">
        <f>+BB51-BSGFws!BB32</f>
        <v>0</v>
      </c>
      <c r="BC144" s="228">
        <f>+BC51-BSGFws!BC32</f>
        <v>0</v>
      </c>
      <c r="BD144" s="228">
        <f>+BD51-BSGFws!BD32</f>
        <v>0</v>
      </c>
      <c r="BE144" s="228">
        <f>+BE51-BSGFws!BE32</f>
        <v>0</v>
      </c>
      <c r="BF144" s="228">
        <f>+BF51-BSGFws!BF32</f>
        <v>0</v>
      </c>
      <c r="BG144" s="228">
        <f>+BG51-BSGFws!BG32</f>
        <v>0</v>
      </c>
      <c r="BH144" s="228">
        <f>+BH51-BSGFws!BH32</f>
        <v>0</v>
      </c>
      <c r="BI144" s="228">
        <f>+BI51-BSGFws!BI32</f>
        <v>0</v>
      </c>
      <c r="BJ144" s="228">
        <f>+BJ51-BSGFws!BJ32</f>
        <v>0</v>
      </c>
      <c r="BK144" s="228">
        <f>+BK51-BSGFws!BK32</f>
        <v>0</v>
      </c>
      <c r="BL144" s="228">
        <f>+BL51-BSGFws!BL32</f>
        <v>0</v>
      </c>
      <c r="BM144" s="228">
        <f>+BM51-BSGFws!BM32</f>
        <v>0</v>
      </c>
      <c r="BN144" s="228">
        <f>+BN51-BSGFws!BN32</f>
        <v>0</v>
      </c>
      <c r="BO144" s="228">
        <f>+BO51-BSGFws!BO32</f>
        <v>0</v>
      </c>
      <c r="BP144" s="228">
        <f>+BP51-BSGFws!BP32</f>
        <v>0</v>
      </c>
      <c r="BQ144" s="228">
        <f>+BQ51-BSGFws!BQ32</f>
        <v>0</v>
      </c>
      <c r="BR144" s="228">
        <f>+BR51-BSGFws!BR32</f>
        <v>0</v>
      </c>
      <c r="BS144" s="228">
        <f>+BS51-BSGFws!BS32</f>
        <v>0</v>
      </c>
      <c r="BT144" s="228">
        <f>+BT51-BSGFws!BT32</f>
        <v>0</v>
      </c>
      <c r="BU144" s="228">
        <f>+BU51-BSGFws!BU32</f>
        <v>-267</v>
      </c>
      <c r="BV144" s="228">
        <f>+BV51-BSGFws!BV32</f>
        <v>0</v>
      </c>
      <c r="BW144" s="228">
        <f>+BW51-BSGFws!BW32</f>
        <v>30</v>
      </c>
      <c r="BX144" s="228">
        <f>+BX51-BSGFws!BX32</f>
        <v>6</v>
      </c>
      <c r="BY144" s="228">
        <f>+BY51-BSGFws!BY32</f>
        <v>0</v>
      </c>
      <c r="BZ144" s="228">
        <f>+BZ51-BSGFws!BZ32</f>
        <v>0</v>
      </c>
      <c r="CA144" s="228">
        <f>+CA51-BSGFws!CA32</f>
        <v>0</v>
      </c>
      <c r="CB144" s="228">
        <f>+CB51-BSGFws!CB32</f>
        <v>0</v>
      </c>
    </row>
    <row r="145" spans="1:87" s="228" customFormat="1" ht="12.75" customHeight="1" x14ac:dyDescent="0.2">
      <c r="A145" s="781" t="s">
        <v>1171</v>
      </c>
      <c r="B145" s="228">
        <f t="shared" si="114"/>
        <v>-2052</v>
      </c>
      <c r="C145" s="228">
        <f>+C96+'recon-SONPws'!C55</f>
        <v>-78</v>
      </c>
      <c r="D145" s="228">
        <f>+D96+'recon-SONPws'!D55</f>
        <v>0</v>
      </c>
      <c r="E145" s="228">
        <f>+E96+'recon-SONPws'!E55</f>
        <v>0</v>
      </c>
      <c r="F145" s="228">
        <f>+F96+'recon-SONPws'!F55</f>
        <v>0</v>
      </c>
      <c r="G145" s="228">
        <f>+G96+'recon-SONPws'!G55</f>
        <v>0</v>
      </c>
      <c r="H145" s="228">
        <f>+H96+'recon-SONPws'!H55</f>
        <v>0</v>
      </c>
      <c r="I145" s="228">
        <f>+I96+'recon-SONPws'!I55</f>
        <v>0</v>
      </c>
      <c r="J145" s="228">
        <f>+J96+'recon-SONPws'!J55</f>
        <v>0</v>
      </c>
      <c r="K145" s="228">
        <f>+K96+'recon-SONPws'!K55</f>
        <v>0</v>
      </c>
      <c r="L145" s="228">
        <f>+L96+'recon-SONPws'!L55</f>
        <v>0</v>
      </c>
      <c r="M145" s="228">
        <f>+M96+'recon-SONPws'!M55</f>
        <v>0</v>
      </c>
      <c r="N145" s="228">
        <f>+N96+'recon-SONPws'!N55</f>
        <v>-8</v>
      </c>
      <c r="O145" s="228">
        <f>+O96+'recon-SONPws'!O55</f>
        <v>0</v>
      </c>
      <c r="P145" s="228">
        <f>+P96+'recon-SONPws'!P55</f>
        <v>0</v>
      </c>
      <c r="Q145" s="228">
        <f>+Q96+'recon-SONPws'!Q55</f>
        <v>0</v>
      </c>
      <c r="R145" s="228">
        <f>+R96+'recon-SONPws'!R55</f>
        <v>0</v>
      </c>
      <c r="S145" s="228">
        <f>+S96+'recon-SONPws'!S55</f>
        <v>0</v>
      </c>
      <c r="T145" s="228">
        <f>+T96+'recon-SONPws'!T55</f>
        <v>0</v>
      </c>
      <c r="U145" s="228">
        <f>+U96+'recon-SONPws'!U55</f>
        <v>0</v>
      </c>
      <c r="V145" s="228">
        <f>+V96+'recon-SONPws'!V55</f>
        <v>0</v>
      </c>
      <c r="W145" s="228">
        <f>+W96+'recon-SONPws'!W55</f>
        <v>0</v>
      </c>
      <c r="X145" s="228">
        <f>+X96+'recon-SONPws'!X55</f>
        <v>0</v>
      </c>
      <c r="Y145" s="228">
        <f>+Y96+'recon-SONPws'!Y55</f>
        <v>0</v>
      </c>
      <c r="Z145" s="228">
        <f>+Z96+'recon-SONPws'!Z55</f>
        <v>0</v>
      </c>
      <c r="AA145" s="228">
        <f>+AA96+'recon-SONPws'!AA55</f>
        <v>0</v>
      </c>
      <c r="AB145" s="228">
        <f>+AB96+'recon-SONPws'!AB55</f>
        <v>0</v>
      </c>
      <c r="AC145" s="228">
        <f>+AC96+'recon-SONPws'!AC55</f>
        <v>0</v>
      </c>
      <c r="AD145" s="228">
        <f>+AD96+'recon-SONPws'!AD55</f>
        <v>0</v>
      </c>
      <c r="AE145" s="228">
        <f>+AE96+'recon-SONPws'!AE55</f>
        <v>0</v>
      </c>
      <c r="AF145" s="228">
        <f>+AF96+'recon-SONPws'!AF55</f>
        <v>-963</v>
      </c>
      <c r="AG145" s="228">
        <f>+AG96+'recon-SONPws'!AG55</f>
        <v>0</v>
      </c>
      <c r="AH145" s="228">
        <f>+AH96+'recon-SONPws'!AH55</f>
        <v>0</v>
      </c>
      <c r="AI145" s="228">
        <f>+AI96+'recon-SONPws'!AI55</f>
        <v>0</v>
      </c>
      <c r="AJ145" s="228">
        <f>+AJ96+'recon-SONPws'!AJ55</f>
        <v>0</v>
      </c>
      <c r="AK145" s="228">
        <f>+AK96+'recon-SONPws'!AK55</f>
        <v>0</v>
      </c>
      <c r="AL145" s="228">
        <f>+AL96+'recon-SONPws'!AL55</f>
        <v>0</v>
      </c>
      <c r="AM145" s="228">
        <f>+AM96+'recon-SONPws'!AM55</f>
        <v>0</v>
      </c>
      <c r="AN145" s="228">
        <f>+AN96+'recon-SONPws'!AN55</f>
        <v>0</v>
      </c>
      <c r="AO145" s="228">
        <f>+AO96+'recon-SONPws'!AO55</f>
        <v>0</v>
      </c>
      <c r="AP145" s="228">
        <f>+AP96+'recon-SONPws'!AP55</f>
        <v>0</v>
      </c>
      <c r="AQ145" s="228">
        <f>+AQ96+'recon-SONPws'!AQ55</f>
        <v>0</v>
      </c>
      <c r="AR145" s="228">
        <f>+AR96+'recon-SONPws'!AR55</f>
        <v>-489</v>
      </c>
      <c r="AS145" s="228">
        <f>+AS96+'recon-SONPws'!AS55</f>
        <v>0</v>
      </c>
      <c r="AT145" s="228">
        <f>+AT96+'recon-SONPws'!AT55</f>
        <v>-514</v>
      </c>
      <c r="AU145" s="228">
        <f>+AU96+'recon-SONPws'!AU55</f>
        <v>0</v>
      </c>
      <c r="AV145" s="228">
        <f>+AV96+'recon-SONPws'!AV55</f>
        <v>0</v>
      </c>
      <c r="AW145" s="228">
        <f>+AW96+'recon-SONPws'!AW55</f>
        <v>0</v>
      </c>
      <c r="AX145" s="228">
        <f>+AX96+'recon-SONPws'!AX55</f>
        <v>0</v>
      </c>
      <c r="AY145" s="228">
        <f>+AY96+'recon-SONPws'!AY55</f>
        <v>0</v>
      </c>
      <c r="AZ145" s="228">
        <f>+AZ96+'recon-SONPws'!AZ55</f>
        <v>0</v>
      </c>
      <c r="BA145" s="228">
        <f>+BA96+'recon-SONPws'!BA55</f>
        <v>0</v>
      </c>
      <c r="BB145" s="228">
        <f>+BB96+'recon-SONPws'!BB55</f>
        <v>0</v>
      </c>
      <c r="BC145" s="228">
        <f>+BC96+'recon-SONPws'!BC55</f>
        <v>0</v>
      </c>
      <c r="BD145" s="228">
        <f>+BD96+'recon-SONPws'!BD55</f>
        <v>0</v>
      </c>
      <c r="BE145" s="228">
        <f>+BE96+'recon-SONPws'!BE55</f>
        <v>0</v>
      </c>
      <c r="BF145" s="228">
        <f>+BF96+'recon-SONPws'!BF55</f>
        <v>0</v>
      </c>
      <c r="BG145" s="228">
        <f>+BG96+'recon-SONPws'!BG55</f>
        <v>0</v>
      </c>
      <c r="BH145" s="228">
        <f>+BH96+'recon-SONPws'!BH55</f>
        <v>0</v>
      </c>
      <c r="BI145" s="228">
        <f>+BI96+'recon-SONPws'!BI55</f>
        <v>0</v>
      </c>
      <c r="BJ145" s="228">
        <f>+BJ96+'recon-SONPws'!BJ55</f>
        <v>0</v>
      </c>
      <c r="BK145" s="228">
        <f>+BK96+'recon-SONPws'!BK55</f>
        <v>0</v>
      </c>
      <c r="BL145" s="228">
        <f>+BL96+'recon-SONPws'!BL55</f>
        <v>0</v>
      </c>
      <c r="BM145" s="228">
        <f>+BM96+'recon-SONPws'!BM55</f>
        <v>0</v>
      </c>
      <c r="BN145" s="228">
        <f>+BN96+'recon-SONPws'!BN55</f>
        <v>0</v>
      </c>
      <c r="BO145" s="228">
        <f>+BO96+'recon-SONPws'!BO55</f>
        <v>0</v>
      </c>
      <c r="BP145" s="228">
        <f>+BP96+'recon-SONPws'!BP55</f>
        <v>0</v>
      </c>
      <c r="BQ145" s="228">
        <f>+BQ96+'recon-SONPws'!BQ55</f>
        <v>0</v>
      </c>
      <c r="BR145" s="228">
        <f>+BR96+'recon-SONPws'!BR55</f>
        <v>0</v>
      </c>
      <c r="BS145" s="228">
        <f>+BS96+'recon-SONPws'!BS55</f>
        <v>0</v>
      </c>
      <c r="BT145" s="228">
        <f>+BT96+'recon-SONPws'!BT55</f>
        <v>0</v>
      </c>
      <c r="BU145" s="228">
        <f>+BU96+'recon-SONPws'!BU55</f>
        <v>0</v>
      </c>
      <c r="BV145" s="228">
        <f>+BV96+'recon-SONPws'!BV55</f>
        <v>0</v>
      </c>
      <c r="BW145" s="228">
        <f>+BW96+'recon-SONPws'!BW55</f>
        <v>0</v>
      </c>
      <c r="BX145" s="228">
        <f>+BX96+'recon-SONPws'!BX55</f>
        <v>0</v>
      </c>
      <c r="BY145" s="228">
        <f>+BY96+'recon-SONPws'!BY55</f>
        <v>0</v>
      </c>
      <c r="BZ145" s="228">
        <f>+BZ96+'recon-SONPws'!BZ55</f>
        <v>0</v>
      </c>
      <c r="CA145" s="228">
        <f>+CA96+'recon-SONPws'!CA55</f>
        <v>0</v>
      </c>
      <c r="CB145" s="228">
        <f>+CB96+'recon-SONPws'!CB55</f>
        <v>0</v>
      </c>
    </row>
    <row r="146" spans="1:87" x14ac:dyDescent="0.2">
      <c r="A146" s="864" t="s">
        <v>1084</v>
      </c>
      <c r="B146" s="228">
        <f t="shared" si="114"/>
        <v>774540</v>
      </c>
      <c r="C146" s="228">
        <f t="shared" ref="C146:AH146" si="122">+C4+C16</f>
        <v>104792</v>
      </c>
      <c r="D146" s="228">
        <f t="shared" si="122"/>
        <v>41281</v>
      </c>
      <c r="E146" s="228">
        <f t="shared" si="122"/>
        <v>27846</v>
      </c>
      <c r="F146" s="228">
        <f t="shared" si="122"/>
        <v>2136</v>
      </c>
      <c r="G146" s="228">
        <f t="shared" si="122"/>
        <v>85</v>
      </c>
      <c r="H146" s="228">
        <f t="shared" si="122"/>
        <v>1121</v>
      </c>
      <c r="I146" s="228">
        <f t="shared" si="122"/>
        <v>1110</v>
      </c>
      <c r="J146" s="228">
        <f t="shared" si="122"/>
        <v>0</v>
      </c>
      <c r="K146" s="228">
        <f t="shared" si="122"/>
        <v>2748</v>
      </c>
      <c r="L146" s="228">
        <f t="shared" si="122"/>
        <v>0</v>
      </c>
      <c r="M146" s="228">
        <f t="shared" si="122"/>
        <v>0</v>
      </c>
      <c r="N146" s="228">
        <f t="shared" si="122"/>
        <v>43349</v>
      </c>
      <c r="O146" s="228">
        <f t="shared" si="122"/>
        <v>20239</v>
      </c>
      <c r="P146" s="228">
        <f t="shared" si="122"/>
        <v>331</v>
      </c>
      <c r="Q146" s="228">
        <f t="shared" si="122"/>
        <v>4523</v>
      </c>
      <c r="R146" s="228">
        <f t="shared" si="122"/>
        <v>14</v>
      </c>
      <c r="S146" s="228">
        <f t="shared" si="122"/>
        <v>55</v>
      </c>
      <c r="T146" s="228">
        <f t="shared" si="122"/>
        <v>6</v>
      </c>
      <c r="U146" s="228">
        <f t="shared" si="122"/>
        <v>657</v>
      </c>
      <c r="V146" s="228">
        <f t="shared" si="122"/>
        <v>299</v>
      </c>
      <c r="W146" s="228">
        <f t="shared" si="122"/>
        <v>8727</v>
      </c>
      <c r="X146" s="228">
        <f t="shared" si="122"/>
        <v>13421</v>
      </c>
      <c r="Y146" s="228">
        <f t="shared" si="122"/>
        <v>0</v>
      </c>
      <c r="Z146" s="228">
        <f t="shared" si="122"/>
        <v>0</v>
      </c>
      <c r="AA146" s="228">
        <f t="shared" si="122"/>
        <v>0</v>
      </c>
      <c r="AB146" s="228">
        <f t="shared" si="122"/>
        <v>1172</v>
      </c>
      <c r="AC146" s="228">
        <f t="shared" si="122"/>
        <v>3781</v>
      </c>
      <c r="AD146" s="228">
        <f t="shared" si="122"/>
        <v>34752</v>
      </c>
      <c r="AE146" s="228">
        <f t="shared" si="122"/>
        <v>80121</v>
      </c>
      <c r="AF146" s="228">
        <f t="shared" si="122"/>
        <v>28124</v>
      </c>
      <c r="AG146" s="228">
        <f t="shared" si="122"/>
        <v>0</v>
      </c>
      <c r="AH146" s="228">
        <f t="shared" si="122"/>
        <v>0</v>
      </c>
      <c r="AI146" s="228">
        <f t="shared" ref="AI146:BN146" si="123">+AI4+AI16</f>
        <v>0</v>
      </c>
      <c r="AJ146" s="228">
        <f t="shared" si="123"/>
        <v>0</v>
      </c>
      <c r="AK146" s="228">
        <f t="shared" si="123"/>
        <v>16005</v>
      </c>
      <c r="AL146" s="228">
        <f t="shared" si="123"/>
        <v>241</v>
      </c>
      <c r="AM146" s="228">
        <f t="shared" si="123"/>
        <v>416</v>
      </c>
      <c r="AN146" s="228">
        <f t="shared" si="123"/>
        <v>2269</v>
      </c>
      <c r="AO146" s="228">
        <f t="shared" si="123"/>
        <v>406</v>
      </c>
      <c r="AP146" s="228">
        <f t="shared" si="123"/>
        <v>213</v>
      </c>
      <c r="AQ146" s="228">
        <f t="shared" si="123"/>
        <v>18875</v>
      </c>
      <c r="AR146" s="228">
        <f t="shared" si="123"/>
        <v>3151</v>
      </c>
      <c r="AS146" s="228">
        <f t="shared" si="123"/>
        <v>0</v>
      </c>
      <c r="AT146" s="228">
        <f t="shared" si="123"/>
        <v>21995</v>
      </c>
      <c r="AU146" s="228">
        <f t="shared" si="123"/>
        <v>25</v>
      </c>
      <c r="AV146" s="228">
        <f t="shared" si="123"/>
        <v>0</v>
      </c>
      <c r="AW146" s="228">
        <f t="shared" si="123"/>
        <v>11037</v>
      </c>
      <c r="AX146" s="228">
        <f t="shared" si="123"/>
        <v>0</v>
      </c>
      <c r="AY146" s="228">
        <f t="shared" si="123"/>
        <v>84</v>
      </c>
      <c r="AZ146" s="228">
        <f t="shared" si="123"/>
        <v>1185</v>
      </c>
      <c r="BA146" s="228">
        <f t="shared" si="123"/>
        <v>75</v>
      </c>
      <c r="BB146" s="228">
        <f t="shared" si="123"/>
        <v>123</v>
      </c>
      <c r="BC146" s="228">
        <f t="shared" si="123"/>
        <v>309</v>
      </c>
      <c r="BD146" s="228">
        <f t="shared" si="123"/>
        <v>0</v>
      </c>
      <c r="BE146" s="228">
        <f t="shared" si="123"/>
        <v>293</v>
      </c>
      <c r="BF146" s="228">
        <f t="shared" si="123"/>
        <v>326</v>
      </c>
      <c r="BG146" s="228">
        <f t="shared" si="123"/>
        <v>0</v>
      </c>
      <c r="BH146" s="228">
        <f t="shared" si="123"/>
        <v>10981</v>
      </c>
      <c r="BI146" s="228">
        <f t="shared" si="123"/>
        <v>29</v>
      </c>
      <c r="BJ146" s="228">
        <f t="shared" si="123"/>
        <v>3313</v>
      </c>
      <c r="BK146" s="228">
        <f t="shared" si="123"/>
        <v>24125</v>
      </c>
      <c r="BL146" s="228">
        <f t="shared" si="123"/>
        <v>290</v>
      </c>
      <c r="BM146" s="228">
        <f t="shared" si="123"/>
        <v>1791</v>
      </c>
      <c r="BN146" s="228">
        <f t="shared" si="123"/>
        <v>0</v>
      </c>
      <c r="BO146" s="228">
        <f t="shared" ref="BO146:CB146" si="124">+BO4+BO16</f>
        <v>0</v>
      </c>
      <c r="BP146" s="228">
        <f t="shared" si="124"/>
        <v>569</v>
      </c>
      <c r="BQ146" s="228">
        <f t="shared" si="124"/>
        <v>144453</v>
      </c>
      <c r="BR146" s="228">
        <f t="shared" si="124"/>
        <v>31825</v>
      </c>
      <c r="BS146" s="228">
        <f t="shared" si="124"/>
        <v>478</v>
      </c>
      <c r="BT146" s="228">
        <f t="shared" si="124"/>
        <v>8029</v>
      </c>
      <c r="BU146" s="228">
        <f t="shared" si="124"/>
        <v>8074</v>
      </c>
      <c r="BV146" s="228">
        <f t="shared" si="124"/>
        <v>9444</v>
      </c>
      <c r="BW146" s="228">
        <f t="shared" si="124"/>
        <v>2036</v>
      </c>
      <c r="BX146" s="228">
        <f t="shared" si="124"/>
        <v>31167</v>
      </c>
      <c r="BY146" s="228">
        <f t="shared" si="124"/>
        <v>218</v>
      </c>
      <c r="BZ146" s="228">
        <f t="shared" si="124"/>
        <v>0</v>
      </c>
      <c r="CA146" s="228">
        <f t="shared" si="124"/>
        <v>0</v>
      </c>
      <c r="CB146" s="228">
        <f t="shared" si="124"/>
        <v>0</v>
      </c>
      <c r="CC146" s="228"/>
      <c r="CD146" s="228">
        <f>SUM(CE146:CI146)</f>
        <v>178786</v>
      </c>
      <c r="CE146" s="228">
        <f t="shared" ref="CE146:CI147" si="125">+CE4+CE16</f>
        <v>166457</v>
      </c>
      <c r="CF146" s="228">
        <f t="shared" si="125"/>
        <v>3867</v>
      </c>
      <c r="CG146" s="228">
        <f t="shared" si="125"/>
        <v>2154</v>
      </c>
      <c r="CH146" s="228">
        <f t="shared" si="125"/>
        <v>92</v>
      </c>
      <c r="CI146" s="228">
        <f t="shared" si="125"/>
        <v>6216</v>
      </c>
    </row>
    <row r="147" spans="1:87" x14ac:dyDescent="0.2">
      <c r="A147" s="864" t="s">
        <v>674</v>
      </c>
      <c r="B147" s="228">
        <f t="shared" si="114"/>
        <v>1587821</v>
      </c>
      <c r="C147" s="228">
        <f t="shared" ref="C147:AH147" si="126">+C5+C17</f>
        <v>351836</v>
      </c>
      <c r="D147" s="228">
        <f t="shared" si="126"/>
        <v>2050</v>
      </c>
      <c r="E147" s="228">
        <f t="shared" si="126"/>
        <v>80038</v>
      </c>
      <c r="F147" s="228">
        <f t="shared" si="126"/>
        <v>421</v>
      </c>
      <c r="G147" s="228">
        <f t="shared" si="126"/>
        <v>0</v>
      </c>
      <c r="H147" s="228">
        <f t="shared" si="126"/>
        <v>3806</v>
      </c>
      <c r="I147" s="228">
        <f t="shared" si="126"/>
        <v>3805</v>
      </c>
      <c r="J147" s="228">
        <f t="shared" si="126"/>
        <v>0</v>
      </c>
      <c r="K147" s="228">
        <f t="shared" si="126"/>
        <v>9940</v>
      </c>
      <c r="L147" s="228">
        <f t="shared" si="126"/>
        <v>0</v>
      </c>
      <c r="M147" s="228">
        <f t="shared" si="126"/>
        <v>0</v>
      </c>
      <c r="N147" s="228">
        <f t="shared" si="126"/>
        <v>124366</v>
      </c>
      <c r="O147" s="228">
        <f t="shared" si="126"/>
        <v>85632</v>
      </c>
      <c r="P147" s="228">
        <f t="shared" si="126"/>
        <v>972</v>
      </c>
      <c r="Q147" s="228">
        <f t="shared" si="126"/>
        <v>16754</v>
      </c>
      <c r="R147" s="228">
        <f t="shared" si="126"/>
        <v>1</v>
      </c>
      <c r="S147" s="228">
        <f t="shared" si="126"/>
        <v>19</v>
      </c>
      <c r="T147" s="228">
        <f t="shared" si="126"/>
        <v>12</v>
      </c>
      <c r="U147" s="228">
        <f t="shared" si="126"/>
        <v>2229</v>
      </c>
      <c r="V147" s="228">
        <f t="shared" si="126"/>
        <v>11361</v>
      </c>
      <c r="W147" s="228">
        <f t="shared" si="126"/>
        <v>36076</v>
      </c>
      <c r="X147" s="228">
        <f t="shared" si="126"/>
        <v>45438</v>
      </c>
      <c r="Y147" s="228">
        <f t="shared" si="126"/>
        <v>0</v>
      </c>
      <c r="Z147" s="228">
        <f t="shared" si="126"/>
        <v>0</v>
      </c>
      <c r="AA147" s="228">
        <f t="shared" si="126"/>
        <v>0</v>
      </c>
      <c r="AB147" s="228">
        <f t="shared" si="126"/>
        <v>3979</v>
      </c>
      <c r="AC147" s="228">
        <f t="shared" si="126"/>
        <v>12836</v>
      </c>
      <c r="AD147" s="228">
        <f t="shared" si="126"/>
        <v>120524</v>
      </c>
      <c r="AE147" s="228">
        <f t="shared" si="126"/>
        <v>293952</v>
      </c>
      <c r="AF147" s="228">
        <f t="shared" si="126"/>
        <v>0</v>
      </c>
      <c r="AG147" s="228">
        <f t="shared" si="126"/>
        <v>0</v>
      </c>
      <c r="AH147" s="228">
        <f t="shared" si="126"/>
        <v>0</v>
      </c>
      <c r="AI147" s="228">
        <f t="shared" ref="AI147:BN147" si="127">+AI5+AI17</f>
        <v>0</v>
      </c>
      <c r="AJ147" s="228">
        <f t="shared" si="127"/>
        <v>0</v>
      </c>
      <c r="AK147" s="228">
        <f t="shared" si="127"/>
        <v>21319</v>
      </c>
      <c r="AL147" s="228">
        <f t="shared" si="127"/>
        <v>1073</v>
      </c>
      <c r="AM147" s="228">
        <f t="shared" si="127"/>
        <v>1485</v>
      </c>
      <c r="AN147" s="228">
        <f t="shared" si="127"/>
        <v>7701</v>
      </c>
      <c r="AO147" s="228">
        <f t="shared" si="127"/>
        <v>17640</v>
      </c>
      <c r="AP147" s="228">
        <f t="shared" si="127"/>
        <v>729</v>
      </c>
      <c r="AQ147" s="228">
        <f t="shared" si="127"/>
        <v>72131</v>
      </c>
      <c r="AR147" s="228">
        <f t="shared" si="127"/>
        <v>0</v>
      </c>
      <c r="AS147" s="228">
        <f t="shared" si="127"/>
        <v>0</v>
      </c>
      <c r="AT147" s="228">
        <f t="shared" si="127"/>
        <v>0</v>
      </c>
      <c r="AU147" s="228">
        <f t="shared" si="127"/>
        <v>84</v>
      </c>
      <c r="AV147" s="228">
        <f t="shared" si="127"/>
        <v>0</v>
      </c>
      <c r="AW147" s="228">
        <f t="shared" si="127"/>
        <v>45851</v>
      </c>
      <c r="AX147" s="228">
        <f t="shared" si="127"/>
        <v>0</v>
      </c>
      <c r="AY147" s="228">
        <f t="shared" si="127"/>
        <v>284</v>
      </c>
      <c r="AZ147" s="228">
        <f t="shared" si="127"/>
        <v>4023</v>
      </c>
      <c r="BA147" s="228">
        <f t="shared" si="127"/>
        <v>253</v>
      </c>
      <c r="BB147" s="228">
        <f t="shared" si="127"/>
        <v>417</v>
      </c>
      <c r="BC147" s="228">
        <f t="shared" si="127"/>
        <v>1048</v>
      </c>
      <c r="BD147" s="228">
        <f t="shared" si="127"/>
        <v>0</v>
      </c>
      <c r="BE147" s="228">
        <f t="shared" si="127"/>
        <v>0</v>
      </c>
      <c r="BF147" s="228">
        <f t="shared" si="127"/>
        <v>592</v>
      </c>
      <c r="BG147" s="228">
        <f t="shared" si="127"/>
        <v>0</v>
      </c>
      <c r="BH147" s="228">
        <f t="shared" si="127"/>
        <v>0</v>
      </c>
      <c r="BI147" s="228">
        <f t="shared" si="127"/>
        <v>0</v>
      </c>
      <c r="BJ147" s="228">
        <f t="shared" si="127"/>
        <v>2136</v>
      </c>
      <c r="BK147" s="228">
        <f t="shared" si="127"/>
        <v>7</v>
      </c>
      <c r="BL147" s="228">
        <f t="shared" si="127"/>
        <v>0</v>
      </c>
      <c r="BM147" s="228">
        <f t="shared" si="127"/>
        <v>0</v>
      </c>
      <c r="BN147" s="228">
        <f t="shared" si="127"/>
        <v>0</v>
      </c>
      <c r="BO147" s="228">
        <f t="shared" ref="BO147:CB147" si="128">+BO5+BO17</f>
        <v>0</v>
      </c>
      <c r="BP147" s="228">
        <f t="shared" si="128"/>
        <v>3631</v>
      </c>
      <c r="BQ147" s="228">
        <f t="shared" si="128"/>
        <v>0</v>
      </c>
      <c r="BR147" s="228">
        <f t="shared" si="128"/>
        <v>0</v>
      </c>
      <c r="BS147" s="228">
        <f t="shared" si="128"/>
        <v>1623</v>
      </c>
      <c r="BT147" s="228">
        <f t="shared" si="128"/>
        <v>27074</v>
      </c>
      <c r="BU147" s="228">
        <f t="shared" si="128"/>
        <v>27457</v>
      </c>
      <c r="BV147" s="228">
        <f t="shared" si="128"/>
        <v>32145</v>
      </c>
      <c r="BW147" s="228">
        <f t="shared" si="128"/>
        <v>7072</v>
      </c>
      <c r="BX147" s="228">
        <f t="shared" si="128"/>
        <v>104286</v>
      </c>
      <c r="BY147" s="228">
        <f t="shared" si="128"/>
        <v>1713</v>
      </c>
      <c r="BZ147" s="228">
        <f t="shared" si="128"/>
        <v>0</v>
      </c>
      <c r="CA147" s="228">
        <f t="shared" si="128"/>
        <v>0</v>
      </c>
      <c r="CB147" s="228">
        <f t="shared" si="128"/>
        <v>0</v>
      </c>
      <c r="CC147" s="228"/>
      <c r="CD147" s="228">
        <f>SUM(CE147:CI147)</f>
        <v>394377</v>
      </c>
      <c r="CE147" s="228">
        <f t="shared" si="125"/>
        <v>359965</v>
      </c>
      <c r="CF147" s="228">
        <f t="shared" si="125"/>
        <v>4722</v>
      </c>
      <c r="CG147" s="228">
        <f t="shared" si="125"/>
        <v>7161</v>
      </c>
      <c r="CH147" s="228">
        <f t="shared" si="125"/>
        <v>313</v>
      </c>
      <c r="CI147" s="228">
        <f t="shared" si="125"/>
        <v>22216</v>
      </c>
    </row>
    <row r="148" spans="1:87" x14ac:dyDescent="0.2">
      <c r="A148" s="864" t="s">
        <v>1193</v>
      </c>
      <c r="B148" s="228">
        <f t="shared" si="114"/>
        <v>3232039</v>
      </c>
      <c r="C148" s="228">
        <f>+C66+C82</f>
        <v>-39360</v>
      </c>
      <c r="D148" s="228">
        <f t="shared" ref="D148:O148" si="129">+D66+D82</f>
        <v>-3181414</v>
      </c>
      <c r="E148" s="228">
        <f t="shared" ref="E148" si="130">+E66+E82</f>
        <v>0</v>
      </c>
      <c r="F148" s="228">
        <f t="shared" si="129"/>
        <v>0</v>
      </c>
      <c r="G148" s="228">
        <f t="shared" si="129"/>
        <v>0</v>
      </c>
      <c r="H148" s="228">
        <f t="shared" si="129"/>
        <v>0</v>
      </c>
      <c r="I148" s="228">
        <f t="shared" si="129"/>
        <v>0</v>
      </c>
      <c r="J148" s="228">
        <f t="shared" si="129"/>
        <v>25692</v>
      </c>
      <c r="K148" s="228">
        <f t="shared" si="129"/>
        <v>0</v>
      </c>
      <c r="L148" s="228">
        <f t="shared" si="129"/>
        <v>0</v>
      </c>
      <c r="M148" s="228">
        <f t="shared" si="129"/>
        <v>0</v>
      </c>
      <c r="N148" s="228">
        <f t="shared" si="129"/>
        <v>0</v>
      </c>
      <c r="O148" s="228">
        <f t="shared" si="129"/>
        <v>15955</v>
      </c>
      <c r="P148" s="228"/>
      <c r="Q148" s="228">
        <f t="shared" ref="Q148:BC148" si="131">+Q66+Q82</f>
        <v>0</v>
      </c>
      <c r="R148" s="228">
        <f t="shared" si="131"/>
        <v>0</v>
      </c>
      <c r="S148" s="228">
        <f>+S66+S82</f>
        <v>0</v>
      </c>
      <c r="T148" s="228">
        <f t="shared" si="131"/>
        <v>0</v>
      </c>
      <c r="U148" s="228">
        <f t="shared" si="131"/>
        <v>0</v>
      </c>
      <c r="V148" s="228">
        <f t="shared" si="131"/>
        <v>0</v>
      </c>
      <c r="W148" s="228">
        <f t="shared" si="131"/>
        <v>0</v>
      </c>
      <c r="X148" s="228">
        <f t="shared" si="131"/>
        <v>0</v>
      </c>
      <c r="Y148" s="228">
        <f t="shared" si="131"/>
        <v>0</v>
      </c>
      <c r="Z148" s="228">
        <f t="shared" si="131"/>
        <v>0</v>
      </c>
      <c r="AA148" s="228">
        <f t="shared" si="131"/>
        <v>0</v>
      </c>
      <c r="AB148" s="228">
        <f t="shared" si="131"/>
        <v>679378</v>
      </c>
      <c r="AC148" s="228">
        <f t="shared" si="131"/>
        <v>524252</v>
      </c>
      <c r="AD148" s="228">
        <f t="shared" si="131"/>
        <v>731895</v>
      </c>
      <c r="AE148" s="228">
        <f t="shared" ref="AE148" si="132">+AE66+AE82</f>
        <v>520860</v>
      </c>
      <c r="AF148" s="228">
        <f t="shared" si="131"/>
        <v>0</v>
      </c>
      <c r="AG148" s="228">
        <f t="shared" si="131"/>
        <v>0</v>
      </c>
      <c r="AH148" s="228">
        <f t="shared" si="131"/>
        <v>0</v>
      </c>
      <c r="AI148" s="228">
        <f t="shared" si="131"/>
        <v>0</v>
      </c>
      <c r="AJ148" s="228">
        <f t="shared" si="131"/>
        <v>0</v>
      </c>
      <c r="AK148" s="228">
        <f t="shared" si="131"/>
        <v>1002885</v>
      </c>
      <c r="AL148" s="228">
        <f t="shared" si="131"/>
        <v>30235</v>
      </c>
      <c r="AM148" s="228">
        <f t="shared" ref="AM148:AN148" si="133">+AM66+AM82</f>
        <v>55940</v>
      </c>
      <c r="AN148" s="228">
        <f t="shared" si="133"/>
        <v>64315</v>
      </c>
      <c r="AO148" s="228">
        <f t="shared" ref="AO148:AQ148" si="134">+AO66+AO82</f>
        <v>79830</v>
      </c>
      <c r="AP148" s="228">
        <f t="shared" si="134"/>
        <v>46990</v>
      </c>
      <c r="AQ148" s="228">
        <f t="shared" si="134"/>
        <v>156205</v>
      </c>
      <c r="AR148" s="228">
        <f t="shared" si="131"/>
        <v>0</v>
      </c>
      <c r="AS148" s="228">
        <f t="shared" si="131"/>
        <v>25805</v>
      </c>
      <c r="AT148" s="228">
        <f t="shared" si="131"/>
        <v>58105</v>
      </c>
      <c r="AU148" s="228">
        <f t="shared" si="131"/>
        <v>105210</v>
      </c>
      <c r="AV148" s="228">
        <f t="shared" si="131"/>
        <v>0</v>
      </c>
      <c r="AW148" s="228">
        <f t="shared" si="131"/>
        <v>591800</v>
      </c>
      <c r="AX148" s="228">
        <f t="shared" si="131"/>
        <v>28800</v>
      </c>
      <c r="AY148" s="228">
        <f t="shared" si="131"/>
        <v>0</v>
      </c>
      <c r="AZ148" s="228">
        <f t="shared" si="131"/>
        <v>0</v>
      </c>
      <c r="BA148" s="228">
        <f t="shared" si="131"/>
        <v>0</v>
      </c>
      <c r="BB148" s="228">
        <f t="shared" si="131"/>
        <v>0</v>
      </c>
      <c r="BC148" s="228">
        <f t="shared" si="131"/>
        <v>0</v>
      </c>
      <c r="BD148" s="228">
        <f t="shared" ref="BD148:CB148" si="135">+BD66+BD82</f>
        <v>0</v>
      </c>
      <c r="BE148" s="228">
        <f t="shared" si="135"/>
        <v>0</v>
      </c>
      <c r="BF148" s="228">
        <f t="shared" si="135"/>
        <v>0</v>
      </c>
      <c r="BG148" s="228">
        <f t="shared" si="135"/>
        <v>0</v>
      </c>
      <c r="BH148" s="228">
        <f t="shared" si="135"/>
        <v>0</v>
      </c>
      <c r="BI148" s="228">
        <f t="shared" si="135"/>
        <v>0</v>
      </c>
      <c r="BJ148" s="228">
        <f t="shared" si="135"/>
        <v>0</v>
      </c>
      <c r="BK148" s="228">
        <f t="shared" si="135"/>
        <v>143375</v>
      </c>
      <c r="BL148" s="228">
        <f t="shared" si="135"/>
        <v>12020</v>
      </c>
      <c r="BM148" s="228">
        <f t="shared" si="135"/>
        <v>0</v>
      </c>
      <c r="BN148" s="228">
        <f t="shared" si="135"/>
        <v>0</v>
      </c>
      <c r="BO148" s="228">
        <f t="shared" si="135"/>
        <v>0</v>
      </c>
      <c r="BP148" s="228">
        <f t="shared" si="135"/>
        <v>0</v>
      </c>
      <c r="BQ148" s="228">
        <f t="shared" si="135"/>
        <v>0</v>
      </c>
      <c r="BR148" s="228">
        <f t="shared" si="135"/>
        <v>542580</v>
      </c>
      <c r="BS148" s="228">
        <f t="shared" si="135"/>
        <v>0</v>
      </c>
      <c r="BT148" s="228">
        <f t="shared" si="135"/>
        <v>0</v>
      </c>
      <c r="BU148" s="228">
        <f t="shared" si="135"/>
        <v>0</v>
      </c>
      <c r="BV148" s="228">
        <f t="shared" si="135"/>
        <v>0</v>
      </c>
      <c r="BW148" s="228">
        <f t="shared" si="135"/>
        <v>0</v>
      </c>
      <c r="BX148" s="228">
        <f t="shared" si="135"/>
        <v>4230</v>
      </c>
      <c r="BY148" s="228">
        <f t="shared" si="135"/>
        <v>0</v>
      </c>
      <c r="BZ148" s="228">
        <f t="shared" si="135"/>
        <v>1006456</v>
      </c>
      <c r="CA148" s="228">
        <f t="shared" si="135"/>
        <v>0</v>
      </c>
      <c r="CB148" s="228">
        <f t="shared" si="135"/>
        <v>0</v>
      </c>
      <c r="CC148" s="228"/>
      <c r="CD148" s="228"/>
      <c r="CE148" s="228"/>
      <c r="CF148" s="228"/>
      <c r="CG148" s="228"/>
      <c r="CH148" s="228"/>
      <c r="CI148" s="228"/>
    </row>
    <row r="149" spans="1:87" x14ac:dyDescent="0.2">
      <c r="A149" s="864" t="s">
        <v>1194</v>
      </c>
      <c r="B149" s="228">
        <f t="shared" si="114"/>
        <v>189856</v>
      </c>
      <c r="C149" s="228">
        <f>+C69+C70+C85+C86</f>
        <v>0</v>
      </c>
      <c r="D149" s="228">
        <f t="shared" ref="D149:AX149" si="136">+D69+D70+D85+D86</f>
        <v>16602</v>
      </c>
      <c r="E149" s="228">
        <f t="shared" ref="E149" si="137">+E69+E70+E85+E86</f>
        <v>0</v>
      </c>
      <c r="F149" s="228">
        <f t="shared" si="136"/>
        <v>0</v>
      </c>
      <c r="G149" s="228">
        <f t="shared" si="136"/>
        <v>0</v>
      </c>
      <c r="H149" s="228">
        <f t="shared" si="136"/>
        <v>0</v>
      </c>
      <c r="I149" s="228">
        <f t="shared" si="136"/>
        <v>0</v>
      </c>
      <c r="J149" s="228">
        <f t="shared" si="136"/>
        <v>0</v>
      </c>
      <c r="K149" s="228">
        <f t="shared" si="136"/>
        <v>0</v>
      </c>
      <c r="L149" s="228">
        <f t="shared" si="136"/>
        <v>0</v>
      </c>
      <c r="M149" s="228">
        <f t="shared" si="136"/>
        <v>0</v>
      </c>
      <c r="N149" s="228">
        <f t="shared" si="136"/>
        <v>0</v>
      </c>
      <c r="O149" s="228">
        <f t="shared" si="136"/>
        <v>0</v>
      </c>
      <c r="P149" s="228">
        <f t="shared" si="136"/>
        <v>0</v>
      </c>
      <c r="Q149" s="228">
        <f t="shared" si="136"/>
        <v>0</v>
      </c>
      <c r="R149" s="228">
        <f t="shared" si="136"/>
        <v>0</v>
      </c>
      <c r="S149" s="228">
        <f>+S69+S70+S85+S86</f>
        <v>0</v>
      </c>
      <c r="T149" s="228">
        <f t="shared" si="136"/>
        <v>0</v>
      </c>
      <c r="U149" s="228">
        <f t="shared" si="136"/>
        <v>0</v>
      </c>
      <c r="V149" s="228">
        <f t="shared" si="136"/>
        <v>0</v>
      </c>
      <c r="W149" s="228">
        <f t="shared" si="136"/>
        <v>0</v>
      </c>
      <c r="X149" s="228">
        <f t="shared" si="136"/>
        <v>0</v>
      </c>
      <c r="Y149" s="228">
        <f t="shared" si="136"/>
        <v>0</v>
      </c>
      <c r="Z149" s="228">
        <f t="shared" si="136"/>
        <v>0</v>
      </c>
      <c r="AA149" s="228">
        <f t="shared" si="136"/>
        <v>0</v>
      </c>
      <c r="AB149" s="228">
        <f t="shared" si="136"/>
        <v>0</v>
      </c>
      <c r="AC149" s="228">
        <f t="shared" si="136"/>
        <v>7676</v>
      </c>
      <c r="AD149" s="228">
        <f t="shared" si="136"/>
        <v>56457</v>
      </c>
      <c r="AE149" s="228">
        <f t="shared" ref="AE149" si="138">+AE69+AE70+AE85+AE86</f>
        <v>27515</v>
      </c>
      <c r="AF149" s="228">
        <f t="shared" si="136"/>
        <v>0</v>
      </c>
      <c r="AG149" s="228">
        <f t="shared" si="136"/>
        <v>0</v>
      </c>
      <c r="AH149" s="228">
        <f t="shared" si="136"/>
        <v>0</v>
      </c>
      <c r="AI149" s="228">
        <f t="shared" si="136"/>
        <v>0</v>
      </c>
      <c r="AJ149" s="228">
        <f t="shared" si="136"/>
        <v>0</v>
      </c>
      <c r="AK149" s="228">
        <f t="shared" si="136"/>
        <v>15123</v>
      </c>
      <c r="AL149" s="228">
        <f t="shared" si="136"/>
        <v>2130</v>
      </c>
      <c r="AM149" s="228">
        <f t="shared" ref="AM149:AN149" si="139">+AM69+AM70+AM85+AM86</f>
        <v>4374</v>
      </c>
      <c r="AN149" s="228">
        <f t="shared" si="139"/>
        <v>4744</v>
      </c>
      <c r="AO149" s="228">
        <f t="shared" ref="AO149:AQ149" si="140">+AO69+AO70+AO85+AO86</f>
        <v>6451</v>
      </c>
      <c r="AP149" s="228">
        <f t="shared" si="140"/>
        <v>2514</v>
      </c>
      <c r="AQ149" s="228">
        <f t="shared" si="140"/>
        <v>9589</v>
      </c>
      <c r="AR149" s="228">
        <f t="shared" si="136"/>
        <v>0</v>
      </c>
      <c r="AS149" s="228">
        <f t="shared" si="136"/>
        <v>0</v>
      </c>
      <c r="AT149" s="228">
        <f t="shared" si="136"/>
        <v>0</v>
      </c>
      <c r="AU149" s="228">
        <f t="shared" si="136"/>
        <v>0</v>
      </c>
      <c r="AV149" s="228">
        <f t="shared" si="136"/>
        <v>0</v>
      </c>
      <c r="AW149" s="228">
        <f t="shared" si="136"/>
        <v>1148</v>
      </c>
      <c r="AX149" s="228">
        <f t="shared" si="136"/>
        <v>0</v>
      </c>
      <c r="AY149" s="228">
        <f t="shared" ref="AY149:BU149" si="141">+AY69+AY70+AY85+AY86</f>
        <v>0</v>
      </c>
      <c r="AZ149" s="228">
        <f t="shared" si="141"/>
        <v>0</v>
      </c>
      <c r="BA149" s="228">
        <f t="shared" si="141"/>
        <v>0</v>
      </c>
      <c r="BB149" s="228">
        <f t="shared" si="141"/>
        <v>0</v>
      </c>
      <c r="BC149" s="228">
        <f t="shared" si="141"/>
        <v>0</v>
      </c>
      <c r="BD149" s="228">
        <f t="shared" si="141"/>
        <v>0</v>
      </c>
      <c r="BE149" s="228">
        <f t="shared" si="141"/>
        <v>0</v>
      </c>
      <c r="BF149" s="228">
        <f t="shared" si="141"/>
        <v>0</v>
      </c>
      <c r="BG149" s="228">
        <f t="shared" si="141"/>
        <v>0</v>
      </c>
      <c r="BH149" s="228">
        <f t="shared" si="141"/>
        <v>0</v>
      </c>
      <c r="BI149" s="228">
        <f t="shared" si="141"/>
        <v>0</v>
      </c>
      <c r="BJ149" s="228">
        <f t="shared" si="141"/>
        <v>0</v>
      </c>
      <c r="BK149" s="228">
        <f t="shared" si="141"/>
        <v>8859</v>
      </c>
      <c r="BL149" s="228">
        <f t="shared" si="141"/>
        <v>35</v>
      </c>
      <c r="BM149" s="228">
        <f t="shared" si="141"/>
        <v>0</v>
      </c>
      <c r="BN149" s="228">
        <f t="shared" si="141"/>
        <v>0</v>
      </c>
      <c r="BO149" s="228">
        <f t="shared" si="141"/>
        <v>0</v>
      </c>
      <c r="BP149" s="228">
        <f t="shared" si="141"/>
        <v>0</v>
      </c>
      <c r="BQ149" s="228">
        <f t="shared" si="141"/>
        <v>0</v>
      </c>
      <c r="BR149" s="228">
        <f t="shared" si="141"/>
        <v>26639</v>
      </c>
      <c r="BS149" s="228">
        <f t="shared" si="141"/>
        <v>0</v>
      </c>
      <c r="BT149" s="228">
        <f t="shared" si="141"/>
        <v>0</v>
      </c>
      <c r="BU149" s="228">
        <f t="shared" si="141"/>
        <v>0</v>
      </c>
      <c r="BV149" s="228">
        <f t="shared" ref="BV149:CB149" si="142">+BV69+BV70+BV85+BV86</f>
        <v>0</v>
      </c>
      <c r="BW149" s="228">
        <f t="shared" si="142"/>
        <v>0</v>
      </c>
      <c r="BX149" s="228">
        <f t="shared" si="142"/>
        <v>0</v>
      </c>
      <c r="BY149" s="228">
        <f t="shared" si="142"/>
        <v>0</v>
      </c>
      <c r="BZ149" s="228">
        <f t="shared" si="142"/>
        <v>0</v>
      </c>
      <c r="CA149" s="228">
        <f t="shared" si="142"/>
        <v>0</v>
      </c>
      <c r="CB149" s="228">
        <f t="shared" si="142"/>
        <v>0</v>
      </c>
      <c r="CC149" s="228"/>
      <c r="CD149" s="228"/>
      <c r="CE149" s="228"/>
      <c r="CF149" s="228"/>
      <c r="CG149" s="228"/>
      <c r="CH149" s="228"/>
      <c r="CI149" s="228"/>
    </row>
    <row r="150" spans="1:87" s="228" customFormat="1" x14ac:dyDescent="0.2">
      <c r="A150" s="781" t="s">
        <v>1195</v>
      </c>
      <c r="B150" s="228">
        <f t="shared" si="114"/>
        <v>0</v>
      </c>
      <c r="C150" s="228">
        <f>+C87+C71</f>
        <v>0</v>
      </c>
      <c r="D150" s="228">
        <f t="shared" ref="D150:U150" si="143">+D87+D71</f>
        <v>0</v>
      </c>
      <c r="E150" s="228">
        <f t="shared" ref="E150" si="144">+E87+E71</f>
        <v>0</v>
      </c>
      <c r="F150" s="228">
        <f t="shared" si="143"/>
        <v>0</v>
      </c>
      <c r="G150" s="228">
        <f t="shared" si="143"/>
        <v>0</v>
      </c>
      <c r="H150" s="228">
        <f t="shared" si="143"/>
        <v>0</v>
      </c>
      <c r="I150" s="228">
        <f t="shared" si="143"/>
        <v>0</v>
      </c>
      <c r="J150" s="228">
        <f t="shared" si="143"/>
        <v>0</v>
      </c>
      <c r="K150" s="228">
        <f t="shared" si="143"/>
        <v>0</v>
      </c>
      <c r="L150" s="228">
        <f t="shared" si="143"/>
        <v>0</v>
      </c>
      <c r="M150" s="228">
        <f t="shared" si="143"/>
        <v>0</v>
      </c>
      <c r="N150" s="228">
        <f t="shared" si="143"/>
        <v>0</v>
      </c>
      <c r="O150" s="228">
        <f t="shared" si="143"/>
        <v>0</v>
      </c>
      <c r="P150" s="228">
        <f t="shared" si="143"/>
        <v>0</v>
      </c>
      <c r="Q150" s="228">
        <f t="shared" si="143"/>
        <v>0</v>
      </c>
      <c r="R150" s="228">
        <f t="shared" si="143"/>
        <v>0</v>
      </c>
      <c r="S150" s="228">
        <f>+S87+S71</f>
        <v>0</v>
      </c>
      <c r="T150" s="228">
        <f t="shared" si="143"/>
        <v>0</v>
      </c>
      <c r="U150" s="228">
        <f t="shared" si="143"/>
        <v>0</v>
      </c>
      <c r="W150" s="228">
        <f t="shared" ref="W150:AX150" si="145">+W87+W71</f>
        <v>0</v>
      </c>
      <c r="X150" s="228">
        <f t="shared" si="145"/>
        <v>0</v>
      </c>
      <c r="Y150" s="228">
        <f t="shared" si="145"/>
        <v>0</v>
      </c>
      <c r="Z150" s="228">
        <f t="shared" si="145"/>
        <v>0</v>
      </c>
      <c r="AA150" s="228">
        <f t="shared" si="145"/>
        <v>0</v>
      </c>
      <c r="AB150" s="228">
        <f t="shared" si="145"/>
        <v>0</v>
      </c>
      <c r="AC150" s="228">
        <f t="shared" si="145"/>
        <v>0</v>
      </c>
      <c r="AD150" s="228">
        <f t="shared" si="145"/>
        <v>0</v>
      </c>
      <c r="AE150" s="228">
        <f t="shared" ref="AE150" si="146">+AE87+AE71</f>
        <v>0</v>
      </c>
      <c r="AF150" s="228">
        <f t="shared" si="145"/>
        <v>0</v>
      </c>
      <c r="AG150" s="228">
        <f t="shared" si="145"/>
        <v>0</v>
      </c>
      <c r="AH150" s="228">
        <f t="shared" si="145"/>
        <v>0</v>
      </c>
      <c r="AI150" s="228">
        <f t="shared" si="145"/>
        <v>0</v>
      </c>
      <c r="AJ150" s="228">
        <f t="shared" si="145"/>
        <v>0</v>
      </c>
      <c r="AK150" s="228">
        <f t="shared" si="145"/>
        <v>0</v>
      </c>
      <c r="AL150" s="228">
        <f t="shared" si="145"/>
        <v>0</v>
      </c>
      <c r="AM150" s="228">
        <f t="shared" ref="AM150:AN150" si="147">+AM87+AM71</f>
        <v>0</v>
      </c>
      <c r="AN150" s="228">
        <f t="shared" si="147"/>
        <v>0</v>
      </c>
      <c r="AO150" s="228">
        <f t="shared" ref="AO150:AQ150" si="148">+AO87+AO71</f>
        <v>0</v>
      </c>
      <c r="AP150" s="228">
        <f t="shared" si="148"/>
        <v>0</v>
      </c>
      <c r="AQ150" s="228">
        <f t="shared" si="148"/>
        <v>0</v>
      </c>
      <c r="AR150" s="228">
        <f t="shared" si="145"/>
        <v>0</v>
      </c>
      <c r="AS150" s="228">
        <f t="shared" si="145"/>
        <v>0</v>
      </c>
      <c r="AT150" s="228">
        <f t="shared" si="145"/>
        <v>0</v>
      </c>
      <c r="AU150" s="228">
        <f t="shared" si="145"/>
        <v>0</v>
      </c>
      <c r="AV150" s="228">
        <f t="shared" si="145"/>
        <v>0</v>
      </c>
      <c r="AW150" s="228">
        <f t="shared" si="145"/>
        <v>0</v>
      </c>
      <c r="AX150" s="228">
        <f t="shared" si="145"/>
        <v>0</v>
      </c>
      <c r="BD150" s="228">
        <f t="shared" ref="BD150:BS150" si="149">+BD71+BD87</f>
        <v>0</v>
      </c>
      <c r="BE150" s="228">
        <f t="shared" si="149"/>
        <v>0</v>
      </c>
      <c r="BF150" s="228">
        <f t="shared" si="149"/>
        <v>0</v>
      </c>
      <c r="BG150" s="228">
        <f t="shared" si="149"/>
        <v>0</v>
      </c>
      <c r="BH150" s="228">
        <f t="shared" si="149"/>
        <v>0</v>
      </c>
      <c r="BI150" s="228">
        <f t="shared" si="149"/>
        <v>0</v>
      </c>
      <c r="BJ150" s="228">
        <f t="shared" si="149"/>
        <v>0</v>
      </c>
      <c r="BK150" s="228">
        <f t="shared" si="149"/>
        <v>0</v>
      </c>
      <c r="BL150" s="228">
        <f t="shared" si="149"/>
        <v>0</v>
      </c>
      <c r="BM150" s="228">
        <f t="shared" si="149"/>
        <v>0</v>
      </c>
      <c r="BN150" s="228">
        <f t="shared" si="149"/>
        <v>0</v>
      </c>
      <c r="BO150" s="228">
        <f t="shared" si="149"/>
        <v>0</v>
      </c>
      <c r="BP150" s="228">
        <f t="shared" si="149"/>
        <v>0</v>
      </c>
      <c r="BQ150" s="228">
        <f t="shared" si="149"/>
        <v>0</v>
      </c>
      <c r="BR150" s="228">
        <f t="shared" si="149"/>
        <v>0</v>
      </c>
      <c r="BS150" s="228">
        <f t="shared" si="149"/>
        <v>0</v>
      </c>
    </row>
    <row r="151" spans="1:87" s="228" customFormat="1" x14ac:dyDescent="0.2">
      <c r="A151" s="781" t="s">
        <v>1196</v>
      </c>
      <c r="B151" s="228">
        <f t="shared" si="114"/>
        <v>0</v>
      </c>
      <c r="C151" s="228">
        <f t="shared" ref="C151:U151" si="150">+C29+C30+C33+C34</f>
        <v>0</v>
      </c>
      <c r="D151" s="228">
        <f t="shared" si="150"/>
        <v>0</v>
      </c>
      <c r="E151" s="228">
        <f t="shared" si="150"/>
        <v>0</v>
      </c>
      <c r="F151" s="228">
        <f t="shared" si="150"/>
        <v>0</v>
      </c>
      <c r="G151" s="228">
        <f t="shared" si="150"/>
        <v>0</v>
      </c>
      <c r="H151" s="228">
        <f t="shared" si="150"/>
        <v>0</v>
      </c>
      <c r="I151" s="228">
        <f t="shared" si="150"/>
        <v>0</v>
      </c>
      <c r="J151" s="228">
        <f t="shared" si="150"/>
        <v>0</v>
      </c>
      <c r="K151" s="228">
        <f t="shared" si="150"/>
        <v>0</v>
      </c>
      <c r="L151" s="228">
        <f t="shared" si="150"/>
        <v>0</v>
      </c>
      <c r="M151" s="228">
        <f t="shared" si="150"/>
        <v>0</v>
      </c>
      <c r="N151" s="228">
        <f t="shared" si="150"/>
        <v>0</v>
      </c>
      <c r="O151" s="228">
        <f t="shared" si="150"/>
        <v>0</v>
      </c>
      <c r="P151" s="228">
        <f t="shared" si="150"/>
        <v>0</v>
      </c>
      <c r="Q151" s="228">
        <f t="shared" si="150"/>
        <v>0</v>
      </c>
      <c r="R151" s="228">
        <f t="shared" si="150"/>
        <v>0</v>
      </c>
      <c r="S151" s="228">
        <f t="shared" si="150"/>
        <v>0</v>
      </c>
      <c r="T151" s="228">
        <f t="shared" si="150"/>
        <v>0</v>
      </c>
      <c r="U151" s="228">
        <f t="shared" si="150"/>
        <v>0</v>
      </c>
      <c r="W151" s="228">
        <f t="shared" ref="W151:AK151" si="151">+W29+W30+W33+W34</f>
        <v>0</v>
      </c>
      <c r="X151" s="228">
        <f t="shared" si="151"/>
        <v>0</v>
      </c>
      <c r="Y151" s="228">
        <f t="shared" si="151"/>
        <v>0</v>
      </c>
      <c r="Z151" s="228">
        <f t="shared" si="151"/>
        <v>0</v>
      </c>
      <c r="AA151" s="228">
        <f t="shared" si="151"/>
        <v>0</v>
      </c>
      <c r="AB151" s="228">
        <f t="shared" si="151"/>
        <v>0</v>
      </c>
      <c r="AC151" s="228">
        <f t="shared" si="151"/>
        <v>0</v>
      </c>
      <c r="AD151" s="228">
        <f t="shared" si="151"/>
        <v>0</v>
      </c>
      <c r="AE151" s="228">
        <f t="shared" si="151"/>
        <v>0</v>
      </c>
      <c r="AF151" s="228">
        <f t="shared" si="151"/>
        <v>0</v>
      </c>
      <c r="AG151" s="228">
        <f t="shared" si="151"/>
        <v>0</v>
      </c>
      <c r="AH151" s="228">
        <f t="shared" si="151"/>
        <v>0</v>
      </c>
      <c r="AI151" s="228">
        <f t="shared" si="151"/>
        <v>0</v>
      </c>
      <c r="AJ151" s="228">
        <f t="shared" si="151"/>
        <v>0</v>
      </c>
      <c r="AK151" s="228">
        <f t="shared" si="151"/>
        <v>0</v>
      </c>
      <c r="AR151" s="228">
        <f t="shared" ref="AR151:AX151" si="152">+AR29+AR30+AR33+AR34</f>
        <v>0</v>
      </c>
      <c r="AS151" s="228">
        <f t="shared" si="152"/>
        <v>0</v>
      </c>
      <c r="AT151" s="228">
        <f t="shared" si="152"/>
        <v>0</v>
      </c>
      <c r="AU151" s="228">
        <f t="shared" si="152"/>
        <v>0</v>
      </c>
      <c r="AV151" s="228">
        <f t="shared" si="152"/>
        <v>0</v>
      </c>
      <c r="AW151" s="228">
        <f t="shared" si="152"/>
        <v>0</v>
      </c>
      <c r="AX151" s="228">
        <f t="shared" si="152"/>
        <v>0</v>
      </c>
    </row>
    <row r="152" spans="1:87" s="228" customFormat="1" x14ac:dyDescent="0.2">
      <c r="A152" s="781" t="s">
        <v>1256</v>
      </c>
      <c r="B152" s="228">
        <f t="shared" si="114"/>
        <v>248273</v>
      </c>
      <c r="C152" s="228">
        <f>+C75+C89-BSGFws!C31-BSGFws!C40</f>
        <v>0</v>
      </c>
      <c r="D152" s="228">
        <f>+D75+D89-BSGFws!D31-BSGFws!D40</f>
        <v>0</v>
      </c>
      <c r="E152" s="228">
        <f>+E75+E89-BSGFws!E31-BSGFws!E40</f>
        <v>0</v>
      </c>
      <c r="F152" s="228">
        <f>+F75+F89-BSGFws!F31-BSGFws!F40</f>
        <v>0</v>
      </c>
      <c r="G152" s="228">
        <f>+G75+G89-BSGFws!G31-BSGFws!G40</f>
        <v>0</v>
      </c>
      <c r="H152" s="228">
        <f>+H75+H89-BSGFws!H31-BSGFws!H40</f>
        <v>0</v>
      </c>
      <c r="I152" s="228">
        <f>+I75+I89-BSGFws!I31-BSGFws!I40</f>
        <v>0</v>
      </c>
      <c r="J152" s="228">
        <f>+J75+J89-BSGFws!J31-BSGFws!J40</f>
        <v>0</v>
      </c>
      <c r="K152" s="228">
        <f>+K75+K89-BSGFws!K31-BSGFws!K40</f>
        <v>0</v>
      </c>
      <c r="L152" s="228">
        <f>+L75+L89-BSGFws!L31-BSGFws!L40</f>
        <v>0</v>
      </c>
      <c r="M152" s="228">
        <f>+M75+M89-BSGFws!M31-BSGFws!M40</f>
        <v>0</v>
      </c>
      <c r="N152" s="228">
        <f>+N75+N89-BSGFws!N31-BSGFws!N40</f>
        <v>0</v>
      </c>
      <c r="O152" s="228">
        <f>+O75+O89-BSGFws!O31-BSGFws!O40</f>
        <v>0</v>
      </c>
      <c r="P152" s="228">
        <f>+P75+P89-BSGFws!P31-BSGFws!P40</f>
        <v>0</v>
      </c>
      <c r="Q152" s="228">
        <f>+Q75+Q89-BSGFws!Q31-BSGFws!Q40</f>
        <v>0</v>
      </c>
      <c r="R152" s="228">
        <f>+R75+R89-BSGFws!R31-BSGFws!R40</f>
        <v>0</v>
      </c>
      <c r="S152" s="228">
        <f>+S75+S89-BSGFws!S31-BSGFws!S40</f>
        <v>0</v>
      </c>
      <c r="T152" s="228">
        <f>+T75+T89-BSGFws!T31-BSGFws!T40</f>
        <v>0</v>
      </c>
      <c r="U152" s="228">
        <f>+U75+U89-BSGFws!U31-BSGFws!U40</f>
        <v>0</v>
      </c>
      <c r="V152" s="228">
        <f>+V75+V89-BSGFws!V31-BSGFws!V40</f>
        <v>0</v>
      </c>
      <c r="W152" s="228">
        <f>+W75+W89-BSGFws!W31-BSGFws!W40</f>
        <v>0</v>
      </c>
      <c r="X152" s="228">
        <f>+X75+X89-BSGFws!X31-BSGFws!X40</f>
        <v>0</v>
      </c>
      <c r="Y152" s="228">
        <f>+Y75+Y89-BSGFws!Y31-BSGFws!Y40</f>
        <v>0</v>
      </c>
      <c r="Z152" s="228">
        <f>+Z75+Z89-BSGFws!Z31-BSGFws!Z40</f>
        <v>0</v>
      </c>
      <c r="AA152" s="228">
        <f>+AA75+AA89-BSGFws!AA31-BSGFws!AA40</f>
        <v>0</v>
      </c>
      <c r="AB152" s="228">
        <f>+AB75+AB89-BSGFws!AB31-BSGFws!AB40</f>
        <v>0</v>
      </c>
      <c r="AC152" s="228">
        <f>+AC75+AC89-BSGFws!AC31-BSGFws!AC40</f>
        <v>0</v>
      </c>
      <c r="AD152" s="228">
        <f>+AD75+AD89-BSGFws!AD31-BSGFws!AD40</f>
        <v>0</v>
      </c>
      <c r="AE152" s="228">
        <f>+AE75+AE89-BSGFws!AE31-BSGFws!AE40</f>
        <v>0</v>
      </c>
      <c r="AF152" s="228">
        <f>+AF75+AF89-BSGFws!AF31-BSGFws!AF40</f>
        <v>0</v>
      </c>
      <c r="AG152" s="228">
        <f>+AG75+AG89-BSGFws!AG31-BSGFws!AG40</f>
        <v>0</v>
      </c>
      <c r="AH152" s="228">
        <f>+AH75+AH89-BSGFws!AH31-BSGFws!AH40</f>
        <v>0</v>
      </c>
      <c r="AI152" s="228">
        <f>+AI75+AI89-BSGFws!AI31-BSGFws!AI40</f>
        <v>0</v>
      </c>
      <c r="AJ152" s="228">
        <f>+AJ75+AJ89-BSGFws!AJ31-BSGFws!AJ40</f>
        <v>0</v>
      </c>
      <c r="AK152" s="228">
        <f>+AK75+AK89-BSGFws!AK31-BSGFws!AK40</f>
        <v>0</v>
      </c>
      <c r="AL152" s="228">
        <f>+AL75+AL89-BSGFws!AL31-BSGFws!AL40</f>
        <v>0</v>
      </c>
      <c r="AM152" s="228">
        <f>+AM75+AM89-BSGFws!AM31-BSGFws!AM40</f>
        <v>0</v>
      </c>
      <c r="AN152" s="228">
        <f>+AN75+AN89-BSGFws!AN31-BSGFws!AN40</f>
        <v>0</v>
      </c>
      <c r="AO152" s="228">
        <f>+AO75+AO89-BSGFws!AO31-BSGFws!AO40</f>
        <v>0</v>
      </c>
      <c r="AP152" s="228">
        <f>+AP75+AP89-BSGFws!AP31-BSGFws!AP40</f>
        <v>0</v>
      </c>
      <c r="AQ152" s="228">
        <f>+AQ75+AQ89-BSGFws!AQ31-BSGFws!AQ40</f>
        <v>0</v>
      </c>
      <c r="AR152" s="228">
        <f>+AR75+AR89-BSGFws!AR31-BSGFws!AR40</f>
        <v>0</v>
      </c>
      <c r="AS152" s="228">
        <f>+AS75+AS89-BSGFws!AS31-BSGFws!AS40</f>
        <v>0</v>
      </c>
      <c r="AT152" s="228">
        <f>+AT75+AT89-BSGFws!AT31-BSGFws!AT40</f>
        <v>0</v>
      </c>
      <c r="AU152" s="228">
        <f>+AU75+AU89-BSGFws!AU31-BSGFws!AU40</f>
        <v>0</v>
      </c>
      <c r="AV152" s="228">
        <f>+AV75+AV89-BSGFws!AV31-BSGFws!AV40</f>
        <v>0</v>
      </c>
      <c r="AW152" s="228">
        <f>+AW75+AW89-BSGFws!AW31-BSGFws!AW40</f>
        <v>0</v>
      </c>
      <c r="AX152" s="228">
        <f>+AX75+AX89-BSGFws!AX31-BSGFws!AX40</f>
        <v>0</v>
      </c>
      <c r="AY152" s="228">
        <f>+AY75+AY89-BSGFws!AY31-BSGFws!AY40</f>
        <v>0</v>
      </c>
      <c r="AZ152" s="228">
        <f>+AZ75+AZ89-BSGFws!AZ31-BSGFws!AZ40</f>
        <v>0</v>
      </c>
      <c r="BA152" s="228">
        <f>+BA75+BA89-BSGFws!BA31-BSGFws!BA40</f>
        <v>0</v>
      </c>
      <c r="BB152" s="228">
        <f>+BB75+BB89-BSGFws!BB31-BSGFws!BB40</f>
        <v>0</v>
      </c>
      <c r="BC152" s="228">
        <f>+BC75+BC89-BSGFws!BC31-BSGFws!BC40</f>
        <v>0</v>
      </c>
      <c r="BD152" s="228">
        <f>+BD75+BD89-BSGFws!BD31-BSGFws!BD40</f>
        <v>0</v>
      </c>
      <c r="BE152" s="228">
        <f>+BE75+BE89-BSGFws!BE31-BSGFws!BE40</f>
        <v>0</v>
      </c>
      <c r="BF152" s="228">
        <f>+BF75+BF89-BSGFws!BF31-BSGFws!BF40</f>
        <v>258</v>
      </c>
      <c r="BG152" s="228">
        <f>+BG75+BG89-BSGFws!BG31-BSGFws!BG40</f>
        <v>0</v>
      </c>
      <c r="BH152" s="228">
        <f>+BH75+BH89-BSGFws!BH31-BSGFws!BH40</f>
        <v>0</v>
      </c>
      <c r="BI152" s="228">
        <f>+BI75+BI89-BSGFws!BI31-BSGFws!BI40</f>
        <v>0</v>
      </c>
      <c r="BJ152" s="228">
        <f>+BJ75+BJ89-BSGFws!BJ31-BSGFws!BJ40</f>
        <v>0</v>
      </c>
      <c r="BK152" s="228">
        <f>+BK75+BK89-BSGFws!BK31-BSGFws!BK40</f>
        <v>0</v>
      </c>
      <c r="BL152" s="228">
        <f>+BL75+BL89-BSGFws!BL31-BSGFws!BL40</f>
        <v>0</v>
      </c>
      <c r="BM152" s="228">
        <f>+BM75+BM89-BSGFws!BM31-BSGFws!BM40</f>
        <v>0</v>
      </c>
      <c r="BN152" s="228">
        <f>+BN75+BN89-BSGFws!BN31-BSGFws!BN40</f>
        <v>0</v>
      </c>
      <c r="BO152" s="228">
        <f>+BO75+BO89-BSGFws!BO31-BSGFws!BO40</f>
        <v>0</v>
      </c>
      <c r="BP152" s="228">
        <f>+BP75+BP89-BSGFws!BP31-BSGFws!BP40</f>
        <v>0</v>
      </c>
      <c r="BQ152" s="228">
        <f>+BQ75+BQ89-BSGFws!BQ31-BSGFws!BQ40</f>
        <v>0</v>
      </c>
      <c r="BR152" s="228">
        <f>+BR75+BR89-BSGFws!BR31-BSGFws!BR40</f>
        <v>0</v>
      </c>
      <c r="BS152" s="228">
        <f>+BS75+BS89-BSGFws!BS31-BSGFws!BS40</f>
        <v>0</v>
      </c>
      <c r="BT152" s="228">
        <f>+BT75+BT89-'ISF-SONP'!C95-'ISF-SONP'!C120</f>
        <v>0</v>
      </c>
      <c r="BU152" s="228">
        <f>+BU75+BU89-'ISF-SONP'!E95-'ISF-SONP'!E120</f>
        <v>0</v>
      </c>
      <c r="BV152" s="228">
        <f>+BV75+BV89-'ISF-SONP'!G95-'ISF-SONP'!G120</f>
        <v>0</v>
      </c>
      <c r="BW152" s="228">
        <f>+BW75+BW89-'ISF-SONP'!I95-'ISF-SONP'!I120</f>
        <v>0</v>
      </c>
      <c r="BX152" s="228">
        <f>+BX75+BX89-'ISF-SONP'!K95-'ISF-SONP'!K120</f>
        <v>0</v>
      </c>
      <c r="BY152" s="228">
        <f>+BY75+BY89-'ISF-SONP'!M95-'ISF-SONP'!M120</f>
        <v>0</v>
      </c>
      <c r="BZ152" s="228">
        <f>+BZ75+BZ89-'ISF-SONP'!F95-'ISF-SONP'!F120</f>
        <v>248015</v>
      </c>
      <c r="CA152" s="228">
        <f>+CA75+CA89-BSGFws!CB31-BSGFws!CB40</f>
        <v>0</v>
      </c>
      <c r="CB152" s="228">
        <f>+CB75+CB89-BSGFws!CC31-BSGFws!CC40</f>
        <v>0</v>
      </c>
    </row>
    <row r="153" spans="1:87" s="228" customFormat="1" ht="13.5" thickBot="1" x14ac:dyDescent="0.25">
      <c r="A153" s="781" t="s">
        <v>1319</v>
      </c>
      <c r="AB153" s="228">
        <f>+AB16+AB17</f>
        <v>5151</v>
      </c>
      <c r="AC153" s="228">
        <f>+AC16+AC17</f>
        <v>16617</v>
      </c>
      <c r="AD153" s="228">
        <f>+AD16+AD17</f>
        <v>155276</v>
      </c>
      <c r="AE153" s="228">
        <f>+AE16+AE17</f>
        <v>374073</v>
      </c>
      <c r="AG153" s="228">
        <f t="shared" ref="AG153:AO153" si="153">+AG16+AG17</f>
        <v>0</v>
      </c>
      <c r="AH153" s="228">
        <f t="shared" si="153"/>
        <v>0</v>
      </c>
      <c r="AI153" s="228">
        <f t="shared" si="153"/>
        <v>0</v>
      </c>
      <c r="AJ153" s="228">
        <f t="shared" si="153"/>
        <v>0</v>
      </c>
      <c r="AK153" s="228">
        <f t="shared" si="153"/>
        <v>37324</v>
      </c>
      <c r="AL153" s="228">
        <f t="shared" si="153"/>
        <v>1314</v>
      </c>
      <c r="AM153" s="228">
        <f t="shared" si="153"/>
        <v>1901</v>
      </c>
      <c r="AN153" s="228">
        <f t="shared" si="153"/>
        <v>9970</v>
      </c>
      <c r="AO153" s="228">
        <f t="shared" si="153"/>
        <v>18046</v>
      </c>
      <c r="AU153" s="228">
        <f>+AU16+AU17</f>
        <v>109</v>
      </c>
      <c r="AW153" s="228">
        <f>+AW16+AW17</f>
        <v>56563</v>
      </c>
      <c r="BD153" s="228">
        <f t="shared" ref="BD153:BS153" si="154">+BD77+BD92</f>
        <v>0</v>
      </c>
      <c r="BE153" s="228">
        <f t="shared" si="154"/>
        <v>0</v>
      </c>
      <c r="BF153" s="228">
        <f t="shared" si="154"/>
        <v>0</v>
      </c>
      <c r="BG153" s="228">
        <f t="shared" si="154"/>
        <v>0</v>
      </c>
      <c r="BH153" s="228">
        <f t="shared" si="154"/>
        <v>1077</v>
      </c>
      <c r="BI153" s="228">
        <f t="shared" si="154"/>
        <v>0</v>
      </c>
      <c r="BJ153" s="228">
        <f t="shared" si="154"/>
        <v>3160</v>
      </c>
      <c r="BK153" s="228">
        <f t="shared" si="154"/>
        <v>0</v>
      </c>
      <c r="BL153" s="228">
        <f t="shared" si="154"/>
        <v>0</v>
      </c>
      <c r="BM153" s="228">
        <f t="shared" si="154"/>
        <v>0</v>
      </c>
      <c r="BN153" s="228">
        <f t="shared" si="154"/>
        <v>0</v>
      </c>
      <c r="BO153" s="228">
        <f t="shared" si="154"/>
        <v>0</v>
      </c>
      <c r="BP153" s="228">
        <f t="shared" si="154"/>
        <v>10350</v>
      </c>
      <c r="BQ153" s="228">
        <f t="shared" si="154"/>
        <v>10601</v>
      </c>
      <c r="BR153" s="228">
        <f t="shared" si="154"/>
        <v>0</v>
      </c>
      <c r="BS153" s="228">
        <f t="shared" si="154"/>
        <v>0</v>
      </c>
    </row>
    <row r="154" spans="1:87" x14ac:dyDescent="0.2">
      <c r="A154" s="841" t="s">
        <v>724</v>
      </c>
      <c r="B154" s="842"/>
      <c r="C154" s="842"/>
      <c r="D154" s="842"/>
      <c r="E154" s="842"/>
      <c r="F154" s="842"/>
      <c r="G154" s="842"/>
      <c r="H154" s="842"/>
      <c r="I154" s="842"/>
      <c r="J154" s="842"/>
      <c r="K154" s="842"/>
      <c r="L154" s="842"/>
      <c r="M154" s="842"/>
      <c r="N154" s="842"/>
      <c r="O154" s="842"/>
      <c r="P154" s="842"/>
      <c r="Q154" s="842"/>
      <c r="R154" s="842"/>
      <c r="S154" s="842"/>
      <c r="T154" s="842"/>
      <c r="U154" s="842"/>
      <c r="V154" s="842"/>
      <c r="W154" s="842"/>
      <c r="X154" s="842"/>
      <c r="Y154" s="842"/>
      <c r="Z154" s="842"/>
      <c r="AA154" s="842"/>
      <c r="AB154" s="842"/>
      <c r="AC154" s="842"/>
      <c r="AD154" s="842"/>
      <c r="AE154" s="842"/>
      <c r="AF154" s="842"/>
      <c r="AG154" s="842"/>
      <c r="AH154" s="842"/>
      <c r="AI154" s="842"/>
      <c r="AJ154" s="842"/>
      <c r="AK154" s="842"/>
      <c r="AL154" s="842"/>
      <c r="AM154" s="842"/>
      <c r="AN154" s="842"/>
      <c r="AO154" s="842"/>
      <c r="AP154" s="842"/>
      <c r="AQ154" s="842"/>
      <c r="AR154" s="842"/>
      <c r="AS154" s="842"/>
      <c r="AT154" s="842"/>
      <c r="AU154" s="842"/>
      <c r="AV154" s="842"/>
      <c r="AW154" s="842"/>
      <c r="AX154" s="842"/>
      <c r="AY154" s="842"/>
      <c r="AZ154" s="842"/>
      <c r="BA154" s="842"/>
      <c r="BB154" s="842"/>
      <c r="BC154" s="842"/>
      <c r="BD154" s="842"/>
      <c r="BE154" s="842"/>
      <c r="BF154" s="842"/>
      <c r="BG154" s="842"/>
      <c r="BH154" s="842"/>
      <c r="BI154" s="842"/>
      <c r="BJ154" s="842"/>
      <c r="BK154" s="842"/>
      <c r="BL154" s="842"/>
      <c r="BM154" s="842"/>
      <c r="BN154" s="842"/>
      <c r="BO154" s="842"/>
      <c r="BP154" s="842"/>
      <c r="BQ154" s="842"/>
      <c r="BR154" s="842"/>
      <c r="BS154" s="842"/>
      <c r="BT154" s="842"/>
      <c r="BU154" s="842"/>
      <c r="BV154" s="842"/>
      <c r="BW154" s="842"/>
      <c r="BX154" s="842"/>
      <c r="BY154" s="842"/>
      <c r="BZ154" s="842"/>
      <c r="CA154" s="842"/>
      <c r="CB154" s="842"/>
      <c r="CC154" s="842"/>
      <c r="CD154" s="842"/>
      <c r="CE154" s="842"/>
      <c r="CF154" s="842"/>
      <c r="CG154" s="842"/>
      <c r="CH154" s="842"/>
      <c r="CI154" s="843"/>
    </row>
    <row r="155" spans="1:87" x14ac:dyDescent="0.2">
      <c r="A155" s="844" t="s">
        <v>184</v>
      </c>
      <c r="B155" s="840">
        <f>SUM(C155:CB155)</f>
        <v>114397</v>
      </c>
      <c r="C155" s="840"/>
      <c r="D155" s="840"/>
      <c r="E155" s="840"/>
      <c r="F155" s="840"/>
      <c r="G155" s="840"/>
      <c r="H155" s="840"/>
      <c r="I155" s="840"/>
      <c r="J155" s="840"/>
      <c r="K155" s="840"/>
      <c r="L155" s="840"/>
      <c r="M155" s="840"/>
      <c r="N155" s="840"/>
      <c r="O155" s="840"/>
      <c r="P155" s="840"/>
      <c r="Q155" s="840"/>
      <c r="R155" s="840"/>
      <c r="S155" s="840"/>
      <c r="T155" s="840"/>
      <c r="U155" s="840"/>
      <c r="V155" s="840"/>
      <c r="W155" s="840"/>
      <c r="X155" s="840"/>
      <c r="Y155" s="840">
        <f>+Y4+Y5+Y16+Y17</f>
        <v>0</v>
      </c>
      <c r="Z155" s="840">
        <f>+Z4+Z5+Z16+Z17</f>
        <v>0</v>
      </c>
      <c r="AA155" s="840">
        <f>+AA4+AA5+AA16+AA17</f>
        <v>0</v>
      </c>
      <c r="AB155" s="840">
        <f>+AB4+AB5+AB16+AB17+AB23</f>
        <v>5151</v>
      </c>
      <c r="AC155" s="840"/>
      <c r="AD155" s="840"/>
      <c r="AE155" s="840"/>
      <c r="AF155" s="840">
        <f>+AF4+AF5+AF16+AF17</f>
        <v>28124</v>
      </c>
      <c r="AG155" s="840"/>
      <c r="AH155" s="840"/>
      <c r="AI155" s="840"/>
      <c r="AJ155" s="840"/>
      <c r="AK155" s="840"/>
      <c r="AL155" s="840"/>
      <c r="AM155" s="840"/>
      <c r="AN155" s="840"/>
      <c r="AO155" s="840"/>
      <c r="AP155" s="840"/>
      <c r="AQ155" s="840"/>
      <c r="AR155" s="840"/>
      <c r="AS155" s="840"/>
      <c r="AT155" s="840"/>
      <c r="AU155" s="840">
        <f>+AU4+AU5+AU16+AU17</f>
        <v>109</v>
      </c>
      <c r="AV155" s="840"/>
      <c r="AW155" s="840">
        <f>+AW4+AW5+AW16+AW17</f>
        <v>56888</v>
      </c>
      <c r="AX155" s="840"/>
      <c r="AY155" s="840"/>
      <c r="AZ155" s="840"/>
      <c r="BA155" s="840"/>
      <c r="BB155" s="840"/>
      <c r="BC155" s="840"/>
      <c r="BD155" s="840"/>
      <c r="BE155" s="840"/>
      <c r="BF155" s="840"/>
      <c r="BG155" s="840"/>
      <c r="BH155" s="840"/>
      <c r="BI155" s="840"/>
      <c r="BJ155" s="840"/>
      <c r="BK155" s="840">
        <f>BK16</f>
        <v>24125</v>
      </c>
      <c r="BL155" s="840"/>
      <c r="BM155" s="840"/>
      <c r="BN155" s="840"/>
      <c r="BO155" s="840"/>
      <c r="BP155" s="840"/>
      <c r="BQ155" s="840"/>
      <c r="BR155" s="840"/>
      <c r="BS155" s="840"/>
      <c r="BT155" s="840"/>
      <c r="BU155" s="840"/>
      <c r="BV155" s="840"/>
      <c r="BW155" s="840"/>
      <c r="BX155" s="840"/>
      <c r="BY155" s="840"/>
      <c r="BZ155" s="840"/>
      <c r="CA155" s="840"/>
      <c r="CB155" s="840"/>
      <c r="CC155" s="840"/>
      <c r="CD155" s="840"/>
      <c r="CE155" s="840"/>
      <c r="CF155" s="840"/>
      <c r="CG155" s="840"/>
      <c r="CH155" s="840"/>
      <c r="CI155" s="845"/>
    </row>
    <row r="156" spans="1:87" x14ac:dyDescent="0.2">
      <c r="A156" s="844" t="s">
        <v>1011</v>
      </c>
      <c r="B156" s="840">
        <f>SUM(C156:CB156)</f>
        <v>5883846</v>
      </c>
      <c r="C156" s="840">
        <f t="shared" ref="C156:AB156" si="155">+C29+C30</f>
        <v>0</v>
      </c>
      <c r="D156" s="840">
        <f t="shared" si="155"/>
        <v>0</v>
      </c>
      <c r="E156" s="840">
        <f t="shared" si="155"/>
        <v>0</v>
      </c>
      <c r="F156" s="840">
        <f t="shared" si="155"/>
        <v>0</v>
      </c>
      <c r="G156" s="840">
        <f t="shared" si="155"/>
        <v>0</v>
      </c>
      <c r="H156" s="840">
        <f t="shared" si="155"/>
        <v>0</v>
      </c>
      <c r="I156" s="840">
        <f t="shared" si="155"/>
        <v>0</v>
      </c>
      <c r="J156" s="840">
        <f t="shared" si="155"/>
        <v>0</v>
      </c>
      <c r="K156" s="840">
        <f t="shared" si="155"/>
        <v>0</v>
      </c>
      <c r="L156" s="840">
        <f t="shared" si="155"/>
        <v>0</v>
      </c>
      <c r="M156" s="840">
        <f t="shared" si="155"/>
        <v>0</v>
      </c>
      <c r="N156" s="840">
        <f t="shared" si="155"/>
        <v>0</v>
      </c>
      <c r="O156" s="840">
        <f t="shared" si="155"/>
        <v>0</v>
      </c>
      <c r="P156" s="840">
        <f t="shared" si="155"/>
        <v>0</v>
      </c>
      <c r="Q156" s="840">
        <f t="shared" si="155"/>
        <v>0</v>
      </c>
      <c r="R156" s="840">
        <f t="shared" si="155"/>
        <v>0</v>
      </c>
      <c r="S156" s="840">
        <f t="shared" si="155"/>
        <v>0</v>
      </c>
      <c r="T156" s="840">
        <f t="shared" si="155"/>
        <v>0</v>
      </c>
      <c r="U156" s="840">
        <f t="shared" si="155"/>
        <v>0</v>
      </c>
      <c r="V156" s="840">
        <f t="shared" si="155"/>
        <v>0</v>
      </c>
      <c r="W156" s="840">
        <f t="shared" si="155"/>
        <v>0</v>
      </c>
      <c r="X156" s="840">
        <f t="shared" si="155"/>
        <v>0</v>
      </c>
      <c r="Y156" s="840">
        <f t="shared" si="155"/>
        <v>0</v>
      </c>
      <c r="Z156" s="840">
        <f t="shared" si="155"/>
        <v>0</v>
      </c>
      <c r="AA156" s="840">
        <f t="shared" si="155"/>
        <v>0</v>
      </c>
      <c r="AB156" s="840">
        <f t="shared" si="155"/>
        <v>0</v>
      </c>
      <c r="AC156" s="840"/>
      <c r="AD156" s="840"/>
      <c r="AE156" s="840"/>
      <c r="AF156" s="840">
        <f>+AF29+AF30</f>
        <v>0</v>
      </c>
      <c r="AG156" s="840"/>
      <c r="AH156" s="840"/>
      <c r="AI156" s="840"/>
      <c r="AJ156" s="840"/>
      <c r="AK156" s="840"/>
      <c r="AL156" s="840"/>
      <c r="AM156" s="840"/>
      <c r="AN156" s="840"/>
      <c r="AO156" s="840"/>
      <c r="AP156" s="840"/>
      <c r="AQ156" s="840"/>
      <c r="AR156" s="840">
        <f t="shared" ref="AR156:BB156" si="156">+AR29+AR30</f>
        <v>0</v>
      </c>
      <c r="AS156" s="840">
        <f t="shared" si="156"/>
        <v>0</v>
      </c>
      <c r="AT156" s="840">
        <f t="shared" si="156"/>
        <v>0</v>
      </c>
      <c r="AU156" s="840">
        <f t="shared" si="156"/>
        <v>0</v>
      </c>
      <c r="AV156" s="840">
        <f t="shared" si="156"/>
        <v>0</v>
      </c>
      <c r="AW156" s="840">
        <f t="shared" si="156"/>
        <v>0</v>
      </c>
      <c r="AX156" s="840">
        <f t="shared" si="156"/>
        <v>0</v>
      </c>
      <c r="AY156" s="840">
        <f t="shared" si="156"/>
        <v>0</v>
      </c>
      <c r="AZ156" s="840">
        <f t="shared" si="156"/>
        <v>0</v>
      </c>
      <c r="BA156" s="840">
        <f t="shared" si="156"/>
        <v>0</v>
      </c>
      <c r="BB156" s="840">
        <f t="shared" si="156"/>
        <v>0</v>
      </c>
      <c r="BC156" s="840"/>
      <c r="BD156" s="840">
        <f t="shared" ref="BD156:BM156" si="157">+BD29+BD30</f>
        <v>0</v>
      </c>
      <c r="BE156" s="840">
        <f t="shared" si="157"/>
        <v>0</v>
      </c>
      <c r="BF156" s="840">
        <f t="shared" si="157"/>
        <v>0</v>
      </c>
      <c r="BG156" s="840">
        <f t="shared" si="157"/>
        <v>0</v>
      </c>
      <c r="BH156" s="840">
        <f t="shared" si="157"/>
        <v>1207</v>
      </c>
      <c r="BI156" s="840">
        <f t="shared" si="157"/>
        <v>0</v>
      </c>
      <c r="BJ156" s="840">
        <f t="shared" si="157"/>
        <v>29641</v>
      </c>
      <c r="BK156" s="840">
        <f t="shared" si="157"/>
        <v>39270</v>
      </c>
      <c r="BL156" s="840">
        <f t="shared" si="157"/>
        <v>0</v>
      </c>
      <c r="BM156" s="840">
        <f t="shared" si="157"/>
        <v>0</v>
      </c>
      <c r="BN156" s="840"/>
      <c r="BO156" s="840">
        <f>+BO29+BO30</f>
        <v>0</v>
      </c>
      <c r="BP156" s="840">
        <f>+BP29+BP30</f>
        <v>2357</v>
      </c>
      <c r="BQ156" s="840"/>
      <c r="BR156" s="840"/>
      <c r="BS156" s="840"/>
      <c r="BT156" s="840">
        <f t="shared" ref="BT156:CB156" si="158">+BT29+BT30</f>
        <v>0</v>
      </c>
      <c r="BU156" s="840">
        <f t="shared" si="158"/>
        <v>0</v>
      </c>
      <c r="BV156" s="840">
        <f t="shared" si="158"/>
        <v>1</v>
      </c>
      <c r="BW156" s="840">
        <f t="shared" si="158"/>
        <v>66</v>
      </c>
      <c r="BX156" s="840">
        <f t="shared" si="158"/>
        <v>143359</v>
      </c>
      <c r="BY156" s="840">
        <f t="shared" si="158"/>
        <v>131</v>
      </c>
      <c r="BZ156" s="840">
        <f t="shared" si="158"/>
        <v>0</v>
      </c>
      <c r="CA156" s="840">
        <f t="shared" si="158"/>
        <v>5667814</v>
      </c>
      <c r="CB156" s="840">
        <f t="shared" si="158"/>
        <v>0</v>
      </c>
      <c r="CC156" s="840"/>
      <c r="CD156" s="840"/>
      <c r="CE156" s="840"/>
      <c r="CF156" s="840"/>
      <c r="CG156" s="840"/>
      <c r="CH156" s="840"/>
      <c r="CI156" s="845"/>
    </row>
    <row r="157" spans="1:87" x14ac:dyDescent="0.2">
      <c r="A157" s="846" t="s">
        <v>725</v>
      </c>
      <c r="B157" s="839">
        <f>SUM(B155:B156)</f>
        <v>5998243</v>
      </c>
      <c r="C157" s="839">
        <f>SUM(C155:C156)</f>
        <v>0</v>
      </c>
      <c r="D157" s="839">
        <f>SUM(D155:D156)</f>
        <v>0</v>
      </c>
      <c r="E157" s="839">
        <f>SUM(E155:E156)</f>
        <v>0</v>
      </c>
      <c r="F157" s="839">
        <f>SUM(F155:F156)</f>
        <v>0</v>
      </c>
      <c r="G157" s="839">
        <f t="shared" ref="G157:BZ157" si="159">SUM(G155:G156)</f>
        <v>0</v>
      </c>
      <c r="H157" s="839">
        <f t="shared" si="159"/>
        <v>0</v>
      </c>
      <c r="I157" s="839">
        <f t="shared" si="159"/>
        <v>0</v>
      </c>
      <c r="J157" s="839">
        <f t="shared" si="159"/>
        <v>0</v>
      </c>
      <c r="K157" s="839">
        <f t="shared" si="159"/>
        <v>0</v>
      </c>
      <c r="L157" s="839">
        <f t="shared" si="159"/>
        <v>0</v>
      </c>
      <c r="M157" s="839">
        <f t="shared" si="159"/>
        <v>0</v>
      </c>
      <c r="N157" s="839">
        <f t="shared" si="159"/>
        <v>0</v>
      </c>
      <c r="O157" s="839">
        <f t="shared" si="159"/>
        <v>0</v>
      </c>
      <c r="P157" s="839">
        <f t="shared" si="159"/>
        <v>0</v>
      </c>
      <c r="Q157" s="839">
        <f>SUM(Q155:Q156)</f>
        <v>0</v>
      </c>
      <c r="R157" s="839">
        <f>SUM(R155:R156)</f>
        <v>0</v>
      </c>
      <c r="S157" s="839">
        <f>SUM(S155:S156)</f>
        <v>0</v>
      </c>
      <c r="T157" s="839">
        <f t="shared" si="159"/>
        <v>0</v>
      </c>
      <c r="U157" s="839">
        <f>SUM(U155:U156)</f>
        <v>0</v>
      </c>
      <c r="V157" s="839">
        <f>SUM(V155:V156)</f>
        <v>0</v>
      </c>
      <c r="W157" s="839">
        <f t="shared" si="159"/>
        <v>0</v>
      </c>
      <c r="X157" s="839">
        <f>SUM(X155:X156)</f>
        <v>0</v>
      </c>
      <c r="Y157" s="839">
        <f t="shared" si="159"/>
        <v>0</v>
      </c>
      <c r="Z157" s="839">
        <f t="shared" si="159"/>
        <v>0</v>
      </c>
      <c r="AA157" s="839">
        <f t="shared" si="159"/>
        <v>0</v>
      </c>
      <c r="AB157" s="839">
        <f>SUM(AB155:AB156)</f>
        <v>5151</v>
      </c>
      <c r="AC157" s="839"/>
      <c r="AD157" s="839"/>
      <c r="AE157" s="839"/>
      <c r="AF157" s="839">
        <f>SUM(AF155:AF156)</f>
        <v>28124</v>
      </c>
      <c r="AG157" s="839"/>
      <c r="AH157" s="839"/>
      <c r="AI157" s="839"/>
      <c r="AJ157" s="839"/>
      <c r="AK157" s="839"/>
      <c r="AL157" s="839"/>
      <c r="AM157" s="839"/>
      <c r="AN157" s="839"/>
      <c r="AO157" s="839"/>
      <c r="AP157" s="839"/>
      <c r="AQ157" s="839"/>
      <c r="AR157" s="839">
        <f t="shared" si="159"/>
        <v>0</v>
      </c>
      <c r="AS157" s="839">
        <f t="shared" si="159"/>
        <v>0</v>
      </c>
      <c r="AT157" s="839">
        <f t="shared" si="159"/>
        <v>0</v>
      </c>
      <c r="AU157" s="839">
        <f t="shared" si="159"/>
        <v>109</v>
      </c>
      <c r="AV157" s="839">
        <f t="shared" si="159"/>
        <v>0</v>
      </c>
      <c r="AW157" s="839">
        <f>SUM(AW155:AW156)</f>
        <v>56888</v>
      </c>
      <c r="AX157" s="839">
        <f t="shared" si="159"/>
        <v>0</v>
      </c>
      <c r="AY157" s="839">
        <f t="shared" si="159"/>
        <v>0</v>
      </c>
      <c r="AZ157" s="839">
        <f t="shared" si="159"/>
        <v>0</v>
      </c>
      <c r="BA157" s="839">
        <f t="shared" si="159"/>
        <v>0</v>
      </c>
      <c r="BB157" s="839">
        <f t="shared" si="159"/>
        <v>0</v>
      </c>
      <c r="BC157" s="839"/>
      <c r="BD157" s="839">
        <f t="shared" si="159"/>
        <v>0</v>
      </c>
      <c r="BE157" s="839">
        <f>SUM(BE155:BE156)</f>
        <v>0</v>
      </c>
      <c r="BF157" s="839">
        <f>SUM(BF155:BF156)</f>
        <v>0</v>
      </c>
      <c r="BG157" s="839">
        <f>SUM(BG155:BG156)</f>
        <v>0</v>
      </c>
      <c r="BH157" s="839">
        <f t="shared" si="159"/>
        <v>1207</v>
      </c>
      <c r="BI157" s="839">
        <f>SUM(BI155:BI156)</f>
        <v>0</v>
      </c>
      <c r="BJ157" s="839">
        <f t="shared" si="159"/>
        <v>29641</v>
      </c>
      <c r="BK157" s="839">
        <f>SUM(BK155:BK156)</f>
        <v>63395</v>
      </c>
      <c r="BL157" s="839">
        <f t="shared" si="159"/>
        <v>0</v>
      </c>
      <c r="BM157" s="839">
        <f t="shared" si="159"/>
        <v>0</v>
      </c>
      <c r="BN157" s="839"/>
      <c r="BO157" s="839">
        <f t="shared" si="159"/>
        <v>0</v>
      </c>
      <c r="BP157" s="839">
        <f>SUM(BP155:BP156)</f>
        <v>2357</v>
      </c>
      <c r="BQ157" s="839"/>
      <c r="BR157" s="839"/>
      <c r="BS157" s="839"/>
      <c r="BT157" s="839">
        <f t="shared" si="159"/>
        <v>0</v>
      </c>
      <c r="BU157" s="839">
        <f t="shared" si="159"/>
        <v>0</v>
      </c>
      <c r="BV157" s="839">
        <f t="shared" si="159"/>
        <v>1</v>
      </c>
      <c r="BW157" s="839">
        <f t="shared" si="159"/>
        <v>66</v>
      </c>
      <c r="BX157" s="839">
        <f t="shared" si="159"/>
        <v>143359</v>
      </c>
      <c r="BY157" s="839">
        <f t="shared" si="159"/>
        <v>131</v>
      </c>
      <c r="BZ157" s="839">
        <f t="shared" si="159"/>
        <v>0</v>
      </c>
      <c r="CA157" s="839">
        <f>SUM(CA155:CA156)</f>
        <v>5667814</v>
      </c>
      <c r="CB157" s="839">
        <f>SUM(CB155:CB156)</f>
        <v>0</v>
      </c>
      <c r="CC157" s="839">
        <f>SUM(CC155:CC156)</f>
        <v>0</v>
      </c>
      <c r="CD157" s="840"/>
      <c r="CE157" s="840"/>
      <c r="CF157" s="840"/>
      <c r="CG157" s="840"/>
      <c r="CH157" s="840"/>
      <c r="CI157" s="845"/>
    </row>
    <row r="158" spans="1:87" x14ac:dyDescent="0.2">
      <c r="A158" s="847"/>
      <c r="B158" s="840"/>
      <c r="C158" s="840"/>
      <c r="D158" s="840"/>
      <c r="E158" s="840"/>
      <c r="F158" s="840"/>
      <c r="G158" s="840"/>
      <c r="H158" s="840"/>
      <c r="I158" s="840"/>
      <c r="J158" s="840"/>
      <c r="K158" s="840"/>
      <c r="L158" s="840"/>
      <c r="M158" s="840"/>
      <c r="N158" s="840"/>
      <c r="O158" s="840"/>
      <c r="P158" s="840"/>
      <c r="Q158" s="840"/>
      <c r="R158" s="840"/>
      <c r="S158" s="840"/>
      <c r="T158" s="840"/>
      <c r="U158" s="840"/>
      <c r="V158" s="840"/>
      <c r="W158" s="840"/>
      <c r="X158" s="840"/>
      <c r="Y158" s="840"/>
      <c r="Z158" s="840"/>
      <c r="AA158" s="840"/>
      <c r="AB158" s="840"/>
      <c r="AC158" s="840"/>
      <c r="AD158" s="840"/>
      <c r="AE158" s="840"/>
      <c r="AF158" s="840"/>
      <c r="AG158" s="840"/>
      <c r="AH158" s="840"/>
      <c r="AI158" s="840"/>
      <c r="AJ158" s="840"/>
      <c r="AK158" s="840"/>
      <c r="AL158" s="840"/>
      <c r="AM158" s="840"/>
      <c r="AN158" s="840"/>
      <c r="AO158" s="840"/>
      <c r="AP158" s="840"/>
      <c r="AQ158" s="840"/>
      <c r="AR158" s="840"/>
      <c r="AS158" s="840"/>
      <c r="AT158" s="840"/>
      <c r="AU158" s="840"/>
      <c r="AV158" s="840"/>
      <c r="AW158" s="840"/>
      <c r="AX158" s="840"/>
      <c r="AY158" s="840"/>
      <c r="AZ158" s="840"/>
      <c r="BA158" s="840"/>
      <c r="BB158" s="840"/>
      <c r="BC158" s="840"/>
      <c r="BD158" s="840"/>
      <c r="BE158" s="840"/>
      <c r="BF158" s="840"/>
      <c r="BG158" s="840"/>
      <c r="BH158" s="840"/>
      <c r="BI158" s="840"/>
      <c r="BJ158" s="840"/>
      <c r="BK158" s="840"/>
      <c r="BL158" s="840"/>
      <c r="BM158" s="840"/>
      <c r="BN158" s="840"/>
      <c r="BO158" s="840"/>
      <c r="BP158" s="840"/>
      <c r="BQ158" s="840"/>
      <c r="BR158" s="840"/>
      <c r="BS158" s="840"/>
      <c r="BT158" s="840"/>
      <c r="BU158" s="840"/>
      <c r="BV158" s="840"/>
      <c r="BW158" s="840"/>
      <c r="BX158" s="840"/>
      <c r="BY158" s="840"/>
      <c r="BZ158" s="840"/>
      <c r="CA158" s="840"/>
      <c r="CB158" s="840"/>
      <c r="CC158" s="840"/>
      <c r="CD158" s="840"/>
      <c r="CE158" s="840"/>
      <c r="CF158" s="840"/>
      <c r="CG158" s="840"/>
      <c r="CH158" s="840"/>
      <c r="CI158" s="845"/>
    </row>
    <row r="159" spans="1:87" x14ac:dyDescent="0.2">
      <c r="A159" s="847"/>
      <c r="B159" s="840"/>
      <c r="C159" s="840"/>
      <c r="D159" s="840"/>
      <c r="E159" s="840"/>
      <c r="F159" s="840"/>
      <c r="G159" s="840"/>
      <c r="H159" s="840"/>
      <c r="I159" s="840"/>
      <c r="J159" s="840"/>
      <c r="K159" s="840"/>
      <c r="L159" s="840"/>
      <c r="M159" s="840"/>
      <c r="N159" s="840"/>
      <c r="O159" s="840"/>
      <c r="P159" s="840"/>
      <c r="Q159" s="840"/>
      <c r="R159" s="840"/>
      <c r="S159" s="840"/>
      <c r="T159" s="840"/>
      <c r="U159" s="840"/>
      <c r="V159" s="840"/>
      <c r="W159" s="840"/>
      <c r="X159" s="840"/>
      <c r="Y159" s="840"/>
      <c r="Z159" s="840"/>
      <c r="AA159" s="840"/>
      <c r="AB159" s="840"/>
      <c r="AC159" s="840"/>
      <c r="AD159" s="840"/>
      <c r="AE159" s="840"/>
      <c r="AF159" s="840"/>
      <c r="AG159" s="840"/>
      <c r="AH159" s="840"/>
      <c r="AI159" s="840"/>
      <c r="AJ159" s="840"/>
      <c r="AK159" s="840"/>
      <c r="AL159" s="840"/>
      <c r="AM159" s="840"/>
      <c r="AN159" s="840"/>
      <c r="AO159" s="840"/>
      <c r="AP159" s="840"/>
      <c r="AQ159" s="840"/>
      <c r="AR159" s="840"/>
      <c r="AS159" s="840"/>
      <c r="AT159" s="840"/>
      <c r="AU159" s="840"/>
      <c r="AV159" s="840"/>
      <c r="AW159" s="840"/>
      <c r="AX159" s="840"/>
      <c r="AY159" s="840"/>
      <c r="AZ159" s="840"/>
      <c r="BA159" s="840"/>
      <c r="BB159" s="840"/>
      <c r="BC159" s="840"/>
      <c r="BD159" s="840"/>
      <c r="BE159" s="840"/>
      <c r="BF159" s="840"/>
      <c r="BG159" s="840"/>
      <c r="BH159" s="840"/>
      <c r="BI159" s="840"/>
      <c r="BJ159" s="840"/>
      <c r="BK159" s="840"/>
      <c r="BL159" s="840"/>
      <c r="BM159" s="840"/>
      <c r="BN159" s="840"/>
      <c r="BO159" s="840"/>
      <c r="BP159" s="840"/>
      <c r="BQ159" s="840"/>
      <c r="BR159" s="840"/>
      <c r="BS159" s="840"/>
      <c r="BT159" s="840"/>
      <c r="BU159" s="840"/>
      <c r="BV159" s="840"/>
      <c r="BW159" s="840"/>
      <c r="BX159" s="840"/>
      <c r="BY159" s="840"/>
      <c r="BZ159" s="840"/>
      <c r="CA159" s="840"/>
      <c r="CB159" s="840"/>
      <c r="CC159" s="840"/>
      <c r="CD159" s="840"/>
      <c r="CE159" s="840"/>
      <c r="CF159" s="840"/>
      <c r="CG159" s="840"/>
      <c r="CH159" s="840"/>
      <c r="CI159" s="845"/>
    </row>
    <row r="160" spans="1:87" x14ac:dyDescent="0.2">
      <c r="A160" s="848" t="s">
        <v>185</v>
      </c>
      <c r="B160" s="840"/>
      <c r="C160" s="840"/>
      <c r="D160" s="840"/>
      <c r="E160" s="840"/>
      <c r="F160" s="840"/>
      <c r="G160" s="840"/>
      <c r="H160" s="840"/>
      <c r="I160" s="840"/>
      <c r="J160" s="840"/>
      <c r="K160" s="840"/>
      <c r="L160" s="840"/>
      <c r="M160" s="840"/>
      <c r="N160" s="840"/>
      <c r="O160" s="840"/>
      <c r="P160" s="840"/>
      <c r="Q160" s="840"/>
      <c r="R160" s="840"/>
      <c r="S160" s="840"/>
      <c r="T160" s="840"/>
      <c r="U160" s="840"/>
      <c r="V160" s="840"/>
      <c r="W160" s="840"/>
      <c r="X160" s="840"/>
      <c r="Y160" s="840"/>
      <c r="Z160" s="840"/>
      <c r="AA160" s="840"/>
      <c r="AB160" s="840"/>
      <c r="AC160" s="840"/>
      <c r="AD160" s="840"/>
      <c r="AE160" s="840"/>
      <c r="AF160" s="840"/>
      <c r="AG160" s="840"/>
      <c r="AH160" s="840"/>
      <c r="AI160" s="840"/>
      <c r="AJ160" s="840"/>
      <c r="AK160" s="840"/>
      <c r="AL160" s="840"/>
      <c r="AM160" s="840"/>
      <c r="AN160" s="840"/>
      <c r="AO160" s="840"/>
      <c r="AP160" s="840"/>
      <c r="AQ160" s="840"/>
      <c r="AR160" s="840"/>
      <c r="AS160" s="840"/>
      <c r="AT160" s="840"/>
      <c r="AU160" s="840"/>
      <c r="AV160" s="840"/>
      <c r="AW160" s="840"/>
      <c r="AX160" s="840"/>
      <c r="AY160" s="840"/>
      <c r="AZ160" s="840"/>
      <c r="BA160" s="840"/>
      <c r="BB160" s="840"/>
      <c r="BC160" s="840"/>
      <c r="BD160" s="840"/>
      <c r="BE160" s="840"/>
      <c r="BF160" s="840"/>
      <c r="BG160" s="840"/>
      <c r="BH160" s="840"/>
      <c r="BI160" s="840"/>
      <c r="BJ160" s="840"/>
      <c r="BK160" s="840"/>
      <c r="BL160" s="840"/>
      <c r="BM160" s="840"/>
      <c r="BN160" s="840"/>
      <c r="BO160" s="840"/>
      <c r="BP160" s="840"/>
      <c r="BQ160" s="840"/>
      <c r="BR160" s="840"/>
      <c r="BS160" s="840"/>
      <c r="BT160" s="840"/>
      <c r="BU160" s="840"/>
      <c r="BV160" s="840"/>
      <c r="BW160" s="840"/>
      <c r="BX160" s="840"/>
      <c r="BY160" s="840"/>
      <c r="BZ160" s="840"/>
      <c r="CA160" s="840"/>
      <c r="CB160" s="840"/>
      <c r="CC160" s="840"/>
      <c r="CD160" s="840"/>
      <c r="CE160" s="840"/>
      <c r="CF160" s="840"/>
      <c r="CG160" s="840"/>
      <c r="CH160" s="840"/>
      <c r="CI160" s="845"/>
    </row>
    <row r="161" spans="1:87" x14ac:dyDescent="0.2">
      <c r="A161" s="844" t="s">
        <v>696</v>
      </c>
      <c r="B161" s="840">
        <f>SUM(C161:CB161)</f>
        <v>523948</v>
      </c>
      <c r="C161" s="840">
        <f>-C66-C82</f>
        <v>39360</v>
      </c>
      <c r="D161" s="840">
        <f t="shared" ref="D161:AB161" si="160">-D66-D82</f>
        <v>3181414</v>
      </c>
      <c r="E161" s="840">
        <f t="shared" si="160"/>
        <v>0</v>
      </c>
      <c r="F161" s="840">
        <f t="shared" si="160"/>
        <v>0</v>
      </c>
      <c r="G161" s="840">
        <f t="shared" si="160"/>
        <v>0</v>
      </c>
      <c r="H161" s="840">
        <f t="shared" si="160"/>
        <v>0</v>
      </c>
      <c r="I161" s="840">
        <f t="shared" si="160"/>
        <v>0</v>
      </c>
      <c r="J161" s="840">
        <f t="shared" si="160"/>
        <v>-25692</v>
      </c>
      <c r="K161" s="840">
        <f t="shared" si="160"/>
        <v>0</v>
      </c>
      <c r="L161" s="840">
        <f t="shared" si="160"/>
        <v>0</v>
      </c>
      <c r="M161" s="840">
        <f t="shared" si="160"/>
        <v>0</v>
      </c>
      <c r="N161" s="840">
        <f t="shared" si="160"/>
        <v>0</v>
      </c>
      <c r="O161" s="840">
        <f t="shared" si="160"/>
        <v>-15955</v>
      </c>
      <c r="P161" s="840">
        <f t="shared" si="160"/>
        <v>0</v>
      </c>
      <c r="Q161" s="840">
        <f t="shared" si="160"/>
        <v>0</v>
      </c>
      <c r="R161" s="840">
        <f t="shared" si="160"/>
        <v>0</v>
      </c>
      <c r="S161" s="840">
        <f t="shared" si="160"/>
        <v>0</v>
      </c>
      <c r="T161" s="840">
        <f t="shared" si="160"/>
        <v>0</v>
      </c>
      <c r="U161" s="840">
        <f t="shared" si="160"/>
        <v>0</v>
      </c>
      <c r="V161" s="840">
        <f t="shared" si="160"/>
        <v>0</v>
      </c>
      <c r="W161" s="840">
        <f t="shared" si="160"/>
        <v>0</v>
      </c>
      <c r="X161" s="840">
        <f t="shared" si="160"/>
        <v>0</v>
      </c>
      <c r="Y161" s="840">
        <f t="shared" si="160"/>
        <v>0</v>
      </c>
      <c r="Z161" s="840">
        <f t="shared" si="160"/>
        <v>0</v>
      </c>
      <c r="AA161" s="840">
        <f t="shared" si="160"/>
        <v>0</v>
      </c>
      <c r="AB161" s="840">
        <f t="shared" si="160"/>
        <v>-679378</v>
      </c>
      <c r="AC161" s="840"/>
      <c r="AD161" s="840"/>
      <c r="AE161" s="840"/>
      <c r="AF161" s="840">
        <f>-AF66-AF82</f>
        <v>0</v>
      </c>
      <c r="AG161" s="840"/>
      <c r="AH161" s="840"/>
      <c r="AI161" s="840"/>
      <c r="AJ161" s="840"/>
      <c r="AK161" s="840"/>
      <c r="AL161" s="840"/>
      <c r="AM161" s="840"/>
      <c r="AN161" s="840"/>
      <c r="AO161" s="840"/>
      <c r="AP161" s="840"/>
      <c r="AQ161" s="840"/>
      <c r="AR161" s="840">
        <f t="shared" ref="AR161:BB161" si="161">-AR66-AR82</f>
        <v>0</v>
      </c>
      <c r="AS161" s="840">
        <f t="shared" si="161"/>
        <v>-25805</v>
      </c>
      <c r="AT161" s="840">
        <f t="shared" si="161"/>
        <v>-58105</v>
      </c>
      <c r="AU161" s="840">
        <f t="shared" si="161"/>
        <v>-105210</v>
      </c>
      <c r="AV161" s="840">
        <f t="shared" si="161"/>
        <v>0</v>
      </c>
      <c r="AW161" s="840">
        <f t="shared" si="161"/>
        <v>-591800</v>
      </c>
      <c r="AX161" s="840">
        <f t="shared" si="161"/>
        <v>-28800</v>
      </c>
      <c r="AY161" s="840">
        <f t="shared" si="161"/>
        <v>0</v>
      </c>
      <c r="AZ161" s="840">
        <f t="shared" si="161"/>
        <v>0</v>
      </c>
      <c r="BA161" s="840">
        <f t="shared" si="161"/>
        <v>0</v>
      </c>
      <c r="BB161" s="840">
        <f t="shared" si="161"/>
        <v>0</v>
      </c>
      <c r="BC161" s="840"/>
      <c r="BD161" s="840">
        <f t="shared" ref="BD161:BM161" si="162">-BD66-BD82</f>
        <v>0</v>
      </c>
      <c r="BE161" s="840">
        <f t="shared" si="162"/>
        <v>0</v>
      </c>
      <c r="BF161" s="840">
        <f t="shared" si="162"/>
        <v>0</v>
      </c>
      <c r="BG161" s="840">
        <f t="shared" si="162"/>
        <v>0</v>
      </c>
      <c r="BH161" s="840">
        <f t="shared" si="162"/>
        <v>0</v>
      </c>
      <c r="BI161" s="840">
        <f t="shared" si="162"/>
        <v>0</v>
      </c>
      <c r="BJ161" s="840">
        <f t="shared" si="162"/>
        <v>0</v>
      </c>
      <c r="BK161" s="840">
        <f t="shared" si="162"/>
        <v>-143375</v>
      </c>
      <c r="BL161" s="840">
        <f t="shared" si="162"/>
        <v>-12020</v>
      </c>
      <c r="BM161" s="840">
        <f t="shared" si="162"/>
        <v>0</v>
      </c>
      <c r="BN161" s="840"/>
      <c r="BO161" s="840">
        <f>-BO66-BO82</f>
        <v>0</v>
      </c>
      <c r="BP161" s="840">
        <f>-BP66-BP82</f>
        <v>0</v>
      </c>
      <c r="BQ161" s="840"/>
      <c r="BR161" s="840"/>
      <c r="BS161" s="840"/>
      <c r="BT161" s="840">
        <f t="shared" ref="BT161:CC161" si="163">-BT66-BT82</f>
        <v>0</v>
      </c>
      <c r="BU161" s="840">
        <f t="shared" si="163"/>
        <v>0</v>
      </c>
      <c r="BV161" s="840">
        <f t="shared" si="163"/>
        <v>0</v>
      </c>
      <c r="BW161" s="840">
        <f t="shared" si="163"/>
        <v>0</v>
      </c>
      <c r="BX161" s="840">
        <f t="shared" si="163"/>
        <v>-4230</v>
      </c>
      <c r="BY161" s="840">
        <f t="shared" si="163"/>
        <v>0</v>
      </c>
      <c r="BZ161" s="840">
        <f t="shared" si="163"/>
        <v>-1006456</v>
      </c>
      <c r="CA161" s="840">
        <f t="shared" si="163"/>
        <v>0</v>
      </c>
      <c r="CB161" s="840">
        <f t="shared" si="163"/>
        <v>0</v>
      </c>
      <c r="CC161" s="840">
        <f t="shared" si="163"/>
        <v>0</v>
      </c>
      <c r="CD161" s="840"/>
      <c r="CE161" s="840"/>
      <c r="CF161" s="840"/>
      <c r="CG161" s="840"/>
      <c r="CH161" s="840"/>
      <c r="CI161" s="845"/>
    </row>
    <row r="162" spans="1:87" x14ac:dyDescent="0.2">
      <c r="A162" s="844" t="s">
        <v>5</v>
      </c>
      <c r="B162" s="840">
        <f>SUM(C162:CB162)</f>
        <v>-89782</v>
      </c>
      <c r="C162" s="840">
        <f>-C67-C83</f>
        <v>0</v>
      </c>
      <c r="D162" s="840">
        <f t="shared" ref="D162:AB162" si="164">-D67-D83</f>
        <v>0</v>
      </c>
      <c r="E162" s="840">
        <f t="shared" si="164"/>
        <v>0</v>
      </c>
      <c r="F162" s="840">
        <f t="shared" si="164"/>
        <v>0</v>
      </c>
      <c r="G162" s="840">
        <f t="shared" si="164"/>
        <v>0</v>
      </c>
      <c r="H162" s="840">
        <f t="shared" si="164"/>
        <v>0</v>
      </c>
      <c r="I162" s="840">
        <f t="shared" si="164"/>
        <v>0</v>
      </c>
      <c r="J162" s="840">
        <f t="shared" si="164"/>
        <v>0</v>
      </c>
      <c r="K162" s="840">
        <f t="shared" si="164"/>
        <v>0</v>
      </c>
      <c r="L162" s="840">
        <f t="shared" si="164"/>
        <v>0</v>
      </c>
      <c r="M162" s="840">
        <f t="shared" si="164"/>
        <v>0</v>
      </c>
      <c r="N162" s="840">
        <f t="shared" si="164"/>
        <v>0</v>
      </c>
      <c r="O162" s="840">
        <f t="shared" si="164"/>
        <v>0</v>
      </c>
      <c r="P162" s="840">
        <f t="shared" si="164"/>
        <v>0</v>
      </c>
      <c r="Q162" s="840">
        <f t="shared" si="164"/>
        <v>0</v>
      </c>
      <c r="R162" s="840">
        <f t="shared" si="164"/>
        <v>0</v>
      </c>
      <c r="S162" s="840">
        <f t="shared" si="164"/>
        <v>0</v>
      </c>
      <c r="T162" s="840">
        <f t="shared" si="164"/>
        <v>0</v>
      </c>
      <c r="U162" s="840">
        <f t="shared" si="164"/>
        <v>0</v>
      </c>
      <c r="V162" s="840">
        <f t="shared" si="164"/>
        <v>0</v>
      </c>
      <c r="W162" s="840">
        <f t="shared" si="164"/>
        <v>0</v>
      </c>
      <c r="X162" s="840">
        <f t="shared" si="164"/>
        <v>0</v>
      </c>
      <c r="Y162" s="840">
        <f t="shared" si="164"/>
        <v>0</v>
      </c>
      <c r="Z162" s="840">
        <f t="shared" si="164"/>
        <v>0</v>
      </c>
      <c r="AA162" s="840">
        <f t="shared" si="164"/>
        <v>0</v>
      </c>
      <c r="AB162" s="840">
        <f t="shared" si="164"/>
        <v>0</v>
      </c>
      <c r="AC162" s="840"/>
      <c r="AD162" s="840"/>
      <c r="AE162" s="840"/>
      <c r="AF162" s="840">
        <f>-AF67-AF83</f>
        <v>0</v>
      </c>
      <c r="AG162" s="840"/>
      <c r="AH162" s="840"/>
      <c r="AI162" s="840"/>
      <c r="AJ162" s="840"/>
      <c r="AK162" s="840"/>
      <c r="AL162" s="840"/>
      <c r="AM162" s="840"/>
      <c r="AN162" s="840"/>
      <c r="AO162" s="840"/>
      <c r="AP162" s="840"/>
      <c r="AQ162" s="840"/>
      <c r="AR162" s="840">
        <f t="shared" ref="AR162:BB162" si="165">-AR67-AR83</f>
        <v>0</v>
      </c>
      <c r="AS162" s="840">
        <f t="shared" si="165"/>
        <v>0</v>
      </c>
      <c r="AT162" s="840">
        <f t="shared" si="165"/>
        <v>0</v>
      </c>
      <c r="AU162" s="840">
        <f t="shared" si="165"/>
        <v>0</v>
      </c>
      <c r="AV162" s="840">
        <f t="shared" si="165"/>
        <v>0</v>
      </c>
      <c r="AW162" s="840">
        <f t="shared" si="165"/>
        <v>0</v>
      </c>
      <c r="AX162" s="840">
        <f t="shared" si="165"/>
        <v>0</v>
      </c>
      <c r="AY162" s="840">
        <f t="shared" si="165"/>
        <v>0</v>
      </c>
      <c r="AZ162" s="840">
        <f t="shared" si="165"/>
        <v>0</v>
      </c>
      <c r="BA162" s="840">
        <f t="shared" si="165"/>
        <v>0</v>
      </c>
      <c r="BB162" s="840">
        <f t="shared" si="165"/>
        <v>0</v>
      </c>
      <c r="BC162" s="840"/>
      <c r="BD162" s="840">
        <f t="shared" ref="BD162:BM162" si="166">-BD67-BD83</f>
        <v>0</v>
      </c>
      <c r="BE162" s="840">
        <f t="shared" si="166"/>
        <v>0</v>
      </c>
      <c r="BF162" s="840">
        <f t="shared" si="166"/>
        <v>0</v>
      </c>
      <c r="BG162" s="840">
        <f t="shared" si="166"/>
        <v>0</v>
      </c>
      <c r="BH162" s="840">
        <f t="shared" si="166"/>
        <v>0</v>
      </c>
      <c r="BI162" s="840">
        <f t="shared" si="166"/>
        <v>0</v>
      </c>
      <c r="BJ162" s="840">
        <f t="shared" si="166"/>
        <v>0</v>
      </c>
      <c r="BK162" s="840">
        <f t="shared" si="166"/>
        <v>0</v>
      </c>
      <c r="BL162" s="840">
        <f t="shared" si="166"/>
        <v>0</v>
      </c>
      <c r="BM162" s="840">
        <f t="shared" si="166"/>
        <v>0</v>
      </c>
      <c r="BN162" s="840"/>
      <c r="BO162" s="840">
        <f>-BO67-BO83</f>
        <v>0</v>
      </c>
      <c r="BP162" s="840">
        <f>-BP67-BP83</f>
        <v>0</v>
      </c>
      <c r="BQ162" s="840"/>
      <c r="BR162" s="840"/>
      <c r="BS162" s="840"/>
      <c r="BT162" s="840">
        <f t="shared" ref="BT162:CC162" si="167">-BT67-BT83</f>
        <v>-10849</v>
      </c>
      <c r="BU162" s="840">
        <f t="shared" si="167"/>
        <v>-40644</v>
      </c>
      <c r="BV162" s="840">
        <f t="shared" si="167"/>
        <v>-38289</v>
      </c>
      <c r="BW162" s="840">
        <f t="shared" si="167"/>
        <v>0</v>
      </c>
      <c r="BX162" s="840">
        <f t="shared" si="167"/>
        <v>0</v>
      </c>
      <c r="BY162" s="840">
        <f t="shared" si="167"/>
        <v>0</v>
      </c>
      <c r="BZ162" s="840">
        <f t="shared" si="167"/>
        <v>0</v>
      </c>
      <c r="CA162" s="840">
        <f t="shared" si="167"/>
        <v>0</v>
      </c>
      <c r="CB162" s="840">
        <f t="shared" si="167"/>
        <v>0</v>
      </c>
      <c r="CC162" s="840">
        <f t="shared" si="167"/>
        <v>0</v>
      </c>
      <c r="CD162" s="840"/>
      <c r="CE162" s="840"/>
      <c r="CF162" s="840"/>
      <c r="CG162" s="840"/>
      <c r="CH162" s="840"/>
      <c r="CI162" s="845"/>
    </row>
    <row r="163" spans="1:87" x14ac:dyDescent="0.2">
      <c r="A163" s="844" t="s">
        <v>186</v>
      </c>
      <c r="B163" s="840">
        <f>SUM(C163:CB163)</f>
        <v>-26644</v>
      </c>
      <c r="C163" s="840">
        <f>-C69-C70-C85-C86</f>
        <v>0</v>
      </c>
      <c r="D163" s="840">
        <f t="shared" ref="D163:AB163" si="168">-D69-D70-D85-D86</f>
        <v>-16602</v>
      </c>
      <c r="E163" s="840">
        <f t="shared" si="168"/>
        <v>0</v>
      </c>
      <c r="F163" s="840">
        <f t="shared" si="168"/>
        <v>0</v>
      </c>
      <c r="G163" s="840">
        <f t="shared" si="168"/>
        <v>0</v>
      </c>
      <c r="H163" s="840">
        <f t="shared" si="168"/>
        <v>0</v>
      </c>
      <c r="I163" s="840">
        <f t="shared" si="168"/>
        <v>0</v>
      </c>
      <c r="J163" s="840">
        <f t="shared" si="168"/>
        <v>0</v>
      </c>
      <c r="K163" s="840">
        <f t="shared" si="168"/>
        <v>0</v>
      </c>
      <c r="L163" s="840">
        <f t="shared" si="168"/>
        <v>0</v>
      </c>
      <c r="M163" s="840">
        <f t="shared" si="168"/>
        <v>0</v>
      </c>
      <c r="N163" s="840">
        <f t="shared" si="168"/>
        <v>0</v>
      </c>
      <c r="O163" s="840">
        <f t="shared" si="168"/>
        <v>0</v>
      </c>
      <c r="P163" s="840">
        <f t="shared" si="168"/>
        <v>0</v>
      </c>
      <c r="Q163" s="840">
        <f t="shared" si="168"/>
        <v>0</v>
      </c>
      <c r="R163" s="840">
        <f t="shared" si="168"/>
        <v>0</v>
      </c>
      <c r="S163" s="840">
        <f t="shared" si="168"/>
        <v>0</v>
      </c>
      <c r="T163" s="840">
        <f t="shared" si="168"/>
        <v>0</v>
      </c>
      <c r="U163" s="840">
        <f t="shared" si="168"/>
        <v>0</v>
      </c>
      <c r="V163" s="840">
        <f t="shared" si="168"/>
        <v>0</v>
      </c>
      <c r="W163" s="840">
        <f t="shared" si="168"/>
        <v>0</v>
      </c>
      <c r="X163" s="840">
        <f t="shared" si="168"/>
        <v>0</v>
      </c>
      <c r="Y163" s="840">
        <f t="shared" si="168"/>
        <v>0</v>
      </c>
      <c r="Z163" s="840">
        <f t="shared" si="168"/>
        <v>0</v>
      </c>
      <c r="AA163" s="840">
        <f t="shared" si="168"/>
        <v>0</v>
      </c>
      <c r="AB163" s="840">
        <f t="shared" si="168"/>
        <v>0</v>
      </c>
      <c r="AC163" s="840"/>
      <c r="AD163" s="840"/>
      <c r="AE163" s="840"/>
      <c r="AF163" s="840">
        <f>-AF69-AF70-AF85-AF86</f>
        <v>0</v>
      </c>
      <c r="AG163" s="840"/>
      <c r="AH163" s="840"/>
      <c r="AI163" s="840"/>
      <c r="AJ163" s="840"/>
      <c r="AK163" s="840"/>
      <c r="AL163" s="840"/>
      <c r="AM163" s="840"/>
      <c r="AN163" s="840"/>
      <c r="AO163" s="840"/>
      <c r="AP163" s="840"/>
      <c r="AQ163" s="840"/>
      <c r="AR163" s="840">
        <f t="shared" ref="AR163:BB163" si="169">-AR69-AR70-AR85-AR86</f>
        <v>0</v>
      </c>
      <c r="AS163" s="840">
        <f t="shared" si="169"/>
        <v>0</v>
      </c>
      <c r="AT163" s="840">
        <f t="shared" si="169"/>
        <v>0</v>
      </c>
      <c r="AU163" s="840">
        <f t="shared" si="169"/>
        <v>0</v>
      </c>
      <c r="AV163" s="840">
        <f t="shared" si="169"/>
        <v>0</v>
      </c>
      <c r="AW163" s="840">
        <f t="shared" si="169"/>
        <v>-1148</v>
      </c>
      <c r="AX163" s="840">
        <f t="shared" si="169"/>
        <v>0</v>
      </c>
      <c r="AY163" s="840">
        <f t="shared" si="169"/>
        <v>0</v>
      </c>
      <c r="AZ163" s="840">
        <f t="shared" si="169"/>
        <v>0</v>
      </c>
      <c r="BA163" s="840">
        <f t="shared" si="169"/>
        <v>0</v>
      </c>
      <c r="BB163" s="840">
        <f t="shared" si="169"/>
        <v>0</v>
      </c>
      <c r="BC163" s="840"/>
      <c r="BD163" s="840">
        <f t="shared" ref="BD163:BM163" si="170">-BD69-BD70-BD85-BD86</f>
        <v>0</v>
      </c>
      <c r="BE163" s="840">
        <f t="shared" si="170"/>
        <v>0</v>
      </c>
      <c r="BF163" s="840">
        <f t="shared" si="170"/>
        <v>0</v>
      </c>
      <c r="BG163" s="840">
        <f t="shared" si="170"/>
        <v>0</v>
      </c>
      <c r="BH163" s="840">
        <f t="shared" si="170"/>
        <v>0</v>
      </c>
      <c r="BI163" s="840">
        <f t="shared" si="170"/>
        <v>0</v>
      </c>
      <c r="BJ163" s="840">
        <f t="shared" si="170"/>
        <v>0</v>
      </c>
      <c r="BK163" s="840">
        <f t="shared" si="170"/>
        <v>-8859</v>
      </c>
      <c r="BL163" s="840">
        <f t="shared" si="170"/>
        <v>-35</v>
      </c>
      <c r="BM163" s="840">
        <f t="shared" si="170"/>
        <v>0</v>
      </c>
      <c r="BN163" s="840"/>
      <c r="BO163" s="840">
        <f>-BO69-BO70-BO85-BO86</f>
        <v>0</v>
      </c>
      <c r="BP163" s="840">
        <f>-BP69-BP70-BP85-BP86</f>
        <v>0</v>
      </c>
      <c r="BQ163" s="840"/>
      <c r="BR163" s="840"/>
      <c r="BS163" s="840"/>
      <c r="BT163" s="840">
        <f t="shared" ref="BT163:CC163" si="171">-BT69-BT70-BT85-BT86</f>
        <v>0</v>
      </c>
      <c r="BU163" s="840">
        <f t="shared" si="171"/>
        <v>0</v>
      </c>
      <c r="BV163" s="840">
        <f t="shared" si="171"/>
        <v>0</v>
      </c>
      <c r="BW163" s="840">
        <f t="shared" si="171"/>
        <v>0</v>
      </c>
      <c r="BX163" s="840">
        <f t="shared" si="171"/>
        <v>0</v>
      </c>
      <c r="BY163" s="840">
        <f t="shared" si="171"/>
        <v>0</v>
      </c>
      <c r="BZ163" s="840">
        <f t="shared" si="171"/>
        <v>0</v>
      </c>
      <c r="CA163" s="840">
        <f t="shared" si="171"/>
        <v>0</v>
      </c>
      <c r="CB163" s="840">
        <f t="shared" si="171"/>
        <v>0</v>
      </c>
      <c r="CC163" s="840">
        <f t="shared" si="171"/>
        <v>0</v>
      </c>
      <c r="CD163" s="840"/>
      <c r="CE163" s="840"/>
      <c r="CF163" s="840"/>
      <c r="CG163" s="840"/>
      <c r="CH163" s="840"/>
      <c r="CI163" s="845"/>
    </row>
    <row r="164" spans="1:87" x14ac:dyDescent="0.2">
      <c r="A164" s="844" t="s">
        <v>187</v>
      </c>
      <c r="B164" s="840">
        <f>SUM(C164:CB164)</f>
        <v>0</v>
      </c>
      <c r="C164" s="840">
        <f>-C71-C87</f>
        <v>0</v>
      </c>
      <c r="D164" s="840">
        <f t="shared" ref="D164:AB164" si="172">-D71-D87</f>
        <v>0</v>
      </c>
      <c r="E164" s="840">
        <f t="shared" si="172"/>
        <v>0</v>
      </c>
      <c r="F164" s="840">
        <f t="shared" si="172"/>
        <v>0</v>
      </c>
      <c r="G164" s="840">
        <f t="shared" si="172"/>
        <v>0</v>
      </c>
      <c r="H164" s="840">
        <f t="shared" si="172"/>
        <v>0</v>
      </c>
      <c r="I164" s="840">
        <f t="shared" si="172"/>
        <v>0</v>
      </c>
      <c r="J164" s="840">
        <f t="shared" si="172"/>
        <v>0</v>
      </c>
      <c r="K164" s="840">
        <f t="shared" si="172"/>
        <v>0</v>
      </c>
      <c r="L164" s="840">
        <f t="shared" si="172"/>
        <v>0</v>
      </c>
      <c r="M164" s="840">
        <f t="shared" si="172"/>
        <v>0</v>
      </c>
      <c r="N164" s="840">
        <f t="shared" si="172"/>
        <v>0</v>
      </c>
      <c r="O164" s="840">
        <f t="shared" si="172"/>
        <v>0</v>
      </c>
      <c r="P164" s="840">
        <f t="shared" si="172"/>
        <v>0</v>
      </c>
      <c r="Q164" s="840">
        <f t="shared" si="172"/>
        <v>0</v>
      </c>
      <c r="R164" s="840">
        <f t="shared" si="172"/>
        <v>0</v>
      </c>
      <c r="S164" s="840">
        <f t="shared" si="172"/>
        <v>0</v>
      </c>
      <c r="T164" s="840">
        <f t="shared" si="172"/>
        <v>0</v>
      </c>
      <c r="U164" s="840">
        <f t="shared" si="172"/>
        <v>0</v>
      </c>
      <c r="V164" s="840">
        <f t="shared" si="172"/>
        <v>0</v>
      </c>
      <c r="W164" s="840">
        <f t="shared" si="172"/>
        <v>0</v>
      </c>
      <c r="X164" s="840">
        <f t="shared" si="172"/>
        <v>0</v>
      </c>
      <c r="Y164" s="840">
        <f t="shared" si="172"/>
        <v>0</v>
      </c>
      <c r="Z164" s="840">
        <f t="shared" si="172"/>
        <v>0</v>
      </c>
      <c r="AA164" s="840">
        <f t="shared" si="172"/>
        <v>0</v>
      </c>
      <c r="AB164" s="840">
        <f t="shared" si="172"/>
        <v>0</v>
      </c>
      <c r="AC164" s="840"/>
      <c r="AD164" s="840"/>
      <c r="AE164" s="840"/>
      <c r="AF164" s="840">
        <f>-AF71-AF87</f>
        <v>0</v>
      </c>
      <c r="AG164" s="840"/>
      <c r="AH164" s="840"/>
      <c r="AI164" s="840"/>
      <c r="AJ164" s="840"/>
      <c r="AK164" s="840"/>
      <c r="AL164" s="840"/>
      <c r="AM164" s="840"/>
      <c r="AN164" s="840"/>
      <c r="AO164" s="840"/>
      <c r="AP164" s="840"/>
      <c r="AQ164" s="840"/>
      <c r="AR164" s="840">
        <f t="shared" ref="AR164:BB164" si="173">-AR71-AR87</f>
        <v>0</v>
      </c>
      <c r="AS164" s="840">
        <f t="shared" si="173"/>
        <v>0</v>
      </c>
      <c r="AT164" s="840">
        <f t="shared" si="173"/>
        <v>0</v>
      </c>
      <c r="AU164" s="840">
        <f t="shared" si="173"/>
        <v>0</v>
      </c>
      <c r="AV164" s="840">
        <f t="shared" si="173"/>
        <v>0</v>
      </c>
      <c r="AW164" s="840">
        <f t="shared" si="173"/>
        <v>0</v>
      </c>
      <c r="AX164" s="840">
        <f t="shared" si="173"/>
        <v>0</v>
      </c>
      <c r="AY164" s="840">
        <f t="shared" si="173"/>
        <v>0</v>
      </c>
      <c r="AZ164" s="840">
        <f t="shared" si="173"/>
        <v>0</v>
      </c>
      <c r="BA164" s="840">
        <f t="shared" si="173"/>
        <v>0</v>
      </c>
      <c r="BB164" s="840">
        <f t="shared" si="173"/>
        <v>0</v>
      </c>
      <c r="BC164" s="840"/>
      <c r="BD164" s="840">
        <f t="shared" ref="BD164:BM164" si="174">-BD71-BD87</f>
        <v>0</v>
      </c>
      <c r="BE164" s="840">
        <f t="shared" si="174"/>
        <v>0</v>
      </c>
      <c r="BF164" s="840">
        <f t="shared" si="174"/>
        <v>0</v>
      </c>
      <c r="BG164" s="840">
        <f t="shared" si="174"/>
        <v>0</v>
      </c>
      <c r="BH164" s="840">
        <f t="shared" si="174"/>
        <v>0</v>
      </c>
      <c r="BI164" s="840">
        <f t="shared" si="174"/>
        <v>0</v>
      </c>
      <c r="BJ164" s="840">
        <f t="shared" si="174"/>
        <v>0</v>
      </c>
      <c r="BK164" s="840">
        <f t="shared" si="174"/>
        <v>0</v>
      </c>
      <c r="BL164" s="840">
        <f t="shared" si="174"/>
        <v>0</v>
      </c>
      <c r="BM164" s="840">
        <f t="shared" si="174"/>
        <v>0</v>
      </c>
      <c r="BN164" s="840"/>
      <c r="BO164" s="840">
        <f>-BO71-BO87</f>
        <v>0</v>
      </c>
      <c r="BP164" s="840">
        <f>-BP71-BP87</f>
        <v>0</v>
      </c>
      <c r="BQ164" s="840"/>
      <c r="BR164" s="840"/>
      <c r="BS164" s="840"/>
      <c r="BT164" s="840">
        <f t="shared" ref="BT164:CC164" si="175">-BT71-BT87</f>
        <v>0</v>
      </c>
      <c r="BU164" s="840">
        <f t="shared" si="175"/>
        <v>0</v>
      </c>
      <c r="BV164" s="840">
        <f t="shared" si="175"/>
        <v>0</v>
      </c>
      <c r="BW164" s="840">
        <f t="shared" si="175"/>
        <v>0</v>
      </c>
      <c r="BX164" s="840">
        <f t="shared" si="175"/>
        <v>0</v>
      </c>
      <c r="BY164" s="840">
        <f t="shared" si="175"/>
        <v>0</v>
      </c>
      <c r="BZ164" s="840">
        <f t="shared" si="175"/>
        <v>0</v>
      </c>
      <c r="CA164" s="840">
        <f t="shared" si="175"/>
        <v>0</v>
      </c>
      <c r="CB164" s="840">
        <f t="shared" si="175"/>
        <v>0</v>
      </c>
      <c r="CC164" s="840">
        <f t="shared" si="175"/>
        <v>0</v>
      </c>
      <c r="CD164" s="840"/>
      <c r="CE164" s="840"/>
      <c r="CF164" s="840"/>
      <c r="CG164" s="840"/>
      <c r="CH164" s="840"/>
      <c r="CI164" s="845"/>
    </row>
    <row r="165" spans="1:87" x14ac:dyDescent="0.2">
      <c r="A165" s="844" t="s">
        <v>188</v>
      </c>
      <c r="B165" s="840">
        <v>23239</v>
      </c>
      <c r="C165" s="840"/>
      <c r="D165" s="840"/>
      <c r="E165" s="840"/>
      <c r="F165" s="840"/>
      <c r="G165" s="840"/>
      <c r="H165" s="840"/>
      <c r="I165" s="840"/>
      <c r="J165" s="840"/>
      <c r="K165" s="840"/>
      <c r="L165" s="840"/>
      <c r="M165" s="840"/>
      <c r="N165" s="840"/>
      <c r="O165" s="840"/>
      <c r="P165" s="840"/>
      <c r="Q165" s="840"/>
      <c r="R165" s="840"/>
      <c r="S165" s="840"/>
      <c r="T165" s="840"/>
      <c r="U165" s="840"/>
      <c r="V165" s="840"/>
      <c r="W165" s="840"/>
      <c r="X165" s="840"/>
      <c r="Y165" s="840"/>
      <c r="Z165" s="840"/>
      <c r="AA165" s="840"/>
      <c r="AB165" s="840"/>
      <c r="AC165" s="840"/>
      <c r="AD165" s="840"/>
      <c r="AE165" s="840"/>
      <c r="AF165" s="840"/>
      <c r="AG165" s="840"/>
      <c r="AH165" s="840"/>
      <c r="AI165" s="840"/>
      <c r="AJ165" s="840"/>
      <c r="AK165" s="840"/>
      <c r="AL165" s="840"/>
      <c r="AM165" s="840"/>
      <c r="AN165" s="840"/>
      <c r="AO165" s="840"/>
      <c r="AP165" s="840"/>
      <c r="AQ165" s="840"/>
      <c r="AR165" s="840"/>
      <c r="AS165" s="840"/>
      <c r="AT165" s="840"/>
      <c r="AU165" s="840"/>
      <c r="AV165" s="840"/>
      <c r="AW165" s="840"/>
      <c r="AX165" s="840"/>
      <c r="AY165" s="840"/>
      <c r="AZ165" s="840"/>
      <c r="BA165" s="840"/>
      <c r="BB165" s="840"/>
      <c r="BC165" s="840"/>
      <c r="BD165" s="840"/>
      <c r="BE165" s="840"/>
      <c r="BF165" s="840"/>
      <c r="BG165" s="840"/>
      <c r="BH165" s="840"/>
      <c r="BI165" s="840"/>
      <c r="BJ165" s="840"/>
      <c r="BK165" s="840"/>
      <c r="BL165" s="840"/>
      <c r="BM165" s="840"/>
      <c r="BN165" s="840"/>
      <c r="BO165" s="840"/>
      <c r="BP165" s="840"/>
      <c r="BQ165" s="840"/>
      <c r="BR165" s="840"/>
      <c r="BS165" s="840"/>
      <c r="BT165" s="840"/>
      <c r="BU165" s="840"/>
      <c r="BV165" s="840"/>
      <c r="BW165" s="840"/>
      <c r="BX165" s="840"/>
      <c r="BY165" s="840"/>
      <c r="BZ165" s="840"/>
      <c r="CA165" s="840"/>
      <c r="CB165" s="840"/>
      <c r="CC165" s="840"/>
      <c r="CD165" s="840"/>
      <c r="CE165" s="840"/>
      <c r="CF165" s="840"/>
      <c r="CG165" s="840"/>
      <c r="CH165" s="840"/>
      <c r="CI165" s="845"/>
    </row>
    <row r="166" spans="1:87" x14ac:dyDescent="0.2">
      <c r="A166" s="844" t="s">
        <v>701</v>
      </c>
      <c r="B166" s="840">
        <f>SUM(C166:CB166)</f>
        <v>-73327</v>
      </c>
      <c r="C166" s="840">
        <f>-C77-C92</f>
        <v>-15564</v>
      </c>
      <c r="D166" s="840">
        <f t="shared" ref="D166:AB166" si="176">-D77-D92</f>
        <v>0</v>
      </c>
      <c r="E166" s="840">
        <f t="shared" si="176"/>
        <v>-5</v>
      </c>
      <c r="F166" s="840">
        <f t="shared" si="176"/>
        <v>-14087</v>
      </c>
      <c r="G166" s="840">
        <f t="shared" si="176"/>
        <v>0</v>
      </c>
      <c r="H166" s="840">
        <f t="shared" si="176"/>
        <v>0</v>
      </c>
      <c r="I166" s="840">
        <f t="shared" si="176"/>
        <v>0</v>
      </c>
      <c r="J166" s="840">
        <f t="shared" si="176"/>
        <v>0</v>
      </c>
      <c r="K166" s="840">
        <f t="shared" si="176"/>
        <v>0</v>
      </c>
      <c r="L166" s="840">
        <f t="shared" si="176"/>
        <v>0</v>
      </c>
      <c r="M166" s="840">
        <f t="shared" si="176"/>
        <v>0</v>
      </c>
      <c r="N166" s="840">
        <f t="shared" si="176"/>
        <v>-43</v>
      </c>
      <c r="O166" s="840">
        <f t="shared" si="176"/>
        <v>-5</v>
      </c>
      <c r="P166" s="840">
        <f t="shared" si="176"/>
        <v>0</v>
      </c>
      <c r="Q166" s="840">
        <f t="shared" si="176"/>
        <v>0</v>
      </c>
      <c r="R166" s="840">
        <f t="shared" si="176"/>
        <v>0</v>
      </c>
      <c r="S166" s="840">
        <f t="shared" si="176"/>
        <v>0</v>
      </c>
      <c r="T166" s="840">
        <f t="shared" si="176"/>
        <v>0</v>
      </c>
      <c r="U166" s="840">
        <f t="shared" si="176"/>
        <v>-4</v>
      </c>
      <c r="V166" s="840">
        <f t="shared" si="176"/>
        <v>0</v>
      </c>
      <c r="W166" s="840">
        <f t="shared" si="176"/>
        <v>-13</v>
      </c>
      <c r="X166" s="840">
        <f t="shared" si="176"/>
        <v>0</v>
      </c>
      <c r="Y166" s="840">
        <f t="shared" si="176"/>
        <v>0</v>
      </c>
      <c r="Z166" s="840">
        <f t="shared" si="176"/>
        <v>0</v>
      </c>
      <c r="AA166" s="840">
        <f t="shared" si="176"/>
        <v>0</v>
      </c>
      <c r="AB166" s="840">
        <f t="shared" si="176"/>
        <v>0</v>
      </c>
      <c r="AC166" s="840"/>
      <c r="AD166" s="840"/>
      <c r="AE166" s="840"/>
      <c r="AF166" s="840">
        <f>-AF77-AF92</f>
        <v>0</v>
      </c>
      <c r="AG166" s="840"/>
      <c r="AH166" s="840"/>
      <c r="AI166" s="840"/>
      <c r="AJ166" s="840"/>
      <c r="AK166" s="840"/>
      <c r="AL166" s="840"/>
      <c r="AM166" s="840"/>
      <c r="AN166" s="840"/>
      <c r="AO166" s="840"/>
      <c r="AP166" s="840"/>
      <c r="AQ166" s="840"/>
      <c r="AR166" s="840">
        <f t="shared" ref="AR166:BB166" si="177">-AR77-AR92</f>
        <v>0</v>
      </c>
      <c r="AS166" s="840">
        <f t="shared" si="177"/>
        <v>0</v>
      </c>
      <c r="AT166" s="840">
        <f t="shared" si="177"/>
        <v>0</v>
      </c>
      <c r="AU166" s="840">
        <f t="shared" si="177"/>
        <v>0</v>
      </c>
      <c r="AV166" s="840">
        <f t="shared" si="177"/>
        <v>0</v>
      </c>
      <c r="AW166" s="840">
        <f t="shared" si="177"/>
        <v>0</v>
      </c>
      <c r="AX166" s="840">
        <f t="shared" si="177"/>
        <v>0</v>
      </c>
      <c r="AY166" s="840">
        <f t="shared" si="177"/>
        <v>0</v>
      </c>
      <c r="AZ166" s="840">
        <f t="shared" si="177"/>
        <v>0</v>
      </c>
      <c r="BA166" s="840">
        <f t="shared" si="177"/>
        <v>0</v>
      </c>
      <c r="BB166" s="840">
        <f t="shared" si="177"/>
        <v>0</v>
      </c>
      <c r="BC166" s="840"/>
      <c r="BD166" s="840">
        <f t="shared" ref="BD166:BM166" si="178">-BD77-BD92</f>
        <v>0</v>
      </c>
      <c r="BE166" s="840">
        <f t="shared" si="178"/>
        <v>0</v>
      </c>
      <c r="BF166" s="840">
        <f t="shared" si="178"/>
        <v>0</v>
      </c>
      <c r="BG166" s="840">
        <f t="shared" si="178"/>
        <v>0</v>
      </c>
      <c r="BH166" s="840">
        <f t="shared" si="178"/>
        <v>-1077</v>
      </c>
      <c r="BI166" s="840">
        <f t="shared" si="178"/>
        <v>0</v>
      </c>
      <c r="BJ166" s="840">
        <f t="shared" si="178"/>
        <v>-3160</v>
      </c>
      <c r="BK166" s="840">
        <f t="shared" si="178"/>
        <v>0</v>
      </c>
      <c r="BL166" s="840">
        <f t="shared" si="178"/>
        <v>0</v>
      </c>
      <c r="BM166" s="840">
        <f t="shared" si="178"/>
        <v>0</v>
      </c>
      <c r="BN166" s="840"/>
      <c r="BO166" s="840">
        <f>-BO77-BO92</f>
        <v>0</v>
      </c>
      <c r="BP166" s="840">
        <f>-BP77-BP92</f>
        <v>-10350</v>
      </c>
      <c r="BQ166" s="840"/>
      <c r="BR166" s="840"/>
      <c r="BS166" s="840"/>
      <c r="BT166" s="840">
        <f t="shared" ref="BT166:CC166" si="179">-BT77-BT92</f>
        <v>0</v>
      </c>
      <c r="BU166" s="840">
        <f t="shared" si="179"/>
        <v>0</v>
      </c>
      <c r="BV166" s="840">
        <f t="shared" si="179"/>
        <v>0</v>
      </c>
      <c r="BW166" s="840">
        <f t="shared" si="179"/>
        <v>-28919</v>
      </c>
      <c r="BX166" s="840">
        <f t="shared" si="179"/>
        <v>-86</v>
      </c>
      <c r="BY166" s="840">
        <f t="shared" si="179"/>
        <v>-14</v>
      </c>
      <c r="BZ166" s="840">
        <f t="shared" si="179"/>
        <v>0</v>
      </c>
      <c r="CA166" s="840">
        <f t="shared" si="179"/>
        <v>0</v>
      </c>
      <c r="CB166" s="840">
        <f t="shared" si="179"/>
        <v>0</v>
      </c>
      <c r="CC166" s="840">
        <f t="shared" si="179"/>
        <v>0</v>
      </c>
      <c r="CD166" s="840"/>
      <c r="CE166" s="840"/>
      <c r="CF166" s="840"/>
      <c r="CG166" s="840"/>
      <c r="CH166" s="840"/>
      <c r="CI166" s="845"/>
    </row>
    <row r="167" spans="1:87" x14ac:dyDescent="0.2">
      <c r="A167" s="846" t="s">
        <v>725</v>
      </c>
      <c r="B167" s="839">
        <f>SUM(B161:B166)</f>
        <v>357434</v>
      </c>
      <c r="C167" s="839">
        <f>SUM(C161:C166)</f>
        <v>23796</v>
      </c>
      <c r="D167" s="839">
        <f>SUM(D161:D166)</f>
        <v>3164812</v>
      </c>
      <c r="E167" s="839">
        <f>SUM(E161:E166)</f>
        <v>-5</v>
      </c>
      <c r="F167" s="839">
        <f>SUM(F161:F166)</f>
        <v>-14087</v>
      </c>
      <c r="G167" s="839">
        <f t="shared" ref="G167:BZ167" si="180">SUM(G161:G166)</f>
        <v>0</v>
      </c>
      <c r="H167" s="839">
        <f t="shared" si="180"/>
        <v>0</v>
      </c>
      <c r="I167" s="839">
        <f t="shared" si="180"/>
        <v>0</v>
      </c>
      <c r="J167" s="839">
        <f t="shared" si="180"/>
        <v>-25692</v>
      </c>
      <c r="K167" s="839">
        <f t="shared" si="180"/>
        <v>0</v>
      </c>
      <c r="L167" s="839">
        <f t="shared" si="180"/>
        <v>0</v>
      </c>
      <c r="M167" s="839">
        <f t="shared" si="180"/>
        <v>0</v>
      </c>
      <c r="N167" s="839">
        <f t="shared" si="180"/>
        <v>-43</v>
      </c>
      <c r="O167" s="839">
        <f t="shared" si="180"/>
        <v>-15960</v>
      </c>
      <c r="P167" s="839">
        <f t="shared" si="180"/>
        <v>0</v>
      </c>
      <c r="Q167" s="839">
        <f>SUM(Q161:Q166)</f>
        <v>0</v>
      </c>
      <c r="R167" s="839">
        <f>SUM(R161:R166)</f>
        <v>0</v>
      </c>
      <c r="S167" s="839">
        <f>SUM(S161:S166)</f>
        <v>0</v>
      </c>
      <c r="T167" s="839">
        <f t="shared" si="180"/>
        <v>0</v>
      </c>
      <c r="U167" s="839">
        <f>SUM(U161:U166)</f>
        <v>-4</v>
      </c>
      <c r="V167" s="839">
        <f>SUM(V161:V166)</f>
        <v>0</v>
      </c>
      <c r="W167" s="839">
        <f t="shared" si="180"/>
        <v>-13</v>
      </c>
      <c r="X167" s="839">
        <f>SUM(X161:X166)</f>
        <v>0</v>
      </c>
      <c r="Y167" s="839">
        <f t="shared" si="180"/>
        <v>0</v>
      </c>
      <c r="Z167" s="839">
        <f t="shared" si="180"/>
        <v>0</v>
      </c>
      <c r="AA167" s="839">
        <f t="shared" si="180"/>
        <v>0</v>
      </c>
      <c r="AB167" s="839">
        <f>SUM(AB161:AB166)</f>
        <v>-679378</v>
      </c>
      <c r="AC167" s="839"/>
      <c r="AD167" s="839"/>
      <c r="AE167" s="839"/>
      <c r="AF167" s="839">
        <f>SUM(AF161:AF166)</f>
        <v>0</v>
      </c>
      <c r="AG167" s="839"/>
      <c r="AH167" s="839"/>
      <c r="AI167" s="839"/>
      <c r="AJ167" s="839"/>
      <c r="AK167" s="839"/>
      <c r="AL167" s="839"/>
      <c r="AM167" s="839"/>
      <c r="AN167" s="839"/>
      <c r="AO167" s="839"/>
      <c r="AP167" s="839"/>
      <c r="AQ167" s="839"/>
      <c r="AR167" s="839">
        <f t="shared" si="180"/>
        <v>0</v>
      </c>
      <c r="AS167" s="839">
        <f t="shared" si="180"/>
        <v>-25805</v>
      </c>
      <c r="AT167" s="839">
        <f t="shared" si="180"/>
        <v>-58105</v>
      </c>
      <c r="AU167" s="839">
        <f t="shared" si="180"/>
        <v>-105210</v>
      </c>
      <c r="AV167" s="839">
        <f t="shared" si="180"/>
        <v>0</v>
      </c>
      <c r="AW167" s="839">
        <f>SUM(AW161:AW166)</f>
        <v>-592948</v>
      </c>
      <c r="AX167" s="839">
        <f t="shared" si="180"/>
        <v>-28800</v>
      </c>
      <c r="AY167" s="839">
        <f t="shared" si="180"/>
        <v>0</v>
      </c>
      <c r="AZ167" s="839">
        <f t="shared" si="180"/>
        <v>0</v>
      </c>
      <c r="BA167" s="839">
        <f t="shared" si="180"/>
        <v>0</v>
      </c>
      <c r="BB167" s="839">
        <f t="shared" si="180"/>
        <v>0</v>
      </c>
      <c r="BC167" s="839"/>
      <c r="BD167" s="839">
        <f t="shared" si="180"/>
        <v>0</v>
      </c>
      <c r="BE167" s="839">
        <f>SUM(BE161:BE166)</f>
        <v>0</v>
      </c>
      <c r="BF167" s="839">
        <f>SUM(BF161:BF166)</f>
        <v>0</v>
      </c>
      <c r="BG167" s="839">
        <f>SUM(BG161:BG166)</f>
        <v>0</v>
      </c>
      <c r="BH167" s="839">
        <f t="shared" si="180"/>
        <v>-1077</v>
      </c>
      <c r="BI167" s="839">
        <f>SUM(BI161:BI166)</f>
        <v>0</v>
      </c>
      <c r="BJ167" s="839">
        <f t="shared" si="180"/>
        <v>-3160</v>
      </c>
      <c r="BK167" s="839">
        <f>SUM(BK161:BK166)</f>
        <v>-152234</v>
      </c>
      <c r="BL167" s="839">
        <f t="shared" si="180"/>
        <v>-12055</v>
      </c>
      <c r="BM167" s="839">
        <f t="shared" si="180"/>
        <v>0</v>
      </c>
      <c r="BN167" s="839"/>
      <c r="BO167" s="839">
        <f t="shared" si="180"/>
        <v>0</v>
      </c>
      <c r="BP167" s="839">
        <f>SUM(BP161:BP166)</f>
        <v>-10350</v>
      </c>
      <c r="BQ167" s="839"/>
      <c r="BR167" s="839"/>
      <c r="BS167" s="839"/>
      <c r="BT167" s="839">
        <f t="shared" si="180"/>
        <v>-10849</v>
      </c>
      <c r="BU167" s="839">
        <f t="shared" si="180"/>
        <v>-40644</v>
      </c>
      <c r="BV167" s="839">
        <f t="shared" si="180"/>
        <v>-38289</v>
      </c>
      <c r="BW167" s="839">
        <f t="shared" si="180"/>
        <v>-28919</v>
      </c>
      <c r="BX167" s="839">
        <f t="shared" si="180"/>
        <v>-4316</v>
      </c>
      <c r="BY167" s="839">
        <f t="shared" si="180"/>
        <v>-14</v>
      </c>
      <c r="BZ167" s="839">
        <f t="shared" si="180"/>
        <v>-1006456</v>
      </c>
      <c r="CA167" s="839">
        <f>SUM(CA161:CA166)</f>
        <v>0</v>
      </c>
      <c r="CB167" s="839">
        <f>SUM(CB161:CB166)</f>
        <v>0</v>
      </c>
      <c r="CC167" s="839">
        <f>SUM(CC161:CC166)</f>
        <v>0</v>
      </c>
      <c r="CD167" s="840"/>
      <c r="CE167" s="840"/>
      <c r="CF167" s="840"/>
      <c r="CG167" s="840"/>
      <c r="CH167" s="840"/>
      <c r="CI167" s="845"/>
    </row>
    <row r="168" spans="1:87" x14ac:dyDescent="0.2">
      <c r="A168" s="847"/>
      <c r="B168" s="840"/>
      <c r="C168" s="840"/>
      <c r="D168" s="840"/>
      <c r="E168" s="840"/>
      <c r="F168" s="840"/>
      <c r="G168" s="840"/>
      <c r="H168" s="840"/>
      <c r="I168" s="840"/>
      <c r="J168" s="840"/>
      <c r="K168" s="840"/>
      <c r="L168" s="840"/>
      <c r="M168" s="840"/>
      <c r="N168" s="840"/>
      <c r="O168" s="840"/>
      <c r="P168" s="840"/>
      <c r="Q168" s="840"/>
      <c r="R168" s="840"/>
      <c r="S168" s="840"/>
      <c r="T168" s="840"/>
      <c r="U168" s="840"/>
      <c r="V168" s="840"/>
      <c r="W168" s="840"/>
      <c r="X168" s="840"/>
      <c r="Y168" s="840"/>
      <c r="Z168" s="840"/>
      <c r="AA168" s="840"/>
      <c r="AB168" s="840"/>
      <c r="AC168" s="840"/>
      <c r="AD168" s="840"/>
      <c r="AE168" s="840"/>
      <c r="AF168" s="840"/>
      <c r="AG168" s="840"/>
      <c r="AH168" s="840"/>
      <c r="AI168" s="840"/>
      <c r="AJ168" s="840"/>
      <c r="AK168" s="840"/>
      <c r="AL168" s="840"/>
      <c r="AM168" s="840"/>
      <c r="AN168" s="840"/>
      <c r="AO168" s="840"/>
      <c r="AP168" s="840"/>
      <c r="AQ168" s="840"/>
      <c r="AR168" s="840"/>
      <c r="AS168" s="840"/>
      <c r="AT168" s="840"/>
      <c r="AU168" s="840"/>
      <c r="AV168" s="840"/>
      <c r="AW168" s="840"/>
      <c r="AX168" s="840"/>
      <c r="AY168" s="840"/>
      <c r="AZ168" s="840"/>
      <c r="BA168" s="840"/>
      <c r="BB168" s="840"/>
      <c r="BC168" s="840"/>
      <c r="BD168" s="840"/>
      <c r="BE168" s="840"/>
      <c r="BF168" s="840"/>
      <c r="BG168" s="840"/>
      <c r="BH168" s="840"/>
      <c r="BI168" s="840"/>
      <c r="BJ168" s="840"/>
      <c r="BK168" s="840"/>
      <c r="BL168" s="840"/>
      <c r="BM168" s="840"/>
      <c r="BN168" s="840"/>
      <c r="BO168" s="840"/>
      <c r="BP168" s="840"/>
      <c r="BQ168" s="840"/>
      <c r="BR168" s="840"/>
      <c r="BS168" s="840"/>
      <c r="BT168" s="840"/>
      <c r="BU168" s="840"/>
      <c r="BV168" s="840"/>
      <c r="BW168" s="840"/>
      <c r="BX168" s="840"/>
      <c r="BY168" s="840"/>
      <c r="BZ168" s="840"/>
      <c r="CA168" s="840"/>
      <c r="CB168" s="840"/>
      <c r="CC168" s="840"/>
      <c r="CD168" s="840"/>
      <c r="CE168" s="840"/>
      <c r="CF168" s="840"/>
      <c r="CG168" s="840"/>
      <c r="CH168" s="840"/>
      <c r="CI168" s="845"/>
    </row>
    <row r="169" spans="1:87" x14ac:dyDescent="0.2">
      <c r="A169" s="844" t="s">
        <v>189</v>
      </c>
      <c r="B169" s="840"/>
      <c r="C169" s="840"/>
      <c r="D169" s="840"/>
      <c r="E169" s="840"/>
      <c r="F169" s="840"/>
      <c r="G169" s="840"/>
      <c r="H169" s="840"/>
      <c r="I169" s="840"/>
      <c r="J169" s="840"/>
      <c r="K169" s="840"/>
      <c r="L169" s="840"/>
      <c r="M169" s="840"/>
      <c r="N169" s="840"/>
      <c r="O169" s="840"/>
      <c r="P169" s="840"/>
      <c r="Q169" s="840"/>
      <c r="R169" s="840"/>
      <c r="S169" s="840"/>
      <c r="T169" s="840"/>
      <c r="U169" s="840"/>
      <c r="V169" s="840"/>
      <c r="W169" s="840"/>
      <c r="X169" s="840"/>
      <c r="Y169" s="840"/>
      <c r="Z169" s="840"/>
      <c r="AA169" s="840"/>
      <c r="AB169" s="840"/>
      <c r="AC169" s="840"/>
      <c r="AD169" s="840"/>
      <c r="AE169" s="840"/>
      <c r="AF169" s="840"/>
      <c r="AG169" s="840"/>
      <c r="AH169" s="840"/>
      <c r="AI169" s="840"/>
      <c r="AJ169" s="840"/>
      <c r="AK169" s="840"/>
      <c r="AL169" s="840"/>
      <c r="AM169" s="840"/>
      <c r="AN169" s="840"/>
      <c r="AO169" s="840"/>
      <c r="AP169" s="840"/>
      <c r="AQ169" s="840"/>
      <c r="AR169" s="840"/>
      <c r="AS169" s="840"/>
      <c r="AT169" s="840"/>
      <c r="AU169" s="840"/>
      <c r="AV169" s="840"/>
      <c r="AW169" s="840"/>
      <c r="AX169" s="840"/>
      <c r="AY169" s="840"/>
      <c r="AZ169" s="840"/>
      <c r="BA169" s="840"/>
      <c r="BB169" s="840"/>
      <c r="BC169" s="840"/>
      <c r="BD169" s="840"/>
      <c r="BE169" s="840"/>
      <c r="BF169" s="840"/>
      <c r="BG169" s="840"/>
      <c r="BH169" s="840"/>
      <c r="BI169" s="840"/>
      <c r="BJ169" s="840"/>
      <c r="BK169" s="840"/>
      <c r="BL169" s="840"/>
      <c r="BM169" s="840"/>
      <c r="BN169" s="840"/>
      <c r="BO169" s="840"/>
      <c r="BP169" s="840"/>
      <c r="BQ169" s="840"/>
      <c r="BR169" s="840"/>
      <c r="BS169" s="840"/>
      <c r="BT169" s="840"/>
      <c r="BU169" s="840"/>
      <c r="BV169" s="840"/>
      <c r="BW169" s="840"/>
      <c r="BX169" s="840"/>
      <c r="BY169" s="840"/>
      <c r="BZ169" s="840"/>
      <c r="CA169" s="840"/>
      <c r="CB169" s="840"/>
      <c r="CC169" s="840"/>
      <c r="CD169" s="840"/>
      <c r="CE169" s="840"/>
      <c r="CF169" s="840"/>
      <c r="CG169" s="840"/>
      <c r="CH169" s="840"/>
      <c r="CI169" s="845"/>
    </row>
    <row r="170" spans="1:87" x14ac:dyDescent="0.2">
      <c r="A170" s="844" t="s">
        <v>190</v>
      </c>
      <c r="B170" s="840">
        <f>+B157+B167</f>
        <v>6355677</v>
      </c>
      <c r="C170" s="840">
        <f>+C157+C167</f>
        <v>23796</v>
      </c>
      <c r="D170" s="840">
        <f>+D157+D167</f>
        <v>3164812</v>
      </c>
      <c r="E170" s="840">
        <f>+E157+E167</f>
        <v>-5</v>
      </c>
      <c r="F170" s="840">
        <f>+F157+F167</f>
        <v>-14087</v>
      </c>
      <c r="G170" s="840">
        <f t="shared" ref="G170:BZ170" si="181">+G157+G167</f>
        <v>0</v>
      </c>
      <c r="H170" s="840">
        <f t="shared" si="181"/>
        <v>0</v>
      </c>
      <c r="I170" s="840">
        <f t="shared" si="181"/>
        <v>0</v>
      </c>
      <c r="J170" s="840">
        <f t="shared" si="181"/>
        <v>-25692</v>
      </c>
      <c r="K170" s="840">
        <f t="shared" si="181"/>
        <v>0</v>
      </c>
      <c r="L170" s="840">
        <f t="shared" si="181"/>
        <v>0</v>
      </c>
      <c r="M170" s="840">
        <f t="shared" si="181"/>
        <v>0</v>
      </c>
      <c r="N170" s="840">
        <f t="shared" si="181"/>
        <v>-43</v>
      </c>
      <c r="O170" s="840">
        <f t="shared" si="181"/>
        <v>-15960</v>
      </c>
      <c r="P170" s="840">
        <f t="shared" si="181"/>
        <v>0</v>
      </c>
      <c r="Q170" s="840">
        <f>+Q157+Q167</f>
        <v>0</v>
      </c>
      <c r="R170" s="840">
        <f>+R157+R167</f>
        <v>0</v>
      </c>
      <c r="S170" s="840">
        <f>+S157+S167</f>
        <v>0</v>
      </c>
      <c r="T170" s="840">
        <f t="shared" si="181"/>
        <v>0</v>
      </c>
      <c r="U170" s="840">
        <f>+U157+U167</f>
        <v>-4</v>
      </c>
      <c r="V170" s="840">
        <f>+V157+V167</f>
        <v>0</v>
      </c>
      <c r="W170" s="840">
        <f t="shared" si="181"/>
        <v>-13</v>
      </c>
      <c r="X170" s="840">
        <f>+X157+X167</f>
        <v>0</v>
      </c>
      <c r="Y170" s="840">
        <f t="shared" si="181"/>
        <v>0</v>
      </c>
      <c r="Z170" s="840">
        <f t="shared" si="181"/>
        <v>0</v>
      </c>
      <c r="AA170" s="840">
        <f t="shared" si="181"/>
        <v>0</v>
      </c>
      <c r="AB170" s="840">
        <f>+AB157+AB167</f>
        <v>-674227</v>
      </c>
      <c r="AC170" s="840"/>
      <c r="AD170" s="840"/>
      <c r="AE170" s="840"/>
      <c r="AF170" s="840">
        <f>+AF157+AF167</f>
        <v>28124</v>
      </c>
      <c r="AG170" s="840"/>
      <c r="AH170" s="840"/>
      <c r="AI170" s="840"/>
      <c r="AJ170" s="840"/>
      <c r="AK170" s="840"/>
      <c r="AL170" s="840"/>
      <c r="AM170" s="840"/>
      <c r="AN170" s="840"/>
      <c r="AO170" s="840"/>
      <c r="AP170" s="840"/>
      <c r="AQ170" s="840"/>
      <c r="AR170" s="840">
        <f t="shared" si="181"/>
        <v>0</v>
      </c>
      <c r="AS170" s="840">
        <f t="shared" si="181"/>
        <v>-25805</v>
      </c>
      <c r="AT170" s="840">
        <f t="shared" si="181"/>
        <v>-58105</v>
      </c>
      <c r="AU170" s="840">
        <f t="shared" si="181"/>
        <v>-105101</v>
      </c>
      <c r="AV170" s="840">
        <f t="shared" si="181"/>
        <v>0</v>
      </c>
      <c r="AW170" s="840">
        <f>+AW157+AW167</f>
        <v>-536060</v>
      </c>
      <c r="AX170" s="840">
        <f t="shared" si="181"/>
        <v>-28800</v>
      </c>
      <c r="AY170" s="840">
        <f t="shared" si="181"/>
        <v>0</v>
      </c>
      <c r="AZ170" s="840">
        <f t="shared" si="181"/>
        <v>0</v>
      </c>
      <c r="BA170" s="840">
        <f t="shared" si="181"/>
        <v>0</v>
      </c>
      <c r="BB170" s="840">
        <f t="shared" si="181"/>
        <v>0</v>
      </c>
      <c r="BC170" s="840"/>
      <c r="BD170" s="840">
        <f t="shared" si="181"/>
        <v>0</v>
      </c>
      <c r="BE170" s="840">
        <f>+BE157+BE167</f>
        <v>0</v>
      </c>
      <c r="BF170" s="840">
        <f>+BF157+BF167</f>
        <v>0</v>
      </c>
      <c r="BG170" s="840">
        <f>+BG157+BG167</f>
        <v>0</v>
      </c>
      <c r="BH170" s="840">
        <f t="shared" si="181"/>
        <v>130</v>
      </c>
      <c r="BI170" s="840">
        <f>+BI157+BI167</f>
        <v>0</v>
      </c>
      <c r="BJ170" s="840">
        <f t="shared" si="181"/>
        <v>26481</v>
      </c>
      <c r="BK170" s="840">
        <f>+BK157+BK167</f>
        <v>-88839</v>
      </c>
      <c r="BL170" s="840">
        <f t="shared" si="181"/>
        <v>-12055</v>
      </c>
      <c r="BM170" s="840">
        <f t="shared" si="181"/>
        <v>0</v>
      </c>
      <c r="BN170" s="840"/>
      <c r="BO170" s="840">
        <f t="shared" si="181"/>
        <v>0</v>
      </c>
      <c r="BP170" s="840">
        <f>+BP157+BP167</f>
        <v>-7993</v>
      </c>
      <c r="BQ170" s="840"/>
      <c r="BR170" s="840"/>
      <c r="BS170" s="840"/>
      <c r="BT170" s="840">
        <f t="shared" si="181"/>
        <v>-10849</v>
      </c>
      <c r="BU170" s="840">
        <f t="shared" si="181"/>
        <v>-40644</v>
      </c>
      <c r="BV170" s="840">
        <f t="shared" si="181"/>
        <v>-38288</v>
      </c>
      <c r="BW170" s="840">
        <f t="shared" si="181"/>
        <v>-28853</v>
      </c>
      <c r="BX170" s="840">
        <f t="shared" si="181"/>
        <v>139043</v>
      </c>
      <c r="BY170" s="840">
        <f t="shared" si="181"/>
        <v>117</v>
      </c>
      <c r="BZ170" s="840">
        <f t="shared" si="181"/>
        <v>-1006456</v>
      </c>
      <c r="CA170" s="840">
        <f>+CA157+CA167</f>
        <v>5667814</v>
      </c>
      <c r="CB170" s="840">
        <f>+CB157+CB167</f>
        <v>0</v>
      </c>
      <c r="CC170" s="840">
        <f>+CC157+CC167</f>
        <v>0</v>
      </c>
      <c r="CD170" s="840"/>
      <c r="CE170" s="840"/>
      <c r="CF170" s="840"/>
      <c r="CG170" s="840"/>
      <c r="CH170" s="840"/>
      <c r="CI170" s="845"/>
    </row>
    <row r="171" spans="1:87" x14ac:dyDescent="0.2">
      <c r="A171" s="844"/>
      <c r="B171" s="840"/>
      <c r="C171" s="840"/>
      <c r="D171" s="840"/>
      <c r="E171" s="840"/>
      <c r="F171" s="840"/>
      <c r="G171" s="840"/>
      <c r="H171" s="840"/>
      <c r="I171" s="840"/>
      <c r="J171" s="840"/>
      <c r="K171" s="840"/>
      <c r="L171" s="840"/>
      <c r="M171" s="840"/>
      <c r="N171" s="840"/>
      <c r="O171" s="840"/>
      <c r="P171" s="840"/>
      <c r="Q171" s="840"/>
      <c r="R171" s="840"/>
      <c r="S171" s="840"/>
      <c r="T171" s="840"/>
      <c r="U171" s="840"/>
      <c r="V171" s="840"/>
      <c r="W171" s="840"/>
      <c r="X171" s="840"/>
      <c r="Y171" s="840"/>
      <c r="Z171" s="840"/>
      <c r="AA171" s="840"/>
      <c r="AB171" s="840"/>
      <c r="AC171" s="840"/>
      <c r="AD171" s="840"/>
      <c r="AE171" s="840"/>
      <c r="AF171" s="840"/>
      <c r="AG171" s="840"/>
      <c r="AH171" s="840"/>
      <c r="AI171" s="840"/>
      <c r="AJ171" s="840"/>
      <c r="AK171" s="840"/>
      <c r="AL171" s="840"/>
      <c r="AM171" s="840"/>
      <c r="AN171" s="840"/>
      <c r="AO171" s="840"/>
      <c r="AP171" s="840"/>
      <c r="AQ171" s="840"/>
      <c r="AR171" s="840"/>
      <c r="AS171" s="840"/>
      <c r="AT171" s="840"/>
      <c r="AU171" s="840"/>
      <c r="AV171" s="840"/>
      <c r="AW171" s="840"/>
      <c r="AX171" s="840"/>
      <c r="AY171" s="840"/>
      <c r="AZ171" s="840"/>
      <c r="BA171" s="840"/>
      <c r="BB171" s="840"/>
      <c r="BC171" s="840"/>
      <c r="BD171" s="840"/>
      <c r="BE171" s="840"/>
      <c r="BF171" s="840"/>
      <c r="BG171" s="840"/>
      <c r="BH171" s="840"/>
      <c r="BI171" s="840"/>
      <c r="BJ171" s="840"/>
      <c r="BK171" s="840"/>
      <c r="BL171" s="840"/>
      <c r="BM171" s="840"/>
      <c r="BN171" s="840"/>
      <c r="BO171" s="840"/>
      <c r="BP171" s="840"/>
      <c r="BQ171" s="840"/>
      <c r="BR171" s="840"/>
      <c r="BS171" s="840"/>
      <c r="BT171" s="840"/>
      <c r="BU171" s="840"/>
      <c r="BV171" s="840"/>
      <c r="BW171" s="840"/>
      <c r="BX171" s="840"/>
      <c r="BY171" s="840"/>
      <c r="BZ171" s="840"/>
      <c r="CA171" s="840"/>
      <c r="CB171" s="840"/>
      <c r="CC171" s="840"/>
      <c r="CD171" s="840"/>
      <c r="CE171" s="840"/>
      <c r="CF171" s="840"/>
      <c r="CG171" s="840"/>
      <c r="CH171" s="840"/>
      <c r="CI171" s="845"/>
    </row>
    <row r="172" spans="1:87" x14ac:dyDescent="0.2">
      <c r="A172" s="844" t="s">
        <v>789</v>
      </c>
      <c r="B172" s="840"/>
      <c r="C172" s="840"/>
      <c r="D172" s="840"/>
      <c r="E172" s="840"/>
      <c r="F172" s="840"/>
      <c r="G172" s="840"/>
      <c r="H172" s="840"/>
      <c r="I172" s="840"/>
      <c r="J172" s="840"/>
      <c r="K172" s="840"/>
      <c r="L172" s="840"/>
      <c r="M172" s="840"/>
      <c r="N172" s="840"/>
      <c r="O172" s="840"/>
      <c r="P172" s="840"/>
      <c r="Q172" s="840"/>
      <c r="R172" s="840"/>
      <c r="S172" s="840"/>
      <c r="T172" s="840"/>
      <c r="U172" s="840"/>
      <c r="V172" s="840"/>
      <c r="W172" s="840"/>
      <c r="X172" s="840"/>
      <c r="Y172" s="840"/>
      <c r="Z172" s="840"/>
      <c r="AA172" s="840"/>
      <c r="AB172" s="840"/>
      <c r="AC172" s="840"/>
      <c r="AD172" s="840"/>
      <c r="AE172" s="840"/>
      <c r="AF172" s="840"/>
      <c r="AG172" s="840"/>
      <c r="AH172" s="840"/>
      <c r="AI172" s="840"/>
      <c r="AJ172" s="840"/>
      <c r="AK172" s="840"/>
      <c r="AL172" s="840"/>
      <c r="AM172" s="840"/>
      <c r="AN172" s="840"/>
      <c r="AO172" s="840"/>
      <c r="AP172" s="840"/>
      <c r="AQ172" s="840"/>
      <c r="AR172" s="840"/>
      <c r="AS172" s="840"/>
      <c r="AT172" s="840"/>
      <c r="AU172" s="840"/>
      <c r="AV172" s="840"/>
      <c r="AW172" s="840"/>
      <c r="AX172" s="840"/>
      <c r="AY172" s="840"/>
      <c r="AZ172" s="840"/>
      <c r="BA172" s="840"/>
      <c r="BB172" s="840"/>
      <c r="BC172" s="840"/>
      <c r="BD172" s="840"/>
      <c r="BE172" s="840"/>
      <c r="BF172" s="840"/>
      <c r="BG172" s="840"/>
      <c r="BH172" s="840"/>
      <c r="BI172" s="840"/>
      <c r="BJ172" s="840"/>
      <c r="BK172" s="840"/>
      <c r="BL172" s="840"/>
      <c r="BM172" s="840"/>
      <c r="BN172" s="840"/>
      <c r="BO172" s="840"/>
      <c r="BP172" s="840"/>
      <c r="BQ172" s="840"/>
      <c r="BR172" s="840"/>
      <c r="BS172" s="840"/>
      <c r="BT172" s="840"/>
      <c r="BU172" s="840"/>
      <c r="BV172" s="840"/>
      <c r="BW172" s="840"/>
      <c r="BX172" s="840"/>
      <c r="BY172" s="840"/>
      <c r="BZ172" s="840"/>
      <c r="CA172" s="840"/>
      <c r="CB172" s="840"/>
      <c r="CC172" s="840"/>
      <c r="CD172" s="840"/>
      <c r="CE172" s="840"/>
      <c r="CF172" s="840"/>
      <c r="CG172" s="840"/>
      <c r="CH172" s="840"/>
      <c r="CI172" s="845"/>
    </row>
    <row r="173" spans="1:87" x14ac:dyDescent="0.2">
      <c r="A173" s="849" t="s">
        <v>756</v>
      </c>
      <c r="B173" s="840">
        <f>SUM(C173:CB173)</f>
        <v>43302</v>
      </c>
      <c r="C173" s="840">
        <f t="shared" ref="C173:AB173" si="182">+C107</f>
        <v>0</v>
      </c>
      <c r="D173" s="840">
        <f t="shared" si="182"/>
        <v>43258</v>
      </c>
      <c r="E173" s="840">
        <f t="shared" si="182"/>
        <v>0</v>
      </c>
      <c r="F173" s="840">
        <f t="shared" si="182"/>
        <v>0</v>
      </c>
      <c r="G173" s="840">
        <f t="shared" si="182"/>
        <v>0</v>
      </c>
      <c r="H173" s="840">
        <f t="shared" si="182"/>
        <v>0</v>
      </c>
      <c r="I173" s="840">
        <f t="shared" si="182"/>
        <v>0</v>
      </c>
      <c r="J173" s="840">
        <f t="shared" si="182"/>
        <v>0</v>
      </c>
      <c r="K173" s="840">
        <f t="shared" si="182"/>
        <v>0</v>
      </c>
      <c r="L173" s="840">
        <f t="shared" si="182"/>
        <v>0</v>
      </c>
      <c r="M173" s="840">
        <f t="shared" si="182"/>
        <v>0</v>
      </c>
      <c r="N173" s="840">
        <f t="shared" si="182"/>
        <v>0</v>
      </c>
      <c r="O173" s="840">
        <f t="shared" si="182"/>
        <v>0</v>
      </c>
      <c r="P173" s="840">
        <f t="shared" si="182"/>
        <v>0</v>
      </c>
      <c r="Q173" s="840">
        <f t="shared" si="182"/>
        <v>0</v>
      </c>
      <c r="R173" s="840">
        <f t="shared" si="182"/>
        <v>0</v>
      </c>
      <c r="S173" s="840">
        <f t="shared" si="182"/>
        <v>0</v>
      </c>
      <c r="T173" s="840">
        <f t="shared" si="182"/>
        <v>0</v>
      </c>
      <c r="U173" s="840">
        <f t="shared" si="182"/>
        <v>0</v>
      </c>
      <c r="V173" s="840">
        <f t="shared" si="182"/>
        <v>0</v>
      </c>
      <c r="W173" s="840">
        <f t="shared" si="182"/>
        <v>0</v>
      </c>
      <c r="X173" s="840">
        <f t="shared" si="182"/>
        <v>0</v>
      </c>
      <c r="Y173" s="840">
        <f t="shared" si="182"/>
        <v>0</v>
      </c>
      <c r="Z173" s="840">
        <f t="shared" si="182"/>
        <v>0</v>
      </c>
      <c r="AA173" s="840">
        <f t="shared" si="182"/>
        <v>0</v>
      </c>
      <c r="AB173" s="840">
        <f t="shared" si="182"/>
        <v>0</v>
      </c>
      <c r="AC173" s="840"/>
      <c r="AD173" s="840"/>
      <c r="AE173" s="840"/>
      <c r="AF173" s="840">
        <f>+AF107</f>
        <v>0</v>
      </c>
      <c r="AG173" s="840"/>
      <c r="AH173" s="840"/>
      <c r="AI173" s="840"/>
      <c r="AJ173" s="840"/>
      <c r="AK173" s="840"/>
      <c r="AL173" s="840"/>
      <c r="AM173" s="840"/>
      <c r="AN173" s="840"/>
      <c r="AO173" s="840"/>
      <c r="AP173" s="840"/>
      <c r="AQ173" s="840"/>
      <c r="AR173" s="840">
        <f t="shared" ref="AR173:BB173" si="183">+AR107</f>
        <v>0</v>
      </c>
      <c r="AS173" s="840">
        <f t="shared" si="183"/>
        <v>0</v>
      </c>
      <c r="AT173" s="840">
        <f t="shared" si="183"/>
        <v>0</v>
      </c>
      <c r="AU173" s="840">
        <f t="shared" si="183"/>
        <v>0</v>
      </c>
      <c r="AV173" s="840">
        <f t="shared" si="183"/>
        <v>0</v>
      </c>
      <c r="AW173" s="840">
        <f t="shared" si="183"/>
        <v>0</v>
      </c>
      <c r="AX173" s="840">
        <f t="shared" si="183"/>
        <v>0</v>
      </c>
      <c r="AY173" s="840">
        <f t="shared" si="183"/>
        <v>0</v>
      </c>
      <c r="AZ173" s="840">
        <f t="shared" si="183"/>
        <v>0</v>
      </c>
      <c r="BA173" s="840">
        <f t="shared" si="183"/>
        <v>0</v>
      </c>
      <c r="BB173" s="840">
        <f t="shared" si="183"/>
        <v>0</v>
      </c>
      <c r="BC173" s="840"/>
      <c r="BD173" s="840">
        <f t="shared" ref="BD173:BM173" si="184">+BD107</f>
        <v>0</v>
      </c>
      <c r="BE173" s="840">
        <f t="shared" si="184"/>
        <v>0</v>
      </c>
      <c r="BF173" s="840">
        <f t="shared" si="184"/>
        <v>0</v>
      </c>
      <c r="BG173" s="840">
        <f t="shared" si="184"/>
        <v>0</v>
      </c>
      <c r="BH173" s="840">
        <f t="shared" si="184"/>
        <v>0</v>
      </c>
      <c r="BI173" s="840">
        <f t="shared" si="184"/>
        <v>0</v>
      </c>
      <c r="BJ173" s="840">
        <f t="shared" si="184"/>
        <v>0</v>
      </c>
      <c r="BK173" s="840">
        <f t="shared" si="184"/>
        <v>0</v>
      </c>
      <c r="BL173" s="840">
        <f t="shared" si="184"/>
        <v>0</v>
      </c>
      <c r="BM173" s="840">
        <f t="shared" si="184"/>
        <v>0</v>
      </c>
      <c r="BN173" s="840"/>
      <c r="BO173" s="840">
        <f>+BO107</f>
        <v>0</v>
      </c>
      <c r="BP173" s="840">
        <f>+BP107</f>
        <v>0</v>
      </c>
      <c r="BQ173" s="840"/>
      <c r="BR173" s="840"/>
      <c r="BS173" s="840"/>
      <c r="BT173" s="840">
        <f t="shared" ref="BT173:CC173" si="185">+BT107</f>
        <v>0</v>
      </c>
      <c r="BU173" s="840">
        <f t="shared" si="185"/>
        <v>0</v>
      </c>
      <c r="BV173" s="840">
        <f t="shared" si="185"/>
        <v>0</v>
      </c>
      <c r="BW173" s="840">
        <f t="shared" si="185"/>
        <v>0</v>
      </c>
      <c r="BX173" s="840">
        <f t="shared" si="185"/>
        <v>44</v>
      </c>
      <c r="BY173" s="840">
        <f t="shared" si="185"/>
        <v>0</v>
      </c>
      <c r="BZ173" s="840" t="str">
        <f t="shared" si="185"/>
        <v xml:space="preserve"> </v>
      </c>
      <c r="CA173" s="840">
        <f t="shared" si="185"/>
        <v>0</v>
      </c>
      <c r="CB173" s="840">
        <f t="shared" si="185"/>
        <v>0</v>
      </c>
      <c r="CC173" s="840">
        <f t="shared" si="185"/>
        <v>0</v>
      </c>
      <c r="CD173" s="840"/>
      <c r="CE173" s="840"/>
      <c r="CF173" s="840"/>
      <c r="CG173" s="840"/>
      <c r="CH173" s="840"/>
      <c r="CI173" s="845"/>
    </row>
    <row r="174" spans="1:87" x14ac:dyDescent="0.2">
      <c r="A174" s="849" t="s">
        <v>706</v>
      </c>
      <c r="B174" s="840">
        <f>SUM(C174:CB174)</f>
        <v>2170</v>
      </c>
      <c r="C174" s="840">
        <f t="shared" ref="C174:AB174" si="186">+C108</f>
        <v>0</v>
      </c>
      <c r="D174" s="840">
        <f t="shared" si="186"/>
        <v>0</v>
      </c>
      <c r="E174" s="840">
        <f t="shared" si="186"/>
        <v>0</v>
      </c>
      <c r="F174" s="840">
        <f t="shared" si="186"/>
        <v>0</v>
      </c>
      <c r="G174" s="840">
        <f t="shared" si="186"/>
        <v>0</v>
      </c>
      <c r="H174" s="840">
        <f t="shared" si="186"/>
        <v>0</v>
      </c>
      <c r="I174" s="840">
        <f t="shared" si="186"/>
        <v>0</v>
      </c>
      <c r="J174" s="840">
        <f t="shared" si="186"/>
        <v>0</v>
      </c>
      <c r="K174" s="840">
        <f t="shared" si="186"/>
        <v>0</v>
      </c>
      <c r="L174" s="840">
        <f t="shared" si="186"/>
        <v>0</v>
      </c>
      <c r="M174" s="840">
        <f t="shared" si="186"/>
        <v>0</v>
      </c>
      <c r="N174" s="840">
        <f t="shared" si="186"/>
        <v>0</v>
      </c>
      <c r="O174" s="840">
        <f t="shared" si="186"/>
        <v>0</v>
      </c>
      <c r="P174" s="840">
        <f t="shared" si="186"/>
        <v>0</v>
      </c>
      <c r="Q174" s="840">
        <f t="shared" si="186"/>
        <v>0</v>
      </c>
      <c r="R174" s="840">
        <f t="shared" si="186"/>
        <v>0</v>
      </c>
      <c r="S174" s="840">
        <f t="shared" si="186"/>
        <v>0</v>
      </c>
      <c r="T174" s="840">
        <f t="shared" si="186"/>
        <v>0</v>
      </c>
      <c r="U174" s="840">
        <f t="shared" si="186"/>
        <v>0</v>
      </c>
      <c r="V174" s="840">
        <f t="shared" si="186"/>
        <v>0</v>
      </c>
      <c r="W174" s="840">
        <f t="shared" si="186"/>
        <v>0</v>
      </c>
      <c r="X174" s="840">
        <f t="shared" si="186"/>
        <v>0</v>
      </c>
      <c r="Y174" s="840">
        <f t="shared" si="186"/>
        <v>0</v>
      </c>
      <c r="Z174" s="840">
        <f t="shared" si="186"/>
        <v>0</v>
      </c>
      <c r="AA174" s="840">
        <f t="shared" si="186"/>
        <v>0</v>
      </c>
      <c r="AB174" s="840">
        <f t="shared" si="186"/>
        <v>25</v>
      </c>
      <c r="AC174" s="840"/>
      <c r="AD174" s="840"/>
      <c r="AE174" s="840"/>
      <c r="AF174" s="840">
        <f>+AF108</f>
        <v>0</v>
      </c>
      <c r="AG174" s="840"/>
      <c r="AH174" s="840"/>
      <c r="AI174" s="840"/>
      <c r="AJ174" s="840"/>
      <c r="AK174" s="840"/>
      <c r="AL174" s="840"/>
      <c r="AM174" s="840"/>
      <c r="AN174" s="840"/>
      <c r="AO174" s="840"/>
      <c r="AP174" s="840"/>
      <c r="AQ174" s="840"/>
      <c r="AR174" s="840">
        <f t="shared" ref="AR174:BB174" si="187">+AR108</f>
        <v>2610</v>
      </c>
      <c r="AS174" s="840">
        <f t="shared" si="187"/>
        <v>0</v>
      </c>
      <c r="AT174" s="840">
        <f t="shared" si="187"/>
        <v>0</v>
      </c>
      <c r="AU174" s="840">
        <f t="shared" si="187"/>
        <v>0</v>
      </c>
      <c r="AV174" s="840">
        <f t="shared" si="187"/>
        <v>0</v>
      </c>
      <c r="AW174" s="840">
        <f t="shared" si="187"/>
        <v>-615</v>
      </c>
      <c r="AX174" s="840">
        <f t="shared" si="187"/>
        <v>0</v>
      </c>
      <c r="AY174" s="840">
        <f t="shared" si="187"/>
        <v>0</v>
      </c>
      <c r="AZ174" s="840">
        <f t="shared" si="187"/>
        <v>0</v>
      </c>
      <c r="BA174" s="840">
        <f t="shared" si="187"/>
        <v>0</v>
      </c>
      <c r="BB174" s="840">
        <f t="shared" si="187"/>
        <v>0</v>
      </c>
      <c r="BC174" s="840"/>
      <c r="BD174" s="840">
        <f t="shared" ref="BD174:BM174" si="188">+BD108</f>
        <v>0</v>
      </c>
      <c r="BE174" s="840">
        <f t="shared" si="188"/>
        <v>0</v>
      </c>
      <c r="BF174" s="840">
        <f t="shared" si="188"/>
        <v>0</v>
      </c>
      <c r="BG174" s="840">
        <f t="shared" si="188"/>
        <v>0</v>
      </c>
      <c r="BH174" s="840">
        <f t="shared" si="188"/>
        <v>0</v>
      </c>
      <c r="BI174" s="840">
        <f t="shared" si="188"/>
        <v>0</v>
      </c>
      <c r="BJ174" s="840">
        <f t="shared" si="188"/>
        <v>0</v>
      </c>
      <c r="BK174" s="840">
        <f t="shared" si="188"/>
        <v>0</v>
      </c>
      <c r="BL174" s="840">
        <f t="shared" si="188"/>
        <v>0</v>
      </c>
      <c r="BM174" s="840">
        <f t="shared" si="188"/>
        <v>0</v>
      </c>
      <c r="BN174" s="840"/>
      <c r="BO174" s="840">
        <f>+BO108</f>
        <v>0</v>
      </c>
      <c r="BP174" s="840">
        <f>+BP108</f>
        <v>0</v>
      </c>
      <c r="BQ174" s="840"/>
      <c r="BR174" s="840"/>
      <c r="BS174" s="840"/>
      <c r="BT174" s="840">
        <f t="shared" ref="BT174:CC174" si="189">+BT108</f>
        <v>0</v>
      </c>
      <c r="BU174" s="840">
        <f t="shared" si="189"/>
        <v>0</v>
      </c>
      <c r="BV174" s="840">
        <f t="shared" si="189"/>
        <v>0</v>
      </c>
      <c r="BW174" s="840">
        <f t="shared" si="189"/>
        <v>0</v>
      </c>
      <c r="BX174" s="840">
        <f t="shared" si="189"/>
        <v>150</v>
      </c>
      <c r="BY174" s="840">
        <f t="shared" si="189"/>
        <v>0</v>
      </c>
      <c r="BZ174" s="840">
        <f t="shared" si="189"/>
        <v>0</v>
      </c>
      <c r="CA174" s="840">
        <f t="shared" si="189"/>
        <v>0</v>
      </c>
      <c r="CB174" s="840">
        <f t="shared" si="189"/>
        <v>0</v>
      </c>
      <c r="CC174" s="840">
        <f t="shared" si="189"/>
        <v>0</v>
      </c>
      <c r="CD174" s="840"/>
      <c r="CE174" s="840"/>
      <c r="CF174" s="840"/>
      <c r="CG174" s="840"/>
      <c r="CH174" s="840"/>
      <c r="CI174" s="845"/>
    </row>
    <row r="175" spans="1:87" x14ac:dyDescent="0.2">
      <c r="A175" s="849" t="s">
        <v>708</v>
      </c>
      <c r="B175" s="840">
        <f>SUM(C175:CB175)</f>
        <v>13124</v>
      </c>
      <c r="C175" s="840">
        <f t="shared" ref="C175:AB175" si="190">+C111</f>
        <v>0</v>
      </c>
      <c r="D175" s="840">
        <f t="shared" si="190"/>
        <v>0</v>
      </c>
      <c r="E175" s="840">
        <f t="shared" si="190"/>
        <v>0</v>
      </c>
      <c r="F175" s="840">
        <f t="shared" si="190"/>
        <v>0</v>
      </c>
      <c r="G175" s="840">
        <f t="shared" si="190"/>
        <v>0</v>
      </c>
      <c r="H175" s="840">
        <f t="shared" si="190"/>
        <v>0</v>
      </c>
      <c r="I175" s="840">
        <f t="shared" si="190"/>
        <v>0</v>
      </c>
      <c r="J175" s="840">
        <f t="shared" si="190"/>
        <v>0</v>
      </c>
      <c r="K175" s="840">
        <f t="shared" si="190"/>
        <v>0</v>
      </c>
      <c r="L175" s="840">
        <f t="shared" si="190"/>
        <v>0</v>
      </c>
      <c r="M175" s="840">
        <f t="shared" si="190"/>
        <v>0</v>
      </c>
      <c r="N175" s="840">
        <f t="shared" si="190"/>
        <v>0</v>
      </c>
      <c r="O175" s="840">
        <f t="shared" si="190"/>
        <v>0</v>
      </c>
      <c r="P175" s="840">
        <f t="shared" si="190"/>
        <v>0</v>
      </c>
      <c r="Q175" s="840">
        <f t="shared" si="190"/>
        <v>0</v>
      </c>
      <c r="R175" s="840">
        <f t="shared" si="190"/>
        <v>0</v>
      </c>
      <c r="S175" s="840">
        <f t="shared" si="190"/>
        <v>0</v>
      </c>
      <c r="T175" s="840">
        <f t="shared" si="190"/>
        <v>0</v>
      </c>
      <c r="U175" s="840">
        <f t="shared" si="190"/>
        <v>0</v>
      </c>
      <c r="V175" s="840">
        <f t="shared" si="190"/>
        <v>12276</v>
      </c>
      <c r="W175" s="840">
        <f t="shared" si="190"/>
        <v>0</v>
      </c>
      <c r="X175" s="840">
        <f t="shared" si="190"/>
        <v>0</v>
      </c>
      <c r="Y175" s="840">
        <f t="shared" si="190"/>
        <v>0</v>
      </c>
      <c r="Z175" s="840">
        <f t="shared" si="190"/>
        <v>0</v>
      </c>
      <c r="AA175" s="840">
        <f t="shared" si="190"/>
        <v>0</v>
      </c>
      <c r="AB175" s="840">
        <f t="shared" si="190"/>
        <v>0</v>
      </c>
      <c r="AC175" s="840"/>
      <c r="AD175" s="840"/>
      <c r="AE175" s="840"/>
      <c r="AF175" s="840">
        <f>+AF111</f>
        <v>0</v>
      </c>
      <c r="AG175" s="840"/>
      <c r="AH175" s="840"/>
      <c r="AI175" s="840"/>
      <c r="AJ175" s="840"/>
      <c r="AK175" s="840"/>
      <c r="AL175" s="840"/>
      <c r="AM175" s="840"/>
      <c r="AN175" s="840"/>
      <c r="AO175" s="840"/>
      <c r="AP175" s="840"/>
      <c r="AQ175" s="840"/>
      <c r="AR175" s="840">
        <f t="shared" ref="AR175:BB175" si="191">+AR111</f>
        <v>0</v>
      </c>
      <c r="AS175" s="840">
        <f t="shared" si="191"/>
        <v>0</v>
      </c>
      <c r="AT175" s="840">
        <f t="shared" si="191"/>
        <v>0</v>
      </c>
      <c r="AU175" s="840">
        <f t="shared" si="191"/>
        <v>0</v>
      </c>
      <c r="AV175" s="840">
        <f t="shared" si="191"/>
        <v>0</v>
      </c>
      <c r="AW175" s="840">
        <f t="shared" si="191"/>
        <v>0</v>
      </c>
      <c r="AX175" s="840">
        <f t="shared" si="191"/>
        <v>0</v>
      </c>
      <c r="AY175" s="840">
        <f t="shared" si="191"/>
        <v>36</v>
      </c>
      <c r="AZ175" s="840">
        <f t="shared" si="191"/>
        <v>767</v>
      </c>
      <c r="BA175" s="840">
        <f t="shared" si="191"/>
        <v>16</v>
      </c>
      <c r="BB175" s="840">
        <f t="shared" si="191"/>
        <v>29</v>
      </c>
      <c r="BC175" s="840"/>
      <c r="BD175" s="840">
        <f t="shared" ref="BD175:BM175" si="192">+BD111</f>
        <v>0</v>
      </c>
      <c r="BE175" s="840">
        <f t="shared" si="192"/>
        <v>0</v>
      </c>
      <c r="BF175" s="840">
        <f t="shared" si="192"/>
        <v>0</v>
      </c>
      <c r="BG175" s="840">
        <f t="shared" si="192"/>
        <v>0</v>
      </c>
      <c r="BH175" s="840">
        <f t="shared" si="192"/>
        <v>0</v>
      </c>
      <c r="BI175" s="840">
        <f t="shared" si="192"/>
        <v>0</v>
      </c>
      <c r="BJ175" s="840">
        <f t="shared" si="192"/>
        <v>0</v>
      </c>
      <c r="BK175" s="840">
        <f t="shared" si="192"/>
        <v>0</v>
      </c>
      <c r="BL175" s="840">
        <f t="shared" si="192"/>
        <v>0</v>
      </c>
      <c r="BM175" s="840">
        <f t="shared" si="192"/>
        <v>0</v>
      </c>
      <c r="BN175" s="840"/>
      <c r="BO175" s="840">
        <f t="shared" ref="BO175:BP177" si="193">+BO111</f>
        <v>0</v>
      </c>
      <c r="BP175" s="840">
        <f t="shared" si="193"/>
        <v>0</v>
      </c>
      <c r="BQ175" s="840"/>
      <c r="BR175" s="840"/>
      <c r="BS175" s="840"/>
      <c r="BT175" s="840">
        <f t="shared" ref="BT175:CC175" si="194">+BT111</f>
        <v>0</v>
      </c>
      <c r="BU175" s="840">
        <f t="shared" si="194"/>
        <v>0</v>
      </c>
      <c r="BV175" s="840">
        <f t="shared" si="194"/>
        <v>0</v>
      </c>
      <c r="BW175" s="840">
        <f t="shared" si="194"/>
        <v>0</v>
      </c>
      <c r="BX175" s="840">
        <f t="shared" si="194"/>
        <v>0</v>
      </c>
      <c r="BY175" s="840">
        <f t="shared" si="194"/>
        <v>0</v>
      </c>
      <c r="BZ175" s="840">
        <f t="shared" si="194"/>
        <v>0</v>
      </c>
      <c r="CA175" s="840">
        <f t="shared" si="194"/>
        <v>0</v>
      </c>
      <c r="CB175" s="840">
        <f t="shared" si="194"/>
        <v>0</v>
      </c>
      <c r="CC175" s="840">
        <f t="shared" si="194"/>
        <v>0</v>
      </c>
      <c r="CD175" s="840"/>
      <c r="CE175" s="840"/>
      <c r="CF175" s="840"/>
      <c r="CG175" s="840"/>
      <c r="CH175" s="840"/>
      <c r="CI175" s="845"/>
    </row>
    <row r="176" spans="1:87" x14ac:dyDescent="0.2">
      <c r="A176" s="849" t="s">
        <v>709</v>
      </c>
      <c r="B176" s="840">
        <f>SUM(C176:CB176)</f>
        <v>5848</v>
      </c>
      <c r="C176" s="840">
        <f t="shared" ref="C176:AB176" si="195">+C112</f>
        <v>0</v>
      </c>
      <c r="D176" s="840">
        <f t="shared" si="195"/>
        <v>0</v>
      </c>
      <c r="E176" s="840">
        <f t="shared" si="195"/>
        <v>0</v>
      </c>
      <c r="F176" s="840">
        <f t="shared" si="195"/>
        <v>0</v>
      </c>
      <c r="G176" s="840">
        <f t="shared" si="195"/>
        <v>0</v>
      </c>
      <c r="H176" s="840">
        <f t="shared" si="195"/>
        <v>0</v>
      </c>
      <c r="I176" s="840">
        <f t="shared" si="195"/>
        <v>0</v>
      </c>
      <c r="J176" s="840">
        <f t="shared" si="195"/>
        <v>0</v>
      </c>
      <c r="K176" s="840">
        <f t="shared" si="195"/>
        <v>0</v>
      </c>
      <c r="L176" s="840">
        <f t="shared" si="195"/>
        <v>0</v>
      </c>
      <c r="M176" s="840">
        <f t="shared" si="195"/>
        <v>0</v>
      </c>
      <c r="N176" s="840">
        <f t="shared" si="195"/>
        <v>0</v>
      </c>
      <c r="O176" s="840">
        <f t="shared" si="195"/>
        <v>0</v>
      </c>
      <c r="P176" s="840">
        <f t="shared" si="195"/>
        <v>0</v>
      </c>
      <c r="Q176" s="840">
        <f t="shared" si="195"/>
        <v>0</v>
      </c>
      <c r="R176" s="840">
        <f t="shared" si="195"/>
        <v>0</v>
      </c>
      <c r="S176" s="840">
        <f t="shared" si="195"/>
        <v>0</v>
      </c>
      <c r="T176" s="840">
        <f t="shared" si="195"/>
        <v>0</v>
      </c>
      <c r="U176" s="840">
        <f t="shared" si="195"/>
        <v>0</v>
      </c>
      <c r="V176" s="840">
        <f t="shared" si="195"/>
        <v>0</v>
      </c>
      <c r="W176" s="840">
        <f t="shared" si="195"/>
        <v>41</v>
      </c>
      <c r="X176" s="840">
        <f t="shared" si="195"/>
        <v>0</v>
      </c>
      <c r="Y176" s="840">
        <f t="shared" si="195"/>
        <v>0</v>
      </c>
      <c r="Z176" s="840">
        <f t="shared" si="195"/>
        <v>0</v>
      </c>
      <c r="AA176" s="840">
        <f t="shared" si="195"/>
        <v>0</v>
      </c>
      <c r="AB176" s="840">
        <f t="shared" si="195"/>
        <v>0</v>
      </c>
      <c r="AC176" s="840"/>
      <c r="AD176" s="840"/>
      <c r="AE176" s="840"/>
      <c r="AF176" s="840">
        <f>+AF112</f>
        <v>0</v>
      </c>
      <c r="AG176" s="840"/>
      <c r="AH176" s="840"/>
      <c r="AI176" s="840"/>
      <c r="AJ176" s="840"/>
      <c r="AK176" s="840"/>
      <c r="AL176" s="840"/>
      <c r="AM176" s="840"/>
      <c r="AN176" s="840"/>
      <c r="AO176" s="840"/>
      <c r="AP176" s="840"/>
      <c r="AQ176" s="840"/>
      <c r="AR176" s="840">
        <f t="shared" ref="AR176:BB176" si="196">+AR112</f>
        <v>0</v>
      </c>
      <c r="AS176" s="840">
        <f t="shared" si="196"/>
        <v>0</v>
      </c>
      <c r="AT176" s="840">
        <f t="shared" si="196"/>
        <v>0</v>
      </c>
      <c r="AU176" s="840">
        <f t="shared" si="196"/>
        <v>0</v>
      </c>
      <c r="AV176" s="840">
        <f t="shared" si="196"/>
        <v>0</v>
      </c>
      <c r="AW176" s="840">
        <f t="shared" si="196"/>
        <v>0</v>
      </c>
      <c r="AX176" s="840">
        <f t="shared" si="196"/>
        <v>0</v>
      </c>
      <c r="AY176" s="840">
        <f t="shared" si="196"/>
        <v>334</v>
      </c>
      <c r="AZ176" s="840">
        <f t="shared" si="196"/>
        <v>4646</v>
      </c>
      <c r="BA176" s="840">
        <f t="shared" si="196"/>
        <v>313</v>
      </c>
      <c r="BB176" s="840">
        <f t="shared" si="196"/>
        <v>514</v>
      </c>
      <c r="BC176" s="840"/>
      <c r="BD176" s="840">
        <f t="shared" ref="BD176:BM176" si="197">+BD112</f>
        <v>0</v>
      </c>
      <c r="BE176" s="840">
        <f t="shared" si="197"/>
        <v>0</v>
      </c>
      <c r="BF176" s="840">
        <f t="shared" si="197"/>
        <v>0</v>
      </c>
      <c r="BG176" s="840">
        <f t="shared" si="197"/>
        <v>0</v>
      </c>
      <c r="BH176" s="840">
        <f t="shared" si="197"/>
        <v>0</v>
      </c>
      <c r="BI176" s="840">
        <f t="shared" si="197"/>
        <v>0</v>
      </c>
      <c r="BJ176" s="840">
        <f t="shared" si="197"/>
        <v>0</v>
      </c>
      <c r="BK176" s="840">
        <f t="shared" si="197"/>
        <v>0</v>
      </c>
      <c r="BL176" s="840">
        <f t="shared" si="197"/>
        <v>0</v>
      </c>
      <c r="BM176" s="840">
        <f t="shared" si="197"/>
        <v>0</v>
      </c>
      <c r="BN176" s="840"/>
      <c r="BO176" s="840">
        <f t="shared" si="193"/>
        <v>0</v>
      </c>
      <c r="BP176" s="840">
        <f t="shared" si="193"/>
        <v>0</v>
      </c>
      <c r="BQ176" s="840"/>
      <c r="BR176" s="840"/>
      <c r="BS176" s="840"/>
      <c r="BT176" s="840">
        <f t="shared" ref="BT176:CC176" si="198">+BT112</f>
        <v>0</v>
      </c>
      <c r="BU176" s="840">
        <f t="shared" si="198"/>
        <v>0</v>
      </c>
      <c r="BV176" s="840">
        <f t="shared" si="198"/>
        <v>0</v>
      </c>
      <c r="BW176" s="840">
        <f t="shared" si="198"/>
        <v>0</v>
      </c>
      <c r="BX176" s="840">
        <f t="shared" si="198"/>
        <v>0</v>
      </c>
      <c r="BY176" s="840">
        <f t="shared" si="198"/>
        <v>0</v>
      </c>
      <c r="BZ176" s="840">
        <f t="shared" si="198"/>
        <v>0</v>
      </c>
      <c r="CA176" s="840">
        <f t="shared" si="198"/>
        <v>0</v>
      </c>
      <c r="CB176" s="840">
        <f t="shared" si="198"/>
        <v>0</v>
      </c>
      <c r="CC176" s="840">
        <f t="shared" si="198"/>
        <v>0</v>
      </c>
      <c r="CD176" s="840"/>
      <c r="CE176" s="840"/>
      <c r="CF176" s="840"/>
      <c r="CG176" s="840"/>
      <c r="CH176" s="840"/>
      <c r="CI176" s="845"/>
    </row>
    <row r="177" spans="1:87" x14ac:dyDescent="0.2">
      <c r="A177" s="844" t="s">
        <v>711</v>
      </c>
      <c r="B177" s="840">
        <f>SUM(C177:CB177)</f>
        <v>-536985</v>
      </c>
      <c r="C177" s="840">
        <f t="shared" ref="C177:AB177" si="199">+C113</f>
        <v>648041</v>
      </c>
      <c r="D177" s="840">
        <f t="shared" si="199"/>
        <v>0</v>
      </c>
      <c r="E177" s="840">
        <f t="shared" si="199"/>
        <v>112072</v>
      </c>
      <c r="F177" s="840">
        <f t="shared" si="199"/>
        <v>0</v>
      </c>
      <c r="G177" s="840">
        <f t="shared" si="199"/>
        <v>10840</v>
      </c>
      <c r="H177" s="840">
        <f t="shared" si="199"/>
        <v>5006</v>
      </c>
      <c r="I177" s="840">
        <f t="shared" si="199"/>
        <v>30595</v>
      </c>
      <c r="J177" s="840">
        <f t="shared" si="199"/>
        <v>0</v>
      </c>
      <c r="K177" s="840">
        <f t="shared" si="199"/>
        <v>16658</v>
      </c>
      <c r="L177" s="840">
        <f t="shared" si="199"/>
        <v>0</v>
      </c>
      <c r="M177" s="840">
        <f t="shared" si="199"/>
        <v>0</v>
      </c>
      <c r="N177" s="840">
        <f t="shared" si="199"/>
        <v>160349</v>
      </c>
      <c r="O177" s="840">
        <f t="shared" si="199"/>
        <v>142603</v>
      </c>
      <c r="P177" s="840">
        <f t="shared" si="199"/>
        <v>2274</v>
      </c>
      <c r="Q177" s="840">
        <f t="shared" si="199"/>
        <v>21381</v>
      </c>
      <c r="R177" s="840">
        <f t="shared" si="199"/>
        <v>0</v>
      </c>
      <c r="S177" s="840">
        <f t="shared" si="199"/>
        <v>0</v>
      </c>
      <c r="T177" s="840">
        <f t="shared" si="199"/>
        <v>-103</v>
      </c>
      <c r="U177" s="840">
        <f t="shared" si="199"/>
        <v>3945</v>
      </c>
      <c r="V177" s="840">
        <f t="shared" si="199"/>
        <v>0</v>
      </c>
      <c r="W177" s="840">
        <f t="shared" si="199"/>
        <v>48294</v>
      </c>
      <c r="X177" s="840">
        <f t="shared" si="199"/>
        <v>58588</v>
      </c>
      <c r="Y177" s="840">
        <f t="shared" si="199"/>
        <v>0</v>
      </c>
      <c r="Z177" s="840">
        <f t="shared" si="199"/>
        <v>0</v>
      </c>
      <c r="AA177" s="840">
        <f t="shared" si="199"/>
        <v>0</v>
      </c>
      <c r="AB177" s="840">
        <f t="shared" si="199"/>
        <v>0</v>
      </c>
      <c r="AC177" s="840"/>
      <c r="AD177" s="840"/>
      <c r="AE177" s="840"/>
      <c r="AF177" s="840">
        <f>+AF113</f>
        <v>34354</v>
      </c>
      <c r="AG177" s="840"/>
      <c r="AH177" s="840"/>
      <c r="AI177" s="840"/>
      <c r="AJ177" s="840"/>
      <c r="AK177" s="840"/>
      <c r="AL177" s="840"/>
      <c r="AM177" s="840"/>
      <c r="AN177" s="840"/>
      <c r="AO177" s="840"/>
      <c r="AP177" s="840"/>
      <c r="AQ177" s="840"/>
      <c r="AR177" s="840">
        <f t="shared" ref="AR177:BB177" si="200">+AR113</f>
        <v>0</v>
      </c>
      <c r="AS177" s="840">
        <f t="shared" si="200"/>
        <v>0</v>
      </c>
      <c r="AT177" s="840">
        <f t="shared" si="200"/>
        <v>17736</v>
      </c>
      <c r="AU177" s="840">
        <f t="shared" si="200"/>
        <v>1</v>
      </c>
      <c r="AV177" s="840">
        <f t="shared" si="200"/>
        <v>0</v>
      </c>
      <c r="AW177" s="840">
        <f t="shared" si="200"/>
        <v>327</v>
      </c>
      <c r="AX177" s="840">
        <f t="shared" si="200"/>
        <v>0</v>
      </c>
      <c r="AY177" s="840">
        <f t="shared" si="200"/>
        <v>0</v>
      </c>
      <c r="AZ177" s="840">
        <f t="shared" si="200"/>
        <v>0</v>
      </c>
      <c r="BA177" s="840">
        <f t="shared" si="200"/>
        <v>0</v>
      </c>
      <c r="BB177" s="840">
        <f t="shared" si="200"/>
        <v>0</v>
      </c>
      <c r="BC177" s="840"/>
      <c r="BD177" s="840">
        <f t="shared" ref="BD177:BM177" si="201">+BD113</f>
        <v>0</v>
      </c>
      <c r="BE177" s="840">
        <f t="shared" si="201"/>
        <v>293</v>
      </c>
      <c r="BF177" s="840">
        <f t="shared" si="201"/>
        <v>138</v>
      </c>
      <c r="BG177" s="840">
        <f t="shared" si="201"/>
        <v>7</v>
      </c>
      <c r="BH177" s="840">
        <f t="shared" si="201"/>
        <v>9944</v>
      </c>
      <c r="BI177" s="840">
        <f t="shared" si="201"/>
        <v>29</v>
      </c>
      <c r="BJ177" s="840">
        <f t="shared" si="201"/>
        <v>4489</v>
      </c>
      <c r="BK177" s="840">
        <f t="shared" si="201"/>
        <v>-779</v>
      </c>
      <c r="BL177" s="840">
        <f t="shared" si="201"/>
        <v>228</v>
      </c>
      <c r="BM177" s="840">
        <f t="shared" si="201"/>
        <v>2586</v>
      </c>
      <c r="BN177" s="840"/>
      <c r="BO177" s="840">
        <f t="shared" si="193"/>
        <v>0</v>
      </c>
      <c r="BP177" s="840">
        <f t="shared" si="193"/>
        <v>865</v>
      </c>
      <c r="BQ177" s="840"/>
      <c r="BR177" s="840"/>
      <c r="BS177" s="840"/>
      <c r="BT177" s="840">
        <f t="shared" ref="BT177:CC177" si="202">+BT113</f>
        <v>23108</v>
      </c>
      <c r="BU177" s="840">
        <f t="shared" si="202"/>
        <v>1347</v>
      </c>
      <c r="BV177" s="840">
        <f t="shared" si="202"/>
        <v>2782</v>
      </c>
      <c r="BW177" s="840">
        <f t="shared" si="202"/>
        <v>-29464</v>
      </c>
      <c r="BX177" s="840">
        <f t="shared" si="202"/>
        <v>68937</v>
      </c>
      <c r="BY177" s="840">
        <f t="shared" si="202"/>
        <v>-21162</v>
      </c>
      <c r="BZ177" s="840">
        <f t="shared" si="202"/>
        <v>-1913294</v>
      </c>
      <c r="CA177" s="840">
        <f t="shared" si="202"/>
        <v>0</v>
      </c>
      <c r="CB177" s="840">
        <f t="shared" si="202"/>
        <v>0</v>
      </c>
      <c r="CC177" s="840">
        <f t="shared" si="202"/>
        <v>0</v>
      </c>
      <c r="CD177" s="840"/>
      <c r="CE177" s="840"/>
      <c r="CF177" s="840"/>
      <c r="CG177" s="840"/>
      <c r="CH177" s="840"/>
      <c r="CI177" s="845"/>
    </row>
    <row r="178" spans="1:87" ht="13.5" thickBot="1" x14ac:dyDescent="0.25">
      <c r="A178" s="850" t="s">
        <v>712</v>
      </c>
      <c r="B178" s="851">
        <f>SUM(B170:B177)</f>
        <v>5883136</v>
      </c>
      <c r="C178" s="851">
        <f t="shared" ref="C178:BX178" si="203">SUM(C170:C177)</f>
        <v>671837</v>
      </c>
      <c r="D178" s="851">
        <f t="shared" si="203"/>
        <v>3208070</v>
      </c>
      <c r="E178" s="851">
        <f>SUM(E170:E177)</f>
        <v>112067</v>
      </c>
      <c r="F178" s="851">
        <f>SUM(F170:F177)</f>
        <v>-14087</v>
      </c>
      <c r="G178" s="851">
        <f t="shared" si="203"/>
        <v>10840</v>
      </c>
      <c r="H178" s="851">
        <f t="shared" si="203"/>
        <v>5006</v>
      </c>
      <c r="I178" s="851">
        <f t="shared" si="203"/>
        <v>30595</v>
      </c>
      <c r="J178" s="851">
        <f t="shared" si="203"/>
        <v>-25692</v>
      </c>
      <c r="K178" s="851">
        <f t="shared" si="203"/>
        <v>16658</v>
      </c>
      <c r="L178" s="851">
        <f t="shared" si="203"/>
        <v>0</v>
      </c>
      <c r="M178" s="851">
        <f t="shared" si="203"/>
        <v>0</v>
      </c>
      <c r="N178" s="851">
        <f t="shared" si="203"/>
        <v>160306</v>
      </c>
      <c r="O178" s="851">
        <f t="shared" si="203"/>
        <v>126643</v>
      </c>
      <c r="P178" s="851">
        <f t="shared" si="203"/>
        <v>2274</v>
      </c>
      <c r="Q178" s="851">
        <f>SUM(Q170:Q177)</f>
        <v>21381</v>
      </c>
      <c r="R178" s="851">
        <f>SUM(R170:R177)</f>
        <v>0</v>
      </c>
      <c r="S178" s="851">
        <f>SUM(S170:S177)</f>
        <v>0</v>
      </c>
      <c r="T178" s="851">
        <f t="shared" si="203"/>
        <v>-103</v>
      </c>
      <c r="U178" s="851">
        <f>SUM(U170:U177)</f>
        <v>3941</v>
      </c>
      <c r="V178" s="851">
        <f>SUM(V170:V177)</f>
        <v>12276</v>
      </c>
      <c r="W178" s="851">
        <f t="shared" si="203"/>
        <v>48322</v>
      </c>
      <c r="X178" s="851">
        <f>SUM(X170:X177)</f>
        <v>58588</v>
      </c>
      <c r="Y178" s="851">
        <f t="shared" si="203"/>
        <v>0</v>
      </c>
      <c r="Z178" s="851">
        <f t="shared" si="203"/>
        <v>0</v>
      </c>
      <c r="AA178" s="851">
        <f t="shared" si="203"/>
        <v>0</v>
      </c>
      <c r="AB178" s="851">
        <f>SUM(AB170:AB177)</f>
        <v>-674202</v>
      </c>
      <c r="AC178" s="851"/>
      <c r="AD178" s="851"/>
      <c r="AE178" s="851"/>
      <c r="AF178" s="851">
        <f>SUM(AF170:AF177)</f>
        <v>62478</v>
      </c>
      <c r="AG178" s="851"/>
      <c r="AH178" s="851"/>
      <c r="AI178" s="851"/>
      <c r="AJ178" s="851"/>
      <c r="AK178" s="851"/>
      <c r="AL178" s="851"/>
      <c r="AM178" s="851"/>
      <c r="AN178" s="851"/>
      <c r="AO178" s="851"/>
      <c r="AP178" s="851"/>
      <c r="AQ178" s="851"/>
      <c r="AR178" s="851">
        <f t="shared" si="203"/>
        <v>2610</v>
      </c>
      <c r="AS178" s="851">
        <f t="shared" si="203"/>
        <v>-25805</v>
      </c>
      <c r="AT178" s="851">
        <f t="shared" si="203"/>
        <v>-40369</v>
      </c>
      <c r="AU178" s="851">
        <f t="shared" si="203"/>
        <v>-105100</v>
      </c>
      <c r="AV178" s="851">
        <f t="shared" si="203"/>
        <v>0</v>
      </c>
      <c r="AW178" s="851">
        <f>SUM(AW170:AW177)</f>
        <v>-536348</v>
      </c>
      <c r="AX178" s="851">
        <f t="shared" si="203"/>
        <v>-28800</v>
      </c>
      <c r="AY178" s="851">
        <f t="shared" si="203"/>
        <v>370</v>
      </c>
      <c r="AZ178" s="851">
        <f t="shared" si="203"/>
        <v>5413</v>
      </c>
      <c r="BA178" s="851">
        <f t="shared" si="203"/>
        <v>329</v>
      </c>
      <c r="BB178" s="851">
        <f t="shared" si="203"/>
        <v>543</v>
      </c>
      <c r="BC178" s="851"/>
      <c r="BD178" s="851">
        <f t="shared" si="203"/>
        <v>0</v>
      </c>
      <c r="BE178" s="851">
        <f>SUM(BE170:BE177)</f>
        <v>293</v>
      </c>
      <c r="BF178" s="851">
        <f>SUM(BF170:BF177)</f>
        <v>138</v>
      </c>
      <c r="BG178" s="851">
        <f>SUM(BG170:BG177)</f>
        <v>7</v>
      </c>
      <c r="BH178" s="851">
        <f t="shared" si="203"/>
        <v>10074</v>
      </c>
      <c r="BI178" s="851">
        <f>SUM(BI170:BI177)</f>
        <v>29</v>
      </c>
      <c r="BJ178" s="851">
        <f t="shared" si="203"/>
        <v>30970</v>
      </c>
      <c r="BK178" s="851">
        <f>SUM(BK170:BK177)</f>
        <v>-89618</v>
      </c>
      <c r="BL178" s="851">
        <f t="shared" si="203"/>
        <v>-11827</v>
      </c>
      <c r="BM178" s="851">
        <f t="shared" si="203"/>
        <v>2586</v>
      </c>
      <c r="BN178" s="851"/>
      <c r="BO178" s="851">
        <f t="shared" si="203"/>
        <v>0</v>
      </c>
      <c r="BP178" s="851">
        <f>SUM(BP170:BP177)</f>
        <v>-7128</v>
      </c>
      <c r="BQ178" s="851"/>
      <c r="BR178" s="851"/>
      <c r="BS178" s="851"/>
      <c r="BT178" s="851">
        <f t="shared" si="203"/>
        <v>12259</v>
      </c>
      <c r="BU178" s="851">
        <f t="shared" si="203"/>
        <v>-39297</v>
      </c>
      <c r="BV178" s="851">
        <f t="shared" si="203"/>
        <v>-35506</v>
      </c>
      <c r="BW178" s="851">
        <f t="shared" si="203"/>
        <v>-58317</v>
      </c>
      <c r="BX178" s="851">
        <f t="shared" si="203"/>
        <v>208174</v>
      </c>
      <c r="BY178" s="851">
        <f>SUM(BY170:BY177)</f>
        <v>-21045</v>
      </c>
      <c r="BZ178" s="851">
        <f>SUM(BZ170:BZ177)</f>
        <v>-2919750</v>
      </c>
      <c r="CA178" s="851">
        <f>SUM(CA170:CA177)</f>
        <v>5667814</v>
      </c>
      <c r="CB178" s="851">
        <f>SUM(CB170:CB177)</f>
        <v>0</v>
      </c>
      <c r="CC178" s="852"/>
      <c r="CD178" s="852"/>
      <c r="CE178" s="852"/>
      <c r="CF178" s="852"/>
      <c r="CG178" s="852"/>
      <c r="CH178" s="852"/>
      <c r="CI178" s="853"/>
    </row>
    <row r="180" spans="1:87" customFormat="1" x14ac:dyDescent="0.2">
      <c r="AT180" s="1073"/>
      <c r="AV180" s="1073"/>
      <c r="AW180" s="1073"/>
      <c r="CD180" s="1072"/>
      <c r="CE180" s="1072"/>
      <c r="CF180" s="1072"/>
      <c r="CG180" s="1072"/>
      <c r="CH180" s="1072"/>
      <c r="CI180" s="1072"/>
    </row>
    <row r="181" spans="1:87" customFormat="1" x14ac:dyDescent="0.2">
      <c r="AT181" s="1073"/>
      <c r="AV181" s="1073"/>
      <c r="AW181" s="1073"/>
      <c r="CD181" s="1072"/>
      <c r="CE181" s="1072"/>
      <c r="CF181" s="1072"/>
      <c r="CG181" s="1072"/>
      <c r="CH181" s="1072"/>
      <c r="CI181" s="1072"/>
    </row>
    <row r="182" spans="1:87" customFormat="1" x14ac:dyDescent="0.2">
      <c r="AT182" s="1073"/>
      <c r="AV182" s="1073"/>
      <c r="AW182" s="1073"/>
      <c r="CD182" s="1072"/>
      <c r="CE182" s="1072"/>
      <c r="CF182" s="1072"/>
      <c r="CG182" s="1072"/>
      <c r="CH182" s="1072"/>
      <c r="CI182" s="1072"/>
    </row>
    <row r="183" spans="1:87" customFormat="1" x14ac:dyDescent="0.2">
      <c r="AT183" s="1073"/>
      <c r="AV183" s="1073"/>
      <c r="AW183" s="1073"/>
      <c r="CD183" s="1072"/>
      <c r="CE183" s="1072"/>
      <c r="CF183" s="1072"/>
      <c r="CG183" s="1072"/>
      <c r="CH183" s="1072"/>
      <c r="CI183" s="1072"/>
    </row>
    <row r="184" spans="1:87" customFormat="1" x14ac:dyDescent="0.2">
      <c r="AT184" s="1073"/>
      <c r="AV184" s="1073"/>
      <c r="AW184" s="1073"/>
      <c r="CD184" s="1072"/>
      <c r="CE184" s="1072"/>
      <c r="CF184" s="1072"/>
      <c r="CG184" s="1072"/>
      <c r="CH184" s="1072"/>
      <c r="CI184" s="1072"/>
    </row>
    <row r="185" spans="1:87" customFormat="1" x14ac:dyDescent="0.2">
      <c r="AT185" s="1073"/>
      <c r="AV185" s="1073"/>
      <c r="AW185" s="1073"/>
      <c r="CD185" s="1072"/>
      <c r="CE185" s="1072"/>
      <c r="CF185" s="1072"/>
      <c r="CG185" s="1072"/>
      <c r="CH185" s="1072"/>
      <c r="CI185" s="1072"/>
    </row>
    <row r="186" spans="1:87" customFormat="1" x14ac:dyDescent="0.2">
      <c r="AT186" s="1073"/>
      <c r="AV186" s="1073"/>
      <c r="AW186" s="1073"/>
      <c r="CD186" s="1072"/>
      <c r="CE186" s="1072"/>
      <c r="CF186" s="1072"/>
      <c r="CG186" s="1072"/>
      <c r="CH186" s="1072"/>
      <c r="CI186" s="1072"/>
    </row>
    <row r="187" spans="1:87" customFormat="1" x14ac:dyDescent="0.2">
      <c r="AT187" s="1073"/>
      <c r="AV187" s="1073"/>
      <c r="AW187" s="1073"/>
      <c r="CD187" s="1072"/>
      <c r="CE187" s="1072"/>
      <c r="CF187" s="1072"/>
      <c r="CG187" s="1072"/>
      <c r="CH187" s="1072"/>
      <c r="CI187" s="1072"/>
    </row>
    <row r="188" spans="1:87" customFormat="1" x14ac:dyDescent="0.2">
      <c r="AT188" s="1073"/>
      <c r="AV188" s="1073"/>
      <c r="AW188" s="1073"/>
      <c r="CD188" s="1072"/>
      <c r="CE188" s="1072"/>
      <c r="CF188" s="1072"/>
      <c r="CG188" s="1072"/>
      <c r="CH188" s="1072"/>
      <c r="CI188" s="1072"/>
    </row>
    <row r="189" spans="1:87" customFormat="1" x14ac:dyDescent="0.2">
      <c r="AT189" s="1073"/>
      <c r="AV189" s="1073"/>
      <c r="AW189" s="1073"/>
      <c r="CD189" s="1072"/>
      <c r="CE189" s="1072"/>
      <c r="CF189" s="1072"/>
      <c r="CG189" s="1072"/>
      <c r="CH189" s="1072"/>
      <c r="CI189" s="1072"/>
    </row>
    <row r="190" spans="1:87" customFormat="1" x14ac:dyDescent="0.2">
      <c r="AT190" s="1073"/>
      <c r="AV190" s="1073"/>
      <c r="AW190" s="1073"/>
      <c r="CD190" s="1072"/>
      <c r="CE190" s="1072"/>
      <c r="CF190" s="1072"/>
      <c r="CG190" s="1072"/>
      <c r="CH190" s="1072"/>
      <c r="CI190" s="1072"/>
    </row>
    <row r="191" spans="1:87" customFormat="1" x14ac:dyDescent="0.2">
      <c r="AT191" s="1073"/>
      <c r="AV191" s="1073"/>
      <c r="AW191" s="1073"/>
      <c r="CD191" s="1072"/>
      <c r="CE191" s="1072"/>
      <c r="CF191" s="1072"/>
      <c r="CG191" s="1072"/>
      <c r="CH191" s="1072"/>
      <c r="CI191" s="1072"/>
    </row>
    <row r="192" spans="1:87" customFormat="1" x14ac:dyDescent="0.2">
      <c r="AT192" s="1073"/>
      <c r="AV192" s="1073"/>
      <c r="AW192" s="1073"/>
      <c r="CD192" s="1072"/>
      <c r="CE192" s="1072"/>
      <c r="CF192" s="1072"/>
      <c r="CG192" s="1072"/>
      <c r="CH192" s="1072"/>
      <c r="CI192" s="1072"/>
    </row>
    <row r="193" spans="46:87" customFormat="1" x14ac:dyDescent="0.2">
      <c r="AT193" s="1073"/>
      <c r="AV193" s="1073"/>
      <c r="AW193" s="1073"/>
      <c r="CD193" s="1072"/>
      <c r="CE193" s="1072"/>
      <c r="CF193" s="1072"/>
      <c r="CG193" s="1072"/>
      <c r="CH193" s="1072"/>
      <c r="CI193" s="1072"/>
    </row>
    <row r="194" spans="46:87" customFormat="1" x14ac:dyDescent="0.2">
      <c r="AT194" s="1073"/>
      <c r="AV194" s="1073"/>
      <c r="AW194" s="1073"/>
      <c r="CD194" s="1072"/>
      <c r="CE194" s="1072"/>
      <c r="CF194" s="1072"/>
      <c r="CG194" s="1072"/>
      <c r="CH194" s="1072"/>
      <c r="CI194" s="1072"/>
    </row>
    <row r="195" spans="46:87" customFormat="1" x14ac:dyDescent="0.2">
      <c r="AT195" s="1073"/>
      <c r="AV195" s="1073"/>
      <c r="AW195" s="1073"/>
      <c r="CD195" s="1072"/>
      <c r="CE195" s="1072"/>
      <c r="CF195" s="1072"/>
      <c r="CG195" s="1072"/>
      <c r="CH195" s="1072"/>
      <c r="CI195" s="1072"/>
    </row>
    <row r="196" spans="46:87" customFormat="1" x14ac:dyDescent="0.2">
      <c r="AT196" s="1073"/>
      <c r="AV196" s="1073"/>
      <c r="AW196" s="1073"/>
      <c r="CD196" s="1072"/>
      <c r="CE196" s="1072"/>
      <c r="CF196" s="1072"/>
      <c r="CG196" s="1072"/>
      <c r="CH196" s="1072"/>
      <c r="CI196" s="1072"/>
    </row>
    <row r="197" spans="46:87" customFormat="1" x14ac:dyDescent="0.2">
      <c r="AT197" s="1073"/>
      <c r="AV197" s="1073"/>
      <c r="AW197" s="1073"/>
      <c r="CD197" s="1072"/>
      <c r="CE197" s="1072"/>
      <c r="CF197" s="1072"/>
      <c r="CG197" s="1072"/>
      <c r="CH197" s="1072"/>
      <c r="CI197" s="1072"/>
    </row>
    <row r="198" spans="46:87" customFormat="1" x14ac:dyDescent="0.2">
      <c r="AT198" s="1073"/>
      <c r="AV198" s="1073"/>
      <c r="AW198" s="1073"/>
      <c r="CD198" s="1072"/>
      <c r="CE198" s="1072"/>
      <c r="CF198" s="1072"/>
      <c r="CG198" s="1072"/>
      <c r="CH198" s="1072"/>
      <c r="CI198" s="1072"/>
    </row>
    <row r="199" spans="46:87" customFormat="1" x14ac:dyDescent="0.2">
      <c r="AT199" s="1073"/>
      <c r="AV199" s="1073"/>
      <c r="AW199" s="1073"/>
      <c r="CD199" s="1072"/>
      <c r="CE199" s="1072"/>
      <c r="CF199" s="1072"/>
      <c r="CG199" s="1072"/>
      <c r="CH199" s="1072"/>
      <c r="CI199" s="1072"/>
    </row>
    <row r="200" spans="46:87" customFormat="1" x14ac:dyDescent="0.2">
      <c r="AT200" s="1073"/>
      <c r="AV200" s="1073"/>
      <c r="AW200" s="1073"/>
      <c r="CD200" s="1072"/>
      <c r="CE200" s="1072"/>
      <c r="CF200" s="1072"/>
      <c r="CG200" s="1072"/>
      <c r="CH200" s="1072"/>
      <c r="CI200" s="1072"/>
    </row>
    <row r="201" spans="46:87" customFormat="1" x14ac:dyDescent="0.2">
      <c r="AT201" s="1073"/>
      <c r="AV201" s="1073"/>
      <c r="AW201" s="1073"/>
      <c r="CD201" s="1072"/>
      <c r="CE201" s="1072"/>
      <c r="CF201" s="1072"/>
      <c r="CG201" s="1072"/>
      <c r="CH201" s="1072"/>
      <c r="CI201" s="1072"/>
    </row>
    <row r="202" spans="46:87" customFormat="1" x14ac:dyDescent="0.2">
      <c r="AT202" s="1073"/>
      <c r="AV202" s="1073"/>
      <c r="AW202" s="1073"/>
      <c r="CD202" s="1072"/>
      <c r="CE202" s="1072"/>
      <c r="CF202" s="1072"/>
      <c r="CG202" s="1072"/>
      <c r="CH202" s="1072"/>
      <c r="CI202" s="1072"/>
    </row>
    <row r="203" spans="46:87" customFormat="1" x14ac:dyDescent="0.2">
      <c r="AT203" s="1073"/>
      <c r="AV203" s="1073"/>
      <c r="AW203" s="1073"/>
      <c r="CD203" s="1072"/>
      <c r="CE203" s="1072"/>
      <c r="CF203" s="1072"/>
      <c r="CG203" s="1072"/>
      <c r="CH203" s="1072"/>
      <c r="CI203" s="1072"/>
    </row>
    <row r="204" spans="46:87" customFormat="1" x14ac:dyDescent="0.2">
      <c r="AT204" s="1073"/>
      <c r="AV204" s="1073"/>
      <c r="AW204" s="1073"/>
      <c r="CD204" s="1072"/>
      <c r="CE204" s="1072"/>
      <c r="CF204" s="1072"/>
      <c r="CG204" s="1072"/>
      <c r="CH204" s="1072"/>
      <c r="CI204" s="1072"/>
    </row>
    <row r="205" spans="46:87" customFormat="1" x14ac:dyDescent="0.2">
      <c r="AT205" s="1073"/>
      <c r="AV205" s="1073"/>
      <c r="AW205" s="1073"/>
      <c r="CD205" s="1072"/>
      <c r="CE205" s="1072"/>
      <c r="CF205" s="1072"/>
      <c r="CG205" s="1072"/>
      <c r="CH205" s="1072"/>
      <c r="CI205" s="1072"/>
    </row>
    <row r="206" spans="46:87" customFormat="1" x14ac:dyDescent="0.2">
      <c r="AT206" s="1073"/>
      <c r="AV206" s="1073"/>
      <c r="AW206" s="1073"/>
      <c r="CD206" s="1072"/>
      <c r="CE206" s="1072"/>
      <c r="CF206" s="1072"/>
      <c r="CG206" s="1072"/>
      <c r="CH206" s="1072"/>
      <c r="CI206" s="1072"/>
    </row>
    <row r="207" spans="46:87" customFormat="1" x14ac:dyDescent="0.2">
      <c r="AT207" s="1073"/>
      <c r="AV207" s="1073"/>
      <c r="AW207" s="1073"/>
      <c r="CD207" s="1072"/>
      <c r="CE207" s="1072"/>
      <c r="CF207" s="1072"/>
      <c r="CG207" s="1072"/>
      <c r="CH207" s="1072"/>
      <c r="CI207" s="1072"/>
    </row>
    <row r="208" spans="46:87" customFormat="1" x14ac:dyDescent="0.2">
      <c r="AT208" s="1073"/>
      <c r="AV208" s="1073"/>
      <c r="AW208" s="1073"/>
      <c r="CD208" s="1072"/>
      <c r="CE208" s="1072"/>
      <c r="CF208" s="1072"/>
      <c r="CG208" s="1072"/>
      <c r="CH208" s="1072"/>
      <c r="CI208" s="1072"/>
    </row>
    <row r="209" spans="46:87" customFormat="1" x14ac:dyDescent="0.2">
      <c r="AT209" s="1073"/>
      <c r="AV209" s="1073"/>
      <c r="AW209" s="1073"/>
      <c r="CD209" s="1072"/>
      <c r="CE209" s="1072"/>
      <c r="CF209" s="1072"/>
      <c r="CG209" s="1072"/>
      <c r="CH209" s="1072"/>
      <c r="CI209" s="1072"/>
    </row>
    <row r="210" spans="46:87" customFormat="1" x14ac:dyDescent="0.2">
      <c r="AT210" s="1073"/>
      <c r="AV210" s="1073"/>
      <c r="AW210" s="1073"/>
      <c r="CD210" s="1072"/>
      <c r="CE210" s="1072"/>
      <c r="CF210" s="1072"/>
      <c r="CG210" s="1072"/>
      <c r="CH210" s="1072"/>
      <c r="CI210" s="1072"/>
    </row>
    <row r="211" spans="46:87" customFormat="1" x14ac:dyDescent="0.2">
      <c r="AT211" s="1073"/>
      <c r="AV211" s="1073"/>
      <c r="AW211" s="1073"/>
      <c r="CD211" s="1072"/>
      <c r="CE211" s="1072"/>
      <c r="CF211" s="1072"/>
      <c r="CG211" s="1072"/>
      <c r="CH211" s="1072"/>
      <c r="CI211" s="1072"/>
    </row>
    <row r="212" spans="46:87" customFormat="1" x14ac:dyDescent="0.2">
      <c r="AT212" s="1073"/>
      <c r="AV212" s="1073"/>
      <c r="AW212" s="1073"/>
      <c r="CD212" s="1072"/>
      <c r="CE212" s="1072"/>
      <c r="CF212" s="1072"/>
      <c r="CG212" s="1072"/>
      <c r="CH212" s="1072"/>
      <c r="CI212" s="1072"/>
    </row>
    <row r="213" spans="46:87" customFormat="1" x14ac:dyDescent="0.2">
      <c r="AT213" s="1073"/>
      <c r="AV213" s="1073"/>
      <c r="AW213" s="1073"/>
      <c r="CD213" s="1072"/>
      <c r="CE213" s="1072"/>
      <c r="CF213" s="1072"/>
      <c r="CG213" s="1072"/>
      <c r="CH213" s="1072"/>
      <c r="CI213" s="1072"/>
    </row>
    <row r="214" spans="46:87" customFormat="1" x14ac:dyDescent="0.2">
      <c r="AT214" s="1073"/>
      <c r="AV214" s="1073"/>
      <c r="AW214" s="1073"/>
      <c r="CD214" s="1072"/>
      <c r="CE214" s="1072"/>
      <c r="CF214" s="1072"/>
      <c r="CG214" s="1072"/>
      <c r="CH214" s="1072"/>
      <c r="CI214" s="1072"/>
    </row>
    <row r="215" spans="46:87" customFormat="1" x14ac:dyDescent="0.2">
      <c r="AT215" s="1073"/>
      <c r="AV215" s="1073"/>
      <c r="AW215" s="1073"/>
      <c r="CD215" s="1072"/>
      <c r="CE215" s="1072"/>
      <c r="CF215" s="1072"/>
      <c r="CG215" s="1072"/>
      <c r="CH215" s="1072"/>
      <c r="CI215" s="1072"/>
    </row>
    <row r="216" spans="46:87" customFormat="1" x14ac:dyDescent="0.2">
      <c r="AT216" s="1073"/>
      <c r="AV216" s="1073"/>
      <c r="AW216" s="1073"/>
      <c r="CD216" s="1072"/>
      <c r="CE216" s="1072"/>
      <c r="CF216" s="1072"/>
      <c r="CG216" s="1072"/>
      <c r="CH216" s="1072"/>
      <c r="CI216" s="1072"/>
    </row>
    <row r="217" spans="46:87" customFormat="1" x14ac:dyDescent="0.2">
      <c r="AT217" s="1073"/>
      <c r="AV217" s="1073"/>
      <c r="AW217" s="1073"/>
      <c r="CD217" s="1072"/>
      <c r="CE217" s="1072"/>
      <c r="CF217" s="1072"/>
      <c r="CG217" s="1072"/>
      <c r="CH217" s="1072"/>
      <c r="CI217" s="1072"/>
    </row>
    <row r="218" spans="46:87" customFormat="1" x14ac:dyDescent="0.2">
      <c r="AT218" s="1073"/>
      <c r="AV218" s="1073"/>
      <c r="AW218" s="1073"/>
      <c r="CD218" s="1072"/>
      <c r="CE218" s="1072"/>
      <c r="CF218" s="1072"/>
      <c r="CG218" s="1072"/>
      <c r="CH218" s="1072"/>
      <c r="CI218" s="1072"/>
    </row>
    <row r="219" spans="46:87" customFormat="1" x14ac:dyDescent="0.2">
      <c r="AT219" s="1073"/>
      <c r="AV219" s="1073"/>
      <c r="AW219" s="1073"/>
      <c r="CD219" s="1072"/>
      <c r="CE219" s="1072"/>
      <c r="CF219" s="1072"/>
      <c r="CG219" s="1072"/>
      <c r="CH219" s="1072"/>
      <c r="CI219" s="1072"/>
    </row>
    <row r="220" spans="46:87" customFormat="1" x14ac:dyDescent="0.2">
      <c r="AT220" s="1073"/>
      <c r="AV220" s="1073"/>
      <c r="AW220" s="1073"/>
      <c r="CD220" s="1072"/>
      <c r="CE220" s="1072"/>
      <c r="CF220" s="1072"/>
      <c r="CG220" s="1072"/>
      <c r="CH220" s="1072"/>
      <c r="CI220" s="1072"/>
    </row>
    <row r="221" spans="46:87" customFormat="1" x14ac:dyDescent="0.2">
      <c r="AT221" s="1073"/>
      <c r="AV221" s="1073"/>
      <c r="AW221" s="1073"/>
      <c r="CD221" s="1072"/>
      <c r="CE221" s="1072"/>
      <c r="CF221" s="1072"/>
      <c r="CG221" s="1072"/>
      <c r="CH221" s="1072"/>
      <c r="CI221" s="1072"/>
    </row>
    <row r="222" spans="46:87" customFormat="1" x14ac:dyDescent="0.2">
      <c r="AT222" s="1073"/>
      <c r="AV222" s="1073"/>
      <c r="AW222" s="1073"/>
      <c r="CD222" s="1072"/>
      <c r="CE222" s="1072"/>
      <c r="CF222" s="1072"/>
      <c r="CG222" s="1072"/>
      <c r="CH222" s="1072"/>
      <c r="CI222" s="1072"/>
    </row>
    <row r="223" spans="46:87" customFormat="1" x14ac:dyDescent="0.2">
      <c r="AT223" s="1073"/>
      <c r="AV223" s="1073"/>
      <c r="AW223" s="1073"/>
      <c r="CD223" s="1072"/>
      <c r="CE223" s="1072"/>
      <c r="CF223" s="1072"/>
      <c r="CG223" s="1072"/>
      <c r="CH223" s="1072"/>
      <c r="CI223" s="1072"/>
    </row>
    <row r="224" spans="46:87" customFormat="1" x14ac:dyDescent="0.2">
      <c r="AT224" s="1073"/>
      <c r="AV224" s="1073"/>
      <c r="AW224" s="1073"/>
      <c r="CD224" s="1072"/>
      <c r="CE224" s="1072"/>
      <c r="CF224" s="1072"/>
      <c r="CG224" s="1072"/>
      <c r="CH224" s="1072"/>
      <c r="CI224" s="1072"/>
    </row>
    <row r="225" spans="46:87" customFormat="1" x14ac:dyDescent="0.2">
      <c r="AT225" s="1073"/>
      <c r="AV225" s="1073"/>
      <c r="AW225" s="1073"/>
      <c r="CD225" s="1072"/>
      <c r="CE225" s="1072"/>
      <c r="CF225" s="1072"/>
      <c r="CG225" s="1072"/>
      <c r="CH225" s="1072"/>
      <c r="CI225" s="1072"/>
    </row>
    <row r="226" spans="46:87" customFormat="1" x14ac:dyDescent="0.2">
      <c r="AT226" s="1073"/>
      <c r="AV226" s="1073"/>
      <c r="AW226" s="1073"/>
      <c r="CD226" s="1072"/>
      <c r="CE226" s="1072"/>
      <c r="CF226" s="1072"/>
      <c r="CG226" s="1072"/>
      <c r="CH226" s="1072"/>
      <c r="CI226" s="1072"/>
    </row>
    <row r="227" spans="46:87" customFormat="1" x14ac:dyDescent="0.2">
      <c r="AT227" s="1073"/>
      <c r="AV227" s="1073"/>
      <c r="AW227" s="1073"/>
      <c r="CD227" s="1072"/>
      <c r="CE227" s="1072"/>
      <c r="CF227" s="1072"/>
      <c r="CG227" s="1072"/>
      <c r="CH227" s="1072"/>
      <c r="CI227" s="1072"/>
    </row>
    <row r="228" spans="46:87" customFormat="1" x14ac:dyDescent="0.2">
      <c r="AT228" s="1073"/>
      <c r="AV228" s="1073"/>
      <c r="AW228" s="1073"/>
      <c r="CD228" s="1072"/>
      <c r="CE228" s="1072"/>
      <c r="CF228" s="1072"/>
      <c r="CG228" s="1072"/>
      <c r="CH228" s="1072"/>
      <c r="CI228" s="1072"/>
    </row>
  </sheetData>
  <phoneticPr fontId="9" type="noConversion"/>
  <pageMargins left="0.5" right="0.5" top="0.5" bottom="0.5" header="0.5" footer="0.5"/>
  <pageSetup paperSize="17" scale="31" fitToWidth="4"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tabColor theme="6" tint="0.39997558519241921"/>
    <pageSetUpPr fitToPage="1"/>
  </sheetPr>
  <dimension ref="A1:AY396"/>
  <sheetViews>
    <sheetView view="pageBreakPreview" topLeftCell="A12" zoomScaleNormal="100" workbookViewId="0">
      <selection activeCell="BA51" sqref="BA51"/>
    </sheetView>
  </sheetViews>
  <sheetFormatPr defaultColWidth="9.140625" defaultRowHeight="12.75" x14ac:dyDescent="0.2"/>
  <cols>
    <col min="1" max="3" width="1.5703125" style="202" customWidth="1"/>
    <col min="4" max="4" width="38.42578125" style="202" customWidth="1"/>
    <col min="5" max="5" width="9" style="970" hidden="1" customWidth="1"/>
    <col min="6" max="6" width="0.85546875" style="202" hidden="1" customWidth="1"/>
    <col min="7" max="7" width="9" style="970" hidden="1" customWidth="1"/>
    <col min="8" max="8" width="0.85546875" style="202" hidden="1" customWidth="1"/>
    <col min="9" max="9" width="9.42578125" style="970" hidden="1" customWidth="1"/>
    <col min="10" max="10" width="0.85546875" style="202" hidden="1" customWidth="1"/>
    <col min="11" max="11" width="9.42578125" style="970" hidden="1" customWidth="1"/>
    <col min="12" max="12" width="0.85546875" style="202" hidden="1" customWidth="1"/>
    <col min="13" max="13" width="9.42578125" style="970" hidden="1" customWidth="1"/>
    <col min="14" max="14" width="0.85546875" style="202" hidden="1" customWidth="1"/>
    <col min="15" max="15" width="9.42578125" style="970" hidden="1" customWidth="1"/>
    <col min="16" max="16" width="0.85546875" style="970" hidden="1" customWidth="1"/>
    <col min="17" max="17" width="9.42578125" style="970" hidden="1" customWidth="1"/>
    <col min="18" max="18" width="0.85546875" style="202" hidden="1" customWidth="1"/>
    <col min="19" max="19" width="9.42578125" style="970" hidden="1" customWidth="1"/>
    <col min="20" max="20" width="0.85546875" style="202" hidden="1" customWidth="1"/>
    <col min="21" max="21" width="9.42578125" style="970" hidden="1" customWidth="1"/>
    <col min="22" max="22" width="0.85546875" style="202" hidden="1" customWidth="1"/>
    <col min="23" max="23" width="9.42578125" style="202" hidden="1" customWidth="1"/>
    <col min="24" max="24" width="0.85546875" style="202" hidden="1" customWidth="1"/>
    <col min="25" max="25" width="9.42578125" style="202" hidden="1" customWidth="1"/>
    <col min="26" max="26" width="0.85546875" style="202" hidden="1" customWidth="1"/>
    <col min="27" max="27" width="9.42578125" style="202" hidden="1" customWidth="1"/>
    <col min="28" max="28" width="0.85546875" style="202" hidden="1" customWidth="1"/>
    <col min="29" max="29" width="9.42578125" style="202" hidden="1" customWidth="1"/>
    <col min="30" max="30" width="0.85546875" style="202" customWidth="1"/>
    <col min="31" max="31" width="9.42578125" style="202" customWidth="1"/>
    <col min="32" max="32" width="0.85546875" style="202" customWidth="1"/>
    <col min="33" max="33" width="9.42578125" style="202" customWidth="1"/>
    <col min="34" max="34" width="0.85546875" style="202" customWidth="1"/>
    <col min="35" max="35" width="9.85546875" style="202" bestFit="1" customWidth="1"/>
    <col min="36" max="36" width="0.85546875" style="202" customWidth="1"/>
    <col min="37" max="37" width="9.85546875" style="202" bestFit="1" customWidth="1"/>
    <col min="38" max="38" width="0.85546875" style="202" customWidth="1"/>
    <col min="39" max="39" width="9.85546875" style="202" customWidth="1"/>
    <col min="40" max="40" width="0.85546875" style="202" customWidth="1"/>
    <col min="41" max="41" width="9.85546875" style="202" customWidth="1"/>
    <col min="42" max="42" width="0.85546875" style="202" customWidth="1"/>
    <col min="43" max="43" width="9.85546875" style="202" customWidth="1"/>
    <col min="44" max="44" width="0.85546875" style="202" customWidth="1"/>
    <col min="45" max="45" width="9.85546875" style="202" customWidth="1"/>
    <col min="46" max="46" width="0.85546875" style="202" customWidth="1"/>
    <col min="47" max="47" width="9.85546875" style="202" customWidth="1"/>
    <col min="48" max="48" width="0.85546875" style="202" customWidth="1"/>
    <col min="49" max="49" width="10.5703125" style="202" customWidth="1"/>
    <col min="50" max="16384" width="9.140625" style="202"/>
  </cols>
  <sheetData>
    <row r="1" spans="1:49" s="520" customFormat="1" ht="17.45" customHeight="1"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c r="AN1" s="1582"/>
      <c r="AO1" s="1582"/>
      <c r="AP1" s="1582"/>
      <c r="AQ1" s="1582"/>
      <c r="AR1" s="1582"/>
      <c r="AS1" s="1582"/>
      <c r="AT1" s="1582"/>
      <c r="AU1" s="1582"/>
      <c r="AV1" s="1582"/>
      <c r="AW1" s="1582"/>
    </row>
    <row r="2" spans="1:49" s="715" customFormat="1" ht="15.95" customHeight="1" x14ac:dyDescent="0.2">
      <c r="A2" s="700" t="s">
        <v>786</v>
      </c>
      <c r="B2" s="700"/>
      <c r="C2" s="700"/>
      <c r="D2" s="700"/>
      <c r="E2" s="950"/>
      <c r="G2" s="950"/>
      <c r="I2" s="950"/>
      <c r="K2" s="950"/>
      <c r="M2" s="950"/>
      <c r="O2" s="950"/>
      <c r="P2" s="950"/>
      <c r="Q2" s="950"/>
      <c r="S2" s="950"/>
      <c r="U2" s="950"/>
    </row>
    <row r="3" spans="1:49" s="715" customFormat="1" ht="15.95" customHeight="1" x14ac:dyDescent="0.2">
      <c r="A3" s="700" t="s">
        <v>822</v>
      </c>
      <c r="B3" s="700"/>
      <c r="C3" s="700"/>
      <c r="D3" s="700"/>
      <c r="E3" s="950"/>
      <c r="G3" s="950"/>
      <c r="I3" s="950"/>
      <c r="K3" s="950"/>
      <c r="M3" s="950"/>
      <c r="O3" s="950"/>
      <c r="P3" s="950"/>
      <c r="Q3" s="950"/>
      <c r="S3" s="950"/>
      <c r="U3" s="950"/>
    </row>
    <row r="4" spans="1:49" s="157" customFormat="1" ht="14.1" customHeight="1" x14ac:dyDescent="0.2">
      <c r="A4" s="506" t="s">
        <v>176</v>
      </c>
      <c r="B4" s="506"/>
      <c r="C4" s="506"/>
      <c r="D4" s="506"/>
      <c r="E4" s="951"/>
      <c r="G4" s="951"/>
      <c r="I4" s="951"/>
      <c r="K4" s="951"/>
      <c r="M4" s="951"/>
      <c r="O4" s="951"/>
      <c r="P4" s="951"/>
      <c r="Q4" s="951"/>
      <c r="S4" s="951"/>
      <c r="U4" s="951"/>
    </row>
    <row r="5" spans="1:49" s="418" customFormat="1" ht="12.75" customHeight="1" x14ac:dyDescent="0.2">
      <c r="A5" s="737" t="s">
        <v>812</v>
      </c>
      <c r="B5" s="737"/>
      <c r="C5" s="737"/>
      <c r="D5" s="353"/>
      <c r="E5" s="952"/>
      <c r="G5" s="952"/>
      <c r="I5" s="952"/>
      <c r="K5" s="952"/>
      <c r="M5" s="952"/>
      <c r="O5" s="952"/>
      <c r="P5" s="952"/>
      <c r="Q5" s="952"/>
      <c r="S5" s="952"/>
      <c r="U5" s="952"/>
    </row>
    <row r="6" spans="1:49" s="972" customFormat="1" ht="12.75" customHeight="1" x14ac:dyDescent="0.2">
      <c r="A6" s="352" t="s">
        <v>972</v>
      </c>
      <c r="B6" s="607"/>
      <c r="C6" s="607"/>
      <c r="D6" s="295"/>
      <c r="E6" s="971"/>
      <c r="G6" s="971"/>
      <c r="I6" s="971"/>
      <c r="K6" s="971"/>
      <c r="M6" s="971"/>
      <c r="O6" s="971"/>
      <c r="P6" s="971"/>
      <c r="Q6" s="971"/>
      <c r="S6" s="971"/>
      <c r="U6" s="971"/>
    </row>
    <row r="7" spans="1:49" s="514" customFormat="1" ht="12.6" customHeight="1" x14ac:dyDescent="0.2">
      <c r="E7" s="953"/>
      <c r="G7" s="953"/>
      <c r="I7" s="953"/>
      <c r="K7" s="953"/>
      <c r="M7" s="953"/>
      <c r="O7" s="953"/>
      <c r="P7" s="953"/>
      <c r="Q7" s="953"/>
      <c r="S7" s="953"/>
      <c r="U7" s="953"/>
    </row>
    <row r="8" spans="1:49" s="434" customFormat="1" ht="12.6" customHeight="1" x14ac:dyDescent="0.2">
      <c r="F8" s="920"/>
      <c r="G8" s="1589" t="s">
        <v>788</v>
      </c>
      <c r="H8" s="1589"/>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row>
    <row r="9" spans="1:49" s="445" customFormat="1" ht="15" x14ac:dyDescent="0.2">
      <c r="E9" s="740">
        <v>2002</v>
      </c>
      <c r="F9" s="741"/>
      <c r="G9" s="740">
        <v>2003</v>
      </c>
      <c r="H9" s="741"/>
      <c r="I9" s="740">
        <v>2004</v>
      </c>
      <c r="J9" s="741"/>
      <c r="K9" s="740">
        <v>2005</v>
      </c>
      <c r="L9" s="741"/>
      <c r="M9" s="742">
        <v>2006</v>
      </c>
      <c r="N9" s="743"/>
      <c r="O9" s="742">
        <v>2007</v>
      </c>
      <c r="Q9" s="744">
        <v>2008</v>
      </c>
      <c r="S9" s="744">
        <v>2009</v>
      </c>
      <c r="U9" s="740">
        <v>2010</v>
      </c>
      <c r="W9" s="744">
        <v>2011</v>
      </c>
      <c r="Y9" s="744">
        <v>2012</v>
      </c>
      <c r="AA9" s="740" t="s">
        <v>1441</v>
      </c>
      <c r="AC9" s="740">
        <v>2014</v>
      </c>
      <c r="AE9" s="740">
        <v>2015</v>
      </c>
      <c r="AG9" s="740">
        <v>2016</v>
      </c>
      <c r="AI9" s="740">
        <v>2017</v>
      </c>
      <c r="AK9" s="740">
        <v>2018</v>
      </c>
      <c r="AM9" s="740">
        <v>2019</v>
      </c>
      <c r="AO9" s="740">
        <v>2020</v>
      </c>
      <c r="AQ9" s="740">
        <v>2021</v>
      </c>
      <c r="AR9" s="741"/>
      <c r="AS9" s="740" t="s">
        <v>1671</v>
      </c>
      <c r="AT9" s="741"/>
      <c r="AU9" s="740" t="s">
        <v>1672</v>
      </c>
      <c r="AW9" s="740">
        <v>2024</v>
      </c>
    </row>
    <row r="10" spans="1:49" s="418" customFormat="1" ht="9.9499999999999993" customHeight="1" x14ac:dyDescent="0.2">
      <c r="A10" s="417" t="s">
        <v>868</v>
      </c>
      <c r="B10" s="417"/>
      <c r="C10" s="417"/>
      <c r="E10" s="952"/>
      <c r="G10" s="952"/>
      <c r="I10" s="952"/>
      <c r="K10" s="952"/>
      <c r="M10" s="952"/>
      <c r="O10" s="952"/>
      <c r="P10" s="952"/>
      <c r="Q10" s="952"/>
      <c r="S10" s="952"/>
      <c r="U10" s="952"/>
      <c r="W10" s="952"/>
      <c r="Y10" s="952"/>
      <c r="AC10" s="952"/>
      <c r="AE10" s="952"/>
      <c r="AG10" s="952"/>
      <c r="AI10" s="952"/>
      <c r="AK10" s="952"/>
      <c r="AM10" s="952"/>
      <c r="AO10" s="952"/>
      <c r="AQ10" s="952"/>
      <c r="AR10" s="952"/>
      <c r="AS10" s="952"/>
      <c r="AT10" s="952"/>
      <c r="AU10" s="952"/>
      <c r="AW10" s="952"/>
    </row>
    <row r="11" spans="1:49" s="448" customFormat="1" ht="9.9499999999999993" customHeight="1" x14ac:dyDescent="0.2">
      <c r="B11" s="418" t="s">
        <v>835</v>
      </c>
      <c r="C11" s="450"/>
      <c r="E11" s="461">
        <f>227599+157593+3628+26042+45007+3064</f>
        <v>462933</v>
      </c>
      <c r="F11" s="450"/>
      <c r="G11" s="461">
        <f>239215+156322+3863+26364+44633+3069</f>
        <v>473466</v>
      </c>
      <c r="H11" s="450"/>
      <c r="I11" s="461">
        <f>258031+162383+4189+26550+46343+2998</f>
        <v>500494</v>
      </c>
      <c r="J11" s="450"/>
      <c r="K11" s="461">
        <f>271490+167332+4473+26274+51717+3434</f>
        <v>524720</v>
      </c>
      <c r="L11" s="450"/>
      <c r="M11" s="461">
        <f>289348+210141+4932+30823+58672+3463</f>
        <v>597379</v>
      </c>
      <c r="N11" s="461"/>
      <c r="O11" s="461">
        <v>653427</v>
      </c>
      <c r="Q11" s="461">
        <v>718860</v>
      </c>
      <c r="S11" s="461">
        <v>729808</v>
      </c>
      <c r="U11" s="461">
        <v>733694</v>
      </c>
      <c r="W11" s="461">
        <v>740039</v>
      </c>
      <c r="Y11" s="461">
        <v>766903</v>
      </c>
      <c r="AA11" s="461">
        <v>808185</v>
      </c>
      <c r="AC11" s="461">
        <v>872987</v>
      </c>
      <c r="AE11" s="461">
        <v>912934</v>
      </c>
      <c r="AG11" s="461">
        <v>973357</v>
      </c>
      <c r="AI11" s="461">
        <v>1032903</v>
      </c>
      <c r="AK11" s="461">
        <v>1091138</v>
      </c>
      <c r="AM11" s="461">
        <v>1161167</v>
      </c>
      <c r="AO11" s="461">
        <v>1133948</v>
      </c>
      <c r="AQ11" s="461">
        <f>SUM('[4]SORECGF-major'!Y14:Y19)</f>
        <v>1227421</v>
      </c>
      <c r="AR11" s="461"/>
      <c r="AS11" s="461">
        <v>1350905</v>
      </c>
      <c r="AT11" s="461"/>
      <c r="AU11" s="461">
        <v>1422873</v>
      </c>
      <c r="AW11" s="461">
        <f>SUM('SORECGF-major'!Y14:Y19)</f>
        <v>1479496</v>
      </c>
    </row>
    <row r="12" spans="1:49" s="450" customFormat="1" ht="9.9499999999999993" customHeight="1" x14ac:dyDescent="0.2">
      <c r="A12" s="418"/>
      <c r="B12" s="418" t="s">
        <v>945</v>
      </c>
      <c r="E12" s="450">
        <v>13302</v>
      </c>
      <c r="G12" s="450">
        <v>13912</v>
      </c>
      <c r="I12" s="450">
        <v>17026</v>
      </c>
      <c r="K12" s="450">
        <v>20716</v>
      </c>
      <c r="M12" s="450">
        <v>19765</v>
      </c>
      <c r="O12" s="450">
        <v>6927</v>
      </c>
      <c r="Q12" s="450">
        <v>7756</v>
      </c>
      <c r="S12" s="450">
        <v>7090</v>
      </c>
      <c r="U12" s="450">
        <v>7769</v>
      </c>
      <c r="W12" s="450">
        <v>8680</v>
      </c>
      <c r="Y12" s="450">
        <v>8469</v>
      </c>
      <c r="AA12" s="450">
        <v>8343</v>
      </c>
      <c r="AC12" s="450">
        <v>7396</v>
      </c>
      <c r="AE12" s="450">
        <v>8107</v>
      </c>
      <c r="AG12" s="450">
        <v>8961</v>
      </c>
      <c r="AI12" s="450">
        <v>9264</v>
      </c>
      <c r="AK12" s="450">
        <v>9160</v>
      </c>
      <c r="AM12" s="450">
        <v>7351</v>
      </c>
      <c r="AO12" s="450">
        <v>9130</v>
      </c>
      <c r="AQ12" s="450">
        <f>SUM('[4]SORECGF-major'!Y20)</f>
        <v>8806</v>
      </c>
      <c r="AS12" s="450">
        <v>9377</v>
      </c>
      <c r="AU12" s="450">
        <v>9907</v>
      </c>
      <c r="AW12" s="450">
        <f>SUM('SORECGF-major'!Y20)</f>
        <v>10047</v>
      </c>
    </row>
    <row r="13" spans="1:49" s="450" customFormat="1" ht="9.9499999999999993" customHeight="1" x14ac:dyDescent="0.2">
      <c r="A13" s="418"/>
      <c r="B13" s="418" t="s">
        <v>823</v>
      </c>
      <c r="C13" s="418"/>
      <c r="E13" s="450">
        <v>186828</v>
      </c>
      <c r="G13" s="450">
        <v>186812</v>
      </c>
      <c r="I13" s="450">
        <v>181717</v>
      </c>
      <c r="K13" s="450">
        <v>190251</v>
      </c>
      <c r="M13" s="450">
        <v>192285</v>
      </c>
      <c r="O13" s="450">
        <v>202667</v>
      </c>
      <c r="P13" s="450">
        <v>0</v>
      </c>
      <c r="Q13" s="450">
        <v>221943</v>
      </c>
      <c r="S13" s="450">
        <v>229476</v>
      </c>
      <c r="U13" s="450">
        <v>269315</v>
      </c>
      <c r="W13" s="450">
        <v>306813</v>
      </c>
      <c r="Y13" s="450">
        <v>245030</v>
      </c>
      <c r="AA13" s="450">
        <v>230356</v>
      </c>
      <c r="AC13" s="450">
        <v>240847</v>
      </c>
      <c r="AE13" s="450">
        <v>198307</v>
      </c>
      <c r="AG13" s="450">
        <v>235542</v>
      </c>
      <c r="AI13" s="450">
        <v>233963</v>
      </c>
      <c r="AK13" s="450">
        <v>216367</v>
      </c>
      <c r="AM13" s="450">
        <v>224753</v>
      </c>
      <c r="AO13" s="450">
        <v>334617</v>
      </c>
      <c r="AQ13" s="450">
        <f>SUM('[4]SORECGF-major'!Y21)</f>
        <v>452002</v>
      </c>
      <c r="AS13" s="450">
        <v>513446</v>
      </c>
      <c r="AU13" s="450">
        <v>421618</v>
      </c>
      <c r="AW13" s="450">
        <f>SUM('SORECGF-major'!Y21)</f>
        <v>494246</v>
      </c>
    </row>
    <row r="14" spans="1:49" s="418" customFormat="1" ht="9.9499999999999993" customHeight="1" x14ac:dyDescent="0.2">
      <c r="B14" s="418" t="s">
        <v>947</v>
      </c>
      <c r="C14" s="448"/>
      <c r="E14" s="450">
        <v>171234</v>
      </c>
      <c r="F14" s="450"/>
      <c r="G14" s="450">
        <v>210466</v>
      </c>
      <c r="H14" s="450"/>
      <c r="I14" s="450">
        <v>196405</v>
      </c>
      <c r="J14" s="450"/>
      <c r="K14" s="450">
        <v>221775</v>
      </c>
      <c r="L14" s="450"/>
      <c r="M14" s="450">
        <v>256368</v>
      </c>
      <c r="N14" s="450"/>
      <c r="O14" s="450">
        <v>257687</v>
      </c>
      <c r="Q14" s="450">
        <v>304158</v>
      </c>
      <c r="S14" s="450">
        <v>275605</v>
      </c>
      <c r="U14" s="450">
        <v>292726</v>
      </c>
      <c r="W14" s="450">
        <v>308451</v>
      </c>
      <c r="Y14" s="450">
        <v>299306</v>
      </c>
      <c r="AA14" s="450">
        <v>307300</v>
      </c>
      <c r="AC14" s="450">
        <v>348480</v>
      </c>
      <c r="AE14" s="450">
        <v>348997</v>
      </c>
      <c r="AG14" s="450">
        <v>345666</v>
      </c>
      <c r="AI14" s="450">
        <v>363612</v>
      </c>
      <c r="AK14" s="450">
        <v>389319</v>
      </c>
      <c r="AM14" s="450">
        <v>377652</v>
      </c>
      <c r="AO14" s="450">
        <v>373426</v>
      </c>
      <c r="AQ14" s="450">
        <f>SUM('[4]SORECGF-major'!Y22)</f>
        <v>383127</v>
      </c>
      <c r="AR14" s="450"/>
      <c r="AS14" s="450">
        <v>419985</v>
      </c>
      <c r="AT14" s="450"/>
      <c r="AU14" s="450">
        <v>487646</v>
      </c>
      <c r="AW14" s="450">
        <f>SUM('SORECGF-major'!Y22)</f>
        <v>500488</v>
      </c>
    </row>
    <row r="15" spans="1:49" s="448" customFormat="1" ht="9.9499999999999993" customHeight="1" x14ac:dyDescent="0.2">
      <c r="A15" s="418"/>
      <c r="B15" s="418" t="s">
        <v>948</v>
      </c>
      <c r="C15" s="418"/>
      <c r="E15" s="450">
        <v>84573</v>
      </c>
      <c r="F15" s="450"/>
      <c r="G15" s="450">
        <v>88040</v>
      </c>
      <c r="H15" s="450"/>
      <c r="I15" s="450">
        <v>93809</v>
      </c>
      <c r="J15" s="450"/>
      <c r="K15" s="450">
        <v>107264</v>
      </c>
      <c r="L15" s="450"/>
      <c r="M15" s="450">
        <v>120541</v>
      </c>
      <c r="N15" s="450"/>
      <c r="O15" s="450">
        <v>136950</v>
      </c>
      <c r="Q15" s="450">
        <v>148981</v>
      </c>
      <c r="S15" s="450">
        <v>143526</v>
      </c>
      <c r="U15" s="450">
        <v>144293</v>
      </c>
      <c r="W15" s="450">
        <v>117607</v>
      </c>
      <c r="Y15" s="450">
        <v>122229</v>
      </c>
      <c r="AA15" s="450">
        <v>131220</v>
      </c>
      <c r="AC15" s="450">
        <v>153995</v>
      </c>
      <c r="AE15" s="450">
        <v>169492</v>
      </c>
      <c r="AG15" s="450">
        <v>169896</v>
      </c>
      <c r="AI15" s="450">
        <v>187071</v>
      </c>
      <c r="AK15" s="450">
        <v>195946</v>
      </c>
      <c r="AM15" s="450">
        <v>198253</v>
      </c>
      <c r="AO15" s="450">
        <v>174734</v>
      </c>
      <c r="AQ15" s="450">
        <f>SUM('[4]SORECGF-major'!Y23)</f>
        <v>170886</v>
      </c>
      <c r="AR15" s="450"/>
      <c r="AS15" s="450">
        <v>227706</v>
      </c>
      <c r="AT15" s="450"/>
      <c r="AU15" s="450">
        <v>232364</v>
      </c>
      <c r="AW15" s="450">
        <f>SUM('SORECGF-major'!Y23)</f>
        <v>227880</v>
      </c>
    </row>
    <row r="16" spans="1:49" s="448" customFormat="1" ht="9.9499999999999993" customHeight="1" x14ac:dyDescent="0.2">
      <c r="A16" s="418"/>
      <c r="B16" s="418" t="s">
        <v>16</v>
      </c>
      <c r="C16" s="418"/>
      <c r="E16" s="450">
        <v>10829</v>
      </c>
      <c r="F16" s="450"/>
      <c r="G16" s="450">
        <v>11282</v>
      </c>
      <c r="H16" s="450"/>
      <c r="I16" s="450">
        <v>11713</v>
      </c>
      <c r="J16" s="450"/>
      <c r="K16" s="450">
        <v>12025</v>
      </c>
      <c r="L16" s="450"/>
      <c r="M16" s="450">
        <v>10948</v>
      </c>
      <c r="N16" s="450"/>
      <c r="O16" s="450">
        <v>15114</v>
      </c>
      <c r="Q16" s="450">
        <v>12249</v>
      </c>
      <c r="S16" s="450">
        <v>13111</v>
      </c>
      <c r="U16" s="450">
        <v>11506</v>
      </c>
      <c r="W16" s="450">
        <v>14124</v>
      </c>
      <c r="Y16" s="450">
        <v>14807</v>
      </c>
      <c r="AA16" s="450">
        <v>13925</v>
      </c>
      <c r="AC16" s="450">
        <v>13597</v>
      </c>
      <c r="AE16" s="450">
        <v>12589</v>
      </c>
      <c r="AG16" s="450">
        <v>11215</v>
      </c>
      <c r="AI16" s="450">
        <v>12317</v>
      </c>
      <c r="AK16" s="450">
        <v>12253</v>
      </c>
      <c r="AM16" s="450">
        <v>10247</v>
      </c>
      <c r="AO16" s="450">
        <v>6470</v>
      </c>
      <c r="AQ16" s="450">
        <f>SUM('[4]SORECGF-major'!Y24)</f>
        <v>6256</v>
      </c>
      <c r="AR16" s="450"/>
      <c r="AS16" s="450">
        <v>7153</v>
      </c>
      <c r="AT16" s="450"/>
      <c r="AU16" s="450">
        <v>10204</v>
      </c>
      <c r="AW16" s="450">
        <f>SUM('SORECGF-major'!Y24)</f>
        <v>9959</v>
      </c>
    </row>
    <row r="17" spans="1:51" s="418" customFormat="1" ht="9.9499999999999993" customHeight="1" x14ac:dyDescent="0.2">
      <c r="B17" s="418" t="s">
        <v>775</v>
      </c>
      <c r="E17" s="450">
        <v>23887</v>
      </c>
      <c r="F17" s="450"/>
      <c r="G17" s="450">
        <v>49897</v>
      </c>
      <c r="H17" s="450"/>
      <c r="I17" s="450">
        <v>34326</v>
      </c>
      <c r="J17" s="450"/>
      <c r="K17" s="450">
        <v>26848</v>
      </c>
      <c r="L17" s="450"/>
      <c r="M17" s="450">
        <v>27305</v>
      </c>
      <c r="N17" s="450"/>
      <c r="O17" s="450">
        <v>24498</v>
      </c>
      <c r="Q17" s="450">
        <v>29471</v>
      </c>
      <c r="S17" s="450">
        <v>30631</v>
      </c>
      <c r="U17" s="450">
        <v>34393</v>
      </c>
      <c r="W17" s="450">
        <v>40626</v>
      </c>
      <c r="Y17" s="450">
        <v>43989</v>
      </c>
      <c r="AA17" s="450">
        <v>35308</v>
      </c>
      <c r="AC17" s="450">
        <v>50955</v>
      </c>
      <c r="AE17" s="450">
        <v>57546</v>
      </c>
      <c r="AG17" s="450">
        <v>69440</v>
      </c>
      <c r="AI17" s="450">
        <v>70978</v>
      </c>
      <c r="AK17" s="450">
        <v>78534</v>
      </c>
      <c r="AM17" s="450">
        <v>90929</v>
      </c>
      <c r="AO17" s="450">
        <v>66979</v>
      </c>
      <c r="AQ17" s="450">
        <f>SUM('[4]SORECGF-major'!Y25)</f>
        <v>76404</v>
      </c>
      <c r="AR17" s="450"/>
      <c r="AS17" s="450">
        <v>102973</v>
      </c>
      <c r="AT17" s="450"/>
      <c r="AU17" s="450">
        <v>81987</v>
      </c>
      <c r="AW17" s="450">
        <f>SUM('SORECGF-major'!Y25)</f>
        <v>77864</v>
      </c>
    </row>
    <row r="18" spans="1:51" s="418" customFormat="1" ht="9.9499999999999993" customHeight="1" x14ac:dyDescent="0.2">
      <c r="A18" s="417"/>
      <c r="B18" s="418" t="s">
        <v>1591</v>
      </c>
      <c r="C18" s="448"/>
      <c r="E18" s="450">
        <f>12409-353</f>
        <v>12056</v>
      </c>
      <c r="F18" s="450"/>
      <c r="G18" s="450">
        <f>7954-17</f>
        <v>7937</v>
      </c>
      <c r="H18" s="450"/>
      <c r="I18" s="450">
        <v>6896</v>
      </c>
      <c r="J18" s="450"/>
      <c r="K18" s="450">
        <v>18544</v>
      </c>
      <c r="L18" s="450"/>
      <c r="M18" s="450">
        <f>35791+39</f>
        <v>35830</v>
      </c>
      <c r="N18" s="450"/>
      <c r="O18" s="450">
        <v>50050</v>
      </c>
      <c r="Q18" s="450">
        <v>35412</v>
      </c>
      <c r="S18" s="450">
        <v>15696</v>
      </c>
      <c r="U18" s="450">
        <v>6383</v>
      </c>
      <c r="W18" s="450">
        <v>5515</v>
      </c>
      <c r="Y18" s="450">
        <v>4354</v>
      </c>
      <c r="AA18" s="450">
        <v>4232</v>
      </c>
      <c r="AC18" s="450">
        <v>3505</v>
      </c>
      <c r="AE18" s="450">
        <v>2761</v>
      </c>
      <c r="AG18" s="450">
        <v>4158</v>
      </c>
      <c r="AI18" s="450">
        <v>7006</v>
      </c>
      <c r="AK18" s="450">
        <v>16261</v>
      </c>
      <c r="AM18" s="450">
        <v>34280</v>
      </c>
      <c r="AO18" s="450">
        <v>23090</v>
      </c>
      <c r="AQ18" s="450">
        <f>SUM('[4]SORECGF-major'!Y26)</f>
        <v>1679</v>
      </c>
      <c r="AR18" s="450"/>
      <c r="AS18" s="450">
        <v>-15056</v>
      </c>
      <c r="AT18" s="450"/>
      <c r="AU18" s="450">
        <v>73778</v>
      </c>
      <c r="AW18" s="450">
        <f>SUM('SORECGF-major'!Y26)</f>
        <v>123362</v>
      </c>
    </row>
    <row r="19" spans="1:51" s="418" customFormat="1" ht="9.9499999999999993" customHeight="1" x14ac:dyDescent="0.2">
      <c r="B19" s="418" t="s">
        <v>766</v>
      </c>
      <c r="E19" s="450"/>
      <c r="F19" s="450"/>
      <c r="G19" s="450"/>
      <c r="H19" s="450"/>
      <c r="I19" s="450"/>
      <c r="J19" s="450"/>
      <c r="K19" s="450"/>
      <c r="L19" s="450"/>
      <c r="M19" s="450">
        <v>19871</v>
      </c>
      <c r="N19" s="450"/>
      <c r="O19" s="450">
        <v>29744</v>
      </c>
      <c r="Q19" s="450">
        <v>15053</v>
      </c>
      <c r="S19" s="450">
        <v>30359</v>
      </c>
      <c r="U19" s="450">
        <v>83541</v>
      </c>
      <c r="W19" s="450">
        <v>104709</v>
      </c>
      <c r="Y19" s="450">
        <v>123020</v>
      </c>
      <c r="AA19" s="450">
        <v>128012</v>
      </c>
      <c r="AC19" s="450">
        <v>30579</v>
      </c>
      <c r="AE19" s="450">
        <v>31596</v>
      </c>
      <c r="AG19" s="450">
        <v>44141</v>
      </c>
      <c r="AI19" s="450">
        <v>48587</v>
      </c>
      <c r="AK19" s="450">
        <v>47579</v>
      </c>
      <c r="AM19" s="455">
        <v>45368</v>
      </c>
      <c r="AO19" s="450">
        <v>45582</v>
      </c>
      <c r="AQ19" s="450">
        <f>SUM('[4]SORECGF-major'!Y27)</f>
        <v>48169</v>
      </c>
      <c r="AR19" s="450"/>
      <c r="AS19" s="450">
        <v>227114</v>
      </c>
      <c r="AT19" s="450"/>
      <c r="AU19" s="450">
        <v>26710</v>
      </c>
      <c r="AW19" s="450">
        <f>SUM('SORECGF-major'!Y27)</f>
        <v>24412</v>
      </c>
    </row>
    <row r="20" spans="1:51" s="450" customFormat="1" ht="9.9499999999999993" hidden="1" customHeight="1" x14ac:dyDescent="0.2">
      <c r="A20" s="418"/>
      <c r="B20" s="418" t="s">
        <v>738</v>
      </c>
      <c r="E20" s="450">
        <v>14504</v>
      </c>
      <c r="G20" s="450">
        <v>19887</v>
      </c>
      <c r="I20" s="450">
        <v>10407</v>
      </c>
      <c r="K20" s="450">
        <v>24872</v>
      </c>
      <c r="M20" s="450">
        <v>15617</v>
      </c>
      <c r="O20" s="450">
        <v>13786</v>
      </c>
      <c r="Q20" s="450">
        <v>16222</v>
      </c>
      <c r="S20" s="450">
        <v>13273</v>
      </c>
    </row>
    <row r="21" spans="1:51" hidden="1" x14ac:dyDescent="0.2"/>
    <row r="22" spans="1:51" s="528" customFormat="1" ht="5.0999999999999996" customHeight="1" x14ac:dyDescent="0.2">
      <c r="E22" s="973"/>
      <c r="F22" s="974"/>
      <c r="G22" s="973"/>
      <c r="H22" s="974"/>
      <c r="I22" s="973"/>
      <c r="J22" s="974"/>
      <c r="K22" s="973"/>
      <c r="L22" s="974"/>
      <c r="M22" s="973"/>
      <c r="N22" s="974"/>
      <c r="O22" s="973"/>
      <c r="Q22" s="973"/>
      <c r="S22" s="973"/>
      <c r="U22" s="973"/>
      <c r="W22" s="973"/>
      <c r="Y22" s="973"/>
      <c r="AA22" s="973"/>
      <c r="AC22" s="973"/>
      <c r="AE22" s="973"/>
      <c r="AG22" s="973"/>
      <c r="AI22" s="973"/>
      <c r="AK22" s="973"/>
      <c r="AM22" s="974"/>
      <c r="AO22" s="973"/>
      <c r="AQ22" s="973"/>
      <c r="AR22" s="974"/>
      <c r="AS22" s="973"/>
      <c r="AT22" s="974"/>
      <c r="AU22" s="973"/>
      <c r="AW22" s="973"/>
    </row>
    <row r="23" spans="1:51" s="448" customFormat="1" ht="11.1" customHeight="1" x14ac:dyDescent="0.2">
      <c r="A23" s="417" t="s">
        <v>950</v>
      </c>
      <c r="B23" s="418"/>
      <c r="C23" s="418"/>
      <c r="D23" s="418"/>
      <c r="E23" s="455">
        <f>SUM(E11:E20)</f>
        <v>980146</v>
      </c>
      <c r="F23" s="450"/>
      <c r="G23" s="455">
        <f>SUM(G11:G20)</f>
        <v>1061699</v>
      </c>
      <c r="H23" s="450"/>
      <c r="I23" s="455">
        <f>SUM(I11:I20)</f>
        <v>1052793</v>
      </c>
      <c r="J23" s="450"/>
      <c r="K23" s="455">
        <f>SUM(K11:K20)</f>
        <v>1147015</v>
      </c>
      <c r="L23" s="450"/>
      <c r="M23" s="455">
        <f>SUM(M11:M20)</f>
        <v>1295909</v>
      </c>
      <c r="N23" s="450"/>
      <c r="O23" s="455">
        <f>SUM(O11:O20)</f>
        <v>1390850</v>
      </c>
      <c r="Q23" s="455">
        <f>SUM(Q11:Q20)</f>
        <v>1510105</v>
      </c>
      <c r="S23" s="455">
        <f>SUM(S11:S20)</f>
        <v>1488575</v>
      </c>
      <c r="U23" s="455">
        <f>SUM(U11:U20)</f>
        <v>1583620</v>
      </c>
      <c r="W23" s="455">
        <f>SUM(W11:W20)</f>
        <v>1646564</v>
      </c>
      <c r="Y23" s="455">
        <f>SUM(Y11:Y20)</f>
        <v>1628107</v>
      </c>
      <c r="AA23" s="455">
        <f>SUM(AA11:AA20)</f>
        <v>1666881</v>
      </c>
      <c r="AC23" s="455">
        <f>SUM(AC11:AC20)</f>
        <v>1722341</v>
      </c>
      <c r="AE23" s="455">
        <f>SUM(AE11:AE20)</f>
        <v>1742329</v>
      </c>
      <c r="AG23" s="455">
        <f>SUM(AG11:AG20)</f>
        <v>1862376</v>
      </c>
      <c r="AI23" s="455">
        <f>SUM(AI11:AI20)</f>
        <v>1965701</v>
      </c>
      <c r="AK23" s="455">
        <f>SUM(AK11:AK20)</f>
        <v>2056557</v>
      </c>
      <c r="AM23" s="455">
        <f>SUM(AM11:AM20)</f>
        <v>2150000</v>
      </c>
      <c r="AO23" s="455">
        <f>SUM(AO11:AO20)</f>
        <v>2167976</v>
      </c>
      <c r="AQ23" s="455">
        <f>SUM(AQ11:AQ20)</f>
        <v>2374750</v>
      </c>
      <c r="AR23" s="450"/>
      <c r="AS23" s="455">
        <f>SUM(AS11:AS20)</f>
        <v>2843603</v>
      </c>
      <c r="AT23" s="450"/>
      <c r="AU23" s="455">
        <f>SUM(AU11:AU20)</f>
        <v>2767087</v>
      </c>
      <c r="AW23" s="455">
        <f>SUM(AW11:AW20)</f>
        <v>2947754</v>
      </c>
      <c r="AY23" s="1333">
        <f>+AW23-'SORECGF-major'!Y29</f>
        <v>0</v>
      </c>
    </row>
    <row r="24" spans="1:51" s="448" customFormat="1" ht="5.0999999999999996" customHeight="1" x14ac:dyDescent="0.2">
      <c r="B24" s="975"/>
      <c r="C24" s="975"/>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c r="AL24" s="975"/>
      <c r="AM24" s="975"/>
      <c r="AN24" s="975"/>
      <c r="AO24" s="975"/>
      <c r="AP24" s="975"/>
      <c r="AQ24" s="975"/>
      <c r="AR24" s="975"/>
      <c r="AS24" s="975"/>
      <c r="AT24" s="975"/>
      <c r="AU24" s="975"/>
      <c r="AV24" s="975"/>
      <c r="AW24" s="975"/>
      <c r="AX24" s="975"/>
      <c r="AY24" s="975"/>
    </row>
    <row r="25" spans="1:51" s="448" customFormat="1" ht="9.9499999999999993" customHeight="1" x14ac:dyDescent="0.2">
      <c r="B25" s="975"/>
      <c r="C25" s="975"/>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c r="AL25" s="975"/>
      <c r="AM25" s="975"/>
      <c r="AN25" s="975"/>
      <c r="AO25" s="975"/>
      <c r="AP25" s="975"/>
      <c r="AQ25" s="975"/>
      <c r="AR25" s="975"/>
      <c r="AS25" s="975"/>
      <c r="AT25" s="975"/>
      <c r="AU25" s="975"/>
      <c r="AV25" s="975"/>
      <c r="AW25" s="975"/>
      <c r="AX25" s="975"/>
      <c r="AY25" s="975"/>
    </row>
    <row r="26" spans="1:51" s="418" customFormat="1" ht="9.9499999999999993" customHeight="1" x14ac:dyDescent="0.2">
      <c r="A26" s="417" t="s">
        <v>590</v>
      </c>
      <c r="B26" s="417"/>
      <c r="C26" s="417"/>
      <c r="E26" s="450"/>
      <c r="F26" s="450"/>
      <c r="G26" s="450"/>
      <c r="H26" s="450"/>
      <c r="I26" s="450"/>
      <c r="J26" s="450"/>
      <c r="K26" s="450"/>
      <c r="L26" s="450"/>
      <c r="M26" s="450"/>
      <c r="N26" s="450"/>
      <c r="O26" s="450"/>
      <c r="Q26" s="450"/>
      <c r="S26" s="450"/>
      <c r="U26" s="450"/>
      <c r="W26" s="450"/>
      <c r="Y26" s="450"/>
      <c r="AA26" s="450"/>
      <c r="AC26" s="450"/>
      <c r="AE26" s="450"/>
      <c r="AG26" s="450"/>
      <c r="AI26" s="450"/>
      <c r="AK26" s="450"/>
      <c r="AM26" s="450"/>
      <c r="AO26" s="450"/>
      <c r="AQ26" s="450"/>
      <c r="AR26" s="450"/>
      <c r="AS26" s="450"/>
      <c r="AT26" s="450"/>
      <c r="AU26" s="450"/>
      <c r="AW26" s="450"/>
    </row>
    <row r="27" spans="1:51" s="448" customFormat="1" ht="9.9499999999999993" customHeight="1" x14ac:dyDescent="0.2">
      <c r="A27" s="418"/>
      <c r="B27" s="418" t="s">
        <v>953</v>
      </c>
      <c r="C27" s="418"/>
      <c r="E27" s="450">
        <v>64833</v>
      </c>
      <c r="F27" s="450"/>
      <c r="G27" s="450">
        <v>64177</v>
      </c>
      <c r="H27" s="450"/>
      <c r="I27" s="450">
        <v>59601</v>
      </c>
      <c r="J27" s="450"/>
      <c r="K27" s="450">
        <v>69332</v>
      </c>
      <c r="L27" s="450"/>
      <c r="M27" s="450">
        <v>80672</v>
      </c>
      <c r="N27" s="450"/>
      <c r="O27" s="450">
        <v>114968</v>
      </c>
      <c r="Q27" s="450">
        <v>117853</v>
      </c>
      <c r="S27" s="450">
        <v>85651</v>
      </c>
      <c r="U27" s="450">
        <v>92054</v>
      </c>
      <c r="W27" s="450">
        <v>93797</v>
      </c>
      <c r="Y27" s="450">
        <v>105291</v>
      </c>
      <c r="AA27" s="450">
        <v>94973</v>
      </c>
      <c r="AC27" s="450">
        <v>74902</v>
      </c>
      <c r="AE27" s="450">
        <v>79295</v>
      </c>
      <c r="AG27" s="450">
        <v>85007</v>
      </c>
      <c r="AI27" s="450">
        <v>88856</v>
      </c>
      <c r="AK27" s="450">
        <v>89784</v>
      </c>
      <c r="AM27" s="450">
        <v>95349</v>
      </c>
      <c r="AO27" s="450">
        <v>94251</v>
      </c>
      <c r="AQ27" s="450">
        <f>SUM('[4]SORECGF-major'!Y33)</f>
        <v>97902</v>
      </c>
      <c r="AR27" s="450"/>
      <c r="AS27" s="450">
        <v>119448</v>
      </c>
      <c r="AT27" s="450"/>
      <c r="AU27" s="450">
        <v>113130</v>
      </c>
      <c r="AW27" s="450">
        <f>SUM('SORECGF-major'!Y33)</f>
        <v>158361</v>
      </c>
    </row>
    <row r="28" spans="1:51" s="450" customFormat="1" ht="9.9499999999999993" customHeight="1" x14ac:dyDescent="0.2">
      <c r="A28" s="418"/>
      <c r="B28" s="418" t="s">
        <v>954</v>
      </c>
      <c r="C28" s="418"/>
      <c r="E28" s="450">
        <v>364240</v>
      </c>
      <c r="G28" s="450">
        <v>375090</v>
      </c>
      <c r="I28" s="450">
        <v>391950</v>
      </c>
      <c r="K28" s="450">
        <v>419634</v>
      </c>
      <c r="M28" s="450">
        <v>440231</v>
      </c>
      <c r="O28" s="450">
        <v>450664</v>
      </c>
      <c r="Q28" s="450">
        <v>472904</v>
      </c>
      <c r="S28" s="450">
        <v>501560</v>
      </c>
      <c r="U28" s="450">
        <v>522982</v>
      </c>
      <c r="W28" s="450">
        <v>553324</v>
      </c>
      <c r="Y28" s="450">
        <v>571221</v>
      </c>
      <c r="AA28" s="450">
        <v>659949</v>
      </c>
      <c r="AC28" s="450">
        <v>688987</v>
      </c>
      <c r="AE28" s="450">
        <v>711201</v>
      </c>
      <c r="AG28" s="450">
        <v>731816</v>
      </c>
      <c r="AI28" s="450">
        <v>751133</v>
      </c>
      <c r="AK28" s="450">
        <v>774563</v>
      </c>
      <c r="AM28" s="450">
        <v>793409</v>
      </c>
      <c r="AO28" s="450">
        <v>841487</v>
      </c>
      <c r="AQ28" s="450">
        <f>SUM('[4]SORECGF-major'!Y34)</f>
        <v>846099</v>
      </c>
      <c r="AS28" s="450">
        <v>876169</v>
      </c>
      <c r="AU28" s="450">
        <v>900611</v>
      </c>
      <c r="AW28" s="450">
        <f>SUM('SORECGF-major'!Y34)</f>
        <v>1030099</v>
      </c>
    </row>
    <row r="29" spans="1:51" s="450" customFormat="1" ht="9.9499999999999993" customHeight="1" x14ac:dyDescent="0.2">
      <c r="A29" s="418"/>
      <c r="B29" s="418" t="s">
        <v>955</v>
      </c>
      <c r="C29" s="418"/>
      <c r="E29" s="450">
        <v>67129</v>
      </c>
      <c r="G29" s="450">
        <v>68351</v>
      </c>
      <c r="I29" s="450">
        <v>65205</v>
      </c>
      <c r="K29" s="450">
        <v>85940</v>
      </c>
      <c r="M29" s="450">
        <v>119697</v>
      </c>
      <c r="O29" s="450">
        <v>101433</v>
      </c>
      <c r="Q29" s="450">
        <v>121023</v>
      </c>
      <c r="S29" s="450">
        <v>103127</v>
      </c>
      <c r="U29" s="450">
        <v>114327</v>
      </c>
      <c r="W29" s="450">
        <v>93975</v>
      </c>
      <c r="Y29" s="450">
        <v>88697</v>
      </c>
      <c r="AA29" s="450">
        <v>92498</v>
      </c>
      <c r="AC29" s="450">
        <v>164768</v>
      </c>
      <c r="AE29" s="450">
        <v>112470</v>
      </c>
      <c r="AG29" s="450">
        <v>118290</v>
      </c>
      <c r="AI29" s="450">
        <v>131310</v>
      </c>
      <c r="AK29" s="450">
        <v>127177</v>
      </c>
      <c r="AM29" s="450">
        <v>130575</v>
      </c>
      <c r="AO29" s="450">
        <v>121029</v>
      </c>
      <c r="AQ29" s="450">
        <f>SUM('[4]SORECGF-major'!Y35)</f>
        <v>133909</v>
      </c>
      <c r="AS29" s="450">
        <v>149325</v>
      </c>
      <c r="AU29" s="450">
        <v>154364</v>
      </c>
      <c r="AW29" s="450">
        <f>SUM('SORECGF-major'!Y35)</f>
        <v>159824</v>
      </c>
    </row>
    <row r="30" spans="1:51" s="418" customFormat="1" ht="9.9499999999999993" customHeight="1" x14ac:dyDescent="0.2">
      <c r="B30" s="418" t="s">
        <v>956</v>
      </c>
      <c r="E30" s="450">
        <v>76542</v>
      </c>
      <c r="F30" s="450"/>
      <c r="G30" s="450">
        <v>83608</v>
      </c>
      <c r="H30" s="450"/>
      <c r="I30" s="450">
        <v>79843</v>
      </c>
      <c r="J30" s="450"/>
      <c r="K30" s="450">
        <v>88533</v>
      </c>
      <c r="L30" s="450"/>
      <c r="M30" s="450">
        <v>86258</v>
      </c>
      <c r="N30" s="450"/>
      <c r="O30" s="450">
        <v>92350</v>
      </c>
      <c r="Q30" s="450">
        <v>90086</v>
      </c>
      <c r="S30" s="450">
        <v>90615</v>
      </c>
      <c r="U30" s="450">
        <v>96342</v>
      </c>
      <c r="W30" s="450">
        <v>102723</v>
      </c>
      <c r="Y30" s="450">
        <v>100061</v>
      </c>
      <c r="AA30" s="450">
        <v>36625</v>
      </c>
      <c r="AC30" s="450">
        <v>52499</v>
      </c>
      <c r="AE30" s="450">
        <v>56133</v>
      </c>
      <c r="AG30" s="450">
        <v>58533</v>
      </c>
      <c r="AI30" s="450">
        <v>63729</v>
      </c>
      <c r="AK30" s="450">
        <v>61664</v>
      </c>
      <c r="AM30" s="450">
        <v>65001</v>
      </c>
      <c r="AO30" s="450">
        <v>77701</v>
      </c>
      <c r="AQ30" s="450">
        <f>SUM('[4]SORECGF-major'!Y36)</f>
        <v>103075</v>
      </c>
      <c r="AR30" s="450"/>
      <c r="AS30" s="450">
        <v>104886</v>
      </c>
      <c r="AT30" s="450"/>
      <c r="AU30" s="450">
        <v>116063</v>
      </c>
      <c r="AW30" s="450">
        <f>SUM('SORECGF-major'!Y36)</f>
        <v>120366</v>
      </c>
    </row>
    <row r="31" spans="1:51" s="418" customFormat="1" ht="9.9499999999999993" customHeight="1" x14ac:dyDescent="0.2">
      <c r="B31" s="418" t="s">
        <v>958</v>
      </c>
      <c r="E31" s="450">
        <v>56916</v>
      </c>
      <c r="F31" s="450"/>
      <c r="G31" s="450">
        <v>55775</v>
      </c>
      <c r="H31" s="450"/>
      <c r="I31" s="450">
        <v>57491</v>
      </c>
      <c r="J31" s="450"/>
      <c r="K31" s="450">
        <v>63116</v>
      </c>
      <c r="L31" s="450"/>
      <c r="M31" s="450">
        <v>70509</v>
      </c>
      <c r="N31" s="450"/>
      <c r="O31" s="450">
        <v>2824</v>
      </c>
      <c r="Q31" s="450">
        <v>4372</v>
      </c>
      <c r="S31" s="450">
        <v>3764</v>
      </c>
      <c r="U31" s="450">
        <v>8596</v>
      </c>
      <c r="W31" s="450">
        <v>20020</v>
      </c>
      <c r="Y31" s="450">
        <v>14590</v>
      </c>
      <c r="AA31" s="450">
        <v>13190</v>
      </c>
      <c r="AC31" s="450">
        <v>7050</v>
      </c>
      <c r="AE31" s="450">
        <v>6963</v>
      </c>
      <c r="AG31" s="450">
        <v>7174</v>
      </c>
      <c r="AI31" s="450">
        <v>9891</v>
      </c>
      <c r="AK31" s="450">
        <v>6957</v>
      </c>
      <c r="AM31" s="450">
        <v>7804</v>
      </c>
      <c r="AO31" s="450">
        <v>11251</v>
      </c>
      <c r="AQ31" s="450">
        <f>SUM('[4]SORECGF-major'!Y37)</f>
        <v>10353</v>
      </c>
      <c r="AR31" s="450"/>
      <c r="AS31" s="450">
        <v>11280</v>
      </c>
      <c r="AT31" s="450"/>
      <c r="AU31" s="450">
        <v>12631</v>
      </c>
      <c r="AW31" s="450">
        <f>SUM('SORECGF-major'!Y37)</f>
        <v>12609</v>
      </c>
    </row>
    <row r="32" spans="1:51" s="418" customFormat="1" ht="9.9499999999999993" customHeight="1" x14ac:dyDescent="0.2">
      <c r="B32" s="418" t="s">
        <v>959</v>
      </c>
      <c r="E32" s="450">
        <v>133160</v>
      </c>
      <c r="F32" s="450"/>
      <c r="G32" s="450">
        <v>134019</v>
      </c>
      <c r="H32" s="450"/>
      <c r="I32" s="450">
        <v>115614</v>
      </c>
      <c r="J32" s="450"/>
      <c r="K32" s="450">
        <v>131012</v>
      </c>
      <c r="L32" s="450"/>
      <c r="M32" s="450">
        <v>137711</v>
      </c>
      <c r="N32" s="450"/>
      <c r="O32" s="450">
        <v>153877</v>
      </c>
      <c r="Q32" s="450">
        <v>166263</v>
      </c>
      <c r="S32" s="450">
        <v>162411</v>
      </c>
      <c r="U32" s="450">
        <v>176961</v>
      </c>
      <c r="W32" s="450">
        <v>184942</v>
      </c>
      <c r="Y32" s="450">
        <v>156105</v>
      </c>
      <c r="AA32" s="450">
        <v>159528</v>
      </c>
      <c r="AC32" s="450">
        <v>113074</v>
      </c>
      <c r="AE32" s="450">
        <v>123064</v>
      </c>
      <c r="AG32" s="450">
        <v>128236</v>
      </c>
      <c r="AI32" s="450">
        <v>139916</v>
      </c>
      <c r="AK32" s="450">
        <v>144121</v>
      </c>
      <c r="AM32" s="450">
        <v>155572</v>
      </c>
      <c r="AO32" s="450">
        <v>184900</v>
      </c>
      <c r="AQ32" s="450">
        <f>SUM('[4]SORECGF-major'!Y38)</f>
        <v>199523</v>
      </c>
      <c r="AR32" s="450"/>
      <c r="AS32" s="450">
        <v>268786</v>
      </c>
      <c r="AT32" s="450"/>
      <c r="AU32" s="450">
        <v>239723</v>
      </c>
      <c r="AW32" s="450">
        <f>SUM('SORECGF-major'!Y38)</f>
        <v>265507</v>
      </c>
    </row>
    <row r="33" spans="1:49" s="418" customFormat="1" ht="9.9499999999999993" customHeight="1" x14ac:dyDescent="0.2">
      <c r="A33" s="417"/>
      <c r="B33" s="418" t="s">
        <v>961</v>
      </c>
      <c r="E33" s="450">
        <v>74985</v>
      </c>
      <c r="F33" s="450"/>
      <c r="G33" s="450">
        <v>74289</v>
      </c>
      <c r="H33" s="450"/>
      <c r="I33" s="450">
        <v>74343</v>
      </c>
      <c r="J33" s="450"/>
      <c r="K33" s="450">
        <v>79586</v>
      </c>
      <c r="L33" s="450"/>
      <c r="M33" s="450">
        <v>87136</v>
      </c>
      <c r="N33" s="450"/>
      <c r="O33" s="450">
        <v>85522</v>
      </c>
      <c r="Q33" s="450">
        <v>132750</v>
      </c>
      <c r="S33" s="450">
        <v>127830</v>
      </c>
      <c r="U33" s="450">
        <v>123202</v>
      </c>
      <c r="W33" s="450">
        <v>132801</v>
      </c>
      <c r="Y33" s="450">
        <v>132596</v>
      </c>
      <c r="AA33" s="450">
        <v>146270</v>
      </c>
      <c r="AC33" s="450">
        <v>142537</v>
      </c>
      <c r="AE33" s="450">
        <v>155098</v>
      </c>
      <c r="AG33" s="450">
        <v>161757</v>
      </c>
      <c r="AI33" s="450">
        <v>158688</v>
      </c>
      <c r="AK33" s="450">
        <v>172407</v>
      </c>
      <c r="AM33" s="450">
        <v>167426</v>
      </c>
      <c r="AO33" s="450">
        <v>158871</v>
      </c>
      <c r="AQ33" s="450">
        <f>SUM('[4]SORECGF-major'!Y39)</f>
        <v>176267</v>
      </c>
      <c r="AR33" s="450"/>
      <c r="AS33" s="450">
        <v>189894</v>
      </c>
      <c r="AT33" s="450"/>
      <c r="AU33" s="450">
        <v>214475</v>
      </c>
      <c r="AW33" s="450">
        <f>SUM('SORECGF-major'!Y39)</f>
        <v>224238</v>
      </c>
    </row>
    <row r="34" spans="1:49" s="418" customFormat="1" ht="9.9499999999999993" customHeight="1" x14ac:dyDescent="0.2">
      <c r="B34" s="418" t="s">
        <v>960</v>
      </c>
      <c r="E34" s="450">
        <v>49764</v>
      </c>
      <c r="F34" s="450"/>
      <c r="G34" s="450">
        <v>51452</v>
      </c>
      <c r="H34" s="450"/>
      <c r="I34" s="450">
        <v>48188</v>
      </c>
      <c r="J34" s="450"/>
      <c r="K34" s="450">
        <v>48315</v>
      </c>
      <c r="L34" s="450"/>
      <c r="M34" s="450">
        <v>87509</v>
      </c>
      <c r="N34" s="450"/>
      <c r="O34" s="450">
        <v>60288</v>
      </c>
      <c r="Q34" s="450">
        <v>20053</v>
      </c>
      <c r="S34" s="450">
        <v>20930</v>
      </c>
      <c r="U34" s="450">
        <v>21240</v>
      </c>
      <c r="W34" s="450">
        <v>20043</v>
      </c>
      <c r="Y34" s="450">
        <v>20158</v>
      </c>
      <c r="AA34" s="450">
        <v>18939</v>
      </c>
      <c r="AC34" s="450">
        <v>20969</v>
      </c>
      <c r="AE34" s="450">
        <v>23406</v>
      </c>
      <c r="AG34" s="450">
        <v>45246</v>
      </c>
      <c r="AI34" s="450">
        <v>51373</v>
      </c>
      <c r="AK34" s="450">
        <v>51829</v>
      </c>
      <c r="AM34" s="450">
        <v>61192</v>
      </c>
      <c r="AO34" s="450">
        <v>46981</v>
      </c>
      <c r="AQ34" s="450">
        <f>SUM('[4]SORECGF-major'!Y40)</f>
        <v>41235</v>
      </c>
      <c r="AR34" s="450"/>
      <c r="AS34" s="450">
        <v>233847</v>
      </c>
      <c r="AT34" s="450"/>
      <c r="AU34" s="450">
        <v>75023</v>
      </c>
      <c r="AW34" s="450">
        <f>SUM('SORECGF-major'!Y40)</f>
        <v>77945</v>
      </c>
    </row>
    <row r="35" spans="1:49" s="418" customFormat="1" ht="9.9499999999999993" hidden="1" customHeight="1" x14ac:dyDescent="0.2">
      <c r="B35" s="418" t="s">
        <v>962</v>
      </c>
      <c r="C35" s="417"/>
      <c r="E35" s="450">
        <v>63</v>
      </c>
      <c r="F35" s="450"/>
      <c r="G35" s="450"/>
      <c r="H35" s="450"/>
      <c r="I35" s="450"/>
      <c r="J35" s="450"/>
      <c r="K35" s="450">
        <v>2</v>
      </c>
      <c r="L35" s="450"/>
      <c r="M35" s="450">
        <v>0</v>
      </c>
      <c r="N35" s="450"/>
      <c r="O35" s="450"/>
      <c r="Q35" s="450"/>
      <c r="S35" s="450"/>
      <c r="U35" s="450"/>
      <c r="W35" s="450"/>
      <c r="Y35" s="450"/>
      <c r="AA35" s="450"/>
      <c r="AC35" s="450"/>
      <c r="AE35" s="450"/>
      <c r="AG35" s="450"/>
      <c r="AI35" s="450"/>
      <c r="AK35" s="450"/>
      <c r="AM35" s="450"/>
      <c r="AO35" s="450"/>
      <c r="AQ35" s="450"/>
      <c r="AR35" s="450"/>
      <c r="AS35" s="450"/>
      <c r="AT35" s="450"/>
      <c r="AU35" s="450"/>
      <c r="AW35" s="450"/>
    </row>
    <row r="36" spans="1:49" s="418" customFormat="1" ht="9.9499999999999993" customHeight="1" x14ac:dyDescent="0.2">
      <c r="B36" s="418" t="s">
        <v>963</v>
      </c>
      <c r="E36" s="448">
        <v>17469</v>
      </c>
      <c r="F36" s="450"/>
      <c r="G36" s="448">
        <v>23766</v>
      </c>
      <c r="H36" s="450"/>
      <c r="I36" s="448">
        <v>23904</v>
      </c>
      <c r="J36" s="450"/>
      <c r="K36" s="448">
        <v>25557</v>
      </c>
      <c r="L36" s="450"/>
      <c r="M36" s="450">
        <v>17538</v>
      </c>
      <c r="N36" s="450"/>
      <c r="O36" s="450">
        <v>14028</v>
      </c>
      <c r="Q36" s="450">
        <v>20008</v>
      </c>
      <c r="S36" s="450">
        <v>43700</v>
      </c>
      <c r="U36" s="450">
        <v>41686</v>
      </c>
      <c r="W36" s="450">
        <v>13298</v>
      </c>
      <c r="Y36" s="450">
        <v>15902</v>
      </c>
      <c r="AA36" s="450">
        <v>9214</v>
      </c>
      <c r="AC36" s="450">
        <v>25251</v>
      </c>
      <c r="AE36" s="450">
        <v>30496</v>
      </c>
      <c r="AG36" s="450">
        <v>28424</v>
      </c>
      <c r="AI36" s="450">
        <v>29945</v>
      </c>
      <c r="AK36" s="450">
        <v>33083</v>
      </c>
      <c r="AM36" s="450">
        <v>49350</v>
      </c>
      <c r="AO36" s="450">
        <v>97401</v>
      </c>
      <c r="AQ36" s="450">
        <f>SUM('[4]SORECGF-major'!Y41)</f>
        <v>138847</v>
      </c>
      <c r="AR36" s="450"/>
      <c r="AS36" s="450">
        <v>127197</v>
      </c>
      <c r="AT36" s="450"/>
      <c r="AU36" s="450">
        <v>71866</v>
      </c>
      <c r="AW36" s="450">
        <f>SUM('SORECGF-major'!Y41)</f>
        <v>85058</v>
      </c>
    </row>
    <row r="37" spans="1:49" s="418" customFormat="1" ht="9.9499999999999993" customHeight="1" x14ac:dyDescent="0.2">
      <c r="B37" s="418" t="s">
        <v>1191</v>
      </c>
      <c r="E37" s="448"/>
      <c r="F37" s="450"/>
      <c r="G37" s="448"/>
      <c r="H37" s="450"/>
      <c r="I37" s="448"/>
      <c r="J37" s="450"/>
      <c r="K37" s="448"/>
      <c r="L37" s="450"/>
      <c r="M37" s="450"/>
      <c r="N37" s="450"/>
      <c r="O37" s="450"/>
      <c r="Q37" s="450"/>
      <c r="S37" s="450"/>
      <c r="U37" s="450"/>
      <c r="W37" s="450"/>
      <c r="Y37" s="450"/>
      <c r="AA37" s="450">
        <v>3500</v>
      </c>
      <c r="AC37" s="450">
        <v>34750</v>
      </c>
      <c r="AE37" s="450">
        <v>57172</v>
      </c>
      <c r="AG37" s="450">
        <v>63032</v>
      </c>
      <c r="AI37" s="450">
        <v>76157</v>
      </c>
      <c r="AK37" s="450">
        <v>74064</v>
      </c>
      <c r="AM37" s="450">
        <v>74224</v>
      </c>
      <c r="AO37" s="450">
        <v>69777</v>
      </c>
      <c r="AQ37" s="450">
        <f>SUM('[4]SORECGF-major'!Y42)</f>
        <v>70691</v>
      </c>
      <c r="AR37" s="450"/>
      <c r="AS37" s="450">
        <v>79596</v>
      </c>
      <c r="AT37" s="450"/>
      <c r="AU37" s="450">
        <v>101098</v>
      </c>
      <c r="AW37" s="450">
        <f>SUM('SORECGF-major'!Y42)</f>
        <v>141012</v>
      </c>
    </row>
    <row r="38" spans="1:49" s="418" customFormat="1" ht="9.9499999999999993" customHeight="1" x14ac:dyDescent="0.2">
      <c r="B38" s="418" t="s">
        <v>964</v>
      </c>
      <c r="E38" s="450">
        <v>25908</v>
      </c>
      <c r="F38" s="450"/>
      <c r="G38" s="450">
        <v>20044</v>
      </c>
      <c r="H38" s="450"/>
      <c r="I38" s="450">
        <v>20234</v>
      </c>
      <c r="J38" s="450"/>
      <c r="K38" s="450">
        <v>16337</v>
      </c>
      <c r="L38" s="450"/>
      <c r="M38" s="450">
        <v>11678</v>
      </c>
      <c r="N38" s="450"/>
      <c r="O38" s="450">
        <v>24821</v>
      </c>
      <c r="Q38" s="450">
        <v>14637</v>
      </c>
      <c r="S38" s="450">
        <v>20307</v>
      </c>
      <c r="U38" s="450">
        <v>106645</v>
      </c>
      <c r="W38" s="450">
        <v>23951</v>
      </c>
      <c r="Y38" s="450">
        <v>114927</v>
      </c>
      <c r="AA38" s="450">
        <v>116838</v>
      </c>
      <c r="AC38" s="450">
        <v>25524</v>
      </c>
      <c r="AE38" s="450">
        <v>34762</v>
      </c>
      <c r="AG38" s="450">
        <v>23282</v>
      </c>
      <c r="AI38" s="450">
        <v>28458</v>
      </c>
      <c r="AK38" s="450">
        <v>27383</v>
      </c>
      <c r="AM38" s="450">
        <v>32892</v>
      </c>
      <c r="AO38" s="450">
        <v>72676</v>
      </c>
      <c r="AQ38" s="450">
        <f>SUM('[4]SORECGF-major'!Y43)</f>
        <v>100743</v>
      </c>
      <c r="AR38" s="450"/>
      <c r="AS38" s="450">
        <v>70277</v>
      </c>
      <c r="AT38" s="450"/>
      <c r="AU38" s="450">
        <v>64745</v>
      </c>
      <c r="AW38" s="450">
        <f>SUM('SORECGF-major'!Y43)</f>
        <v>56717</v>
      </c>
    </row>
    <row r="39" spans="1:49" s="418" customFormat="1" ht="9.9499999999999993" customHeight="1" x14ac:dyDescent="0.2">
      <c r="B39" s="418" t="s">
        <v>1414</v>
      </c>
      <c r="E39" s="450"/>
      <c r="F39" s="450"/>
      <c r="G39" s="450"/>
      <c r="H39" s="450"/>
      <c r="I39" s="450"/>
      <c r="J39" s="450"/>
      <c r="K39" s="450"/>
      <c r="L39" s="450"/>
      <c r="M39" s="450"/>
      <c r="N39" s="450"/>
      <c r="O39" s="450"/>
      <c r="Q39" s="450"/>
      <c r="S39" s="450"/>
      <c r="U39" s="450"/>
      <c r="W39" s="450"/>
      <c r="Y39" s="450"/>
      <c r="AA39" s="450"/>
      <c r="AC39" s="450"/>
      <c r="AE39" s="450"/>
      <c r="AG39" s="450"/>
      <c r="AI39" s="450"/>
      <c r="AK39" s="450">
        <v>1247</v>
      </c>
      <c r="AM39" s="450">
        <v>214</v>
      </c>
      <c r="AO39" s="450">
        <v>226</v>
      </c>
      <c r="AQ39" s="450">
        <f>SUM('[4]SORECGF-major'!Y44)</f>
        <v>124</v>
      </c>
      <c r="AR39" s="450"/>
      <c r="AS39" s="450">
        <v>88</v>
      </c>
      <c r="AT39" s="450"/>
      <c r="AU39" s="450">
        <v>2205</v>
      </c>
      <c r="AW39" s="450">
        <f>SUM('SORECGF-major'!Y44)</f>
        <v>3619</v>
      </c>
    </row>
    <row r="40" spans="1:49" s="418" customFormat="1" ht="9.9499999999999993" customHeight="1" x14ac:dyDescent="0.2">
      <c r="B40" s="418" t="s">
        <v>888</v>
      </c>
      <c r="E40" s="450">
        <v>117937</v>
      </c>
      <c r="F40" s="450"/>
      <c r="G40" s="450">
        <v>130755</v>
      </c>
      <c r="H40" s="450"/>
      <c r="I40" s="450">
        <v>130981</v>
      </c>
      <c r="J40" s="450"/>
      <c r="K40" s="450">
        <v>146850</v>
      </c>
      <c r="L40" s="450"/>
      <c r="M40" s="450">
        <v>115229</v>
      </c>
      <c r="N40" s="450"/>
      <c r="O40" s="450">
        <v>345047</v>
      </c>
      <c r="Q40" s="450">
        <v>319663</v>
      </c>
      <c r="S40" s="450">
        <v>313944</v>
      </c>
      <c r="U40" s="450">
        <v>287722</v>
      </c>
      <c r="W40" s="450">
        <v>411270</v>
      </c>
      <c r="Y40" s="450">
        <v>301381</v>
      </c>
      <c r="AA40" s="450">
        <v>291038</v>
      </c>
      <c r="AC40" s="450">
        <v>379309</v>
      </c>
      <c r="AE40" s="450">
        <v>475466</v>
      </c>
      <c r="AG40" s="450">
        <v>455746</v>
      </c>
      <c r="AI40" s="450">
        <v>410626</v>
      </c>
      <c r="AK40" s="450">
        <v>298671</v>
      </c>
      <c r="AM40" s="450">
        <v>355349</v>
      </c>
      <c r="AO40" s="450">
        <v>417118</v>
      </c>
      <c r="AQ40" s="450">
        <f>SUM('[4]SORECGF-major'!Y45)</f>
        <v>464797</v>
      </c>
      <c r="AR40" s="450"/>
      <c r="AS40" s="450">
        <v>441722</v>
      </c>
      <c r="AT40" s="450"/>
      <c r="AU40" s="450">
        <v>442919</v>
      </c>
      <c r="AW40" s="450">
        <f>SUM('SORECGF-major'!Y45)</f>
        <v>553157</v>
      </c>
    </row>
    <row r="41" spans="1:49" s="418" customFormat="1" ht="9.9499999999999993" customHeight="1" x14ac:dyDescent="0.2">
      <c r="B41" s="418" t="s">
        <v>965</v>
      </c>
      <c r="E41" s="450"/>
      <c r="F41" s="450"/>
      <c r="G41" s="450"/>
      <c r="H41" s="450"/>
      <c r="I41" s="450"/>
      <c r="J41" s="450"/>
      <c r="K41" s="450"/>
      <c r="L41" s="450"/>
      <c r="M41" s="450">
        <v>0</v>
      </c>
      <c r="N41" s="450"/>
      <c r="O41" s="450">
        <v>0</v>
      </c>
      <c r="Q41" s="450"/>
      <c r="S41" s="450">
        <v>0</v>
      </c>
      <c r="U41" s="450">
        <v>0</v>
      </c>
      <c r="W41" s="450">
        <v>0</v>
      </c>
      <c r="Y41" s="450">
        <v>0</v>
      </c>
      <c r="AA41" s="450">
        <v>0</v>
      </c>
      <c r="AC41" s="450">
        <v>0</v>
      </c>
      <c r="AE41" s="450">
        <v>0</v>
      </c>
      <c r="AG41" s="450">
        <v>0</v>
      </c>
      <c r="AI41" s="450">
        <v>0</v>
      </c>
      <c r="AK41" s="450">
        <v>0</v>
      </c>
      <c r="AM41" s="450">
        <v>0</v>
      </c>
      <c r="AO41" s="450">
        <v>0</v>
      </c>
      <c r="AQ41" s="450">
        <v>0</v>
      </c>
      <c r="AR41" s="450"/>
      <c r="AS41" s="450">
        <v>0</v>
      </c>
      <c r="AT41" s="450"/>
      <c r="AU41" s="450">
        <v>0</v>
      </c>
      <c r="AW41" s="450">
        <v>0</v>
      </c>
    </row>
    <row r="42" spans="1:49" s="418" customFormat="1" ht="9.9499999999999993" customHeight="1" x14ac:dyDescent="0.2">
      <c r="C42" s="418" t="s">
        <v>966</v>
      </c>
      <c r="E42" s="450">
        <v>66295</v>
      </c>
      <c r="F42" s="450"/>
      <c r="G42" s="450">
        <v>66650</v>
      </c>
      <c r="H42" s="450"/>
      <c r="I42" s="450">
        <v>72410</v>
      </c>
      <c r="J42" s="450"/>
      <c r="K42" s="450">
        <v>57581</v>
      </c>
      <c r="L42" s="450"/>
      <c r="M42" s="450">
        <v>61865</v>
      </c>
      <c r="N42" s="450"/>
      <c r="O42" s="450">
        <v>81835</v>
      </c>
      <c r="Q42" s="450">
        <v>99385</v>
      </c>
      <c r="S42" s="450">
        <v>113316</v>
      </c>
      <c r="U42" s="450">
        <v>152605</v>
      </c>
      <c r="W42" s="450">
        <v>140975</v>
      </c>
      <c r="Y42" s="450">
        <v>117265</v>
      </c>
      <c r="AA42" s="450">
        <v>117595</v>
      </c>
      <c r="AC42" s="450">
        <v>130412</v>
      </c>
      <c r="AE42" s="450">
        <v>140963</v>
      </c>
      <c r="AG42" s="450">
        <v>149489</v>
      </c>
      <c r="AI42" s="450">
        <v>162594</v>
      </c>
      <c r="AK42" s="450">
        <v>172790</v>
      </c>
      <c r="AM42" s="450">
        <v>180464</v>
      </c>
      <c r="AO42" s="450">
        <v>183577</v>
      </c>
      <c r="AQ42" s="450">
        <f>SUM('[4]SORECGF-major'!Y47)</f>
        <v>191140</v>
      </c>
      <c r="AR42" s="450"/>
      <c r="AS42" s="450">
        <v>200979</v>
      </c>
      <c r="AT42" s="450"/>
      <c r="AU42" s="450">
        <v>226682</v>
      </c>
      <c r="AW42" s="450">
        <f>SUM('SORECGF-major'!Y47)</f>
        <v>272959</v>
      </c>
    </row>
    <row r="43" spans="1:49" s="418" customFormat="1" ht="9.9499999999999993" customHeight="1" x14ac:dyDescent="0.2">
      <c r="C43" s="418" t="s">
        <v>949</v>
      </c>
      <c r="E43" s="450">
        <v>49092</v>
      </c>
      <c r="F43" s="450"/>
      <c r="G43" s="450">
        <v>50929</v>
      </c>
      <c r="H43" s="450"/>
      <c r="I43" s="450">
        <v>52558</v>
      </c>
      <c r="J43" s="450"/>
      <c r="K43" s="450">
        <v>60202</v>
      </c>
      <c r="L43" s="450"/>
      <c r="M43" s="450">
        <v>71848</v>
      </c>
      <c r="N43" s="450"/>
      <c r="O43" s="450">
        <v>57190</v>
      </c>
      <c r="Q43" s="450">
        <v>77271</v>
      </c>
      <c r="S43" s="450">
        <v>79723</v>
      </c>
      <c r="U43" s="450">
        <v>75614</v>
      </c>
      <c r="W43" s="450">
        <v>83981</v>
      </c>
      <c r="Y43" s="450">
        <v>87327</v>
      </c>
      <c r="AA43" s="450">
        <v>102965</v>
      </c>
      <c r="AC43" s="450">
        <v>105417</v>
      </c>
      <c r="AE43" s="450">
        <v>105939</v>
      </c>
      <c r="AG43" s="450">
        <v>110902</v>
      </c>
      <c r="AI43" s="450">
        <v>111584</v>
      </c>
      <c r="AK43" s="450">
        <v>113702</v>
      </c>
      <c r="AM43" s="450">
        <v>118037</v>
      </c>
      <c r="AO43" s="450">
        <v>108754</v>
      </c>
      <c r="AQ43" s="450">
        <f>SUM('[4]SORECGF-major'!Y48)</f>
        <v>109025</v>
      </c>
      <c r="AR43" s="450"/>
      <c r="AS43" s="450">
        <v>104141</v>
      </c>
      <c r="AT43" s="450"/>
      <c r="AU43" s="450">
        <v>112713</v>
      </c>
      <c r="AW43" s="450">
        <f>SUM('SORECGF-major'!Y48)</f>
        <v>118276</v>
      </c>
    </row>
    <row r="44" spans="1:49" s="418" customFormat="1" ht="9.9499999999999993" hidden="1" customHeight="1" x14ac:dyDescent="0.2">
      <c r="C44" s="418" t="s">
        <v>967</v>
      </c>
      <c r="E44" s="450"/>
      <c r="F44" s="450"/>
      <c r="G44" s="450">
        <v>2118</v>
      </c>
      <c r="H44" s="450"/>
      <c r="I44" s="450">
        <v>0</v>
      </c>
      <c r="J44" s="450"/>
      <c r="K44" s="450">
        <v>0</v>
      </c>
      <c r="L44" s="450"/>
      <c r="M44" s="450">
        <v>5</v>
      </c>
      <c r="N44" s="450"/>
      <c r="O44" s="450"/>
      <c r="Q44" s="450"/>
      <c r="S44" s="450"/>
      <c r="U44" s="450"/>
      <c r="W44" s="450"/>
      <c r="Y44" s="450"/>
      <c r="AA44" s="450"/>
      <c r="AC44" s="450"/>
      <c r="AE44" s="450"/>
      <c r="AG44" s="450"/>
      <c r="AI44" s="450"/>
      <c r="AK44" s="450"/>
      <c r="AM44" s="450"/>
      <c r="AO44" s="450"/>
      <c r="AQ44" s="450"/>
      <c r="AR44" s="450"/>
      <c r="AS44" s="450"/>
      <c r="AT44" s="450"/>
      <c r="AU44" s="450"/>
      <c r="AW44" s="450"/>
    </row>
    <row r="45" spans="1:49" s="418" customFormat="1" ht="9.9499999999999993" customHeight="1" x14ac:dyDescent="0.2">
      <c r="C45" s="418" t="s">
        <v>824</v>
      </c>
      <c r="E45" s="450"/>
      <c r="F45" s="450"/>
      <c r="G45" s="450"/>
      <c r="H45" s="450"/>
      <c r="I45" s="450"/>
      <c r="J45" s="450"/>
      <c r="K45" s="450"/>
      <c r="L45" s="450"/>
      <c r="M45" s="450"/>
      <c r="N45" s="450"/>
      <c r="O45" s="450">
        <v>42</v>
      </c>
      <c r="Q45" s="450"/>
      <c r="S45" s="450">
        <v>0</v>
      </c>
      <c r="U45" s="450">
        <v>0</v>
      </c>
      <c r="W45" s="450">
        <v>0</v>
      </c>
      <c r="Y45" s="450">
        <v>0</v>
      </c>
      <c r="AA45" s="450">
        <v>0</v>
      </c>
      <c r="AC45" s="450">
        <v>0</v>
      </c>
      <c r="AE45" s="450">
        <v>0</v>
      </c>
      <c r="AG45" s="450">
        <v>0</v>
      </c>
      <c r="AI45" s="450">
        <v>0</v>
      </c>
      <c r="AK45" s="450">
        <v>0</v>
      </c>
      <c r="AM45" s="450">
        <v>0</v>
      </c>
      <c r="AO45" s="450">
        <v>0</v>
      </c>
      <c r="AQ45" s="450">
        <f>SUM('[4]SORECGF-major'!Y49)</f>
        <v>0</v>
      </c>
      <c r="AR45" s="450"/>
      <c r="AS45" s="450">
        <v>0</v>
      </c>
      <c r="AT45" s="450"/>
      <c r="AU45" s="450">
        <v>0</v>
      </c>
      <c r="AW45" s="450">
        <f>SUM('SORECGF-major'!Y49)</f>
        <v>2731</v>
      </c>
    </row>
    <row r="46" spans="1:49" s="418" customFormat="1" ht="9.9499999999999993" customHeight="1" x14ac:dyDescent="0.2">
      <c r="C46" s="418" t="s">
        <v>968</v>
      </c>
      <c r="E46" s="450">
        <v>1656</v>
      </c>
      <c r="F46" s="450"/>
      <c r="G46" s="450">
        <v>1206</v>
      </c>
      <c r="H46" s="450"/>
      <c r="I46" s="450">
        <v>2061</v>
      </c>
      <c r="J46" s="450"/>
      <c r="K46" s="450">
        <v>1027</v>
      </c>
      <c r="L46" s="450"/>
      <c r="M46" s="450">
        <v>429</v>
      </c>
      <c r="N46" s="450"/>
      <c r="O46" s="450">
        <v>3557</v>
      </c>
      <c r="Q46" s="450">
        <v>2467</v>
      </c>
      <c r="S46" s="450">
        <v>1630</v>
      </c>
      <c r="U46" s="450">
        <v>3518</v>
      </c>
      <c r="W46" s="450">
        <v>1626</v>
      </c>
      <c r="Y46" s="450">
        <v>1732</v>
      </c>
      <c r="AA46" s="450">
        <v>6465</v>
      </c>
      <c r="AC46" s="450">
        <v>1862</v>
      </c>
      <c r="AE46" s="450">
        <v>2544</v>
      </c>
      <c r="AG46" s="450">
        <v>2192</v>
      </c>
      <c r="AI46" s="450">
        <v>1951</v>
      </c>
      <c r="AK46" s="450">
        <v>1832</v>
      </c>
      <c r="AM46" s="450">
        <v>3008</v>
      </c>
      <c r="AO46" s="450">
        <v>10148</v>
      </c>
      <c r="AQ46" s="450">
        <f>SUM('[4]SORECGF-major'!Y50)</f>
        <v>2000</v>
      </c>
      <c r="AR46" s="450"/>
      <c r="AS46" s="450">
        <v>4061</v>
      </c>
      <c r="AT46" s="450"/>
      <c r="AU46" s="450">
        <v>1762</v>
      </c>
      <c r="AW46" s="450">
        <f>SUM('SORECGF-major'!Y50)</f>
        <v>2731</v>
      </c>
    </row>
    <row r="47" spans="1:49" s="418" customFormat="1" ht="9.9499999999999993" customHeight="1" x14ac:dyDescent="0.2">
      <c r="B47" s="418" t="s">
        <v>1595</v>
      </c>
      <c r="E47" s="450"/>
      <c r="F47" s="450"/>
      <c r="G47" s="450"/>
      <c r="H47" s="450"/>
      <c r="I47" s="450"/>
      <c r="J47" s="450"/>
      <c r="K47" s="450"/>
      <c r="L47" s="450"/>
      <c r="M47" s="450"/>
      <c r="N47" s="450"/>
      <c r="O47" s="450"/>
      <c r="Q47" s="450"/>
      <c r="S47" s="450"/>
      <c r="U47" s="450"/>
      <c r="W47" s="450"/>
      <c r="Y47" s="450"/>
      <c r="AA47" s="450"/>
      <c r="AC47" s="450"/>
      <c r="AE47" s="450"/>
      <c r="AG47" s="450"/>
      <c r="AI47" s="450"/>
      <c r="AK47" s="450"/>
      <c r="AM47" s="450"/>
      <c r="AO47" s="450"/>
      <c r="AQ47" s="450"/>
      <c r="AR47" s="450"/>
      <c r="AS47" s="450"/>
      <c r="AT47" s="450"/>
      <c r="AU47" s="450"/>
      <c r="AW47" s="450"/>
    </row>
    <row r="48" spans="1:49" s="418" customFormat="1" ht="9.9499999999999993" customHeight="1" x14ac:dyDescent="0.2">
      <c r="C48" s="418" t="s">
        <v>966</v>
      </c>
      <c r="E48" s="450"/>
      <c r="F48" s="450"/>
      <c r="G48" s="450"/>
      <c r="H48" s="450"/>
      <c r="I48" s="450"/>
      <c r="J48" s="450"/>
      <c r="K48" s="450"/>
      <c r="L48" s="450"/>
      <c r="M48" s="450"/>
      <c r="N48" s="450"/>
      <c r="O48" s="450"/>
      <c r="Q48" s="450"/>
      <c r="S48" s="450"/>
      <c r="U48" s="450"/>
      <c r="W48" s="450"/>
      <c r="Y48" s="450"/>
      <c r="AA48" s="450"/>
      <c r="AC48" s="450"/>
      <c r="AE48" s="450"/>
      <c r="AG48" s="450"/>
      <c r="AI48" s="450"/>
      <c r="AK48" s="450"/>
      <c r="AM48" s="450"/>
      <c r="AO48" s="450"/>
      <c r="AQ48" s="450"/>
      <c r="AR48" s="450"/>
      <c r="AS48" s="450">
        <v>5976</v>
      </c>
      <c r="AT48" s="450"/>
      <c r="AU48" s="450">
        <v>9354</v>
      </c>
      <c r="AW48" s="450">
        <f>SUM('SORECGF-major'!Y52)</f>
        <v>10220</v>
      </c>
    </row>
    <row r="49" spans="1:51" s="418" customFormat="1" ht="9.9499999999999993" customHeight="1" x14ac:dyDescent="0.2">
      <c r="C49" s="418" t="s">
        <v>949</v>
      </c>
      <c r="E49" s="450"/>
      <c r="F49" s="450"/>
      <c r="G49" s="450"/>
      <c r="H49" s="450"/>
      <c r="I49" s="450"/>
      <c r="J49" s="450"/>
      <c r="K49" s="450"/>
      <c r="L49" s="450"/>
      <c r="M49" s="450"/>
      <c r="N49" s="450"/>
      <c r="O49" s="450"/>
      <c r="Q49" s="450"/>
      <c r="S49" s="450"/>
      <c r="U49" s="450"/>
      <c r="W49" s="450"/>
      <c r="Y49" s="450"/>
      <c r="AA49" s="450"/>
      <c r="AC49" s="450"/>
      <c r="AE49" s="450"/>
      <c r="AG49" s="450"/>
      <c r="AI49" s="450"/>
      <c r="AK49" s="450"/>
      <c r="AM49" s="450"/>
      <c r="AO49" s="450"/>
      <c r="AQ49" s="450"/>
      <c r="AR49" s="450"/>
      <c r="AS49" s="450">
        <v>1088</v>
      </c>
      <c r="AT49" s="450"/>
      <c r="AU49" s="450">
        <v>1402</v>
      </c>
      <c r="AW49" s="450">
        <f>SUM('SORECGF-major'!Y53)</f>
        <v>1428</v>
      </c>
    </row>
    <row r="50" spans="1:51" s="418" customFormat="1" ht="9.9499999999999993" customHeight="1" x14ac:dyDescent="0.2">
      <c r="B50" s="418" t="s">
        <v>1641</v>
      </c>
      <c r="E50" s="450"/>
      <c r="F50" s="450"/>
      <c r="G50" s="450"/>
      <c r="H50" s="450"/>
      <c r="I50" s="450"/>
      <c r="J50" s="450"/>
      <c r="K50" s="450"/>
      <c r="L50" s="450"/>
      <c r="M50" s="450"/>
      <c r="N50" s="450"/>
      <c r="O50" s="450"/>
      <c r="Q50" s="450"/>
      <c r="S50" s="450"/>
      <c r="U50" s="450"/>
      <c r="W50" s="450"/>
      <c r="Y50" s="450"/>
      <c r="AA50" s="450"/>
      <c r="AC50" s="450"/>
      <c r="AE50" s="450"/>
      <c r="AG50" s="450"/>
      <c r="AI50" s="450"/>
      <c r="AK50" s="450"/>
      <c r="AM50" s="450"/>
      <c r="AO50" s="450"/>
      <c r="AQ50" s="450"/>
      <c r="AR50" s="450"/>
      <c r="AS50" s="450"/>
      <c r="AT50" s="450"/>
      <c r="AU50" s="450"/>
      <c r="AW50" s="450"/>
    </row>
    <row r="51" spans="1:51" s="418" customFormat="1" ht="9.9499999999999993" customHeight="1" x14ac:dyDescent="0.2">
      <c r="C51" s="418" t="s">
        <v>966</v>
      </c>
      <c r="E51" s="450"/>
      <c r="F51" s="450"/>
      <c r="G51" s="450"/>
      <c r="H51" s="450"/>
      <c r="I51" s="450"/>
      <c r="J51" s="450"/>
      <c r="K51" s="450"/>
      <c r="L51" s="450"/>
      <c r="M51" s="450"/>
      <c r="N51" s="450"/>
      <c r="O51" s="450"/>
      <c r="Q51" s="450"/>
      <c r="S51" s="450"/>
      <c r="U51" s="450"/>
      <c r="W51" s="450"/>
      <c r="Y51" s="450"/>
      <c r="AA51" s="450"/>
      <c r="AC51" s="450"/>
      <c r="AE51" s="450"/>
      <c r="AG51" s="450"/>
      <c r="AI51" s="450"/>
      <c r="AK51" s="450"/>
      <c r="AM51" s="450"/>
      <c r="AO51" s="450"/>
      <c r="AQ51" s="450"/>
      <c r="AR51" s="450"/>
      <c r="AS51" s="450"/>
      <c r="AT51" s="450"/>
      <c r="AU51" s="450">
        <v>5157</v>
      </c>
      <c r="AW51" s="450">
        <f>SUM('SORECGF-major'!Y55)</f>
        <v>7514</v>
      </c>
    </row>
    <row r="52" spans="1:51" s="418" customFormat="1" ht="9.9499999999999993" customHeight="1" x14ac:dyDescent="0.2">
      <c r="C52" s="418" t="s">
        <v>949</v>
      </c>
      <c r="E52" s="450"/>
      <c r="F52" s="450"/>
      <c r="G52" s="450"/>
      <c r="H52" s="450"/>
      <c r="I52" s="450"/>
      <c r="J52" s="450"/>
      <c r="K52" s="450"/>
      <c r="L52" s="450"/>
      <c r="M52" s="450"/>
      <c r="N52" s="450"/>
      <c r="O52" s="450"/>
      <c r="Q52" s="450"/>
      <c r="S52" s="450"/>
      <c r="U52" s="450"/>
      <c r="W52" s="450"/>
      <c r="Y52" s="450"/>
      <c r="AA52" s="450"/>
      <c r="AC52" s="450"/>
      <c r="AE52" s="450"/>
      <c r="AG52" s="450"/>
      <c r="AI52" s="450"/>
      <c r="AK52" s="450"/>
      <c r="AM52" s="450"/>
      <c r="AO52" s="450"/>
      <c r="AQ52" s="450"/>
      <c r="AR52" s="450"/>
      <c r="AS52" s="450"/>
      <c r="AT52" s="450"/>
      <c r="AU52" s="450">
        <v>367</v>
      </c>
      <c r="AW52" s="450">
        <f>SUM('SORECGF-major'!Y56)</f>
        <v>2289</v>
      </c>
    </row>
    <row r="53" spans="1:51" s="418" customFormat="1" ht="5.0999999999999996" customHeight="1" x14ac:dyDescent="0.2">
      <c r="E53" s="452"/>
      <c r="F53" s="450"/>
      <c r="G53" s="452"/>
      <c r="H53" s="450"/>
      <c r="I53" s="452"/>
      <c r="J53" s="450"/>
      <c r="K53" s="452"/>
      <c r="L53" s="450"/>
      <c r="M53" s="452"/>
      <c r="N53" s="450"/>
      <c r="O53" s="452"/>
      <c r="Q53" s="452"/>
      <c r="S53" s="452"/>
      <c r="U53" s="452"/>
      <c r="W53" s="452"/>
      <c r="Y53" s="452"/>
      <c r="AA53" s="452"/>
      <c r="AC53" s="452"/>
      <c r="AE53" s="452"/>
      <c r="AG53" s="452"/>
      <c r="AI53" s="452"/>
      <c r="AK53" s="452"/>
      <c r="AM53" s="452"/>
      <c r="AO53" s="452"/>
      <c r="AQ53" s="452"/>
      <c r="AR53" s="450"/>
      <c r="AS53" s="452"/>
      <c r="AT53" s="450"/>
      <c r="AU53" s="452"/>
      <c r="AW53" s="452"/>
    </row>
    <row r="54" spans="1:51" s="418" customFormat="1" ht="11.1" customHeight="1" x14ac:dyDescent="0.2">
      <c r="A54" s="417" t="s">
        <v>970</v>
      </c>
      <c r="E54" s="455">
        <f>SUM(E27:E46)</f>
        <v>1165989</v>
      </c>
      <c r="F54" s="450"/>
      <c r="G54" s="455">
        <f>SUM(G27:G46)</f>
        <v>1202229</v>
      </c>
      <c r="H54" s="450"/>
      <c r="I54" s="455">
        <f>SUM(I27:I46)</f>
        <v>1194383</v>
      </c>
      <c r="J54" s="450"/>
      <c r="K54" s="455">
        <f>SUM(K27:K46)</f>
        <v>1293024</v>
      </c>
      <c r="L54" s="450"/>
      <c r="M54" s="455">
        <f>SUM(M27:M46)</f>
        <v>1388315</v>
      </c>
      <c r="N54" s="450"/>
      <c r="O54" s="455">
        <f>SUM(O27:O46)</f>
        <v>1588446</v>
      </c>
      <c r="Q54" s="455">
        <f>SUM(Q27:Q46)</f>
        <v>1658735</v>
      </c>
      <c r="S54" s="455">
        <f>SUM(S27:S46)</f>
        <v>1668508</v>
      </c>
      <c r="U54" s="455">
        <f>SUM(U27:U46)</f>
        <v>1823494</v>
      </c>
      <c r="W54" s="455">
        <f>SUM(W27:W46)</f>
        <v>1876726</v>
      </c>
      <c r="Y54" s="455">
        <f>SUM(Y27:Y46)</f>
        <v>1827253</v>
      </c>
      <c r="AA54" s="455">
        <f>SUM(AA27:AA52)</f>
        <v>1869587</v>
      </c>
      <c r="AC54" s="455">
        <f t="shared" ref="AC54" si="0">SUM(AC27:AC52)</f>
        <v>1967311</v>
      </c>
      <c r="AE54" s="455">
        <f t="shared" ref="AE54" si="1">SUM(AE27:AE52)</f>
        <v>2114972</v>
      </c>
      <c r="AG54" s="455">
        <f t="shared" ref="AG54" si="2">SUM(AG27:AG52)</f>
        <v>2169126</v>
      </c>
      <c r="AI54" s="455">
        <f t="shared" ref="AI54" si="3">SUM(AI27:AI52)</f>
        <v>2216211</v>
      </c>
      <c r="AK54" s="455">
        <f t="shared" ref="AK54" si="4">SUM(AK27:AK52)</f>
        <v>2151274</v>
      </c>
      <c r="AM54" s="455">
        <f t="shared" ref="AM54" si="5">SUM(AM27:AM52)</f>
        <v>2289866</v>
      </c>
      <c r="AO54" s="455">
        <f t="shared" ref="AO54" si="6">SUM(AO27:AO52)</f>
        <v>2496148</v>
      </c>
      <c r="AQ54" s="455">
        <f t="shared" ref="AQ54" si="7">SUM(AQ27:AQ52)</f>
        <v>2685730</v>
      </c>
      <c r="AS54" s="455">
        <f t="shared" ref="AS54:AU54" si="8">SUM(AS27:AS52)</f>
        <v>2988760</v>
      </c>
      <c r="AU54" s="455">
        <f t="shared" si="8"/>
        <v>2866290</v>
      </c>
      <c r="AW54" s="455">
        <f t="shared" ref="AW54" si="9">SUM(AW27:AW52)</f>
        <v>3306660</v>
      </c>
      <c r="AY54" s="1333">
        <f>+AW54-'SORECGF-major'!Y58</f>
        <v>0</v>
      </c>
    </row>
    <row r="55" spans="1:51" s="418" customFormat="1" ht="5.0999999999999996" customHeight="1" x14ac:dyDescent="0.2">
      <c r="E55" s="452"/>
      <c r="F55" s="450"/>
      <c r="G55" s="452"/>
      <c r="H55" s="450"/>
      <c r="I55" s="452"/>
      <c r="J55" s="450"/>
      <c r="K55" s="452"/>
      <c r="L55" s="450"/>
      <c r="M55" s="452"/>
      <c r="N55" s="450"/>
      <c r="O55" s="452"/>
      <c r="Q55" s="452"/>
      <c r="S55" s="452"/>
      <c r="U55" s="452"/>
      <c r="W55" s="452"/>
      <c r="Y55" s="452"/>
      <c r="AA55" s="452"/>
      <c r="AC55" s="452"/>
      <c r="AE55" s="452"/>
      <c r="AG55" s="452"/>
      <c r="AI55" s="452"/>
      <c r="AK55" s="452"/>
      <c r="AM55" s="452"/>
      <c r="AO55" s="452"/>
      <c r="AQ55" s="452"/>
      <c r="AR55" s="450"/>
      <c r="AS55" s="452"/>
      <c r="AT55" s="450"/>
      <c r="AU55" s="452"/>
      <c r="AW55" s="452"/>
    </row>
    <row r="56" spans="1:51" s="418" customFormat="1" ht="11.1" customHeight="1" x14ac:dyDescent="0.2">
      <c r="A56" s="417" t="s">
        <v>1676</v>
      </c>
      <c r="E56" s="455">
        <f>SUM(E23-E54)</f>
        <v>-185843</v>
      </c>
      <c r="F56" s="450"/>
      <c r="G56" s="455">
        <f>SUM(G23-G54)</f>
        <v>-140530</v>
      </c>
      <c r="H56" s="450"/>
      <c r="I56" s="455">
        <f>SUM(I23-I54)</f>
        <v>-141590</v>
      </c>
      <c r="J56" s="450"/>
      <c r="K56" s="455">
        <f>SUM(K23-K54)</f>
        <v>-146009</v>
      </c>
      <c r="L56" s="450"/>
      <c r="M56" s="455">
        <f>SUM(M23-M54)</f>
        <v>-92406</v>
      </c>
      <c r="N56" s="450"/>
      <c r="O56" s="455">
        <f>SUM(O23-O54)</f>
        <v>-197596</v>
      </c>
      <c r="Q56" s="455">
        <f>SUM(Q23-Q54)</f>
        <v>-148630</v>
      </c>
      <c r="S56" s="455">
        <f>SUM(S23-S54)</f>
        <v>-179933</v>
      </c>
      <c r="U56" s="455">
        <f>SUM(U23-U54)</f>
        <v>-239874</v>
      </c>
      <c r="W56" s="455">
        <f>SUM(W23-W54)</f>
        <v>-230162</v>
      </c>
      <c r="Y56" s="455">
        <f>SUM(Y23-Y54)</f>
        <v>-199146</v>
      </c>
      <c r="AA56" s="455">
        <f>SUM(AA23-AA54)</f>
        <v>-202706</v>
      </c>
      <c r="AC56" s="455">
        <f>SUM(AC23-AC54)</f>
        <v>-244970</v>
      </c>
      <c r="AE56" s="455">
        <f>SUM(AE23-AE54)</f>
        <v>-372643</v>
      </c>
      <c r="AG56" s="455">
        <f>SUM(AG23-AG54)</f>
        <v>-306750</v>
      </c>
      <c r="AI56" s="455">
        <f>SUM(AI23-AI54)</f>
        <v>-250510</v>
      </c>
      <c r="AK56" s="455">
        <f>SUM(AK23-AK54)</f>
        <v>-94717</v>
      </c>
      <c r="AM56" s="455">
        <f>SUM(AM23-AM54)</f>
        <v>-139866</v>
      </c>
      <c r="AO56" s="455">
        <f>SUM(AO23-AO54)</f>
        <v>-328172</v>
      </c>
      <c r="AQ56" s="455">
        <f>SUM(AQ23-AQ54)</f>
        <v>-310980</v>
      </c>
      <c r="AR56" s="450"/>
      <c r="AS56" s="455">
        <f>SUM(AS23-AS54)</f>
        <v>-145157</v>
      </c>
      <c r="AT56" s="450"/>
      <c r="AU56" s="455">
        <f>SUM(AU23-AU54)</f>
        <v>-99203</v>
      </c>
      <c r="AW56" s="455">
        <f>SUM(AW23-AW54)</f>
        <v>-358906</v>
      </c>
    </row>
    <row r="57" spans="1:51" s="418" customFormat="1" ht="5.0999999999999996" customHeight="1" x14ac:dyDescent="0.2">
      <c r="E57" s="450"/>
      <c r="F57" s="450"/>
      <c r="G57" s="450"/>
      <c r="H57" s="450"/>
      <c r="I57" s="450"/>
      <c r="J57" s="450"/>
      <c r="K57" s="450"/>
      <c r="L57" s="450"/>
      <c r="M57" s="450"/>
      <c r="N57" s="450"/>
      <c r="O57" s="450"/>
      <c r="Q57" s="450"/>
      <c r="S57" s="450"/>
      <c r="U57" s="450"/>
      <c r="W57" s="450"/>
      <c r="Y57" s="450"/>
      <c r="AA57" s="450"/>
      <c r="AC57" s="450"/>
      <c r="AE57" s="450"/>
      <c r="AG57" s="452"/>
      <c r="AI57" s="450"/>
      <c r="AK57" s="450"/>
      <c r="AM57" s="450"/>
      <c r="AO57" s="450"/>
      <c r="AQ57" s="450"/>
      <c r="AR57" s="450"/>
      <c r="AS57" s="450"/>
      <c r="AT57" s="450"/>
      <c r="AU57" s="450"/>
      <c r="AW57" s="450"/>
    </row>
    <row r="58" spans="1:51" s="418" customFormat="1" ht="9.9499999999999993" customHeight="1" x14ac:dyDescent="0.2">
      <c r="A58" s="417" t="s">
        <v>34</v>
      </c>
      <c r="E58" s="450"/>
      <c r="F58" s="450"/>
      <c r="G58" s="450"/>
      <c r="H58" s="450"/>
      <c r="I58" s="450"/>
      <c r="J58" s="450"/>
      <c r="K58" s="450"/>
      <c r="L58" s="450"/>
      <c r="M58" s="450"/>
      <c r="N58" s="450"/>
      <c r="O58" s="450"/>
      <c r="Q58" s="450"/>
      <c r="S58" s="450"/>
      <c r="U58" s="450"/>
      <c r="W58" s="450"/>
      <c r="Y58" s="450"/>
      <c r="AA58" s="450"/>
      <c r="AC58" s="450"/>
      <c r="AE58" s="450"/>
      <c r="AG58" s="450"/>
      <c r="AI58" s="450"/>
      <c r="AK58" s="450"/>
      <c r="AM58" s="450"/>
      <c r="AO58" s="450"/>
      <c r="AQ58" s="450"/>
      <c r="AR58" s="450"/>
      <c r="AS58" s="450"/>
      <c r="AT58" s="450"/>
      <c r="AU58" s="450"/>
      <c r="AW58" s="450"/>
    </row>
    <row r="59" spans="1:51" s="418" customFormat="1" ht="9.9499999999999993" customHeight="1" x14ac:dyDescent="0.2">
      <c r="B59" s="418" t="s">
        <v>667</v>
      </c>
      <c r="E59" s="450">
        <v>390050</v>
      </c>
      <c r="F59" s="450"/>
      <c r="G59" s="450">
        <v>271010</v>
      </c>
      <c r="H59" s="450"/>
      <c r="I59" s="450">
        <v>186591</v>
      </c>
      <c r="J59" s="450"/>
      <c r="K59" s="450">
        <v>192329</v>
      </c>
      <c r="L59" s="450"/>
      <c r="M59" s="450">
        <v>70690</v>
      </c>
      <c r="N59" s="450"/>
      <c r="O59" s="450">
        <v>382060</v>
      </c>
      <c r="Q59" s="450">
        <v>381745</v>
      </c>
      <c r="S59" s="450">
        <v>205485</v>
      </c>
      <c r="U59" s="450">
        <v>413180</v>
      </c>
      <c r="W59" s="450">
        <v>176635</v>
      </c>
      <c r="Y59" s="450">
        <v>218985</v>
      </c>
      <c r="AA59" s="450">
        <v>793671</v>
      </c>
      <c r="AC59" s="450">
        <v>223555</v>
      </c>
      <c r="AE59" s="450">
        <v>237765</v>
      </c>
      <c r="AG59" s="450">
        <v>180114</v>
      </c>
      <c r="AI59" s="450">
        <v>221934</v>
      </c>
      <c r="AK59" s="450">
        <v>310557</v>
      </c>
      <c r="AM59" s="450">
        <v>279985</v>
      </c>
      <c r="AO59" s="450">
        <v>262665</v>
      </c>
      <c r="AQ59" s="450">
        <f>SUM('[4]SORECGF-major'!Y58)</f>
        <v>335819</v>
      </c>
      <c r="AR59" s="450"/>
      <c r="AS59" s="450">
        <v>313266</v>
      </c>
      <c r="AT59" s="450"/>
      <c r="AU59" s="450">
        <v>297584</v>
      </c>
      <c r="AW59" s="450">
        <f>SUM('SORECGF-major'!Y64)</f>
        <v>418017</v>
      </c>
    </row>
    <row r="60" spans="1:51" s="418" customFormat="1" ht="9.9499999999999993" customHeight="1" x14ac:dyDescent="0.2">
      <c r="B60" s="418" t="s">
        <v>1235</v>
      </c>
      <c r="E60" s="450"/>
      <c r="F60" s="450"/>
      <c r="G60" s="450"/>
      <c r="H60" s="450"/>
      <c r="I60" s="450"/>
      <c r="J60" s="450"/>
      <c r="K60" s="450"/>
      <c r="L60" s="450"/>
      <c r="M60" s="450"/>
      <c r="N60" s="450"/>
      <c r="O60" s="450"/>
      <c r="Q60" s="450"/>
      <c r="S60" s="450"/>
      <c r="U60" s="450"/>
      <c r="W60" s="450"/>
      <c r="Y60" s="450"/>
      <c r="AA60" s="450"/>
      <c r="AC60" s="450">
        <v>67050</v>
      </c>
      <c r="AE60" s="450">
        <v>144880</v>
      </c>
      <c r="AG60" s="450">
        <v>147130</v>
      </c>
      <c r="AI60" s="450">
        <v>0</v>
      </c>
      <c r="AK60" s="450">
        <v>0</v>
      </c>
      <c r="AM60" s="450">
        <v>193395</v>
      </c>
      <c r="AO60" s="450">
        <v>465190</v>
      </c>
      <c r="AQ60" s="450">
        <f>SUM('[4]SORECGF-major'!Y59)</f>
        <v>0</v>
      </c>
      <c r="AR60" s="450"/>
      <c r="AS60" s="450">
        <v>265875</v>
      </c>
      <c r="AT60" s="450"/>
      <c r="AU60" s="450">
        <v>0</v>
      </c>
      <c r="AW60" s="450">
        <f>SUM('SORECGF-major'!Y65)</f>
        <v>0</v>
      </c>
    </row>
    <row r="61" spans="1:51" s="418" customFormat="1" ht="9.9499999999999993" customHeight="1" x14ac:dyDescent="0.2">
      <c r="B61" s="418" t="s">
        <v>973</v>
      </c>
      <c r="E61" s="450">
        <v>-257467</v>
      </c>
      <c r="F61" s="450"/>
      <c r="G61" s="450">
        <v>-131410</v>
      </c>
      <c r="H61" s="450"/>
      <c r="I61" s="450">
        <v>-99526</v>
      </c>
      <c r="J61" s="450"/>
      <c r="K61" s="450">
        <v>-93163</v>
      </c>
      <c r="L61" s="450"/>
      <c r="M61" s="450">
        <v>-34927</v>
      </c>
      <c r="N61" s="450"/>
      <c r="O61" s="450">
        <v>-210643</v>
      </c>
      <c r="Q61" s="450">
        <v>-170737</v>
      </c>
      <c r="S61" s="450">
        <v>0</v>
      </c>
      <c r="U61" s="450">
        <v>-185508</v>
      </c>
      <c r="W61" s="450">
        <v>0</v>
      </c>
      <c r="Y61" s="450">
        <v>-37892</v>
      </c>
      <c r="AA61" s="450">
        <v>-356969</v>
      </c>
      <c r="AC61" s="450">
        <v>-76531</v>
      </c>
      <c r="AE61" s="450">
        <v>-159593</v>
      </c>
      <c r="AG61" s="450">
        <v>-176308</v>
      </c>
      <c r="AI61" s="450">
        <v>0</v>
      </c>
      <c r="AK61" s="450">
        <v>0</v>
      </c>
      <c r="AM61" s="450">
        <v>-221348</v>
      </c>
      <c r="AO61" s="450">
        <v>-463795</v>
      </c>
      <c r="AQ61" s="450">
        <f>SUM('[4]SORECGF-major'!Y60)</f>
        <v>0</v>
      </c>
      <c r="AR61" s="450"/>
      <c r="AS61" s="450">
        <v>-297558</v>
      </c>
      <c r="AT61" s="450"/>
      <c r="AU61" s="450">
        <v>0</v>
      </c>
      <c r="AW61" s="450">
        <f>SUM('SORECGF-major'!Y66)</f>
        <v>0</v>
      </c>
    </row>
    <row r="62" spans="1:51" s="418" customFormat="1" ht="9.9499999999999993" customHeight="1" x14ac:dyDescent="0.2">
      <c r="B62" s="418" t="s">
        <v>666</v>
      </c>
      <c r="E62" s="450">
        <v>3374</v>
      </c>
      <c r="F62" s="450"/>
      <c r="G62" s="450"/>
      <c r="H62" s="450"/>
      <c r="I62" s="450">
        <v>0</v>
      </c>
      <c r="J62" s="450"/>
      <c r="K62" s="450">
        <v>210607</v>
      </c>
      <c r="L62" s="450"/>
      <c r="M62" s="450">
        <v>63218</v>
      </c>
      <c r="N62" s="450"/>
      <c r="O62" s="450">
        <v>10966</v>
      </c>
      <c r="Q62" s="450">
        <v>2799</v>
      </c>
      <c r="S62" s="450">
        <v>1768</v>
      </c>
      <c r="U62" s="450"/>
      <c r="W62" s="450">
        <v>14716</v>
      </c>
      <c r="Y62" s="450">
        <v>0</v>
      </c>
      <c r="AA62" s="450">
        <v>0</v>
      </c>
      <c r="AC62" s="450">
        <v>0</v>
      </c>
      <c r="AE62" s="450">
        <v>0</v>
      </c>
      <c r="AG62" s="450">
        <v>835</v>
      </c>
      <c r="AI62" s="450">
        <v>0</v>
      </c>
      <c r="AK62" s="450">
        <v>0</v>
      </c>
      <c r="AM62" s="450">
        <v>0</v>
      </c>
      <c r="AO62" s="450">
        <v>1558</v>
      </c>
      <c r="AQ62" s="450">
        <f>SUM('[4]SORECGF-major'!Y61)</f>
        <v>188</v>
      </c>
      <c r="AR62" s="450"/>
      <c r="AS62" s="450">
        <v>0</v>
      </c>
      <c r="AT62" s="450"/>
      <c r="AU62" s="450">
        <v>703</v>
      </c>
      <c r="AW62" s="450">
        <f>SUM('SORECGF-major'!Y67)</f>
        <v>0</v>
      </c>
    </row>
    <row r="63" spans="1:51" s="418" customFormat="1" ht="9.9499999999999993" customHeight="1" x14ac:dyDescent="0.2">
      <c r="B63" s="418" t="s">
        <v>1582</v>
      </c>
      <c r="E63" s="450"/>
      <c r="F63" s="450"/>
      <c r="G63" s="450"/>
      <c r="H63" s="450"/>
      <c r="I63" s="450"/>
      <c r="J63" s="450"/>
      <c r="K63" s="450"/>
      <c r="L63" s="450"/>
      <c r="M63" s="450"/>
      <c r="N63" s="450"/>
      <c r="O63" s="450"/>
      <c r="Q63" s="450"/>
      <c r="S63" s="450"/>
      <c r="U63" s="450"/>
      <c r="W63" s="450"/>
      <c r="Y63" s="450"/>
      <c r="AA63" s="450"/>
      <c r="AC63" s="450"/>
      <c r="AE63" s="450"/>
      <c r="AG63" s="450"/>
      <c r="AI63" s="450"/>
      <c r="AK63" s="450"/>
      <c r="AM63" s="450"/>
      <c r="AO63" s="450"/>
      <c r="AQ63" s="450"/>
      <c r="AR63" s="450"/>
      <c r="AS63" s="450">
        <v>11917</v>
      </c>
      <c r="AT63" s="450"/>
      <c r="AU63" s="450">
        <v>5323</v>
      </c>
      <c r="AW63" s="450">
        <f>SUM('SORECGF-major'!Y68)</f>
        <v>3973</v>
      </c>
    </row>
    <row r="64" spans="1:51" s="418" customFormat="1" ht="9.9499999999999993" hidden="1" customHeight="1" x14ac:dyDescent="0.2">
      <c r="B64" s="418" t="s">
        <v>985</v>
      </c>
      <c r="E64" s="450">
        <v>-15000</v>
      </c>
      <c r="F64" s="450"/>
      <c r="G64" s="450"/>
      <c r="H64" s="450"/>
      <c r="I64" s="450">
        <v>0</v>
      </c>
      <c r="J64" s="450"/>
      <c r="K64" s="450"/>
      <c r="L64" s="450"/>
      <c r="M64" s="450">
        <v>0</v>
      </c>
      <c r="N64" s="450"/>
      <c r="O64" s="450"/>
      <c r="Q64" s="450"/>
      <c r="S64" s="450"/>
      <c r="U64" s="450"/>
      <c r="W64" s="450"/>
      <c r="Y64" s="450"/>
      <c r="AA64" s="450"/>
      <c r="AC64" s="450"/>
      <c r="AE64" s="450"/>
      <c r="AG64" s="450"/>
      <c r="AI64" s="450"/>
      <c r="AK64" s="450"/>
      <c r="AM64" s="450"/>
      <c r="AO64" s="450"/>
      <c r="AQ64" s="450"/>
      <c r="AR64" s="450"/>
      <c r="AS64" s="450"/>
      <c r="AT64" s="450"/>
      <c r="AU64" s="450"/>
      <c r="AW64" s="450"/>
    </row>
    <row r="65" spans="1:50" s="418" customFormat="1" ht="9.9499999999999993" hidden="1" customHeight="1" x14ac:dyDescent="0.2">
      <c r="B65" s="418" t="s">
        <v>668</v>
      </c>
      <c r="E65" s="450"/>
      <c r="F65" s="450"/>
      <c r="G65" s="450"/>
      <c r="H65" s="450"/>
      <c r="I65" s="450"/>
      <c r="J65" s="450"/>
      <c r="K65" s="450"/>
      <c r="L65" s="450"/>
      <c r="M65" s="450"/>
      <c r="N65" s="450"/>
      <c r="O65" s="450">
        <v>4000</v>
      </c>
      <c r="Q65" s="450">
        <v>6500</v>
      </c>
      <c r="S65" s="450">
        <v>15305</v>
      </c>
      <c r="U65" s="450"/>
      <c r="W65" s="450">
        <v>0</v>
      </c>
      <c r="Y65" s="450">
        <v>0</v>
      </c>
      <c r="AA65" s="450">
        <v>0</v>
      </c>
      <c r="AC65" s="450">
        <v>0</v>
      </c>
      <c r="AE65" s="450">
        <v>0</v>
      </c>
      <c r="AG65" s="450">
        <v>0</v>
      </c>
      <c r="AI65" s="450">
        <v>0</v>
      </c>
      <c r="AK65" s="450">
        <v>0</v>
      </c>
      <c r="AM65" s="450">
        <v>0</v>
      </c>
      <c r="AO65" s="450">
        <v>0</v>
      </c>
      <c r="AQ65" s="450">
        <f>SUM('[4]SORECGF-major'!Y62)</f>
        <v>0</v>
      </c>
      <c r="AR65" s="450"/>
      <c r="AS65" s="450">
        <v>0</v>
      </c>
      <c r="AT65" s="450"/>
      <c r="AU65" s="450">
        <v>0</v>
      </c>
      <c r="AW65" s="450">
        <f>SUM('SORECGF-major'!Y70)</f>
        <v>0</v>
      </c>
    </row>
    <row r="66" spans="1:50" s="418" customFormat="1" ht="9.9499999999999993" customHeight="1" x14ac:dyDescent="0.2">
      <c r="B66" s="418" t="s">
        <v>1691</v>
      </c>
      <c r="E66" s="450"/>
      <c r="F66" s="450"/>
      <c r="G66" s="450"/>
      <c r="H66" s="450"/>
      <c r="I66" s="450"/>
      <c r="J66" s="450"/>
      <c r="K66" s="450"/>
      <c r="L66" s="450"/>
      <c r="M66" s="450"/>
      <c r="N66" s="450"/>
      <c r="O66" s="450"/>
      <c r="Q66" s="450"/>
      <c r="S66" s="450"/>
      <c r="U66" s="450"/>
      <c r="W66" s="450"/>
      <c r="Y66" s="450"/>
      <c r="AA66" s="450"/>
      <c r="AC66" s="450"/>
      <c r="AE66" s="450"/>
      <c r="AG66" s="450"/>
      <c r="AI66" s="450"/>
      <c r="AK66" s="450"/>
      <c r="AM66" s="450"/>
      <c r="AO66" s="450"/>
      <c r="AQ66" s="450"/>
      <c r="AR66" s="450"/>
      <c r="AS66" s="450"/>
      <c r="AT66" s="450"/>
      <c r="AU66" s="450">
        <v>3915</v>
      </c>
      <c r="AW66" s="450">
        <f>SUM('SORECGF-major'!Y69)</f>
        <v>64287</v>
      </c>
    </row>
    <row r="67" spans="1:50" s="418" customFormat="1" ht="9.9499999999999993" customHeight="1" x14ac:dyDescent="0.2">
      <c r="B67" s="418" t="s">
        <v>1134</v>
      </c>
      <c r="E67" s="450">
        <v>19548</v>
      </c>
      <c r="F67" s="450"/>
      <c r="G67" s="450">
        <v>17275</v>
      </c>
      <c r="H67" s="450"/>
      <c r="I67" s="450">
        <v>9488</v>
      </c>
      <c r="J67" s="450"/>
      <c r="K67" s="450">
        <v>12904</v>
      </c>
      <c r="L67" s="450"/>
      <c r="M67" s="450">
        <v>2251</v>
      </c>
      <c r="N67" s="450"/>
      <c r="O67" s="450">
        <v>7139</v>
      </c>
      <c r="Q67" s="450">
        <v>12014</v>
      </c>
      <c r="S67" s="450">
        <v>3034</v>
      </c>
      <c r="U67" s="450">
        <v>27680</v>
      </c>
      <c r="W67" s="450">
        <v>15182</v>
      </c>
      <c r="Y67" s="450">
        <v>30617</v>
      </c>
      <c r="AA67" s="450">
        <v>43246</v>
      </c>
      <c r="AC67" s="450">
        <v>31455</v>
      </c>
      <c r="AE67" s="450">
        <v>41762</v>
      </c>
      <c r="AG67" s="450">
        <v>51282</v>
      </c>
      <c r="AI67" s="450">
        <v>24002</v>
      </c>
      <c r="AK67" s="450">
        <v>32069</v>
      </c>
      <c r="AM67" s="450">
        <v>73907</v>
      </c>
      <c r="AO67" s="450">
        <v>44747</v>
      </c>
      <c r="AQ67" s="450">
        <f>SUM('[4]SORECGF-major'!Y63)</f>
        <v>50337</v>
      </c>
      <c r="AR67" s="450"/>
      <c r="AS67" s="450">
        <v>54403</v>
      </c>
      <c r="AT67" s="450"/>
      <c r="AU67" s="450">
        <v>11914</v>
      </c>
      <c r="AW67" s="450">
        <f>SUM('SORECGF-major'!Y71)</f>
        <v>35387</v>
      </c>
    </row>
    <row r="68" spans="1:50" s="418" customFormat="1" ht="9.9499999999999993" hidden="1" customHeight="1" x14ac:dyDescent="0.2">
      <c r="B68" s="418" t="s">
        <v>200</v>
      </c>
      <c r="E68" s="450"/>
      <c r="F68" s="450"/>
      <c r="G68" s="450"/>
      <c r="H68" s="450"/>
      <c r="I68" s="450"/>
      <c r="J68" s="450"/>
      <c r="K68" s="450"/>
      <c r="L68" s="450"/>
      <c r="M68" s="450"/>
      <c r="N68" s="450"/>
      <c r="O68" s="450"/>
      <c r="Q68" s="450">
        <v>9645</v>
      </c>
      <c r="S68" s="450">
        <v>0</v>
      </c>
      <c r="U68" s="450">
        <v>0</v>
      </c>
      <c r="W68" s="450"/>
      <c r="Y68" s="450"/>
      <c r="AA68" s="450"/>
      <c r="AC68" s="450"/>
      <c r="AE68" s="450"/>
      <c r="AG68" s="450"/>
      <c r="AI68" s="450"/>
      <c r="AK68" s="450"/>
      <c r="AM68" s="450"/>
      <c r="AO68" s="450"/>
      <c r="AQ68" s="450"/>
      <c r="AR68" s="450"/>
      <c r="AS68" s="450"/>
      <c r="AT68" s="450"/>
      <c r="AU68" s="450"/>
      <c r="AW68" s="450"/>
    </row>
    <row r="69" spans="1:50" s="418" customFormat="1" ht="9.9499999999999993" hidden="1" customHeight="1" x14ac:dyDescent="0.2">
      <c r="B69" s="418" t="s">
        <v>199</v>
      </c>
      <c r="E69" s="450"/>
      <c r="F69" s="450"/>
      <c r="G69" s="450"/>
      <c r="H69" s="450"/>
      <c r="I69" s="450"/>
      <c r="J69" s="450"/>
      <c r="K69" s="450"/>
      <c r="L69" s="450"/>
      <c r="M69" s="450"/>
      <c r="N69" s="450"/>
      <c r="O69" s="450"/>
      <c r="Q69" s="450">
        <v>-11045</v>
      </c>
      <c r="S69" s="450">
        <v>0</v>
      </c>
      <c r="U69" s="450">
        <v>0</v>
      </c>
      <c r="W69" s="450"/>
      <c r="Y69" s="450"/>
      <c r="AA69" s="450"/>
      <c r="AC69" s="450"/>
      <c r="AE69" s="450"/>
      <c r="AG69" s="450"/>
      <c r="AI69" s="450"/>
      <c r="AK69" s="450"/>
      <c r="AM69" s="450"/>
      <c r="AO69" s="450"/>
      <c r="AQ69" s="450"/>
      <c r="AR69" s="450"/>
      <c r="AS69" s="450"/>
      <c r="AT69" s="450"/>
      <c r="AU69" s="450"/>
      <c r="AW69" s="450"/>
    </row>
    <row r="70" spans="1:50" s="418" customFormat="1" ht="9.9499999999999993" customHeight="1" x14ac:dyDescent="0.2">
      <c r="B70" s="418" t="s">
        <v>21</v>
      </c>
      <c r="C70" s="417"/>
      <c r="E70" s="450">
        <v>163819</v>
      </c>
      <c r="F70" s="450"/>
      <c r="G70" s="450">
        <v>186385</v>
      </c>
      <c r="H70" s="450"/>
      <c r="I70" s="450">
        <v>181557</v>
      </c>
      <c r="J70" s="450"/>
      <c r="K70" s="450">
        <v>159821</v>
      </c>
      <c r="L70" s="450"/>
      <c r="M70" s="450">
        <v>228041</v>
      </c>
      <c r="N70" s="450"/>
      <c r="O70" s="450">
        <v>335090</v>
      </c>
      <c r="Q70" s="450">
        <v>341227</v>
      </c>
      <c r="S70" s="450">
        <v>411807</v>
      </c>
      <c r="U70" s="450">
        <v>361508</v>
      </c>
      <c r="W70" s="450">
        <v>336070</v>
      </c>
      <c r="Y70" s="450">
        <v>368586</v>
      </c>
      <c r="AA70" s="450">
        <v>694459</v>
      </c>
      <c r="AC70" s="450">
        <v>528253</v>
      </c>
      <c r="AE70" s="450">
        <v>585857</v>
      </c>
      <c r="AG70" s="450">
        <v>550511</v>
      </c>
      <c r="AI70" s="450">
        <v>550995</v>
      </c>
      <c r="AK70" s="450">
        <v>453830</v>
      </c>
      <c r="AM70" s="450">
        <v>505548</v>
      </c>
      <c r="AO70" s="450">
        <v>658464</v>
      </c>
      <c r="AQ70" s="450">
        <f>SUM('[4]SORECGF-major'!Y64)</f>
        <v>618673</v>
      </c>
      <c r="AR70" s="450"/>
      <c r="AS70" s="450">
        <v>754992</v>
      </c>
      <c r="AT70" s="450"/>
      <c r="AU70" s="450">
        <v>706864</v>
      </c>
      <c r="AW70" s="450">
        <f>SUM('SORECGF-major'!Y72)</f>
        <v>865464</v>
      </c>
    </row>
    <row r="71" spans="1:50" s="418" customFormat="1" ht="9.9499999999999993" customHeight="1" x14ac:dyDescent="0.2">
      <c r="B71" s="418" t="s">
        <v>22</v>
      </c>
      <c r="E71" s="450">
        <v>-161544</v>
      </c>
      <c r="F71" s="450"/>
      <c r="G71" s="450">
        <v>-184879</v>
      </c>
      <c r="H71" s="450"/>
      <c r="I71" s="450">
        <v>-181123</v>
      </c>
      <c r="J71" s="450"/>
      <c r="K71" s="450">
        <v>-160611</v>
      </c>
      <c r="L71" s="450"/>
      <c r="M71" s="450">
        <v>-231290</v>
      </c>
      <c r="N71" s="450"/>
      <c r="O71" s="450">
        <v>-350275</v>
      </c>
      <c r="Q71" s="450">
        <v>-348140</v>
      </c>
      <c r="S71" s="450">
        <v>-415809</v>
      </c>
      <c r="U71" s="450">
        <v>-364600</v>
      </c>
      <c r="W71" s="450">
        <v>-340516</v>
      </c>
      <c r="Y71" s="450">
        <v>-369827</v>
      </c>
      <c r="AA71" s="450">
        <v>-698979</v>
      </c>
      <c r="AC71" s="450">
        <v>-532384</v>
      </c>
      <c r="AE71" s="450">
        <v>-574161</v>
      </c>
      <c r="AG71" s="450">
        <v>-545849</v>
      </c>
      <c r="AI71" s="450">
        <v>-542608</v>
      </c>
      <c r="AK71" s="450">
        <v>-417681</v>
      </c>
      <c r="AM71" s="455">
        <v>-498876</v>
      </c>
      <c r="AO71" s="450">
        <v>-656494</v>
      </c>
      <c r="AQ71" s="450">
        <f>SUM('[4]SORECGF-major'!Y65)</f>
        <v>-633724</v>
      </c>
      <c r="AR71" s="450"/>
      <c r="AS71" s="450">
        <v>-758622</v>
      </c>
      <c r="AT71" s="450"/>
      <c r="AU71" s="450">
        <v>-709182</v>
      </c>
      <c r="AW71" s="450">
        <f>SUM('SORECGF-major'!Y73)</f>
        <v>-880271</v>
      </c>
    </row>
    <row r="72" spans="1:50" s="418" customFormat="1" ht="5.0999999999999996" customHeight="1" x14ac:dyDescent="0.2">
      <c r="E72" s="452"/>
      <c r="F72" s="450"/>
      <c r="G72" s="452"/>
      <c r="H72" s="450"/>
      <c r="I72" s="452"/>
      <c r="J72" s="450"/>
      <c r="K72" s="452"/>
      <c r="L72" s="450"/>
      <c r="M72" s="452"/>
      <c r="N72" s="450"/>
      <c r="O72" s="452"/>
      <c r="Q72" s="452"/>
      <c r="S72" s="452"/>
      <c r="U72" s="452"/>
      <c r="W72" s="452"/>
      <c r="Y72" s="452"/>
      <c r="AA72" s="452"/>
      <c r="AC72" s="452"/>
      <c r="AE72" s="452"/>
      <c r="AG72" s="452"/>
      <c r="AI72" s="452"/>
      <c r="AK72" s="452"/>
      <c r="AM72" s="450"/>
      <c r="AO72" s="452"/>
      <c r="AQ72" s="452"/>
      <c r="AR72" s="450"/>
      <c r="AS72" s="452"/>
      <c r="AT72" s="450"/>
      <c r="AU72" s="452"/>
      <c r="AW72" s="452"/>
    </row>
    <row r="73" spans="1:50" s="418" customFormat="1" ht="11.1" customHeight="1" x14ac:dyDescent="0.2">
      <c r="A73" s="417" t="s">
        <v>986</v>
      </c>
      <c r="E73" s="455">
        <f>SUM(E59:E71)</f>
        <v>142780</v>
      </c>
      <c r="F73" s="450"/>
      <c r="G73" s="455">
        <f>SUM(G59:G71)</f>
        <v>158381</v>
      </c>
      <c r="H73" s="450"/>
      <c r="I73" s="455">
        <f>SUM(I59:I71)</f>
        <v>96987</v>
      </c>
      <c r="J73" s="450"/>
      <c r="K73" s="455">
        <f>SUM(K59:K71)</f>
        <v>321887</v>
      </c>
      <c r="L73" s="450"/>
      <c r="M73" s="455">
        <f>SUM(M59:M71)</f>
        <v>97983</v>
      </c>
      <c r="N73" s="450"/>
      <c r="O73" s="455">
        <f>SUM(O59:O71)</f>
        <v>178337</v>
      </c>
      <c r="Q73" s="455">
        <f>SUM(Q59:Q71)</f>
        <v>224008</v>
      </c>
      <c r="S73" s="455">
        <f>SUM(S59:S71)</f>
        <v>221590</v>
      </c>
      <c r="U73" s="455">
        <f>SUM(U59:U71)</f>
        <v>252260</v>
      </c>
      <c r="W73" s="455">
        <f>SUM(W59:W71)</f>
        <v>202087</v>
      </c>
      <c r="Y73" s="455">
        <f>SUM(Y59:Y71)</f>
        <v>210469</v>
      </c>
      <c r="AA73" s="455">
        <f>SUM(AA59:AA71)</f>
        <v>475428</v>
      </c>
      <c r="AC73" s="455">
        <f>SUM(AC59:AC71)</f>
        <v>241398</v>
      </c>
      <c r="AE73" s="455">
        <f>SUM(AE59:AE71)</f>
        <v>276510</v>
      </c>
      <c r="AG73" s="455">
        <f>SUM(AG59:AG71)</f>
        <v>207715</v>
      </c>
      <c r="AI73" s="455">
        <f>SUM(AI59:AI71)</f>
        <v>254323</v>
      </c>
      <c r="AK73" s="455">
        <f>SUM(AK59:AK71)</f>
        <v>378775</v>
      </c>
      <c r="AM73" s="455">
        <f>SUM(AM59:AM71)</f>
        <v>332611</v>
      </c>
      <c r="AO73" s="455">
        <f>SUM(AO59:AO71)</f>
        <v>312335</v>
      </c>
      <c r="AQ73" s="455">
        <f>SUM(AQ59:AQ71)</f>
        <v>371293</v>
      </c>
      <c r="AR73" s="450"/>
      <c r="AS73" s="455">
        <f>SUM(AS59:AS71)</f>
        <v>344273</v>
      </c>
      <c r="AT73" s="450"/>
      <c r="AU73" s="455">
        <f>SUM(AU59:AU71)</f>
        <v>317121</v>
      </c>
      <c r="AW73" s="455">
        <f>SUM(AW59:AW71)</f>
        <v>506857</v>
      </c>
    </row>
    <row r="74" spans="1:50" s="418" customFormat="1" ht="5.0999999999999996" customHeight="1" x14ac:dyDescent="0.2">
      <c r="E74" s="452"/>
      <c r="F74" s="450"/>
      <c r="G74" s="450"/>
      <c r="H74" s="450"/>
      <c r="I74" s="450"/>
      <c r="J74" s="450"/>
      <c r="K74" s="450"/>
      <c r="L74" s="450"/>
      <c r="M74" s="450"/>
      <c r="N74" s="450"/>
      <c r="O74" s="450"/>
      <c r="Q74" s="450"/>
      <c r="S74" s="450"/>
      <c r="U74" s="450"/>
      <c r="W74" s="450"/>
      <c r="Y74" s="450"/>
      <c r="AA74" s="450"/>
      <c r="AC74" s="450"/>
      <c r="AE74" s="450"/>
      <c r="AG74" s="450"/>
      <c r="AI74" s="450"/>
      <c r="AK74" s="450"/>
      <c r="AM74" s="450"/>
      <c r="AO74" s="450"/>
      <c r="AQ74" s="450"/>
      <c r="AR74" s="450"/>
      <c r="AS74" s="450"/>
      <c r="AT74" s="450"/>
      <c r="AU74" s="450"/>
      <c r="AW74" s="450"/>
    </row>
    <row r="75" spans="1:50" s="418" customFormat="1" ht="11.1" customHeight="1" thickBot="1" x14ac:dyDescent="0.25">
      <c r="A75" s="417" t="s">
        <v>989</v>
      </c>
      <c r="E75" s="453">
        <f>SUM(E73+E56)</f>
        <v>-43063</v>
      </c>
      <c r="F75" s="450"/>
      <c r="G75" s="453">
        <f>SUM(G73+G56)</f>
        <v>17851</v>
      </c>
      <c r="H75" s="450"/>
      <c r="I75" s="453">
        <f>SUM(I73+I56)</f>
        <v>-44603</v>
      </c>
      <c r="J75" s="450"/>
      <c r="K75" s="453">
        <f>SUM(K73+K56)</f>
        <v>175878</v>
      </c>
      <c r="L75" s="450"/>
      <c r="M75" s="453">
        <f>SUM(M73+M56)</f>
        <v>5577</v>
      </c>
      <c r="N75" s="461"/>
      <c r="O75" s="453">
        <f>SUM(O73+O56)</f>
        <v>-19259</v>
      </c>
      <c r="Q75" s="453">
        <f>SUM(Q73+Q56)</f>
        <v>75378</v>
      </c>
      <c r="S75" s="453">
        <f>SUM(S73+S56)</f>
        <v>41657</v>
      </c>
      <c r="U75" s="453">
        <f>SUM(U73+U56)</f>
        <v>12386</v>
      </c>
      <c r="W75" s="453">
        <f>SUM(W73+W56)</f>
        <v>-28075</v>
      </c>
      <c r="Y75" s="453">
        <f>SUM(Y73+Y56)</f>
        <v>11323</v>
      </c>
      <c r="AA75" s="453">
        <f>SUM(AA73+AA56)</f>
        <v>272722</v>
      </c>
      <c r="AC75" s="453">
        <f>SUM(AC73+AC56)</f>
        <v>-3572</v>
      </c>
      <c r="AE75" s="453">
        <f>SUM(AE73+AE56)</f>
        <v>-96133</v>
      </c>
      <c r="AG75" s="453">
        <f>SUM(AG73+AG56)</f>
        <v>-99035</v>
      </c>
      <c r="AI75" s="453">
        <f>SUM(AI73+AI56)</f>
        <v>3813</v>
      </c>
      <c r="AK75" s="453">
        <f>SUM(AK73+AK56)</f>
        <v>284058</v>
      </c>
      <c r="AM75" s="453">
        <f>SUM(AM73+AM56)</f>
        <v>192745</v>
      </c>
      <c r="AO75" s="453">
        <f>SUM(AO73+AO56)</f>
        <v>-15837</v>
      </c>
      <c r="AQ75" s="453">
        <f>SUM(AQ73+AQ56)</f>
        <v>60313</v>
      </c>
      <c r="AR75" s="461"/>
      <c r="AS75" s="453">
        <f>SUM(AS73+AS56)</f>
        <v>199116</v>
      </c>
      <c r="AT75" s="461"/>
      <c r="AU75" s="453">
        <f>SUM(AU73+AU56)</f>
        <v>217918</v>
      </c>
      <c r="AW75" s="453">
        <f>SUM(AW73+AW56)</f>
        <v>147951</v>
      </c>
      <c r="AX75" s="789">
        <f>SUM(AW75-'SORECGF-major'!Y77)</f>
        <v>0</v>
      </c>
    </row>
    <row r="76" spans="1:50" s="418" customFormat="1" ht="5.0999999999999996" customHeight="1" thickTop="1" x14ac:dyDescent="0.2">
      <c r="E76" s="450">
        <v>0</v>
      </c>
      <c r="F76" s="450"/>
      <c r="G76" s="450"/>
      <c r="H76" s="450"/>
      <c r="I76" s="450"/>
      <c r="J76" s="450"/>
      <c r="K76" s="450"/>
      <c r="L76" s="450"/>
      <c r="M76" s="450"/>
      <c r="N76" s="450"/>
      <c r="O76" s="450"/>
      <c r="Q76" s="450"/>
      <c r="S76" s="450"/>
      <c r="U76" s="450"/>
      <c r="W76" s="450"/>
      <c r="Y76" s="450"/>
      <c r="AA76" s="450"/>
      <c r="AC76" s="450"/>
      <c r="AE76" s="450"/>
      <c r="AG76" s="450"/>
      <c r="AI76" s="450"/>
      <c r="AK76" s="450"/>
      <c r="AM76" s="450"/>
      <c r="AO76" s="450"/>
      <c r="AQ76" s="450"/>
      <c r="AR76" s="450"/>
      <c r="AS76" s="450"/>
      <c r="AT76" s="450"/>
      <c r="AU76" s="450"/>
      <c r="AW76" s="450"/>
    </row>
    <row r="77" spans="1:50" s="418" customFormat="1" ht="9.9499999999999993" customHeight="1" x14ac:dyDescent="0.2">
      <c r="A77" s="417" t="s">
        <v>825</v>
      </c>
      <c r="E77" s="976"/>
      <c r="F77" s="450"/>
      <c r="G77" s="976"/>
      <c r="H77" s="450"/>
      <c r="I77" s="976"/>
      <c r="J77" s="450"/>
      <c r="K77" s="976"/>
      <c r="L77" s="450"/>
      <c r="M77" s="976"/>
      <c r="N77" s="976"/>
      <c r="O77" s="976"/>
      <c r="Q77" s="976"/>
      <c r="S77" s="976"/>
      <c r="U77" s="976"/>
      <c r="W77" s="976"/>
      <c r="Y77" s="976"/>
      <c r="AA77" s="976"/>
      <c r="AC77" s="976"/>
      <c r="AE77" s="976"/>
      <c r="AG77" s="976"/>
      <c r="AI77" s="976"/>
      <c r="AK77" s="976"/>
      <c r="AM77" s="976"/>
      <c r="AO77" s="976"/>
      <c r="AQ77" s="976"/>
      <c r="AR77" s="976"/>
      <c r="AS77" s="976"/>
      <c r="AT77" s="976"/>
      <c r="AU77" s="976"/>
      <c r="AW77" s="976"/>
    </row>
    <row r="78" spans="1:50" s="418" customFormat="1" ht="9.9499999999999993" customHeight="1" x14ac:dyDescent="0.2">
      <c r="B78" s="417" t="s">
        <v>826</v>
      </c>
      <c r="E78" s="977">
        <f>SUM(E42:E43)/(E54-115968)</f>
        <v>0.10989018314871798</v>
      </c>
      <c r="F78" s="450"/>
      <c r="G78" s="977">
        <f>SUM(G42:G46)/(G54-G40)</f>
        <v>0.11283801566813567</v>
      </c>
      <c r="H78" s="450"/>
      <c r="I78" s="977">
        <f>SUM(I42:I46)/(I54-I40)</f>
        <v>0.11945529536337152</v>
      </c>
      <c r="J78" s="450"/>
      <c r="K78" s="977">
        <f>SUM(K42:K45)/(K54-99821)</f>
        <v>9.8711619062305411E-2</v>
      </c>
      <c r="L78" s="450"/>
      <c r="M78" s="977">
        <f>SUM(M42:M45)/(M54-137144)</f>
        <v>0.10687428017433269</v>
      </c>
      <c r="N78" s="450"/>
      <c r="O78" s="977">
        <f>SUM(O42:O45)/(O54-239605)</f>
        <v>0.10310110680206191</v>
      </c>
      <c r="P78" s="450"/>
      <c r="Q78" s="977">
        <f>SUM(Q42:Q45)/(Q54-234213)</f>
        <v>0.12401072078914892</v>
      </c>
      <c r="R78" s="450"/>
      <c r="S78" s="977">
        <f>SUM(S42:S45)/(S54-276630)</f>
        <v>0.13868959779520906</v>
      </c>
      <c r="T78" s="450"/>
      <c r="U78" s="977">
        <f>SUM(U42:U45)/(U54-253936)</f>
        <v>0.14540335559437753</v>
      </c>
      <c r="V78" s="450"/>
      <c r="W78" s="977">
        <f>SUM(W42:W45)/(W54-287180)</f>
        <v>0.14152217048138274</v>
      </c>
      <c r="X78" s="450"/>
      <c r="Y78" s="977">
        <f>SUM(Y42:Y45)/(Y54-263513)</f>
        <v>0.13083504930487166</v>
      </c>
      <c r="Z78" s="450"/>
      <c r="AA78" s="977">
        <f>SUM(AA42:AA45)/(AA54-276786)</f>
        <v>0.13847304214399664</v>
      </c>
      <c r="AB78" s="450"/>
      <c r="AC78" s="977">
        <v>0.14863871745224985</v>
      </c>
      <c r="AD78" s="450"/>
      <c r="AE78" s="977">
        <v>0.14552967007058337</v>
      </c>
      <c r="AF78" s="450"/>
      <c r="AG78" s="977">
        <v>0.14799999999999999</v>
      </c>
      <c r="AH78" s="450"/>
      <c r="AI78" s="977">
        <v>0.15324320955706253</v>
      </c>
      <c r="AJ78" s="450"/>
      <c r="AK78" s="977">
        <v>0.15451909510228209</v>
      </c>
      <c r="AL78" s="450"/>
      <c r="AM78" s="977">
        <v>0.153</v>
      </c>
      <c r="AN78" s="450"/>
      <c r="AO78" s="977">
        <v>0.13800000000000001</v>
      </c>
      <c r="AP78" s="450"/>
      <c r="AQ78" s="977">
        <f>SUM(AQ42:AQ43)/(AQ54-[4]reconSOA!D18)</f>
        <v>0.13163745921481948</v>
      </c>
      <c r="AR78" s="977"/>
      <c r="AS78" s="977">
        <f>(AS42+AS43+AS48+AS49+AS51+AS52)/(AS54-reconSOA!D18)</f>
        <v>0.12372140727829865</v>
      </c>
      <c r="AT78" s="977"/>
      <c r="AU78" s="977">
        <f>(AU42+AU43+AU48+AU49+AU51+AU52)/(AU54-reconSOA!D18)</f>
        <v>0.14814779332992337</v>
      </c>
      <c r="AV78" s="450"/>
      <c r="AW78" s="977">
        <f>(AW42+AW43+AW48+AW49+AW51+AW52)/(AW54-reconSOA!D18)</f>
        <v>0.14525151855812124</v>
      </c>
    </row>
    <row r="79" spans="1:50" s="418" customFormat="1" ht="5.0999999999999996" customHeight="1" x14ac:dyDescent="0.2">
      <c r="E79" s="450"/>
      <c r="F79" s="450"/>
      <c r="G79" s="450"/>
      <c r="H79" s="450"/>
      <c r="I79" s="450"/>
      <c r="J79" s="450"/>
      <c r="K79" s="450"/>
      <c r="L79" s="450"/>
      <c r="M79" s="450"/>
      <c r="N79" s="450"/>
      <c r="O79" s="450"/>
      <c r="P79" s="450"/>
    </row>
    <row r="80" spans="1:50" s="418" customFormat="1" ht="9.9499999999999993" customHeight="1" x14ac:dyDescent="0.2">
      <c r="C80" s="959">
        <v>1</v>
      </c>
      <c r="D80" s="418" t="s">
        <v>1605</v>
      </c>
      <c r="E80" s="448"/>
      <c r="F80" s="450"/>
      <c r="G80" s="448"/>
      <c r="H80" s="450"/>
      <c r="I80" s="448"/>
      <c r="J80" s="450"/>
      <c r="K80" s="448"/>
      <c r="L80" s="450"/>
      <c r="M80" s="448"/>
      <c r="N80" s="450"/>
      <c r="O80" s="448"/>
      <c r="P80" s="448"/>
      <c r="Q80" s="448"/>
      <c r="S80" s="448"/>
      <c r="U80" s="448"/>
    </row>
    <row r="81" spans="1:49" ht="14.25" customHeight="1" x14ac:dyDescent="0.2">
      <c r="A81" s="353"/>
      <c r="B81" s="248"/>
      <c r="C81" s="959">
        <v>2</v>
      </c>
      <c r="D81" s="418" t="s">
        <v>1677</v>
      </c>
    </row>
    <row r="82" spans="1:49" ht="14.25" customHeight="1" x14ac:dyDescent="0.2">
      <c r="A82" s="353"/>
      <c r="B82" s="248"/>
      <c r="C82" s="959"/>
      <c r="AW82" s="1418"/>
    </row>
    <row r="83" spans="1:49" ht="14.25" customHeight="1" x14ac:dyDescent="0.2">
      <c r="A83" s="721"/>
      <c r="B83" s="432"/>
      <c r="C83" s="432"/>
      <c r="D83" s="432"/>
    </row>
    <row r="84" spans="1:49" ht="14.25" customHeight="1" x14ac:dyDescent="0.2">
      <c r="A84" s="737"/>
      <c r="B84" s="608"/>
      <c r="C84" s="608"/>
      <c r="D84" s="458"/>
    </row>
    <row r="85" spans="1:49" s="434" customFormat="1" ht="9.9499999999999993" customHeight="1" x14ac:dyDescent="0.2">
      <c r="A85" s="418"/>
      <c r="B85" s="514"/>
      <c r="C85" s="514"/>
      <c r="D85" s="514"/>
      <c r="E85" s="953"/>
      <c r="F85" s="514"/>
      <c r="G85" s="953"/>
      <c r="H85" s="514"/>
      <c r="I85" s="953"/>
      <c r="J85" s="514"/>
      <c r="K85" s="953"/>
      <c r="L85" s="514"/>
      <c r="M85" s="953"/>
      <c r="N85" s="514"/>
      <c r="O85" s="953"/>
      <c r="P85" s="953"/>
      <c r="Q85" s="953"/>
      <c r="S85" s="953"/>
      <c r="U85" s="953"/>
    </row>
    <row r="86" spans="1:49" s="434" customFormat="1" ht="9.9499999999999993" customHeight="1" x14ac:dyDescent="0.2">
      <c r="A86" s="418"/>
      <c r="B86" s="514"/>
      <c r="C86" s="514"/>
      <c r="D86" s="514"/>
      <c r="E86" s="514"/>
      <c r="F86" s="514"/>
      <c r="G86" s="515"/>
      <c r="H86" s="515"/>
      <c r="I86" s="515"/>
      <c r="J86" s="515"/>
      <c r="K86" s="515"/>
      <c r="L86" s="515"/>
      <c r="M86" s="515"/>
      <c r="N86" s="515"/>
      <c r="O86" s="515"/>
      <c r="P86" s="978"/>
      <c r="Q86" s="978"/>
      <c r="S86" s="978"/>
      <c r="U86" s="978"/>
    </row>
    <row r="87" spans="1:49" s="434" customFormat="1" ht="9.9499999999999993" customHeight="1" x14ac:dyDescent="0.2">
      <c r="A87" s="300"/>
      <c r="B87" s="978"/>
      <c r="C87" s="978"/>
      <c r="D87" s="978"/>
      <c r="E87" s="979"/>
      <c r="F87" s="979"/>
      <c r="G87" s="979"/>
      <c r="H87" s="979"/>
      <c r="I87" s="979"/>
      <c r="J87" s="979"/>
      <c r="K87" s="979"/>
      <c r="L87" s="979"/>
      <c r="M87" s="979"/>
      <c r="N87" s="979"/>
      <c r="O87" s="980"/>
      <c r="P87" s="980"/>
      <c r="Q87" s="980"/>
      <c r="S87" s="980"/>
      <c r="U87" s="980"/>
    </row>
    <row r="88" spans="1:49" s="434" customFormat="1" ht="9.9499999999999993" customHeight="1" x14ac:dyDescent="0.2">
      <c r="A88" s="515"/>
      <c r="B88" s="514"/>
      <c r="C88" s="514"/>
      <c r="D88" s="514"/>
      <c r="E88" s="527"/>
      <c r="F88" s="527"/>
      <c r="G88" s="527"/>
      <c r="H88" s="527"/>
      <c r="I88" s="527"/>
      <c r="J88" s="527"/>
      <c r="K88" s="527"/>
      <c r="L88" s="527"/>
      <c r="M88" s="527"/>
      <c r="N88" s="527"/>
      <c r="O88" s="527"/>
      <c r="P88" s="527"/>
      <c r="Q88" s="527"/>
      <c r="S88" s="527"/>
      <c r="U88" s="527"/>
    </row>
    <row r="89" spans="1:49" s="434" customFormat="1" ht="9.9499999999999993" customHeight="1" x14ac:dyDescent="0.2">
      <c r="B89" s="514"/>
      <c r="C89" s="514"/>
      <c r="D89" s="514"/>
      <c r="E89" s="526"/>
      <c r="F89" s="527"/>
      <c r="G89" s="526"/>
      <c r="H89" s="527"/>
      <c r="I89" s="526"/>
      <c r="J89" s="527"/>
      <c r="K89" s="526"/>
      <c r="L89" s="527"/>
      <c r="M89" s="526"/>
      <c r="N89" s="527"/>
      <c r="O89" s="526"/>
      <c r="P89" s="526"/>
      <c r="Q89" s="526"/>
      <c r="S89" s="526"/>
      <c r="U89" s="526"/>
    </row>
    <row r="90" spans="1:49" s="434" customFormat="1" ht="9.9499999999999993" customHeight="1" x14ac:dyDescent="0.2">
      <c r="B90" s="514"/>
      <c r="C90" s="514"/>
      <c r="D90" s="514"/>
      <c r="E90" s="527"/>
      <c r="F90" s="527"/>
      <c r="G90" s="527"/>
      <c r="H90" s="527"/>
      <c r="I90" s="527"/>
      <c r="J90" s="527"/>
      <c r="K90" s="527"/>
      <c r="L90" s="527"/>
      <c r="M90" s="527"/>
      <c r="N90" s="527"/>
      <c r="O90" s="527"/>
      <c r="P90" s="527"/>
      <c r="Q90" s="527"/>
      <c r="S90" s="527"/>
      <c r="U90" s="527"/>
    </row>
    <row r="91" spans="1:49" s="434" customFormat="1" ht="9.9499999999999993" customHeight="1" x14ac:dyDescent="0.2">
      <c r="B91" s="514"/>
      <c r="C91" s="514"/>
      <c r="D91" s="514"/>
      <c r="E91" s="527"/>
      <c r="F91" s="527"/>
      <c r="G91" s="527"/>
      <c r="H91" s="527"/>
      <c r="I91" s="527"/>
      <c r="J91" s="527"/>
      <c r="K91" s="527"/>
      <c r="L91" s="527"/>
      <c r="M91" s="527"/>
      <c r="N91" s="527"/>
      <c r="O91" s="527"/>
      <c r="P91" s="527"/>
      <c r="Q91" s="527"/>
      <c r="S91" s="527"/>
      <c r="U91" s="527"/>
    </row>
    <row r="92" spans="1:49" s="434" customFormat="1" ht="9.9499999999999993" customHeight="1" x14ac:dyDescent="0.2">
      <c r="A92" s="514"/>
      <c r="B92" s="514"/>
      <c r="C92" s="514"/>
      <c r="D92" s="514"/>
      <c r="E92" s="526"/>
      <c r="F92" s="527"/>
      <c r="G92" s="526"/>
      <c r="H92" s="527"/>
      <c r="I92" s="526"/>
      <c r="J92" s="527"/>
      <c r="K92" s="526"/>
      <c r="L92" s="527"/>
      <c r="M92" s="526"/>
      <c r="N92" s="527"/>
      <c r="O92" s="526"/>
      <c r="P92" s="526"/>
      <c r="Q92" s="526"/>
      <c r="S92" s="526"/>
      <c r="U92" s="526"/>
    </row>
    <row r="93" spans="1:49" s="434" customFormat="1" ht="9.9499999999999993" customHeight="1" x14ac:dyDescent="0.2">
      <c r="A93" s="515"/>
      <c r="B93" s="514"/>
      <c r="C93" s="514"/>
      <c r="D93" s="514"/>
      <c r="E93" s="527"/>
      <c r="F93" s="527"/>
      <c r="G93" s="527"/>
      <c r="H93" s="527"/>
      <c r="I93" s="527"/>
      <c r="J93" s="527"/>
      <c r="K93" s="527"/>
      <c r="L93" s="527"/>
      <c r="M93" s="527"/>
      <c r="N93" s="527"/>
      <c r="O93" s="527"/>
      <c r="P93" s="527"/>
      <c r="Q93" s="527"/>
      <c r="S93" s="527"/>
      <c r="U93" s="527"/>
    </row>
    <row r="94" spans="1:49" s="434" customFormat="1" ht="9.9499999999999993" customHeight="1" x14ac:dyDescent="0.2">
      <c r="B94" s="515"/>
      <c r="C94" s="514"/>
      <c r="D94" s="514"/>
      <c r="E94" s="527"/>
      <c r="F94" s="527"/>
      <c r="G94" s="527"/>
      <c r="H94" s="527"/>
      <c r="I94" s="527"/>
      <c r="J94" s="527"/>
      <c r="K94" s="527"/>
      <c r="L94" s="527"/>
      <c r="M94" s="527"/>
      <c r="N94" s="527"/>
      <c r="O94" s="527"/>
      <c r="P94" s="527"/>
      <c r="Q94" s="527"/>
      <c r="S94" s="527"/>
      <c r="U94" s="527"/>
    </row>
    <row r="95" spans="1:49" s="434" customFormat="1" ht="9.9499999999999993" customHeight="1" x14ac:dyDescent="0.2">
      <c r="A95" s="514"/>
      <c r="C95" s="515"/>
      <c r="D95" s="514"/>
      <c r="E95" s="527"/>
      <c r="F95" s="527"/>
      <c r="G95" s="527"/>
      <c r="H95" s="527"/>
      <c r="I95" s="527"/>
      <c r="J95" s="527"/>
      <c r="K95" s="527"/>
      <c r="L95" s="527"/>
      <c r="M95" s="527"/>
      <c r="N95" s="527"/>
      <c r="O95" s="527"/>
      <c r="P95" s="527"/>
      <c r="Q95" s="527"/>
      <c r="S95" s="527"/>
      <c r="U95" s="527"/>
    </row>
    <row r="96" spans="1:49" s="434" customFormat="1" ht="9.9499999999999993" customHeight="1" x14ac:dyDescent="0.2">
      <c r="A96" s="514"/>
      <c r="B96" s="514"/>
      <c r="D96" s="514"/>
      <c r="E96" s="526"/>
      <c r="F96" s="527"/>
      <c r="G96" s="526"/>
      <c r="H96" s="527"/>
      <c r="I96" s="526"/>
      <c r="J96" s="527"/>
      <c r="K96" s="526"/>
      <c r="L96" s="527"/>
      <c r="M96" s="526"/>
      <c r="N96" s="527"/>
      <c r="O96" s="526"/>
      <c r="P96" s="526"/>
      <c r="Q96" s="526"/>
      <c r="S96" s="526"/>
      <c r="U96" s="526"/>
    </row>
    <row r="97" spans="1:21" s="434" customFormat="1" ht="9.9499999999999993" customHeight="1" x14ac:dyDescent="0.2">
      <c r="A97" s="514"/>
      <c r="B97" s="514"/>
      <c r="D97" s="514"/>
      <c r="E97" s="527"/>
      <c r="F97" s="527"/>
      <c r="G97" s="527"/>
      <c r="H97" s="527"/>
      <c r="I97" s="527"/>
      <c r="J97" s="527"/>
      <c r="K97" s="527"/>
      <c r="L97" s="527"/>
      <c r="M97" s="527"/>
      <c r="N97" s="527"/>
      <c r="O97" s="527"/>
      <c r="P97" s="527"/>
      <c r="Q97" s="527"/>
      <c r="S97" s="527"/>
      <c r="U97" s="527"/>
    </row>
    <row r="98" spans="1:21" s="434" customFormat="1" ht="9.9499999999999993" customHeight="1" x14ac:dyDescent="0.2">
      <c r="A98" s="514"/>
      <c r="B98" s="514"/>
      <c r="D98" s="514"/>
      <c r="E98" s="527"/>
      <c r="F98" s="527"/>
      <c r="G98" s="527"/>
      <c r="H98" s="527"/>
      <c r="I98" s="527"/>
      <c r="J98" s="527"/>
      <c r="K98" s="527"/>
      <c r="L98" s="527"/>
      <c r="M98" s="527"/>
      <c r="N98" s="527"/>
      <c r="O98" s="527"/>
      <c r="P98" s="527"/>
      <c r="Q98" s="527"/>
      <c r="S98" s="527"/>
      <c r="U98" s="527"/>
    </row>
    <row r="99" spans="1:21" s="434" customFormat="1" ht="9.9499999999999993" customHeight="1" x14ac:dyDescent="0.2">
      <c r="A99" s="514"/>
      <c r="B99" s="514"/>
      <c r="D99" s="514"/>
      <c r="E99" s="527"/>
      <c r="F99" s="527"/>
      <c r="G99" s="527"/>
      <c r="H99" s="527"/>
      <c r="I99" s="527"/>
      <c r="J99" s="527"/>
      <c r="K99" s="527"/>
      <c r="L99" s="527"/>
      <c r="M99" s="527"/>
      <c r="N99" s="527"/>
      <c r="O99" s="527"/>
      <c r="P99" s="527"/>
      <c r="Q99" s="527"/>
      <c r="S99" s="527"/>
      <c r="U99" s="527"/>
    </row>
    <row r="100" spans="1:21" s="434" customFormat="1" ht="9.9499999999999993" customHeight="1" x14ac:dyDescent="0.2">
      <c r="A100" s="514"/>
      <c r="B100" s="514"/>
      <c r="D100" s="514"/>
      <c r="E100" s="527"/>
      <c r="F100" s="527"/>
      <c r="G100" s="527"/>
      <c r="H100" s="527"/>
      <c r="I100" s="527"/>
      <c r="J100" s="527"/>
      <c r="K100" s="527"/>
      <c r="L100" s="527"/>
      <c r="M100" s="527"/>
      <c r="N100" s="527"/>
      <c r="O100" s="527"/>
      <c r="P100" s="527"/>
      <c r="Q100" s="527"/>
      <c r="S100" s="527"/>
      <c r="U100" s="527"/>
    </row>
    <row r="101" spans="1:21" s="434" customFormat="1" ht="9.9499999999999993" customHeight="1" x14ac:dyDescent="0.2">
      <c r="A101" s="514"/>
      <c r="B101" s="514"/>
      <c r="D101" s="514"/>
      <c r="E101" s="527"/>
      <c r="F101" s="527"/>
      <c r="G101" s="527"/>
      <c r="H101" s="527"/>
      <c r="I101" s="527"/>
      <c r="J101" s="527"/>
      <c r="K101" s="527"/>
      <c r="L101" s="527"/>
      <c r="M101" s="527"/>
      <c r="N101" s="527"/>
      <c r="O101" s="527"/>
      <c r="P101" s="527"/>
      <c r="Q101" s="527"/>
      <c r="S101" s="527"/>
      <c r="U101" s="527"/>
    </row>
    <row r="102" spans="1:21" s="434" customFormat="1" ht="9.9499999999999993" customHeight="1" x14ac:dyDescent="0.2">
      <c r="A102" s="514"/>
      <c r="C102" s="514"/>
      <c r="D102" s="514"/>
      <c r="E102" s="527"/>
      <c r="F102" s="527"/>
      <c r="G102" s="527"/>
      <c r="H102" s="527"/>
      <c r="I102" s="527"/>
      <c r="J102" s="527"/>
      <c r="K102" s="527"/>
      <c r="L102" s="527"/>
      <c r="M102" s="527"/>
      <c r="N102" s="527"/>
      <c r="O102" s="527"/>
      <c r="P102" s="527"/>
      <c r="Q102" s="527"/>
      <c r="S102" s="527"/>
      <c r="U102" s="527"/>
    </row>
    <row r="103" spans="1:21" s="434" customFormat="1" ht="9.9499999999999993" customHeight="1" x14ac:dyDescent="0.2">
      <c r="A103" s="514"/>
      <c r="C103" s="514"/>
      <c r="D103" s="514"/>
      <c r="E103" s="527"/>
      <c r="F103" s="527"/>
      <c r="G103" s="527"/>
      <c r="H103" s="527"/>
      <c r="I103" s="527"/>
      <c r="J103" s="527"/>
      <c r="K103" s="527"/>
      <c r="L103" s="527"/>
      <c r="M103" s="527"/>
      <c r="N103" s="527"/>
      <c r="O103" s="527"/>
      <c r="P103" s="527"/>
      <c r="Q103" s="527"/>
      <c r="S103" s="527"/>
      <c r="U103" s="527"/>
    </row>
    <row r="104" spans="1:21" s="434" customFormat="1" ht="9.9499999999999993" customHeight="1" x14ac:dyDescent="0.2">
      <c r="A104" s="514"/>
      <c r="C104" s="514"/>
      <c r="D104" s="514"/>
      <c r="E104" s="527"/>
      <c r="F104" s="527"/>
      <c r="G104" s="527"/>
      <c r="H104" s="527"/>
      <c r="I104" s="527"/>
      <c r="J104" s="527"/>
      <c r="K104" s="527"/>
      <c r="L104" s="527"/>
      <c r="M104" s="527"/>
      <c r="N104" s="527"/>
      <c r="O104" s="527"/>
      <c r="P104" s="527"/>
      <c r="Q104" s="527"/>
      <c r="S104" s="527"/>
      <c r="U104" s="527"/>
    </row>
    <row r="105" spans="1:21" s="434" customFormat="1" ht="9.9499999999999993" customHeight="1" x14ac:dyDescent="0.2">
      <c r="A105" s="514"/>
      <c r="C105" s="514"/>
      <c r="D105" s="514"/>
      <c r="E105" s="527"/>
      <c r="F105" s="527"/>
      <c r="G105" s="527"/>
      <c r="H105" s="527"/>
      <c r="I105" s="527"/>
      <c r="J105" s="527"/>
      <c r="K105" s="527"/>
      <c r="L105" s="527"/>
      <c r="M105" s="527"/>
      <c r="N105" s="527"/>
      <c r="O105" s="527"/>
      <c r="P105" s="527"/>
      <c r="Q105" s="527"/>
      <c r="S105" s="527"/>
      <c r="U105" s="527"/>
    </row>
    <row r="106" spans="1:21" s="434" customFormat="1" ht="9.9499999999999993" customHeight="1" x14ac:dyDescent="0.2">
      <c r="A106" s="514"/>
      <c r="C106" s="514"/>
      <c r="D106" s="514"/>
      <c r="E106" s="527"/>
      <c r="F106" s="527"/>
      <c r="G106" s="527"/>
      <c r="H106" s="527"/>
      <c r="I106" s="527"/>
      <c r="J106" s="527"/>
      <c r="K106" s="527"/>
      <c r="L106" s="527"/>
      <c r="M106" s="527"/>
      <c r="N106" s="527"/>
      <c r="O106" s="527"/>
      <c r="P106" s="527"/>
      <c r="Q106" s="527"/>
      <c r="S106" s="527"/>
      <c r="U106" s="527"/>
    </row>
    <row r="107" spans="1:21" s="434" customFormat="1" ht="9.9499999999999993" customHeight="1" x14ac:dyDescent="0.2">
      <c r="A107" s="514"/>
      <c r="C107" s="514"/>
      <c r="D107" s="514"/>
      <c r="E107" s="527"/>
      <c r="F107" s="527"/>
      <c r="G107" s="527"/>
      <c r="H107" s="527"/>
      <c r="I107" s="527"/>
      <c r="J107" s="527"/>
      <c r="K107" s="527"/>
      <c r="L107" s="527"/>
      <c r="M107" s="527"/>
      <c r="N107" s="527"/>
      <c r="O107" s="527"/>
      <c r="P107" s="527"/>
      <c r="Q107" s="527"/>
      <c r="S107" s="527"/>
      <c r="U107" s="527"/>
    </row>
    <row r="108" spans="1:21" s="434" customFormat="1" ht="9.9499999999999993" customHeight="1" x14ac:dyDescent="0.2">
      <c r="A108" s="514"/>
      <c r="C108" s="514"/>
      <c r="D108" s="514"/>
      <c r="E108" s="527"/>
      <c r="F108" s="527"/>
      <c r="G108" s="527"/>
      <c r="H108" s="527"/>
      <c r="I108" s="527"/>
      <c r="J108" s="527"/>
      <c r="K108" s="527"/>
      <c r="L108" s="527"/>
      <c r="M108" s="527"/>
      <c r="N108" s="527"/>
      <c r="O108" s="527"/>
      <c r="P108" s="527"/>
      <c r="Q108" s="527"/>
      <c r="S108" s="527"/>
      <c r="U108" s="527"/>
    </row>
    <row r="109" spans="1:21" s="434" customFormat="1" ht="9.9499999999999993" customHeight="1" x14ac:dyDescent="0.2">
      <c r="A109" s="514"/>
      <c r="C109" s="514"/>
      <c r="D109" s="514"/>
      <c r="E109" s="527"/>
      <c r="F109" s="527"/>
      <c r="G109" s="527"/>
      <c r="H109" s="527"/>
      <c r="I109" s="527"/>
      <c r="J109" s="527"/>
      <c r="K109" s="527"/>
      <c r="L109" s="527"/>
      <c r="M109" s="527"/>
      <c r="N109" s="527"/>
      <c r="O109" s="527"/>
      <c r="P109" s="527"/>
      <c r="Q109" s="527"/>
      <c r="S109" s="527"/>
      <c r="U109" s="527"/>
    </row>
    <row r="110" spans="1:21" s="434" customFormat="1" ht="9.9499999999999993" customHeight="1" x14ac:dyDescent="0.2">
      <c r="B110" s="514"/>
      <c r="C110" s="514"/>
      <c r="D110" s="514"/>
      <c r="E110" s="527"/>
      <c r="F110" s="527"/>
      <c r="G110" s="527"/>
      <c r="H110" s="527"/>
      <c r="I110" s="527"/>
      <c r="J110" s="527"/>
      <c r="K110" s="527"/>
      <c r="L110" s="527"/>
      <c r="M110" s="527"/>
      <c r="N110" s="527"/>
      <c r="O110" s="527"/>
      <c r="P110" s="527"/>
      <c r="Q110" s="527"/>
      <c r="S110" s="527"/>
      <c r="U110" s="527"/>
    </row>
    <row r="111" spans="1:21" s="434" customFormat="1" ht="9.9499999999999993" customHeight="1" x14ac:dyDescent="0.2">
      <c r="B111" s="515"/>
      <c r="C111" s="514"/>
      <c r="D111" s="514"/>
      <c r="E111" s="527"/>
      <c r="F111" s="527"/>
      <c r="G111" s="527"/>
      <c r="H111" s="527"/>
      <c r="I111" s="527"/>
      <c r="J111" s="527"/>
      <c r="K111" s="527"/>
      <c r="L111" s="527"/>
      <c r="M111" s="527"/>
      <c r="N111" s="527"/>
      <c r="O111" s="527"/>
      <c r="P111" s="527"/>
      <c r="Q111" s="527"/>
      <c r="S111" s="527"/>
      <c r="U111" s="527"/>
    </row>
    <row r="112" spans="1:21" s="434" customFormat="1" ht="9.9499999999999993" customHeight="1" x14ac:dyDescent="0.2">
      <c r="A112" s="514"/>
      <c r="C112" s="514"/>
      <c r="D112" s="514"/>
      <c r="E112" s="527"/>
      <c r="F112" s="527"/>
      <c r="G112" s="527"/>
      <c r="H112" s="527"/>
      <c r="I112" s="527"/>
      <c r="J112" s="527"/>
      <c r="K112" s="527"/>
      <c r="L112" s="527"/>
      <c r="M112" s="527"/>
      <c r="N112" s="527"/>
      <c r="O112" s="527"/>
      <c r="P112" s="527"/>
      <c r="Q112" s="527"/>
      <c r="S112" s="527"/>
      <c r="U112" s="527"/>
    </row>
    <row r="113" spans="1:21" s="434" customFormat="1" ht="9.9499999999999993" customHeight="1" x14ac:dyDescent="0.2">
      <c r="A113" s="514"/>
      <c r="C113" s="514"/>
      <c r="D113" s="514"/>
      <c r="E113" s="527"/>
      <c r="F113" s="527"/>
      <c r="G113" s="527"/>
      <c r="H113" s="527"/>
      <c r="I113" s="527"/>
      <c r="J113" s="527"/>
      <c r="K113" s="527"/>
      <c r="L113" s="527"/>
      <c r="M113" s="527"/>
      <c r="N113" s="527"/>
      <c r="O113" s="527"/>
      <c r="P113" s="527"/>
      <c r="Q113" s="527"/>
      <c r="S113" s="527"/>
      <c r="U113" s="527"/>
    </row>
    <row r="114" spans="1:21" s="434" customFormat="1" ht="9.9499999999999993" customHeight="1" x14ac:dyDescent="0.2">
      <c r="A114" s="514"/>
      <c r="C114" s="514"/>
      <c r="D114" s="514"/>
      <c r="E114" s="527"/>
      <c r="F114" s="527"/>
      <c r="G114" s="527"/>
      <c r="H114" s="527"/>
      <c r="I114" s="527"/>
      <c r="J114" s="527"/>
      <c r="K114" s="527"/>
      <c r="L114" s="527"/>
      <c r="M114" s="527"/>
      <c r="N114" s="527"/>
      <c r="O114" s="527"/>
      <c r="P114" s="527"/>
      <c r="Q114" s="527"/>
      <c r="S114" s="527"/>
      <c r="U114" s="527"/>
    </row>
    <row r="115" spans="1:21" s="434" customFormat="1" ht="9.9499999999999993" customHeight="1" x14ac:dyDescent="0.2">
      <c r="A115" s="514"/>
      <c r="C115" s="514"/>
      <c r="D115" s="514"/>
      <c r="E115" s="527"/>
      <c r="F115" s="527"/>
      <c r="G115" s="527"/>
      <c r="H115" s="527"/>
      <c r="I115" s="527"/>
      <c r="J115" s="527"/>
      <c r="K115" s="527"/>
      <c r="L115" s="527"/>
      <c r="M115" s="527"/>
      <c r="N115" s="527"/>
      <c r="O115" s="527"/>
      <c r="P115" s="527"/>
      <c r="Q115" s="527"/>
      <c r="S115" s="527"/>
      <c r="U115" s="527"/>
    </row>
    <row r="116" spans="1:21" s="434" customFormat="1" ht="9.9499999999999993" customHeight="1" x14ac:dyDescent="0.2">
      <c r="A116" s="514"/>
      <c r="C116" s="514"/>
      <c r="D116" s="514"/>
      <c r="E116" s="527"/>
      <c r="F116" s="527"/>
      <c r="G116" s="527"/>
      <c r="H116" s="527"/>
      <c r="I116" s="527"/>
      <c r="J116" s="527"/>
      <c r="K116" s="527"/>
      <c r="L116" s="527"/>
      <c r="M116" s="527"/>
      <c r="N116" s="527"/>
      <c r="O116" s="527"/>
      <c r="P116" s="527"/>
      <c r="Q116" s="527"/>
      <c r="S116" s="527"/>
      <c r="U116" s="527"/>
    </row>
    <row r="117" spans="1:21" s="434" customFormat="1" ht="9.9499999999999993" customHeight="1" x14ac:dyDescent="0.2">
      <c r="A117" s="514"/>
      <c r="C117" s="514"/>
      <c r="D117" s="514"/>
      <c r="E117" s="527"/>
      <c r="F117" s="527"/>
      <c r="G117" s="527"/>
      <c r="H117" s="527"/>
      <c r="I117" s="527"/>
      <c r="J117" s="527"/>
      <c r="K117" s="527"/>
      <c r="L117" s="527"/>
      <c r="M117" s="527"/>
      <c r="N117" s="527"/>
      <c r="O117" s="527"/>
      <c r="P117" s="527"/>
      <c r="Q117" s="527"/>
      <c r="S117" s="527"/>
      <c r="U117" s="527"/>
    </row>
    <row r="118" spans="1:21" s="434" customFormat="1" ht="9.9499999999999993" customHeight="1" x14ac:dyDescent="0.2">
      <c r="B118" s="514"/>
      <c r="C118" s="514"/>
      <c r="D118" s="514"/>
      <c r="E118" s="527"/>
      <c r="F118" s="527"/>
      <c r="G118" s="527"/>
      <c r="H118" s="527"/>
      <c r="I118" s="527"/>
      <c r="J118" s="527"/>
      <c r="K118" s="527"/>
      <c r="L118" s="527"/>
      <c r="M118" s="527"/>
      <c r="N118" s="527"/>
      <c r="O118" s="527"/>
      <c r="P118" s="527"/>
      <c r="Q118" s="527"/>
      <c r="S118" s="527"/>
      <c r="U118" s="527"/>
    </row>
    <row r="119" spans="1:21" s="434" customFormat="1" ht="9.9499999999999993" customHeight="1" x14ac:dyDescent="0.2">
      <c r="A119" s="514"/>
      <c r="B119" s="514"/>
      <c r="C119" s="514"/>
      <c r="D119" s="514"/>
      <c r="E119" s="527"/>
      <c r="F119" s="527"/>
      <c r="G119" s="527"/>
      <c r="H119" s="527"/>
      <c r="I119" s="527"/>
      <c r="J119" s="527"/>
      <c r="K119" s="527"/>
      <c r="L119" s="527"/>
      <c r="M119" s="527"/>
      <c r="N119" s="527"/>
      <c r="O119" s="527"/>
      <c r="P119" s="527"/>
      <c r="Q119" s="527"/>
      <c r="S119" s="527"/>
      <c r="U119" s="527"/>
    </row>
    <row r="120" spans="1:21" s="434" customFormat="1" ht="9.9499999999999993" customHeight="1" x14ac:dyDescent="0.2">
      <c r="A120" s="514"/>
      <c r="B120" s="514"/>
      <c r="C120" s="514"/>
      <c r="D120" s="514"/>
      <c r="E120" s="526"/>
      <c r="F120" s="527"/>
      <c r="G120" s="526"/>
      <c r="H120" s="527"/>
      <c r="I120" s="526"/>
      <c r="J120" s="527"/>
      <c r="K120" s="526"/>
      <c r="L120" s="527"/>
      <c r="M120" s="526"/>
      <c r="N120" s="527"/>
      <c r="O120" s="526"/>
      <c r="P120" s="526"/>
      <c r="Q120" s="526"/>
      <c r="S120" s="526"/>
      <c r="U120" s="526"/>
    </row>
    <row r="121" spans="1:21" s="434" customFormat="1" ht="9.9499999999999993" customHeight="1" x14ac:dyDescent="0.2">
      <c r="A121" s="515"/>
      <c r="B121" s="514"/>
      <c r="C121" s="514"/>
      <c r="D121" s="514"/>
      <c r="E121" s="527"/>
      <c r="F121" s="527"/>
      <c r="G121" s="527"/>
      <c r="H121" s="527"/>
      <c r="I121" s="527"/>
      <c r="J121" s="527"/>
      <c r="K121" s="527"/>
      <c r="L121" s="527"/>
      <c r="M121" s="527"/>
      <c r="N121" s="527"/>
      <c r="O121" s="527"/>
      <c r="P121" s="527"/>
      <c r="Q121" s="527"/>
      <c r="S121" s="527"/>
      <c r="U121" s="527"/>
    </row>
    <row r="122" spans="1:21" s="434" customFormat="1" ht="9.9499999999999993" customHeight="1" x14ac:dyDescent="0.2">
      <c r="A122" s="514"/>
      <c r="B122" s="514"/>
      <c r="C122" s="514"/>
      <c r="D122" s="514"/>
      <c r="E122" s="526"/>
      <c r="F122" s="527"/>
      <c r="G122" s="526"/>
      <c r="H122" s="527"/>
      <c r="I122" s="526"/>
      <c r="J122" s="527"/>
      <c r="K122" s="526"/>
      <c r="L122" s="527"/>
      <c r="M122" s="526"/>
      <c r="N122" s="527"/>
      <c r="O122" s="526"/>
      <c r="P122" s="526"/>
      <c r="Q122" s="526"/>
      <c r="S122" s="526"/>
      <c r="U122" s="526"/>
    </row>
    <row r="123" spans="1:21" s="434" customFormat="1" ht="9.9499999999999993" customHeight="1" x14ac:dyDescent="0.2">
      <c r="A123" s="514"/>
      <c r="B123" s="514"/>
      <c r="C123" s="514"/>
      <c r="D123" s="514"/>
      <c r="E123" s="527"/>
      <c r="F123" s="527"/>
      <c r="G123" s="527"/>
      <c r="H123" s="527"/>
      <c r="I123" s="527"/>
      <c r="J123" s="527"/>
      <c r="K123" s="527"/>
      <c r="L123" s="527"/>
      <c r="M123" s="527"/>
      <c r="N123" s="527"/>
      <c r="O123" s="527"/>
      <c r="P123" s="527"/>
      <c r="Q123" s="527"/>
      <c r="S123" s="527"/>
      <c r="U123" s="527"/>
    </row>
    <row r="124" spans="1:21" s="434" customFormat="1" ht="9.9499999999999993" customHeight="1" x14ac:dyDescent="0.2">
      <c r="A124" s="514"/>
      <c r="B124" s="514"/>
      <c r="C124" s="514"/>
      <c r="D124" s="514"/>
      <c r="E124" s="527"/>
      <c r="F124" s="527"/>
      <c r="G124" s="527"/>
      <c r="H124" s="527"/>
      <c r="I124" s="527"/>
      <c r="J124" s="527"/>
      <c r="K124" s="527"/>
      <c r="L124" s="527"/>
      <c r="M124" s="527"/>
      <c r="N124" s="527"/>
      <c r="O124" s="527"/>
      <c r="P124" s="527"/>
      <c r="Q124" s="527"/>
      <c r="S124" s="527"/>
      <c r="U124" s="527"/>
    </row>
    <row r="125" spans="1:21" s="434" customFormat="1" ht="9.9499999999999993" customHeight="1" x14ac:dyDescent="0.2">
      <c r="A125" s="514"/>
      <c r="B125" s="514"/>
      <c r="C125" s="514"/>
      <c r="D125" s="514"/>
      <c r="E125" s="526"/>
      <c r="F125" s="527"/>
      <c r="G125" s="526"/>
      <c r="H125" s="527"/>
      <c r="I125" s="526"/>
      <c r="J125" s="527"/>
      <c r="K125" s="526"/>
      <c r="L125" s="527"/>
      <c r="M125" s="526"/>
      <c r="N125" s="527"/>
      <c r="O125" s="526"/>
      <c r="P125" s="526"/>
      <c r="Q125" s="526"/>
      <c r="S125" s="526"/>
      <c r="U125" s="526"/>
    </row>
    <row r="126" spans="1:21" s="434" customFormat="1" ht="9.9499999999999993" customHeight="1" x14ac:dyDescent="0.2">
      <c r="A126" s="514"/>
      <c r="B126" s="514"/>
      <c r="C126" s="514"/>
      <c r="D126" s="514"/>
      <c r="E126" s="527"/>
      <c r="F126" s="514"/>
      <c r="G126" s="527"/>
      <c r="H126" s="514"/>
      <c r="I126" s="953"/>
      <c r="J126" s="514"/>
      <c r="K126" s="953"/>
      <c r="L126" s="514"/>
      <c r="M126" s="953"/>
      <c r="N126" s="514"/>
      <c r="O126" s="953"/>
      <c r="P126" s="953"/>
      <c r="Q126" s="953"/>
      <c r="S126" s="953"/>
      <c r="U126" s="953"/>
    </row>
    <row r="127" spans="1:21" s="434" customFormat="1" ht="9.9499999999999993" customHeight="1" x14ac:dyDescent="0.2">
      <c r="A127" s="514"/>
      <c r="B127" s="514"/>
      <c r="C127" s="514"/>
      <c r="D127" s="514"/>
      <c r="E127" s="953"/>
      <c r="F127" s="514"/>
      <c r="G127" s="953"/>
      <c r="H127" s="514"/>
      <c r="I127" s="953"/>
      <c r="J127" s="514"/>
      <c r="K127" s="953"/>
      <c r="L127" s="514"/>
      <c r="M127" s="953"/>
      <c r="N127" s="514"/>
      <c r="O127" s="953"/>
      <c r="P127" s="953"/>
      <c r="Q127" s="953"/>
      <c r="S127" s="953"/>
      <c r="U127" s="953"/>
    </row>
    <row r="128" spans="1:21" s="434" customFormat="1" ht="9.9499999999999993" customHeight="1" x14ac:dyDescent="0.2">
      <c r="A128" s="514"/>
      <c r="B128" s="514"/>
      <c r="C128" s="514"/>
      <c r="D128" s="514"/>
      <c r="E128" s="953"/>
      <c r="F128" s="514"/>
      <c r="G128" s="953"/>
      <c r="H128" s="514"/>
      <c r="I128" s="953"/>
      <c r="J128" s="514"/>
      <c r="K128" s="953"/>
      <c r="L128" s="514"/>
      <c r="M128" s="953"/>
      <c r="N128" s="514"/>
      <c r="O128" s="953"/>
      <c r="P128" s="953"/>
      <c r="Q128" s="953"/>
      <c r="S128" s="953"/>
      <c r="U128" s="953"/>
    </row>
    <row r="129" spans="1:21" s="434" customFormat="1" ht="9.9499999999999993" customHeight="1" x14ac:dyDescent="0.2">
      <c r="A129" s="514"/>
      <c r="B129" s="514"/>
      <c r="C129" s="514"/>
      <c r="D129" s="514"/>
      <c r="E129" s="953"/>
      <c r="F129" s="514"/>
      <c r="G129" s="953"/>
      <c r="H129" s="514"/>
      <c r="I129" s="953"/>
      <c r="J129" s="514"/>
      <c r="K129" s="953"/>
      <c r="L129" s="514"/>
      <c r="M129" s="953"/>
      <c r="N129" s="514"/>
      <c r="O129" s="953"/>
      <c r="P129" s="953"/>
      <c r="Q129" s="953"/>
      <c r="S129" s="953"/>
      <c r="U129" s="953"/>
    </row>
    <row r="130" spans="1:21" s="434" customFormat="1" ht="9.9499999999999993" customHeight="1" x14ac:dyDescent="0.2">
      <c r="A130" s="514"/>
      <c r="B130" s="514"/>
      <c r="C130" s="514"/>
      <c r="D130" s="514"/>
      <c r="E130" s="953"/>
      <c r="F130" s="514"/>
      <c r="G130" s="953"/>
      <c r="H130" s="514"/>
      <c r="I130" s="953"/>
      <c r="J130" s="514"/>
      <c r="K130" s="953"/>
      <c r="L130" s="514"/>
      <c r="M130" s="953"/>
      <c r="N130" s="514"/>
      <c r="O130" s="953"/>
      <c r="P130" s="953"/>
      <c r="Q130" s="953"/>
      <c r="S130" s="953"/>
      <c r="U130" s="953"/>
    </row>
    <row r="131" spans="1:21" s="434" customFormat="1" ht="9.9499999999999993" customHeight="1" x14ac:dyDescent="0.2">
      <c r="A131" s="514"/>
      <c r="B131" s="514"/>
      <c r="C131" s="514"/>
      <c r="D131" s="514"/>
      <c r="E131" s="953"/>
      <c r="F131" s="514"/>
      <c r="G131" s="953"/>
      <c r="H131" s="514"/>
      <c r="I131" s="953"/>
      <c r="J131" s="514"/>
      <c r="K131" s="953"/>
      <c r="L131" s="514"/>
      <c r="M131" s="953"/>
      <c r="N131" s="514"/>
      <c r="O131" s="953"/>
      <c r="P131" s="953"/>
      <c r="Q131" s="953"/>
      <c r="S131" s="953"/>
      <c r="U131" s="953"/>
    </row>
    <row r="132" spans="1:21" s="434" customFormat="1" ht="9.9499999999999993" customHeight="1" x14ac:dyDescent="0.2">
      <c r="E132" s="981"/>
      <c r="G132" s="981"/>
      <c r="I132" s="981"/>
      <c r="K132" s="981"/>
      <c r="M132" s="981"/>
      <c r="O132" s="981"/>
      <c r="P132" s="981"/>
      <c r="Q132" s="981"/>
      <c r="S132" s="981"/>
      <c r="U132" s="981"/>
    </row>
    <row r="133" spans="1:21" s="434" customFormat="1" ht="9.9499999999999993" customHeight="1" x14ac:dyDescent="0.2">
      <c r="E133" s="981"/>
      <c r="G133" s="981"/>
      <c r="I133" s="981"/>
      <c r="K133" s="981"/>
      <c r="M133" s="981"/>
      <c r="O133" s="981"/>
      <c r="P133" s="981"/>
      <c r="Q133" s="981"/>
      <c r="S133" s="981"/>
      <c r="U133" s="981"/>
    </row>
    <row r="134" spans="1:21" s="434" customFormat="1" ht="9.9499999999999993" customHeight="1" x14ac:dyDescent="0.2">
      <c r="E134" s="981"/>
      <c r="G134" s="981"/>
      <c r="I134" s="981"/>
      <c r="K134" s="981"/>
      <c r="M134" s="981"/>
      <c r="O134" s="981"/>
      <c r="P134" s="981"/>
      <c r="Q134" s="981"/>
      <c r="S134" s="981"/>
      <c r="U134" s="981"/>
    </row>
    <row r="135" spans="1:21" s="434" customFormat="1" ht="9.9499999999999993" customHeight="1" x14ac:dyDescent="0.2">
      <c r="E135" s="981"/>
      <c r="G135" s="981">
        <v>21</v>
      </c>
      <c r="I135" s="981"/>
      <c r="K135" s="981"/>
      <c r="M135" s="981"/>
      <c r="O135" s="981"/>
      <c r="P135" s="981"/>
      <c r="Q135" s="981"/>
      <c r="S135" s="981"/>
      <c r="U135" s="981"/>
    </row>
    <row r="136" spans="1:21" s="434" customFormat="1" ht="9.9499999999999993" customHeight="1" x14ac:dyDescent="0.2">
      <c r="E136" s="981"/>
      <c r="G136" s="981"/>
      <c r="I136" s="981"/>
      <c r="K136" s="981"/>
      <c r="M136" s="981"/>
      <c r="O136" s="981"/>
      <c r="P136" s="981"/>
      <c r="Q136" s="981"/>
      <c r="S136" s="981"/>
      <c r="U136" s="981"/>
    </row>
    <row r="137" spans="1:21" s="434" customFormat="1" ht="9.9499999999999993" customHeight="1" x14ac:dyDescent="0.2">
      <c r="E137" s="981"/>
      <c r="G137" s="981"/>
      <c r="I137" s="981"/>
      <c r="K137" s="981"/>
      <c r="M137" s="981"/>
      <c r="O137" s="981"/>
      <c r="P137" s="981"/>
      <c r="Q137" s="981"/>
      <c r="S137" s="981"/>
      <c r="U137" s="981"/>
    </row>
    <row r="138" spans="1:21" s="434" customFormat="1" ht="9.9499999999999993" customHeight="1" x14ac:dyDescent="0.2">
      <c r="E138" s="981"/>
      <c r="G138" s="981"/>
      <c r="I138" s="981"/>
      <c r="K138" s="981"/>
      <c r="M138" s="981"/>
      <c r="O138" s="981"/>
      <c r="P138" s="981"/>
      <c r="Q138" s="981"/>
      <c r="S138" s="981"/>
      <c r="U138" s="981"/>
    </row>
    <row r="139" spans="1:21" s="434" customFormat="1" ht="9.9499999999999993" customHeight="1" x14ac:dyDescent="0.2">
      <c r="E139" s="981"/>
      <c r="G139" s="981"/>
      <c r="I139" s="981"/>
      <c r="K139" s="981"/>
      <c r="M139" s="981"/>
      <c r="O139" s="981"/>
      <c r="P139" s="981"/>
      <c r="Q139" s="981"/>
      <c r="S139" s="981"/>
      <c r="U139" s="981"/>
    </row>
    <row r="140" spans="1:21" s="434" customFormat="1" ht="9.9499999999999993" customHeight="1" x14ac:dyDescent="0.2">
      <c r="E140" s="981"/>
      <c r="G140" s="981"/>
      <c r="I140" s="981"/>
      <c r="K140" s="981"/>
      <c r="M140" s="981"/>
      <c r="O140" s="981"/>
      <c r="P140" s="981"/>
      <c r="Q140" s="981"/>
      <c r="S140" s="981"/>
      <c r="U140" s="981"/>
    </row>
    <row r="141" spans="1:21" s="434" customFormat="1" ht="9.9499999999999993" customHeight="1" x14ac:dyDescent="0.2">
      <c r="E141" s="981"/>
      <c r="G141" s="981"/>
      <c r="I141" s="981"/>
      <c r="K141" s="981"/>
      <c r="M141" s="981"/>
      <c r="O141" s="981"/>
      <c r="P141" s="981"/>
      <c r="Q141" s="981"/>
      <c r="S141" s="981"/>
      <c r="U141" s="981"/>
    </row>
    <row r="142" spans="1:21" s="434" customFormat="1" ht="9.9499999999999993" customHeight="1" x14ac:dyDescent="0.2">
      <c r="E142" s="981"/>
      <c r="G142" s="981"/>
      <c r="I142" s="981"/>
      <c r="K142" s="981"/>
      <c r="M142" s="981"/>
      <c r="O142" s="981"/>
      <c r="P142" s="981"/>
      <c r="Q142" s="981"/>
      <c r="S142" s="981"/>
      <c r="U142" s="981"/>
    </row>
    <row r="143" spans="1:21" s="434" customFormat="1" ht="9.9499999999999993" customHeight="1" x14ac:dyDescent="0.2">
      <c r="E143" s="981"/>
      <c r="G143" s="981"/>
      <c r="I143" s="981"/>
      <c r="K143" s="981"/>
      <c r="M143" s="981"/>
      <c r="O143" s="981"/>
      <c r="P143" s="981"/>
      <c r="Q143" s="981"/>
      <c r="S143" s="981"/>
      <c r="U143" s="981"/>
    </row>
    <row r="144" spans="1:21" s="434" customFormat="1" ht="9.9499999999999993" customHeight="1" x14ac:dyDescent="0.2">
      <c r="E144" s="981"/>
      <c r="G144" s="981"/>
      <c r="I144" s="981"/>
      <c r="K144" s="981"/>
      <c r="M144" s="981"/>
      <c r="O144" s="981"/>
      <c r="P144" s="981"/>
      <c r="Q144" s="981"/>
      <c r="S144" s="981"/>
      <c r="U144" s="981"/>
    </row>
    <row r="145" spans="5:21" s="434" customFormat="1" ht="9.9499999999999993" customHeight="1" x14ac:dyDescent="0.2">
      <c r="E145" s="981"/>
      <c r="G145" s="981"/>
      <c r="I145" s="981"/>
      <c r="K145" s="981"/>
      <c r="M145" s="981"/>
      <c r="O145" s="981"/>
      <c r="P145" s="981"/>
      <c r="Q145" s="981"/>
      <c r="S145" s="981"/>
      <c r="U145" s="981"/>
    </row>
    <row r="146" spans="5:21" s="434" customFormat="1" ht="9.9499999999999993" customHeight="1" x14ac:dyDescent="0.2">
      <c r="E146" s="981"/>
      <c r="G146" s="981"/>
      <c r="I146" s="981"/>
      <c r="K146" s="981"/>
      <c r="M146" s="981"/>
      <c r="O146" s="981"/>
      <c r="P146" s="981"/>
      <c r="Q146" s="981"/>
      <c r="S146" s="981"/>
      <c r="U146" s="981"/>
    </row>
    <row r="147" spans="5:21" s="434" customFormat="1" ht="9.9499999999999993" customHeight="1" x14ac:dyDescent="0.2">
      <c r="E147" s="981"/>
      <c r="G147" s="981"/>
      <c r="I147" s="981"/>
      <c r="K147" s="981"/>
      <c r="M147" s="981"/>
      <c r="O147" s="981"/>
      <c r="P147" s="981"/>
      <c r="Q147" s="981"/>
      <c r="S147" s="981"/>
      <c r="U147" s="981"/>
    </row>
    <row r="148" spans="5:21" s="434" customFormat="1" ht="9.9499999999999993" customHeight="1" x14ac:dyDescent="0.2">
      <c r="E148" s="981"/>
      <c r="G148" s="981"/>
      <c r="I148" s="981"/>
      <c r="K148" s="981"/>
      <c r="M148" s="981"/>
      <c r="O148" s="981"/>
      <c r="P148" s="981"/>
      <c r="Q148" s="981"/>
      <c r="S148" s="981"/>
      <c r="U148" s="981"/>
    </row>
    <row r="149" spans="5:21" s="434" customFormat="1" ht="9.9499999999999993" customHeight="1" x14ac:dyDescent="0.2">
      <c r="E149" s="981"/>
      <c r="G149" s="981"/>
      <c r="I149" s="981"/>
      <c r="K149" s="981"/>
      <c r="M149" s="981"/>
      <c r="O149" s="981"/>
      <c r="P149" s="981"/>
      <c r="Q149" s="981"/>
      <c r="S149" s="981"/>
      <c r="U149" s="981"/>
    </row>
    <row r="150" spans="5:21" s="434" customFormat="1" ht="9.9499999999999993" customHeight="1" x14ac:dyDescent="0.2">
      <c r="E150" s="981"/>
      <c r="G150" s="981"/>
      <c r="I150" s="981"/>
      <c r="K150" s="981"/>
      <c r="M150" s="981"/>
      <c r="O150" s="981"/>
      <c r="P150" s="981"/>
      <c r="Q150" s="981"/>
      <c r="S150" s="981"/>
      <c r="U150" s="981"/>
    </row>
    <row r="151" spans="5:21" s="434" customFormat="1" ht="9.9499999999999993" customHeight="1" x14ac:dyDescent="0.2">
      <c r="E151" s="981"/>
      <c r="G151" s="981"/>
      <c r="I151" s="981"/>
      <c r="K151" s="981"/>
      <c r="M151" s="981"/>
      <c r="O151" s="981"/>
      <c r="P151" s="981"/>
      <c r="Q151" s="981"/>
      <c r="S151" s="981"/>
      <c r="U151" s="981"/>
    </row>
    <row r="152" spans="5:21" s="434" customFormat="1" ht="9.9499999999999993" customHeight="1" x14ac:dyDescent="0.2">
      <c r="E152" s="981"/>
      <c r="G152" s="981"/>
      <c r="I152" s="981"/>
      <c r="K152" s="981"/>
      <c r="M152" s="981"/>
      <c r="O152" s="981"/>
      <c r="P152" s="981"/>
      <c r="Q152" s="981"/>
      <c r="S152" s="981"/>
      <c r="U152" s="981"/>
    </row>
    <row r="153" spans="5:21" s="434" customFormat="1" ht="9.9499999999999993" customHeight="1" x14ac:dyDescent="0.2">
      <c r="E153" s="981"/>
      <c r="G153" s="981"/>
      <c r="I153" s="981"/>
      <c r="K153" s="981"/>
      <c r="M153" s="981"/>
      <c r="O153" s="981"/>
      <c r="P153" s="981"/>
      <c r="Q153" s="981"/>
      <c r="S153" s="981"/>
      <c r="U153" s="981"/>
    </row>
    <row r="154" spans="5:21" s="434" customFormat="1" ht="9.9499999999999993" customHeight="1" x14ac:dyDescent="0.2">
      <c r="E154" s="981"/>
      <c r="G154" s="981"/>
      <c r="I154" s="981"/>
      <c r="K154" s="981"/>
      <c r="M154" s="981"/>
      <c r="O154" s="981"/>
      <c r="P154" s="981"/>
      <c r="Q154" s="981"/>
      <c r="S154" s="981"/>
      <c r="U154" s="981"/>
    </row>
    <row r="155" spans="5:21" s="434" customFormat="1" ht="9.9499999999999993" customHeight="1" x14ac:dyDescent="0.2">
      <c r="E155" s="981"/>
      <c r="G155" s="981"/>
      <c r="I155" s="981"/>
      <c r="K155" s="981"/>
      <c r="M155" s="981"/>
      <c r="O155" s="981"/>
      <c r="P155" s="981"/>
      <c r="Q155" s="981"/>
      <c r="S155" s="981"/>
      <c r="U155" s="981"/>
    </row>
    <row r="156" spans="5:21" s="434" customFormat="1" ht="9.9499999999999993" customHeight="1" x14ac:dyDescent="0.2">
      <c r="E156" s="981"/>
      <c r="G156" s="981"/>
      <c r="I156" s="981"/>
      <c r="K156" s="981"/>
      <c r="M156" s="981"/>
      <c r="O156" s="981"/>
      <c r="P156" s="981"/>
      <c r="Q156" s="981"/>
      <c r="S156" s="981"/>
      <c r="U156" s="981"/>
    </row>
    <row r="157" spans="5:21" s="434" customFormat="1" ht="9.9499999999999993" customHeight="1" x14ac:dyDescent="0.2">
      <c r="E157" s="981"/>
      <c r="G157" s="981"/>
      <c r="I157" s="981"/>
      <c r="K157" s="981"/>
      <c r="M157" s="981"/>
      <c r="O157" s="981"/>
      <c r="P157" s="981"/>
      <c r="Q157" s="981"/>
      <c r="S157" s="981"/>
      <c r="U157" s="981"/>
    </row>
    <row r="158" spans="5:21" s="434" customFormat="1" ht="9.9499999999999993" customHeight="1" x14ac:dyDescent="0.2">
      <c r="E158" s="981"/>
      <c r="G158" s="981"/>
      <c r="I158" s="981"/>
      <c r="K158" s="981"/>
      <c r="M158" s="981"/>
      <c r="O158" s="981"/>
      <c r="P158" s="981"/>
      <c r="Q158" s="981"/>
      <c r="S158" s="981"/>
      <c r="U158" s="981"/>
    </row>
    <row r="159" spans="5:21" s="434" customFormat="1" ht="9.9499999999999993" customHeight="1" x14ac:dyDescent="0.2">
      <c r="E159" s="981"/>
      <c r="G159" s="981"/>
      <c r="I159" s="981"/>
      <c r="K159" s="981"/>
      <c r="M159" s="981"/>
      <c r="O159" s="981"/>
      <c r="P159" s="981"/>
      <c r="Q159" s="981"/>
      <c r="S159" s="981"/>
      <c r="U159" s="981"/>
    </row>
    <row r="160" spans="5:21" s="434" customFormat="1" ht="9.9499999999999993" customHeight="1" x14ac:dyDescent="0.2">
      <c r="E160" s="981"/>
      <c r="G160" s="981"/>
      <c r="I160" s="981"/>
      <c r="K160" s="981"/>
      <c r="M160" s="981"/>
      <c r="O160" s="981"/>
      <c r="P160" s="981"/>
      <c r="Q160" s="981"/>
      <c r="S160" s="981"/>
      <c r="U160" s="981"/>
    </row>
    <row r="161" spans="5:21" s="434" customFormat="1" ht="9.9499999999999993" customHeight="1" x14ac:dyDescent="0.2">
      <c r="E161" s="981"/>
      <c r="G161" s="981"/>
      <c r="I161" s="981"/>
      <c r="K161" s="981"/>
      <c r="M161" s="981"/>
      <c r="O161" s="981"/>
      <c r="P161" s="981"/>
      <c r="Q161" s="981"/>
      <c r="S161" s="981"/>
      <c r="U161" s="981"/>
    </row>
    <row r="162" spans="5:21" s="434" customFormat="1" ht="9.9499999999999993" customHeight="1" x14ac:dyDescent="0.2">
      <c r="E162" s="981"/>
      <c r="G162" s="981"/>
      <c r="I162" s="981"/>
      <c r="K162" s="981"/>
      <c r="M162" s="981"/>
      <c r="O162" s="981"/>
      <c r="P162" s="981"/>
      <c r="Q162" s="981"/>
      <c r="S162" s="981"/>
      <c r="U162" s="981"/>
    </row>
    <row r="163" spans="5:21" s="434" customFormat="1" ht="9.9499999999999993" customHeight="1" x14ac:dyDescent="0.2">
      <c r="E163" s="981"/>
      <c r="G163" s="981"/>
      <c r="I163" s="981"/>
      <c r="K163" s="981"/>
      <c r="M163" s="981"/>
      <c r="O163" s="981"/>
      <c r="P163" s="981"/>
      <c r="Q163" s="981"/>
      <c r="S163" s="981"/>
      <c r="U163" s="981"/>
    </row>
    <row r="164" spans="5:21" s="434" customFormat="1" ht="9.9499999999999993" customHeight="1" x14ac:dyDescent="0.2">
      <c r="E164" s="981"/>
      <c r="G164" s="981"/>
      <c r="I164" s="981"/>
      <c r="K164" s="981"/>
      <c r="M164" s="981"/>
      <c r="O164" s="981"/>
      <c r="P164" s="981"/>
      <c r="Q164" s="981"/>
      <c r="S164" s="981"/>
      <c r="U164" s="981"/>
    </row>
    <row r="165" spans="5:21" s="434" customFormat="1" ht="9.9499999999999993" customHeight="1" x14ac:dyDescent="0.2">
      <c r="E165" s="981"/>
      <c r="G165" s="981"/>
      <c r="I165" s="981"/>
      <c r="K165" s="981"/>
      <c r="M165" s="981"/>
      <c r="O165" s="981"/>
      <c r="P165" s="981"/>
      <c r="Q165" s="981"/>
      <c r="S165" s="981"/>
      <c r="U165" s="981"/>
    </row>
    <row r="166" spans="5:21" s="434" customFormat="1" ht="9.9499999999999993" customHeight="1" x14ac:dyDescent="0.2">
      <c r="E166" s="981"/>
      <c r="G166" s="981"/>
      <c r="I166" s="981"/>
      <c r="K166" s="981"/>
      <c r="M166" s="981"/>
      <c r="O166" s="981"/>
      <c r="P166" s="981"/>
      <c r="Q166" s="981"/>
      <c r="S166" s="981"/>
      <c r="U166" s="981"/>
    </row>
    <row r="167" spans="5:21" s="434" customFormat="1" ht="9.9499999999999993" customHeight="1" x14ac:dyDescent="0.2">
      <c r="E167" s="981"/>
      <c r="G167" s="981"/>
      <c r="I167" s="981"/>
      <c r="K167" s="981"/>
      <c r="M167" s="981"/>
      <c r="O167" s="981"/>
      <c r="P167" s="981"/>
      <c r="Q167" s="981"/>
      <c r="S167" s="981"/>
      <c r="U167" s="981"/>
    </row>
    <row r="168" spans="5:21" s="434" customFormat="1" ht="9.9499999999999993" customHeight="1" x14ac:dyDescent="0.2">
      <c r="E168" s="981"/>
      <c r="G168" s="981"/>
      <c r="I168" s="981"/>
      <c r="K168" s="981"/>
      <c r="M168" s="981"/>
      <c r="O168" s="981"/>
      <c r="P168" s="981"/>
      <c r="Q168" s="981"/>
      <c r="S168" s="981"/>
      <c r="U168" s="981"/>
    </row>
    <row r="169" spans="5:21" s="434" customFormat="1" ht="9.9499999999999993" customHeight="1" x14ac:dyDescent="0.2">
      <c r="E169" s="981"/>
      <c r="G169" s="981"/>
      <c r="I169" s="981"/>
      <c r="K169" s="981"/>
      <c r="M169" s="981"/>
      <c r="O169" s="981"/>
      <c r="P169" s="981"/>
      <c r="Q169" s="981"/>
      <c r="S169" s="981"/>
      <c r="U169" s="981"/>
    </row>
    <row r="170" spans="5:21" s="434" customFormat="1" ht="9.9499999999999993" customHeight="1" x14ac:dyDescent="0.2">
      <c r="E170" s="981"/>
      <c r="G170" s="981"/>
      <c r="I170" s="981"/>
      <c r="K170" s="981"/>
      <c r="M170" s="981"/>
      <c r="O170" s="981"/>
      <c r="P170" s="981"/>
      <c r="Q170" s="981"/>
      <c r="S170" s="981"/>
      <c r="U170" s="981"/>
    </row>
    <row r="171" spans="5:21" s="434" customFormat="1" ht="9.9499999999999993" customHeight="1" x14ac:dyDescent="0.2">
      <c r="E171" s="981"/>
      <c r="G171" s="981"/>
      <c r="I171" s="981"/>
      <c r="K171" s="981"/>
      <c r="M171" s="981"/>
      <c r="O171" s="981"/>
      <c r="P171" s="981"/>
      <c r="Q171" s="981"/>
      <c r="S171" s="981"/>
      <c r="U171" s="981"/>
    </row>
    <row r="172" spans="5:21" s="434" customFormat="1" ht="9.9499999999999993" customHeight="1" x14ac:dyDescent="0.2">
      <c r="E172" s="981"/>
      <c r="G172" s="981"/>
      <c r="I172" s="981"/>
      <c r="K172" s="981"/>
      <c r="M172" s="981"/>
      <c r="O172" s="981"/>
      <c r="P172" s="981"/>
      <c r="Q172" s="981"/>
      <c r="S172" s="981"/>
      <c r="U172" s="981"/>
    </row>
    <row r="173" spans="5:21" s="434" customFormat="1" ht="9.9499999999999993" customHeight="1" x14ac:dyDescent="0.2">
      <c r="E173" s="981"/>
      <c r="G173" s="981"/>
      <c r="I173" s="981"/>
      <c r="K173" s="981"/>
      <c r="M173" s="981"/>
      <c r="O173" s="981"/>
      <c r="P173" s="981"/>
      <c r="Q173" s="981"/>
      <c r="S173" s="981"/>
      <c r="U173" s="981"/>
    </row>
    <row r="174" spans="5:21" s="434" customFormat="1" ht="9.9499999999999993" customHeight="1" x14ac:dyDescent="0.2">
      <c r="E174" s="981"/>
      <c r="G174" s="981"/>
      <c r="I174" s="981"/>
      <c r="K174" s="981"/>
      <c r="M174" s="981"/>
      <c r="O174" s="981"/>
      <c r="P174" s="981"/>
      <c r="Q174" s="981"/>
      <c r="S174" s="981"/>
      <c r="U174" s="981"/>
    </row>
    <row r="175" spans="5:21" s="434" customFormat="1" ht="9.9499999999999993" customHeight="1" x14ac:dyDescent="0.2">
      <c r="E175" s="981"/>
      <c r="G175" s="981"/>
      <c r="I175" s="981"/>
      <c r="K175" s="981"/>
      <c r="M175" s="981"/>
      <c r="O175" s="981"/>
      <c r="P175" s="981"/>
      <c r="Q175" s="981"/>
      <c r="S175" s="981"/>
      <c r="U175" s="981"/>
    </row>
    <row r="176" spans="5:21" s="434" customFormat="1" ht="9.9499999999999993" customHeight="1" x14ac:dyDescent="0.2">
      <c r="E176" s="981"/>
      <c r="G176" s="981"/>
      <c r="I176" s="981"/>
      <c r="K176" s="981"/>
      <c r="M176" s="981"/>
      <c r="O176" s="981"/>
      <c r="P176" s="981"/>
      <c r="Q176" s="981"/>
      <c r="S176" s="981"/>
      <c r="U176" s="981"/>
    </row>
    <row r="177" spans="5:21" s="434" customFormat="1" ht="9.9499999999999993" customHeight="1" x14ac:dyDescent="0.2">
      <c r="E177" s="981"/>
      <c r="G177" s="981"/>
      <c r="I177" s="981"/>
      <c r="K177" s="981"/>
      <c r="M177" s="981"/>
      <c r="O177" s="981"/>
      <c r="P177" s="981"/>
      <c r="Q177" s="981"/>
      <c r="S177" s="981"/>
      <c r="U177" s="981"/>
    </row>
    <row r="178" spans="5:21" s="434" customFormat="1" ht="9.9499999999999993" customHeight="1" x14ac:dyDescent="0.2">
      <c r="E178" s="981"/>
      <c r="G178" s="981"/>
      <c r="I178" s="981"/>
      <c r="K178" s="981"/>
      <c r="M178" s="981"/>
      <c r="O178" s="981"/>
      <c r="P178" s="981"/>
      <c r="Q178" s="981"/>
      <c r="S178" s="981"/>
      <c r="U178" s="981"/>
    </row>
    <row r="179" spans="5:21" s="434" customFormat="1" ht="9.9499999999999993" customHeight="1" x14ac:dyDescent="0.2">
      <c r="E179" s="981"/>
      <c r="G179" s="981"/>
      <c r="I179" s="981"/>
      <c r="K179" s="981"/>
      <c r="M179" s="981"/>
      <c r="O179" s="981"/>
      <c r="P179" s="981"/>
      <c r="Q179" s="981"/>
      <c r="S179" s="981"/>
      <c r="U179" s="981"/>
    </row>
    <row r="180" spans="5:21" s="434" customFormat="1" ht="9.9499999999999993" customHeight="1" x14ac:dyDescent="0.2">
      <c r="E180" s="981"/>
      <c r="G180" s="981"/>
      <c r="I180" s="981"/>
      <c r="K180" s="981"/>
      <c r="M180" s="981"/>
      <c r="O180" s="981"/>
      <c r="P180" s="981"/>
      <c r="Q180" s="981"/>
      <c r="S180" s="981"/>
      <c r="U180" s="981"/>
    </row>
    <row r="181" spans="5:21" s="434" customFormat="1" ht="9.9499999999999993" customHeight="1" x14ac:dyDescent="0.2">
      <c r="E181" s="981"/>
      <c r="G181" s="981"/>
      <c r="I181" s="981"/>
      <c r="K181" s="981"/>
      <c r="M181" s="981"/>
      <c r="O181" s="981"/>
      <c r="P181" s="981"/>
      <c r="Q181" s="981"/>
      <c r="S181" s="981"/>
      <c r="U181" s="981"/>
    </row>
    <row r="182" spans="5:21" s="434" customFormat="1" ht="9.9499999999999993" customHeight="1" x14ac:dyDescent="0.2">
      <c r="E182" s="981"/>
      <c r="G182" s="981"/>
      <c r="I182" s="981"/>
      <c r="K182" s="981"/>
      <c r="M182" s="981"/>
      <c r="O182" s="981"/>
      <c r="P182" s="981"/>
      <c r="Q182" s="981"/>
      <c r="S182" s="981"/>
      <c r="U182" s="981"/>
    </row>
    <row r="183" spans="5:21" s="434" customFormat="1" ht="9.9499999999999993" customHeight="1" x14ac:dyDescent="0.2">
      <c r="E183" s="981"/>
      <c r="G183" s="981"/>
      <c r="I183" s="981"/>
      <c r="K183" s="981"/>
      <c r="M183" s="981"/>
      <c r="O183" s="981"/>
      <c r="P183" s="981"/>
      <c r="Q183" s="981"/>
      <c r="S183" s="981"/>
      <c r="U183" s="981"/>
    </row>
    <row r="184" spans="5:21" s="434" customFormat="1" ht="9.9499999999999993" customHeight="1" x14ac:dyDescent="0.2">
      <c r="E184" s="981"/>
      <c r="G184" s="981"/>
      <c r="I184" s="981"/>
      <c r="K184" s="981"/>
      <c r="M184" s="981"/>
      <c r="O184" s="981"/>
      <c r="P184" s="981"/>
      <c r="Q184" s="981"/>
      <c r="S184" s="981"/>
      <c r="U184" s="981"/>
    </row>
    <row r="185" spans="5:21" s="434" customFormat="1" ht="9.9499999999999993" customHeight="1" x14ac:dyDescent="0.2">
      <c r="E185" s="981"/>
      <c r="G185" s="981"/>
      <c r="I185" s="981"/>
      <c r="K185" s="981"/>
      <c r="M185" s="981"/>
      <c r="O185" s="981"/>
      <c r="P185" s="981"/>
      <c r="Q185" s="981"/>
      <c r="S185" s="981"/>
      <c r="U185" s="981"/>
    </row>
    <row r="186" spans="5:21" s="434" customFormat="1" ht="9.9499999999999993" customHeight="1" x14ac:dyDescent="0.2">
      <c r="E186" s="981"/>
      <c r="G186" s="981"/>
      <c r="I186" s="981"/>
      <c r="K186" s="981"/>
      <c r="M186" s="981"/>
      <c r="O186" s="981"/>
      <c r="P186" s="981"/>
      <c r="Q186" s="981"/>
      <c r="S186" s="981"/>
      <c r="U186" s="981"/>
    </row>
    <row r="187" spans="5:21" s="434" customFormat="1" ht="9.9499999999999993" customHeight="1" x14ac:dyDescent="0.2">
      <c r="E187" s="981"/>
      <c r="G187" s="981"/>
      <c r="I187" s="981"/>
      <c r="K187" s="981"/>
      <c r="M187" s="981"/>
      <c r="O187" s="981"/>
      <c r="P187" s="981"/>
      <c r="Q187" s="981"/>
      <c r="S187" s="981"/>
      <c r="U187" s="981"/>
    </row>
    <row r="188" spans="5:21" s="434" customFormat="1" ht="9.9499999999999993" customHeight="1" x14ac:dyDescent="0.2">
      <c r="E188" s="981"/>
      <c r="G188" s="981"/>
      <c r="I188" s="981"/>
      <c r="K188" s="981"/>
      <c r="M188" s="981"/>
      <c r="O188" s="981"/>
      <c r="P188" s="981"/>
      <c r="Q188" s="981"/>
      <c r="S188" s="981"/>
      <c r="U188" s="981"/>
    </row>
    <row r="189" spans="5:21" s="434" customFormat="1" ht="9.9499999999999993" customHeight="1" x14ac:dyDescent="0.2">
      <c r="E189" s="981"/>
      <c r="G189" s="981"/>
      <c r="I189" s="981"/>
      <c r="K189" s="981"/>
      <c r="M189" s="981"/>
      <c r="O189" s="981"/>
      <c r="P189" s="981"/>
      <c r="Q189" s="981"/>
      <c r="S189" s="981"/>
      <c r="U189" s="981"/>
    </row>
    <row r="190" spans="5:21" s="434" customFormat="1" ht="9.9499999999999993" customHeight="1" x14ac:dyDescent="0.2">
      <c r="E190" s="981"/>
      <c r="G190" s="981"/>
      <c r="I190" s="981"/>
      <c r="K190" s="981"/>
      <c r="M190" s="981"/>
      <c r="O190" s="981"/>
      <c r="P190" s="981"/>
      <c r="Q190" s="981"/>
      <c r="S190" s="981"/>
      <c r="U190" s="981"/>
    </row>
    <row r="191" spans="5:21" s="434" customFormat="1" ht="9.9499999999999993" customHeight="1" x14ac:dyDescent="0.2">
      <c r="E191" s="981"/>
      <c r="G191" s="981"/>
      <c r="I191" s="981"/>
      <c r="K191" s="981"/>
      <c r="M191" s="981"/>
      <c r="O191" s="981"/>
      <c r="P191" s="981"/>
      <c r="Q191" s="981"/>
      <c r="S191" s="981"/>
      <c r="U191" s="981"/>
    </row>
    <row r="192" spans="5:21" s="434" customFormat="1" ht="9.9499999999999993" customHeight="1" x14ac:dyDescent="0.2">
      <c r="E192" s="981"/>
      <c r="G192" s="981"/>
      <c r="I192" s="981"/>
      <c r="K192" s="981"/>
      <c r="M192" s="981"/>
      <c r="O192" s="981"/>
      <c r="P192" s="981"/>
      <c r="Q192" s="981"/>
      <c r="S192" s="981"/>
      <c r="U192" s="981"/>
    </row>
    <row r="193" spans="5:21" s="434" customFormat="1" ht="9.9499999999999993" customHeight="1" x14ac:dyDescent="0.2">
      <c r="E193" s="981"/>
      <c r="G193" s="981"/>
      <c r="I193" s="981"/>
      <c r="K193" s="981"/>
      <c r="M193" s="981"/>
      <c r="O193" s="981"/>
      <c r="P193" s="981"/>
      <c r="Q193" s="981"/>
      <c r="S193" s="981"/>
      <c r="U193" s="981"/>
    </row>
    <row r="194" spans="5:21" s="434" customFormat="1" ht="9.9499999999999993" customHeight="1" x14ac:dyDescent="0.2">
      <c r="E194" s="981"/>
      <c r="G194" s="981"/>
      <c r="I194" s="981"/>
      <c r="K194" s="981"/>
      <c r="M194" s="981"/>
      <c r="O194" s="981"/>
      <c r="P194" s="981"/>
      <c r="Q194" s="981"/>
      <c r="S194" s="981"/>
      <c r="U194" s="981"/>
    </row>
    <row r="195" spans="5:21" s="434" customFormat="1" ht="9.9499999999999993" customHeight="1" x14ac:dyDescent="0.2">
      <c r="E195" s="981"/>
      <c r="G195" s="981"/>
      <c r="I195" s="981"/>
      <c r="K195" s="981"/>
      <c r="M195" s="981"/>
      <c r="O195" s="981"/>
      <c r="P195" s="981"/>
      <c r="Q195" s="981"/>
      <c r="S195" s="981"/>
      <c r="U195" s="981"/>
    </row>
    <row r="196" spans="5:21" s="434" customFormat="1" ht="9.9499999999999993" customHeight="1" x14ac:dyDescent="0.2">
      <c r="E196" s="981"/>
      <c r="G196" s="981"/>
      <c r="I196" s="981"/>
      <c r="K196" s="981"/>
      <c r="M196" s="981"/>
      <c r="O196" s="981"/>
      <c r="P196" s="981"/>
      <c r="Q196" s="981"/>
      <c r="S196" s="981"/>
      <c r="U196" s="981"/>
    </row>
    <row r="197" spans="5:21" s="434" customFormat="1" ht="9.9499999999999993" customHeight="1" x14ac:dyDescent="0.2">
      <c r="E197" s="981"/>
      <c r="G197" s="981"/>
      <c r="I197" s="981"/>
      <c r="K197" s="981"/>
      <c r="M197" s="981"/>
      <c r="O197" s="981"/>
      <c r="P197" s="981"/>
      <c r="Q197" s="981"/>
      <c r="S197" s="981"/>
      <c r="U197" s="981"/>
    </row>
    <row r="198" spans="5:21" s="434" customFormat="1" ht="9.9499999999999993" customHeight="1" x14ac:dyDescent="0.2">
      <c r="E198" s="981"/>
      <c r="G198" s="981"/>
      <c r="I198" s="981"/>
      <c r="K198" s="981"/>
      <c r="M198" s="981"/>
      <c r="O198" s="981"/>
      <c r="P198" s="981"/>
      <c r="Q198" s="981"/>
      <c r="S198" s="981"/>
      <c r="U198" s="981"/>
    </row>
    <row r="199" spans="5:21" s="434" customFormat="1" ht="9.9499999999999993" customHeight="1" x14ac:dyDescent="0.2">
      <c r="E199" s="981"/>
      <c r="G199" s="981"/>
      <c r="I199" s="981"/>
      <c r="K199" s="981"/>
      <c r="M199" s="981"/>
      <c r="O199" s="981"/>
      <c r="P199" s="981"/>
      <c r="Q199" s="981"/>
      <c r="S199" s="981"/>
      <c r="U199" s="981"/>
    </row>
    <row r="200" spans="5:21" s="434" customFormat="1" ht="9.9499999999999993" customHeight="1" x14ac:dyDescent="0.2">
      <c r="E200" s="981"/>
      <c r="G200" s="981"/>
      <c r="I200" s="981"/>
      <c r="K200" s="981"/>
      <c r="M200" s="981"/>
      <c r="O200" s="981"/>
      <c r="P200" s="981"/>
      <c r="Q200" s="981"/>
      <c r="S200" s="981"/>
      <c r="U200" s="981"/>
    </row>
    <row r="201" spans="5:21" s="434" customFormat="1" ht="9.9499999999999993" customHeight="1" x14ac:dyDescent="0.2">
      <c r="E201" s="981"/>
      <c r="G201" s="981"/>
      <c r="I201" s="981"/>
      <c r="K201" s="981"/>
      <c r="M201" s="981"/>
      <c r="O201" s="981"/>
      <c r="P201" s="981"/>
      <c r="Q201" s="981"/>
      <c r="S201" s="981"/>
      <c r="U201" s="981"/>
    </row>
    <row r="202" spans="5:21" s="434" customFormat="1" ht="9.9499999999999993" customHeight="1" x14ac:dyDescent="0.2">
      <c r="E202" s="981"/>
      <c r="G202" s="981"/>
      <c r="I202" s="981"/>
      <c r="K202" s="981"/>
      <c r="M202" s="981"/>
      <c r="O202" s="981"/>
      <c r="P202" s="981"/>
      <c r="Q202" s="981"/>
      <c r="S202" s="981"/>
      <c r="U202" s="981"/>
    </row>
    <row r="203" spans="5:21" s="434" customFormat="1" ht="9.9499999999999993" customHeight="1" x14ac:dyDescent="0.2">
      <c r="E203" s="981"/>
      <c r="G203" s="981"/>
      <c r="I203" s="981"/>
      <c r="K203" s="981"/>
      <c r="M203" s="981"/>
      <c r="O203" s="981"/>
      <c r="P203" s="981"/>
      <c r="Q203" s="981"/>
      <c r="S203" s="981"/>
      <c r="U203" s="981"/>
    </row>
    <row r="204" spans="5:21" s="434" customFormat="1" ht="9.9499999999999993" customHeight="1" x14ac:dyDescent="0.2">
      <c r="E204" s="981"/>
      <c r="G204" s="981"/>
      <c r="I204" s="981"/>
      <c r="K204" s="981"/>
      <c r="M204" s="981"/>
      <c r="O204" s="981"/>
      <c r="P204" s="981"/>
      <c r="Q204" s="981"/>
      <c r="S204" s="981"/>
      <c r="U204" s="981"/>
    </row>
    <row r="205" spans="5:21" s="434" customFormat="1" ht="9.9499999999999993" customHeight="1" x14ac:dyDescent="0.2">
      <c r="E205" s="981"/>
      <c r="G205" s="981"/>
      <c r="I205" s="981"/>
      <c r="K205" s="981"/>
      <c r="M205" s="981"/>
      <c r="O205" s="981"/>
      <c r="P205" s="981"/>
      <c r="Q205" s="981"/>
      <c r="S205" s="981"/>
      <c r="U205" s="981"/>
    </row>
    <row r="206" spans="5:21" s="434" customFormat="1" ht="9.9499999999999993" customHeight="1" x14ac:dyDescent="0.2">
      <c r="E206" s="981"/>
      <c r="G206" s="981"/>
      <c r="I206" s="981"/>
      <c r="K206" s="981"/>
      <c r="M206" s="981"/>
      <c r="O206" s="981"/>
      <c r="P206" s="981"/>
      <c r="Q206" s="981"/>
      <c r="S206" s="981"/>
      <c r="U206" s="981"/>
    </row>
    <row r="207" spans="5:21" s="434" customFormat="1" ht="9.9499999999999993" customHeight="1" x14ac:dyDescent="0.2">
      <c r="E207" s="981"/>
      <c r="G207" s="981"/>
      <c r="I207" s="981"/>
      <c r="K207" s="981"/>
      <c r="M207" s="981"/>
      <c r="O207" s="981"/>
      <c r="P207" s="981"/>
      <c r="Q207" s="981"/>
      <c r="S207" s="981"/>
      <c r="U207" s="981"/>
    </row>
    <row r="208" spans="5:21" s="434" customFormat="1" ht="9.9499999999999993" customHeight="1" x14ac:dyDescent="0.2">
      <c r="E208" s="981"/>
      <c r="G208" s="981"/>
      <c r="I208" s="981"/>
      <c r="K208" s="981"/>
      <c r="M208" s="981"/>
      <c r="O208" s="981"/>
      <c r="P208" s="981"/>
      <c r="Q208" s="981"/>
      <c r="S208" s="981"/>
      <c r="U208" s="981"/>
    </row>
    <row r="209" spans="5:21" s="434" customFormat="1" ht="9.9499999999999993" customHeight="1" x14ac:dyDescent="0.2">
      <c r="E209" s="981"/>
      <c r="G209" s="981"/>
      <c r="I209" s="981"/>
      <c r="K209" s="981"/>
      <c r="M209" s="981"/>
      <c r="O209" s="981"/>
      <c r="P209" s="981"/>
      <c r="Q209" s="981"/>
      <c r="S209" s="981"/>
      <c r="U209" s="981"/>
    </row>
    <row r="210" spans="5:21" s="434" customFormat="1" ht="9.9499999999999993" customHeight="1" x14ac:dyDescent="0.2">
      <c r="E210" s="981"/>
      <c r="G210" s="981"/>
      <c r="I210" s="981"/>
      <c r="K210" s="981"/>
      <c r="M210" s="981"/>
      <c r="O210" s="981"/>
      <c r="P210" s="981"/>
      <c r="Q210" s="981"/>
      <c r="S210" s="981"/>
      <c r="U210" s="981"/>
    </row>
    <row r="211" spans="5:21" s="434" customFormat="1" ht="9.9499999999999993" customHeight="1" x14ac:dyDescent="0.2">
      <c r="E211" s="981"/>
      <c r="G211" s="981"/>
      <c r="I211" s="981"/>
      <c r="K211" s="981"/>
      <c r="M211" s="981"/>
      <c r="O211" s="981"/>
      <c r="P211" s="981"/>
      <c r="Q211" s="981"/>
      <c r="S211" s="981"/>
      <c r="U211" s="981"/>
    </row>
    <row r="212" spans="5:21" s="434" customFormat="1" ht="9.9499999999999993" customHeight="1" x14ac:dyDescent="0.2">
      <c r="E212" s="981"/>
      <c r="G212" s="981"/>
      <c r="I212" s="981"/>
      <c r="K212" s="981"/>
      <c r="M212" s="981"/>
      <c r="O212" s="981"/>
      <c r="P212" s="981"/>
      <c r="Q212" s="981"/>
      <c r="S212" s="981"/>
      <c r="U212" s="981"/>
    </row>
    <row r="213" spans="5:21" s="434" customFormat="1" ht="9.9499999999999993" customHeight="1" x14ac:dyDescent="0.2">
      <c r="E213" s="981"/>
      <c r="G213" s="981"/>
      <c r="I213" s="981"/>
      <c r="K213" s="981"/>
      <c r="M213" s="981"/>
      <c r="O213" s="981"/>
      <c r="P213" s="981"/>
      <c r="Q213" s="981"/>
      <c r="S213" s="981"/>
      <c r="U213" s="981"/>
    </row>
    <row r="214" spans="5:21" s="434" customFormat="1" ht="9.9499999999999993" customHeight="1" x14ac:dyDescent="0.2">
      <c r="E214" s="981"/>
      <c r="G214" s="981"/>
      <c r="I214" s="981"/>
      <c r="K214" s="981"/>
      <c r="M214" s="981"/>
      <c r="O214" s="981"/>
      <c r="P214" s="981"/>
      <c r="Q214" s="981"/>
      <c r="S214" s="981"/>
      <c r="U214" s="981"/>
    </row>
    <row r="215" spans="5:21" s="434" customFormat="1" ht="9.9499999999999993" customHeight="1" x14ac:dyDescent="0.2">
      <c r="E215" s="981"/>
      <c r="G215" s="981"/>
      <c r="I215" s="981"/>
      <c r="K215" s="981"/>
      <c r="M215" s="981"/>
      <c r="O215" s="981"/>
      <c r="P215" s="981"/>
      <c r="Q215" s="981"/>
      <c r="S215" s="981"/>
      <c r="U215" s="981"/>
    </row>
    <row r="216" spans="5:21" s="434" customFormat="1" ht="9.9499999999999993" customHeight="1" x14ac:dyDescent="0.2">
      <c r="E216" s="981"/>
      <c r="G216" s="981"/>
      <c r="I216" s="981"/>
      <c r="K216" s="981"/>
      <c r="M216" s="981"/>
      <c r="O216" s="981"/>
      <c r="P216" s="981"/>
      <c r="Q216" s="981"/>
      <c r="S216" s="981"/>
      <c r="U216" s="981"/>
    </row>
    <row r="217" spans="5:21" s="434" customFormat="1" ht="9.9499999999999993" customHeight="1" x14ac:dyDescent="0.2">
      <c r="E217" s="981"/>
      <c r="G217" s="981"/>
      <c r="I217" s="981"/>
      <c r="K217" s="981"/>
      <c r="M217" s="981"/>
      <c r="O217" s="981"/>
      <c r="P217" s="981"/>
      <c r="Q217" s="981"/>
      <c r="S217" s="981"/>
      <c r="U217" s="981"/>
    </row>
    <row r="218" spans="5:21" s="434" customFormat="1" ht="9.9499999999999993" customHeight="1" x14ac:dyDescent="0.2">
      <c r="E218" s="981"/>
      <c r="G218" s="981"/>
      <c r="I218" s="981"/>
      <c r="K218" s="981"/>
      <c r="M218" s="981"/>
      <c r="O218" s="981"/>
      <c r="P218" s="981"/>
      <c r="Q218" s="981"/>
      <c r="S218" s="981"/>
      <c r="U218" s="981"/>
    </row>
    <row r="219" spans="5:21" s="434" customFormat="1" ht="9.9499999999999993" customHeight="1" x14ac:dyDescent="0.2">
      <c r="E219" s="981"/>
      <c r="G219" s="981"/>
      <c r="I219" s="981"/>
      <c r="K219" s="981"/>
      <c r="M219" s="981"/>
      <c r="O219" s="981"/>
      <c r="P219" s="981"/>
      <c r="Q219" s="981"/>
      <c r="S219" s="981"/>
      <c r="U219" s="981"/>
    </row>
    <row r="220" spans="5:21" s="434" customFormat="1" ht="9.9499999999999993" customHeight="1" x14ac:dyDescent="0.2">
      <c r="E220" s="981"/>
      <c r="G220" s="981"/>
      <c r="I220" s="981"/>
      <c r="K220" s="981"/>
      <c r="M220" s="981"/>
      <c r="O220" s="981"/>
      <c r="P220" s="981"/>
      <c r="Q220" s="981"/>
      <c r="S220" s="981"/>
      <c r="U220" s="981"/>
    </row>
    <row r="221" spans="5:21" s="434" customFormat="1" ht="9.9499999999999993" customHeight="1" x14ac:dyDescent="0.2">
      <c r="E221" s="981"/>
      <c r="G221" s="981"/>
      <c r="I221" s="981"/>
      <c r="K221" s="981"/>
      <c r="M221" s="981"/>
      <c r="O221" s="981"/>
      <c r="P221" s="981"/>
      <c r="Q221" s="981"/>
      <c r="S221" s="981"/>
      <c r="U221" s="981"/>
    </row>
    <row r="222" spans="5:21" s="434" customFormat="1" ht="9.9499999999999993" customHeight="1" x14ac:dyDescent="0.2">
      <c r="E222" s="981"/>
      <c r="G222" s="981"/>
      <c r="I222" s="981"/>
      <c r="K222" s="981"/>
      <c r="M222" s="981"/>
      <c r="O222" s="981"/>
      <c r="P222" s="981"/>
      <c r="Q222" s="981"/>
      <c r="S222" s="981"/>
      <c r="U222" s="981"/>
    </row>
    <row r="223" spans="5:21" s="434" customFormat="1" ht="9.9499999999999993" customHeight="1" x14ac:dyDescent="0.2">
      <c r="E223" s="981"/>
      <c r="G223" s="981"/>
      <c r="I223" s="981"/>
      <c r="K223" s="981"/>
      <c r="M223" s="981"/>
      <c r="O223" s="981"/>
      <c r="P223" s="981"/>
      <c r="Q223" s="981"/>
      <c r="S223" s="981"/>
      <c r="U223" s="981"/>
    </row>
    <row r="224" spans="5:21" s="434" customFormat="1" ht="9.9499999999999993" customHeight="1" x14ac:dyDescent="0.2">
      <c r="E224" s="981"/>
      <c r="G224" s="981"/>
      <c r="I224" s="981"/>
      <c r="K224" s="981"/>
      <c r="M224" s="981"/>
      <c r="O224" s="981"/>
      <c r="P224" s="981"/>
      <c r="Q224" s="981"/>
      <c r="S224" s="981"/>
      <c r="U224" s="981"/>
    </row>
    <row r="225" spans="5:21" s="434" customFormat="1" ht="9.9499999999999993" customHeight="1" x14ac:dyDescent="0.2">
      <c r="E225" s="981"/>
      <c r="G225" s="981"/>
      <c r="I225" s="981"/>
      <c r="K225" s="981"/>
      <c r="M225" s="981"/>
      <c r="O225" s="981"/>
      <c r="P225" s="981"/>
      <c r="Q225" s="981"/>
      <c r="S225" s="981"/>
      <c r="U225" s="981"/>
    </row>
    <row r="226" spans="5:21" s="434" customFormat="1" ht="9.9499999999999993" customHeight="1" x14ac:dyDescent="0.2">
      <c r="E226" s="981"/>
      <c r="G226" s="981"/>
      <c r="I226" s="981"/>
      <c r="K226" s="981"/>
      <c r="M226" s="981"/>
      <c r="O226" s="981"/>
      <c r="P226" s="981"/>
      <c r="Q226" s="981"/>
      <c r="S226" s="981"/>
      <c r="U226" s="981"/>
    </row>
    <row r="227" spans="5:21" s="434" customFormat="1" ht="9.9499999999999993" customHeight="1" x14ac:dyDescent="0.2">
      <c r="E227" s="981"/>
      <c r="G227" s="981"/>
      <c r="I227" s="981"/>
      <c r="K227" s="981"/>
      <c r="M227" s="981"/>
      <c r="O227" s="981"/>
      <c r="P227" s="981"/>
      <c r="Q227" s="981"/>
      <c r="S227" s="981"/>
      <c r="U227" s="981"/>
    </row>
    <row r="228" spans="5:21" s="434" customFormat="1" ht="9.9499999999999993" customHeight="1" x14ac:dyDescent="0.2">
      <c r="E228" s="981"/>
      <c r="G228" s="981"/>
      <c r="I228" s="981"/>
      <c r="K228" s="981"/>
      <c r="M228" s="981"/>
      <c r="O228" s="981"/>
      <c r="P228" s="981"/>
      <c r="Q228" s="981"/>
      <c r="S228" s="981"/>
      <c r="U228" s="981"/>
    </row>
    <row r="229" spans="5:21" s="434" customFormat="1" ht="9.9499999999999993" customHeight="1" x14ac:dyDescent="0.2">
      <c r="E229" s="981"/>
      <c r="G229" s="981"/>
      <c r="I229" s="981"/>
      <c r="K229" s="981"/>
      <c r="M229" s="981"/>
      <c r="O229" s="981"/>
      <c r="P229" s="981"/>
      <c r="Q229" s="981"/>
      <c r="S229" s="981"/>
      <c r="U229" s="981"/>
    </row>
    <row r="230" spans="5:21" s="434" customFormat="1" ht="9.9499999999999993" customHeight="1" x14ac:dyDescent="0.2">
      <c r="E230" s="981"/>
      <c r="G230" s="981"/>
      <c r="I230" s="981"/>
      <c r="K230" s="981"/>
      <c r="M230" s="981"/>
      <c r="O230" s="981"/>
      <c r="P230" s="981"/>
      <c r="Q230" s="981"/>
      <c r="S230" s="981"/>
      <c r="U230" s="981"/>
    </row>
    <row r="231" spans="5:21" s="434" customFormat="1" ht="9.9499999999999993" customHeight="1" x14ac:dyDescent="0.2">
      <c r="E231" s="981"/>
      <c r="G231" s="981"/>
      <c r="I231" s="981"/>
      <c r="K231" s="981"/>
      <c r="M231" s="981"/>
      <c r="O231" s="981"/>
      <c r="P231" s="981"/>
      <c r="Q231" s="981"/>
      <c r="S231" s="981"/>
      <c r="U231" s="981"/>
    </row>
    <row r="232" spans="5:21" s="434" customFormat="1" ht="9.9499999999999993" customHeight="1" x14ac:dyDescent="0.2">
      <c r="E232" s="981"/>
      <c r="G232" s="981"/>
      <c r="I232" s="981"/>
      <c r="K232" s="981"/>
      <c r="M232" s="981"/>
      <c r="O232" s="981"/>
      <c r="P232" s="981"/>
      <c r="Q232" s="981"/>
      <c r="S232" s="981"/>
      <c r="U232" s="981"/>
    </row>
    <row r="233" spans="5:21" s="434" customFormat="1" ht="9.9499999999999993" customHeight="1" x14ac:dyDescent="0.2">
      <c r="E233" s="981"/>
      <c r="G233" s="981"/>
      <c r="I233" s="981"/>
      <c r="K233" s="981"/>
      <c r="M233" s="981"/>
      <c r="O233" s="981"/>
      <c r="P233" s="981"/>
      <c r="Q233" s="981"/>
      <c r="S233" s="981"/>
      <c r="U233" s="981"/>
    </row>
    <row r="234" spans="5:21" s="434" customFormat="1" ht="9.9499999999999993" customHeight="1" x14ac:dyDescent="0.2">
      <c r="E234" s="981"/>
      <c r="G234" s="981"/>
      <c r="I234" s="981"/>
      <c r="K234" s="981"/>
      <c r="M234" s="981"/>
      <c r="O234" s="981"/>
      <c r="P234" s="981"/>
      <c r="Q234" s="981"/>
      <c r="S234" s="981"/>
      <c r="U234" s="981"/>
    </row>
    <row r="235" spans="5:21" s="434" customFormat="1" ht="9.9499999999999993" customHeight="1" x14ac:dyDescent="0.2">
      <c r="E235" s="981"/>
      <c r="G235" s="981"/>
      <c r="I235" s="981"/>
      <c r="K235" s="981"/>
      <c r="M235" s="981"/>
      <c r="O235" s="981"/>
      <c r="P235" s="981"/>
      <c r="Q235" s="981"/>
      <c r="S235" s="981"/>
      <c r="U235" s="981"/>
    </row>
    <row r="236" spans="5:21" s="434" customFormat="1" ht="9.9499999999999993" customHeight="1" x14ac:dyDescent="0.2">
      <c r="E236" s="981"/>
      <c r="G236" s="981"/>
      <c r="I236" s="981"/>
      <c r="K236" s="981"/>
      <c r="M236" s="981"/>
      <c r="O236" s="981"/>
      <c r="P236" s="981"/>
      <c r="Q236" s="981"/>
      <c r="S236" s="981"/>
      <c r="U236" s="981"/>
    </row>
    <row r="237" spans="5:21" s="434" customFormat="1" ht="9.9499999999999993" customHeight="1" x14ac:dyDescent="0.2">
      <c r="E237" s="981"/>
      <c r="G237" s="981"/>
      <c r="I237" s="981"/>
      <c r="K237" s="981"/>
      <c r="M237" s="981"/>
      <c r="O237" s="981"/>
      <c r="P237" s="981"/>
      <c r="Q237" s="981"/>
      <c r="S237" s="981"/>
      <c r="U237" s="981"/>
    </row>
    <row r="238" spans="5:21" s="434" customFormat="1" ht="9.9499999999999993" customHeight="1" x14ac:dyDescent="0.2">
      <c r="E238" s="981"/>
      <c r="G238" s="981"/>
      <c r="I238" s="981"/>
      <c r="K238" s="981"/>
      <c r="M238" s="981"/>
      <c r="O238" s="981"/>
      <c r="P238" s="981"/>
      <c r="Q238" s="981"/>
      <c r="S238" s="981"/>
      <c r="U238" s="981"/>
    </row>
    <row r="239" spans="5:21" s="434" customFormat="1" ht="9.9499999999999993" customHeight="1" x14ac:dyDescent="0.2">
      <c r="E239" s="981"/>
      <c r="G239" s="981"/>
      <c r="I239" s="981"/>
      <c r="K239" s="981"/>
      <c r="M239" s="981"/>
      <c r="O239" s="981"/>
      <c r="P239" s="981"/>
      <c r="Q239" s="981"/>
      <c r="S239" s="981"/>
      <c r="U239" s="981"/>
    </row>
    <row r="240" spans="5:21" s="434" customFormat="1" ht="9.9499999999999993" customHeight="1" x14ac:dyDescent="0.2">
      <c r="E240" s="981"/>
      <c r="G240" s="981"/>
      <c r="I240" s="981"/>
      <c r="K240" s="981"/>
      <c r="M240" s="981"/>
      <c r="O240" s="981"/>
      <c r="P240" s="981"/>
      <c r="Q240" s="981"/>
      <c r="S240" s="981"/>
      <c r="U240" s="981"/>
    </row>
    <row r="241" spans="5:21" s="434" customFormat="1" ht="9.9499999999999993" customHeight="1" x14ac:dyDescent="0.2">
      <c r="E241" s="981"/>
      <c r="G241" s="981"/>
      <c r="I241" s="981"/>
      <c r="K241" s="981"/>
      <c r="M241" s="981"/>
      <c r="O241" s="981"/>
      <c r="P241" s="981"/>
      <c r="Q241" s="981"/>
      <c r="S241" s="981"/>
      <c r="U241" s="981"/>
    </row>
    <row r="242" spans="5:21" s="434" customFormat="1" ht="9.9499999999999993" customHeight="1" x14ac:dyDescent="0.2">
      <c r="E242" s="981"/>
      <c r="G242" s="981"/>
      <c r="I242" s="981"/>
      <c r="K242" s="981"/>
      <c r="M242" s="981"/>
      <c r="O242" s="981"/>
      <c r="P242" s="981"/>
      <c r="Q242" s="981"/>
      <c r="S242" s="981"/>
      <c r="U242" s="981"/>
    </row>
    <row r="243" spans="5:21" s="434" customFormat="1" ht="9.9499999999999993" customHeight="1" x14ac:dyDescent="0.2">
      <c r="E243" s="981"/>
      <c r="G243" s="981"/>
      <c r="I243" s="981"/>
      <c r="K243" s="981"/>
      <c r="M243" s="981"/>
      <c r="O243" s="981"/>
      <c r="P243" s="981"/>
      <c r="Q243" s="981"/>
      <c r="S243" s="981"/>
      <c r="U243" s="981"/>
    </row>
    <row r="244" spans="5:21" s="434" customFormat="1" ht="9.9499999999999993" customHeight="1" x14ac:dyDescent="0.2">
      <c r="E244" s="981"/>
      <c r="G244" s="981"/>
      <c r="I244" s="981"/>
      <c r="K244" s="981"/>
      <c r="M244" s="981"/>
      <c r="O244" s="981"/>
      <c r="P244" s="981"/>
      <c r="Q244" s="981"/>
      <c r="S244" s="981"/>
      <c r="U244" s="981"/>
    </row>
    <row r="245" spans="5:21" s="434" customFormat="1" ht="9.9499999999999993" customHeight="1" x14ac:dyDescent="0.2">
      <c r="E245" s="981"/>
      <c r="G245" s="981"/>
      <c r="I245" s="981"/>
      <c r="K245" s="981"/>
      <c r="M245" s="981"/>
      <c r="O245" s="981"/>
      <c r="P245" s="981"/>
      <c r="Q245" s="981"/>
      <c r="S245" s="981"/>
      <c r="U245" s="981"/>
    </row>
    <row r="246" spans="5:21" s="434" customFormat="1" ht="9.9499999999999993" customHeight="1" x14ac:dyDescent="0.2">
      <c r="E246" s="981"/>
      <c r="G246" s="981"/>
      <c r="I246" s="981"/>
      <c r="K246" s="981"/>
      <c r="M246" s="981"/>
      <c r="O246" s="981"/>
      <c r="P246" s="981"/>
      <c r="Q246" s="981"/>
      <c r="S246" s="981"/>
      <c r="U246" s="981"/>
    </row>
    <row r="247" spans="5:21" s="434" customFormat="1" ht="9.9499999999999993" customHeight="1" x14ac:dyDescent="0.2">
      <c r="E247" s="981"/>
      <c r="G247" s="981"/>
      <c r="I247" s="981"/>
      <c r="K247" s="981"/>
      <c r="M247" s="981"/>
      <c r="O247" s="981"/>
      <c r="P247" s="981"/>
      <c r="Q247" s="981"/>
      <c r="S247" s="981"/>
      <c r="U247" s="981"/>
    </row>
    <row r="248" spans="5:21" s="434" customFormat="1" ht="9.9499999999999993" customHeight="1" x14ac:dyDescent="0.2">
      <c r="E248" s="981"/>
      <c r="G248" s="981"/>
      <c r="I248" s="981"/>
      <c r="K248" s="981"/>
      <c r="M248" s="981"/>
      <c r="O248" s="981"/>
      <c r="P248" s="981"/>
      <c r="Q248" s="981"/>
      <c r="S248" s="981"/>
      <c r="U248" s="981"/>
    </row>
    <row r="249" spans="5:21" s="434" customFormat="1" ht="9.9499999999999993" customHeight="1" x14ac:dyDescent="0.2">
      <c r="E249" s="981"/>
      <c r="G249" s="981"/>
      <c r="I249" s="981"/>
      <c r="K249" s="981"/>
      <c r="M249" s="981"/>
      <c r="O249" s="981"/>
      <c r="P249" s="981"/>
      <c r="Q249" s="981"/>
      <c r="S249" s="981"/>
      <c r="U249" s="981"/>
    </row>
    <row r="250" spans="5:21" s="434" customFormat="1" ht="9.9499999999999993" customHeight="1" x14ac:dyDescent="0.2">
      <c r="E250" s="981"/>
      <c r="G250" s="981"/>
      <c r="I250" s="981"/>
      <c r="K250" s="981"/>
      <c r="M250" s="981"/>
      <c r="O250" s="981"/>
      <c r="P250" s="981"/>
      <c r="Q250" s="981"/>
      <c r="S250" s="981"/>
      <c r="U250" s="981"/>
    </row>
    <row r="251" spans="5:21" s="434" customFormat="1" ht="9.9499999999999993" customHeight="1" x14ac:dyDescent="0.2">
      <c r="E251" s="981"/>
      <c r="G251" s="981"/>
      <c r="I251" s="981"/>
      <c r="K251" s="981"/>
      <c r="M251" s="981"/>
      <c r="O251" s="981"/>
      <c r="P251" s="981"/>
      <c r="Q251" s="981"/>
      <c r="S251" s="981"/>
      <c r="U251" s="981"/>
    </row>
    <row r="252" spans="5:21" s="434" customFormat="1" ht="9.9499999999999993" customHeight="1" x14ac:dyDescent="0.2">
      <c r="E252" s="981"/>
      <c r="G252" s="981"/>
      <c r="I252" s="981"/>
      <c r="K252" s="981"/>
      <c r="M252" s="981"/>
      <c r="O252" s="981"/>
      <c r="P252" s="981"/>
      <c r="Q252" s="981"/>
      <c r="S252" s="981"/>
      <c r="U252" s="981"/>
    </row>
    <row r="253" spans="5:21" s="434" customFormat="1" ht="9.9499999999999993" customHeight="1" x14ac:dyDescent="0.2">
      <c r="E253" s="981"/>
      <c r="G253" s="981"/>
      <c r="I253" s="981"/>
      <c r="K253" s="981"/>
      <c r="M253" s="981"/>
      <c r="O253" s="981"/>
      <c r="P253" s="981"/>
      <c r="Q253" s="981"/>
      <c r="S253" s="981"/>
      <c r="U253" s="981"/>
    </row>
    <row r="254" spans="5:21" s="434" customFormat="1" ht="9.9499999999999993" customHeight="1" x14ac:dyDescent="0.2">
      <c r="E254" s="981"/>
      <c r="G254" s="981"/>
      <c r="I254" s="981"/>
      <c r="K254" s="981"/>
      <c r="M254" s="981"/>
      <c r="O254" s="981"/>
      <c r="P254" s="981"/>
      <c r="Q254" s="981"/>
      <c r="S254" s="981"/>
      <c r="U254" s="981"/>
    </row>
    <row r="255" spans="5:21" s="434" customFormat="1" ht="9.9499999999999993" customHeight="1" x14ac:dyDescent="0.2">
      <c r="E255" s="981"/>
      <c r="G255" s="981"/>
      <c r="I255" s="981"/>
      <c r="K255" s="981"/>
      <c r="M255" s="981"/>
      <c r="O255" s="981"/>
      <c r="P255" s="981"/>
      <c r="Q255" s="981"/>
      <c r="S255" s="981"/>
      <c r="U255" s="981"/>
    </row>
    <row r="256" spans="5:21" s="434" customFormat="1" ht="9.9499999999999993" customHeight="1" x14ac:dyDescent="0.2">
      <c r="E256" s="981"/>
      <c r="G256" s="981"/>
      <c r="I256" s="981"/>
      <c r="K256" s="981"/>
      <c r="M256" s="981"/>
      <c r="O256" s="981"/>
      <c r="P256" s="981"/>
      <c r="Q256" s="981"/>
      <c r="S256" s="981"/>
      <c r="U256" s="981"/>
    </row>
    <row r="257" spans="5:21" s="434" customFormat="1" ht="9.9499999999999993" customHeight="1" x14ac:dyDescent="0.2">
      <c r="E257" s="981"/>
      <c r="G257" s="981"/>
      <c r="I257" s="981"/>
      <c r="K257" s="981"/>
      <c r="M257" s="981"/>
      <c r="O257" s="981"/>
      <c r="P257" s="981"/>
      <c r="Q257" s="981"/>
      <c r="S257" s="981"/>
      <c r="U257" s="981"/>
    </row>
    <row r="258" spans="5:21" s="434" customFormat="1" ht="9.9499999999999993" customHeight="1" x14ac:dyDescent="0.2">
      <c r="E258" s="981"/>
      <c r="G258" s="981"/>
      <c r="I258" s="981"/>
      <c r="K258" s="981"/>
      <c r="M258" s="981"/>
      <c r="O258" s="981"/>
      <c r="P258" s="981"/>
      <c r="Q258" s="981"/>
      <c r="S258" s="981"/>
      <c r="U258" s="981"/>
    </row>
    <row r="259" spans="5:21" s="434" customFormat="1" ht="9.9499999999999993" customHeight="1" x14ac:dyDescent="0.2">
      <c r="E259" s="981"/>
      <c r="G259" s="981"/>
      <c r="I259" s="981"/>
      <c r="K259" s="981"/>
      <c r="M259" s="981"/>
      <c r="O259" s="981"/>
      <c r="P259" s="981"/>
      <c r="Q259" s="981"/>
      <c r="S259" s="981"/>
      <c r="U259" s="981"/>
    </row>
    <row r="260" spans="5:21" s="434" customFormat="1" ht="9.9499999999999993" customHeight="1" x14ac:dyDescent="0.2">
      <c r="E260" s="981"/>
      <c r="G260" s="981"/>
      <c r="I260" s="981"/>
      <c r="K260" s="981"/>
      <c r="M260" s="981"/>
      <c r="O260" s="981"/>
      <c r="P260" s="981"/>
      <c r="Q260" s="981"/>
      <c r="S260" s="981"/>
      <c r="U260" s="981"/>
    </row>
    <row r="261" spans="5:21" s="434" customFormat="1" ht="9.9499999999999993" customHeight="1" x14ac:dyDescent="0.2">
      <c r="E261" s="981"/>
      <c r="G261" s="981"/>
      <c r="I261" s="981"/>
      <c r="K261" s="981"/>
      <c r="M261" s="981"/>
      <c r="O261" s="981"/>
      <c r="P261" s="981"/>
      <c r="Q261" s="981"/>
      <c r="S261" s="981"/>
      <c r="U261" s="981"/>
    </row>
    <row r="262" spans="5:21" s="434" customFormat="1" ht="9.9499999999999993" customHeight="1" x14ac:dyDescent="0.2">
      <c r="E262" s="981"/>
      <c r="G262" s="981"/>
      <c r="I262" s="981"/>
      <c r="K262" s="981"/>
      <c r="M262" s="981"/>
      <c r="O262" s="981"/>
      <c r="P262" s="981"/>
      <c r="Q262" s="981"/>
      <c r="S262" s="981"/>
      <c r="U262" s="981"/>
    </row>
    <row r="263" spans="5:21" s="434" customFormat="1" ht="9.9499999999999993" customHeight="1" x14ac:dyDescent="0.2">
      <c r="E263" s="981"/>
      <c r="G263" s="981"/>
      <c r="I263" s="981"/>
      <c r="K263" s="981"/>
      <c r="M263" s="981"/>
      <c r="O263" s="981"/>
      <c r="P263" s="981"/>
      <c r="Q263" s="981"/>
      <c r="S263" s="981"/>
      <c r="U263" s="981"/>
    </row>
    <row r="264" spans="5:21" s="434" customFormat="1" ht="9.9499999999999993" customHeight="1" x14ac:dyDescent="0.2">
      <c r="E264" s="981"/>
      <c r="G264" s="981"/>
      <c r="I264" s="981"/>
      <c r="K264" s="981"/>
      <c r="M264" s="981"/>
      <c r="O264" s="981"/>
      <c r="P264" s="981"/>
      <c r="Q264" s="981"/>
      <c r="S264" s="981"/>
      <c r="U264" s="981"/>
    </row>
    <row r="265" spans="5:21" s="434" customFormat="1" ht="9.9499999999999993" customHeight="1" x14ac:dyDescent="0.2">
      <c r="E265" s="981"/>
      <c r="G265" s="981"/>
      <c r="I265" s="981"/>
      <c r="K265" s="981"/>
      <c r="M265" s="981"/>
      <c r="O265" s="981"/>
      <c r="P265" s="981"/>
      <c r="Q265" s="981"/>
      <c r="S265" s="981"/>
      <c r="U265" s="981"/>
    </row>
    <row r="266" spans="5:21" s="434" customFormat="1" ht="9.9499999999999993" customHeight="1" x14ac:dyDescent="0.2">
      <c r="E266" s="981"/>
      <c r="G266" s="981"/>
      <c r="I266" s="981"/>
      <c r="K266" s="981"/>
      <c r="M266" s="981"/>
      <c r="O266" s="981"/>
      <c r="P266" s="981"/>
      <c r="Q266" s="981"/>
      <c r="S266" s="981"/>
      <c r="U266" s="981"/>
    </row>
    <row r="267" spans="5:21" s="434" customFormat="1" ht="9.9499999999999993" customHeight="1" x14ac:dyDescent="0.2">
      <c r="E267" s="981"/>
      <c r="G267" s="981"/>
      <c r="I267" s="981"/>
      <c r="K267" s="981"/>
      <c r="M267" s="981"/>
      <c r="O267" s="981"/>
      <c r="P267" s="981"/>
      <c r="Q267" s="981"/>
      <c r="S267" s="981"/>
      <c r="U267" s="981"/>
    </row>
    <row r="268" spans="5:21" s="434" customFormat="1" ht="9.9499999999999993" customHeight="1" x14ac:dyDescent="0.2">
      <c r="E268" s="981"/>
      <c r="G268" s="981"/>
      <c r="I268" s="981"/>
      <c r="K268" s="981"/>
      <c r="M268" s="981"/>
      <c r="O268" s="981"/>
      <c r="P268" s="981"/>
      <c r="Q268" s="981"/>
      <c r="S268" s="981"/>
      <c r="U268" s="981"/>
    </row>
    <row r="269" spans="5:21" s="434" customFormat="1" ht="9.9499999999999993" customHeight="1" x14ac:dyDescent="0.2">
      <c r="E269" s="981"/>
      <c r="G269" s="981"/>
      <c r="I269" s="981"/>
      <c r="K269" s="981"/>
      <c r="M269" s="981"/>
      <c r="O269" s="981"/>
      <c r="P269" s="981"/>
      <c r="Q269" s="981"/>
      <c r="S269" s="981"/>
      <c r="U269" s="981"/>
    </row>
    <row r="270" spans="5:21" s="434" customFormat="1" ht="9.9499999999999993" customHeight="1" x14ac:dyDescent="0.2">
      <c r="E270" s="981"/>
      <c r="G270" s="981"/>
      <c r="I270" s="981"/>
      <c r="K270" s="981"/>
      <c r="M270" s="981"/>
      <c r="O270" s="981"/>
      <c r="P270" s="981"/>
      <c r="Q270" s="981"/>
      <c r="S270" s="981"/>
      <c r="U270" s="981"/>
    </row>
    <row r="271" spans="5:21" s="434" customFormat="1" ht="9.9499999999999993" customHeight="1" x14ac:dyDescent="0.2">
      <c r="E271" s="981"/>
      <c r="G271" s="981"/>
      <c r="I271" s="981"/>
      <c r="K271" s="981"/>
      <c r="M271" s="981"/>
      <c r="O271" s="981"/>
      <c r="P271" s="981"/>
      <c r="Q271" s="981"/>
      <c r="S271" s="981"/>
      <c r="U271" s="981"/>
    </row>
    <row r="272" spans="5:21" s="434" customFormat="1" ht="9.9499999999999993" customHeight="1" x14ac:dyDescent="0.2">
      <c r="E272" s="981"/>
      <c r="G272" s="981"/>
      <c r="I272" s="981"/>
      <c r="K272" s="981"/>
      <c r="M272" s="981"/>
      <c r="O272" s="981"/>
      <c r="P272" s="981"/>
      <c r="Q272" s="981"/>
      <c r="S272" s="981"/>
      <c r="U272" s="981"/>
    </row>
    <row r="273" spans="5:21" s="434" customFormat="1" ht="9.9499999999999993" customHeight="1" x14ac:dyDescent="0.2">
      <c r="E273" s="981"/>
      <c r="G273" s="981"/>
      <c r="I273" s="981"/>
      <c r="K273" s="981"/>
      <c r="M273" s="981"/>
      <c r="O273" s="981"/>
      <c r="P273" s="981"/>
      <c r="Q273" s="981"/>
      <c r="S273" s="981"/>
      <c r="U273" s="981"/>
    </row>
    <row r="274" spans="5:21" s="434" customFormat="1" ht="9.9499999999999993" customHeight="1" x14ac:dyDescent="0.2">
      <c r="E274" s="981"/>
      <c r="G274" s="981"/>
      <c r="I274" s="981"/>
      <c r="K274" s="981"/>
      <c r="M274" s="981"/>
      <c r="O274" s="981"/>
      <c r="P274" s="981"/>
      <c r="Q274" s="981"/>
      <c r="S274" s="981"/>
      <c r="U274" s="981"/>
    </row>
    <row r="275" spans="5:21" s="434" customFormat="1" ht="9.9499999999999993" customHeight="1" x14ac:dyDescent="0.2">
      <c r="E275" s="981"/>
      <c r="G275" s="981"/>
      <c r="I275" s="981"/>
      <c r="K275" s="981"/>
      <c r="M275" s="981"/>
      <c r="O275" s="981"/>
      <c r="P275" s="981"/>
      <c r="Q275" s="981"/>
      <c r="S275" s="981"/>
      <c r="U275" s="981"/>
    </row>
    <row r="276" spans="5:21" s="434" customFormat="1" ht="9.9499999999999993" customHeight="1" x14ac:dyDescent="0.2">
      <c r="E276" s="981"/>
      <c r="G276" s="981"/>
      <c r="I276" s="981"/>
      <c r="K276" s="981"/>
      <c r="M276" s="981"/>
      <c r="O276" s="981"/>
      <c r="P276" s="981"/>
      <c r="Q276" s="981"/>
      <c r="S276" s="981"/>
      <c r="U276" s="981"/>
    </row>
    <row r="277" spans="5:21" s="434" customFormat="1" ht="9.9499999999999993" customHeight="1" x14ac:dyDescent="0.2">
      <c r="E277" s="981"/>
      <c r="G277" s="981"/>
      <c r="I277" s="981"/>
      <c r="K277" s="981"/>
      <c r="M277" s="981"/>
      <c r="O277" s="981"/>
      <c r="P277" s="981"/>
      <c r="Q277" s="981"/>
      <c r="S277" s="981"/>
      <c r="U277" s="981"/>
    </row>
    <row r="278" spans="5:21" s="434" customFormat="1" ht="9.9499999999999993" customHeight="1" x14ac:dyDescent="0.2">
      <c r="E278" s="981"/>
      <c r="G278" s="981"/>
      <c r="I278" s="981"/>
      <c r="K278" s="981"/>
      <c r="M278" s="981"/>
      <c r="O278" s="981"/>
      <c r="P278" s="981"/>
      <c r="Q278" s="981"/>
      <c r="S278" s="981"/>
      <c r="U278" s="981"/>
    </row>
    <row r="279" spans="5:21" s="434" customFormat="1" ht="9.9499999999999993" customHeight="1" x14ac:dyDescent="0.2">
      <c r="E279" s="981"/>
      <c r="G279" s="981"/>
      <c r="I279" s="981"/>
      <c r="K279" s="981"/>
      <c r="M279" s="981"/>
      <c r="O279" s="981"/>
      <c r="P279" s="981"/>
      <c r="Q279" s="981"/>
      <c r="S279" s="981"/>
      <c r="U279" s="981"/>
    </row>
    <row r="280" spans="5:21" s="434" customFormat="1" ht="9.9499999999999993" customHeight="1" x14ac:dyDescent="0.2">
      <c r="E280" s="981"/>
      <c r="G280" s="981"/>
      <c r="I280" s="981"/>
      <c r="K280" s="981"/>
      <c r="M280" s="981"/>
      <c r="O280" s="981"/>
      <c r="P280" s="981"/>
      <c r="Q280" s="981"/>
      <c r="S280" s="981"/>
      <c r="U280" s="981"/>
    </row>
    <row r="281" spans="5:21" s="434" customFormat="1" ht="9.9499999999999993" customHeight="1" x14ac:dyDescent="0.2">
      <c r="E281" s="981"/>
      <c r="G281" s="981"/>
      <c r="I281" s="981"/>
      <c r="K281" s="981"/>
      <c r="M281" s="981"/>
      <c r="O281" s="981"/>
      <c r="P281" s="981"/>
      <c r="Q281" s="981"/>
      <c r="S281" s="981"/>
      <c r="U281" s="981"/>
    </row>
    <row r="282" spans="5:21" s="434" customFormat="1" ht="9.9499999999999993" customHeight="1" x14ac:dyDescent="0.2">
      <c r="E282" s="981"/>
      <c r="G282" s="981"/>
      <c r="I282" s="981"/>
      <c r="K282" s="981"/>
      <c r="M282" s="981"/>
      <c r="O282" s="981"/>
      <c r="P282" s="981"/>
      <c r="Q282" s="981"/>
      <c r="S282" s="981"/>
      <c r="U282" s="981"/>
    </row>
    <row r="283" spans="5:21" s="434" customFormat="1" ht="9.9499999999999993" customHeight="1" x14ac:dyDescent="0.2">
      <c r="E283" s="981"/>
      <c r="G283" s="981"/>
      <c r="I283" s="981"/>
      <c r="K283" s="981"/>
      <c r="M283" s="981"/>
      <c r="O283" s="981"/>
      <c r="P283" s="981"/>
      <c r="Q283" s="981"/>
      <c r="S283" s="981"/>
      <c r="U283" s="981"/>
    </row>
    <row r="284" spans="5:21" s="434" customFormat="1" ht="9.9499999999999993" customHeight="1" x14ac:dyDescent="0.2">
      <c r="E284" s="981"/>
      <c r="G284" s="981"/>
      <c r="I284" s="981"/>
      <c r="K284" s="981"/>
      <c r="M284" s="981"/>
      <c r="O284" s="981"/>
      <c r="P284" s="981"/>
      <c r="Q284" s="981"/>
      <c r="S284" s="981"/>
      <c r="U284" s="981"/>
    </row>
    <row r="285" spans="5:21" s="434" customFormat="1" ht="9.9499999999999993" customHeight="1" x14ac:dyDescent="0.2">
      <c r="E285" s="981"/>
      <c r="G285" s="981"/>
      <c r="I285" s="981"/>
      <c r="K285" s="981"/>
      <c r="M285" s="981"/>
      <c r="O285" s="981"/>
      <c r="P285" s="981"/>
      <c r="Q285" s="981"/>
      <c r="S285" s="981"/>
      <c r="U285" s="981"/>
    </row>
    <row r="286" spans="5:21" s="434" customFormat="1" ht="9.9499999999999993" customHeight="1" x14ac:dyDescent="0.2">
      <c r="E286" s="981"/>
      <c r="G286" s="981"/>
      <c r="I286" s="981"/>
      <c r="K286" s="981"/>
      <c r="M286" s="981"/>
      <c r="O286" s="981"/>
      <c r="P286" s="981"/>
      <c r="Q286" s="981"/>
      <c r="S286" s="981"/>
      <c r="U286" s="981"/>
    </row>
    <row r="287" spans="5:21" s="434" customFormat="1" ht="9.9499999999999993" customHeight="1" x14ac:dyDescent="0.2">
      <c r="E287" s="981"/>
      <c r="G287" s="981"/>
      <c r="I287" s="981"/>
      <c r="K287" s="981"/>
      <c r="M287" s="981"/>
      <c r="O287" s="981"/>
      <c r="P287" s="981"/>
      <c r="Q287" s="981"/>
      <c r="S287" s="981"/>
      <c r="U287" s="981"/>
    </row>
    <row r="288" spans="5:21" s="434" customFormat="1" ht="9.9499999999999993" customHeight="1" x14ac:dyDescent="0.2">
      <c r="E288" s="981"/>
      <c r="G288" s="981"/>
      <c r="I288" s="981"/>
      <c r="K288" s="981"/>
      <c r="M288" s="981"/>
      <c r="O288" s="981"/>
      <c r="P288" s="981"/>
      <c r="Q288" s="981"/>
      <c r="S288" s="981"/>
      <c r="U288" s="981"/>
    </row>
    <row r="289" spans="5:21" s="434" customFormat="1" ht="9.9499999999999993" customHeight="1" x14ac:dyDescent="0.2">
      <c r="E289" s="981"/>
      <c r="G289" s="981"/>
      <c r="I289" s="981"/>
      <c r="K289" s="981"/>
      <c r="M289" s="981"/>
      <c r="O289" s="981"/>
      <c r="P289" s="981"/>
      <c r="Q289" s="981"/>
      <c r="S289" s="981"/>
      <c r="U289" s="981"/>
    </row>
    <row r="290" spans="5:21" s="434" customFormat="1" ht="9.9499999999999993" customHeight="1" x14ac:dyDescent="0.2">
      <c r="E290" s="981"/>
      <c r="G290" s="981"/>
      <c r="I290" s="981"/>
      <c r="K290" s="981"/>
      <c r="M290" s="981"/>
      <c r="O290" s="981"/>
      <c r="P290" s="981"/>
      <c r="Q290" s="981"/>
      <c r="S290" s="981"/>
      <c r="U290" s="981"/>
    </row>
    <row r="291" spans="5:21" s="434" customFormat="1" ht="9.9499999999999993" customHeight="1" x14ac:dyDescent="0.2">
      <c r="E291" s="981"/>
      <c r="G291" s="981"/>
      <c r="I291" s="981"/>
      <c r="K291" s="981"/>
      <c r="M291" s="981"/>
      <c r="O291" s="981"/>
      <c r="P291" s="981"/>
      <c r="Q291" s="981"/>
      <c r="S291" s="981"/>
      <c r="U291" s="981"/>
    </row>
    <row r="292" spans="5:21" s="434" customFormat="1" ht="9.9499999999999993" customHeight="1" x14ac:dyDescent="0.2">
      <c r="E292" s="981"/>
      <c r="G292" s="981"/>
      <c r="I292" s="981"/>
      <c r="K292" s="981"/>
      <c r="M292" s="981"/>
      <c r="O292" s="981"/>
      <c r="P292" s="981"/>
      <c r="Q292" s="981"/>
      <c r="S292" s="981"/>
      <c r="U292" s="981"/>
    </row>
    <row r="293" spans="5:21" s="434" customFormat="1" ht="9.9499999999999993" customHeight="1" x14ac:dyDescent="0.2">
      <c r="E293" s="981"/>
      <c r="G293" s="981"/>
      <c r="I293" s="981"/>
      <c r="K293" s="981"/>
      <c r="M293" s="981"/>
      <c r="O293" s="981"/>
      <c r="P293" s="981"/>
      <c r="Q293" s="981"/>
      <c r="S293" s="981"/>
      <c r="U293" s="981"/>
    </row>
    <row r="294" spans="5:21" s="434" customFormat="1" ht="9.9499999999999993" customHeight="1" x14ac:dyDescent="0.2">
      <c r="E294" s="981"/>
      <c r="G294" s="981"/>
      <c r="I294" s="981"/>
      <c r="K294" s="981"/>
      <c r="M294" s="981"/>
      <c r="O294" s="981"/>
      <c r="P294" s="981"/>
      <c r="Q294" s="981"/>
      <c r="S294" s="981"/>
      <c r="U294" s="981"/>
    </row>
    <row r="295" spans="5:21" s="434" customFormat="1" ht="9.9499999999999993" customHeight="1" x14ac:dyDescent="0.2">
      <c r="E295" s="981"/>
      <c r="G295" s="981"/>
      <c r="I295" s="981"/>
      <c r="K295" s="981"/>
      <c r="M295" s="981"/>
      <c r="O295" s="981"/>
      <c r="P295" s="981"/>
      <c r="Q295" s="981"/>
      <c r="S295" s="981"/>
      <c r="U295" s="981"/>
    </row>
    <row r="296" spans="5:21" s="434" customFormat="1" ht="9.9499999999999993" customHeight="1" x14ac:dyDescent="0.2">
      <c r="E296" s="981"/>
      <c r="G296" s="981"/>
      <c r="I296" s="981"/>
      <c r="K296" s="981"/>
      <c r="M296" s="981"/>
      <c r="O296" s="981"/>
      <c r="P296" s="981"/>
      <c r="Q296" s="981"/>
      <c r="S296" s="981"/>
      <c r="U296" s="981"/>
    </row>
    <row r="297" spans="5:21" s="434" customFormat="1" ht="9.9499999999999993" customHeight="1" x14ac:dyDescent="0.2">
      <c r="E297" s="981"/>
      <c r="G297" s="981"/>
      <c r="I297" s="981"/>
      <c r="K297" s="981"/>
      <c r="M297" s="981"/>
      <c r="O297" s="981"/>
      <c r="P297" s="981"/>
      <c r="Q297" s="981"/>
      <c r="S297" s="981"/>
      <c r="U297" s="981"/>
    </row>
    <row r="298" spans="5:21" s="434" customFormat="1" ht="9.9499999999999993" customHeight="1" x14ac:dyDescent="0.2">
      <c r="E298" s="981"/>
      <c r="G298" s="981"/>
      <c r="I298" s="981"/>
      <c r="K298" s="981"/>
      <c r="M298" s="981"/>
      <c r="O298" s="981"/>
      <c r="P298" s="981"/>
      <c r="Q298" s="981"/>
      <c r="S298" s="981"/>
      <c r="U298" s="981"/>
    </row>
    <row r="299" spans="5:21" s="434" customFormat="1" ht="9.9499999999999993" customHeight="1" x14ac:dyDescent="0.2">
      <c r="E299" s="981"/>
      <c r="G299" s="981"/>
      <c r="I299" s="981"/>
      <c r="K299" s="981"/>
      <c r="M299" s="981"/>
      <c r="O299" s="981"/>
      <c r="P299" s="981"/>
      <c r="Q299" s="981"/>
      <c r="S299" s="981"/>
      <c r="U299" s="981"/>
    </row>
    <row r="300" spans="5:21" s="434" customFormat="1" ht="9.9499999999999993" customHeight="1" x14ac:dyDescent="0.2">
      <c r="E300" s="981"/>
      <c r="G300" s="981"/>
      <c r="I300" s="981"/>
      <c r="K300" s="981"/>
      <c r="M300" s="981"/>
      <c r="O300" s="981"/>
      <c r="P300" s="981"/>
      <c r="Q300" s="981"/>
      <c r="S300" s="981"/>
      <c r="U300" s="981"/>
    </row>
    <row r="301" spans="5:21" s="434" customFormat="1" ht="9.9499999999999993" customHeight="1" x14ac:dyDescent="0.2">
      <c r="E301" s="981"/>
      <c r="G301" s="981"/>
      <c r="I301" s="981"/>
      <c r="K301" s="981"/>
      <c r="M301" s="981"/>
      <c r="O301" s="981"/>
      <c r="P301" s="981"/>
      <c r="Q301" s="981"/>
      <c r="S301" s="981"/>
      <c r="U301" s="981"/>
    </row>
    <row r="302" spans="5:21" s="434" customFormat="1" ht="9.9499999999999993" customHeight="1" x14ac:dyDescent="0.2">
      <c r="E302" s="981"/>
      <c r="G302" s="981"/>
      <c r="I302" s="981"/>
      <c r="K302" s="981"/>
      <c r="M302" s="981"/>
      <c r="O302" s="981"/>
      <c r="P302" s="981"/>
      <c r="Q302" s="981"/>
      <c r="S302" s="981"/>
      <c r="U302" s="981"/>
    </row>
    <row r="303" spans="5:21" s="434" customFormat="1" ht="9.9499999999999993" customHeight="1" x14ac:dyDescent="0.2">
      <c r="E303" s="981"/>
      <c r="G303" s="981"/>
      <c r="I303" s="981"/>
      <c r="K303" s="981"/>
      <c r="M303" s="981"/>
      <c r="O303" s="981"/>
      <c r="P303" s="981"/>
      <c r="Q303" s="981"/>
      <c r="S303" s="981"/>
      <c r="U303" s="981"/>
    </row>
    <row r="304" spans="5:21" s="434" customFormat="1" ht="9.9499999999999993" customHeight="1" x14ac:dyDescent="0.2">
      <c r="E304" s="981"/>
      <c r="G304" s="981"/>
      <c r="I304" s="981"/>
      <c r="K304" s="981"/>
      <c r="M304" s="981"/>
      <c r="O304" s="981"/>
      <c r="P304" s="981"/>
      <c r="Q304" s="981"/>
      <c r="S304" s="981"/>
      <c r="U304" s="981"/>
    </row>
    <row r="305" spans="5:21" s="434" customFormat="1" ht="9.9499999999999993" customHeight="1" x14ac:dyDescent="0.2">
      <c r="E305" s="981"/>
      <c r="G305" s="981"/>
      <c r="I305" s="981"/>
      <c r="K305" s="981"/>
      <c r="M305" s="981"/>
      <c r="O305" s="981"/>
      <c r="P305" s="981"/>
      <c r="Q305" s="981"/>
      <c r="S305" s="981"/>
      <c r="U305" s="981"/>
    </row>
    <row r="306" spans="5:21" s="434" customFormat="1" ht="9.9499999999999993" customHeight="1" x14ac:dyDescent="0.2">
      <c r="E306" s="981"/>
      <c r="G306" s="981"/>
      <c r="I306" s="981"/>
      <c r="K306" s="981"/>
      <c r="M306" s="981"/>
      <c r="O306" s="981"/>
      <c r="P306" s="981"/>
      <c r="Q306" s="981"/>
      <c r="S306" s="981"/>
      <c r="U306" s="981"/>
    </row>
    <row r="307" spans="5:21" s="434" customFormat="1" ht="9.9499999999999993" customHeight="1" x14ac:dyDescent="0.2">
      <c r="E307" s="981"/>
      <c r="G307" s="981"/>
      <c r="I307" s="981"/>
      <c r="K307" s="981"/>
      <c r="M307" s="981"/>
      <c r="O307" s="981"/>
      <c r="P307" s="981"/>
      <c r="Q307" s="981"/>
      <c r="S307" s="981"/>
      <c r="U307" s="981"/>
    </row>
    <row r="308" spans="5:21" s="434" customFormat="1" ht="9.9499999999999993" customHeight="1" x14ac:dyDescent="0.2">
      <c r="E308" s="981"/>
      <c r="G308" s="981"/>
      <c r="I308" s="981"/>
      <c r="K308" s="981"/>
      <c r="M308" s="981"/>
      <c r="O308" s="981"/>
      <c r="P308" s="981"/>
      <c r="Q308" s="981"/>
      <c r="S308" s="981"/>
      <c r="U308" s="981"/>
    </row>
    <row r="309" spans="5:21" s="434" customFormat="1" ht="9.9499999999999993" customHeight="1" x14ac:dyDescent="0.2">
      <c r="E309" s="981"/>
      <c r="G309" s="981"/>
      <c r="I309" s="981"/>
      <c r="K309" s="981"/>
      <c r="M309" s="981"/>
      <c r="O309" s="981"/>
      <c r="P309" s="981"/>
      <c r="Q309" s="981"/>
      <c r="S309" s="981"/>
      <c r="U309" s="981"/>
    </row>
    <row r="310" spans="5:21" s="434" customFormat="1" ht="9.9499999999999993" customHeight="1" x14ac:dyDescent="0.2">
      <c r="E310" s="981"/>
      <c r="G310" s="981"/>
      <c r="I310" s="981"/>
      <c r="K310" s="981"/>
      <c r="M310" s="981"/>
      <c r="O310" s="981"/>
      <c r="P310" s="981"/>
      <c r="Q310" s="981"/>
      <c r="S310" s="981"/>
      <c r="U310" s="981"/>
    </row>
    <row r="311" spans="5:21" s="434" customFormat="1" ht="9.9499999999999993" customHeight="1" x14ac:dyDescent="0.2">
      <c r="E311" s="981"/>
      <c r="G311" s="981"/>
      <c r="I311" s="981"/>
      <c r="K311" s="981"/>
      <c r="M311" s="981"/>
      <c r="O311" s="981"/>
      <c r="P311" s="981"/>
      <c r="Q311" s="981"/>
      <c r="S311" s="981"/>
      <c r="U311" s="981"/>
    </row>
    <row r="312" spans="5:21" s="434" customFormat="1" ht="9.9499999999999993" customHeight="1" x14ac:dyDescent="0.2">
      <c r="E312" s="981"/>
      <c r="G312" s="981"/>
      <c r="I312" s="981"/>
      <c r="K312" s="981"/>
      <c r="M312" s="981"/>
      <c r="O312" s="981"/>
      <c r="P312" s="981"/>
      <c r="Q312" s="981"/>
      <c r="S312" s="981"/>
      <c r="U312" s="981"/>
    </row>
    <row r="313" spans="5:21" s="434" customFormat="1" ht="9.9499999999999993" customHeight="1" x14ac:dyDescent="0.2">
      <c r="E313" s="981"/>
      <c r="G313" s="981"/>
      <c r="I313" s="981"/>
      <c r="K313" s="981"/>
      <c r="M313" s="981"/>
      <c r="O313" s="981"/>
      <c r="P313" s="981"/>
      <c r="Q313" s="981"/>
      <c r="S313" s="981"/>
      <c r="U313" s="981"/>
    </row>
    <row r="314" spans="5:21" s="434" customFormat="1" ht="9.9499999999999993" customHeight="1" x14ac:dyDescent="0.2">
      <c r="E314" s="981"/>
      <c r="G314" s="981"/>
      <c r="I314" s="981"/>
      <c r="K314" s="981"/>
      <c r="M314" s="981"/>
      <c r="O314" s="981"/>
      <c r="P314" s="981"/>
      <c r="Q314" s="981"/>
      <c r="S314" s="981"/>
      <c r="U314" s="981"/>
    </row>
    <row r="315" spans="5:21" s="434" customFormat="1" ht="9.9499999999999993" customHeight="1" x14ac:dyDescent="0.2">
      <c r="E315" s="981"/>
      <c r="G315" s="981"/>
      <c r="I315" s="981"/>
      <c r="K315" s="981"/>
      <c r="M315" s="981"/>
      <c r="O315" s="981"/>
      <c r="P315" s="981"/>
      <c r="Q315" s="981"/>
      <c r="S315" s="981"/>
      <c r="U315" s="981"/>
    </row>
    <row r="316" spans="5:21" s="434" customFormat="1" ht="9.9499999999999993" customHeight="1" x14ac:dyDescent="0.2">
      <c r="E316" s="981"/>
      <c r="G316" s="981"/>
      <c r="I316" s="981"/>
      <c r="K316" s="981"/>
      <c r="M316" s="981"/>
      <c r="O316" s="981"/>
      <c r="P316" s="981"/>
      <c r="Q316" s="981"/>
      <c r="S316" s="981"/>
      <c r="U316" s="981"/>
    </row>
    <row r="317" spans="5:21" s="434" customFormat="1" ht="9.9499999999999993" customHeight="1" x14ac:dyDescent="0.2">
      <c r="E317" s="981"/>
      <c r="G317" s="981"/>
      <c r="I317" s="981"/>
      <c r="K317" s="981"/>
      <c r="M317" s="981"/>
      <c r="O317" s="981"/>
      <c r="P317" s="981"/>
      <c r="Q317" s="981"/>
      <c r="S317" s="981"/>
      <c r="U317" s="981"/>
    </row>
    <row r="318" spans="5:21" s="434" customFormat="1" ht="9.9499999999999993" customHeight="1" x14ac:dyDescent="0.2">
      <c r="E318" s="981"/>
      <c r="G318" s="981"/>
      <c r="I318" s="981"/>
      <c r="K318" s="981"/>
      <c r="M318" s="981"/>
      <c r="O318" s="981"/>
      <c r="P318" s="981"/>
      <c r="Q318" s="981"/>
      <c r="S318" s="981"/>
      <c r="U318" s="981"/>
    </row>
    <row r="319" spans="5:21" s="434" customFormat="1" ht="9.9499999999999993" customHeight="1" x14ac:dyDescent="0.2">
      <c r="E319" s="981"/>
      <c r="G319" s="981"/>
      <c r="I319" s="981"/>
      <c r="K319" s="981"/>
      <c r="M319" s="981"/>
      <c r="O319" s="981"/>
      <c r="P319" s="981"/>
      <c r="Q319" s="981"/>
      <c r="S319" s="981"/>
      <c r="U319" s="981"/>
    </row>
    <row r="320" spans="5:21" s="434" customFormat="1" ht="9.9499999999999993" customHeight="1" x14ac:dyDescent="0.2">
      <c r="E320" s="981"/>
      <c r="G320" s="981"/>
      <c r="I320" s="981"/>
      <c r="K320" s="981"/>
      <c r="M320" s="981"/>
      <c r="O320" s="981"/>
      <c r="P320" s="981"/>
      <c r="Q320" s="981"/>
      <c r="S320" s="981"/>
      <c r="U320" s="981"/>
    </row>
    <row r="321" spans="5:21" s="434" customFormat="1" ht="9.9499999999999993" customHeight="1" x14ac:dyDescent="0.2">
      <c r="E321" s="981"/>
      <c r="G321" s="981"/>
      <c r="I321" s="981"/>
      <c r="K321" s="981"/>
      <c r="M321" s="981"/>
      <c r="O321" s="981"/>
      <c r="P321" s="981"/>
      <c r="Q321" s="981"/>
      <c r="S321" s="981"/>
      <c r="U321" s="981"/>
    </row>
    <row r="322" spans="5:21" s="434" customFormat="1" ht="9.9499999999999993" customHeight="1" x14ac:dyDescent="0.2">
      <c r="E322" s="981"/>
      <c r="G322" s="981"/>
      <c r="I322" s="981"/>
      <c r="K322" s="981"/>
      <c r="M322" s="981"/>
      <c r="O322" s="981"/>
      <c r="P322" s="981"/>
      <c r="Q322" s="981"/>
      <c r="S322" s="981"/>
      <c r="U322" s="981"/>
    </row>
    <row r="323" spans="5:21" s="434" customFormat="1" ht="9.9499999999999993" customHeight="1" x14ac:dyDescent="0.2">
      <c r="E323" s="981"/>
      <c r="G323" s="981"/>
      <c r="I323" s="981"/>
      <c r="K323" s="981"/>
      <c r="M323" s="981"/>
      <c r="O323" s="981"/>
      <c r="P323" s="981"/>
      <c r="Q323" s="981"/>
      <c r="S323" s="981"/>
      <c r="U323" s="981"/>
    </row>
    <row r="324" spans="5:21" s="434" customFormat="1" ht="9.9499999999999993" customHeight="1" x14ac:dyDescent="0.2">
      <c r="E324" s="981"/>
      <c r="G324" s="981"/>
      <c r="I324" s="981"/>
      <c r="K324" s="981"/>
      <c r="M324" s="981"/>
      <c r="O324" s="981"/>
      <c r="P324" s="981"/>
      <c r="Q324" s="981"/>
      <c r="S324" s="981"/>
      <c r="U324" s="981"/>
    </row>
    <row r="325" spans="5:21" s="434" customFormat="1" ht="9.9499999999999993" customHeight="1" x14ac:dyDescent="0.2">
      <c r="E325" s="981"/>
      <c r="G325" s="981"/>
      <c r="I325" s="981"/>
      <c r="K325" s="981"/>
      <c r="M325" s="981"/>
      <c r="O325" s="981"/>
      <c r="P325" s="981"/>
      <c r="Q325" s="981"/>
      <c r="S325" s="981"/>
      <c r="U325" s="981"/>
    </row>
    <row r="326" spans="5:21" s="434" customFormat="1" ht="9.9499999999999993" customHeight="1" x14ac:dyDescent="0.2">
      <c r="E326" s="981"/>
      <c r="G326" s="981"/>
      <c r="I326" s="981"/>
      <c r="K326" s="981"/>
      <c r="M326" s="981"/>
      <c r="O326" s="981"/>
      <c r="P326" s="981"/>
      <c r="Q326" s="981"/>
      <c r="S326" s="981"/>
      <c r="U326" s="981"/>
    </row>
    <row r="327" spans="5:21" s="434" customFormat="1" ht="9.9499999999999993" customHeight="1" x14ac:dyDescent="0.2">
      <c r="E327" s="981"/>
      <c r="G327" s="981"/>
      <c r="I327" s="981"/>
      <c r="K327" s="981"/>
      <c r="M327" s="981"/>
      <c r="O327" s="981"/>
      <c r="P327" s="981"/>
      <c r="Q327" s="981"/>
      <c r="S327" s="981"/>
      <c r="U327" s="981"/>
    </row>
    <row r="328" spans="5:21" s="434" customFormat="1" ht="9.9499999999999993" customHeight="1" x14ac:dyDescent="0.2">
      <c r="E328" s="981"/>
      <c r="G328" s="981"/>
      <c r="I328" s="981"/>
      <c r="K328" s="981"/>
      <c r="M328" s="981"/>
      <c r="O328" s="981"/>
      <c r="P328" s="981"/>
      <c r="Q328" s="981"/>
      <c r="S328" s="981"/>
      <c r="U328" s="981"/>
    </row>
    <row r="329" spans="5:21" s="434" customFormat="1" ht="9.9499999999999993" customHeight="1" x14ac:dyDescent="0.2">
      <c r="E329" s="981"/>
      <c r="G329" s="981"/>
      <c r="I329" s="981"/>
      <c r="K329" s="981"/>
      <c r="M329" s="981"/>
      <c r="O329" s="981"/>
      <c r="P329" s="981"/>
      <c r="Q329" s="981"/>
      <c r="S329" s="981"/>
      <c r="U329" s="981"/>
    </row>
    <row r="330" spans="5:21" s="434" customFormat="1" ht="9.9499999999999993" customHeight="1" x14ac:dyDescent="0.2">
      <c r="E330" s="981"/>
      <c r="G330" s="981"/>
      <c r="I330" s="981"/>
      <c r="K330" s="981"/>
      <c r="M330" s="981"/>
      <c r="O330" s="981"/>
      <c r="P330" s="981"/>
      <c r="Q330" s="981"/>
      <c r="S330" s="981"/>
      <c r="U330" s="981"/>
    </row>
    <row r="331" spans="5:21" s="434" customFormat="1" ht="9.9499999999999993" customHeight="1" x14ac:dyDescent="0.2">
      <c r="E331" s="981"/>
      <c r="G331" s="981"/>
      <c r="I331" s="981"/>
      <c r="K331" s="981"/>
      <c r="M331" s="981"/>
      <c r="O331" s="981"/>
      <c r="P331" s="981"/>
      <c r="Q331" s="981"/>
      <c r="S331" s="981"/>
      <c r="U331" s="981"/>
    </row>
    <row r="332" spans="5:21" s="434" customFormat="1" ht="9.9499999999999993" customHeight="1" x14ac:dyDescent="0.2">
      <c r="E332" s="981"/>
      <c r="G332" s="981"/>
      <c r="I332" s="981"/>
      <c r="K332" s="981"/>
      <c r="M332" s="981"/>
      <c r="O332" s="981"/>
      <c r="P332" s="981"/>
      <c r="Q332" s="981"/>
      <c r="S332" s="981"/>
      <c r="U332" s="981"/>
    </row>
    <row r="333" spans="5:21" s="434" customFormat="1" ht="9.9499999999999993" customHeight="1" x14ac:dyDescent="0.2">
      <c r="E333" s="981"/>
      <c r="G333" s="981"/>
      <c r="I333" s="981"/>
      <c r="K333" s="981"/>
      <c r="M333" s="981"/>
      <c r="O333" s="981"/>
      <c r="P333" s="981"/>
      <c r="Q333" s="981"/>
      <c r="S333" s="981"/>
      <c r="U333" s="981"/>
    </row>
    <row r="334" spans="5:21" s="434" customFormat="1" ht="9.9499999999999993" customHeight="1" x14ac:dyDescent="0.2">
      <c r="E334" s="981"/>
      <c r="G334" s="981"/>
      <c r="I334" s="981"/>
      <c r="K334" s="981"/>
      <c r="M334" s="981"/>
      <c r="O334" s="981"/>
      <c r="P334" s="981"/>
      <c r="Q334" s="981"/>
      <c r="S334" s="981"/>
      <c r="U334" s="981"/>
    </row>
    <row r="335" spans="5:21" s="434" customFormat="1" ht="9.9499999999999993" customHeight="1" x14ac:dyDescent="0.2">
      <c r="E335" s="981"/>
      <c r="G335" s="981"/>
      <c r="I335" s="981"/>
      <c r="K335" s="981"/>
      <c r="M335" s="981"/>
      <c r="O335" s="981"/>
      <c r="P335" s="981"/>
      <c r="Q335" s="981"/>
      <c r="S335" s="981"/>
      <c r="U335" s="981"/>
    </row>
    <row r="336" spans="5:21" s="434" customFormat="1" ht="9.9499999999999993" customHeight="1" x14ac:dyDescent="0.2">
      <c r="E336" s="981"/>
      <c r="G336" s="981"/>
      <c r="I336" s="981"/>
      <c r="K336" s="981"/>
      <c r="M336" s="981"/>
      <c r="O336" s="981"/>
      <c r="P336" s="981"/>
      <c r="Q336" s="981"/>
      <c r="S336" s="981"/>
      <c r="U336" s="981"/>
    </row>
    <row r="337" spans="5:21" s="434" customFormat="1" ht="9.9499999999999993" customHeight="1" x14ac:dyDescent="0.2">
      <c r="E337" s="981"/>
      <c r="G337" s="981"/>
      <c r="I337" s="981"/>
      <c r="K337" s="981"/>
      <c r="M337" s="981"/>
      <c r="O337" s="981"/>
      <c r="P337" s="981"/>
      <c r="Q337" s="981"/>
      <c r="S337" s="981"/>
      <c r="U337" s="981"/>
    </row>
    <row r="338" spans="5:21" s="434" customFormat="1" ht="9.9499999999999993" customHeight="1" x14ac:dyDescent="0.2">
      <c r="E338" s="981"/>
      <c r="G338" s="981"/>
      <c r="I338" s="981"/>
      <c r="K338" s="981"/>
      <c r="M338" s="981"/>
      <c r="O338" s="981"/>
      <c r="P338" s="981"/>
      <c r="Q338" s="981"/>
      <c r="S338" s="981"/>
      <c r="U338" s="981"/>
    </row>
    <row r="339" spans="5:21" s="434" customFormat="1" ht="9.9499999999999993" customHeight="1" x14ac:dyDescent="0.2">
      <c r="E339" s="981"/>
      <c r="G339" s="981"/>
      <c r="I339" s="981"/>
      <c r="K339" s="981"/>
      <c r="M339" s="981"/>
      <c r="O339" s="981"/>
      <c r="P339" s="981"/>
      <c r="Q339" s="981"/>
      <c r="S339" s="981"/>
      <c r="U339" s="981"/>
    </row>
    <row r="340" spans="5:21" s="434" customFormat="1" ht="9.9499999999999993" customHeight="1" x14ac:dyDescent="0.2">
      <c r="E340" s="981"/>
      <c r="G340" s="981"/>
      <c r="I340" s="981"/>
      <c r="K340" s="981"/>
      <c r="M340" s="981"/>
      <c r="O340" s="981"/>
      <c r="P340" s="981"/>
      <c r="Q340" s="981"/>
      <c r="S340" s="981"/>
      <c r="U340" s="981"/>
    </row>
    <row r="341" spans="5:21" s="434" customFormat="1" ht="9.9499999999999993" customHeight="1" x14ac:dyDescent="0.2">
      <c r="E341" s="981"/>
      <c r="G341" s="981"/>
      <c r="I341" s="981"/>
      <c r="K341" s="981"/>
      <c r="M341" s="981"/>
      <c r="O341" s="981"/>
      <c r="P341" s="981"/>
      <c r="Q341" s="981"/>
      <c r="S341" s="981"/>
      <c r="U341" s="981"/>
    </row>
    <row r="342" spans="5:21" s="434" customFormat="1" ht="9.9499999999999993" customHeight="1" x14ac:dyDescent="0.2">
      <c r="E342" s="981"/>
      <c r="G342" s="981"/>
      <c r="I342" s="981"/>
      <c r="K342" s="981"/>
      <c r="M342" s="981"/>
      <c r="O342" s="981"/>
      <c r="P342" s="981"/>
      <c r="Q342" s="981"/>
      <c r="S342" s="981"/>
      <c r="U342" s="981"/>
    </row>
    <row r="343" spans="5:21" s="434" customFormat="1" ht="9.9499999999999993" customHeight="1" x14ac:dyDescent="0.2">
      <c r="E343" s="981"/>
      <c r="G343" s="981"/>
      <c r="I343" s="981"/>
      <c r="K343" s="981"/>
      <c r="M343" s="981"/>
      <c r="O343" s="981"/>
      <c r="P343" s="981"/>
      <c r="Q343" s="981"/>
      <c r="S343" s="981"/>
      <c r="U343" s="981"/>
    </row>
    <row r="344" spans="5:21" s="434" customFormat="1" ht="9.9499999999999993" customHeight="1" x14ac:dyDescent="0.2">
      <c r="E344" s="981"/>
      <c r="G344" s="981"/>
      <c r="I344" s="981"/>
      <c r="K344" s="981"/>
      <c r="M344" s="981"/>
      <c r="O344" s="981"/>
      <c r="P344" s="981"/>
      <c r="Q344" s="981"/>
      <c r="S344" s="981"/>
      <c r="U344" s="981"/>
    </row>
    <row r="345" spans="5:21" s="434" customFormat="1" ht="9.9499999999999993" customHeight="1" x14ac:dyDescent="0.2">
      <c r="E345" s="981"/>
      <c r="G345" s="981"/>
      <c r="I345" s="981"/>
      <c r="K345" s="981"/>
      <c r="M345" s="981"/>
      <c r="O345" s="981"/>
      <c r="P345" s="981"/>
      <c r="Q345" s="981"/>
      <c r="S345" s="981"/>
      <c r="U345" s="981"/>
    </row>
    <row r="346" spans="5:21" s="434" customFormat="1" ht="9.9499999999999993" customHeight="1" x14ac:dyDescent="0.2">
      <c r="E346" s="981"/>
      <c r="G346" s="981"/>
      <c r="I346" s="981"/>
      <c r="K346" s="981"/>
      <c r="M346" s="981"/>
      <c r="O346" s="981"/>
      <c r="P346" s="981"/>
      <c r="Q346" s="981"/>
      <c r="S346" s="981"/>
      <c r="U346" s="981"/>
    </row>
    <row r="347" spans="5:21" s="434" customFormat="1" ht="9.9499999999999993" customHeight="1" x14ac:dyDescent="0.2">
      <c r="E347" s="981"/>
      <c r="G347" s="981"/>
      <c r="I347" s="981"/>
      <c r="K347" s="981"/>
      <c r="M347" s="981"/>
      <c r="O347" s="981"/>
      <c r="P347" s="981"/>
      <c r="Q347" s="981"/>
      <c r="S347" s="981"/>
      <c r="U347" s="981"/>
    </row>
    <row r="348" spans="5:21" s="434" customFormat="1" ht="9.9499999999999993" customHeight="1" x14ac:dyDescent="0.2">
      <c r="E348" s="981"/>
      <c r="G348" s="981"/>
      <c r="I348" s="981"/>
      <c r="K348" s="981"/>
      <c r="M348" s="981"/>
      <c r="O348" s="981"/>
      <c r="P348" s="981"/>
      <c r="Q348" s="981"/>
      <c r="S348" s="981"/>
      <c r="U348" s="981"/>
    </row>
    <row r="349" spans="5:21" s="434" customFormat="1" ht="9.9499999999999993" customHeight="1" x14ac:dyDescent="0.2">
      <c r="E349" s="981"/>
      <c r="G349" s="981"/>
      <c r="I349" s="981"/>
      <c r="K349" s="981"/>
      <c r="M349" s="981"/>
      <c r="O349" s="981"/>
      <c r="P349" s="981"/>
      <c r="Q349" s="981"/>
      <c r="S349" s="981"/>
      <c r="U349" s="981"/>
    </row>
    <row r="350" spans="5:21" s="434" customFormat="1" ht="9.9499999999999993" customHeight="1" x14ac:dyDescent="0.2">
      <c r="E350" s="981"/>
      <c r="G350" s="981"/>
      <c r="I350" s="981"/>
      <c r="K350" s="981"/>
      <c r="M350" s="981"/>
      <c r="O350" s="981"/>
      <c r="P350" s="981"/>
      <c r="Q350" s="981"/>
      <c r="S350" s="981"/>
      <c r="U350" s="981"/>
    </row>
    <row r="351" spans="5:21" s="434" customFormat="1" ht="9.9499999999999993" customHeight="1" x14ac:dyDescent="0.2">
      <c r="E351" s="981"/>
      <c r="G351" s="981"/>
      <c r="I351" s="981"/>
      <c r="K351" s="981"/>
      <c r="M351" s="981"/>
      <c r="O351" s="981"/>
      <c r="P351" s="981"/>
      <c r="Q351" s="981"/>
      <c r="S351" s="981"/>
      <c r="U351" s="981"/>
    </row>
    <row r="352" spans="5:21" s="434" customFormat="1" ht="9.9499999999999993" customHeight="1" x14ac:dyDescent="0.2">
      <c r="E352" s="981"/>
      <c r="G352" s="981"/>
      <c r="I352" s="981"/>
      <c r="K352" s="981"/>
      <c r="M352" s="981"/>
      <c r="O352" s="981"/>
      <c r="P352" s="981"/>
      <c r="Q352" s="981"/>
      <c r="S352" s="981"/>
      <c r="U352" s="981"/>
    </row>
    <row r="353" spans="5:21" s="434" customFormat="1" ht="9.9499999999999993" customHeight="1" x14ac:dyDescent="0.2">
      <c r="E353" s="981"/>
      <c r="G353" s="981"/>
      <c r="I353" s="981"/>
      <c r="K353" s="981"/>
      <c r="M353" s="981"/>
      <c r="O353" s="981"/>
      <c r="P353" s="981"/>
      <c r="Q353" s="981"/>
      <c r="S353" s="981"/>
      <c r="U353" s="981"/>
    </row>
    <row r="354" spans="5:21" s="434" customFormat="1" ht="9.9499999999999993" customHeight="1" x14ac:dyDescent="0.2">
      <c r="E354" s="981"/>
      <c r="G354" s="981"/>
      <c r="I354" s="981"/>
      <c r="K354" s="981"/>
      <c r="M354" s="981"/>
      <c r="O354" s="981"/>
      <c r="P354" s="981"/>
      <c r="Q354" s="981"/>
      <c r="S354" s="981"/>
      <c r="U354" s="981"/>
    </row>
    <row r="355" spans="5:21" s="434" customFormat="1" ht="9.9499999999999993" customHeight="1" x14ac:dyDescent="0.2">
      <c r="E355" s="981"/>
      <c r="G355" s="981"/>
      <c r="I355" s="981"/>
      <c r="K355" s="981"/>
      <c r="M355" s="981"/>
      <c r="O355" s="981"/>
      <c r="P355" s="981"/>
      <c r="Q355" s="981"/>
      <c r="S355" s="981"/>
      <c r="U355" s="981"/>
    </row>
    <row r="356" spans="5:21" s="434" customFormat="1" ht="9.9499999999999993" customHeight="1" x14ac:dyDescent="0.2">
      <c r="E356" s="981"/>
      <c r="G356" s="981"/>
      <c r="I356" s="981"/>
      <c r="K356" s="981"/>
      <c r="M356" s="981"/>
      <c r="O356" s="981"/>
      <c r="P356" s="981"/>
      <c r="Q356" s="981"/>
      <c r="S356" s="981"/>
      <c r="U356" s="981"/>
    </row>
    <row r="357" spans="5:21" s="434" customFormat="1" ht="9.9499999999999993" customHeight="1" x14ac:dyDescent="0.2">
      <c r="E357" s="981"/>
      <c r="G357" s="981"/>
      <c r="I357" s="981"/>
      <c r="K357" s="981"/>
      <c r="M357" s="981"/>
      <c r="O357" s="981"/>
      <c r="P357" s="981"/>
      <c r="Q357" s="981"/>
      <c r="S357" s="981"/>
      <c r="U357" s="981"/>
    </row>
    <row r="358" spans="5:21" s="434" customFormat="1" ht="9.9499999999999993" customHeight="1" x14ac:dyDescent="0.2">
      <c r="E358" s="981"/>
      <c r="G358" s="981"/>
      <c r="I358" s="981"/>
      <c r="K358" s="981"/>
      <c r="M358" s="981"/>
      <c r="O358" s="981"/>
      <c r="P358" s="981"/>
      <c r="Q358" s="981"/>
      <c r="S358" s="981"/>
      <c r="U358" s="981"/>
    </row>
    <row r="359" spans="5:21" s="434" customFormat="1" ht="9.9499999999999993" customHeight="1" x14ac:dyDescent="0.2">
      <c r="E359" s="981"/>
      <c r="G359" s="981"/>
      <c r="I359" s="981"/>
      <c r="K359" s="981"/>
      <c r="M359" s="981"/>
      <c r="O359" s="981"/>
      <c r="P359" s="981"/>
      <c r="Q359" s="981"/>
      <c r="S359" s="981"/>
      <c r="U359" s="981"/>
    </row>
    <row r="360" spans="5:21" s="434" customFormat="1" ht="9.9499999999999993" customHeight="1" x14ac:dyDescent="0.2">
      <c r="E360" s="981"/>
      <c r="G360" s="981"/>
      <c r="I360" s="981"/>
      <c r="K360" s="981"/>
      <c r="M360" s="981"/>
      <c r="O360" s="981"/>
      <c r="P360" s="981"/>
      <c r="Q360" s="981"/>
      <c r="S360" s="981"/>
      <c r="U360" s="981"/>
    </row>
    <row r="361" spans="5:21" s="434" customFormat="1" ht="9.9499999999999993" customHeight="1" x14ac:dyDescent="0.2">
      <c r="E361" s="981"/>
      <c r="G361" s="981"/>
      <c r="I361" s="981"/>
      <c r="K361" s="981"/>
      <c r="M361" s="981"/>
      <c r="O361" s="981"/>
      <c r="P361" s="981"/>
      <c r="Q361" s="981"/>
      <c r="S361" s="981"/>
      <c r="U361" s="981"/>
    </row>
    <row r="362" spans="5:21" s="434" customFormat="1" ht="9.9499999999999993" customHeight="1" x14ac:dyDescent="0.2">
      <c r="E362" s="981"/>
      <c r="G362" s="981"/>
      <c r="I362" s="981"/>
      <c r="K362" s="981"/>
      <c r="M362" s="981"/>
      <c r="O362" s="981"/>
      <c r="P362" s="981"/>
      <c r="Q362" s="981"/>
      <c r="S362" s="981"/>
      <c r="U362" s="981"/>
    </row>
    <row r="363" spans="5:21" s="434" customFormat="1" ht="9.9499999999999993" customHeight="1" x14ac:dyDescent="0.2">
      <c r="E363" s="981"/>
      <c r="G363" s="981"/>
      <c r="I363" s="981"/>
      <c r="K363" s="981"/>
      <c r="M363" s="981"/>
      <c r="O363" s="981"/>
      <c r="P363" s="981"/>
      <c r="Q363" s="981"/>
      <c r="S363" s="981"/>
      <c r="U363" s="981"/>
    </row>
    <row r="364" spans="5:21" s="434" customFormat="1" ht="9.9499999999999993" customHeight="1" x14ac:dyDescent="0.2">
      <c r="E364" s="981"/>
      <c r="G364" s="981"/>
      <c r="I364" s="981"/>
      <c r="K364" s="981"/>
      <c r="M364" s="981"/>
      <c r="O364" s="981"/>
      <c r="P364" s="981"/>
      <c r="Q364" s="981"/>
      <c r="S364" s="981"/>
      <c r="U364" s="981"/>
    </row>
    <row r="365" spans="5:21" s="434" customFormat="1" ht="9.9499999999999993" customHeight="1" x14ac:dyDescent="0.2">
      <c r="E365" s="981"/>
      <c r="G365" s="981"/>
      <c r="I365" s="981"/>
      <c r="K365" s="981"/>
      <c r="M365" s="981"/>
      <c r="O365" s="981"/>
      <c r="P365" s="981"/>
      <c r="Q365" s="981"/>
      <c r="S365" s="981"/>
      <c r="U365" s="981"/>
    </row>
    <row r="366" spans="5:21" s="434" customFormat="1" ht="9.9499999999999993" customHeight="1" x14ac:dyDescent="0.2">
      <c r="E366" s="981"/>
      <c r="G366" s="981"/>
      <c r="I366" s="981"/>
      <c r="K366" s="981"/>
      <c r="M366" s="981"/>
      <c r="O366" s="981"/>
      <c r="P366" s="981"/>
      <c r="Q366" s="981"/>
      <c r="S366" s="981"/>
      <c r="U366" s="981"/>
    </row>
    <row r="367" spans="5:21" s="434" customFormat="1" ht="9.9499999999999993" customHeight="1" x14ac:dyDescent="0.2">
      <c r="E367" s="981"/>
      <c r="G367" s="981"/>
      <c r="I367" s="981"/>
      <c r="K367" s="981"/>
      <c r="M367" s="981"/>
      <c r="O367" s="981"/>
      <c r="P367" s="981"/>
      <c r="Q367" s="981"/>
      <c r="S367" s="981"/>
      <c r="U367" s="981"/>
    </row>
    <row r="368" spans="5:21" s="434" customFormat="1" ht="9.9499999999999993" customHeight="1" x14ac:dyDescent="0.2">
      <c r="E368" s="981"/>
      <c r="G368" s="981"/>
      <c r="I368" s="981"/>
      <c r="K368" s="981"/>
      <c r="M368" s="981"/>
      <c r="O368" s="981"/>
      <c r="P368" s="981"/>
      <c r="Q368" s="981"/>
      <c r="S368" s="981"/>
      <c r="U368" s="981"/>
    </row>
    <row r="369" spans="5:21" s="434" customFormat="1" ht="9.9499999999999993" customHeight="1" x14ac:dyDescent="0.2">
      <c r="E369" s="981"/>
      <c r="G369" s="981"/>
      <c r="I369" s="981"/>
      <c r="K369" s="981"/>
      <c r="M369" s="981"/>
      <c r="O369" s="981"/>
      <c r="P369" s="981"/>
      <c r="Q369" s="981"/>
      <c r="S369" s="981"/>
      <c r="U369" s="981"/>
    </row>
    <row r="370" spans="5:21" s="434" customFormat="1" ht="9.9499999999999993" customHeight="1" x14ac:dyDescent="0.2">
      <c r="E370" s="981"/>
      <c r="G370" s="981"/>
      <c r="I370" s="981"/>
      <c r="K370" s="981"/>
      <c r="M370" s="981"/>
      <c r="O370" s="981"/>
      <c r="P370" s="981"/>
      <c r="Q370" s="981"/>
      <c r="S370" s="981"/>
      <c r="U370" s="981"/>
    </row>
    <row r="371" spans="5:21" s="434" customFormat="1" ht="9.9499999999999993" customHeight="1" x14ac:dyDescent="0.2">
      <c r="E371" s="981"/>
      <c r="G371" s="981"/>
      <c r="I371" s="981"/>
      <c r="K371" s="981"/>
      <c r="M371" s="981"/>
      <c r="O371" s="981"/>
      <c r="P371" s="981"/>
      <c r="Q371" s="981"/>
      <c r="S371" s="981"/>
      <c r="U371" s="981"/>
    </row>
    <row r="372" spans="5:21" s="434" customFormat="1" ht="9.9499999999999993" customHeight="1" x14ac:dyDescent="0.2">
      <c r="E372" s="981"/>
      <c r="G372" s="981"/>
      <c r="I372" s="981"/>
      <c r="K372" s="981"/>
      <c r="M372" s="981"/>
      <c r="O372" s="981"/>
      <c r="P372" s="981"/>
      <c r="Q372" s="981"/>
      <c r="S372" s="981"/>
      <c r="U372" s="981"/>
    </row>
    <row r="373" spans="5:21" s="434" customFormat="1" ht="9.9499999999999993" customHeight="1" x14ac:dyDescent="0.2">
      <c r="E373" s="981"/>
      <c r="G373" s="981"/>
      <c r="I373" s="981"/>
      <c r="K373" s="981"/>
      <c r="M373" s="981"/>
      <c r="O373" s="981"/>
      <c r="P373" s="981"/>
      <c r="Q373" s="981"/>
      <c r="S373" s="981"/>
      <c r="U373" s="981"/>
    </row>
    <row r="374" spans="5:21" s="434" customFormat="1" ht="9.9499999999999993" customHeight="1" x14ac:dyDescent="0.2">
      <c r="E374" s="981"/>
      <c r="G374" s="981"/>
      <c r="I374" s="981"/>
      <c r="K374" s="981"/>
      <c r="M374" s="981"/>
      <c r="O374" s="981"/>
      <c r="P374" s="981"/>
      <c r="Q374" s="981"/>
      <c r="S374" s="981"/>
      <c r="U374" s="981"/>
    </row>
    <row r="375" spans="5:21" s="434" customFormat="1" ht="9.9499999999999993" customHeight="1" x14ac:dyDescent="0.2">
      <c r="E375" s="981"/>
      <c r="G375" s="981"/>
      <c r="I375" s="981"/>
      <c r="K375" s="981"/>
      <c r="M375" s="981"/>
      <c r="O375" s="981"/>
      <c r="P375" s="981"/>
      <c r="Q375" s="981"/>
      <c r="S375" s="981"/>
      <c r="U375" s="981"/>
    </row>
    <row r="376" spans="5:21" s="434" customFormat="1" ht="9.9499999999999993" customHeight="1" x14ac:dyDescent="0.2">
      <c r="E376" s="981"/>
      <c r="G376" s="981"/>
      <c r="I376" s="981"/>
      <c r="K376" s="981"/>
      <c r="M376" s="981"/>
      <c r="O376" s="981"/>
      <c r="P376" s="981"/>
      <c r="Q376" s="981"/>
      <c r="S376" s="981"/>
      <c r="U376" s="981"/>
    </row>
    <row r="377" spans="5:21" s="434" customFormat="1" ht="9.9499999999999993" customHeight="1" x14ac:dyDescent="0.2">
      <c r="E377" s="981"/>
      <c r="G377" s="981"/>
      <c r="I377" s="981"/>
      <c r="K377" s="981"/>
      <c r="M377" s="981"/>
      <c r="O377" s="981"/>
      <c r="P377" s="981"/>
      <c r="Q377" s="981"/>
      <c r="S377" s="981"/>
      <c r="U377" s="981"/>
    </row>
    <row r="378" spans="5:21" s="434" customFormat="1" ht="9.9499999999999993" customHeight="1" x14ac:dyDescent="0.2">
      <c r="E378" s="981"/>
      <c r="G378" s="981"/>
      <c r="I378" s="981"/>
      <c r="K378" s="981"/>
      <c r="M378" s="981"/>
      <c r="O378" s="981"/>
      <c r="P378" s="981"/>
      <c r="Q378" s="981"/>
      <c r="S378" s="981"/>
      <c r="U378" s="981"/>
    </row>
    <row r="379" spans="5:21" s="434" customFormat="1" ht="9.9499999999999993" customHeight="1" x14ac:dyDescent="0.2">
      <c r="E379" s="981"/>
      <c r="G379" s="981"/>
      <c r="I379" s="981"/>
      <c r="K379" s="981"/>
      <c r="M379" s="981"/>
      <c r="O379" s="981"/>
      <c r="P379" s="981"/>
      <c r="Q379" s="981"/>
      <c r="S379" s="981"/>
      <c r="U379" s="981"/>
    </row>
    <row r="380" spans="5:21" s="434" customFormat="1" ht="9.9499999999999993" customHeight="1" x14ac:dyDescent="0.2">
      <c r="E380" s="981"/>
      <c r="G380" s="981"/>
      <c r="I380" s="981"/>
      <c r="K380" s="981"/>
      <c r="M380" s="981"/>
      <c r="O380" s="981"/>
      <c r="P380" s="981"/>
      <c r="Q380" s="981"/>
      <c r="S380" s="981"/>
      <c r="U380" s="981"/>
    </row>
    <row r="381" spans="5:21" s="434" customFormat="1" ht="9.9499999999999993" customHeight="1" x14ac:dyDescent="0.2">
      <c r="E381" s="981"/>
      <c r="G381" s="981"/>
      <c r="I381" s="981"/>
      <c r="K381" s="981"/>
      <c r="M381" s="981"/>
      <c r="O381" s="981"/>
      <c r="P381" s="981"/>
      <c r="Q381" s="981"/>
      <c r="S381" s="981"/>
      <c r="U381" s="981"/>
    </row>
    <row r="382" spans="5:21" s="434" customFormat="1" ht="9.9499999999999993" customHeight="1" x14ac:dyDescent="0.2">
      <c r="E382" s="981"/>
      <c r="G382" s="981"/>
      <c r="I382" s="981"/>
      <c r="K382" s="981"/>
      <c r="M382" s="981"/>
      <c r="O382" s="981"/>
      <c r="P382" s="981"/>
      <c r="Q382" s="981"/>
      <c r="S382" s="981"/>
      <c r="U382" s="981"/>
    </row>
    <row r="383" spans="5:21" s="434" customFormat="1" ht="9.9499999999999993" customHeight="1" x14ac:dyDescent="0.2">
      <c r="E383" s="981"/>
      <c r="G383" s="981"/>
      <c r="I383" s="981"/>
      <c r="K383" s="981"/>
      <c r="M383" s="981"/>
      <c r="O383" s="981"/>
      <c r="P383" s="981"/>
      <c r="Q383" s="981"/>
      <c r="S383" s="981"/>
      <c r="U383" s="981"/>
    </row>
    <row r="384" spans="5:21" s="434" customFormat="1" ht="9.9499999999999993" customHeight="1" x14ac:dyDescent="0.2">
      <c r="E384" s="981"/>
      <c r="G384" s="981"/>
      <c r="I384" s="981"/>
      <c r="K384" s="981"/>
      <c r="M384" s="981"/>
      <c r="O384" s="981"/>
      <c r="P384" s="981"/>
      <c r="Q384" s="981"/>
      <c r="S384" s="981"/>
      <c r="U384" s="981"/>
    </row>
    <row r="385" spans="5:21" s="434" customFormat="1" ht="9.9499999999999993" customHeight="1" x14ac:dyDescent="0.2">
      <c r="E385" s="981"/>
      <c r="G385" s="981"/>
      <c r="I385" s="981"/>
      <c r="K385" s="981"/>
      <c r="M385" s="981"/>
      <c r="O385" s="981"/>
      <c r="P385" s="981"/>
      <c r="Q385" s="981"/>
      <c r="S385" s="981"/>
      <c r="U385" s="981"/>
    </row>
    <row r="386" spans="5:21" s="434" customFormat="1" ht="9.9499999999999993" customHeight="1" x14ac:dyDescent="0.2">
      <c r="E386" s="981"/>
      <c r="G386" s="981"/>
      <c r="I386" s="981"/>
      <c r="K386" s="981"/>
      <c r="M386" s="981"/>
      <c r="O386" s="981"/>
      <c r="P386" s="981"/>
      <c r="Q386" s="981"/>
      <c r="S386" s="981"/>
      <c r="U386" s="981"/>
    </row>
    <row r="387" spans="5:21" s="434" customFormat="1" ht="9.9499999999999993" customHeight="1" x14ac:dyDescent="0.2">
      <c r="E387" s="981"/>
      <c r="G387" s="981"/>
      <c r="I387" s="981"/>
      <c r="K387" s="981"/>
      <c r="M387" s="981"/>
      <c r="O387" s="981"/>
      <c r="P387" s="981"/>
      <c r="Q387" s="981"/>
      <c r="S387" s="981"/>
      <c r="U387" s="981"/>
    </row>
    <row r="388" spans="5:21" s="434" customFormat="1" ht="9.9499999999999993" customHeight="1" x14ac:dyDescent="0.2">
      <c r="E388" s="981"/>
      <c r="G388" s="981"/>
      <c r="I388" s="981"/>
      <c r="K388" s="981"/>
      <c r="M388" s="981"/>
      <c r="O388" s="981"/>
      <c r="P388" s="981"/>
      <c r="Q388" s="981"/>
      <c r="S388" s="981"/>
      <c r="U388" s="981"/>
    </row>
    <row r="389" spans="5:21" s="434" customFormat="1" ht="9.9499999999999993" customHeight="1" x14ac:dyDescent="0.2">
      <c r="E389" s="981"/>
      <c r="G389" s="981"/>
      <c r="I389" s="981"/>
      <c r="K389" s="981"/>
      <c r="M389" s="981"/>
      <c r="O389" s="981"/>
      <c r="P389" s="981"/>
      <c r="Q389" s="981"/>
      <c r="S389" s="981"/>
      <c r="U389" s="981"/>
    </row>
    <row r="390" spans="5:21" s="434" customFormat="1" ht="9.9499999999999993" customHeight="1" x14ac:dyDescent="0.2">
      <c r="E390" s="981"/>
      <c r="G390" s="981"/>
      <c r="I390" s="981"/>
      <c r="K390" s="981"/>
      <c r="M390" s="981"/>
      <c r="O390" s="981"/>
      <c r="P390" s="981"/>
      <c r="Q390" s="981"/>
      <c r="S390" s="981"/>
      <c r="U390" s="981"/>
    </row>
    <row r="391" spans="5:21" s="434" customFormat="1" ht="9.9499999999999993" customHeight="1" x14ac:dyDescent="0.2">
      <c r="E391" s="981"/>
      <c r="G391" s="981"/>
      <c r="I391" s="981"/>
      <c r="K391" s="981"/>
      <c r="M391" s="981"/>
      <c r="O391" s="981"/>
      <c r="P391" s="981"/>
      <c r="Q391" s="981"/>
      <c r="S391" s="981"/>
      <c r="U391" s="981"/>
    </row>
    <row r="392" spans="5:21" s="434" customFormat="1" ht="9.9499999999999993" customHeight="1" x14ac:dyDescent="0.2">
      <c r="E392" s="981"/>
      <c r="G392" s="981"/>
      <c r="I392" s="981"/>
      <c r="K392" s="981"/>
      <c r="M392" s="981"/>
      <c r="O392" s="981"/>
      <c r="P392" s="981"/>
      <c r="Q392" s="981"/>
      <c r="S392" s="981"/>
      <c r="U392" s="981"/>
    </row>
    <row r="393" spans="5:21" s="434" customFormat="1" ht="9.9499999999999993" customHeight="1" x14ac:dyDescent="0.2">
      <c r="E393" s="981"/>
      <c r="G393" s="981"/>
      <c r="I393" s="981"/>
      <c r="K393" s="981"/>
      <c r="M393" s="981"/>
      <c r="O393" s="981"/>
      <c r="P393" s="981"/>
      <c r="Q393" s="981"/>
      <c r="S393" s="981"/>
      <c r="U393" s="981"/>
    </row>
    <row r="394" spans="5:21" s="434" customFormat="1" ht="9.9499999999999993" customHeight="1" x14ac:dyDescent="0.2">
      <c r="E394" s="981"/>
      <c r="G394" s="981"/>
      <c r="I394" s="981"/>
      <c r="K394" s="981"/>
      <c r="M394" s="981"/>
      <c r="O394" s="981"/>
      <c r="P394" s="981"/>
      <c r="Q394" s="981"/>
      <c r="S394" s="981"/>
      <c r="U394" s="981"/>
    </row>
    <row r="395" spans="5:21" s="434" customFormat="1" ht="9.9499999999999993" customHeight="1" x14ac:dyDescent="0.2">
      <c r="E395" s="981"/>
      <c r="G395" s="981"/>
      <c r="I395" s="981"/>
      <c r="K395" s="981"/>
      <c r="M395" s="981"/>
      <c r="O395" s="981"/>
      <c r="P395" s="981"/>
      <c r="Q395" s="981"/>
      <c r="S395" s="981"/>
      <c r="U395" s="981"/>
    </row>
    <row r="396" spans="5:21" s="434" customFormat="1" ht="9.9499999999999993" customHeight="1" x14ac:dyDescent="0.2">
      <c r="E396" s="981"/>
      <c r="G396" s="981"/>
      <c r="I396" s="981"/>
      <c r="K396" s="981"/>
      <c r="M396" s="981"/>
      <c r="O396" s="981"/>
      <c r="P396" s="981"/>
      <c r="Q396" s="981"/>
      <c r="S396" s="981"/>
      <c r="U396" s="981"/>
    </row>
  </sheetData>
  <mergeCells count="2">
    <mergeCell ref="A1:AW1"/>
    <mergeCell ref="G8:AW8"/>
  </mergeCells>
  <phoneticPr fontId="9" type="noConversion"/>
  <printOptions horizontalCentered="1"/>
  <pageMargins left="0.5" right="0.5" top="0.5" bottom="0.625" header="0.5" footer="0.5"/>
  <pageSetup scale="74"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theme="6" tint="0.39997558519241921"/>
  </sheetPr>
  <dimension ref="A1:AB135"/>
  <sheetViews>
    <sheetView view="pageBreakPreview" zoomScaleNormal="100" workbookViewId="0">
      <selection activeCell="P58" sqref="P58"/>
    </sheetView>
  </sheetViews>
  <sheetFormatPr defaultColWidth="9.140625" defaultRowHeight="12.75" x14ac:dyDescent="0.2"/>
  <cols>
    <col min="1" max="1" width="1.5703125" style="202" customWidth="1"/>
    <col min="2" max="2" width="9.42578125" style="202" customWidth="1"/>
    <col min="3" max="4" width="1.5703125" style="202" customWidth="1"/>
    <col min="5" max="5" width="11.5703125" style="970" customWidth="1"/>
    <col min="6" max="7" width="1.5703125" style="202" customWidth="1"/>
    <col min="8" max="8" width="11.5703125" style="970" customWidth="1"/>
    <col min="9" max="11" width="1.5703125" style="202" customWidth="1"/>
    <col min="12" max="12" width="12.5703125" style="970" customWidth="1"/>
    <col min="13" max="14" width="1.5703125" style="202" customWidth="1"/>
    <col min="15" max="15" width="11.5703125" style="970" customWidth="1"/>
    <col min="16" max="16" width="1.5703125" style="202" customWidth="1"/>
    <col min="17" max="17" width="11.5703125" style="970" customWidth="1"/>
    <col min="18" max="19" width="1.5703125" style="202" customWidth="1"/>
    <col min="20" max="20" width="12.5703125" style="202" customWidth="1"/>
    <col min="21" max="22" width="1.5703125" style="202" customWidth="1"/>
    <col min="23" max="23" width="12.5703125" style="202" customWidth="1"/>
    <col min="24" max="16384" width="9.140625" style="202"/>
  </cols>
  <sheetData>
    <row r="1" spans="1:23" s="520" customFormat="1" ht="16.5" customHeight="1" thickBot="1" x14ac:dyDescent="0.25">
      <c r="A1" s="1582" t="s">
        <v>1033</v>
      </c>
      <c r="B1" s="1582"/>
      <c r="C1" s="1582"/>
      <c r="D1" s="1582"/>
      <c r="E1" s="1582"/>
      <c r="F1" s="1582"/>
      <c r="G1" s="1582"/>
      <c r="H1" s="1582"/>
      <c r="I1" s="1582"/>
      <c r="J1" s="1582"/>
      <c r="K1" s="1582"/>
      <c r="L1" s="1582"/>
      <c r="M1" s="1582"/>
      <c r="N1" s="1582"/>
      <c r="O1" s="1582"/>
      <c r="P1" s="1582"/>
      <c r="Q1" s="1582"/>
      <c r="R1" s="1582"/>
      <c r="S1" s="1582"/>
      <c r="T1" s="1582"/>
      <c r="U1" s="1582"/>
      <c r="V1" s="1582"/>
      <c r="W1" s="1582"/>
    </row>
    <row r="2" spans="1:23" s="715" customFormat="1" ht="15" customHeight="1" x14ac:dyDescent="0.2">
      <c r="A2" s="700" t="s">
        <v>786</v>
      </c>
      <c r="E2" s="950"/>
      <c r="H2" s="950"/>
      <c r="L2" s="950"/>
      <c r="O2" s="950"/>
      <c r="Q2" s="950"/>
    </row>
    <row r="3" spans="1:23" s="715" customFormat="1" ht="15" customHeight="1" x14ac:dyDescent="0.2">
      <c r="A3" s="700" t="s">
        <v>175</v>
      </c>
      <c r="E3" s="950"/>
      <c r="H3" s="950"/>
      <c r="L3" s="950"/>
      <c r="O3" s="950"/>
      <c r="Q3" s="950"/>
    </row>
    <row r="4" spans="1:23" s="157" customFormat="1" ht="12.95" customHeight="1" x14ac:dyDescent="0.2">
      <c r="A4" s="943" t="s">
        <v>176</v>
      </c>
      <c r="E4" s="951"/>
      <c r="H4" s="951"/>
      <c r="L4" s="951"/>
      <c r="O4" s="951"/>
      <c r="Q4" s="951"/>
    </row>
    <row r="5" spans="1:23" s="418" customFormat="1" ht="12" customHeight="1" x14ac:dyDescent="0.2">
      <c r="A5" s="737" t="s">
        <v>812</v>
      </c>
      <c r="E5" s="952"/>
      <c r="H5" s="952"/>
      <c r="L5" s="952"/>
      <c r="O5" s="952"/>
      <c r="Q5" s="952"/>
    </row>
    <row r="6" spans="1:23" s="514" customFormat="1" ht="12" customHeight="1" x14ac:dyDescent="0.2">
      <c r="A6" s="352" t="s">
        <v>972</v>
      </c>
      <c r="B6" s="606"/>
      <c r="C6" s="606"/>
      <c r="D6" s="263"/>
      <c r="E6" s="953"/>
      <c r="G6" s="953"/>
      <c r="I6" s="953"/>
      <c r="K6" s="953"/>
      <c r="L6" s="953"/>
      <c r="M6" s="953"/>
      <c r="Q6" s="953"/>
    </row>
    <row r="7" spans="1:23" s="525" customFormat="1" ht="12.6" customHeight="1" x14ac:dyDescent="0.2">
      <c r="A7" s="514"/>
      <c r="B7" s="514"/>
      <c r="C7" s="514"/>
      <c r="D7" s="514"/>
      <c r="E7" s="953"/>
      <c r="F7" s="514"/>
      <c r="G7" s="514"/>
      <c r="H7" s="953"/>
      <c r="I7" s="514"/>
      <c r="J7" s="514"/>
      <c r="K7" s="514"/>
      <c r="L7" s="953"/>
      <c r="M7" s="514"/>
      <c r="N7" s="514"/>
      <c r="O7" s="953"/>
      <c r="P7" s="514"/>
      <c r="Q7" s="953"/>
      <c r="R7" s="514"/>
      <c r="S7" s="514"/>
      <c r="T7" s="514"/>
      <c r="U7" s="514"/>
      <c r="V7" s="514"/>
      <c r="W7" s="514"/>
    </row>
    <row r="8" spans="1:23" s="198" customFormat="1" ht="12.6" customHeight="1" x14ac:dyDescent="0.2">
      <c r="A8" s="445"/>
      <c r="B8" s="445"/>
      <c r="C8" s="954"/>
      <c r="D8" s="954"/>
      <c r="E8" s="741"/>
      <c r="F8" s="741"/>
      <c r="G8" s="741"/>
      <c r="H8" s="741"/>
      <c r="I8" s="741"/>
      <c r="J8" s="741"/>
      <c r="K8" s="1609"/>
      <c r="L8" s="1609"/>
      <c r="M8" s="741"/>
      <c r="N8" s="1610"/>
      <c r="O8" s="1610"/>
      <c r="P8" s="741"/>
      <c r="Q8" s="741"/>
      <c r="R8" s="445"/>
      <c r="S8" s="1599" t="s">
        <v>177</v>
      </c>
      <c r="T8" s="1599"/>
      <c r="U8" s="445"/>
      <c r="V8" s="445"/>
      <c r="W8" s="445"/>
    </row>
    <row r="9" spans="1:23" s="193" customFormat="1" ht="12.6" customHeight="1" x14ac:dyDescent="0.2">
      <c r="A9" s="1599" t="s">
        <v>178</v>
      </c>
      <c r="B9" s="1599"/>
      <c r="C9" s="416"/>
      <c r="D9" s="1611"/>
      <c r="E9" s="1611"/>
      <c r="F9" s="445"/>
      <c r="G9" s="1611"/>
      <c r="H9" s="1611"/>
      <c r="I9" s="445"/>
      <c r="J9" s="445"/>
      <c r="K9" s="1611" t="s">
        <v>183</v>
      </c>
      <c r="L9" s="1611"/>
      <c r="M9" s="445"/>
      <c r="N9" s="1611" t="s">
        <v>417</v>
      </c>
      <c r="O9" s="1611"/>
      <c r="P9" s="1611" t="s">
        <v>182</v>
      </c>
      <c r="Q9" s="1611"/>
      <c r="R9" s="445"/>
      <c r="S9" s="1599" t="s">
        <v>191</v>
      </c>
      <c r="T9" s="1599"/>
      <c r="U9" s="416"/>
      <c r="V9" s="416"/>
      <c r="W9" s="416"/>
    </row>
    <row r="10" spans="1:23" s="193" customFormat="1" ht="15" x14ac:dyDescent="0.2">
      <c r="A10" s="1589" t="s">
        <v>192</v>
      </c>
      <c r="B10" s="1589"/>
      <c r="C10" s="416"/>
      <c r="D10" s="1615" t="s">
        <v>299</v>
      </c>
      <c r="E10" s="1615"/>
      <c r="F10" s="445"/>
      <c r="G10" s="1614" t="s">
        <v>300</v>
      </c>
      <c r="H10" s="1614"/>
      <c r="I10" s="445"/>
      <c r="J10" s="445"/>
      <c r="K10" s="1614" t="s">
        <v>1709</v>
      </c>
      <c r="L10" s="1614"/>
      <c r="M10" s="445"/>
      <c r="N10" s="1614" t="s">
        <v>999</v>
      </c>
      <c r="O10" s="1614"/>
      <c r="P10" s="1614" t="s">
        <v>832</v>
      </c>
      <c r="Q10" s="1614"/>
      <c r="R10" s="445"/>
      <c r="S10" s="1589" t="s">
        <v>193</v>
      </c>
      <c r="T10" s="1589"/>
      <c r="U10" s="416"/>
      <c r="V10" s="1589" t="s">
        <v>725</v>
      </c>
      <c r="W10" s="1589"/>
    </row>
    <row r="11" spans="1:23" s="956" customFormat="1" ht="5.0999999999999996" customHeight="1" x14ac:dyDescent="0.2">
      <c r="A11" s="526"/>
      <c r="B11" s="514"/>
      <c r="C11" s="955"/>
      <c r="D11" s="955"/>
      <c r="E11" s="526"/>
      <c r="F11" s="526"/>
      <c r="G11" s="955"/>
      <c r="H11" s="526"/>
      <c r="I11" s="526"/>
      <c r="J11" s="526"/>
      <c r="K11" s="955"/>
      <c r="L11" s="526"/>
      <c r="M11" s="526"/>
      <c r="N11" s="955"/>
      <c r="O11" s="526"/>
      <c r="P11" s="955"/>
      <c r="Q11" s="526"/>
      <c r="R11" s="526"/>
      <c r="S11" s="526"/>
      <c r="T11" s="526"/>
      <c r="U11" s="526"/>
      <c r="V11" s="526"/>
      <c r="W11" s="526"/>
    </row>
    <row r="12" spans="1:23" s="451" customFormat="1" ht="9.9499999999999993" hidden="1" customHeight="1" x14ac:dyDescent="0.2">
      <c r="A12" s="1612">
        <v>1999</v>
      </c>
      <c r="B12" s="1612"/>
      <c r="C12" s="450"/>
      <c r="E12" s="450">
        <v>108044</v>
      </c>
      <c r="F12" s="450"/>
      <c r="H12" s="450">
        <v>126473</v>
      </c>
      <c r="I12" s="450"/>
      <c r="J12" s="450"/>
      <c r="L12" s="450">
        <v>2967</v>
      </c>
      <c r="M12" s="450"/>
      <c r="O12" s="450">
        <v>22463</v>
      </c>
      <c r="Q12" s="448">
        <v>0</v>
      </c>
      <c r="R12" s="957"/>
      <c r="T12" s="450">
        <v>1445</v>
      </c>
      <c r="U12" s="450"/>
      <c r="W12" s="450">
        <f t="shared" ref="W12:W21" si="0">SUM(E12+H12+Q12+L12+O12+T12)</f>
        <v>261392</v>
      </c>
    </row>
    <row r="13" spans="1:23" s="451" customFormat="1" ht="9.9499999999999993" hidden="1" customHeight="1" x14ac:dyDescent="0.2">
      <c r="A13" s="1612">
        <v>2000</v>
      </c>
      <c r="B13" s="1612"/>
      <c r="C13" s="418"/>
      <c r="D13" s="418" t="s">
        <v>1035</v>
      </c>
      <c r="E13" s="450">
        <v>115195</v>
      </c>
      <c r="F13" s="418"/>
      <c r="H13" s="450">
        <v>135130</v>
      </c>
      <c r="I13" s="418"/>
      <c r="J13" s="418"/>
      <c r="L13" s="450">
        <v>3224</v>
      </c>
      <c r="M13" s="418"/>
      <c r="N13" s="451">
        <v>0</v>
      </c>
      <c r="O13" s="450">
        <v>22899</v>
      </c>
      <c r="P13" s="451">
        <v>0</v>
      </c>
      <c r="Q13" s="450">
        <v>0</v>
      </c>
      <c r="R13" s="418"/>
      <c r="T13" s="450">
        <v>1386</v>
      </c>
      <c r="U13" s="418"/>
      <c r="W13" s="450">
        <f t="shared" si="0"/>
        <v>277834</v>
      </c>
    </row>
    <row r="14" spans="1:23" s="958" customFormat="1" ht="9.9499999999999993" hidden="1" customHeight="1" x14ac:dyDescent="0.2">
      <c r="A14" s="1612">
        <v>2001</v>
      </c>
      <c r="B14" s="1612"/>
      <c r="C14" s="645"/>
      <c r="D14" s="418" t="s">
        <v>1035</v>
      </c>
      <c r="E14" s="538">
        <v>125533</v>
      </c>
      <c r="F14" s="538"/>
      <c r="G14" s="418" t="s">
        <v>1035</v>
      </c>
      <c r="H14" s="538">
        <v>136811</v>
      </c>
      <c r="I14" s="538"/>
      <c r="J14" s="538"/>
      <c r="K14" s="418" t="s">
        <v>1035</v>
      </c>
      <c r="L14" s="538">
        <v>3427</v>
      </c>
      <c r="M14" s="538"/>
      <c r="N14" s="418" t="s">
        <v>1035</v>
      </c>
      <c r="O14" s="538">
        <v>24198</v>
      </c>
      <c r="P14" s="418" t="s">
        <v>1035</v>
      </c>
      <c r="Q14" s="538">
        <v>0</v>
      </c>
      <c r="R14" s="533"/>
      <c r="S14" s="418" t="s">
        <v>1035</v>
      </c>
      <c r="T14" s="533">
        <v>1410</v>
      </c>
      <c r="U14" s="533">
        <v>202008</v>
      </c>
      <c r="V14" s="418" t="s">
        <v>1035</v>
      </c>
      <c r="W14" s="533">
        <f t="shared" si="0"/>
        <v>291379</v>
      </c>
    </row>
    <row r="15" spans="1:23" s="449" customFormat="1" ht="9.9499999999999993" hidden="1" customHeight="1" x14ac:dyDescent="0.2">
      <c r="A15" s="1613" t="s">
        <v>892</v>
      </c>
      <c r="B15" s="1613"/>
      <c r="C15" s="418"/>
      <c r="D15" s="418" t="s">
        <v>1035</v>
      </c>
      <c r="E15" s="450">
        <v>227599</v>
      </c>
      <c r="F15" s="418"/>
      <c r="G15" s="418" t="s">
        <v>1035</v>
      </c>
      <c r="H15" s="450">
        <v>157593</v>
      </c>
      <c r="I15" s="418"/>
      <c r="J15" s="418"/>
      <c r="K15" s="418" t="s">
        <v>1035</v>
      </c>
      <c r="L15" s="450">
        <v>3629</v>
      </c>
      <c r="M15" s="418"/>
      <c r="N15" s="418" t="s">
        <v>1035</v>
      </c>
      <c r="O15" s="450">
        <v>26042</v>
      </c>
      <c r="P15" s="418" t="s">
        <v>1035</v>
      </c>
      <c r="Q15" s="450">
        <v>45007</v>
      </c>
      <c r="R15" s="418"/>
      <c r="S15" s="418" t="s">
        <v>1035</v>
      </c>
      <c r="T15" s="450">
        <v>3064</v>
      </c>
      <c r="U15" s="418"/>
      <c r="V15" s="418" t="s">
        <v>1035</v>
      </c>
      <c r="W15" s="450">
        <f t="shared" si="0"/>
        <v>462934</v>
      </c>
    </row>
    <row r="16" spans="1:23" s="439" customFormat="1" ht="9.9499999999999993" hidden="1" customHeight="1" x14ac:dyDescent="0.2">
      <c r="A16" s="1612">
        <v>2003</v>
      </c>
      <c r="B16" s="1612"/>
      <c r="C16" s="959"/>
      <c r="D16" s="418"/>
      <c r="E16" s="346">
        <v>239214</v>
      </c>
      <c r="F16" s="346"/>
      <c r="G16" s="346"/>
      <c r="H16" s="346">
        <v>156323</v>
      </c>
      <c r="I16" s="346"/>
      <c r="J16" s="346"/>
      <c r="K16" s="346"/>
      <c r="L16" s="346">
        <v>3863</v>
      </c>
      <c r="M16" s="346"/>
      <c r="N16" s="346"/>
      <c r="O16" s="346">
        <v>26364</v>
      </c>
      <c r="P16" s="346"/>
      <c r="Q16" s="346">
        <v>44633</v>
      </c>
      <c r="R16" s="454"/>
      <c r="S16" s="454"/>
      <c r="T16" s="454">
        <v>3069</v>
      </c>
      <c r="U16" s="454"/>
      <c r="V16" s="454"/>
      <c r="W16" s="454">
        <f t="shared" si="0"/>
        <v>473466</v>
      </c>
    </row>
    <row r="17" spans="1:28" s="439" customFormat="1" ht="9.9499999999999993" hidden="1" customHeight="1" x14ac:dyDescent="0.2">
      <c r="A17" s="1612">
        <v>2004</v>
      </c>
      <c r="B17" s="1612"/>
      <c r="C17" s="447"/>
      <c r="D17" s="447"/>
      <c r="E17" s="346">
        <v>258261</v>
      </c>
      <c r="F17" s="346"/>
      <c r="G17" s="459"/>
      <c r="H17" s="346">
        <v>162383</v>
      </c>
      <c r="I17" s="346"/>
      <c r="J17" s="346"/>
      <c r="K17" s="459"/>
      <c r="L17" s="346">
        <v>4189</v>
      </c>
      <c r="M17" s="346"/>
      <c r="N17" s="459"/>
      <c r="O17" s="346">
        <v>26550</v>
      </c>
      <c r="P17" s="459"/>
      <c r="Q17" s="346">
        <v>46343</v>
      </c>
      <c r="R17" s="454"/>
      <c r="S17" s="454"/>
      <c r="T17" s="454">
        <v>2713</v>
      </c>
      <c r="U17" s="454">
        <v>15115</v>
      </c>
      <c r="V17" s="454"/>
      <c r="W17" s="454">
        <f t="shared" si="0"/>
        <v>500439</v>
      </c>
    </row>
    <row r="18" spans="1:28" s="449" customFormat="1" ht="9.9499999999999993" hidden="1" customHeight="1" x14ac:dyDescent="0.2">
      <c r="A18" s="1612">
        <v>2005</v>
      </c>
      <c r="B18" s="1612"/>
      <c r="C18" s="450"/>
      <c r="D18" s="450"/>
      <c r="E18" s="450">
        <v>271490</v>
      </c>
      <c r="F18" s="450"/>
      <c r="G18" s="450"/>
      <c r="H18" s="450">
        <v>167332</v>
      </c>
      <c r="I18" s="450"/>
      <c r="J18" s="450"/>
      <c r="K18" s="450"/>
      <c r="L18" s="450">
        <v>4473</v>
      </c>
      <c r="M18" s="450"/>
      <c r="N18" s="450"/>
      <c r="O18" s="450">
        <v>26274</v>
      </c>
      <c r="P18" s="450"/>
      <c r="Q18" s="450">
        <v>51717</v>
      </c>
      <c r="R18" s="450"/>
      <c r="S18" s="450"/>
      <c r="T18" s="450">
        <v>3434</v>
      </c>
      <c r="U18" s="450"/>
      <c r="V18" s="450"/>
      <c r="W18" s="450">
        <f t="shared" si="0"/>
        <v>524720</v>
      </c>
    </row>
    <row r="19" spans="1:28" s="451" customFormat="1" ht="9.9499999999999993" hidden="1" customHeight="1" x14ac:dyDescent="0.2">
      <c r="A19" s="1612">
        <v>2006</v>
      </c>
      <c r="B19" s="1612"/>
      <c r="C19" s="450"/>
      <c r="D19" s="450"/>
      <c r="E19" s="450">
        <v>289348</v>
      </c>
      <c r="F19" s="450"/>
      <c r="G19" s="450"/>
      <c r="H19" s="450">
        <v>210141</v>
      </c>
      <c r="I19" s="450"/>
      <c r="J19" s="450"/>
      <c r="K19" s="450"/>
      <c r="L19" s="450">
        <v>4932</v>
      </c>
      <c r="M19" s="450"/>
      <c r="N19" s="450"/>
      <c r="O19" s="450">
        <v>30823</v>
      </c>
      <c r="P19" s="450"/>
      <c r="Q19" s="450">
        <v>58672</v>
      </c>
      <c r="R19" s="450"/>
      <c r="S19" s="450"/>
      <c r="T19" s="450">
        <v>3464</v>
      </c>
      <c r="U19" s="450">
        <v>30371</v>
      </c>
      <c r="V19" s="450"/>
      <c r="W19" s="450">
        <f t="shared" si="0"/>
        <v>597380</v>
      </c>
      <c r="Z19" s="1094"/>
      <c r="AA19" s="451">
        <v>325811</v>
      </c>
    </row>
    <row r="20" spans="1:28" s="451" customFormat="1" ht="9.9499999999999993" hidden="1" customHeight="1" x14ac:dyDescent="0.2">
      <c r="A20" s="1612">
        <v>2007</v>
      </c>
      <c r="B20" s="1612"/>
      <c r="C20" s="418"/>
      <c r="D20" s="418"/>
      <c r="E20" s="450">
        <v>325811</v>
      </c>
      <c r="F20" s="418"/>
      <c r="G20" s="418"/>
      <c r="H20" s="450">
        <v>224480</v>
      </c>
      <c r="I20" s="418"/>
      <c r="J20" s="418"/>
      <c r="K20" s="418"/>
      <c r="L20" s="450">
        <v>5308</v>
      </c>
      <c r="M20" s="418"/>
      <c r="N20" s="418"/>
      <c r="O20" s="450">
        <v>30236</v>
      </c>
      <c r="P20" s="418"/>
      <c r="Q20" s="450">
        <v>63878</v>
      </c>
      <c r="R20" s="418"/>
      <c r="S20" s="418"/>
      <c r="T20" s="450">
        <v>3701</v>
      </c>
      <c r="U20" s="418"/>
      <c r="V20" s="418"/>
      <c r="W20" s="450">
        <f t="shared" si="0"/>
        <v>653414</v>
      </c>
      <c r="Z20" s="1094"/>
      <c r="AA20" s="451">
        <v>496215</v>
      </c>
      <c r="AB20" s="451">
        <f>+AA20-AA19</f>
        <v>170404</v>
      </c>
    </row>
    <row r="21" spans="1:28" s="439" customFormat="1" ht="9.9499999999999993" hidden="1" customHeight="1" x14ac:dyDescent="0.2">
      <c r="A21" s="1612">
        <v>2008</v>
      </c>
      <c r="B21" s="1612"/>
      <c r="C21" s="418"/>
      <c r="D21" s="418"/>
      <c r="E21" s="346">
        <v>376884</v>
      </c>
      <c r="F21" s="346"/>
      <c r="G21" s="346"/>
      <c r="H21" s="346">
        <v>232348</v>
      </c>
      <c r="I21" s="346"/>
      <c r="J21" s="346"/>
      <c r="K21" s="346"/>
      <c r="L21" s="346">
        <v>5712</v>
      </c>
      <c r="M21" s="346"/>
      <c r="N21" s="346"/>
      <c r="O21" s="346">
        <v>31705</v>
      </c>
      <c r="P21" s="346"/>
      <c r="Q21" s="346">
        <v>68414</v>
      </c>
      <c r="R21" s="454"/>
      <c r="S21" s="454"/>
      <c r="T21" s="454">
        <v>3797</v>
      </c>
      <c r="U21" s="454"/>
      <c r="V21" s="454"/>
      <c r="W21" s="454">
        <f t="shared" si="0"/>
        <v>718860</v>
      </c>
      <c r="Y21" s="451"/>
      <c r="Z21" s="1094"/>
    </row>
    <row r="22" spans="1:28" s="439" customFormat="1" ht="9.9499999999999993" hidden="1" customHeight="1" x14ac:dyDescent="0.2">
      <c r="A22" s="1612">
        <v>2009</v>
      </c>
      <c r="B22" s="1612"/>
      <c r="C22" s="418"/>
      <c r="D22" s="418"/>
      <c r="E22" s="450">
        <v>406341</v>
      </c>
      <c r="F22" s="418"/>
      <c r="G22" s="418"/>
      <c r="H22" s="450">
        <v>221746</v>
      </c>
      <c r="I22" s="418"/>
      <c r="J22" s="418"/>
      <c r="K22" s="418"/>
      <c r="L22" s="450">
        <v>5741</v>
      </c>
      <c r="M22" s="418"/>
      <c r="N22" s="418"/>
      <c r="O22" s="450">
        <v>33396</v>
      </c>
      <c r="P22" s="418"/>
      <c r="Q22" s="450">
        <v>58800</v>
      </c>
      <c r="R22" s="418"/>
      <c r="S22" s="418"/>
      <c r="T22" s="450">
        <v>3784</v>
      </c>
      <c r="U22" s="418"/>
      <c r="V22" s="418"/>
      <c r="W22" s="450">
        <f>SUM(E22:T22)</f>
        <v>729808</v>
      </c>
      <c r="Y22" s="451"/>
      <c r="Z22" s="1094"/>
    </row>
    <row r="23" spans="1:28" s="439" customFormat="1" ht="9.9499999999999993" hidden="1" customHeight="1" x14ac:dyDescent="0.2">
      <c r="A23" s="1612">
        <v>2010</v>
      </c>
      <c r="B23" s="1612"/>
      <c r="C23" s="418"/>
      <c r="D23" s="418"/>
      <c r="E23" s="346">
        <v>404766</v>
      </c>
      <c r="F23" s="346"/>
      <c r="G23" s="346"/>
      <c r="H23" s="346">
        <v>223475</v>
      </c>
      <c r="I23" s="346"/>
      <c r="J23" s="346"/>
      <c r="K23" s="346"/>
      <c r="L23" s="346">
        <v>5921</v>
      </c>
      <c r="M23" s="346"/>
      <c r="N23" s="346"/>
      <c r="O23" s="346">
        <v>35913</v>
      </c>
      <c r="P23" s="346"/>
      <c r="Q23" s="346">
        <v>59734</v>
      </c>
      <c r="R23" s="454"/>
      <c r="S23" s="454"/>
      <c r="T23" s="454">
        <v>3885</v>
      </c>
      <c r="U23" s="454"/>
      <c r="V23" s="454"/>
      <c r="W23" s="454">
        <f t="shared" ref="W23:W37" si="1">SUM(E23:T23)</f>
        <v>733694</v>
      </c>
      <c r="Y23" s="451"/>
      <c r="Z23" s="1094"/>
    </row>
    <row r="24" spans="1:28" s="439" customFormat="1" ht="9.9499999999999993" hidden="1" customHeight="1" x14ac:dyDescent="0.2">
      <c r="A24" s="1612">
        <v>2011</v>
      </c>
      <c r="B24" s="1612"/>
      <c r="C24" s="418"/>
      <c r="D24" s="418"/>
      <c r="E24" s="346">
        <v>396235</v>
      </c>
      <c r="F24" s="418"/>
      <c r="G24" s="418"/>
      <c r="H24" s="346">
        <v>236819</v>
      </c>
      <c r="I24" s="418"/>
      <c r="J24" s="418"/>
      <c r="K24" s="418"/>
      <c r="L24" s="346">
        <v>5879</v>
      </c>
      <c r="M24" s="418"/>
      <c r="N24" s="418"/>
      <c r="O24" s="346">
        <v>34341</v>
      </c>
      <c r="P24" s="418"/>
      <c r="Q24" s="346">
        <v>62968</v>
      </c>
      <c r="R24" s="418"/>
      <c r="S24" s="418"/>
      <c r="T24" s="454">
        <v>3797</v>
      </c>
      <c r="U24" s="418"/>
      <c r="V24" s="418"/>
      <c r="W24" s="454">
        <f t="shared" si="1"/>
        <v>740039</v>
      </c>
      <c r="Y24" s="451"/>
      <c r="Z24" s="1094"/>
    </row>
    <row r="25" spans="1:28" s="439" customFormat="1" ht="9.9499999999999993" hidden="1" customHeight="1" x14ac:dyDescent="0.2">
      <c r="A25" s="1612">
        <v>2012</v>
      </c>
      <c r="B25" s="1612"/>
      <c r="C25" s="418"/>
      <c r="D25" s="418"/>
      <c r="E25" s="346">
        <v>396660</v>
      </c>
      <c r="F25" s="346"/>
      <c r="G25" s="346"/>
      <c r="H25" s="346">
        <v>259927</v>
      </c>
      <c r="I25" s="346"/>
      <c r="J25" s="346"/>
      <c r="K25" s="346"/>
      <c r="L25" s="346">
        <v>5200</v>
      </c>
      <c r="M25" s="346"/>
      <c r="N25" s="346"/>
      <c r="O25" s="346">
        <v>33625</v>
      </c>
      <c r="P25" s="346"/>
      <c r="Q25" s="346">
        <v>67937</v>
      </c>
      <c r="R25" s="454"/>
      <c r="S25" s="454"/>
      <c r="T25" s="454">
        <v>3554</v>
      </c>
      <c r="U25" s="454"/>
      <c r="V25" s="454"/>
      <c r="W25" s="454">
        <f t="shared" si="1"/>
        <v>766903</v>
      </c>
      <c r="Y25" s="451"/>
      <c r="Z25" s="1094"/>
    </row>
    <row r="26" spans="1:28" s="439" customFormat="1" ht="9.9499999999999993" hidden="1" customHeight="1" x14ac:dyDescent="0.2">
      <c r="A26" s="1612">
        <v>2013</v>
      </c>
      <c r="B26" s="1612"/>
      <c r="C26" s="418"/>
      <c r="D26" s="418"/>
      <c r="E26" s="346">
        <v>404625</v>
      </c>
      <c r="F26" s="346"/>
      <c r="G26" s="346"/>
      <c r="H26" s="346">
        <v>287944</v>
      </c>
      <c r="I26" s="346"/>
      <c r="J26" s="346"/>
      <c r="K26" s="346"/>
      <c r="L26" s="346">
        <v>5799</v>
      </c>
      <c r="M26" s="346"/>
      <c r="N26" s="346"/>
      <c r="O26" s="346">
        <v>33745</v>
      </c>
      <c r="P26" s="346"/>
      <c r="Q26" s="346">
        <v>72770</v>
      </c>
      <c r="R26" s="454"/>
      <c r="S26" s="454"/>
      <c r="T26" s="454">
        <v>3302</v>
      </c>
      <c r="U26" s="454"/>
      <c r="V26" s="454"/>
      <c r="W26" s="454">
        <f t="shared" si="1"/>
        <v>808185</v>
      </c>
      <c r="Y26" s="451"/>
      <c r="Z26" s="1094"/>
    </row>
    <row r="27" spans="1:28" s="439" customFormat="1" ht="9.9499999999999993" hidden="1" customHeight="1" x14ac:dyDescent="0.2">
      <c r="A27" s="1612">
        <v>2014</v>
      </c>
      <c r="B27" s="1612"/>
      <c r="C27" s="418"/>
      <c r="D27" s="418"/>
      <c r="E27" s="450">
        <v>425416</v>
      </c>
      <c r="F27" s="418"/>
      <c r="G27" s="418"/>
      <c r="H27" s="450">
        <v>324612</v>
      </c>
      <c r="I27" s="418"/>
      <c r="J27" s="418"/>
      <c r="K27" s="418"/>
      <c r="L27" s="450">
        <v>7554</v>
      </c>
      <c r="M27" s="418"/>
      <c r="N27" s="418"/>
      <c r="O27" s="450">
        <v>34784</v>
      </c>
      <c r="P27" s="418"/>
      <c r="Q27" s="450">
        <v>77064</v>
      </c>
      <c r="R27" s="418"/>
      <c r="S27" s="418"/>
      <c r="T27" s="450">
        <v>3557</v>
      </c>
      <c r="U27" s="418"/>
      <c r="V27" s="418"/>
      <c r="W27" s="450">
        <f t="shared" si="1"/>
        <v>872987</v>
      </c>
      <c r="Y27" s="451"/>
      <c r="Z27" s="1094"/>
    </row>
    <row r="28" spans="1:28" s="439" customFormat="1" ht="9.9499999999999993" customHeight="1" x14ac:dyDescent="0.2">
      <c r="A28" s="1612">
        <v>2015</v>
      </c>
      <c r="B28" s="1612"/>
      <c r="C28" s="418"/>
      <c r="D28" s="418"/>
      <c r="E28" s="450">
        <v>447297</v>
      </c>
      <c r="F28" s="418"/>
      <c r="G28" s="418"/>
      <c r="H28" s="450">
        <v>339012</v>
      </c>
      <c r="I28" s="418"/>
      <c r="J28" s="418"/>
      <c r="K28" s="418"/>
      <c r="L28" s="450">
        <v>7957</v>
      </c>
      <c r="M28" s="418"/>
      <c r="N28" s="418"/>
      <c r="O28" s="450">
        <v>36202</v>
      </c>
      <c r="P28" s="418"/>
      <c r="Q28" s="450">
        <v>79163</v>
      </c>
      <c r="R28" s="418"/>
      <c r="S28" s="418"/>
      <c r="T28" s="450">
        <v>3303</v>
      </c>
      <c r="U28" s="418"/>
      <c r="V28" s="418"/>
      <c r="W28" s="450">
        <f t="shared" si="1"/>
        <v>912934</v>
      </c>
      <c r="Y28" s="451"/>
      <c r="Z28" s="1094"/>
    </row>
    <row r="29" spans="1:28" s="439" customFormat="1" ht="9.9499999999999993" customHeight="1" x14ac:dyDescent="0.2">
      <c r="A29" s="1612">
        <v>2016</v>
      </c>
      <c r="B29" s="1612"/>
      <c r="C29" s="528"/>
      <c r="D29" s="418"/>
      <c r="E29" s="450">
        <v>496215</v>
      </c>
      <c r="F29" s="418"/>
      <c r="G29" s="418"/>
      <c r="H29" s="450">
        <v>347874</v>
      </c>
      <c r="I29" s="418"/>
      <c r="J29" s="418"/>
      <c r="K29" s="418"/>
      <c r="L29" s="450">
        <v>8516</v>
      </c>
      <c r="M29" s="418"/>
      <c r="N29" s="418"/>
      <c r="O29" s="450">
        <v>35992</v>
      </c>
      <c r="P29" s="418"/>
      <c r="Q29" s="450">
        <v>81280</v>
      </c>
      <c r="R29" s="418"/>
      <c r="S29" s="418"/>
      <c r="T29" s="450">
        <v>3480</v>
      </c>
      <c r="U29" s="418"/>
      <c r="V29" s="418"/>
      <c r="W29" s="450">
        <f t="shared" si="1"/>
        <v>973357</v>
      </c>
      <c r="Y29" s="451"/>
      <c r="Z29" s="1094"/>
    </row>
    <row r="30" spans="1:28" s="439" customFormat="1" ht="9.9499999999999993" customHeight="1" x14ac:dyDescent="0.2">
      <c r="A30" s="1612">
        <v>2017</v>
      </c>
      <c r="B30" s="1612"/>
      <c r="C30" s="528"/>
      <c r="D30" s="418"/>
      <c r="E30" s="450">
        <v>543111</v>
      </c>
      <c r="F30" s="418"/>
      <c r="G30" s="418"/>
      <c r="H30" s="450">
        <v>358076</v>
      </c>
      <c r="I30" s="418"/>
      <c r="J30" s="418"/>
      <c r="K30" s="418"/>
      <c r="L30" s="450">
        <v>8875</v>
      </c>
      <c r="M30" s="418"/>
      <c r="N30" s="418"/>
      <c r="O30" s="450">
        <v>33380</v>
      </c>
      <c r="P30" s="418"/>
      <c r="Q30" s="450">
        <v>85814</v>
      </c>
      <c r="R30" s="418"/>
      <c r="S30" s="418"/>
      <c r="T30" s="450">
        <v>3647</v>
      </c>
      <c r="U30" s="418"/>
      <c r="V30" s="418"/>
      <c r="W30" s="450">
        <f t="shared" si="1"/>
        <v>1032903</v>
      </c>
      <c r="Y30" s="451"/>
      <c r="Z30" s="1094"/>
    </row>
    <row r="31" spans="1:28" s="439" customFormat="1" ht="9.9499999999999993" customHeight="1" x14ac:dyDescent="0.2">
      <c r="A31" s="1612">
        <v>2018</v>
      </c>
      <c r="B31" s="1612"/>
      <c r="C31" s="528"/>
      <c r="D31" s="418"/>
      <c r="E31" s="450">
        <v>575645</v>
      </c>
      <c r="F31" s="418"/>
      <c r="G31" s="418"/>
      <c r="H31" s="450">
        <v>378367</v>
      </c>
      <c r="I31" s="418"/>
      <c r="J31" s="418"/>
      <c r="K31" s="418"/>
      <c r="L31" s="450">
        <v>9554</v>
      </c>
      <c r="M31" s="418"/>
      <c r="N31" s="418"/>
      <c r="O31" s="450">
        <v>32086</v>
      </c>
      <c r="P31" s="418"/>
      <c r="Q31" s="450">
        <v>91563</v>
      </c>
      <c r="R31" s="418"/>
      <c r="S31" s="418"/>
      <c r="T31" s="450">
        <v>3923</v>
      </c>
      <c r="U31" s="418"/>
      <c r="V31" s="418"/>
      <c r="W31" s="450">
        <f t="shared" si="1"/>
        <v>1091138</v>
      </c>
      <c r="Y31" s="451"/>
      <c r="Z31" s="1094"/>
    </row>
    <row r="32" spans="1:28" s="439" customFormat="1" ht="9.9499999999999993" customHeight="1" x14ac:dyDescent="0.2">
      <c r="A32" s="1612">
        <v>2019</v>
      </c>
      <c r="B32" s="1612"/>
      <c r="C32" s="528"/>
      <c r="D32" s="418"/>
      <c r="E32" s="450">
        <v>616590</v>
      </c>
      <c r="F32" s="418"/>
      <c r="G32" s="418"/>
      <c r="H32" s="450">
        <v>397869</v>
      </c>
      <c r="I32" s="418"/>
      <c r="J32" s="418"/>
      <c r="K32" s="418"/>
      <c r="L32" s="450">
        <v>9928</v>
      </c>
      <c r="M32" s="418"/>
      <c r="N32" s="418"/>
      <c r="O32" s="450">
        <v>32109</v>
      </c>
      <c r="P32" s="418"/>
      <c r="Q32" s="450">
        <v>100648</v>
      </c>
      <c r="R32" s="418"/>
      <c r="S32" s="418"/>
      <c r="T32" s="450">
        <v>4023</v>
      </c>
      <c r="U32" s="418"/>
      <c r="V32" s="418"/>
      <c r="W32" s="450">
        <f t="shared" si="1"/>
        <v>1161167</v>
      </c>
      <c r="Y32" s="451"/>
      <c r="Z32" s="1094"/>
    </row>
    <row r="33" spans="1:26" s="439" customFormat="1" ht="9.9499999999999993" customHeight="1" x14ac:dyDescent="0.2">
      <c r="A33" s="1612">
        <v>2020</v>
      </c>
      <c r="B33" s="1612"/>
      <c r="C33" s="528"/>
      <c r="D33" s="418"/>
      <c r="E33" s="450">
        <v>648835</v>
      </c>
      <c r="F33" s="418"/>
      <c r="G33" s="418"/>
      <c r="H33" s="450">
        <v>390513</v>
      </c>
      <c r="I33" s="418"/>
      <c r="J33" s="418"/>
      <c r="K33" s="418"/>
      <c r="L33" s="450">
        <v>6876</v>
      </c>
      <c r="M33" s="418"/>
      <c r="N33" s="418"/>
      <c r="O33" s="450">
        <v>25455</v>
      </c>
      <c r="P33" s="418"/>
      <c r="Q33" s="450">
        <v>58177</v>
      </c>
      <c r="R33" s="418"/>
      <c r="S33" s="418"/>
      <c r="T33" s="450">
        <v>4092</v>
      </c>
      <c r="U33" s="418"/>
      <c r="V33" s="418"/>
      <c r="W33" s="450">
        <f t="shared" si="1"/>
        <v>1133948</v>
      </c>
      <c r="Y33" s="451"/>
      <c r="Z33" s="1094"/>
    </row>
    <row r="34" spans="1:26" s="439" customFormat="1" ht="9.9499999999999993" customHeight="1" x14ac:dyDescent="0.2">
      <c r="A34" s="1612">
        <v>2021</v>
      </c>
      <c r="B34" s="1612"/>
      <c r="C34" s="528"/>
      <c r="D34" s="418"/>
      <c r="E34" s="450">
        <v>682645</v>
      </c>
      <c r="F34" s="418"/>
      <c r="G34" s="418"/>
      <c r="H34" s="450">
        <v>439381</v>
      </c>
      <c r="I34" s="418"/>
      <c r="J34" s="418"/>
      <c r="K34" s="418"/>
      <c r="L34" s="450">
        <v>9083</v>
      </c>
      <c r="M34" s="418"/>
      <c r="N34" s="418"/>
      <c r="O34" s="450">
        <v>22211</v>
      </c>
      <c r="P34" s="418"/>
      <c r="Q34" s="450">
        <v>69520</v>
      </c>
      <c r="R34" s="418"/>
      <c r="S34" s="418"/>
      <c r="T34" s="450">
        <v>4581</v>
      </c>
      <c r="U34" s="418"/>
      <c r="V34" s="418"/>
      <c r="W34" s="450">
        <f t="shared" si="1"/>
        <v>1227421</v>
      </c>
      <c r="Y34" s="451"/>
      <c r="Z34" s="1094"/>
    </row>
    <row r="35" spans="1:26" s="439" customFormat="1" ht="9.9499999999999993" customHeight="1" x14ac:dyDescent="0.2">
      <c r="A35" s="1612">
        <v>2022</v>
      </c>
      <c r="B35" s="1612"/>
      <c r="C35" s="528"/>
      <c r="D35" s="418"/>
      <c r="E35" s="450">
        <v>708664</v>
      </c>
      <c r="F35" s="418"/>
      <c r="G35" s="418"/>
      <c r="H35" s="450">
        <v>501259</v>
      </c>
      <c r="I35" s="418"/>
      <c r="J35" s="418"/>
      <c r="K35" s="418"/>
      <c r="L35" s="450">
        <v>11698</v>
      </c>
      <c r="M35" s="418"/>
      <c r="N35" s="418"/>
      <c r="O35" s="450">
        <v>21015</v>
      </c>
      <c r="P35" s="418"/>
      <c r="Q35" s="450">
        <v>103044</v>
      </c>
      <c r="R35" s="418"/>
      <c r="S35" s="418"/>
      <c r="T35" s="450">
        <v>5225</v>
      </c>
      <c r="U35" s="418"/>
      <c r="V35" s="418"/>
      <c r="W35" s="450">
        <f t="shared" si="1"/>
        <v>1350905</v>
      </c>
      <c r="Y35" s="451"/>
      <c r="Z35" s="1094"/>
    </row>
    <row r="36" spans="1:26" s="439" customFormat="1" ht="9.9499999999999993" customHeight="1" x14ac:dyDescent="0.2">
      <c r="A36" s="1612">
        <v>2023</v>
      </c>
      <c r="B36" s="1612"/>
      <c r="C36" s="528"/>
      <c r="D36" s="418"/>
      <c r="E36" s="450">
        <v>759976</v>
      </c>
      <c r="F36" s="418"/>
      <c r="G36" s="418"/>
      <c r="H36" s="450">
        <v>514843</v>
      </c>
      <c r="I36" s="418"/>
      <c r="J36" s="418"/>
      <c r="K36" s="418"/>
      <c r="L36" s="450">
        <v>12357</v>
      </c>
      <c r="M36" s="418"/>
      <c r="N36" s="418"/>
      <c r="O36" s="450">
        <v>19523</v>
      </c>
      <c r="P36" s="418"/>
      <c r="Q36" s="450">
        <v>110548</v>
      </c>
      <c r="R36" s="418"/>
      <c r="S36" s="418"/>
      <c r="T36" s="450">
        <v>5626</v>
      </c>
      <c r="U36" s="418"/>
      <c r="V36" s="418"/>
      <c r="W36" s="450">
        <v>1422873</v>
      </c>
      <c r="Y36" s="451"/>
      <c r="Z36" s="1094"/>
    </row>
    <row r="37" spans="1:26" s="439" customFormat="1" ht="9.9499999999999993" customHeight="1" x14ac:dyDescent="0.2">
      <c r="A37" s="1612">
        <v>2024</v>
      </c>
      <c r="B37" s="1612"/>
      <c r="C37" s="418"/>
      <c r="D37" s="418"/>
      <c r="E37" s="450">
        <f>'SORECGF-major'!Y14</f>
        <v>805726</v>
      </c>
      <c r="F37" s="418"/>
      <c r="G37" s="418"/>
      <c r="H37" s="450">
        <f>'SORECGF-major'!Y15</f>
        <v>527129</v>
      </c>
      <c r="I37" s="418"/>
      <c r="J37" s="418"/>
      <c r="K37" s="418"/>
      <c r="L37" s="450">
        <f>'SORECGF-major'!Y16</f>
        <v>12425</v>
      </c>
      <c r="M37" s="418"/>
      <c r="N37" s="418"/>
      <c r="O37" s="450">
        <f>'SORECGF-major'!Y17</f>
        <v>17486</v>
      </c>
      <c r="P37" s="418"/>
      <c r="Q37" s="450">
        <f>'SORECGF-major'!Y18</f>
        <v>110048</v>
      </c>
      <c r="R37" s="418"/>
      <c r="S37" s="418"/>
      <c r="T37" s="450">
        <f>'SORECGF-major'!Y19</f>
        <v>6682</v>
      </c>
      <c r="U37" s="418"/>
      <c r="V37" s="418"/>
      <c r="W37" s="450">
        <f t="shared" si="1"/>
        <v>1479496</v>
      </c>
      <c r="Y37" s="451"/>
      <c r="Z37" s="1094"/>
    </row>
    <row r="38" spans="1:26" s="449" customFormat="1" ht="5.0999999999999996" customHeight="1" x14ac:dyDescent="0.2">
      <c r="A38" s="448"/>
      <c r="B38" s="418"/>
      <c r="C38" s="447"/>
      <c r="D38" s="447"/>
      <c r="E38" s="448"/>
      <c r="F38" s="448"/>
      <c r="G38" s="447"/>
      <c r="H38" s="448"/>
      <c r="I38" s="448"/>
      <c r="J38" s="448"/>
      <c r="K38" s="447"/>
      <c r="L38" s="448"/>
      <c r="M38" s="448"/>
      <c r="N38" s="447"/>
      <c r="O38" s="448"/>
      <c r="P38" s="447"/>
      <c r="Q38" s="448"/>
      <c r="R38" s="448"/>
      <c r="S38" s="448"/>
      <c r="T38" s="448"/>
      <c r="U38" s="448"/>
      <c r="V38" s="448"/>
      <c r="W38" s="448"/>
    </row>
    <row r="39" spans="1:26" s="439" customFormat="1" ht="9.9499999999999993" customHeight="1" x14ac:dyDescent="0.2">
      <c r="A39" s="417" t="s">
        <v>194</v>
      </c>
      <c r="B39" s="418"/>
      <c r="C39" s="418"/>
      <c r="D39" s="960"/>
      <c r="E39" s="961"/>
      <c r="F39" s="960"/>
      <c r="G39" s="960"/>
      <c r="H39" s="961"/>
      <c r="I39" s="960"/>
      <c r="J39" s="960"/>
      <c r="K39" s="960"/>
      <c r="L39" s="961"/>
      <c r="M39" s="960"/>
      <c r="N39" s="960"/>
      <c r="O39" s="961"/>
      <c r="P39" s="960"/>
      <c r="Q39" s="961"/>
      <c r="R39" s="960"/>
      <c r="S39" s="960"/>
      <c r="T39" s="960"/>
      <c r="U39" s="960"/>
      <c r="V39" s="960"/>
      <c r="W39" s="960"/>
    </row>
    <row r="40" spans="1:26" s="963" customFormat="1" ht="9.9499999999999993" customHeight="1" x14ac:dyDescent="0.2">
      <c r="A40" s="528"/>
      <c r="B40" s="528" t="s">
        <v>1635</v>
      </c>
      <c r="C40" s="528"/>
      <c r="E40" s="1226">
        <f>(+E37-E28)/E28</f>
        <v>0.80132216402077372</v>
      </c>
      <c r="F40" s="960"/>
      <c r="H40" s="1226">
        <f>(+H37-H28)/H28</f>
        <v>0.55489776173114813</v>
      </c>
      <c r="I40" s="1226"/>
      <c r="J40" s="1226"/>
      <c r="K40" s="962"/>
      <c r="L40" s="1226">
        <f>(+L37-L28)/L28</f>
        <v>0.56151816011059441</v>
      </c>
      <c r="M40" s="1226"/>
      <c r="N40" s="960"/>
      <c r="O40" s="1562">
        <f>(+O37-O28)/O28</f>
        <v>-0.5169880117120601</v>
      </c>
      <c r="P40" s="960"/>
      <c r="Q40" s="1226">
        <f>(+Q37-Q28)/Q28</f>
        <v>0.39014438563470311</v>
      </c>
      <c r="R40" s="1226"/>
      <c r="S40" s="960"/>
      <c r="T40" s="1226">
        <f>(+T37-T28)/T28</f>
        <v>1.0230093854072055</v>
      </c>
      <c r="U40" s="1226"/>
      <c r="V40" s="960"/>
      <c r="W40" s="1226">
        <f>(+W37-W28)/W28</f>
        <v>0.62059469797378564</v>
      </c>
    </row>
    <row r="41" spans="1:26" s="449" customFormat="1" ht="5.0999999999999996" customHeight="1" x14ac:dyDescent="0.2">
      <c r="A41" s="448"/>
      <c r="B41" s="418"/>
      <c r="C41" s="447"/>
      <c r="D41" s="447"/>
      <c r="E41" s="448"/>
      <c r="F41" s="448"/>
      <c r="G41" s="447"/>
      <c r="H41" s="448"/>
      <c r="I41" s="448"/>
      <c r="J41" s="448"/>
      <c r="K41" s="447"/>
      <c r="L41" s="448"/>
      <c r="M41" s="448"/>
      <c r="N41" s="447"/>
      <c r="O41" s="448"/>
      <c r="P41" s="447"/>
      <c r="Q41" s="448"/>
      <c r="R41" s="448"/>
      <c r="S41" s="448"/>
      <c r="T41" s="448"/>
      <c r="U41" s="448">
        <v>-5984</v>
      </c>
      <c r="V41" s="448"/>
      <c r="W41" s="448"/>
    </row>
    <row r="42" spans="1:26" s="965" customFormat="1" ht="22.5" customHeight="1" x14ac:dyDescent="0.2">
      <c r="A42" s="964">
        <v>1</v>
      </c>
      <c r="B42" s="1619" t="s">
        <v>1786</v>
      </c>
      <c r="C42" s="1619"/>
      <c r="D42" s="1619"/>
      <c r="E42" s="1619"/>
      <c r="F42" s="1619"/>
      <c r="G42" s="1619"/>
      <c r="H42" s="1619"/>
      <c r="I42" s="1619"/>
      <c r="J42" s="1619"/>
      <c r="K42" s="1619"/>
      <c r="L42" s="1619"/>
      <c r="M42" s="1619"/>
      <c r="N42" s="1619"/>
      <c r="O42" s="1619"/>
      <c r="P42" s="1619"/>
      <c r="Q42" s="1619"/>
      <c r="R42" s="1619"/>
      <c r="S42" s="1619"/>
      <c r="T42" s="1619"/>
      <c r="U42" s="1619"/>
      <c r="V42" s="1619"/>
      <c r="W42" s="1619"/>
    </row>
    <row r="43" spans="1:26" s="965" customFormat="1" ht="5.0999999999999996" customHeight="1" x14ac:dyDescent="0.2">
      <c r="A43" s="964"/>
      <c r="B43" s="966"/>
      <c r="C43" s="966"/>
      <c r="D43" s="966"/>
      <c r="E43" s="966"/>
      <c r="F43" s="966"/>
      <c r="G43" s="966"/>
      <c r="H43" s="966"/>
      <c r="I43" s="966"/>
      <c r="J43" s="966"/>
      <c r="K43" s="966"/>
      <c r="L43" s="966"/>
      <c r="M43" s="966"/>
      <c r="N43" s="966"/>
      <c r="O43" s="966"/>
      <c r="P43" s="966"/>
      <c r="Q43" s="966"/>
      <c r="R43" s="966"/>
      <c r="S43" s="966"/>
      <c r="T43" s="966"/>
      <c r="U43" s="966"/>
      <c r="V43" s="966"/>
      <c r="W43" s="966"/>
    </row>
    <row r="44" spans="1:26" s="965" customFormat="1" ht="15.75" hidden="1" customHeight="1" x14ac:dyDescent="0.2">
      <c r="A44" s="964"/>
      <c r="B44" s="966"/>
      <c r="C44" s="966"/>
      <c r="D44" s="966"/>
      <c r="E44" s="966"/>
      <c r="F44" s="966"/>
      <c r="G44" s="966"/>
      <c r="H44" s="966"/>
      <c r="I44" s="966"/>
      <c r="J44" s="966"/>
      <c r="K44" s="966"/>
      <c r="L44" s="966"/>
      <c r="M44" s="966"/>
      <c r="N44" s="966"/>
      <c r="O44" s="966"/>
      <c r="P44" s="966"/>
      <c r="Q44" s="966"/>
      <c r="R44" s="966"/>
      <c r="S44" s="966"/>
      <c r="T44" s="966"/>
      <c r="U44" s="966"/>
      <c r="V44" s="966"/>
      <c r="W44" s="966"/>
    </row>
    <row r="45" spans="1:26" s="968" customFormat="1" ht="11.1" customHeight="1" x14ac:dyDescent="0.2">
      <c r="A45" s="964">
        <v>2</v>
      </c>
      <c r="B45" s="1616" t="s">
        <v>1425</v>
      </c>
      <c r="C45" s="1616"/>
      <c r="D45" s="1616"/>
      <c r="E45" s="1616"/>
      <c r="F45" s="1616"/>
      <c r="G45" s="1616"/>
      <c r="H45" s="1616"/>
      <c r="I45" s="1616"/>
      <c r="J45" s="1616"/>
      <c r="K45" s="1616"/>
      <c r="L45" s="1616"/>
      <c r="M45" s="1616"/>
      <c r="N45" s="1616"/>
      <c r="O45" s="1616"/>
      <c r="P45" s="1616"/>
      <c r="Q45" s="1616"/>
      <c r="R45" s="1616"/>
      <c r="S45" s="1616"/>
      <c r="T45" s="1616"/>
      <c r="U45" s="1616"/>
      <c r="V45" s="1616"/>
      <c r="W45" s="1616"/>
    </row>
    <row r="46" spans="1:26" s="966" customFormat="1" ht="16.5" customHeight="1" x14ac:dyDescent="0.2">
      <c r="B46" s="1616"/>
      <c r="C46" s="1616"/>
      <c r="D46" s="1616"/>
      <c r="E46" s="1616"/>
      <c r="F46" s="1616"/>
      <c r="G46" s="1616"/>
      <c r="H46" s="1616"/>
      <c r="I46" s="1616"/>
      <c r="J46" s="1616"/>
      <c r="K46" s="1616"/>
      <c r="L46" s="1616"/>
      <c r="M46" s="1616"/>
      <c r="N46" s="1616"/>
      <c r="O46" s="1616"/>
      <c r="P46" s="1616"/>
      <c r="Q46" s="1616"/>
      <c r="R46" s="1616"/>
      <c r="S46" s="1616"/>
      <c r="T46" s="1616"/>
      <c r="U46" s="1616"/>
      <c r="V46" s="1616"/>
      <c r="W46" s="1616"/>
    </row>
    <row r="47" spans="1:26" s="966" customFormat="1" ht="5.25" customHeight="1" x14ac:dyDescent="0.2">
      <c r="C47" s="969"/>
      <c r="E47" s="967"/>
      <c r="H47" s="967"/>
      <c r="L47" s="967"/>
      <c r="O47" s="967"/>
      <c r="Q47" s="967"/>
    </row>
    <row r="48" spans="1:26" s="439" customFormat="1" ht="11.1" hidden="1" customHeight="1" x14ac:dyDescent="0.2">
      <c r="A48" s="964">
        <v>3</v>
      </c>
      <c r="B48" s="1617" t="s">
        <v>1226</v>
      </c>
      <c r="C48" s="1618"/>
      <c r="D48" s="1618"/>
      <c r="E48" s="1618"/>
      <c r="F48" s="1618"/>
      <c r="G48" s="1618"/>
      <c r="H48" s="1618"/>
      <c r="I48" s="1618"/>
      <c r="J48" s="1618"/>
      <c r="K48" s="1618"/>
      <c r="L48" s="1618"/>
      <c r="M48" s="1618"/>
      <c r="N48" s="1618"/>
      <c r="O48" s="1618"/>
      <c r="P48" s="1618"/>
      <c r="Q48" s="1618"/>
      <c r="R48" s="1618"/>
      <c r="S48" s="1618"/>
      <c r="T48" s="1618"/>
      <c r="U48" s="1618"/>
      <c r="V48" s="1618"/>
      <c r="W48" s="1618"/>
    </row>
    <row r="49" spans="1:23" s="439" customFormat="1" ht="11.1" hidden="1" customHeight="1" x14ac:dyDescent="0.2">
      <c r="B49" s="1618"/>
      <c r="C49" s="1618"/>
      <c r="D49" s="1618"/>
      <c r="E49" s="1618"/>
      <c r="F49" s="1618"/>
      <c r="G49" s="1618"/>
      <c r="H49" s="1618"/>
      <c r="I49" s="1618"/>
      <c r="J49" s="1618"/>
      <c r="K49" s="1618"/>
      <c r="L49" s="1618"/>
      <c r="M49" s="1618"/>
      <c r="N49" s="1618"/>
      <c r="O49" s="1618"/>
      <c r="P49" s="1618"/>
      <c r="Q49" s="1618"/>
      <c r="R49" s="1618"/>
      <c r="S49" s="1618"/>
      <c r="T49" s="1618"/>
      <c r="U49" s="1618"/>
      <c r="V49" s="1618"/>
      <c r="W49" s="1618"/>
    </row>
    <row r="50" spans="1:23" ht="5.0999999999999996" hidden="1" customHeight="1" x14ac:dyDescent="0.2"/>
    <row r="51" spans="1:23" hidden="1" x14ac:dyDescent="0.2"/>
    <row r="52" spans="1:23" s="968" customFormat="1" ht="11.1" customHeight="1" x14ac:dyDescent="0.2">
      <c r="A52" s="964">
        <v>3</v>
      </c>
      <c r="B52" s="1616"/>
      <c r="C52" s="1616"/>
      <c r="D52" s="1616"/>
      <c r="E52" s="1616"/>
      <c r="F52" s="1616"/>
      <c r="G52" s="1616"/>
      <c r="H52" s="1616"/>
      <c r="I52" s="1616"/>
      <c r="J52" s="1616"/>
      <c r="K52" s="1616"/>
      <c r="L52" s="1616"/>
      <c r="M52" s="1616"/>
      <c r="N52" s="1616"/>
      <c r="O52" s="1616"/>
      <c r="P52" s="1616"/>
      <c r="Q52" s="1616"/>
      <c r="R52" s="1616"/>
      <c r="S52" s="1616"/>
      <c r="T52" s="1616"/>
      <c r="U52" s="1616"/>
      <c r="V52" s="1616"/>
      <c r="W52" s="1616"/>
    </row>
    <row r="53" spans="1:23" s="966" customFormat="1" ht="16.5" customHeight="1" x14ac:dyDescent="0.2">
      <c r="B53" s="1616"/>
      <c r="C53" s="1616"/>
      <c r="D53" s="1616"/>
      <c r="E53" s="1616"/>
      <c r="F53" s="1616"/>
      <c r="G53" s="1616"/>
      <c r="H53" s="1616"/>
      <c r="I53" s="1616"/>
      <c r="J53" s="1616"/>
      <c r="K53" s="1616"/>
      <c r="L53" s="1616"/>
      <c r="M53" s="1616"/>
      <c r="N53" s="1616"/>
      <c r="O53" s="1616"/>
      <c r="P53" s="1616"/>
      <c r="Q53" s="1616"/>
      <c r="R53" s="1616"/>
      <c r="S53" s="1616"/>
      <c r="T53" s="1616"/>
      <c r="U53" s="1616"/>
      <c r="V53" s="1616"/>
      <c r="W53" s="1616"/>
    </row>
    <row r="55" spans="1:23" x14ac:dyDescent="0.2">
      <c r="E55" s="970">
        <f>+E37-E21</f>
        <v>428842</v>
      </c>
    </row>
    <row r="59" spans="1:23" x14ac:dyDescent="0.2">
      <c r="E59" s="1371"/>
    </row>
    <row r="79" s="202" customFormat="1" x14ac:dyDescent="0.2"/>
    <row r="80" s="202" customFormat="1" x14ac:dyDescent="0.2"/>
    <row r="81" s="202" customFormat="1" x14ac:dyDescent="0.2"/>
    <row r="82" s="202" customFormat="1" x14ac:dyDescent="0.2"/>
    <row r="83" s="202" customFormat="1" x14ac:dyDescent="0.2"/>
    <row r="84" s="202" customFormat="1" x14ac:dyDescent="0.2"/>
    <row r="85" s="202" customFormat="1" x14ac:dyDescent="0.2"/>
    <row r="135" spans="7:7" s="202" customFormat="1" x14ac:dyDescent="0.2">
      <c r="G135" s="202">
        <v>21</v>
      </c>
    </row>
  </sheetData>
  <mergeCells count="49">
    <mergeCell ref="A29:B29"/>
    <mergeCell ref="B52:W53"/>
    <mergeCell ref="B48:W49"/>
    <mergeCell ref="B45:W46"/>
    <mergeCell ref="A37:B37"/>
    <mergeCell ref="A30:B30"/>
    <mergeCell ref="A31:B31"/>
    <mergeCell ref="A32:B32"/>
    <mergeCell ref="A33:B33"/>
    <mergeCell ref="A34:B34"/>
    <mergeCell ref="A35:B35"/>
    <mergeCell ref="A36:B36"/>
    <mergeCell ref="B42:W42"/>
    <mergeCell ref="A21:B21"/>
    <mergeCell ref="A15:B15"/>
    <mergeCell ref="N10:O10"/>
    <mergeCell ref="S10:T10"/>
    <mergeCell ref="A10:B10"/>
    <mergeCell ref="D10:E10"/>
    <mergeCell ref="G10:H10"/>
    <mergeCell ref="P10:Q10"/>
    <mergeCell ref="K10:L10"/>
    <mergeCell ref="A25:B25"/>
    <mergeCell ref="A26:B26"/>
    <mergeCell ref="A27:B27"/>
    <mergeCell ref="A28:B28"/>
    <mergeCell ref="V10:W10"/>
    <mergeCell ref="A12:B12"/>
    <mergeCell ref="A13:B13"/>
    <mergeCell ref="A14:B14"/>
    <mergeCell ref="A22:B22"/>
    <mergeCell ref="A23:B23"/>
    <mergeCell ref="A24:B24"/>
    <mergeCell ref="A16:B16"/>
    <mergeCell ref="A17:B17"/>
    <mergeCell ref="A18:B18"/>
    <mergeCell ref="A19:B19"/>
    <mergeCell ref="A20:B20"/>
    <mergeCell ref="A1:W1"/>
    <mergeCell ref="K8:L8"/>
    <mergeCell ref="N8:O8"/>
    <mergeCell ref="S8:T8"/>
    <mergeCell ref="A9:B9"/>
    <mergeCell ref="D9:E9"/>
    <mergeCell ref="G9:H9"/>
    <mergeCell ref="P9:Q9"/>
    <mergeCell ref="K9:L9"/>
    <mergeCell ref="N9:O9"/>
    <mergeCell ref="S9:T9"/>
  </mergeCells>
  <phoneticPr fontId="9" type="noConversion"/>
  <printOptions horizontalCentered="1"/>
  <pageMargins left="0.5" right="0.5" top="0.5" bottom="0.625" header="0.5" footer="0.5"/>
  <pageSetup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tabColor theme="6" tint="0.39997558519241921"/>
    <pageSetUpPr fitToPage="1"/>
  </sheetPr>
  <dimension ref="A7:N201"/>
  <sheetViews>
    <sheetView topLeftCell="A55" zoomScale="85" workbookViewId="0">
      <selection activeCell="A91" sqref="A91"/>
    </sheetView>
  </sheetViews>
  <sheetFormatPr defaultColWidth="9.140625" defaultRowHeight="15" x14ac:dyDescent="0.25"/>
  <cols>
    <col min="1" max="1" width="9.140625" style="95"/>
    <col min="2" max="2" width="34" style="95" customWidth="1"/>
    <col min="3" max="4" width="20.85546875" style="152" customWidth="1"/>
    <col min="5" max="5" width="20.85546875" style="95" customWidth="1"/>
    <col min="6" max="6" width="3.140625" style="95" customWidth="1"/>
    <col min="7" max="8" width="12.140625" style="95" customWidth="1"/>
    <col min="9" max="9" width="3.140625" style="95" customWidth="1"/>
    <col min="10" max="11" width="12.140625" style="152" customWidth="1"/>
    <col min="12" max="12" width="9.140625" style="95"/>
    <col min="13" max="13" width="15.140625" style="95" customWidth="1"/>
    <col min="14" max="16384" width="9.140625" style="95"/>
  </cols>
  <sheetData>
    <row r="7" spans="2:4" x14ac:dyDescent="0.25">
      <c r="B7" s="95" t="s">
        <v>498</v>
      </c>
      <c r="C7" s="151">
        <f>SONP!G86</f>
        <v>3449966</v>
      </c>
    </row>
    <row r="8" spans="2:4" x14ac:dyDescent="0.25">
      <c r="B8" s="95" t="s">
        <v>499</v>
      </c>
      <c r="C8" s="151">
        <f>SONP!G85</f>
        <v>-629584</v>
      </c>
    </row>
    <row r="9" spans="2:4" x14ac:dyDescent="0.25">
      <c r="B9" s="95" t="s">
        <v>500</v>
      </c>
      <c r="C9" s="151">
        <f>'BSGF-major'!Y68</f>
        <v>2089186</v>
      </c>
    </row>
    <row r="10" spans="2:4" x14ac:dyDescent="0.25">
      <c r="B10" s="95" t="s">
        <v>501</v>
      </c>
      <c r="C10" s="151">
        <f>'SORECGF-major'!Y77</f>
        <v>147951</v>
      </c>
    </row>
    <row r="11" spans="2:4" x14ac:dyDescent="0.25">
      <c r="B11" s="95" t="s">
        <v>33</v>
      </c>
      <c r="C11" s="151" t="e">
        <f>'BSGF-major'!Y62+'BSGF-major'!Y63+'BSGF-major'!#REF!+'BSGF-major'!Y64+'BSGF-major'!Y65+'BSGF-major'!Y66</f>
        <v>#REF!</v>
      </c>
    </row>
    <row r="12" spans="2:4" x14ac:dyDescent="0.25">
      <c r="B12" s="175" t="s">
        <v>502</v>
      </c>
      <c r="C12" s="151">
        <v>0</v>
      </c>
    </row>
    <row r="13" spans="2:4" x14ac:dyDescent="0.25">
      <c r="B13" s="175" t="s">
        <v>503</v>
      </c>
      <c r="C13" s="151">
        <v>0</v>
      </c>
    </row>
    <row r="14" spans="2:4" x14ac:dyDescent="0.25">
      <c r="B14" s="95" t="s">
        <v>567</v>
      </c>
      <c r="C14" s="151">
        <f>'BSGF-major'!C66</f>
        <v>369119</v>
      </c>
    </row>
    <row r="15" spans="2:4" x14ac:dyDescent="0.25">
      <c r="B15" s="175" t="s">
        <v>504</v>
      </c>
      <c r="C15" s="153">
        <f>C14/'SORECGF-major'!C58</f>
        <v>0.24097169723866263</v>
      </c>
      <c r="D15" s="152">
        <f>'SORECGF-major'!C58</f>
        <v>1531794</v>
      </c>
    </row>
    <row r="17" spans="1:11" x14ac:dyDescent="0.25">
      <c r="B17" s="155"/>
      <c r="C17" s="1620" t="s">
        <v>498</v>
      </c>
      <c r="D17" s="1620"/>
      <c r="E17" s="1620"/>
      <c r="F17" s="155"/>
      <c r="G17" s="155"/>
    </row>
    <row r="18" spans="1:11" x14ac:dyDescent="0.25">
      <c r="B18" s="155"/>
      <c r="C18" s="1621" t="s">
        <v>843</v>
      </c>
      <c r="D18" s="1621"/>
      <c r="E18" s="1621"/>
      <c r="F18" s="155"/>
      <c r="G18" s="155"/>
      <c r="J18" s="184"/>
      <c r="K18" s="184"/>
    </row>
    <row r="19" spans="1:11" x14ac:dyDescent="0.25">
      <c r="A19" s="157"/>
      <c r="B19" s="157"/>
      <c r="C19" s="157"/>
      <c r="D19" s="158"/>
      <c r="E19" s="157"/>
      <c r="F19" s="157"/>
      <c r="G19" s="157"/>
    </row>
    <row r="20" spans="1:11" x14ac:dyDescent="0.25">
      <c r="A20" s="157"/>
      <c r="B20" s="157"/>
      <c r="C20" s="154" t="s">
        <v>1068</v>
      </c>
      <c r="D20" s="159" t="s">
        <v>505</v>
      </c>
      <c r="E20" s="154" t="s">
        <v>725</v>
      </c>
      <c r="G20" s="157"/>
    </row>
    <row r="21" spans="1:11" x14ac:dyDescent="0.25">
      <c r="A21" s="157"/>
      <c r="B21" s="157"/>
      <c r="C21" s="156" t="s">
        <v>767</v>
      </c>
      <c r="D21" s="160" t="s">
        <v>767</v>
      </c>
      <c r="E21" s="156" t="s">
        <v>506</v>
      </c>
      <c r="G21" s="157"/>
    </row>
    <row r="22" spans="1:11" x14ac:dyDescent="0.25">
      <c r="B22" s="157" t="s">
        <v>507</v>
      </c>
      <c r="C22" s="161">
        <f>SONP!C50-SONP!C37-SONP!C36</f>
        <v>3132604</v>
      </c>
      <c r="D22" s="162">
        <f>+SONP!E50-SONP!E37-SONP!E36</f>
        <v>686493</v>
      </c>
      <c r="E22" s="161">
        <f>SUM(C22+D22)</f>
        <v>3819097</v>
      </c>
      <c r="G22" s="157"/>
    </row>
    <row r="23" spans="1:11" x14ac:dyDescent="0.25">
      <c r="B23" s="157" t="s">
        <v>1011</v>
      </c>
      <c r="C23" s="161">
        <f>+SONP!C36+SONP!C37</f>
        <v>5884626</v>
      </c>
      <c r="D23" s="162">
        <f>+SONP!E37+SONP!E36</f>
        <v>798861</v>
      </c>
      <c r="E23" s="161">
        <f>SUM(C23+D23)</f>
        <v>6683487</v>
      </c>
      <c r="G23" s="157"/>
    </row>
    <row r="24" spans="1:11" x14ac:dyDescent="0.25">
      <c r="B24" s="176" t="s">
        <v>687</v>
      </c>
      <c r="C24" s="163">
        <f>SUM(C22:C23)</f>
        <v>9017230</v>
      </c>
      <c r="D24" s="164">
        <f>SUM(D22:D23)</f>
        <v>1485354</v>
      </c>
      <c r="E24" s="163">
        <f>SUM(E22:E23)</f>
        <v>10502584</v>
      </c>
      <c r="G24" s="157"/>
    </row>
    <row r="25" spans="1:11" x14ac:dyDescent="0.25">
      <c r="B25" s="157"/>
      <c r="C25" s="165"/>
      <c r="D25" s="158"/>
      <c r="E25" s="165"/>
      <c r="G25" s="157"/>
    </row>
    <row r="26" spans="1:11" x14ac:dyDescent="0.25">
      <c r="B26" s="157" t="s">
        <v>508</v>
      </c>
      <c r="C26" s="161">
        <f>+SONP!C71-SONP!C69-SONP!C66</f>
        <v>457219</v>
      </c>
      <c r="D26" s="162">
        <f>+SONP!E71-SONP!E69-SONP!E66</f>
        <v>73766</v>
      </c>
      <c r="E26" s="161">
        <f>SUM(C26+D26)</f>
        <v>530985</v>
      </c>
      <c r="G26" s="157"/>
    </row>
    <row r="27" spans="1:11" x14ac:dyDescent="0.25">
      <c r="B27" s="157" t="s">
        <v>509</v>
      </c>
      <c r="C27" s="161">
        <f>+SONP!C69+SONP!C66</f>
        <v>5972444</v>
      </c>
      <c r="D27" s="162">
        <f>+SONP!E69+SONP!E66</f>
        <v>790068</v>
      </c>
      <c r="E27" s="161">
        <f>SUM(C27+D27)</f>
        <v>6762512</v>
      </c>
      <c r="G27" s="157"/>
    </row>
    <row r="28" spans="1:11" x14ac:dyDescent="0.25">
      <c r="B28" s="176" t="s">
        <v>702</v>
      </c>
      <c r="C28" s="163">
        <f>SUM(C26:C27)</f>
        <v>6429663</v>
      </c>
      <c r="D28" s="164">
        <f>SUM(D26:D27)</f>
        <v>863834</v>
      </c>
      <c r="E28" s="163">
        <f>SUM(E26:E27)</f>
        <v>7293497</v>
      </c>
      <c r="G28" s="157"/>
    </row>
    <row r="29" spans="1:11" x14ac:dyDescent="0.25">
      <c r="B29" s="157"/>
      <c r="C29" s="165"/>
      <c r="D29" s="158"/>
      <c r="E29" s="165"/>
      <c r="G29" s="157"/>
    </row>
    <row r="30" spans="1:11" x14ac:dyDescent="0.25">
      <c r="B30" s="157" t="s">
        <v>703</v>
      </c>
      <c r="C30" s="165"/>
      <c r="D30" s="158"/>
      <c r="E30" s="165"/>
      <c r="G30" s="157"/>
    </row>
    <row r="31" spans="1:11" x14ac:dyDescent="0.25">
      <c r="B31" s="176" t="s">
        <v>510</v>
      </c>
      <c r="C31" s="165"/>
      <c r="D31" s="158"/>
      <c r="E31" s="165"/>
      <c r="G31" s="157"/>
    </row>
    <row r="32" spans="1:11" x14ac:dyDescent="0.25">
      <c r="B32" s="177" t="s">
        <v>511</v>
      </c>
      <c r="C32" s="161">
        <f>+SONP!C76</f>
        <v>3241934</v>
      </c>
      <c r="D32" s="162">
        <f>+SONP!E76</f>
        <v>322560</v>
      </c>
      <c r="E32" s="161">
        <f>SUM(C32+D32)</f>
        <v>3564494</v>
      </c>
      <c r="G32" s="157"/>
    </row>
    <row r="33" spans="1:11" x14ac:dyDescent="0.25">
      <c r="B33" s="176" t="s">
        <v>789</v>
      </c>
      <c r="C33" s="161">
        <f>SUM(SONP!C78:C83)</f>
        <v>208537</v>
      </c>
      <c r="D33" s="162">
        <f>SUM(SONP!E78:E83)</f>
        <v>306519</v>
      </c>
      <c r="E33" s="161">
        <f>SUM(C33+D33)</f>
        <v>515056</v>
      </c>
      <c r="G33" s="157"/>
    </row>
    <row r="34" spans="1:11" x14ac:dyDescent="0.25">
      <c r="B34" s="176" t="s">
        <v>711</v>
      </c>
      <c r="C34" s="161">
        <f>+SONP!C85</f>
        <v>-536384</v>
      </c>
      <c r="D34" s="162">
        <f>+SONP!E85</f>
        <v>-93200</v>
      </c>
      <c r="E34" s="161">
        <f>SUM(C34+D34)</f>
        <v>-629584</v>
      </c>
      <c r="G34" s="157"/>
    </row>
    <row r="35" spans="1:11" ht="15.75" thickBot="1" x14ac:dyDescent="0.3">
      <c r="B35" s="177" t="s">
        <v>712</v>
      </c>
      <c r="C35" s="166">
        <f>SUM(C32:C34)</f>
        <v>2914087</v>
      </c>
      <c r="D35" s="167">
        <f>SUM(D32:D34)</f>
        <v>535879</v>
      </c>
      <c r="E35" s="166">
        <f>SUM(E32:E34)</f>
        <v>3449966</v>
      </c>
      <c r="G35" s="157"/>
    </row>
    <row r="36" spans="1:11" ht="15.75" thickTop="1" x14ac:dyDescent="0.25">
      <c r="A36" s="157"/>
      <c r="B36" s="157"/>
      <c r="C36" s="157"/>
      <c r="D36" s="158"/>
      <c r="E36" s="157"/>
      <c r="F36" s="157"/>
      <c r="G36" s="157"/>
    </row>
    <row r="37" spans="1:11" s="118" customFormat="1" x14ac:dyDescent="0.25">
      <c r="C37" s="168">
        <f>+C24-C28</f>
        <v>2587567</v>
      </c>
      <c r="D37" s="168">
        <f>+D24-D28</f>
        <v>621520</v>
      </c>
      <c r="J37" s="169"/>
      <c r="K37" s="169"/>
    </row>
    <row r="38" spans="1:11" s="118" customFormat="1" x14ac:dyDescent="0.25">
      <c r="B38" s="178" t="s">
        <v>497</v>
      </c>
      <c r="C38" s="168">
        <f>+C35-C37</f>
        <v>326520</v>
      </c>
      <c r="D38" s="168">
        <f>+D35-D37</f>
        <v>-85641</v>
      </c>
      <c r="J38" s="169"/>
      <c r="K38" s="169"/>
    </row>
    <row r="40" spans="1:11" x14ac:dyDescent="0.25">
      <c r="B40" s="95" t="s">
        <v>512</v>
      </c>
      <c r="C40" s="151">
        <f>+C7</f>
        <v>3449966</v>
      </c>
    </row>
    <row r="41" spans="1:11" x14ac:dyDescent="0.25">
      <c r="B41" s="95" t="s">
        <v>513</v>
      </c>
      <c r="C41" s="151">
        <f>+E32</f>
        <v>3564494</v>
      </c>
    </row>
    <row r="42" spans="1:11" x14ac:dyDescent="0.25">
      <c r="B42" s="95" t="s">
        <v>515</v>
      </c>
      <c r="C42" s="153">
        <f>+C41/C40</f>
        <v>1.0331968488964818</v>
      </c>
    </row>
    <row r="43" spans="1:11" x14ac:dyDescent="0.25">
      <c r="C43" s="169"/>
    </row>
    <row r="44" spans="1:11" x14ac:dyDescent="0.25">
      <c r="B44" s="95" t="s">
        <v>514</v>
      </c>
      <c r="C44" s="151">
        <f>E33</f>
        <v>515056</v>
      </c>
    </row>
    <row r="45" spans="1:11" x14ac:dyDescent="0.25">
      <c r="C45" s="153">
        <f>C44/C40</f>
        <v>0.14929306549687735</v>
      </c>
    </row>
    <row r="46" spans="1:11" x14ac:dyDescent="0.25">
      <c r="B46" s="95" t="s">
        <v>711</v>
      </c>
      <c r="C46" s="151">
        <f>E34</f>
        <v>-629584</v>
      </c>
    </row>
    <row r="47" spans="1:11" x14ac:dyDescent="0.25">
      <c r="B47" s="95" t="s">
        <v>516</v>
      </c>
      <c r="C47" s="153">
        <f>C46/C40</f>
        <v>-0.18248991439335924</v>
      </c>
    </row>
    <row r="48" spans="1:11" x14ac:dyDescent="0.25">
      <c r="C48" s="170"/>
    </row>
    <row r="49" spans="2:14" x14ac:dyDescent="0.25">
      <c r="C49" s="170"/>
    </row>
    <row r="50" spans="2:14" x14ac:dyDescent="0.25">
      <c r="G50" s="159" t="s">
        <v>541</v>
      </c>
      <c r="H50" s="159" t="s">
        <v>542</v>
      </c>
    </row>
    <row r="51" spans="2:14" x14ac:dyDescent="0.25">
      <c r="C51" s="159" t="s">
        <v>1068</v>
      </c>
      <c r="D51" s="159" t="s">
        <v>505</v>
      </c>
      <c r="E51" s="159" t="s">
        <v>725</v>
      </c>
      <c r="G51" s="159" t="s">
        <v>543</v>
      </c>
      <c r="H51" s="159" t="s">
        <v>543</v>
      </c>
    </row>
    <row r="52" spans="2:14" x14ac:dyDescent="0.25">
      <c r="C52" s="160" t="s">
        <v>767</v>
      </c>
      <c r="D52" s="160" t="s">
        <v>767</v>
      </c>
      <c r="E52" s="160" t="s">
        <v>506</v>
      </c>
      <c r="G52" s="160" t="s">
        <v>544</v>
      </c>
      <c r="H52" s="160" t="s">
        <v>544</v>
      </c>
      <c r="J52" s="160" t="s">
        <v>1002</v>
      </c>
      <c r="K52" s="183" t="s">
        <v>1003</v>
      </c>
    </row>
    <row r="53" spans="2:14" x14ac:dyDescent="0.25">
      <c r="B53" s="179" t="s">
        <v>799</v>
      </c>
      <c r="C53" s="158"/>
      <c r="D53" s="158"/>
      <c r="E53" s="152"/>
    </row>
    <row r="54" spans="2:14" x14ac:dyDescent="0.25">
      <c r="B54" s="177" t="s">
        <v>948</v>
      </c>
      <c r="C54" s="162">
        <f>SOActivities!E27</f>
        <v>251312</v>
      </c>
      <c r="D54" s="171">
        <f>+SOActivities!E36</f>
        <v>358574</v>
      </c>
      <c r="E54" s="171">
        <f>SUM(C54:D54)</f>
        <v>609886</v>
      </c>
      <c r="G54" s="170">
        <f>ROUND((C54/$C$63),3)</f>
        <v>8.4000000000000005E-2</v>
      </c>
      <c r="H54" s="170">
        <f>ROUND((D54/$D$63),3)</f>
        <v>0.79800000000000004</v>
      </c>
      <c r="J54" s="152">
        <v>176136</v>
      </c>
      <c r="K54" s="152">
        <f>+C54-J54</f>
        <v>75176</v>
      </c>
      <c r="M54" s="189">
        <f>+C54/$C$63</f>
        <v>8.3591641235021663E-2</v>
      </c>
      <c r="N54" s="95">
        <v>0.11</v>
      </c>
    </row>
    <row r="55" spans="2:14" x14ac:dyDescent="0.25">
      <c r="B55" s="177" t="s">
        <v>801</v>
      </c>
      <c r="C55" s="162">
        <f>+SOActivities!G27</f>
        <v>472237</v>
      </c>
      <c r="D55" s="171">
        <f>+SOActivities!G36</f>
        <v>36</v>
      </c>
      <c r="E55" s="171">
        <f t="shared" ref="E55:E62" si="0">SUM(C55:D55)</f>
        <v>472273</v>
      </c>
      <c r="G55" s="170">
        <f t="shared" ref="G55:G62" si="1">ROUND((C55/$C$63),3)</f>
        <v>0.157</v>
      </c>
      <c r="H55" s="170">
        <f t="shared" ref="H55:H62" si="2">ROUND((D55/$D$63),3)</f>
        <v>0</v>
      </c>
      <c r="J55" s="152">
        <v>206356</v>
      </c>
      <c r="K55" s="152">
        <f t="shared" ref="K55:K62" si="3">+C55-J55</f>
        <v>265881</v>
      </c>
      <c r="M55" s="189">
        <f t="shared" ref="M55:M62" si="4">+C55/$C$63</f>
        <v>0.15707592905194709</v>
      </c>
      <c r="N55" s="95">
        <v>0.16200000000000001</v>
      </c>
    </row>
    <row r="56" spans="2:14" x14ac:dyDescent="0.25">
      <c r="B56" s="177" t="s">
        <v>802</v>
      </c>
      <c r="C56" s="162">
        <f>+SOActivities!I27</f>
        <v>54585</v>
      </c>
      <c r="D56" s="171">
        <f>+SOActivities!I36</f>
        <v>53849</v>
      </c>
      <c r="E56" s="171">
        <f t="shared" si="0"/>
        <v>108434</v>
      </c>
      <c r="G56" s="170">
        <f t="shared" si="1"/>
        <v>1.7999999999999999E-2</v>
      </c>
      <c r="H56" s="170">
        <f t="shared" si="2"/>
        <v>0.12</v>
      </c>
      <c r="J56" s="152">
        <v>81114</v>
      </c>
      <c r="K56" s="152">
        <f t="shared" si="3"/>
        <v>-26529</v>
      </c>
      <c r="M56" s="189">
        <f t="shared" si="4"/>
        <v>1.8156115652311299E-2</v>
      </c>
      <c r="N56" s="95">
        <v>6.2E-2</v>
      </c>
    </row>
    <row r="57" spans="2:14" x14ac:dyDescent="0.25">
      <c r="B57" s="179" t="s">
        <v>773</v>
      </c>
      <c r="C57" s="162"/>
      <c r="D57" s="171"/>
      <c r="E57" s="171">
        <f t="shared" si="0"/>
        <v>0</v>
      </c>
      <c r="G57" s="170">
        <f t="shared" si="1"/>
        <v>0</v>
      </c>
      <c r="H57" s="170">
        <f t="shared" si="2"/>
        <v>0</v>
      </c>
      <c r="K57" s="152">
        <f t="shared" si="3"/>
        <v>0</v>
      </c>
      <c r="M57" s="189">
        <f t="shared" si="4"/>
        <v>0</v>
      </c>
      <c r="N57" s="95">
        <v>0</v>
      </c>
    </row>
    <row r="58" spans="2:14" x14ac:dyDescent="0.25">
      <c r="B58" s="177" t="s">
        <v>870</v>
      </c>
      <c r="C58" s="162">
        <f>+SOActivities!K57</f>
        <v>809895</v>
      </c>
      <c r="D58" s="171"/>
      <c r="E58" s="171">
        <f t="shared" si="0"/>
        <v>809895</v>
      </c>
      <c r="G58" s="170">
        <f t="shared" si="1"/>
        <v>0.26900000000000002</v>
      </c>
      <c r="H58" s="170">
        <f t="shared" si="2"/>
        <v>0</v>
      </c>
      <c r="J58" s="152">
        <v>407183</v>
      </c>
      <c r="K58" s="152">
        <f t="shared" si="3"/>
        <v>402712</v>
      </c>
      <c r="M58" s="189">
        <f t="shared" si="4"/>
        <v>0.26938806057027864</v>
      </c>
      <c r="N58" s="95">
        <v>0.255</v>
      </c>
    </row>
    <row r="59" spans="2:14" x14ac:dyDescent="0.25">
      <c r="B59" s="177" t="s">
        <v>517</v>
      </c>
      <c r="C59" s="162">
        <f>+SOActivities!K58+SOActivities!K59+SOActivities!K60+SOActivities!K61+SOActivities!K62</f>
        <v>678310</v>
      </c>
      <c r="D59" s="171"/>
      <c r="E59" s="171">
        <f t="shared" si="0"/>
        <v>678310</v>
      </c>
      <c r="G59" s="170">
        <f t="shared" si="1"/>
        <v>0.22600000000000001</v>
      </c>
      <c r="H59" s="170">
        <f t="shared" si="2"/>
        <v>0</v>
      </c>
      <c r="J59" s="152">
        <v>323467</v>
      </c>
      <c r="K59" s="152">
        <f t="shared" si="3"/>
        <v>354843</v>
      </c>
      <c r="M59" s="189">
        <f t="shared" si="4"/>
        <v>0.2256201302211098</v>
      </c>
      <c r="N59" s="95">
        <v>0.20699999999999999</v>
      </c>
    </row>
    <row r="60" spans="2:14" x14ac:dyDescent="0.25">
      <c r="B60" s="177" t="s">
        <v>947</v>
      </c>
      <c r="C60" s="162">
        <f>+SOActivities!K63</f>
        <v>500488</v>
      </c>
      <c r="D60" s="171"/>
      <c r="E60" s="171">
        <f t="shared" si="0"/>
        <v>500488</v>
      </c>
      <c r="G60" s="170">
        <f t="shared" si="1"/>
        <v>0.16600000000000001</v>
      </c>
      <c r="H60" s="170">
        <f t="shared" si="2"/>
        <v>0</v>
      </c>
      <c r="J60" s="152">
        <v>275993</v>
      </c>
      <c r="K60" s="152">
        <f t="shared" si="3"/>
        <v>224495</v>
      </c>
      <c r="M60" s="189">
        <f t="shared" si="4"/>
        <v>0.16647280407793311</v>
      </c>
      <c r="N60" s="95">
        <v>0.184</v>
      </c>
    </row>
    <row r="61" spans="2:14" x14ac:dyDescent="0.25">
      <c r="B61" s="177" t="s">
        <v>774</v>
      </c>
      <c r="C61" s="162">
        <f>+SOActivities!K64</f>
        <v>137959</v>
      </c>
      <c r="D61" s="171">
        <f>+SOActivities!M64</f>
        <v>35322</v>
      </c>
      <c r="E61" s="171">
        <f t="shared" si="0"/>
        <v>173281</v>
      </c>
      <c r="G61" s="170">
        <f t="shared" si="1"/>
        <v>4.5999999999999999E-2</v>
      </c>
      <c r="H61" s="170">
        <f t="shared" si="2"/>
        <v>7.9000000000000001E-2</v>
      </c>
      <c r="J61" s="152">
        <v>17500</v>
      </c>
      <c r="K61" s="152">
        <f t="shared" si="3"/>
        <v>120459</v>
      </c>
      <c r="M61" s="189">
        <f t="shared" si="4"/>
        <v>4.5888056412516524E-2</v>
      </c>
      <c r="N61" s="95">
        <v>4.0000000000000001E-3</v>
      </c>
    </row>
    <row r="62" spans="2:14" x14ac:dyDescent="0.25">
      <c r="B62" s="177" t="s">
        <v>775</v>
      </c>
      <c r="C62" s="162">
        <f>+SOActivities!K65</f>
        <v>101639</v>
      </c>
      <c r="D62" s="171">
        <f>SOActivities!M65</f>
        <v>1639</v>
      </c>
      <c r="E62" s="171">
        <f t="shared" si="0"/>
        <v>103278</v>
      </c>
      <c r="G62" s="170">
        <f t="shared" si="1"/>
        <v>3.4000000000000002E-2</v>
      </c>
      <c r="H62" s="170">
        <f t="shared" si="2"/>
        <v>4.0000000000000001E-3</v>
      </c>
      <c r="J62" s="152">
        <v>24017</v>
      </c>
      <c r="K62" s="152">
        <f t="shared" si="3"/>
        <v>77622</v>
      </c>
      <c r="M62" s="189">
        <f t="shared" si="4"/>
        <v>3.3807262778881894E-2</v>
      </c>
      <c r="N62" s="95">
        <v>1.6E-2</v>
      </c>
    </row>
    <row r="63" spans="2:14" x14ac:dyDescent="0.25">
      <c r="B63" s="157" t="s">
        <v>950</v>
      </c>
      <c r="C63" s="164">
        <f>SUM(C54:C62)</f>
        <v>3006425</v>
      </c>
      <c r="D63" s="164">
        <f>SUM(D54:D62)</f>
        <v>449420</v>
      </c>
      <c r="E63" s="164">
        <f>SUM(E54:E62)</f>
        <v>3455845</v>
      </c>
      <c r="G63" s="172">
        <f>SUM(G54:G62)</f>
        <v>1</v>
      </c>
      <c r="H63" s="172">
        <f>SUM(H54:H62)</f>
        <v>1.0009999999999999</v>
      </c>
      <c r="J63" s="185">
        <f>SUM(J54:J62)</f>
        <v>1511766</v>
      </c>
      <c r="K63" s="185">
        <f>SUM(K54:K62)</f>
        <v>1494659</v>
      </c>
    </row>
    <row r="64" spans="2:14" x14ac:dyDescent="0.25">
      <c r="B64" s="157"/>
      <c r="C64" s="162"/>
      <c r="D64" s="171"/>
      <c r="E64" s="171"/>
    </row>
    <row r="65" spans="2:11" x14ac:dyDescent="0.25">
      <c r="B65" s="157" t="s">
        <v>790</v>
      </c>
      <c r="C65" s="162"/>
      <c r="D65" s="171"/>
      <c r="E65" s="171"/>
      <c r="J65" s="152" t="s">
        <v>768</v>
      </c>
    </row>
    <row r="66" spans="2:11" x14ac:dyDescent="0.25">
      <c r="B66" s="179" t="s">
        <v>1049</v>
      </c>
      <c r="C66" s="162"/>
      <c r="D66" s="171"/>
      <c r="E66" s="171"/>
    </row>
    <row r="67" spans="2:11" x14ac:dyDescent="0.25">
      <c r="B67" s="177" t="s">
        <v>1051</v>
      </c>
      <c r="C67" s="162"/>
      <c r="D67" s="171"/>
      <c r="E67" s="171"/>
      <c r="G67" s="160" t="s">
        <v>875</v>
      </c>
      <c r="H67" s="183" t="s">
        <v>1003</v>
      </c>
    </row>
    <row r="68" spans="2:11" x14ac:dyDescent="0.25">
      <c r="B68" s="180" t="s">
        <v>953</v>
      </c>
      <c r="C68" s="162">
        <f>+SOActivities!C12</f>
        <v>195810</v>
      </c>
      <c r="D68" s="171"/>
      <c r="E68" s="171">
        <f t="shared" ref="E68:E82" si="5">SUM(C68:D68)</f>
        <v>195810</v>
      </c>
      <c r="G68" s="169">
        <v>92415</v>
      </c>
      <c r="H68" s="169">
        <f>+C68-G68</f>
        <v>103395</v>
      </c>
      <c r="I68" s="118"/>
      <c r="J68" s="169">
        <f>SOActivities!E12+SOActivities!G12+SOActivities!I12</f>
        <v>35094</v>
      </c>
      <c r="K68" s="169"/>
    </row>
    <row r="69" spans="2:11" x14ac:dyDescent="0.25">
      <c r="B69" s="180" t="s">
        <v>954</v>
      </c>
      <c r="C69" s="162">
        <f>+SOActivities!C13</f>
        <v>1027190</v>
      </c>
      <c r="D69" s="171"/>
      <c r="E69" s="171">
        <f t="shared" si="5"/>
        <v>1027190</v>
      </c>
      <c r="G69" s="169">
        <v>497274</v>
      </c>
      <c r="H69" s="169">
        <f t="shared" ref="H69:H79" si="6">+C69-G69</f>
        <v>529916</v>
      </c>
      <c r="I69" s="118"/>
      <c r="J69" s="169">
        <f>SOActivities!E13+SOActivities!G13+SOActivities!I13</f>
        <v>153897</v>
      </c>
      <c r="K69" s="169"/>
    </row>
    <row r="70" spans="2:11" x14ac:dyDescent="0.25">
      <c r="B70" s="180" t="s">
        <v>955</v>
      </c>
      <c r="C70" s="162">
        <f>+SOActivities!C14</f>
        <v>438995</v>
      </c>
      <c r="D70" s="171"/>
      <c r="E70" s="171">
        <f t="shared" si="5"/>
        <v>438995</v>
      </c>
      <c r="G70" s="169">
        <v>212256</v>
      </c>
      <c r="H70" s="169">
        <f t="shared" si="6"/>
        <v>226739</v>
      </c>
      <c r="I70" s="118"/>
      <c r="J70" s="169">
        <f>SOActivities!E14+SOActivities!G14+SOActivities!I14</f>
        <v>134498</v>
      </c>
      <c r="K70" s="169"/>
    </row>
    <row r="71" spans="2:11" x14ac:dyDescent="0.25">
      <c r="B71" s="180" t="s">
        <v>958</v>
      </c>
      <c r="C71" s="162">
        <f>+SOActivities!C15</f>
        <v>13297</v>
      </c>
      <c r="D71" s="171"/>
      <c r="E71" s="171">
        <f t="shared" si="5"/>
        <v>13297</v>
      </c>
      <c r="G71" s="169">
        <v>3953</v>
      </c>
      <c r="H71" s="169">
        <f t="shared" si="6"/>
        <v>9344</v>
      </c>
      <c r="I71" s="118"/>
      <c r="J71" s="169">
        <f>SOActivities!E15+SOActivities!G15+SOActivities!I15</f>
        <v>11379</v>
      </c>
      <c r="K71" s="169"/>
    </row>
    <row r="72" spans="2:11" x14ac:dyDescent="0.25">
      <c r="B72" s="180" t="s">
        <v>956</v>
      </c>
      <c r="C72" s="162">
        <f>+SOActivities!C16</f>
        <v>124759</v>
      </c>
      <c r="D72" s="171"/>
      <c r="E72" s="171">
        <f t="shared" si="5"/>
        <v>124759</v>
      </c>
      <c r="G72" s="169">
        <v>92351</v>
      </c>
      <c r="H72" s="169">
        <f t="shared" si="6"/>
        <v>32408</v>
      </c>
      <c r="I72" s="118"/>
      <c r="J72" s="169">
        <f>SOActivities!E16+SOActivities!G16+SOActivities!I16</f>
        <v>66030</v>
      </c>
      <c r="K72" s="169"/>
    </row>
    <row r="73" spans="2:11" x14ac:dyDescent="0.25">
      <c r="B73" s="180" t="s">
        <v>961</v>
      </c>
      <c r="C73" s="162">
        <f>+SOActivities!C17</f>
        <v>258340</v>
      </c>
      <c r="D73" s="171"/>
      <c r="E73" s="171">
        <f t="shared" si="5"/>
        <v>258340</v>
      </c>
      <c r="G73" s="169">
        <v>145386</v>
      </c>
      <c r="H73" s="169">
        <f t="shared" si="6"/>
        <v>112954</v>
      </c>
      <c r="I73" s="118"/>
      <c r="J73" s="169">
        <f>SOActivities!E17+SOActivities!G17+SOActivities!I17</f>
        <v>93006</v>
      </c>
      <c r="K73" s="169"/>
    </row>
    <row r="74" spans="2:11" x14ac:dyDescent="0.25">
      <c r="B74" s="180" t="s">
        <v>960</v>
      </c>
      <c r="C74" s="162">
        <f>+SOActivities!C18</f>
        <v>92716</v>
      </c>
      <c r="D74" s="171"/>
      <c r="E74" s="171">
        <f t="shared" si="5"/>
        <v>92716</v>
      </c>
      <c r="G74" s="169">
        <v>42512</v>
      </c>
      <c r="H74" s="169">
        <f t="shared" si="6"/>
        <v>50204</v>
      </c>
      <c r="I74" s="118"/>
      <c r="J74" s="169">
        <f>SOActivities!E18+SOActivities!G18+SOActivities!I18</f>
        <v>7950</v>
      </c>
      <c r="K74" s="169"/>
    </row>
    <row r="75" spans="2:11" x14ac:dyDescent="0.25">
      <c r="B75" s="180" t="s">
        <v>963</v>
      </c>
      <c r="C75" s="162">
        <f>+SOActivities!C19</f>
        <v>100428</v>
      </c>
      <c r="D75" s="171"/>
      <c r="E75" s="171">
        <f t="shared" si="5"/>
        <v>100428</v>
      </c>
      <c r="G75" s="169">
        <v>45533</v>
      </c>
      <c r="H75" s="169">
        <f t="shared" si="6"/>
        <v>54895</v>
      </c>
      <c r="I75" s="118"/>
      <c r="J75" s="169">
        <f>SOActivities!E19+SOActivities!G19+SOActivities!I19</f>
        <v>45290</v>
      </c>
      <c r="K75" s="169"/>
    </row>
    <row r="76" spans="2:11" x14ac:dyDescent="0.25">
      <c r="B76" s="180" t="s">
        <v>959</v>
      </c>
      <c r="C76" s="162">
        <f>+SOActivities!C20</f>
        <v>270173</v>
      </c>
      <c r="D76" s="171"/>
      <c r="E76" s="171">
        <f t="shared" si="5"/>
        <v>270173</v>
      </c>
      <c r="G76" s="169">
        <v>162956</v>
      </c>
      <c r="H76" s="169">
        <f t="shared" si="6"/>
        <v>107217</v>
      </c>
      <c r="I76" s="118"/>
      <c r="J76" s="169">
        <f>SOActivities!E20+SOActivities!G20+SOActivities!I20</f>
        <v>214547</v>
      </c>
      <c r="K76" s="169"/>
    </row>
    <row r="77" spans="2:11" x14ac:dyDescent="0.25">
      <c r="B77" s="180" t="s">
        <v>964</v>
      </c>
      <c r="C77" s="162">
        <f>+SOActivities!C22</f>
        <v>55479</v>
      </c>
      <c r="D77" s="171"/>
      <c r="E77" s="171">
        <f t="shared" si="5"/>
        <v>55479</v>
      </c>
      <c r="G77" s="169">
        <v>23260</v>
      </c>
      <c r="H77" s="169">
        <f t="shared" si="6"/>
        <v>32219</v>
      </c>
      <c r="I77" s="118"/>
      <c r="J77" s="169">
        <f>SOActivities!E22+SOActivities!G22+SOActivities!I22</f>
        <v>10909</v>
      </c>
      <c r="K77" s="169"/>
    </row>
    <row r="78" spans="2:11" x14ac:dyDescent="0.25">
      <c r="B78" s="180" t="s">
        <v>518</v>
      </c>
      <c r="C78" s="162">
        <f>SOActivities!C25+SOActivities!C24</f>
        <v>97675</v>
      </c>
      <c r="D78" s="171"/>
      <c r="E78" s="171">
        <f t="shared" si="5"/>
        <v>97675</v>
      </c>
      <c r="G78" s="169">
        <v>75108</v>
      </c>
      <c r="H78" s="169">
        <f t="shared" si="6"/>
        <v>22567</v>
      </c>
      <c r="I78" s="118"/>
      <c r="J78" s="169"/>
      <c r="K78" s="185">
        <f>SUM(J68:J77)</f>
        <v>772600</v>
      </c>
    </row>
    <row r="79" spans="2:11" x14ac:dyDescent="0.25">
      <c r="B79" s="181" t="s">
        <v>1056</v>
      </c>
      <c r="C79" s="162"/>
      <c r="D79" s="171"/>
      <c r="E79" s="171">
        <f t="shared" si="5"/>
        <v>0</v>
      </c>
      <c r="G79" s="169"/>
      <c r="H79" s="169">
        <f t="shared" si="6"/>
        <v>0</v>
      </c>
      <c r="I79" s="118"/>
      <c r="J79" s="169"/>
      <c r="K79" s="169"/>
    </row>
    <row r="80" spans="2:11" x14ac:dyDescent="0.25">
      <c r="B80" s="180" t="s">
        <v>769</v>
      </c>
      <c r="C80" s="162"/>
      <c r="D80" s="171">
        <f>+SOActivities!C30</f>
        <v>171412</v>
      </c>
      <c r="E80" s="171">
        <f t="shared" si="5"/>
        <v>171412</v>
      </c>
      <c r="G80" s="169">
        <v>81229</v>
      </c>
      <c r="H80" s="187">
        <f>+D80-G80</f>
        <v>90183</v>
      </c>
      <c r="I80" s="118"/>
      <c r="J80" s="187">
        <f>SOActivities!E30+SOActivities!G30+SOActivities!I30</f>
        <v>204177</v>
      </c>
      <c r="K80" s="169"/>
    </row>
    <row r="81" spans="2:11" x14ac:dyDescent="0.25">
      <c r="B81" s="180" t="s">
        <v>214</v>
      </c>
      <c r="C81" s="162"/>
      <c r="D81" s="171">
        <f>+SOActivities!C33</f>
        <v>9889</v>
      </c>
      <c r="E81" s="171">
        <f t="shared" si="5"/>
        <v>9889</v>
      </c>
      <c r="G81" s="169">
        <v>8984</v>
      </c>
      <c r="H81" s="187">
        <f>+D81-G81</f>
        <v>905</v>
      </c>
      <c r="I81" s="118"/>
      <c r="J81" s="187">
        <f>SOActivities!E33+SOActivities!G33+SOActivities!I33</f>
        <v>7534</v>
      </c>
      <c r="K81" s="169"/>
    </row>
    <row r="82" spans="2:11" x14ac:dyDescent="0.25">
      <c r="B82" s="180" t="s">
        <v>519</v>
      </c>
      <c r="C82" s="162"/>
      <c r="D82" s="171">
        <f>+SOActivities!C34</f>
        <v>144185</v>
      </c>
      <c r="E82" s="171">
        <f t="shared" si="5"/>
        <v>144185</v>
      </c>
      <c r="G82" s="169">
        <v>88900</v>
      </c>
      <c r="H82" s="187">
        <f>+D82-G82</f>
        <v>55285</v>
      </c>
      <c r="I82" s="118"/>
      <c r="J82" s="187">
        <f>SOActivities!E34+SOActivities!G34+SOActivities!I34</f>
        <v>152527</v>
      </c>
      <c r="K82" s="169"/>
    </row>
    <row r="83" spans="2:11" x14ac:dyDescent="0.25">
      <c r="B83" s="180" t="s">
        <v>210</v>
      </c>
      <c r="C83" s="162"/>
      <c r="D83" s="171">
        <f>+SOActivities!C32</f>
        <v>2901</v>
      </c>
      <c r="E83" s="171"/>
      <c r="G83" s="169"/>
      <c r="H83" s="187"/>
      <c r="I83" s="118"/>
      <c r="J83" s="187"/>
      <c r="K83" s="169"/>
    </row>
    <row r="84" spans="2:11" x14ac:dyDescent="0.25">
      <c r="B84" s="157" t="s">
        <v>520</v>
      </c>
      <c r="C84" s="164">
        <f>SUM(C68:C83)</f>
        <v>2674862</v>
      </c>
      <c r="D84" s="164">
        <f>SUM(D68:D83)</f>
        <v>328387</v>
      </c>
      <c r="E84" s="164">
        <f>SUM(E68:E83)</f>
        <v>3000348</v>
      </c>
      <c r="G84" s="169"/>
      <c r="H84" s="187"/>
      <c r="I84" s="118"/>
      <c r="J84" s="169"/>
      <c r="K84" s="185">
        <f>SUM(J80:J82)</f>
        <v>364238</v>
      </c>
    </row>
    <row r="85" spans="2:11" x14ac:dyDescent="0.25">
      <c r="B85" s="157" t="s">
        <v>833</v>
      </c>
      <c r="C85" s="162"/>
      <c r="D85" s="171"/>
      <c r="E85" s="171"/>
      <c r="J85" s="186"/>
    </row>
    <row r="86" spans="2:11" x14ac:dyDescent="0.25">
      <c r="B86" s="176" t="s">
        <v>521</v>
      </c>
      <c r="C86" s="162">
        <f>+C63-C84</f>
        <v>331563</v>
      </c>
      <c r="D86" s="162">
        <f>+D63-D84</f>
        <v>121033</v>
      </c>
      <c r="E86" s="162">
        <f>+E63-E84</f>
        <v>455497</v>
      </c>
      <c r="J86" s="186"/>
    </row>
    <row r="87" spans="2:11" x14ac:dyDescent="0.25">
      <c r="B87" s="176"/>
      <c r="C87" s="162"/>
      <c r="D87" s="171"/>
      <c r="E87" s="171"/>
      <c r="J87" s="186"/>
    </row>
    <row r="88" spans="2:11" x14ac:dyDescent="0.25">
      <c r="B88" s="182" t="s">
        <v>522</v>
      </c>
      <c r="C88" s="173">
        <f>+SOActivities!K69</f>
        <v>4293</v>
      </c>
      <c r="D88" s="171">
        <f>+SOActivities!M69</f>
        <v>-5400</v>
      </c>
      <c r="E88" s="171">
        <f>SUM(C88:D88)</f>
        <v>-1107</v>
      </c>
    </row>
    <row r="89" spans="2:11" x14ac:dyDescent="0.25">
      <c r="B89" s="182" t="s">
        <v>523</v>
      </c>
      <c r="C89" s="162">
        <f>SUM(C86:C88)</f>
        <v>335856</v>
      </c>
      <c r="D89" s="174">
        <f>SUM(D86:D88)</f>
        <v>115633</v>
      </c>
      <c r="E89" s="174">
        <f>SUM(E86:E88)</f>
        <v>454390</v>
      </c>
    </row>
    <row r="90" spans="2:11" x14ac:dyDescent="0.25">
      <c r="B90" s="157"/>
      <c r="C90" s="162"/>
      <c r="D90" s="171"/>
      <c r="E90" s="171"/>
    </row>
    <row r="91" spans="2:11" x14ac:dyDescent="0.25">
      <c r="B91" s="157" t="s">
        <v>524</v>
      </c>
      <c r="C91" s="162">
        <f>+SOActivities!K75</f>
        <v>2743037</v>
      </c>
      <c r="D91" s="171">
        <f>SOActivities!M75</f>
        <v>439433</v>
      </c>
      <c r="E91" s="171">
        <f>SUM(C91:D91)</f>
        <v>3182470</v>
      </c>
    </row>
    <row r="92" spans="2:11" x14ac:dyDescent="0.25">
      <c r="B92" s="157"/>
      <c r="C92" s="162"/>
      <c r="D92" s="171"/>
      <c r="E92" s="171"/>
    </row>
    <row r="93" spans="2:11" ht="15.75" thickBot="1" x14ac:dyDescent="0.3">
      <c r="B93" s="157" t="s">
        <v>525</v>
      </c>
      <c r="C93" s="167">
        <f>+C89+C91</f>
        <v>3078893</v>
      </c>
      <c r="D93" s="167">
        <f>+D89+D91</f>
        <v>555066</v>
      </c>
      <c r="E93" s="167">
        <f>+E89+E91</f>
        <v>3636860</v>
      </c>
    </row>
    <row r="94" spans="2:11" ht="15.75" thickTop="1" x14ac:dyDescent="0.25">
      <c r="E94" s="152"/>
    </row>
    <row r="95" spans="2:11" x14ac:dyDescent="0.25">
      <c r="C95" s="168">
        <f>+SOActivities!K85</f>
        <v>2914087</v>
      </c>
      <c r="D95" s="168">
        <f>SOActivities!M85</f>
        <v>535879</v>
      </c>
      <c r="E95" s="152"/>
    </row>
    <row r="96" spans="2:11" x14ac:dyDescent="0.25">
      <c r="B96" s="178" t="s">
        <v>497</v>
      </c>
      <c r="C96" s="168">
        <f>+C93-C95</f>
        <v>164806</v>
      </c>
      <c r="D96" s="168">
        <f>+D93-D95</f>
        <v>19187</v>
      </c>
      <c r="E96" s="152"/>
      <c r="F96" s="152"/>
      <c r="G96" s="152"/>
      <c r="H96" s="152"/>
      <c r="I96" s="152"/>
    </row>
    <row r="97" spans="2:9" x14ac:dyDescent="0.25">
      <c r="E97" s="169" t="s">
        <v>120</v>
      </c>
      <c r="F97" s="152"/>
      <c r="G97" s="152"/>
      <c r="H97" s="152"/>
      <c r="I97" s="152"/>
    </row>
    <row r="98" spans="2:9" x14ac:dyDescent="0.25">
      <c r="B98" s="95" t="s">
        <v>950</v>
      </c>
      <c r="C98" s="171">
        <f>+E63</f>
        <v>3455845</v>
      </c>
      <c r="E98" s="188" t="s">
        <v>567</v>
      </c>
      <c r="F98" s="152"/>
      <c r="G98" s="152">
        <f>'BSGF-major'!C68</f>
        <v>583400</v>
      </c>
      <c r="H98" s="152"/>
      <c r="I98" s="152"/>
    </row>
    <row r="99" spans="2:9" x14ac:dyDescent="0.25">
      <c r="B99" s="95" t="s">
        <v>526</v>
      </c>
      <c r="C99" s="171">
        <f>+C63</f>
        <v>3006425</v>
      </c>
      <c r="E99" s="188" t="s">
        <v>568</v>
      </c>
      <c r="F99" s="152"/>
      <c r="G99" s="152">
        <f>'SORECGF-major'!C77</f>
        <v>18148</v>
      </c>
      <c r="H99" s="152"/>
      <c r="I99" s="152"/>
    </row>
    <row r="100" spans="2:9" x14ac:dyDescent="0.25">
      <c r="B100" s="95" t="s">
        <v>527</v>
      </c>
      <c r="C100" s="171">
        <f>+D63</f>
        <v>449420</v>
      </c>
      <c r="E100" s="188" t="s">
        <v>569</v>
      </c>
      <c r="F100" s="152"/>
      <c r="G100" s="152">
        <f>'BSGF-major'!C66</f>
        <v>369119</v>
      </c>
      <c r="H100" s="152"/>
      <c r="I100" s="152"/>
    </row>
    <row r="101" spans="2:9" x14ac:dyDescent="0.25">
      <c r="B101" s="95" t="s">
        <v>528</v>
      </c>
      <c r="C101" s="153">
        <f>SUM(E58:E62)/E63</f>
        <v>0.65548425927667475</v>
      </c>
      <c r="E101" s="188" t="s">
        <v>502</v>
      </c>
      <c r="F101" s="152"/>
      <c r="G101" s="152"/>
      <c r="H101" s="152"/>
      <c r="I101" s="152"/>
    </row>
    <row r="102" spans="2:9" x14ac:dyDescent="0.25">
      <c r="B102" s="95" t="s">
        <v>529</v>
      </c>
      <c r="C102" s="153">
        <f>SUM(E54:E56)/E63</f>
        <v>0.34451574072332525</v>
      </c>
      <c r="E102" s="188" t="s">
        <v>503</v>
      </c>
      <c r="F102" s="152"/>
      <c r="G102" s="152"/>
      <c r="H102" s="152"/>
      <c r="I102" s="152"/>
    </row>
    <row r="103" spans="2:9" x14ac:dyDescent="0.25">
      <c r="B103" s="95" t="s">
        <v>530</v>
      </c>
      <c r="C103" s="171">
        <f>E84</f>
        <v>3000348</v>
      </c>
      <c r="E103" s="188" t="s">
        <v>570</v>
      </c>
      <c r="F103" s="152"/>
      <c r="G103" s="152"/>
      <c r="H103" s="152"/>
      <c r="I103" s="152"/>
    </row>
    <row r="104" spans="2:9" x14ac:dyDescent="0.25">
      <c r="B104" s="95" t="s">
        <v>90</v>
      </c>
      <c r="C104" s="171">
        <f>C84</f>
        <v>2674862</v>
      </c>
      <c r="E104" s="169" t="s">
        <v>756</v>
      </c>
      <c r="F104" s="152"/>
      <c r="G104" s="152"/>
      <c r="H104" s="152"/>
      <c r="I104" s="152"/>
    </row>
    <row r="105" spans="2:9" x14ac:dyDescent="0.25">
      <c r="B105" s="95" t="s">
        <v>531</v>
      </c>
      <c r="C105" s="153">
        <f>+C104/C103</f>
        <v>0.89151725066558951</v>
      </c>
      <c r="E105" s="188" t="s">
        <v>571</v>
      </c>
      <c r="F105" s="152"/>
      <c r="G105" s="152">
        <f>'BSGF-major'!E68</f>
        <v>43932</v>
      </c>
      <c r="H105" s="152"/>
      <c r="I105" s="152"/>
    </row>
    <row r="106" spans="2:9" x14ac:dyDescent="0.25">
      <c r="E106" s="188" t="s">
        <v>568</v>
      </c>
      <c r="F106" s="152"/>
      <c r="G106" s="152">
        <f>'SORECGF-major'!E77</f>
        <v>-2682</v>
      </c>
      <c r="H106" s="152"/>
      <c r="I106" s="152"/>
    </row>
    <row r="107" spans="2:9" x14ac:dyDescent="0.25">
      <c r="B107" s="95" t="s">
        <v>532</v>
      </c>
      <c r="C107" s="171">
        <f>+C89</f>
        <v>335856</v>
      </c>
      <c r="E107" s="169" t="s">
        <v>572</v>
      </c>
      <c r="F107" s="152"/>
      <c r="G107" s="152"/>
      <c r="H107" s="152"/>
      <c r="I107" s="152"/>
    </row>
    <row r="108" spans="2:9" x14ac:dyDescent="0.25">
      <c r="C108" s="171"/>
      <c r="E108" s="188" t="s">
        <v>571</v>
      </c>
      <c r="F108" s="152"/>
      <c r="G108" s="152">
        <f>'BSGF-major'!K68</f>
        <v>0</v>
      </c>
      <c r="H108" s="152"/>
      <c r="I108" s="152"/>
    </row>
    <row r="109" spans="2:9" x14ac:dyDescent="0.25">
      <c r="B109" s="95" t="s">
        <v>533</v>
      </c>
      <c r="C109" s="171">
        <f>+D54+D55+D56</f>
        <v>412459</v>
      </c>
      <c r="E109" s="188" t="s">
        <v>568</v>
      </c>
      <c r="F109" s="152"/>
      <c r="G109" s="152">
        <f>'SORECGF-major'!K77</f>
        <v>0</v>
      </c>
      <c r="H109" s="152"/>
      <c r="I109" s="152"/>
    </row>
    <row r="110" spans="2:9" x14ac:dyDescent="0.25">
      <c r="B110" s="95" t="s">
        <v>534</v>
      </c>
      <c r="C110" s="171">
        <f>+C109-183285</f>
        <v>229174</v>
      </c>
      <c r="E110" s="169" t="s">
        <v>573</v>
      </c>
      <c r="F110" s="152"/>
      <c r="G110" s="152"/>
      <c r="H110" s="152"/>
      <c r="I110" s="152"/>
    </row>
    <row r="111" spans="2:9" x14ac:dyDescent="0.25">
      <c r="B111" s="95" t="s">
        <v>68</v>
      </c>
      <c r="C111" s="171">
        <f>D84</f>
        <v>328387</v>
      </c>
      <c r="E111" s="188" t="s">
        <v>571</v>
      </c>
      <c r="F111" s="152"/>
      <c r="G111" s="152">
        <f>'BSGF-major'!Q68</f>
        <v>0</v>
      </c>
      <c r="H111" s="152"/>
      <c r="I111" s="152"/>
    </row>
    <row r="112" spans="2:9" x14ac:dyDescent="0.25">
      <c r="B112" s="95" t="s">
        <v>69</v>
      </c>
      <c r="C112" s="171">
        <f>D89</f>
        <v>115633</v>
      </c>
      <c r="E112" s="188" t="s">
        <v>568</v>
      </c>
      <c r="F112" s="152"/>
      <c r="G112" s="152">
        <f>'SORECGF-major'!Q77</f>
        <v>0</v>
      </c>
      <c r="H112" s="152"/>
      <c r="I112" s="152"/>
    </row>
    <row r="113" spans="5:9" x14ac:dyDescent="0.25">
      <c r="E113" s="152"/>
      <c r="F113" s="152"/>
      <c r="G113" s="152"/>
      <c r="H113" s="152"/>
      <c r="I113" s="152"/>
    </row>
    <row r="114" spans="5:9" x14ac:dyDescent="0.25">
      <c r="E114" s="152"/>
      <c r="F114" s="152"/>
      <c r="G114" s="152"/>
      <c r="H114" s="152"/>
      <c r="I114" s="152"/>
    </row>
    <row r="115" spans="5:9" x14ac:dyDescent="0.25">
      <c r="E115" s="152"/>
      <c r="F115" s="152"/>
      <c r="G115" s="152"/>
      <c r="H115" s="152"/>
      <c r="I115" s="152"/>
    </row>
    <row r="116" spans="5:9" x14ac:dyDescent="0.25">
      <c r="E116" s="152"/>
      <c r="F116" s="152"/>
      <c r="G116" s="152"/>
      <c r="H116" s="152"/>
      <c r="I116" s="152"/>
    </row>
    <row r="117" spans="5:9" x14ac:dyDescent="0.25">
      <c r="E117" s="152"/>
      <c r="F117" s="152"/>
      <c r="G117" s="152"/>
      <c r="H117" s="152"/>
      <c r="I117" s="152"/>
    </row>
    <row r="118" spans="5:9" x14ac:dyDescent="0.25">
      <c r="E118" s="152"/>
    </row>
    <row r="119" spans="5:9" x14ac:dyDescent="0.25">
      <c r="E119" s="152"/>
    </row>
    <row r="120" spans="5:9" x14ac:dyDescent="0.25">
      <c r="E120" s="152"/>
    </row>
    <row r="121" spans="5:9" x14ac:dyDescent="0.25">
      <c r="E121" s="152"/>
    </row>
    <row r="122" spans="5:9" x14ac:dyDescent="0.25">
      <c r="E122" s="152"/>
    </row>
    <row r="123" spans="5:9" x14ac:dyDescent="0.25">
      <c r="E123" s="152"/>
    </row>
    <row r="124" spans="5:9" x14ac:dyDescent="0.25">
      <c r="E124" s="152"/>
    </row>
    <row r="125" spans="5:9" x14ac:dyDescent="0.25">
      <c r="E125" s="152"/>
    </row>
    <row r="126" spans="5:9" x14ac:dyDescent="0.25">
      <c r="E126" s="152"/>
    </row>
    <row r="127" spans="5:9" x14ac:dyDescent="0.25">
      <c r="E127" s="152"/>
    </row>
    <row r="128" spans="5:9" x14ac:dyDescent="0.25">
      <c r="E128" s="152"/>
    </row>
    <row r="129" spans="5:5" x14ac:dyDescent="0.25">
      <c r="E129" s="152"/>
    </row>
    <row r="130" spans="5:5" x14ac:dyDescent="0.25">
      <c r="E130" s="152"/>
    </row>
    <row r="131" spans="5:5" x14ac:dyDescent="0.25">
      <c r="E131" s="152"/>
    </row>
    <row r="132" spans="5:5" x14ac:dyDescent="0.25">
      <c r="E132" s="152"/>
    </row>
    <row r="133" spans="5:5" x14ac:dyDescent="0.25">
      <c r="E133" s="152"/>
    </row>
    <row r="134" spans="5:5" x14ac:dyDescent="0.25">
      <c r="E134" s="152"/>
    </row>
    <row r="135" spans="5:5" x14ac:dyDescent="0.25">
      <c r="E135" s="152"/>
    </row>
    <row r="136" spans="5:5" x14ac:dyDescent="0.25">
      <c r="E136" s="152"/>
    </row>
    <row r="137" spans="5:5" x14ac:dyDescent="0.25">
      <c r="E137" s="152"/>
    </row>
    <row r="138" spans="5:5" x14ac:dyDescent="0.25">
      <c r="E138" s="152"/>
    </row>
    <row r="139" spans="5:5" x14ac:dyDescent="0.25">
      <c r="E139" s="152"/>
    </row>
    <row r="140" spans="5:5" x14ac:dyDescent="0.25">
      <c r="E140" s="152"/>
    </row>
    <row r="141" spans="5:5" x14ac:dyDescent="0.25">
      <c r="E141" s="152"/>
    </row>
    <row r="142" spans="5:5" x14ac:dyDescent="0.25">
      <c r="E142" s="152"/>
    </row>
    <row r="143" spans="5:5" x14ac:dyDescent="0.25">
      <c r="E143" s="152"/>
    </row>
    <row r="144" spans="5:5" x14ac:dyDescent="0.25">
      <c r="E144" s="152"/>
    </row>
    <row r="145" spans="5:5" x14ac:dyDescent="0.25">
      <c r="E145" s="152"/>
    </row>
    <row r="146" spans="5:5" x14ac:dyDescent="0.25">
      <c r="E146" s="152"/>
    </row>
    <row r="147" spans="5:5" x14ac:dyDescent="0.25">
      <c r="E147" s="152"/>
    </row>
    <row r="148" spans="5:5" x14ac:dyDescent="0.25">
      <c r="E148" s="152"/>
    </row>
    <row r="149" spans="5:5" x14ac:dyDescent="0.25">
      <c r="E149" s="152"/>
    </row>
    <row r="150" spans="5:5" x14ac:dyDescent="0.25">
      <c r="E150" s="152"/>
    </row>
    <row r="151" spans="5:5" x14ac:dyDescent="0.25">
      <c r="E151" s="152"/>
    </row>
    <row r="152" spans="5:5" x14ac:dyDescent="0.25">
      <c r="E152" s="152"/>
    </row>
    <row r="153" spans="5:5" x14ac:dyDescent="0.25">
      <c r="E153" s="152"/>
    </row>
    <row r="154" spans="5:5" x14ac:dyDescent="0.25">
      <c r="E154" s="152"/>
    </row>
    <row r="155" spans="5:5" x14ac:dyDescent="0.25">
      <c r="E155" s="152"/>
    </row>
    <row r="156" spans="5:5" x14ac:dyDescent="0.25">
      <c r="E156" s="152"/>
    </row>
    <row r="157" spans="5:5" x14ac:dyDescent="0.25">
      <c r="E157" s="152"/>
    </row>
    <row r="158" spans="5:5" x14ac:dyDescent="0.25">
      <c r="E158" s="152"/>
    </row>
    <row r="159" spans="5:5" x14ac:dyDescent="0.25">
      <c r="E159" s="152"/>
    </row>
    <row r="160" spans="5:5" x14ac:dyDescent="0.25">
      <c r="E160" s="152"/>
    </row>
    <row r="161" spans="5:5" x14ac:dyDescent="0.25">
      <c r="E161" s="152"/>
    </row>
    <row r="162" spans="5:5" x14ac:dyDescent="0.25">
      <c r="E162" s="152"/>
    </row>
    <row r="163" spans="5:5" x14ac:dyDescent="0.25">
      <c r="E163" s="152"/>
    </row>
    <row r="164" spans="5:5" x14ac:dyDescent="0.25">
      <c r="E164" s="152"/>
    </row>
    <row r="165" spans="5:5" x14ac:dyDescent="0.25">
      <c r="E165" s="152"/>
    </row>
    <row r="166" spans="5:5" x14ac:dyDescent="0.25">
      <c r="E166" s="152"/>
    </row>
    <row r="167" spans="5:5" x14ac:dyDescent="0.25">
      <c r="E167" s="152"/>
    </row>
    <row r="168" spans="5:5" x14ac:dyDescent="0.25">
      <c r="E168" s="152"/>
    </row>
    <row r="169" spans="5:5" x14ac:dyDescent="0.25">
      <c r="E169" s="152"/>
    </row>
    <row r="170" spans="5:5" x14ac:dyDescent="0.25">
      <c r="E170" s="152"/>
    </row>
    <row r="171" spans="5:5" x14ac:dyDescent="0.25">
      <c r="E171" s="152"/>
    </row>
    <row r="172" spans="5:5" x14ac:dyDescent="0.25">
      <c r="E172" s="152"/>
    </row>
    <row r="173" spans="5:5" x14ac:dyDescent="0.25">
      <c r="E173" s="152"/>
    </row>
    <row r="174" spans="5:5" x14ac:dyDescent="0.25">
      <c r="E174" s="152"/>
    </row>
    <row r="175" spans="5:5" x14ac:dyDescent="0.25">
      <c r="E175" s="152"/>
    </row>
    <row r="176" spans="5:5" x14ac:dyDescent="0.25">
      <c r="E176" s="152"/>
    </row>
    <row r="177" spans="5:5" x14ac:dyDescent="0.25">
      <c r="E177" s="152"/>
    </row>
    <row r="178" spans="5:5" x14ac:dyDescent="0.25">
      <c r="E178" s="152"/>
    </row>
    <row r="179" spans="5:5" x14ac:dyDescent="0.25">
      <c r="E179" s="152"/>
    </row>
    <row r="180" spans="5:5" x14ac:dyDescent="0.25">
      <c r="E180" s="152"/>
    </row>
    <row r="181" spans="5:5" x14ac:dyDescent="0.25">
      <c r="E181" s="152"/>
    </row>
    <row r="182" spans="5:5" x14ac:dyDescent="0.25">
      <c r="E182" s="152"/>
    </row>
    <row r="183" spans="5:5" x14ac:dyDescent="0.25">
      <c r="E183" s="152"/>
    </row>
    <row r="184" spans="5:5" x14ac:dyDescent="0.25">
      <c r="E184" s="152"/>
    </row>
    <row r="185" spans="5:5" x14ac:dyDescent="0.25">
      <c r="E185" s="152"/>
    </row>
    <row r="186" spans="5:5" x14ac:dyDescent="0.25">
      <c r="E186" s="152"/>
    </row>
    <row r="187" spans="5:5" x14ac:dyDescent="0.25">
      <c r="E187" s="152"/>
    </row>
    <row r="188" spans="5:5" x14ac:dyDescent="0.25">
      <c r="E188" s="152"/>
    </row>
    <row r="189" spans="5:5" x14ac:dyDescent="0.25">
      <c r="E189" s="152"/>
    </row>
    <row r="190" spans="5:5" x14ac:dyDescent="0.25">
      <c r="E190" s="152"/>
    </row>
    <row r="191" spans="5:5" x14ac:dyDescent="0.25">
      <c r="E191" s="152"/>
    </row>
    <row r="192" spans="5:5" x14ac:dyDescent="0.25">
      <c r="E192" s="152"/>
    </row>
    <row r="193" spans="5:5" x14ac:dyDescent="0.25">
      <c r="E193" s="152"/>
    </row>
    <row r="194" spans="5:5" x14ac:dyDescent="0.25">
      <c r="E194" s="152"/>
    </row>
    <row r="195" spans="5:5" x14ac:dyDescent="0.25">
      <c r="E195" s="152"/>
    </row>
    <row r="196" spans="5:5" x14ac:dyDescent="0.25">
      <c r="E196" s="152"/>
    </row>
    <row r="197" spans="5:5" x14ac:dyDescent="0.25">
      <c r="E197" s="152"/>
    </row>
    <row r="198" spans="5:5" x14ac:dyDescent="0.25">
      <c r="E198" s="152"/>
    </row>
    <row r="199" spans="5:5" x14ac:dyDescent="0.25">
      <c r="E199" s="152"/>
    </row>
    <row r="200" spans="5:5" x14ac:dyDescent="0.25">
      <c r="E200" s="152"/>
    </row>
    <row r="201" spans="5:5" x14ac:dyDescent="0.25">
      <c r="E201" s="152"/>
    </row>
  </sheetData>
  <mergeCells count="2">
    <mergeCell ref="C17:E17"/>
    <mergeCell ref="C18:E18"/>
  </mergeCells>
  <phoneticPr fontId="9" type="noConversion"/>
  <pageMargins left="0.75" right="0.75" top="1" bottom="1" header="0.5" footer="0.5"/>
  <pageSetup paperSize="17" scale="63" orientation="portrait" horizontalDpi="1200" verticalDpi="12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tabColor theme="6" tint="0.39997558519241921"/>
    <pageSetUpPr fitToPage="1"/>
  </sheetPr>
  <dimension ref="A1:W124"/>
  <sheetViews>
    <sheetView view="pageBreakPreview" zoomScaleNormal="100" workbookViewId="0">
      <selection activeCell="C36" sqref="C36:C37"/>
    </sheetView>
  </sheetViews>
  <sheetFormatPr defaultColWidth="9.140625" defaultRowHeight="8.25" customHeight="1" x14ac:dyDescent="0.2"/>
  <cols>
    <col min="1" max="3" width="1.5703125" style="247" customWidth="1"/>
    <col min="4" max="4" width="36.42578125" style="247" customWidth="1"/>
    <col min="5" max="5" width="1.5703125" style="247" customWidth="1"/>
    <col min="6" max="6" width="13.5703125" style="247" customWidth="1"/>
    <col min="7" max="7" width="1.5703125" style="247" customWidth="1"/>
    <col min="8" max="8" width="13.5703125" style="247" customWidth="1"/>
    <col min="9" max="9" width="1.5703125" style="247" customWidth="1"/>
    <col min="10" max="10" width="13.5703125" style="247" customWidth="1"/>
    <col min="11" max="11" width="1.5703125" style="247" customWidth="1"/>
    <col min="12" max="12" width="14.42578125" style="247" customWidth="1"/>
    <col min="13" max="13" width="1.5703125" style="247" hidden="1" customWidth="1"/>
    <col min="14" max="14" width="14.42578125" style="247" hidden="1" customWidth="1"/>
    <col min="15" max="15" width="1.5703125" style="247" customWidth="1"/>
    <col min="16" max="16" width="13.5703125" style="247" customWidth="1"/>
    <col min="17" max="17" width="9.140625" style="247"/>
    <col min="18" max="18" width="9.140625" style="568"/>
    <col min="19" max="20" width="9.140625" style="247"/>
    <col min="21" max="21" width="4.42578125" style="247" bestFit="1" customWidth="1"/>
    <col min="22" max="16384" width="9.140625" style="247"/>
  </cols>
  <sheetData>
    <row r="1" spans="1:18" s="462" customFormat="1" ht="19.5" customHeight="1" thickBot="1" x14ac:dyDescent="0.25">
      <c r="A1" s="1582" t="s">
        <v>1033</v>
      </c>
      <c r="B1" s="1582"/>
      <c r="C1" s="1582"/>
      <c r="D1" s="1582"/>
      <c r="E1" s="1582"/>
      <c r="F1" s="1582"/>
      <c r="G1" s="1582"/>
      <c r="H1" s="1582"/>
      <c r="I1" s="1582"/>
      <c r="J1" s="1582"/>
      <c r="K1" s="1582"/>
      <c r="L1" s="1582"/>
      <c r="M1" s="1582"/>
      <c r="N1" s="1582"/>
      <c r="O1" s="1582"/>
      <c r="P1" s="1582"/>
      <c r="Q1" s="535"/>
      <c r="R1" s="751"/>
    </row>
    <row r="2" spans="1:18" s="531" customFormat="1" ht="17.25" x14ac:dyDescent="0.2">
      <c r="A2" s="700" t="s">
        <v>461</v>
      </c>
      <c r="B2" s="713"/>
      <c r="C2" s="713"/>
      <c r="D2" s="713"/>
      <c r="E2" s="713"/>
      <c r="F2" s="713"/>
      <c r="G2" s="713"/>
      <c r="H2" s="713"/>
      <c r="I2" s="713"/>
      <c r="J2" s="713"/>
      <c r="K2" s="713"/>
      <c r="L2" s="713"/>
      <c r="M2" s="713"/>
      <c r="N2" s="713"/>
      <c r="O2" s="713"/>
      <c r="P2" s="713"/>
      <c r="Q2" s="713"/>
      <c r="R2" s="752"/>
    </row>
    <row r="3" spans="1:18" s="531" customFormat="1" ht="17.25" x14ac:dyDescent="0.2">
      <c r="A3" s="700" t="s">
        <v>492</v>
      </c>
      <c r="B3" s="713"/>
      <c r="C3" s="713"/>
      <c r="D3" s="713"/>
      <c r="E3" s="713"/>
      <c r="F3" s="713"/>
      <c r="G3" s="713"/>
      <c r="H3" s="713"/>
      <c r="I3" s="713"/>
      <c r="J3" s="713"/>
      <c r="K3" s="713"/>
      <c r="L3" s="713"/>
      <c r="M3" s="713"/>
      <c r="N3" s="713"/>
      <c r="O3" s="713"/>
      <c r="P3" s="713"/>
      <c r="Q3" s="713"/>
      <c r="R3" s="752"/>
    </row>
    <row r="4" spans="1:18" s="532" customFormat="1" ht="15" x14ac:dyDescent="0.2">
      <c r="A4" s="1579" t="s">
        <v>1460</v>
      </c>
      <c r="B4" s="1579"/>
      <c r="C4" s="1579"/>
      <c r="D4" s="1579"/>
      <c r="E4" s="506"/>
      <c r="F4" s="506"/>
      <c r="G4" s="506"/>
      <c r="H4" s="506"/>
      <c r="I4" s="506"/>
      <c r="J4" s="506"/>
      <c r="K4" s="506"/>
      <c r="L4" s="506"/>
      <c r="M4" s="506"/>
      <c r="N4" s="506"/>
      <c r="O4" s="506"/>
      <c r="P4" s="506"/>
      <c r="Q4" s="506"/>
      <c r="R4" s="753"/>
    </row>
    <row r="5" spans="1:18" s="317" customFormat="1" ht="10.5" customHeight="1" x14ac:dyDescent="0.2">
      <c r="A5" s="738" t="s">
        <v>972</v>
      </c>
      <c r="B5" s="718"/>
      <c r="C5" s="718"/>
      <c r="D5" s="718"/>
      <c r="E5" s="718"/>
      <c r="F5" s="721"/>
      <c r="G5" s="721"/>
      <c r="R5" s="676"/>
    </row>
    <row r="6" spans="1:18" ht="10.5" customHeight="1" x14ac:dyDescent="0.2">
      <c r="A6" s="394"/>
      <c r="B6" s="394"/>
      <c r="C6" s="394"/>
      <c r="D6" s="394"/>
      <c r="E6" s="394"/>
      <c r="F6" s="394"/>
      <c r="G6" s="394"/>
      <c r="H6" s="394"/>
      <c r="I6" s="394"/>
      <c r="J6" s="394"/>
      <c r="K6" s="394"/>
      <c r="L6" s="394"/>
      <c r="M6" s="394"/>
      <c r="N6" s="394"/>
      <c r="O6" s="394"/>
      <c r="P6" s="394"/>
      <c r="Q6" s="394"/>
    </row>
    <row r="7" spans="1:18" s="336" customFormat="1" ht="10.5" customHeight="1" x14ac:dyDescent="0.2">
      <c r="F7" s="1576" t="s">
        <v>839</v>
      </c>
      <c r="G7" s="1576"/>
      <c r="H7" s="1576"/>
      <c r="I7" s="1576"/>
      <c r="J7" s="1576"/>
      <c r="K7" s="1576"/>
      <c r="L7" s="1576"/>
      <c r="M7" s="1576"/>
      <c r="N7" s="1576"/>
      <c r="O7" s="1576"/>
      <c r="P7" s="1576"/>
      <c r="R7" s="756"/>
    </row>
    <row r="8" spans="1:18" s="336" customFormat="1" ht="14.25" customHeight="1" x14ac:dyDescent="0.2">
      <c r="I8" s="310"/>
      <c r="J8" s="1581"/>
      <c r="K8" s="1581"/>
      <c r="L8" s="1581"/>
      <c r="N8" s="310"/>
      <c r="R8" s="756"/>
    </row>
    <row r="9" spans="1:18" s="336" customFormat="1" ht="10.5" customHeight="1" x14ac:dyDescent="0.2">
      <c r="F9" s="310" t="s">
        <v>340</v>
      </c>
      <c r="H9" s="310"/>
      <c r="I9" s="310"/>
      <c r="J9" s="310"/>
      <c r="K9" s="310"/>
      <c r="L9" s="310"/>
      <c r="M9" s="652"/>
      <c r="N9" s="337" t="s">
        <v>264</v>
      </c>
      <c r="R9" s="756"/>
    </row>
    <row r="10" spans="1:18" s="336" customFormat="1" ht="10.5" customHeight="1" x14ac:dyDescent="0.2">
      <c r="F10" s="310" t="s">
        <v>341</v>
      </c>
      <c r="I10" s="310"/>
      <c r="J10" s="310" t="s">
        <v>257</v>
      </c>
      <c r="K10" s="310"/>
      <c r="L10" s="310" t="s">
        <v>262</v>
      </c>
      <c r="N10" s="310" t="s">
        <v>256</v>
      </c>
      <c r="P10" s="310" t="s">
        <v>671</v>
      </c>
      <c r="R10" s="756"/>
    </row>
    <row r="11" spans="1:18" s="336" customFormat="1" ht="10.5" customHeight="1" x14ac:dyDescent="0.2">
      <c r="F11" s="574" t="s">
        <v>251</v>
      </c>
      <c r="H11" s="574" t="s">
        <v>255</v>
      </c>
      <c r="I11" s="310"/>
      <c r="J11" s="574" t="s">
        <v>557</v>
      </c>
      <c r="K11" s="310"/>
      <c r="L11" s="574" t="s">
        <v>263</v>
      </c>
      <c r="N11" s="574" t="s">
        <v>864</v>
      </c>
      <c r="P11" s="574" t="s">
        <v>839</v>
      </c>
      <c r="R11" s="756" t="s">
        <v>497</v>
      </c>
    </row>
    <row r="12" spans="1:18" s="253" customFormat="1" ht="10.5" customHeight="1" x14ac:dyDescent="0.2">
      <c r="B12" s="284" t="s">
        <v>36</v>
      </c>
      <c r="C12" s="284"/>
      <c r="D12" s="284"/>
      <c r="F12" s="257"/>
      <c r="H12" s="257"/>
      <c r="I12" s="257"/>
      <c r="J12" s="257"/>
      <c r="K12" s="257"/>
      <c r="L12" s="257"/>
      <c r="N12" s="257"/>
      <c r="P12" s="257"/>
      <c r="R12" s="679"/>
    </row>
    <row r="13" spans="1:18" s="253" customFormat="1" ht="10.5" customHeight="1" x14ac:dyDescent="0.2">
      <c r="C13" s="352" t="s">
        <v>1468</v>
      </c>
      <c r="D13" s="352"/>
      <c r="F13" s="339">
        <v>893</v>
      </c>
      <c r="G13" s="254"/>
      <c r="H13" s="339">
        <v>771</v>
      </c>
      <c r="I13" s="254"/>
      <c r="J13" s="339">
        <v>245</v>
      </c>
      <c r="K13" s="254"/>
      <c r="L13" s="339">
        <v>2</v>
      </c>
      <c r="M13" s="254"/>
      <c r="N13" s="339">
        <v>0</v>
      </c>
      <c r="O13" s="254"/>
      <c r="P13" s="339">
        <f t="shared" ref="P13:P23" si="0">SUM(F13:N13)</f>
        <v>1911</v>
      </c>
      <c r="Q13" s="653">
        <f t="shared" ref="Q13:Q23" si="1">+P13-J33</f>
        <v>0</v>
      </c>
      <c r="R13" s="679"/>
    </row>
    <row r="14" spans="1:18" s="253" customFormat="1" ht="10.5" customHeight="1" x14ac:dyDescent="0.2">
      <c r="C14" s="352" t="s">
        <v>496</v>
      </c>
      <c r="D14" s="352"/>
      <c r="F14" s="273">
        <v>1200</v>
      </c>
      <c r="G14" s="273"/>
      <c r="H14" s="273"/>
      <c r="I14" s="273"/>
      <c r="J14" s="273"/>
      <c r="K14" s="273"/>
      <c r="L14" s="273">
        <v>0</v>
      </c>
      <c r="M14" s="254"/>
      <c r="N14" s="254"/>
      <c r="O14" s="254"/>
      <c r="P14" s="254">
        <f t="shared" si="0"/>
        <v>1200</v>
      </c>
      <c r="Q14" s="653">
        <f t="shared" si="1"/>
        <v>0</v>
      </c>
      <c r="R14" s="679"/>
    </row>
    <row r="15" spans="1:18" s="253" customFormat="1" ht="10.5" hidden="1" customHeight="1" x14ac:dyDescent="0.2">
      <c r="C15" s="352" t="s">
        <v>270</v>
      </c>
      <c r="D15" s="352"/>
      <c r="F15" s="273">
        <v>0</v>
      </c>
      <c r="G15" s="273"/>
      <c r="H15" s="273">
        <v>0</v>
      </c>
      <c r="I15" s="273"/>
      <c r="J15" s="273"/>
      <c r="K15" s="273"/>
      <c r="L15" s="273">
        <v>0</v>
      </c>
      <c r="M15" s="254"/>
      <c r="N15" s="254"/>
      <c r="O15" s="254"/>
      <c r="P15" s="273">
        <f t="shared" si="0"/>
        <v>0</v>
      </c>
      <c r="Q15" s="653">
        <f t="shared" si="1"/>
        <v>0</v>
      </c>
      <c r="R15" s="679"/>
    </row>
    <row r="16" spans="1:18" s="253" customFormat="1" ht="10.5" customHeight="1" x14ac:dyDescent="0.2">
      <c r="C16" s="352" t="s">
        <v>493</v>
      </c>
      <c r="D16" s="352"/>
      <c r="F16" s="273">
        <v>482</v>
      </c>
      <c r="G16" s="273"/>
      <c r="H16" s="273">
        <v>0</v>
      </c>
      <c r="I16" s="273"/>
      <c r="J16" s="273">
        <v>0</v>
      </c>
      <c r="K16" s="273"/>
      <c r="L16" s="273">
        <v>0</v>
      </c>
      <c r="M16" s="254"/>
      <c r="N16" s="254"/>
      <c r="O16" s="254"/>
      <c r="P16" s="254">
        <f t="shared" si="0"/>
        <v>482</v>
      </c>
      <c r="Q16" s="653">
        <f t="shared" si="1"/>
        <v>0</v>
      </c>
      <c r="R16" s="679"/>
    </row>
    <row r="17" spans="1:23" s="253" customFormat="1" ht="10.5" customHeight="1" x14ac:dyDescent="0.2">
      <c r="C17" s="352" t="s">
        <v>10</v>
      </c>
      <c r="D17" s="352"/>
      <c r="E17" s="254"/>
      <c r="F17" s="273">
        <v>1318</v>
      </c>
      <c r="G17" s="273"/>
      <c r="H17" s="273">
        <v>1141</v>
      </c>
      <c r="I17" s="273"/>
      <c r="J17" s="273">
        <v>0</v>
      </c>
      <c r="K17" s="273"/>
      <c r="L17" s="273">
        <v>5</v>
      </c>
      <c r="M17" s="273"/>
      <c r="N17" s="273"/>
      <c r="O17" s="273"/>
      <c r="P17" s="254">
        <f t="shared" si="0"/>
        <v>2464</v>
      </c>
      <c r="Q17" s="653">
        <f t="shared" si="1"/>
        <v>0</v>
      </c>
      <c r="R17" s="766"/>
    </row>
    <row r="18" spans="1:23" s="253" customFormat="1" ht="10.5" hidden="1" customHeight="1" x14ac:dyDescent="0.2">
      <c r="C18" s="352" t="s">
        <v>269</v>
      </c>
      <c r="D18" s="352"/>
      <c r="F18" s="273">
        <v>0</v>
      </c>
      <c r="G18" s="273"/>
      <c r="H18" s="273">
        <v>0</v>
      </c>
      <c r="I18" s="273"/>
      <c r="J18" s="273"/>
      <c r="K18" s="273"/>
      <c r="L18" s="273">
        <v>0</v>
      </c>
      <c r="M18" s="254"/>
      <c r="N18" s="254"/>
      <c r="O18" s="254"/>
      <c r="P18" s="254">
        <f t="shared" si="0"/>
        <v>0</v>
      </c>
      <c r="Q18" s="653">
        <f t="shared" si="1"/>
        <v>0</v>
      </c>
      <c r="R18" s="679"/>
    </row>
    <row r="19" spans="1:23" s="253" customFormat="1" ht="10.5" customHeight="1" x14ac:dyDescent="0.2">
      <c r="C19" s="352" t="s">
        <v>495</v>
      </c>
      <c r="D19" s="352"/>
      <c r="F19" s="273">
        <v>41</v>
      </c>
      <c r="G19" s="273"/>
      <c r="H19" s="273">
        <v>0</v>
      </c>
      <c r="I19" s="273"/>
      <c r="J19" s="273"/>
      <c r="K19" s="273"/>
      <c r="L19" s="273">
        <v>0</v>
      </c>
      <c r="M19" s="254"/>
      <c r="N19" s="254"/>
      <c r="O19" s="254"/>
      <c r="P19" s="254">
        <f t="shared" si="0"/>
        <v>41</v>
      </c>
      <c r="Q19" s="653">
        <f t="shared" si="1"/>
        <v>0</v>
      </c>
      <c r="R19" s="679"/>
    </row>
    <row r="20" spans="1:23" s="253" customFormat="1" ht="10.5" hidden="1" customHeight="1" x14ac:dyDescent="0.2">
      <c r="C20" s="352" t="s">
        <v>1221</v>
      </c>
      <c r="D20" s="352"/>
      <c r="F20" s="273">
        <v>0</v>
      </c>
      <c r="G20" s="273"/>
      <c r="H20" s="273"/>
      <c r="I20" s="273"/>
      <c r="J20" s="273"/>
      <c r="K20" s="273"/>
      <c r="L20" s="273">
        <v>0</v>
      </c>
      <c r="M20" s="254"/>
      <c r="N20" s="254"/>
      <c r="O20" s="254"/>
      <c r="P20" s="254">
        <f t="shared" si="0"/>
        <v>0</v>
      </c>
      <c r="Q20" s="653">
        <f t="shared" si="1"/>
        <v>0</v>
      </c>
      <c r="R20" s="679"/>
    </row>
    <row r="21" spans="1:23" s="253" customFormat="1" ht="10.5" customHeight="1" x14ac:dyDescent="0.2">
      <c r="C21" s="352" t="s">
        <v>981</v>
      </c>
      <c r="D21" s="352"/>
      <c r="F21" s="273">
        <v>95</v>
      </c>
      <c r="G21" s="273"/>
      <c r="H21" s="273"/>
      <c r="I21" s="273"/>
      <c r="J21" s="273"/>
      <c r="K21" s="273"/>
      <c r="L21" s="273">
        <v>0</v>
      </c>
      <c r="M21" s="254"/>
      <c r="N21" s="254"/>
      <c r="O21" s="254"/>
      <c r="P21" s="254">
        <f t="shared" si="0"/>
        <v>95</v>
      </c>
      <c r="Q21" s="653">
        <f t="shared" si="1"/>
        <v>0</v>
      </c>
      <c r="R21" s="679"/>
    </row>
    <row r="22" spans="1:23" s="253" customFormat="1" ht="10.5" customHeight="1" x14ac:dyDescent="0.2">
      <c r="C22" s="352" t="s">
        <v>494</v>
      </c>
      <c r="D22" s="352"/>
      <c r="F22" s="273">
        <v>186</v>
      </c>
      <c r="G22" s="273"/>
      <c r="H22" s="273">
        <v>160</v>
      </c>
      <c r="I22" s="273"/>
      <c r="J22" s="273"/>
      <c r="K22" s="273"/>
      <c r="L22" s="273"/>
      <c r="M22" s="254"/>
      <c r="N22" s="254"/>
      <c r="O22" s="254"/>
      <c r="P22" s="254">
        <f t="shared" si="0"/>
        <v>346</v>
      </c>
      <c r="Q22" s="653">
        <f t="shared" si="1"/>
        <v>0</v>
      </c>
      <c r="R22" s="679"/>
    </row>
    <row r="23" spans="1:23" s="253" customFormat="1" ht="10.5" hidden="1" customHeight="1" x14ac:dyDescent="0.2">
      <c r="C23" s="352" t="s">
        <v>206</v>
      </c>
      <c r="D23" s="352"/>
      <c r="F23" s="273"/>
      <c r="G23" s="273"/>
      <c r="H23" s="273"/>
      <c r="I23" s="273"/>
      <c r="J23" s="273"/>
      <c r="K23" s="273"/>
      <c r="L23" s="273"/>
      <c r="M23" s="254"/>
      <c r="N23" s="254"/>
      <c r="O23" s="254"/>
      <c r="P23" s="273">
        <f t="shared" si="0"/>
        <v>0</v>
      </c>
      <c r="Q23" s="653">
        <f t="shared" si="1"/>
        <v>0</v>
      </c>
      <c r="R23" s="679"/>
    </row>
    <row r="24" spans="1:23" s="253" customFormat="1" ht="10.5" customHeight="1" x14ac:dyDescent="0.2">
      <c r="B24" s="352"/>
      <c r="C24" s="352"/>
      <c r="D24" s="352"/>
      <c r="E24" s="254"/>
      <c r="F24" s="340"/>
      <c r="G24" s="273"/>
      <c r="H24" s="340"/>
      <c r="I24" s="273"/>
      <c r="J24" s="340"/>
      <c r="K24" s="273"/>
      <c r="L24" s="340"/>
      <c r="M24" s="273"/>
      <c r="N24" s="340"/>
      <c r="O24" s="273"/>
      <c r="P24" s="366"/>
      <c r="R24" s="766"/>
    </row>
    <row r="25" spans="1:23" s="253" customFormat="1" ht="10.5" customHeight="1" thickBot="1" x14ac:dyDescent="0.25">
      <c r="B25" s="353" t="s">
        <v>725</v>
      </c>
      <c r="C25" s="352"/>
      <c r="E25" s="254"/>
      <c r="F25" s="344">
        <f>SUM(F13:F23)</f>
        <v>4215</v>
      </c>
      <c r="G25" s="273"/>
      <c r="H25" s="344">
        <f>SUM(H13:H23)</f>
        <v>2072</v>
      </c>
      <c r="I25" s="273"/>
      <c r="J25" s="344">
        <f>SUM(J13:J23)</f>
        <v>245</v>
      </c>
      <c r="K25" s="273"/>
      <c r="L25" s="344">
        <f>SUM(L13:L23)</f>
        <v>7</v>
      </c>
      <c r="M25" s="273"/>
      <c r="N25" s="344">
        <f>SUM(N13:N23)</f>
        <v>0</v>
      </c>
      <c r="O25" s="273"/>
      <c r="P25" s="344">
        <f>SUM(P13:P23)</f>
        <v>6539</v>
      </c>
      <c r="R25" s="679"/>
    </row>
    <row r="26" spans="1:23" s="253" customFormat="1" ht="10.5" customHeight="1" thickTop="1" x14ac:dyDescent="0.2">
      <c r="E26" s="254"/>
      <c r="F26" s="273"/>
      <c r="G26" s="273"/>
      <c r="H26" s="273"/>
      <c r="I26" s="273"/>
      <c r="J26" s="273"/>
      <c r="K26" s="273"/>
      <c r="L26" s="273"/>
      <c r="M26" s="273"/>
      <c r="N26" s="273"/>
      <c r="O26" s="273"/>
      <c r="P26" s="654"/>
      <c r="R26" s="679"/>
    </row>
    <row r="27" spans="1:23" ht="10.5" customHeight="1" x14ac:dyDescent="0.2">
      <c r="E27" s="265"/>
      <c r="F27" s="269"/>
      <c r="G27" s="269"/>
      <c r="H27" s="269"/>
      <c r="I27" s="269"/>
      <c r="J27" s="269"/>
      <c r="K27" s="269"/>
      <c r="L27" s="269"/>
      <c r="M27" s="269"/>
      <c r="N27" s="269"/>
      <c r="O27" s="269"/>
      <c r="P27" s="604"/>
    </row>
    <row r="28" spans="1:23" s="212" customFormat="1" ht="10.5" customHeight="1" x14ac:dyDescent="0.2">
      <c r="A28" s="336"/>
      <c r="B28" s="336"/>
      <c r="C28" s="336"/>
      <c r="D28" s="336"/>
      <c r="F28" s="1576" t="s">
        <v>79</v>
      </c>
      <c r="G28" s="1576"/>
      <c r="H28" s="1576"/>
      <c r="I28" s="1576"/>
      <c r="J28" s="1576"/>
      <c r="K28" s="336"/>
      <c r="L28" s="336"/>
      <c r="M28" s="336"/>
      <c r="O28" s="336"/>
      <c r="P28" s="336"/>
      <c r="R28" s="755"/>
    </row>
    <row r="29" spans="1:23" s="212" customFormat="1" ht="10.5" customHeight="1" x14ac:dyDescent="0.2">
      <c r="A29" s="336"/>
      <c r="B29" s="336"/>
      <c r="C29" s="336"/>
      <c r="D29" s="336"/>
      <c r="F29" s="458"/>
      <c r="G29" s="336"/>
      <c r="H29" s="310" t="s">
        <v>257</v>
      </c>
      <c r="K29" s="336"/>
      <c r="M29" s="336"/>
      <c r="O29" s="336"/>
      <c r="P29" s="336"/>
      <c r="R29" s="755"/>
      <c r="T29" s="336"/>
      <c r="V29"/>
      <c r="W29"/>
    </row>
    <row r="30" spans="1:23" s="212" customFormat="1" ht="10.5" customHeight="1" x14ac:dyDescent="0.2">
      <c r="A30" s="336"/>
      <c r="B30" s="336"/>
      <c r="C30" s="336"/>
      <c r="D30" s="336"/>
      <c r="F30" s="310" t="s">
        <v>267</v>
      </c>
      <c r="G30" s="336"/>
      <c r="H30" s="310" t="s">
        <v>1320</v>
      </c>
      <c r="J30" s="310" t="s">
        <v>671</v>
      </c>
      <c r="K30" s="336"/>
      <c r="M30" s="336"/>
      <c r="O30" s="336"/>
      <c r="R30" s="755"/>
      <c r="T30" s="336"/>
      <c r="V30"/>
    </row>
    <row r="31" spans="1:23" s="212" customFormat="1" ht="10.5" customHeight="1" x14ac:dyDescent="0.2">
      <c r="A31" s="336"/>
      <c r="B31" s="336"/>
      <c r="C31" s="336"/>
      <c r="D31" s="336"/>
      <c r="F31" s="574" t="s">
        <v>273</v>
      </c>
      <c r="G31" s="336"/>
      <c r="H31" s="574" t="s">
        <v>256</v>
      </c>
      <c r="J31" s="574" t="s">
        <v>79</v>
      </c>
      <c r="K31" s="336"/>
      <c r="M31" s="336"/>
      <c r="O31" s="336"/>
      <c r="R31" s="755"/>
      <c r="T31" s="336"/>
      <c r="V31" s="310"/>
    </row>
    <row r="32" spans="1:23" s="253" customFormat="1" ht="10.5" customHeight="1" x14ac:dyDescent="0.2">
      <c r="B32" s="284" t="s">
        <v>36</v>
      </c>
      <c r="C32" s="284"/>
      <c r="D32" s="284"/>
      <c r="F32" s="257"/>
      <c r="H32" s="540"/>
      <c r="J32" s="362"/>
      <c r="R32" s="679"/>
      <c r="V32" s="257"/>
    </row>
    <row r="33" spans="2:22" s="454" customFormat="1" ht="10.5" customHeight="1" x14ac:dyDescent="0.2">
      <c r="C33" s="352" t="s">
        <v>1468</v>
      </c>
      <c r="D33" s="908"/>
      <c r="F33" s="1331">
        <v>656</v>
      </c>
      <c r="H33" s="454">
        <v>1255</v>
      </c>
      <c r="J33" s="454">
        <f t="shared" ref="J33:J43" si="2">F33+H33</f>
        <v>1911</v>
      </c>
      <c r="R33" s="909"/>
    </row>
    <row r="34" spans="2:22" s="253" customFormat="1" ht="10.5" customHeight="1" x14ac:dyDescent="0.2">
      <c r="C34" s="352" t="s">
        <v>496</v>
      </c>
      <c r="D34" s="352"/>
      <c r="F34" s="273">
        <v>0</v>
      </c>
      <c r="H34" s="273">
        <v>1200</v>
      </c>
      <c r="J34" s="273">
        <f t="shared" si="2"/>
        <v>1200</v>
      </c>
      <c r="K34" s="273"/>
      <c r="M34" s="273"/>
      <c r="N34" s="273"/>
      <c r="O34" s="273"/>
      <c r="R34" s="679"/>
      <c r="T34" s="273"/>
      <c r="V34" s="273"/>
    </row>
    <row r="35" spans="2:22" s="253" customFormat="1" ht="10.5" hidden="1" customHeight="1" x14ac:dyDescent="0.2">
      <c r="C35" s="352" t="s">
        <v>270</v>
      </c>
      <c r="D35" s="352"/>
      <c r="F35" s="273"/>
      <c r="H35" s="273">
        <v>0</v>
      </c>
      <c r="J35" s="273">
        <f t="shared" si="2"/>
        <v>0</v>
      </c>
      <c r="K35" s="273"/>
      <c r="M35" s="273"/>
      <c r="N35" s="273"/>
      <c r="O35" s="273"/>
      <c r="R35" s="679"/>
      <c r="T35" s="273"/>
      <c r="V35" s="273"/>
    </row>
    <row r="36" spans="2:22" s="253" customFormat="1" ht="10.5" customHeight="1" x14ac:dyDescent="0.2">
      <c r="C36" s="352" t="s">
        <v>493</v>
      </c>
      <c r="D36" s="352"/>
      <c r="F36" s="273"/>
      <c r="H36" s="273">
        <v>482</v>
      </c>
      <c r="J36" s="273">
        <f t="shared" si="2"/>
        <v>482</v>
      </c>
      <c r="K36" s="273"/>
      <c r="M36" s="273"/>
      <c r="N36" s="273"/>
      <c r="O36" s="273"/>
      <c r="R36" s="679"/>
      <c r="T36" s="273"/>
      <c r="V36" s="273"/>
    </row>
    <row r="37" spans="2:22" s="253" customFormat="1" ht="10.5" customHeight="1" x14ac:dyDescent="0.2">
      <c r="C37" s="352" t="s">
        <v>10</v>
      </c>
      <c r="D37" s="352"/>
      <c r="F37" s="273"/>
      <c r="G37" s="254"/>
      <c r="H37" s="273">
        <v>2464</v>
      </c>
      <c r="J37" s="273">
        <f t="shared" si="2"/>
        <v>2464</v>
      </c>
      <c r="K37" s="273"/>
      <c r="M37" s="273"/>
      <c r="N37" s="273"/>
      <c r="O37" s="273"/>
      <c r="R37" s="679"/>
      <c r="T37" s="273"/>
      <c r="V37" s="273"/>
    </row>
    <row r="38" spans="2:22" s="253" customFormat="1" ht="10.5" hidden="1" customHeight="1" x14ac:dyDescent="0.2">
      <c r="C38" s="352" t="s">
        <v>269</v>
      </c>
      <c r="D38" s="352"/>
      <c r="F38" s="273"/>
      <c r="H38" s="273">
        <v>0</v>
      </c>
      <c r="J38" s="273">
        <f t="shared" si="2"/>
        <v>0</v>
      </c>
      <c r="K38" s="273"/>
      <c r="M38" s="273"/>
      <c r="N38" s="273"/>
      <c r="O38" s="273"/>
      <c r="R38" s="679"/>
      <c r="T38" s="273"/>
      <c r="V38" s="273"/>
    </row>
    <row r="39" spans="2:22" s="253" customFormat="1" ht="10.5" customHeight="1" x14ac:dyDescent="0.2">
      <c r="C39" s="352" t="s">
        <v>495</v>
      </c>
      <c r="D39" s="352"/>
      <c r="F39" s="273"/>
      <c r="H39" s="273">
        <v>41</v>
      </c>
      <c r="J39" s="273">
        <f t="shared" si="2"/>
        <v>41</v>
      </c>
      <c r="K39" s="273"/>
      <c r="M39" s="273"/>
      <c r="N39" s="273"/>
      <c r="O39" s="273"/>
      <c r="R39" s="679"/>
      <c r="T39" s="273"/>
      <c r="V39" s="273"/>
    </row>
    <row r="40" spans="2:22" s="253" customFormat="1" ht="10.5" hidden="1" customHeight="1" x14ac:dyDescent="0.2">
      <c r="C40" s="352" t="s">
        <v>1221</v>
      </c>
      <c r="D40" s="352"/>
      <c r="F40" s="273"/>
      <c r="H40" s="273">
        <v>0</v>
      </c>
      <c r="J40" s="273">
        <f t="shared" si="2"/>
        <v>0</v>
      </c>
      <c r="K40" s="273"/>
      <c r="M40" s="273"/>
      <c r="N40" s="273"/>
      <c r="O40" s="273"/>
      <c r="R40" s="679"/>
      <c r="T40" s="273"/>
      <c r="V40" s="273"/>
    </row>
    <row r="41" spans="2:22" s="253" customFormat="1" ht="10.5" customHeight="1" x14ac:dyDescent="0.2">
      <c r="C41" s="352" t="s">
        <v>981</v>
      </c>
      <c r="D41" s="352"/>
      <c r="F41" s="273"/>
      <c r="H41" s="273">
        <v>95</v>
      </c>
      <c r="J41" s="273">
        <f t="shared" si="2"/>
        <v>95</v>
      </c>
      <c r="K41" s="273"/>
      <c r="M41" s="273"/>
      <c r="N41" s="273"/>
      <c r="O41" s="273"/>
      <c r="R41" s="679"/>
      <c r="T41" s="273"/>
      <c r="V41" s="273"/>
    </row>
    <row r="42" spans="2:22" s="253" customFormat="1" ht="10.5" customHeight="1" x14ac:dyDescent="0.2">
      <c r="C42" s="352" t="s">
        <v>494</v>
      </c>
      <c r="D42" s="352"/>
      <c r="F42" s="273"/>
      <c r="H42" s="273">
        <v>346</v>
      </c>
      <c r="J42" s="273">
        <f t="shared" si="2"/>
        <v>346</v>
      </c>
      <c r="K42" s="273"/>
      <c r="M42" s="273"/>
      <c r="N42" s="273"/>
      <c r="O42" s="273"/>
      <c r="R42" s="679"/>
      <c r="T42" s="273"/>
      <c r="V42" s="273"/>
    </row>
    <row r="43" spans="2:22" s="253" customFormat="1" ht="10.5" hidden="1" customHeight="1" x14ac:dyDescent="0.2">
      <c r="C43" s="352" t="s">
        <v>206</v>
      </c>
      <c r="D43" s="352"/>
      <c r="F43" s="273">
        <v>0</v>
      </c>
      <c r="H43" s="273">
        <v>0</v>
      </c>
      <c r="J43" s="273">
        <f t="shared" si="2"/>
        <v>0</v>
      </c>
      <c r="K43" s="273"/>
      <c r="M43" s="273"/>
      <c r="N43" s="273"/>
      <c r="O43" s="273"/>
      <c r="R43" s="679"/>
      <c r="T43" s="273"/>
      <c r="V43" s="273"/>
    </row>
    <row r="44" spans="2:22" s="253" customFormat="1" ht="10.5" customHeight="1" x14ac:dyDescent="0.2">
      <c r="B44" s="352"/>
      <c r="C44" s="352"/>
      <c r="D44" s="352"/>
      <c r="F44" s="340"/>
      <c r="G44" s="254"/>
      <c r="H44" s="340"/>
      <c r="J44" s="366"/>
      <c r="K44" s="273"/>
      <c r="M44" s="254"/>
      <c r="O44" s="254"/>
      <c r="R44" s="679"/>
      <c r="T44" s="273"/>
      <c r="V44" s="273"/>
    </row>
    <row r="45" spans="2:22" s="253" customFormat="1" ht="10.5" customHeight="1" thickBot="1" x14ac:dyDescent="0.25">
      <c r="B45" s="353" t="s">
        <v>725</v>
      </c>
      <c r="C45" s="352"/>
      <c r="F45" s="344">
        <f>SUM(F33:F43)</f>
        <v>656</v>
      </c>
      <c r="G45" s="254"/>
      <c r="H45" s="344">
        <f>SUM(H33:H43)</f>
        <v>5883</v>
      </c>
      <c r="J45" s="344">
        <f>SUM(J33:J43)</f>
        <v>6539</v>
      </c>
      <c r="K45" s="273"/>
      <c r="M45" s="254"/>
      <c r="O45" s="254"/>
      <c r="R45" s="381">
        <f>+P25-J45</f>
        <v>0</v>
      </c>
      <c r="T45" s="273"/>
      <c r="V45" s="273"/>
    </row>
    <row r="46" spans="2:22" s="253" customFormat="1" ht="10.5" customHeight="1" thickTop="1" x14ac:dyDescent="0.2">
      <c r="G46" s="254"/>
      <c r="H46" s="273"/>
      <c r="I46" s="273"/>
      <c r="J46" s="273"/>
      <c r="K46" s="273"/>
      <c r="L46" s="631"/>
      <c r="M46" s="254"/>
      <c r="N46" s="631"/>
      <c r="O46" s="254"/>
      <c r="R46" s="679"/>
    </row>
    <row r="69" spans="18:18" ht="8.25" customHeight="1" x14ac:dyDescent="0.2">
      <c r="R69" s="247"/>
    </row>
    <row r="70" spans="18:18" ht="8.25" customHeight="1" x14ac:dyDescent="0.2">
      <c r="R70" s="247"/>
    </row>
    <row r="71" spans="18:18" ht="8.25" customHeight="1" x14ac:dyDescent="0.2">
      <c r="R71" s="247"/>
    </row>
    <row r="72" spans="18:18" ht="8.25" customHeight="1" x14ac:dyDescent="0.2">
      <c r="R72" s="247"/>
    </row>
    <row r="73" spans="18:18" ht="8.25" customHeight="1" x14ac:dyDescent="0.2">
      <c r="R73" s="247"/>
    </row>
    <row r="74" spans="18:18" ht="8.25" customHeight="1" x14ac:dyDescent="0.2">
      <c r="R74" s="247"/>
    </row>
    <row r="75" spans="18:18" ht="8.25" customHeight="1" x14ac:dyDescent="0.2">
      <c r="R75" s="247"/>
    </row>
    <row r="124" spans="18:18" ht="8.25" customHeight="1" x14ac:dyDescent="0.2">
      <c r="R124" s="247"/>
    </row>
  </sheetData>
  <mergeCells count="5">
    <mergeCell ref="A1:P1"/>
    <mergeCell ref="A4:D4"/>
    <mergeCell ref="J8:L8"/>
    <mergeCell ref="F28:J28"/>
    <mergeCell ref="F7:P7"/>
  </mergeCells>
  <phoneticPr fontId="9" type="noConversion"/>
  <printOptions horizontalCentered="1"/>
  <pageMargins left="0.5" right="0.5" top="0.5" bottom="0.625" header="0.5" footer="0.5"/>
  <pageSetup orientation="landscape" r:id="rId1"/>
  <headerFooter alignWithMargins="0">
    <oddFooter>&amp;C&amp;"Calibri,Regular"&amp;9The accompanying notes are an integral part of these basic financial statements.</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tabColor theme="6" tint="0.39997558519241921"/>
  </sheetPr>
  <dimension ref="A1:P341"/>
  <sheetViews>
    <sheetView view="pageBreakPreview" topLeftCell="A3" zoomScale="110" zoomScaleNormal="100" zoomScaleSheetLayoutView="110" workbookViewId="0">
      <selection activeCell="A91" sqref="A91"/>
    </sheetView>
  </sheetViews>
  <sheetFormatPr defaultColWidth="9.140625" defaultRowHeight="9.9499999999999993" customHeight="1" x14ac:dyDescent="0.2"/>
  <cols>
    <col min="1" max="2" width="1.5703125" style="314" customWidth="1"/>
    <col min="3" max="3" width="1.5703125" style="618" customWidth="1"/>
    <col min="4" max="4" width="38.85546875" style="314" customWidth="1"/>
    <col min="5" max="5" width="1.5703125" style="314" customWidth="1"/>
    <col min="6" max="6" width="15.85546875" style="314" customWidth="1"/>
    <col min="7" max="7" width="1.5703125" style="314" customWidth="1"/>
    <col min="8" max="8" width="15.85546875" style="314" customWidth="1"/>
    <col min="9" max="9" width="1.5703125" style="314" customWidth="1"/>
    <col min="10" max="10" width="15.85546875" style="314" customWidth="1"/>
    <col min="11" max="11" width="1.5703125" style="314" customWidth="1"/>
    <col min="12" max="12" width="15.85546875" style="314" customWidth="1"/>
    <col min="13" max="13" width="9.140625" style="202"/>
    <col min="14" max="14" width="9.140625" style="1000"/>
    <col min="15" max="16384" width="9.140625" style="202"/>
  </cols>
  <sheetData>
    <row r="1" spans="1:16" s="995" customFormat="1" ht="20.25" thickBot="1" x14ac:dyDescent="0.35">
      <c r="A1" s="1582" t="s">
        <v>1033</v>
      </c>
      <c r="B1" s="1582"/>
      <c r="C1" s="1582"/>
      <c r="D1" s="1582"/>
      <c r="E1" s="1582"/>
      <c r="F1" s="1582"/>
      <c r="G1" s="1582"/>
      <c r="H1" s="1582"/>
      <c r="I1" s="1582"/>
      <c r="J1" s="1582"/>
      <c r="K1" s="1582"/>
      <c r="L1" s="1582"/>
      <c r="N1" s="996"/>
    </row>
    <row r="2" spans="1:16" s="997" customFormat="1" ht="17.25" x14ac:dyDescent="0.3">
      <c r="A2" s="700" t="s">
        <v>538</v>
      </c>
      <c r="B2" s="713"/>
      <c r="C2" s="732"/>
      <c r="D2" s="713"/>
      <c r="E2" s="713"/>
      <c r="F2" s="713"/>
      <c r="G2" s="713"/>
      <c r="H2" s="713"/>
      <c r="I2" s="713"/>
      <c r="J2" s="713"/>
      <c r="K2" s="713"/>
      <c r="L2" s="713"/>
      <c r="N2" s="998"/>
    </row>
    <row r="3" spans="1:16" s="997" customFormat="1" ht="17.25" x14ac:dyDescent="0.3">
      <c r="A3" s="700" t="s">
        <v>492</v>
      </c>
      <c r="B3" s="713"/>
      <c r="C3" s="732"/>
      <c r="D3" s="713"/>
      <c r="E3" s="713"/>
      <c r="F3" s="713"/>
      <c r="G3" s="713"/>
      <c r="H3" s="713"/>
      <c r="I3" s="713"/>
      <c r="J3" s="713"/>
      <c r="K3" s="713"/>
      <c r="L3" s="713"/>
      <c r="N3" s="998"/>
    </row>
    <row r="4" spans="1:16" s="95" customFormat="1" ht="15" x14ac:dyDescent="0.25">
      <c r="A4" s="1579" t="s">
        <v>1461</v>
      </c>
      <c r="B4" s="1579"/>
      <c r="C4" s="1579"/>
      <c r="D4" s="1579"/>
      <c r="E4" s="1579"/>
      <c r="F4" s="1579"/>
      <c r="G4" s="1579"/>
      <c r="H4" s="506"/>
      <c r="I4" s="506"/>
      <c r="J4" s="506"/>
      <c r="K4" s="506"/>
      <c r="L4" s="506"/>
      <c r="N4" s="999"/>
    </row>
    <row r="5" spans="1:16" s="439" customFormat="1" ht="12" x14ac:dyDescent="0.2">
      <c r="A5" s="738" t="s">
        <v>972</v>
      </c>
      <c r="B5" s="718"/>
      <c r="C5" s="739"/>
      <c r="D5" s="718"/>
      <c r="E5" s="718"/>
      <c r="F5" s="721"/>
      <c r="G5" s="317"/>
      <c r="H5" s="317"/>
      <c r="I5" s="317"/>
      <c r="J5" s="317"/>
      <c r="K5" s="317"/>
      <c r="L5" s="317"/>
      <c r="N5" s="658"/>
    </row>
    <row r="6" spans="1:16" ht="9.9499999999999993" customHeight="1" x14ac:dyDescent="0.2">
      <c r="A6" s="507"/>
      <c r="B6" s="507"/>
      <c r="C6" s="655"/>
      <c r="D6" s="507"/>
      <c r="E6" s="507"/>
      <c r="F6" s="507"/>
      <c r="G6" s="507"/>
      <c r="H6" s="507"/>
      <c r="I6" s="507"/>
      <c r="J6" s="507"/>
      <c r="K6" s="507"/>
      <c r="L6" s="507"/>
    </row>
    <row r="7" spans="1:16" ht="9.9499999999999993" customHeight="1" x14ac:dyDescent="0.2">
      <c r="A7" s="507"/>
      <c r="B7" s="507"/>
      <c r="C7" s="655"/>
      <c r="D7" s="507"/>
      <c r="E7" s="507"/>
      <c r="F7" s="310"/>
      <c r="G7" s="507"/>
      <c r="H7" s="507"/>
      <c r="I7" s="507"/>
      <c r="J7" s="507"/>
      <c r="K7" s="507"/>
      <c r="L7" s="507"/>
    </row>
    <row r="8" spans="1:16" ht="9.9499999999999993" customHeight="1" x14ac:dyDescent="0.2">
      <c r="A8" s="336"/>
      <c r="B8" s="336"/>
      <c r="C8" s="656"/>
      <c r="D8" s="336"/>
      <c r="E8" s="336"/>
      <c r="F8" s="310" t="s">
        <v>342</v>
      </c>
      <c r="G8" s="336"/>
      <c r="H8" s="336"/>
      <c r="I8" s="336"/>
      <c r="J8" s="336"/>
      <c r="K8" s="336"/>
      <c r="L8" s="310" t="s">
        <v>342</v>
      </c>
    </row>
    <row r="9" spans="1:16" ht="9.9499999999999993" customHeight="1" x14ac:dyDescent="0.2">
      <c r="A9" s="336"/>
      <c r="B9" s="336"/>
      <c r="C9" s="656"/>
      <c r="D9" s="336"/>
      <c r="E9" s="336"/>
      <c r="F9" s="657" t="s">
        <v>1466</v>
      </c>
      <c r="G9" s="336"/>
      <c r="H9" s="574" t="s">
        <v>343</v>
      </c>
      <c r="I9" s="336"/>
      <c r="J9" s="574" t="s">
        <v>344</v>
      </c>
      <c r="K9" s="336"/>
      <c r="L9" s="657" t="s">
        <v>1467</v>
      </c>
    </row>
    <row r="10" spans="1:16" s="439" customFormat="1" ht="9.9499999999999993" customHeight="1" x14ac:dyDescent="0.2">
      <c r="A10" s="367" t="s">
        <v>1468</v>
      </c>
      <c r="B10" s="284"/>
      <c r="C10" s="617"/>
      <c r="D10" s="284"/>
      <c r="E10" s="253"/>
      <c r="F10" s="837"/>
      <c r="G10" s="253"/>
      <c r="H10" s="257"/>
      <c r="I10" s="253"/>
      <c r="J10" s="257"/>
      <c r="K10" s="253"/>
      <c r="L10" s="257"/>
      <c r="N10" s="658"/>
    </row>
    <row r="11" spans="1:16" s="439" customFormat="1" ht="6.95" customHeight="1" x14ac:dyDescent="0.2">
      <c r="A11" s="509"/>
      <c r="B11" s="509"/>
      <c r="C11" s="659"/>
      <c r="D11" s="509"/>
      <c r="E11" s="253"/>
      <c r="F11" s="257"/>
      <c r="G11" s="253"/>
      <c r="H11" s="257"/>
      <c r="I11" s="253"/>
      <c r="J11" s="257"/>
      <c r="K11" s="253"/>
      <c r="L11" s="257"/>
      <c r="N11" s="658"/>
    </row>
    <row r="12" spans="1:16" s="439" customFormat="1" ht="9.9499999999999993" customHeight="1" x14ac:dyDescent="0.2">
      <c r="A12" s="253"/>
      <c r="B12" s="353" t="s">
        <v>672</v>
      </c>
      <c r="C12" s="660"/>
      <c r="D12" s="352"/>
      <c r="E12" s="253"/>
      <c r="F12" s="254"/>
      <c r="G12" s="254"/>
      <c r="H12" s="254"/>
      <c r="I12" s="254"/>
      <c r="J12" s="254"/>
      <c r="K12" s="254"/>
      <c r="L12" s="254"/>
      <c r="N12" s="658"/>
    </row>
    <row r="13" spans="1:16" s="439" customFormat="1" ht="9.9499999999999993" customHeight="1" x14ac:dyDescent="0.2">
      <c r="A13" s="253"/>
      <c r="B13" s="353"/>
      <c r="C13" s="660" t="s">
        <v>673</v>
      </c>
      <c r="D13" s="352"/>
      <c r="E13" s="253"/>
      <c r="F13" s="346">
        <v>210</v>
      </c>
      <c r="G13" s="346"/>
      <c r="H13" s="1378">
        <v>18360</v>
      </c>
      <c r="I13" s="1379"/>
      <c r="J13" s="1380">
        <v>17677</v>
      </c>
      <c r="K13" s="346"/>
      <c r="L13" s="346">
        <f t="shared" ref="L13:L19" si="0">SUM(F13+H13-J13)</f>
        <v>893</v>
      </c>
      <c r="N13" s="658"/>
      <c r="O13" s="1001"/>
      <c r="P13" s="748">
        <v>0</v>
      </c>
    </row>
    <row r="14" spans="1:16" s="439" customFormat="1" ht="9.9499999999999993" hidden="1" customHeight="1" x14ac:dyDescent="0.2">
      <c r="A14" s="253"/>
      <c r="B14" s="353"/>
      <c r="C14" s="660" t="s">
        <v>1013</v>
      </c>
      <c r="D14" s="352"/>
      <c r="E14" s="253"/>
      <c r="F14" s="273">
        <v>0</v>
      </c>
      <c r="G14" s="254"/>
      <c r="H14" s="1340"/>
      <c r="I14" s="254"/>
      <c r="J14" s="1341"/>
      <c r="K14" s="254"/>
      <c r="L14" s="273">
        <f t="shared" si="0"/>
        <v>0</v>
      </c>
      <c r="N14" s="658"/>
      <c r="O14" s="1001"/>
      <c r="P14" s="748"/>
    </row>
    <row r="15" spans="1:16" s="439" customFormat="1" ht="9.9499999999999993" customHeight="1" x14ac:dyDescent="0.2">
      <c r="A15" s="253"/>
      <c r="B15" s="353"/>
      <c r="C15" s="660" t="s">
        <v>674</v>
      </c>
      <c r="D15" s="352"/>
      <c r="E15" s="253"/>
      <c r="F15" s="273">
        <v>1991</v>
      </c>
      <c r="G15" s="254"/>
      <c r="H15" s="1340">
        <v>774</v>
      </c>
      <c r="I15" s="254"/>
      <c r="J15" s="1341">
        <v>1994</v>
      </c>
      <c r="K15" s="254"/>
      <c r="L15" s="273">
        <f t="shared" si="0"/>
        <v>771</v>
      </c>
      <c r="N15" s="658"/>
      <c r="O15" s="1001"/>
      <c r="P15" s="748"/>
    </row>
    <row r="16" spans="1:16" s="439" customFormat="1" ht="9.9499999999999993" customHeight="1" x14ac:dyDescent="0.2">
      <c r="A16" s="253"/>
      <c r="B16" s="353"/>
      <c r="C16" s="660" t="s">
        <v>62</v>
      </c>
      <c r="D16" s="352"/>
      <c r="E16" s="253"/>
      <c r="F16" s="273">
        <v>0</v>
      </c>
      <c r="G16" s="254"/>
      <c r="H16" s="1340"/>
      <c r="I16" s="254"/>
      <c r="J16" s="1341"/>
      <c r="K16" s="254"/>
      <c r="L16" s="273">
        <f t="shared" si="0"/>
        <v>0</v>
      </c>
      <c r="N16" s="658"/>
      <c r="O16" s="1001"/>
      <c r="P16" s="748"/>
    </row>
    <row r="17" spans="1:16" s="439" customFormat="1" ht="9.75" customHeight="1" x14ac:dyDescent="0.2">
      <c r="A17" s="253"/>
      <c r="B17" s="352"/>
      <c r="C17" s="660"/>
      <c r="D17" s="352" t="s">
        <v>844</v>
      </c>
      <c r="E17" s="253"/>
      <c r="F17" s="273">
        <v>94</v>
      </c>
      <c r="G17" s="254"/>
      <c r="H17" s="1340">
        <v>13443</v>
      </c>
      <c r="I17" s="254"/>
      <c r="J17" s="1341">
        <v>13292</v>
      </c>
      <c r="K17" s="254"/>
      <c r="L17" s="273">
        <f t="shared" si="0"/>
        <v>245</v>
      </c>
      <c r="N17" s="658"/>
      <c r="O17" s="1001"/>
      <c r="P17" s="748"/>
    </row>
    <row r="18" spans="1:16" s="439" customFormat="1" ht="9.9499999999999993" customHeight="1" x14ac:dyDescent="0.2">
      <c r="A18" s="253"/>
      <c r="B18" s="352"/>
      <c r="C18" s="660"/>
      <c r="D18" s="352" t="s">
        <v>676</v>
      </c>
      <c r="E18" s="253"/>
      <c r="F18" s="273">
        <v>4</v>
      </c>
      <c r="G18" s="418"/>
      <c r="H18" s="1340">
        <v>2</v>
      </c>
      <c r="I18" s="254"/>
      <c r="J18" s="1341">
        <v>4</v>
      </c>
      <c r="K18" s="254"/>
      <c r="L18" s="273">
        <f t="shared" si="0"/>
        <v>2</v>
      </c>
      <c r="N18" s="658"/>
      <c r="O18" s="1001"/>
      <c r="P18" s="748"/>
    </row>
    <row r="19" spans="1:16" s="439" customFormat="1" ht="9.9499999999999993" hidden="1" customHeight="1" x14ac:dyDescent="0.2">
      <c r="A19" s="253"/>
      <c r="B19" s="352"/>
      <c r="C19" s="660" t="s">
        <v>63</v>
      </c>
      <c r="D19" s="352"/>
      <c r="E19" s="253"/>
      <c r="F19" s="273">
        <v>0</v>
      </c>
      <c r="G19" s="254"/>
      <c r="H19" s="254"/>
      <c r="I19" s="254"/>
      <c r="J19" s="254"/>
      <c r="K19" s="254"/>
      <c r="L19" s="273">
        <f t="shared" si="0"/>
        <v>0</v>
      </c>
      <c r="N19" s="658"/>
      <c r="O19" s="1001"/>
      <c r="P19" s="748"/>
    </row>
    <row r="20" spans="1:16" s="439" customFormat="1" ht="9.9499999999999993" customHeight="1" x14ac:dyDescent="0.2">
      <c r="A20" s="253"/>
      <c r="B20" s="352"/>
      <c r="C20" s="660"/>
      <c r="D20" s="352"/>
      <c r="E20" s="253"/>
      <c r="F20" s="340"/>
      <c r="G20" s="254"/>
      <c r="H20" s="366"/>
      <c r="I20" s="254"/>
      <c r="J20" s="366"/>
      <c r="K20" s="254"/>
      <c r="L20" s="340"/>
      <c r="N20" s="658"/>
      <c r="O20" s="1001"/>
      <c r="P20" s="748"/>
    </row>
    <row r="21" spans="1:16" s="439" customFormat="1" ht="9.9499999999999993" customHeight="1" thickBot="1" x14ac:dyDescent="0.25">
      <c r="A21" s="253"/>
      <c r="B21" s="353" t="s">
        <v>687</v>
      </c>
      <c r="C21" s="660"/>
      <c r="D21" s="352"/>
      <c r="E21" s="253"/>
      <c r="F21" s="344">
        <f>SUM(F13:F20)</f>
        <v>2299</v>
      </c>
      <c r="G21" s="254"/>
      <c r="H21" s="344">
        <f>SUM(H13:H19)</f>
        <v>32579</v>
      </c>
      <c r="I21" s="254"/>
      <c r="J21" s="344">
        <f>SUM(J13:J19)</f>
        <v>32967</v>
      </c>
      <c r="K21" s="254"/>
      <c r="L21" s="344">
        <f>SUM(L13:L20)</f>
        <v>1911</v>
      </c>
      <c r="N21" s="658"/>
      <c r="O21" s="1001"/>
      <c r="P21" s="748"/>
    </row>
    <row r="22" spans="1:16" s="439" customFormat="1" ht="9.9499999999999993" customHeight="1" thickTop="1" x14ac:dyDescent="0.2">
      <c r="A22" s="253"/>
      <c r="B22" s="352"/>
      <c r="C22" s="660"/>
      <c r="D22" s="352"/>
      <c r="E22" s="253"/>
      <c r="F22" s="254"/>
      <c r="G22" s="254"/>
      <c r="H22" s="254"/>
      <c r="I22" s="254"/>
      <c r="J22" s="254"/>
      <c r="K22" s="254"/>
      <c r="L22" s="254"/>
      <c r="N22" s="658"/>
      <c r="O22" s="1001"/>
      <c r="P22" s="748"/>
    </row>
    <row r="23" spans="1:16" s="439" customFormat="1" ht="9.9499999999999993" customHeight="1" x14ac:dyDescent="0.2">
      <c r="A23" s="253"/>
      <c r="B23" s="353" t="s">
        <v>751</v>
      </c>
      <c r="C23" s="660"/>
      <c r="D23" s="352"/>
      <c r="E23" s="253"/>
      <c r="F23" s="254"/>
      <c r="G23" s="254"/>
      <c r="H23" s="254"/>
      <c r="I23" s="254"/>
      <c r="J23" s="254"/>
      <c r="K23" s="254"/>
      <c r="L23" s="254"/>
      <c r="N23" s="658"/>
      <c r="O23" s="1001"/>
      <c r="P23" s="748"/>
    </row>
    <row r="24" spans="1:16" s="439" customFormat="1" ht="9.9499999999999993" customHeight="1" x14ac:dyDescent="0.2">
      <c r="A24" s="253"/>
      <c r="B24" s="353"/>
      <c r="C24" s="660" t="s">
        <v>688</v>
      </c>
      <c r="D24" s="352"/>
      <c r="E24" s="254"/>
      <c r="F24" s="339">
        <v>0</v>
      </c>
      <c r="G24" s="254"/>
      <c r="H24" s="1378">
        <v>13962</v>
      </c>
      <c r="I24" s="1379"/>
      <c r="J24" s="1378">
        <v>13306</v>
      </c>
      <c r="K24" s="630"/>
      <c r="L24" s="1329">
        <f>SUM(F24+H24-J24)</f>
        <v>656</v>
      </c>
      <c r="N24" s="658"/>
      <c r="O24" s="1001"/>
      <c r="P24" s="748"/>
    </row>
    <row r="25" spans="1:16" s="646" customFormat="1" ht="9.9499999999999993" customHeight="1" x14ac:dyDescent="0.2">
      <c r="A25" s="533"/>
      <c r="B25" s="662"/>
      <c r="C25" s="663" t="s">
        <v>847</v>
      </c>
      <c r="D25" s="663"/>
      <c r="E25" s="533"/>
      <c r="F25" s="538">
        <v>1670</v>
      </c>
      <c r="G25" s="538"/>
      <c r="H25" s="1218">
        <v>15452</v>
      </c>
      <c r="I25" s="1218"/>
      <c r="J25" s="1218">
        <v>15867</v>
      </c>
      <c r="K25" s="1324"/>
      <c r="L25" s="538">
        <f>SUM(F25+H25-J25)</f>
        <v>1255</v>
      </c>
      <c r="N25" s="1002"/>
      <c r="O25" s="1004"/>
      <c r="P25" s="1004"/>
    </row>
    <row r="26" spans="1:16" s="439" customFormat="1" ht="9.9499999999999993" hidden="1" customHeight="1" x14ac:dyDescent="0.2">
      <c r="A26" s="253"/>
      <c r="B26" s="353"/>
      <c r="C26" s="660" t="s">
        <v>854</v>
      </c>
      <c r="D26" s="352"/>
      <c r="E26" s="254"/>
      <c r="F26" s="273">
        <v>0</v>
      </c>
      <c r="G26" s="538"/>
      <c r="H26" s="1218"/>
      <c r="I26" s="1218"/>
      <c r="J26" s="1218"/>
      <c r="K26" s="1324"/>
      <c r="L26" s="538">
        <f>SUM(F26+H26-J26)</f>
        <v>0</v>
      </c>
      <c r="N26" s="658"/>
      <c r="O26" s="1001"/>
      <c r="P26" s="748"/>
    </row>
    <row r="27" spans="1:16" s="439" customFormat="1" ht="9.9499999999999993" customHeight="1" x14ac:dyDescent="0.2">
      <c r="A27" s="253"/>
      <c r="B27" s="353"/>
      <c r="C27" s="660" t="s">
        <v>604</v>
      </c>
      <c r="D27" s="352"/>
      <c r="E27" s="254"/>
      <c r="F27" s="273">
        <v>629</v>
      </c>
      <c r="G27" s="254"/>
      <c r="H27" s="254"/>
      <c r="I27" s="254"/>
      <c r="J27" s="254">
        <v>629</v>
      </c>
      <c r="K27" s="630"/>
      <c r="L27" s="273">
        <f>SUM(F27+H27-J27)</f>
        <v>0</v>
      </c>
      <c r="N27" s="658"/>
      <c r="O27" s="1001"/>
      <c r="P27" s="748"/>
    </row>
    <row r="28" spans="1:16" s="439" customFormat="1" ht="9.9499999999999993" customHeight="1" x14ac:dyDescent="0.2">
      <c r="A28" s="253"/>
      <c r="B28" s="353"/>
      <c r="C28" s="660"/>
      <c r="D28" s="352"/>
      <c r="E28" s="254"/>
      <c r="F28" s="661"/>
      <c r="G28" s="254"/>
      <c r="H28" s="366"/>
      <c r="I28" s="254"/>
      <c r="J28" s="366"/>
      <c r="K28" s="254"/>
      <c r="L28" s="661"/>
      <c r="N28" s="658"/>
      <c r="O28" s="1001"/>
      <c r="P28" s="748"/>
    </row>
    <row r="29" spans="1:16" s="439" customFormat="1" ht="9.9499999999999993" customHeight="1" thickBot="1" x14ac:dyDescent="0.25">
      <c r="A29" s="253"/>
      <c r="B29" s="353" t="s">
        <v>702</v>
      </c>
      <c r="C29" s="660"/>
      <c r="D29" s="352"/>
      <c r="E29" s="254"/>
      <c r="F29" s="344">
        <f>SUM(F24:F28)</f>
        <v>2299</v>
      </c>
      <c r="G29" s="254"/>
      <c r="H29" s="344">
        <f>SUM(H24:H27)</f>
        <v>29414</v>
      </c>
      <c r="I29" s="254"/>
      <c r="J29" s="344">
        <f>SUM(J24:J27)</f>
        <v>29802</v>
      </c>
      <c r="K29" s="254"/>
      <c r="L29" s="344">
        <f>SUM(L24:L28)</f>
        <v>1911</v>
      </c>
      <c r="N29" s="420">
        <f>+L21-L29</f>
        <v>0</v>
      </c>
      <c r="O29" s="1001">
        <f>+L29-'BS-agency '!P13</f>
        <v>0</v>
      </c>
      <c r="P29" s="748"/>
    </row>
    <row r="30" spans="1:16" s="439" customFormat="1" ht="9.9499999999999993" customHeight="1" thickTop="1" x14ac:dyDescent="0.2">
      <c r="A30" s="253"/>
      <c r="B30" s="353"/>
      <c r="C30" s="660"/>
      <c r="D30" s="352"/>
      <c r="E30" s="254"/>
      <c r="F30" s="339"/>
      <c r="G30" s="254"/>
      <c r="H30" s="339"/>
      <c r="I30" s="254"/>
      <c r="J30" s="339"/>
      <c r="K30" s="254"/>
      <c r="L30" s="339"/>
      <c r="N30" s="658"/>
      <c r="O30" s="1001"/>
      <c r="P30" s="748"/>
    </row>
    <row r="31" spans="1:16" s="439" customFormat="1" ht="9.9499999999999993" customHeight="1" x14ac:dyDescent="0.2">
      <c r="A31" s="367" t="s">
        <v>496</v>
      </c>
      <c r="B31" s="284"/>
      <c r="C31" s="617"/>
      <c r="D31" s="284"/>
      <c r="E31" s="253"/>
      <c r="F31" s="257"/>
      <c r="G31" s="253"/>
      <c r="H31" s="257"/>
      <c r="I31" s="253"/>
      <c r="J31" s="257"/>
      <c r="K31" s="253"/>
      <c r="L31" s="257"/>
      <c r="N31" s="658"/>
      <c r="O31" s="1001"/>
      <c r="P31" s="748"/>
    </row>
    <row r="32" spans="1:16" s="439" customFormat="1" ht="6.95" customHeight="1" x14ac:dyDescent="0.2">
      <c r="A32" s="509"/>
      <c r="B32" s="509"/>
      <c r="C32" s="659"/>
      <c r="D32" s="509"/>
      <c r="E32" s="253"/>
      <c r="F32" s="257"/>
      <c r="G32" s="253"/>
      <c r="H32" s="257"/>
      <c r="I32" s="253"/>
      <c r="J32" s="257"/>
      <c r="K32" s="253"/>
      <c r="L32" s="257"/>
      <c r="N32" s="658"/>
      <c r="O32" s="1001"/>
      <c r="P32" s="748"/>
    </row>
    <row r="33" spans="1:16" s="439" customFormat="1" ht="9.9499999999999993" customHeight="1" x14ac:dyDescent="0.2">
      <c r="A33" s="253"/>
      <c r="B33" s="353" t="s">
        <v>672</v>
      </c>
      <c r="C33" s="660"/>
      <c r="D33" s="352"/>
      <c r="E33" s="253"/>
      <c r="F33" s="254"/>
      <c r="G33" s="254"/>
      <c r="H33" s="254"/>
      <c r="I33" s="254"/>
      <c r="J33" s="254"/>
      <c r="K33" s="254"/>
      <c r="L33" s="254"/>
      <c r="N33" s="658"/>
      <c r="O33" s="1001"/>
      <c r="P33" s="748"/>
    </row>
    <row r="34" spans="1:16" s="439" customFormat="1" ht="9.9499999999999993" customHeight="1" x14ac:dyDescent="0.2">
      <c r="A34" s="253"/>
      <c r="B34" s="353"/>
      <c r="C34" s="660" t="s">
        <v>673</v>
      </c>
      <c r="D34" s="352"/>
      <c r="E34" s="253"/>
      <c r="F34" s="339">
        <v>2213</v>
      </c>
      <c r="G34" s="254"/>
      <c r="H34" s="346">
        <v>5861</v>
      </c>
      <c r="I34" s="254"/>
      <c r="J34" s="339">
        <v>6874</v>
      </c>
      <c r="K34" s="254"/>
      <c r="L34" s="339">
        <f t="shared" ref="L34:L40" si="1">SUM(F34+H34-J34)</f>
        <v>1200</v>
      </c>
      <c r="N34" s="658"/>
      <c r="O34" s="1001"/>
      <c r="P34" s="748"/>
    </row>
    <row r="35" spans="1:16" s="439" customFormat="1" ht="9.9499999999999993" hidden="1" customHeight="1" x14ac:dyDescent="0.2">
      <c r="A35" s="533"/>
      <c r="B35" s="662"/>
      <c r="C35" s="660" t="s">
        <v>1013</v>
      </c>
      <c r="D35" s="663"/>
      <c r="E35" s="533"/>
      <c r="F35" s="273">
        <v>0</v>
      </c>
      <c r="G35" s="538"/>
      <c r="H35" s="1218"/>
      <c r="I35" s="1218"/>
      <c r="J35" s="1218"/>
      <c r="K35" s="538"/>
      <c r="L35" s="273">
        <f t="shared" si="1"/>
        <v>0</v>
      </c>
      <c r="M35" s="646"/>
      <c r="N35" s="1002"/>
      <c r="O35" s="1001"/>
      <c r="P35" s="748"/>
    </row>
    <row r="36" spans="1:16" s="439" customFormat="1" ht="9.9499999999999993" hidden="1" customHeight="1" x14ac:dyDescent="0.2">
      <c r="A36" s="533"/>
      <c r="B36" s="662"/>
      <c r="C36" s="660" t="s">
        <v>674</v>
      </c>
      <c r="D36" s="352"/>
      <c r="E36" s="253"/>
      <c r="F36" s="273">
        <v>0</v>
      </c>
      <c r="G36" s="254"/>
      <c r="H36" s="254"/>
      <c r="I36" s="254"/>
      <c r="J36" s="254"/>
      <c r="K36" s="254"/>
      <c r="L36" s="273">
        <f t="shared" si="1"/>
        <v>0</v>
      </c>
      <c r="M36" s="646"/>
      <c r="N36" s="1002"/>
      <c r="O36" s="1001"/>
      <c r="P36" s="748"/>
    </row>
    <row r="37" spans="1:16" s="439" customFormat="1" ht="9.9499999999999993" hidden="1" customHeight="1" x14ac:dyDescent="0.2">
      <c r="A37" s="533"/>
      <c r="B37" s="662"/>
      <c r="C37" s="660" t="s">
        <v>62</v>
      </c>
      <c r="D37" s="663"/>
      <c r="E37" s="533"/>
      <c r="F37" s="273">
        <v>0</v>
      </c>
      <c r="G37" s="538"/>
      <c r="H37" s="1218"/>
      <c r="I37" s="1218"/>
      <c r="J37" s="1218"/>
      <c r="K37" s="538"/>
      <c r="L37" s="273">
        <f t="shared" si="1"/>
        <v>0</v>
      </c>
      <c r="M37" s="646"/>
      <c r="N37" s="1002"/>
      <c r="O37" s="1001"/>
      <c r="P37" s="748"/>
    </row>
    <row r="38" spans="1:16" s="439" customFormat="1" ht="9.9499999999999993" hidden="1" customHeight="1" x14ac:dyDescent="0.2">
      <c r="A38" s="533"/>
      <c r="B38" s="663"/>
      <c r="C38" s="660"/>
      <c r="D38" s="663" t="s">
        <v>844</v>
      </c>
      <c r="E38" s="533"/>
      <c r="F38" s="273">
        <v>0</v>
      </c>
      <c r="G38" s="538"/>
      <c r="H38" s="1218"/>
      <c r="I38" s="1218"/>
      <c r="J38" s="1218"/>
      <c r="K38" s="538"/>
      <c r="L38" s="273">
        <f t="shared" si="1"/>
        <v>0</v>
      </c>
      <c r="M38" s="646"/>
      <c r="N38" s="1002"/>
      <c r="O38" s="1001"/>
      <c r="P38" s="748"/>
    </row>
    <row r="39" spans="1:16" s="439" customFormat="1" ht="9.9499999999999993" hidden="1" customHeight="1" x14ac:dyDescent="0.2">
      <c r="A39" s="533"/>
      <c r="B39" s="663"/>
      <c r="C39" s="660"/>
      <c r="D39" s="663" t="s">
        <v>676</v>
      </c>
      <c r="E39" s="533"/>
      <c r="F39" s="273">
        <v>0</v>
      </c>
      <c r="G39" s="538"/>
      <c r="H39" s="1218"/>
      <c r="I39" s="1218"/>
      <c r="J39" s="1218"/>
      <c r="K39" s="538"/>
      <c r="L39" s="273">
        <f t="shared" si="1"/>
        <v>0</v>
      </c>
      <c r="M39" s="646"/>
      <c r="N39" s="1002"/>
      <c r="O39" s="1001"/>
      <c r="P39" s="748"/>
    </row>
    <row r="40" spans="1:16" s="439" customFormat="1" ht="9.9499999999999993" hidden="1" customHeight="1" x14ac:dyDescent="0.2">
      <c r="A40" s="533"/>
      <c r="B40" s="663"/>
      <c r="C40" s="660" t="s">
        <v>63</v>
      </c>
      <c r="D40" s="663"/>
      <c r="E40" s="533"/>
      <c r="F40" s="273">
        <v>0</v>
      </c>
      <c r="G40" s="538"/>
      <c r="H40" s="1218"/>
      <c r="I40" s="1218"/>
      <c r="J40" s="1218"/>
      <c r="K40" s="538"/>
      <c r="L40" s="273">
        <f t="shared" si="1"/>
        <v>0</v>
      </c>
      <c r="M40" s="646"/>
      <c r="N40" s="1002"/>
      <c r="O40" s="1001"/>
      <c r="P40" s="748"/>
    </row>
    <row r="41" spans="1:16" s="439" customFormat="1" ht="9.9499999999999993" customHeight="1" x14ac:dyDescent="0.2">
      <c r="A41" s="253"/>
      <c r="B41" s="352"/>
      <c r="C41" s="660"/>
      <c r="D41" s="352"/>
      <c r="E41" s="253"/>
      <c r="F41" s="340"/>
      <c r="G41" s="254"/>
      <c r="H41" s="366"/>
      <c r="I41" s="254"/>
      <c r="J41" s="366"/>
      <c r="K41" s="254"/>
      <c r="L41" s="340"/>
      <c r="N41" s="658"/>
      <c r="O41" s="1001"/>
      <c r="P41" s="748"/>
    </row>
    <row r="42" spans="1:16" s="439" customFormat="1" ht="9.9499999999999993" customHeight="1" thickBot="1" x14ac:dyDescent="0.25">
      <c r="A42" s="253"/>
      <c r="B42" s="353" t="s">
        <v>687</v>
      </c>
      <c r="C42" s="660"/>
      <c r="D42" s="352"/>
      <c r="E42" s="253"/>
      <c r="F42" s="344">
        <f>SUM(F34:F41)</f>
        <v>2213</v>
      </c>
      <c r="G42" s="254"/>
      <c r="H42" s="344">
        <f>SUM(H34:H40)</f>
        <v>5861</v>
      </c>
      <c r="I42" s="254"/>
      <c r="J42" s="344">
        <f>SUM(J34:J40)</f>
        <v>6874</v>
      </c>
      <c r="K42" s="254"/>
      <c r="L42" s="344">
        <f>SUM(L34:L40)</f>
        <v>1200</v>
      </c>
      <c r="N42" s="1003"/>
      <c r="O42" s="1001"/>
      <c r="P42" s="748"/>
    </row>
    <row r="43" spans="1:16" s="439" customFormat="1" ht="9.9499999999999993" customHeight="1" thickTop="1" x14ac:dyDescent="0.2">
      <c r="A43" s="253"/>
      <c r="B43" s="352"/>
      <c r="C43" s="660"/>
      <c r="D43" s="352"/>
      <c r="E43" s="253"/>
      <c r="F43" s="254"/>
      <c r="G43" s="254"/>
      <c r="H43" s="254"/>
      <c r="I43" s="254"/>
      <c r="J43" s="254"/>
      <c r="K43" s="254"/>
      <c r="L43" s="254"/>
      <c r="N43" s="658"/>
      <c r="O43" s="1001"/>
      <c r="P43" s="748"/>
    </row>
    <row r="44" spans="1:16" s="439" customFormat="1" ht="9.9499999999999993" customHeight="1" x14ac:dyDescent="0.2">
      <c r="A44" s="253"/>
      <c r="B44" s="353" t="s">
        <v>751</v>
      </c>
      <c r="C44" s="660"/>
      <c r="D44" s="352"/>
      <c r="E44" s="253"/>
      <c r="F44" s="254"/>
      <c r="G44" s="254"/>
      <c r="H44" s="254"/>
      <c r="I44" s="254"/>
      <c r="J44" s="254"/>
      <c r="K44" s="254"/>
      <c r="L44" s="254"/>
      <c r="N44" s="658"/>
      <c r="O44" s="1001"/>
      <c r="P44" s="748"/>
    </row>
    <row r="45" spans="1:16" s="439" customFormat="1" ht="9.9499999999999993" customHeight="1" x14ac:dyDescent="0.2">
      <c r="A45" s="253"/>
      <c r="B45" s="353"/>
      <c r="C45" s="660" t="s">
        <v>688</v>
      </c>
      <c r="D45" s="352"/>
      <c r="E45" s="254"/>
      <c r="F45" s="339">
        <v>10</v>
      </c>
      <c r="G45" s="254"/>
      <c r="H45" s="339">
        <v>0</v>
      </c>
      <c r="I45" s="254"/>
      <c r="J45" s="339">
        <v>10</v>
      </c>
      <c r="K45" s="254"/>
      <c r="L45" s="339">
        <f>SUM(F45+H45-J45)</f>
        <v>0</v>
      </c>
      <c r="N45" s="658"/>
      <c r="O45" s="1001"/>
      <c r="P45" s="748"/>
    </row>
    <row r="46" spans="1:16" s="439" customFormat="1" ht="9.9499999999999993" customHeight="1" x14ac:dyDescent="0.2">
      <c r="A46" s="253"/>
      <c r="B46" s="353"/>
      <c r="C46" s="660" t="s">
        <v>847</v>
      </c>
      <c r="D46" s="352"/>
      <c r="E46" s="254"/>
      <c r="F46" s="273">
        <v>2203</v>
      </c>
      <c r="G46" s="254"/>
      <c r="H46" s="254">
        <v>5873</v>
      </c>
      <c r="I46" s="254"/>
      <c r="J46" s="254">
        <v>6876</v>
      </c>
      <c r="K46" s="254"/>
      <c r="L46" s="273">
        <f>SUM(F46+H46-J46)</f>
        <v>1200</v>
      </c>
      <c r="N46" s="658"/>
      <c r="O46" s="1001"/>
      <c r="P46" s="748"/>
    </row>
    <row r="47" spans="1:16" s="439" customFormat="1" ht="9.9499999999999993" hidden="1" customHeight="1" x14ac:dyDescent="0.2">
      <c r="A47" s="253"/>
      <c r="B47" s="353"/>
      <c r="C47" s="660" t="s">
        <v>854</v>
      </c>
      <c r="D47" s="352"/>
      <c r="E47" s="254"/>
      <c r="F47" s="273">
        <v>0</v>
      </c>
      <c r="G47" s="254"/>
      <c r="H47" s="254"/>
      <c r="I47" s="254"/>
      <c r="J47" s="254"/>
      <c r="K47" s="254"/>
      <c r="L47" s="273">
        <f>SUM(F47+H47-J47)</f>
        <v>0</v>
      </c>
      <c r="N47" s="658"/>
      <c r="O47" s="1001"/>
      <c r="P47" s="748"/>
    </row>
    <row r="48" spans="1:16" s="439" customFormat="1" ht="9.9499999999999993" hidden="1" customHeight="1" x14ac:dyDescent="0.2">
      <c r="A48" s="253"/>
      <c r="B48" s="353"/>
      <c r="C48" s="660" t="s">
        <v>604</v>
      </c>
      <c r="D48" s="352"/>
      <c r="E48" s="254"/>
      <c r="F48" s="273">
        <v>0</v>
      </c>
      <c r="G48" s="254"/>
      <c r="H48" s="254"/>
      <c r="I48" s="254"/>
      <c r="J48" s="254"/>
      <c r="K48" s="254"/>
      <c r="L48" s="273">
        <f>SUM(F48+H48-J48)</f>
        <v>0</v>
      </c>
      <c r="N48" s="658"/>
      <c r="O48" s="1001"/>
      <c r="P48" s="748"/>
    </row>
    <row r="49" spans="1:16" s="439" customFormat="1" ht="9.9499999999999993" customHeight="1" x14ac:dyDescent="0.2">
      <c r="A49" s="253"/>
      <c r="B49" s="353"/>
      <c r="C49" s="660"/>
      <c r="D49" s="352"/>
      <c r="E49" s="254"/>
      <c r="F49" s="661"/>
      <c r="G49" s="254"/>
      <c r="H49" s="366"/>
      <c r="I49" s="254"/>
      <c r="J49" s="366"/>
      <c r="K49" s="254"/>
      <c r="L49" s="661"/>
      <c r="N49" s="658"/>
      <c r="O49" s="1001"/>
      <c r="P49" s="748"/>
    </row>
    <row r="50" spans="1:16" s="439" customFormat="1" ht="9.9499999999999993" customHeight="1" thickBot="1" x14ac:dyDescent="0.25">
      <c r="A50" s="253"/>
      <c r="B50" s="353" t="s">
        <v>702</v>
      </c>
      <c r="C50" s="660"/>
      <c r="D50" s="352"/>
      <c r="E50" s="254"/>
      <c r="F50" s="344">
        <f>SUM(F45:F49)</f>
        <v>2213</v>
      </c>
      <c r="G50" s="254"/>
      <c r="H50" s="344">
        <f>SUM(H45:H48)</f>
        <v>5873</v>
      </c>
      <c r="I50" s="254"/>
      <c r="J50" s="344">
        <f>SUM(J45:J48)</f>
        <v>6886</v>
      </c>
      <c r="K50" s="254"/>
      <c r="L50" s="344">
        <f>SUM(L45:L48)</f>
        <v>1200</v>
      </c>
      <c r="N50" s="420">
        <f>+L42-L50</f>
        <v>0</v>
      </c>
      <c r="O50" s="1001">
        <f>+L50-'BS-agency '!P14</f>
        <v>0</v>
      </c>
      <c r="P50" s="748"/>
    </row>
    <row r="51" spans="1:16" s="439" customFormat="1" ht="9.9499999999999993" customHeight="1" thickTop="1" x14ac:dyDescent="0.2">
      <c r="A51" s="253"/>
      <c r="B51" s="353"/>
      <c r="C51" s="660"/>
      <c r="D51" s="352"/>
      <c r="E51" s="254"/>
      <c r="F51" s="339"/>
      <c r="G51" s="254"/>
      <c r="H51" s="339"/>
      <c r="I51" s="254"/>
      <c r="J51" s="339"/>
      <c r="K51" s="254"/>
      <c r="L51" s="339"/>
      <c r="N51" s="658"/>
      <c r="O51" s="1001"/>
      <c r="P51" s="748"/>
    </row>
    <row r="52" spans="1:16" s="439" customFormat="1" ht="9.9499999999999993" hidden="1" customHeight="1" x14ac:dyDescent="0.2">
      <c r="A52" s="367" t="s">
        <v>270</v>
      </c>
      <c r="B52" s="284"/>
      <c r="C52" s="617"/>
      <c r="D52" s="284"/>
      <c r="E52" s="253"/>
      <c r="F52" s="257"/>
      <c r="G52" s="253"/>
      <c r="H52" s="257"/>
      <c r="I52" s="253"/>
      <c r="J52" s="257"/>
      <c r="K52" s="253"/>
      <c r="L52" s="257"/>
      <c r="N52" s="658"/>
      <c r="O52" s="1001"/>
      <c r="P52" s="748"/>
    </row>
    <row r="53" spans="1:16" s="439" customFormat="1" ht="6.95" hidden="1" customHeight="1" x14ac:dyDescent="0.2">
      <c r="A53" s="509"/>
      <c r="B53" s="509"/>
      <c r="C53" s="659"/>
      <c r="D53" s="509"/>
      <c r="E53" s="253"/>
      <c r="F53" s="257"/>
      <c r="G53" s="253"/>
      <c r="H53" s="257"/>
      <c r="I53" s="253"/>
      <c r="J53" s="257"/>
      <c r="K53" s="253"/>
      <c r="L53" s="257"/>
      <c r="N53" s="658"/>
      <c r="O53" s="1001"/>
      <c r="P53" s="748"/>
    </row>
    <row r="54" spans="1:16" s="439" customFormat="1" ht="9.9499999999999993" hidden="1" customHeight="1" x14ac:dyDescent="0.2">
      <c r="A54" s="253"/>
      <c r="B54" s="353" t="s">
        <v>672</v>
      </c>
      <c r="C54" s="660"/>
      <c r="D54" s="352"/>
      <c r="E54" s="253"/>
      <c r="F54" s="254"/>
      <c r="G54" s="254"/>
      <c r="H54" s="254"/>
      <c r="I54" s="254"/>
      <c r="J54" s="254"/>
      <c r="K54" s="254"/>
      <c r="L54" s="254"/>
      <c r="N54" s="658"/>
      <c r="O54" s="1001"/>
      <c r="P54" s="748"/>
    </row>
    <row r="55" spans="1:16" s="439" customFormat="1" ht="9.9499999999999993" hidden="1" customHeight="1" x14ac:dyDescent="0.2">
      <c r="A55" s="253"/>
      <c r="B55" s="353"/>
      <c r="C55" s="660" t="s">
        <v>673</v>
      </c>
      <c r="D55" s="352"/>
      <c r="E55" s="253"/>
      <c r="F55" s="339">
        <v>0</v>
      </c>
      <c r="G55" s="254"/>
      <c r="H55" s="346"/>
      <c r="I55" s="254"/>
      <c r="J55" s="339"/>
      <c r="K55" s="254"/>
      <c r="L55" s="339">
        <f t="shared" ref="L55:L61" si="2">SUM(F55+H55-J55)</f>
        <v>0</v>
      </c>
      <c r="N55" s="658"/>
      <c r="O55" s="1001"/>
      <c r="P55" s="748"/>
    </row>
    <row r="56" spans="1:16" s="439" customFormat="1" ht="9.9499999999999993" hidden="1" customHeight="1" x14ac:dyDescent="0.2">
      <c r="A56" s="253"/>
      <c r="B56" s="353"/>
      <c r="C56" s="660" t="s">
        <v>1013</v>
      </c>
      <c r="D56" s="352"/>
      <c r="E56" s="253"/>
      <c r="F56" s="273">
        <v>0</v>
      </c>
      <c r="G56" s="254"/>
      <c r="H56" s="254"/>
      <c r="I56" s="254"/>
      <c r="J56" s="254"/>
      <c r="K56" s="254"/>
      <c r="L56" s="273">
        <f t="shared" si="2"/>
        <v>0</v>
      </c>
      <c r="N56" s="658"/>
      <c r="O56" s="1001"/>
      <c r="P56" s="748"/>
    </row>
    <row r="57" spans="1:16" s="439" customFormat="1" ht="9.9499999999999993" hidden="1" customHeight="1" x14ac:dyDescent="0.2">
      <c r="A57" s="253"/>
      <c r="B57" s="353"/>
      <c r="C57" s="660" t="s">
        <v>674</v>
      </c>
      <c r="D57" s="352"/>
      <c r="E57" s="253"/>
      <c r="F57" s="273">
        <v>0</v>
      </c>
      <c r="G57" s="254"/>
      <c r="H57" s="254"/>
      <c r="I57" s="254"/>
      <c r="J57" s="254"/>
      <c r="K57" s="254"/>
      <c r="L57" s="273">
        <f t="shared" si="2"/>
        <v>0</v>
      </c>
      <c r="N57" s="658"/>
      <c r="O57" s="1001"/>
      <c r="P57" s="748"/>
    </row>
    <row r="58" spans="1:16" s="439" customFormat="1" ht="9.9499999999999993" hidden="1" customHeight="1" x14ac:dyDescent="0.2">
      <c r="A58" s="253"/>
      <c r="B58" s="353"/>
      <c r="C58" s="660" t="s">
        <v>62</v>
      </c>
      <c r="D58" s="352"/>
      <c r="E58" s="253"/>
      <c r="F58" s="273">
        <v>0</v>
      </c>
      <c r="G58" s="254"/>
      <c r="H58" s="254"/>
      <c r="I58" s="254"/>
      <c r="J58" s="254"/>
      <c r="K58" s="254"/>
      <c r="L58" s="273">
        <f t="shared" si="2"/>
        <v>0</v>
      </c>
      <c r="N58" s="658"/>
      <c r="O58" s="1001"/>
      <c r="P58" s="748"/>
    </row>
    <row r="59" spans="1:16" s="439" customFormat="1" ht="9.9499999999999993" hidden="1" customHeight="1" x14ac:dyDescent="0.2">
      <c r="A59" s="253"/>
      <c r="B59" s="352"/>
      <c r="C59" s="660"/>
      <c r="D59" s="352" t="s">
        <v>844</v>
      </c>
      <c r="E59" s="253"/>
      <c r="F59" s="273">
        <v>0</v>
      </c>
      <c r="G59" s="254"/>
      <c r="H59" s="254"/>
      <c r="I59" s="254"/>
      <c r="J59" s="254"/>
      <c r="K59" s="254"/>
      <c r="L59" s="273">
        <f t="shared" si="2"/>
        <v>0</v>
      </c>
      <c r="N59" s="658"/>
      <c r="O59" s="1001"/>
      <c r="P59" s="748"/>
    </row>
    <row r="60" spans="1:16" s="439" customFormat="1" ht="9.9499999999999993" hidden="1" customHeight="1" x14ac:dyDescent="0.2">
      <c r="A60" s="253"/>
      <c r="B60" s="352"/>
      <c r="C60" s="660"/>
      <c r="D60" s="352" t="s">
        <v>676</v>
      </c>
      <c r="E60" s="253"/>
      <c r="F60" s="273">
        <v>0</v>
      </c>
      <c r="G60" s="254"/>
      <c r="H60" s="254"/>
      <c r="I60" s="254"/>
      <c r="J60" s="254"/>
      <c r="K60" s="254"/>
      <c r="L60" s="273">
        <f t="shared" si="2"/>
        <v>0</v>
      </c>
      <c r="N60" s="658"/>
      <c r="O60" s="1001"/>
      <c r="P60" s="748"/>
    </row>
    <row r="61" spans="1:16" s="439" customFormat="1" ht="9.9499999999999993" hidden="1" customHeight="1" x14ac:dyDescent="0.2">
      <c r="A61" s="253"/>
      <c r="B61" s="352"/>
      <c r="C61" s="660" t="s">
        <v>63</v>
      </c>
      <c r="D61" s="352"/>
      <c r="E61" s="253"/>
      <c r="F61" s="273">
        <v>0</v>
      </c>
      <c r="G61" s="254"/>
      <c r="H61" s="254"/>
      <c r="I61" s="254"/>
      <c r="J61" s="254"/>
      <c r="K61" s="254"/>
      <c r="L61" s="273">
        <f t="shared" si="2"/>
        <v>0</v>
      </c>
      <c r="N61" s="658"/>
      <c r="O61" s="1001"/>
      <c r="P61" s="748"/>
    </row>
    <row r="62" spans="1:16" s="439" customFormat="1" ht="9.9499999999999993" hidden="1" customHeight="1" x14ac:dyDescent="0.2">
      <c r="A62" s="253"/>
      <c r="B62" s="352"/>
      <c r="C62" s="660"/>
      <c r="D62" s="352"/>
      <c r="E62" s="253"/>
      <c r="F62" s="340"/>
      <c r="G62" s="254"/>
      <c r="H62" s="366"/>
      <c r="I62" s="254"/>
      <c r="J62" s="366"/>
      <c r="K62" s="254"/>
      <c r="L62" s="340"/>
      <c r="N62" s="658"/>
      <c r="O62" s="1001"/>
      <c r="P62" s="748"/>
    </row>
    <row r="63" spans="1:16" s="439" customFormat="1" ht="9.9499999999999993" hidden="1" customHeight="1" thickBot="1" x14ac:dyDescent="0.25">
      <c r="A63" s="253"/>
      <c r="B63" s="353" t="s">
        <v>687</v>
      </c>
      <c r="C63" s="660"/>
      <c r="D63" s="352"/>
      <c r="E63" s="253"/>
      <c r="F63" s="344">
        <v>0</v>
      </c>
      <c r="G63" s="254"/>
      <c r="H63" s="344">
        <f>SUM(H55:H61)</f>
        <v>0</v>
      </c>
      <c r="I63" s="254"/>
      <c r="J63" s="344">
        <f>SUM(J55:J61)</f>
        <v>0</v>
      </c>
      <c r="K63" s="254"/>
      <c r="L63" s="344">
        <f>SUM(L55:L61)</f>
        <v>0</v>
      </c>
      <c r="N63" s="658"/>
      <c r="O63" s="1001"/>
      <c r="P63" s="748"/>
    </row>
    <row r="64" spans="1:16" s="439" customFormat="1" ht="9.9499999999999993" hidden="1" customHeight="1" thickTop="1" x14ac:dyDescent="0.2">
      <c r="A64" s="253"/>
      <c r="B64" s="352"/>
      <c r="C64" s="660"/>
      <c r="D64" s="352"/>
      <c r="E64" s="253"/>
      <c r="F64" s="254"/>
      <c r="G64" s="254"/>
      <c r="H64" s="254"/>
      <c r="I64" s="254"/>
      <c r="J64" s="254"/>
      <c r="K64" s="254"/>
      <c r="L64" s="254"/>
      <c r="N64" s="658"/>
      <c r="O64" s="1001"/>
      <c r="P64" s="748"/>
    </row>
    <row r="65" spans="1:16" s="439" customFormat="1" ht="9.9499999999999993" hidden="1" customHeight="1" x14ac:dyDescent="0.2">
      <c r="A65" s="253"/>
      <c r="B65" s="353" t="s">
        <v>751</v>
      </c>
      <c r="C65" s="660"/>
      <c r="D65" s="352"/>
      <c r="E65" s="253"/>
      <c r="F65" s="254"/>
      <c r="G65" s="254"/>
      <c r="H65" s="254"/>
      <c r="I65" s="254"/>
      <c r="J65" s="254"/>
      <c r="K65" s="254"/>
      <c r="L65" s="254"/>
      <c r="N65" s="658"/>
      <c r="O65" s="1001"/>
      <c r="P65" s="748"/>
    </row>
    <row r="66" spans="1:16" s="439" customFormat="1" ht="9.9499999999999993" hidden="1" customHeight="1" x14ac:dyDescent="0.2">
      <c r="A66" s="253"/>
      <c r="B66" s="353"/>
      <c r="C66" s="660" t="s">
        <v>688</v>
      </c>
      <c r="D66" s="352"/>
      <c r="E66" s="254"/>
      <c r="F66" s="339">
        <v>0</v>
      </c>
      <c r="G66" s="346"/>
      <c r="H66" s="346"/>
      <c r="I66" s="346"/>
      <c r="J66" s="346"/>
      <c r="K66" s="346"/>
      <c r="L66" s="339">
        <f>SUM(F66+H66-J66)</f>
        <v>0</v>
      </c>
      <c r="N66" s="658"/>
      <c r="O66" s="1001"/>
      <c r="P66" s="748"/>
    </row>
    <row r="67" spans="1:16" s="439" customFormat="1" ht="9.9499999999999993" hidden="1" customHeight="1" x14ac:dyDescent="0.2">
      <c r="A67" s="253"/>
      <c r="B67" s="353"/>
      <c r="C67" s="660" t="s">
        <v>847</v>
      </c>
      <c r="D67" s="352"/>
      <c r="E67" s="254"/>
      <c r="F67" s="273">
        <v>0</v>
      </c>
      <c r="G67" s="538"/>
      <c r="H67" s="1218"/>
      <c r="I67" s="1218"/>
      <c r="J67" s="1218"/>
      <c r="K67" s="538"/>
      <c r="L67" s="273">
        <f>SUM(F67+H67-J67)</f>
        <v>0</v>
      </c>
      <c r="N67" s="658"/>
      <c r="O67" s="1001"/>
      <c r="P67" s="748"/>
    </row>
    <row r="68" spans="1:16" s="439" customFormat="1" ht="9.9499999999999993" hidden="1" customHeight="1" x14ac:dyDescent="0.2">
      <c r="A68" s="253"/>
      <c r="B68" s="353"/>
      <c r="C68" s="660" t="s">
        <v>854</v>
      </c>
      <c r="D68" s="352"/>
      <c r="E68" s="254"/>
      <c r="F68" s="273">
        <v>0</v>
      </c>
      <c r="G68" s="254"/>
      <c r="H68" s="254"/>
      <c r="I68" s="254"/>
      <c r="J68" s="254"/>
      <c r="K68" s="254"/>
      <c r="L68" s="273">
        <f>SUM(F68+H68-J68)</f>
        <v>0</v>
      </c>
      <c r="N68" s="658"/>
      <c r="O68" s="1001"/>
      <c r="P68" s="748"/>
    </row>
    <row r="69" spans="1:16" s="439" customFormat="1" ht="9.9499999999999993" hidden="1" customHeight="1" x14ac:dyDescent="0.2">
      <c r="A69" s="253"/>
      <c r="B69" s="353"/>
      <c r="C69" s="660" t="s">
        <v>604</v>
      </c>
      <c r="D69" s="352"/>
      <c r="E69" s="254"/>
      <c r="F69" s="273"/>
      <c r="G69" s="254"/>
      <c r="H69" s="254"/>
      <c r="I69" s="254"/>
      <c r="J69" s="254"/>
      <c r="K69" s="254"/>
      <c r="L69" s="273"/>
      <c r="N69" s="658"/>
      <c r="O69" s="1001"/>
      <c r="P69" s="748"/>
    </row>
    <row r="70" spans="1:16" s="439" customFormat="1" ht="9.9499999999999993" hidden="1" customHeight="1" x14ac:dyDescent="0.2">
      <c r="A70" s="253"/>
      <c r="B70" s="353"/>
      <c r="C70" s="660"/>
      <c r="D70" s="352"/>
      <c r="E70" s="254"/>
      <c r="F70" s="661"/>
      <c r="G70" s="254"/>
      <c r="H70" s="366"/>
      <c r="I70" s="254"/>
      <c r="J70" s="366"/>
      <c r="K70" s="254"/>
      <c r="L70" s="661"/>
      <c r="N70" s="658"/>
      <c r="O70" s="1001"/>
      <c r="P70" s="748"/>
    </row>
    <row r="71" spans="1:16" s="439" customFormat="1" ht="9.9499999999999993" hidden="1" customHeight="1" thickBot="1" x14ac:dyDescent="0.25">
      <c r="A71" s="253"/>
      <c r="B71" s="353" t="s">
        <v>702</v>
      </c>
      <c r="C71" s="660"/>
      <c r="D71" s="352"/>
      <c r="E71" s="254"/>
      <c r="F71" s="344">
        <v>0</v>
      </c>
      <c r="G71" s="254"/>
      <c r="H71" s="344">
        <f>SUM(H66:H69)</f>
        <v>0</v>
      </c>
      <c r="I71" s="254"/>
      <c r="J71" s="344">
        <f>SUM(J66:J69)</f>
        <v>0</v>
      </c>
      <c r="K71" s="254"/>
      <c r="L71" s="344">
        <f>SUM(L66:L69)</f>
        <v>0</v>
      </c>
      <c r="N71" s="420">
        <f>+L63-L71</f>
        <v>0</v>
      </c>
      <c r="O71" s="1001">
        <f>+L71-'BS-agency '!P15</f>
        <v>0</v>
      </c>
      <c r="P71" s="748"/>
    </row>
    <row r="72" spans="1:16" s="439" customFormat="1" ht="9.9499999999999993" hidden="1" customHeight="1" thickTop="1" x14ac:dyDescent="0.2">
      <c r="A72" s="253"/>
      <c r="B72" s="353"/>
      <c r="C72" s="660"/>
      <c r="D72" s="352"/>
      <c r="E72" s="254"/>
      <c r="F72" s="339"/>
      <c r="G72" s="254"/>
      <c r="H72" s="339"/>
      <c r="I72" s="254"/>
      <c r="J72" s="339"/>
      <c r="K72" s="254"/>
      <c r="L72" s="339"/>
      <c r="N72" s="658"/>
      <c r="O72" s="1001"/>
      <c r="P72" s="748"/>
    </row>
    <row r="73" spans="1:16" s="439" customFormat="1" ht="9.9499999999999993" customHeight="1" x14ac:dyDescent="0.2">
      <c r="A73" s="367" t="s">
        <v>493</v>
      </c>
      <c r="B73" s="284"/>
      <c r="C73" s="617"/>
      <c r="D73" s="284"/>
      <c r="E73" s="253"/>
      <c r="F73" s="257"/>
      <c r="G73" s="253"/>
      <c r="H73" s="257"/>
      <c r="I73" s="253"/>
      <c r="J73" s="257"/>
      <c r="K73" s="253"/>
      <c r="L73" s="257"/>
      <c r="N73" s="658"/>
      <c r="O73" s="1001"/>
      <c r="P73" s="748"/>
    </row>
    <row r="74" spans="1:16" s="439" customFormat="1" ht="6.95" customHeight="1" x14ac:dyDescent="0.2">
      <c r="A74" s="509"/>
      <c r="B74" s="509"/>
      <c r="C74" s="659"/>
      <c r="D74" s="509"/>
      <c r="E74" s="253"/>
      <c r="F74" s="257"/>
      <c r="G74" s="253"/>
      <c r="H74" s="257"/>
      <c r="I74" s="253"/>
      <c r="J74" s="257"/>
      <c r="K74" s="253"/>
      <c r="L74" s="257"/>
      <c r="N74" s="658"/>
      <c r="O74" s="1001"/>
      <c r="P74" s="748"/>
    </row>
    <row r="75" spans="1:16" s="439" customFormat="1" ht="9.9499999999999993" customHeight="1" x14ac:dyDescent="0.2">
      <c r="A75" s="253"/>
      <c r="B75" s="353" t="s">
        <v>672</v>
      </c>
      <c r="C75" s="660"/>
      <c r="D75" s="352"/>
      <c r="E75" s="253"/>
      <c r="F75" s="254"/>
      <c r="G75" s="254"/>
      <c r="H75" s="254"/>
      <c r="I75" s="254"/>
      <c r="J75" s="254"/>
      <c r="K75" s="254"/>
      <c r="L75" s="254"/>
      <c r="N75" s="658"/>
      <c r="O75" s="1001"/>
      <c r="P75" s="748"/>
    </row>
    <row r="76" spans="1:16" s="439" customFormat="1" ht="9.9499999999999993" customHeight="1" x14ac:dyDescent="0.2">
      <c r="A76" s="253"/>
      <c r="B76" s="353"/>
      <c r="C76" s="660" t="s">
        <v>673</v>
      </c>
      <c r="D76" s="352"/>
      <c r="E76" s="253"/>
      <c r="F76" s="339">
        <v>515</v>
      </c>
      <c r="G76" s="254"/>
      <c r="H76" s="346">
        <v>108</v>
      </c>
      <c r="I76" s="254"/>
      <c r="J76" s="339">
        <v>141</v>
      </c>
      <c r="K76" s="254"/>
      <c r="L76" s="339">
        <f t="shared" ref="L76:L82" si="3">SUM(F76+H76-J76)</f>
        <v>482</v>
      </c>
      <c r="N76" s="658"/>
      <c r="O76" s="1001"/>
      <c r="P76" s="748"/>
    </row>
    <row r="77" spans="1:16" s="439" customFormat="1" ht="9.9499999999999993" hidden="1" customHeight="1" x14ac:dyDescent="0.2">
      <c r="A77" s="533"/>
      <c r="B77" s="662"/>
      <c r="C77" s="660" t="s">
        <v>1013</v>
      </c>
      <c r="D77" s="663"/>
      <c r="E77" s="533"/>
      <c r="F77" s="273">
        <v>0</v>
      </c>
      <c r="G77" s="538"/>
      <c r="H77" s="1218"/>
      <c r="I77" s="1218"/>
      <c r="J77" s="1218"/>
      <c r="K77" s="538"/>
      <c r="L77" s="273">
        <f t="shared" si="3"/>
        <v>0</v>
      </c>
      <c r="M77" s="646"/>
      <c r="N77" s="658"/>
      <c r="O77" s="1001"/>
      <c r="P77" s="748"/>
    </row>
    <row r="78" spans="1:16" s="439" customFormat="1" ht="9.9499999999999993" hidden="1" customHeight="1" x14ac:dyDescent="0.2">
      <c r="A78" s="533"/>
      <c r="B78" s="662"/>
      <c r="C78" s="660" t="s">
        <v>674</v>
      </c>
      <c r="D78" s="663"/>
      <c r="E78" s="533"/>
      <c r="F78" s="273">
        <v>0</v>
      </c>
      <c r="G78" s="538"/>
      <c r="H78" s="1218"/>
      <c r="I78" s="1218"/>
      <c r="J78" s="1218"/>
      <c r="K78" s="538"/>
      <c r="L78" s="273">
        <f t="shared" si="3"/>
        <v>0</v>
      </c>
      <c r="M78" s="646"/>
      <c r="N78" s="658"/>
      <c r="O78" s="1001"/>
      <c r="P78" s="748"/>
    </row>
    <row r="79" spans="1:16" s="439" customFormat="1" ht="9.9499999999999993" customHeight="1" x14ac:dyDescent="0.2">
      <c r="A79" s="533"/>
      <c r="B79" s="662"/>
      <c r="C79" s="660" t="s">
        <v>62</v>
      </c>
      <c r="D79" s="663"/>
      <c r="E79" s="533"/>
      <c r="F79" s="273">
        <v>0</v>
      </c>
      <c r="G79" s="538"/>
      <c r="H79" s="1218"/>
      <c r="I79" s="1218"/>
      <c r="J79" s="1218"/>
      <c r="K79" s="538"/>
      <c r="L79" s="273">
        <f t="shared" si="3"/>
        <v>0</v>
      </c>
      <c r="M79" s="646"/>
      <c r="N79" s="658"/>
      <c r="O79" s="1001"/>
      <c r="P79" s="748"/>
    </row>
    <row r="80" spans="1:16" s="439" customFormat="1" ht="9.9499999999999993" customHeight="1" x14ac:dyDescent="0.2">
      <c r="A80" s="533"/>
      <c r="B80" s="663"/>
      <c r="C80" s="660"/>
      <c r="D80" s="663" t="s">
        <v>844</v>
      </c>
      <c r="E80" s="533"/>
      <c r="F80" s="273">
        <v>0</v>
      </c>
      <c r="G80" s="538"/>
      <c r="H80" s="1218">
        <v>3</v>
      </c>
      <c r="I80" s="1218"/>
      <c r="J80" s="1218">
        <v>3</v>
      </c>
      <c r="K80" s="538"/>
      <c r="L80" s="273">
        <f t="shared" si="3"/>
        <v>0</v>
      </c>
      <c r="M80" s="646"/>
      <c r="N80" s="658"/>
      <c r="O80" s="1001"/>
      <c r="P80" s="748"/>
    </row>
    <row r="81" spans="1:16" s="439" customFormat="1" ht="9.9499999999999993" hidden="1" customHeight="1" x14ac:dyDescent="0.2">
      <c r="A81" s="533"/>
      <c r="B81" s="663"/>
      <c r="C81" s="660"/>
      <c r="D81" s="663" t="s">
        <v>676</v>
      </c>
      <c r="E81" s="533"/>
      <c r="F81" s="273">
        <v>0</v>
      </c>
      <c r="G81" s="538"/>
      <c r="H81" s="1218"/>
      <c r="I81" s="1218"/>
      <c r="J81" s="1218"/>
      <c r="K81" s="538"/>
      <c r="L81" s="273">
        <f t="shared" si="3"/>
        <v>0</v>
      </c>
      <c r="M81" s="646"/>
      <c r="N81" s="658"/>
      <c r="O81" s="1001"/>
      <c r="P81" s="748"/>
    </row>
    <row r="82" spans="1:16" s="439" customFormat="1" ht="9.9499999999999993" hidden="1" customHeight="1" x14ac:dyDescent="0.2">
      <c r="A82" s="533"/>
      <c r="B82" s="663"/>
      <c r="C82" s="660" t="s">
        <v>63</v>
      </c>
      <c r="D82" s="663"/>
      <c r="E82" s="533"/>
      <c r="F82" s="273">
        <v>0</v>
      </c>
      <c r="G82" s="538"/>
      <c r="H82" s="1218"/>
      <c r="I82" s="1218"/>
      <c r="J82" s="1218"/>
      <c r="K82" s="538"/>
      <c r="L82" s="273">
        <f t="shared" si="3"/>
        <v>0</v>
      </c>
      <c r="M82" s="646"/>
      <c r="N82" s="658"/>
      <c r="O82" s="1001"/>
      <c r="P82" s="748"/>
    </row>
    <row r="83" spans="1:16" s="439" customFormat="1" ht="9.9499999999999993" customHeight="1" x14ac:dyDescent="0.2">
      <c r="A83" s="253"/>
      <c r="B83" s="352"/>
      <c r="C83" s="660"/>
      <c r="D83" s="352"/>
      <c r="E83" s="253"/>
      <c r="F83" s="340"/>
      <c r="G83" s="254"/>
      <c r="H83" s="366"/>
      <c r="I83" s="254"/>
      <c r="J83" s="366"/>
      <c r="K83" s="254"/>
      <c r="L83" s="340"/>
      <c r="N83" s="658"/>
      <c r="O83" s="1001"/>
      <c r="P83" s="748"/>
    </row>
    <row r="84" spans="1:16" s="439" customFormat="1" ht="9.9499999999999993" customHeight="1" thickBot="1" x14ac:dyDescent="0.25">
      <c r="A84" s="253"/>
      <c r="B84" s="353" t="s">
        <v>687</v>
      </c>
      <c r="C84" s="660"/>
      <c r="D84" s="352"/>
      <c r="E84" s="253"/>
      <c r="F84" s="344">
        <f>SUM(F76:F83)</f>
        <v>515</v>
      </c>
      <c r="G84" s="254"/>
      <c r="H84" s="344">
        <f>SUM(H76:H82)</f>
        <v>111</v>
      </c>
      <c r="I84" s="254"/>
      <c r="J84" s="344">
        <f>SUM(J76:J82)</f>
        <v>144</v>
      </c>
      <c r="K84" s="254"/>
      <c r="L84" s="344">
        <f>SUM(L76:L82)</f>
        <v>482</v>
      </c>
      <c r="N84" s="658"/>
      <c r="O84" s="1001"/>
      <c r="P84" s="748"/>
    </row>
    <row r="85" spans="1:16" s="439" customFormat="1" ht="9.9499999999999993" customHeight="1" thickTop="1" x14ac:dyDescent="0.2">
      <c r="A85" s="253"/>
      <c r="B85" s="352"/>
      <c r="C85" s="660"/>
      <c r="D85" s="352"/>
      <c r="E85" s="253"/>
      <c r="F85" s="254"/>
      <c r="G85" s="254"/>
      <c r="H85" s="254"/>
      <c r="I85" s="254"/>
      <c r="J85" s="254"/>
      <c r="K85" s="254"/>
      <c r="L85" s="254"/>
      <c r="N85" s="658"/>
      <c r="O85" s="1001"/>
      <c r="P85" s="748"/>
    </row>
    <row r="86" spans="1:16" s="439" customFormat="1" ht="9.9499999999999993" customHeight="1" x14ac:dyDescent="0.2">
      <c r="A86" s="253"/>
      <c r="B86" s="353" t="s">
        <v>751</v>
      </c>
      <c r="C86" s="660"/>
      <c r="D86" s="352"/>
      <c r="E86" s="253"/>
      <c r="F86" s="254"/>
      <c r="G86" s="254"/>
      <c r="H86" s="254"/>
      <c r="I86" s="254"/>
      <c r="J86" s="254"/>
      <c r="K86" s="254"/>
      <c r="L86" s="254"/>
      <c r="N86" s="658"/>
      <c r="O86" s="1001"/>
      <c r="P86" s="748"/>
    </row>
    <row r="87" spans="1:16" s="439" customFormat="1" ht="9.9499999999999993" customHeight="1" x14ac:dyDescent="0.2">
      <c r="A87" s="253"/>
      <c r="B87" s="353"/>
      <c r="C87" s="660" t="s">
        <v>688</v>
      </c>
      <c r="D87" s="352"/>
      <c r="E87" s="254"/>
      <c r="F87" s="339">
        <v>0</v>
      </c>
      <c r="G87" s="254"/>
      <c r="H87" s="339">
        <v>80</v>
      </c>
      <c r="I87" s="254"/>
      <c r="J87" s="339">
        <v>80</v>
      </c>
      <c r="K87" s="254"/>
      <c r="L87" s="339">
        <f>SUM(F87+H87-J87)</f>
        <v>0</v>
      </c>
      <c r="N87" s="658"/>
      <c r="O87" s="1001"/>
      <c r="P87" s="748"/>
    </row>
    <row r="88" spans="1:16" s="646" customFormat="1" ht="9.9499999999999993" customHeight="1" x14ac:dyDescent="0.2">
      <c r="A88" s="533"/>
      <c r="B88" s="662"/>
      <c r="C88" s="663" t="s">
        <v>847</v>
      </c>
      <c r="D88" s="663"/>
      <c r="E88" s="533"/>
      <c r="F88" s="538">
        <v>515</v>
      </c>
      <c r="G88" s="538"/>
      <c r="H88" s="1218">
        <v>120549</v>
      </c>
      <c r="I88" s="1218"/>
      <c r="J88" s="1218">
        <v>120582</v>
      </c>
      <c r="K88" s="538"/>
      <c r="L88" s="538">
        <f>SUM(F88+H88-J88)</f>
        <v>482</v>
      </c>
      <c r="N88" s="1002"/>
      <c r="O88" s="1004"/>
      <c r="P88" s="1004"/>
    </row>
    <row r="89" spans="1:16" s="439" customFormat="1" ht="9.9499999999999993" hidden="1" customHeight="1" x14ac:dyDescent="0.2">
      <c r="A89" s="253"/>
      <c r="B89" s="353"/>
      <c r="C89" s="660" t="s">
        <v>854</v>
      </c>
      <c r="D89" s="352"/>
      <c r="E89" s="254"/>
      <c r="F89" s="273">
        <v>0</v>
      </c>
      <c r="G89" s="254"/>
      <c r="H89" s="254"/>
      <c r="I89" s="254"/>
      <c r="J89" s="254"/>
      <c r="K89" s="254"/>
      <c r="L89" s="273">
        <f>SUM(F89+H89-J89)</f>
        <v>0</v>
      </c>
      <c r="N89" s="658"/>
      <c r="O89" s="1001"/>
      <c r="P89" s="748"/>
    </row>
    <row r="90" spans="1:16" s="439" customFormat="1" ht="9.9499999999999993" hidden="1" customHeight="1" x14ac:dyDescent="0.2">
      <c r="A90" s="253"/>
      <c r="B90" s="353"/>
      <c r="C90" s="660" t="s">
        <v>604</v>
      </c>
      <c r="D90" s="352"/>
      <c r="E90" s="254"/>
      <c r="F90" s="273">
        <v>0</v>
      </c>
      <c r="G90" s="254"/>
      <c r="H90" s="254"/>
      <c r="I90" s="254"/>
      <c r="J90" s="254"/>
      <c r="K90" s="254"/>
      <c r="L90" s="273">
        <f>SUM(F90+H90-J90)</f>
        <v>0</v>
      </c>
      <c r="N90" s="658"/>
      <c r="O90" s="1001"/>
      <c r="P90" s="748"/>
    </row>
    <row r="91" spans="1:16" s="439" customFormat="1" ht="9.9499999999999993" customHeight="1" x14ac:dyDescent="0.2">
      <c r="A91" s="253"/>
      <c r="B91" s="353"/>
      <c r="C91" s="660"/>
      <c r="D91" s="352"/>
      <c r="E91" s="254"/>
      <c r="F91" s="661"/>
      <c r="G91" s="254"/>
      <c r="H91" s="366"/>
      <c r="I91" s="254"/>
      <c r="J91" s="366"/>
      <c r="K91" s="254"/>
      <c r="L91" s="661"/>
      <c r="N91" s="658"/>
      <c r="O91" s="1001"/>
      <c r="P91" s="748"/>
    </row>
    <row r="92" spans="1:16" s="439" customFormat="1" ht="9.9499999999999993" customHeight="1" thickBot="1" x14ac:dyDescent="0.25">
      <c r="A92" s="253"/>
      <c r="B92" s="353" t="s">
        <v>702</v>
      </c>
      <c r="C92" s="660"/>
      <c r="D92" s="352"/>
      <c r="E92" s="254"/>
      <c r="F92" s="344">
        <f>SUM(F87:F91)</f>
        <v>515</v>
      </c>
      <c r="G92" s="254"/>
      <c r="H92" s="344">
        <f>SUM(H87:H90)</f>
        <v>120629</v>
      </c>
      <c r="I92" s="254"/>
      <c r="J92" s="344">
        <f>SUM(J87:J90)</f>
        <v>120662</v>
      </c>
      <c r="K92" s="254"/>
      <c r="L92" s="344">
        <f>SUM(L87:L90)</f>
        <v>482</v>
      </c>
      <c r="N92" s="420">
        <f>+L84-L92</f>
        <v>0</v>
      </c>
      <c r="O92" s="1001">
        <f>+L92-'BS-agency '!P16</f>
        <v>0</v>
      </c>
      <c r="P92" s="748"/>
    </row>
    <row r="93" spans="1:16" s="439" customFormat="1" ht="9.9499999999999993" customHeight="1" thickTop="1" x14ac:dyDescent="0.2">
      <c r="A93" s="253"/>
      <c r="B93" s="353"/>
      <c r="C93" s="660"/>
      <c r="D93" s="352"/>
      <c r="E93" s="254"/>
      <c r="F93" s="339"/>
      <c r="G93" s="254"/>
      <c r="H93" s="339"/>
      <c r="I93" s="254"/>
      <c r="J93" s="339"/>
      <c r="K93" s="254"/>
      <c r="L93" s="339"/>
      <c r="N93" s="658"/>
      <c r="O93" s="1001"/>
      <c r="P93" s="748"/>
    </row>
    <row r="94" spans="1:16" s="439" customFormat="1" ht="9.9499999999999993" customHeight="1" x14ac:dyDescent="0.2">
      <c r="A94" s="367" t="s">
        <v>10</v>
      </c>
      <c r="B94" s="284"/>
      <c r="C94" s="617"/>
      <c r="D94" s="284"/>
      <c r="E94" s="253"/>
      <c r="F94" s="257"/>
      <c r="G94" s="253"/>
      <c r="H94" s="257"/>
      <c r="I94" s="253"/>
      <c r="J94" s="257"/>
      <c r="K94" s="253"/>
      <c r="L94" s="257"/>
      <c r="N94" s="658"/>
      <c r="O94" s="1001"/>
      <c r="P94" s="748"/>
    </row>
    <row r="95" spans="1:16" s="439" customFormat="1" ht="6.95" customHeight="1" x14ac:dyDescent="0.2">
      <c r="A95" s="509"/>
      <c r="B95" s="509"/>
      <c r="C95" s="659"/>
      <c r="D95" s="509"/>
      <c r="E95" s="253"/>
      <c r="F95" s="257"/>
      <c r="G95" s="253"/>
      <c r="H95" s="257"/>
      <c r="I95" s="253"/>
      <c r="J95" s="257"/>
      <c r="K95" s="253"/>
      <c r="L95" s="257"/>
      <c r="N95" s="658"/>
      <c r="O95" s="1001"/>
      <c r="P95" s="748"/>
    </row>
    <row r="96" spans="1:16" s="439" customFormat="1" ht="9.9499999999999993" customHeight="1" x14ac:dyDescent="0.2">
      <c r="A96" s="253"/>
      <c r="B96" s="353" t="s">
        <v>672</v>
      </c>
      <c r="C96" s="660"/>
      <c r="D96" s="352"/>
      <c r="E96" s="253"/>
      <c r="F96" s="254"/>
      <c r="G96" s="254"/>
      <c r="H96" s="254"/>
      <c r="I96" s="254"/>
      <c r="J96" s="254"/>
      <c r="K96" s="254"/>
      <c r="L96" s="254"/>
      <c r="N96" s="658"/>
      <c r="O96" s="1001"/>
      <c r="P96" s="748"/>
    </row>
    <row r="97" spans="1:16" s="439" customFormat="1" ht="9.9499999999999993" customHeight="1" x14ac:dyDescent="0.2">
      <c r="A97" s="253"/>
      <c r="B97" s="353"/>
      <c r="C97" s="660" t="s">
        <v>673</v>
      </c>
      <c r="D97" s="352"/>
      <c r="E97" s="253"/>
      <c r="F97" s="339">
        <v>230</v>
      </c>
      <c r="G97" s="254"/>
      <c r="H97" s="346">
        <v>4006</v>
      </c>
      <c r="I97" s="254"/>
      <c r="J97" s="339">
        <v>2918</v>
      </c>
      <c r="K97" s="254"/>
      <c r="L97" s="339">
        <f t="shared" ref="L97:L103" si="4">SUM(F97+H97-J97)</f>
        <v>1318</v>
      </c>
      <c r="N97" s="658"/>
      <c r="O97" s="1001"/>
      <c r="P97" s="748"/>
    </row>
    <row r="98" spans="1:16" s="439" customFormat="1" ht="9.9499999999999993" hidden="1" customHeight="1" x14ac:dyDescent="0.2">
      <c r="A98" s="253"/>
      <c r="B98" s="353"/>
      <c r="C98" s="660" t="s">
        <v>1013</v>
      </c>
      <c r="D98" s="352"/>
      <c r="E98" s="253"/>
      <c r="F98" s="273">
        <v>0</v>
      </c>
      <c r="G98" s="254"/>
      <c r="H98" s="1218"/>
      <c r="I98" s="254"/>
      <c r="J98" s="1218"/>
      <c r="K98" s="254"/>
      <c r="L98" s="273">
        <f t="shared" si="4"/>
        <v>0</v>
      </c>
      <c r="N98" s="658"/>
      <c r="O98" s="1001"/>
      <c r="P98" s="748"/>
    </row>
    <row r="99" spans="1:16" s="439" customFormat="1" ht="9.9499999999999993" customHeight="1" x14ac:dyDescent="0.2">
      <c r="A99" s="253"/>
      <c r="B99" s="353"/>
      <c r="C99" s="660" t="s">
        <v>674</v>
      </c>
      <c r="D99" s="352"/>
      <c r="E99" s="253"/>
      <c r="F99" s="273">
        <v>2217</v>
      </c>
      <c r="G99" s="254"/>
      <c r="H99" s="254">
        <v>1144</v>
      </c>
      <c r="I99" s="254"/>
      <c r="J99" s="254">
        <v>2220</v>
      </c>
      <c r="K99" s="254"/>
      <c r="L99" s="273">
        <f t="shared" si="4"/>
        <v>1141</v>
      </c>
      <c r="N99" s="658"/>
      <c r="O99" s="1001"/>
      <c r="P99" s="748"/>
    </row>
    <row r="100" spans="1:16" s="439" customFormat="1" ht="9.9499999999999993" customHeight="1" x14ac:dyDescent="0.2">
      <c r="A100" s="253"/>
      <c r="B100" s="353"/>
      <c r="C100" s="660" t="s">
        <v>62</v>
      </c>
      <c r="D100" s="352"/>
      <c r="E100" s="253"/>
      <c r="F100" s="273">
        <v>0</v>
      </c>
      <c r="G100" s="254"/>
      <c r="H100" s="254"/>
      <c r="I100" s="254"/>
      <c r="J100" s="254"/>
      <c r="K100" s="254"/>
      <c r="L100" s="273">
        <f t="shared" si="4"/>
        <v>0</v>
      </c>
      <c r="N100" s="658"/>
      <c r="O100" s="1001"/>
      <c r="P100" s="748"/>
    </row>
    <row r="101" spans="1:16" s="439" customFormat="1" ht="9.9499999999999993" hidden="1" customHeight="1" x14ac:dyDescent="0.2">
      <c r="A101" s="253"/>
      <c r="B101" s="352"/>
      <c r="C101" s="660"/>
      <c r="D101" s="352" t="s">
        <v>844</v>
      </c>
      <c r="E101" s="253"/>
      <c r="F101" s="273">
        <v>0</v>
      </c>
      <c r="G101" s="254"/>
      <c r="H101" s="254"/>
      <c r="I101" s="254"/>
      <c r="J101" s="254"/>
      <c r="K101" s="254"/>
      <c r="L101" s="273">
        <f t="shared" si="4"/>
        <v>0</v>
      </c>
      <c r="N101" s="658"/>
      <c r="O101" s="1001"/>
      <c r="P101" s="748"/>
    </row>
    <row r="102" spans="1:16" s="439" customFormat="1" ht="9.9499999999999993" customHeight="1" x14ac:dyDescent="0.2">
      <c r="A102" s="253"/>
      <c r="B102" s="352"/>
      <c r="C102" s="660"/>
      <c r="D102" s="352" t="s">
        <v>676</v>
      </c>
      <c r="E102" s="253"/>
      <c r="F102" s="273">
        <v>8</v>
      </c>
      <c r="G102" s="254"/>
      <c r="H102" s="254">
        <v>6</v>
      </c>
      <c r="I102" s="254"/>
      <c r="J102" s="254">
        <v>9</v>
      </c>
      <c r="K102" s="254"/>
      <c r="L102" s="273">
        <f t="shared" si="4"/>
        <v>5</v>
      </c>
      <c r="N102" s="658"/>
      <c r="O102" s="1001"/>
      <c r="P102" s="748"/>
    </row>
    <row r="103" spans="1:16" s="439" customFormat="1" ht="9.9499999999999993" hidden="1" customHeight="1" x14ac:dyDescent="0.2">
      <c r="A103" s="253"/>
      <c r="B103" s="352"/>
      <c r="C103" s="660" t="s">
        <v>63</v>
      </c>
      <c r="D103" s="352"/>
      <c r="E103" s="253"/>
      <c r="F103" s="273">
        <v>0</v>
      </c>
      <c r="G103" s="254"/>
      <c r="H103" s="254"/>
      <c r="I103" s="254"/>
      <c r="J103" s="254"/>
      <c r="K103" s="254"/>
      <c r="L103" s="273">
        <f t="shared" si="4"/>
        <v>0</v>
      </c>
      <c r="N103" s="658"/>
      <c r="O103" s="1001"/>
      <c r="P103" s="748"/>
    </row>
    <row r="104" spans="1:16" s="439" customFormat="1" ht="9.9499999999999993" customHeight="1" x14ac:dyDescent="0.2">
      <c r="A104" s="253"/>
      <c r="B104" s="352"/>
      <c r="C104" s="660"/>
      <c r="D104" s="352"/>
      <c r="E104" s="253"/>
      <c r="F104" s="340"/>
      <c r="G104" s="254"/>
      <c r="H104" s="366"/>
      <c r="I104" s="254"/>
      <c r="J104" s="366"/>
      <c r="K104" s="254"/>
      <c r="L104" s="340"/>
      <c r="N104" s="658"/>
      <c r="O104" s="1001"/>
      <c r="P104" s="748"/>
    </row>
    <row r="105" spans="1:16" s="439" customFormat="1" ht="9.9499999999999993" customHeight="1" thickBot="1" x14ac:dyDescent="0.25">
      <c r="A105" s="253"/>
      <c r="B105" s="353" t="s">
        <v>687</v>
      </c>
      <c r="C105" s="660"/>
      <c r="D105" s="352"/>
      <c r="E105" s="253"/>
      <c r="F105" s="344">
        <f>SUM(F97:F104)</f>
        <v>2455</v>
      </c>
      <c r="G105" s="254"/>
      <c r="H105" s="344">
        <f>SUM(H97:H103)</f>
        <v>5156</v>
      </c>
      <c r="I105" s="254"/>
      <c r="J105" s="344">
        <f>SUM(J97:J103)</f>
        <v>5147</v>
      </c>
      <c r="K105" s="254"/>
      <c r="L105" s="344">
        <f>SUM(L97:L103)</f>
        <v>2464</v>
      </c>
      <c r="N105" s="658"/>
      <c r="O105" s="1001"/>
      <c r="P105" s="748"/>
    </row>
    <row r="106" spans="1:16" s="439" customFormat="1" ht="9.9499999999999993" customHeight="1" thickTop="1" x14ac:dyDescent="0.2">
      <c r="A106" s="253"/>
      <c r="B106" s="352"/>
      <c r="C106" s="660"/>
      <c r="D106" s="352"/>
      <c r="E106" s="253"/>
      <c r="F106" s="254"/>
      <c r="G106" s="254"/>
      <c r="H106" s="254"/>
      <c r="I106" s="254"/>
      <c r="J106" s="254"/>
      <c r="K106" s="254"/>
      <c r="L106" s="254"/>
      <c r="N106" s="658"/>
      <c r="O106" s="1001"/>
      <c r="P106" s="748"/>
    </row>
    <row r="107" spans="1:16" s="439" customFormat="1" ht="9.9499999999999993" customHeight="1" x14ac:dyDescent="0.2">
      <c r="A107" s="253"/>
      <c r="B107" s="353" t="s">
        <v>751</v>
      </c>
      <c r="C107" s="660"/>
      <c r="D107" s="352"/>
      <c r="E107" s="253"/>
      <c r="F107" s="254"/>
      <c r="G107" s="254"/>
      <c r="H107" s="254"/>
      <c r="I107" s="254"/>
      <c r="J107" s="254"/>
      <c r="K107" s="254"/>
      <c r="L107" s="254"/>
      <c r="N107" s="658"/>
      <c r="O107" s="1001"/>
      <c r="P107" s="748"/>
    </row>
    <row r="108" spans="1:16" s="439" customFormat="1" ht="9.9499999999999993" hidden="1" customHeight="1" x14ac:dyDescent="0.2">
      <c r="A108" s="253"/>
      <c r="B108" s="353"/>
      <c r="C108" s="660" t="s">
        <v>688</v>
      </c>
      <c r="D108" s="352"/>
      <c r="E108" s="254"/>
      <c r="F108" s="339">
        <v>0</v>
      </c>
      <c r="G108" s="254"/>
      <c r="H108" s="339"/>
      <c r="I108" s="254"/>
      <c r="J108" s="339"/>
      <c r="K108" s="254"/>
      <c r="L108" s="339">
        <f>SUM(F108+H108-J108)</f>
        <v>0</v>
      </c>
      <c r="N108" s="658"/>
      <c r="O108" s="1001"/>
      <c r="P108" s="748"/>
    </row>
    <row r="109" spans="1:16" s="439" customFormat="1" ht="9.9499999999999993" customHeight="1" x14ac:dyDescent="0.2">
      <c r="A109" s="253"/>
      <c r="B109" s="353"/>
      <c r="C109" s="660" t="s">
        <v>847</v>
      </c>
      <c r="D109" s="352"/>
      <c r="E109" s="254"/>
      <c r="F109" s="346">
        <v>2455</v>
      </c>
      <c r="G109" s="346"/>
      <c r="H109" s="1379">
        <v>440</v>
      </c>
      <c r="I109" s="1379"/>
      <c r="J109" s="1379">
        <v>431</v>
      </c>
      <c r="K109" s="346"/>
      <c r="L109" s="346">
        <f>SUM(F109+H109-J109)</f>
        <v>2464</v>
      </c>
      <c r="N109" s="658"/>
      <c r="O109" s="1001"/>
      <c r="P109" s="748"/>
    </row>
    <row r="110" spans="1:16" s="439" customFormat="1" ht="9.9499999999999993" hidden="1" customHeight="1" x14ac:dyDescent="0.2">
      <c r="A110" s="253"/>
      <c r="B110" s="353"/>
      <c r="C110" s="660" t="s">
        <v>854</v>
      </c>
      <c r="D110" s="352"/>
      <c r="E110" s="254"/>
      <c r="F110" s="273">
        <v>0</v>
      </c>
      <c r="G110" s="254"/>
      <c r="H110" s="254"/>
      <c r="I110" s="254"/>
      <c r="J110" s="254"/>
      <c r="K110" s="254"/>
      <c r="L110" s="273">
        <f>SUM(F110+H110-J110)</f>
        <v>0</v>
      </c>
      <c r="N110" s="658"/>
      <c r="O110" s="1001"/>
      <c r="P110" s="748"/>
    </row>
    <row r="111" spans="1:16" s="439" customFormat="1" ht="9.9499999999999993" hidden="1" customHeight="1" x14ac:dyDescent="0.2">
      <c r="A111" s="253"/>
      <c r="B111" s="353"/>
      <c r="C111" s="660" t="s">
        <v>604</v>
      </c>
      <c r="D111" s="352"/>
      <c r="E111" s="254"/>
      <c r="F111" s="273">
        <v>0</v>
      </c>
      <c r="G111" s="254"/>
      <c r="H111" s="254"/>
      <c r="I111" s="254"/>
      <c r="J111" s="254"/>
      <c r="K111" s="254"/>
      <c r="L111" s="273">
        <f>SUM(F111+H111-J111)</f>
        <v>0</v>
      </c>
      <c r="N111" s="658"/>
      <c r="O111" s="1001"/>
      <c r="P111" s="748"/>
    </row>
    <row r="112" spans="1:16" s="439" customFormat="1" ht="9.9499999999999993" customHeight="1" x14ac:dyDescent="0.2">
      <c r="A112" s="253"/>
      <c r="B112" s="353"/>
      <c r="C112" s="660"/>
      <c r="D112" s="352"/>
      <c r="E112" s="254"/>
      <c r="F112" s="661"/>
      <c r="G112" s="254"/>
      <c r="H112" s="366"/>
      <c r="I112" s="254"/>
      <c r="J112" s="366"/>
      <c r="K112" s="254"/>
      <c r="L112" s="661"/>
      <c r="N112" s="381"/>
      <c r="O112" s="1001"/>
      <c r="P112" s="748"/>
    </row>
    <row r="113" spans="1:16" s="439" customFormat="1" ht="9.9499999999999993" customHeight="1" thickBot="1" x14ac:dyDescent="0.25">
      <c r="A113" s="253"/>
      <c r="B113" s="353" t="s">
        <v>702</v>
      </c>
      <c r="C113" s="660"/>
      <c r="D113" s="352"/>
      <c r="E113" s="254"/>
      <c r="F113" s="344">
        <f>SUM(F108:F112)</f>
        <v>2455</v>
      </c>
      <c r="G113" s="254"/>
      <c r="H113" s="344">
        <f>SUM(H108:H111)</f>
        <v>440</v>
      </c>
      <c r="I113" s="254"/>
      <c r="J113" s="344">
        <f>SUM(J108:J111)</f>
        <v>431</v>
      </c>
      <c r="K113" s="254"/>
      <c r="L113" s="344">
        <f>SUM(L108:L111)</f>
        <v>2464</v>
      </c>
      <c r="N113" s="420">
        <f>+L105-L113</f>
        <v>0</v>
      </c>
      <c r="O113" s="1001">
        <f>+L113-'BS-agency '!P17</f>
        <v>0</v>
      </c>
      <c r="P113" s="748"/>
    </row>
    <row r="114" spans="1:16" s="439" customFormat="1" ht="21.75" customHeight="1" thickTop="1" x14ac:dyDescent="0.2">
      <c r="A114" s="253"/>
      <c r="B114" s="353"/>
      <c r="C114" s="660"/>
      <c r="D114" s="352"/>
      <c r="E114" s="254"/>
      <c r="F114" s="339"/>
      <c r="G114" s="254"/>
      <c r="H114" s="339"/>
      <c r="I114" s="254"/>
      <c r="J114" s="339"/>
      <c r="K114" s="254"/>
      <c r="L114" s="665" t="s">
        <v>1454</v>
      </c>
      <c r="N114" s="658"/>
      <c r="O114" s="1001"/>
      <c r="P114" s="748"/>
    </row>
    <row r="115" spans="1:16" s="439" customFormat="1" ht="9.9499999999999993" hidden="1" customHeight="1" x14ac:dyDescent="0.2">
      <c r="A115" s="367" t="s">
        <v>1220</v>
      </c>
      <c r="B115" s="284"/>
      <c r="C115" s="617"/>
      <c r="D115" s="284"/>
      <c r="E115" s="253"/>
      <c r="F115" s="257"/>
      <c r="G115" s="253"/>
      <c r="H115" s="257"/>
      <c r="I115" s="253"/>
      <c r="J115" s="257"/>
      <c r="K115" s="253"/>
      <c r="L115" s="257"/>
      <c r="N115" s="658"/>
      <c r="O115" s="1001"/>
      <c r="P115" s="748"/>
    </row>
    <row r="116" spans="1:16" s="439" customFormat="1" ht="6.95" hidden="1" customHeight="1" x14ac:dyDescent="0.2">
      <c r="A116" s="509"/>
      <c r="B116" s="509"/>
      <c r="C116" s="659"/>
      <c r="D116" s="509"/>
      <c r="E116" s="253"/>
      <c r="F116" s="257"/>
      <c r="G116" s="253"/>
      <c r="H116" s="257"/>
      <c r="I116" s="253"/>
      <c r="J116" s="257"/>
      <c r="K116" s="253"/>
      <c r="L116" s="257"/>
      <c r="N116" s="658"/>
      <c r="O116" s="1001"/>
      <c r="P116" s="748"/>
    </row>
    <row r="117" spans="1:16" s="439" customFormat="1" ht="9.9499999999999993" hidden="1" customHeight="1" x14ac:dyDescent="0.2">
      <c r="A117" s="253"/>
      <c r="B117" s="353" t="s">
        <v>672</v>
      </c>
      <c r="C117" s="660"/>
      <c r="D117" s="352"/>
      <c r="E117" s="253"/>
      <c r="F117" s="254"/>
      <c r="G117" s="254"/>
      <c r="H117" s="254"/>
      <c r="I117" s="254"/>
      <c r="J117" s="254"/>
      <c r="K117" s="254"/>
      <c r="L117" s="254"/>
      <c r="N117" s="658"/>
      <c r="O117" s="1001"/>
      <c r="P117" s="748"/>
    </row>
    <row r="118" spans="1:16" s="439" customFormat="1" ht="9.9499999999999993" hidden="1" customHeight="1" x14ac:dyDescent="0.2">
      <c r="A118" s="253"/>
      <c r="B118" s="353"/>
      <c r="C118" s="660" t="s">
        <v>673</v>
      </c>
      <c r="D118" s="352"/>
      <c r="E118" s="253"/>
      <c r="F118" s="339">
        <v>0</v>
      </c>
      <c r="G118" s="254"/>
      <c r="H118" s="339"/>
      <c r="I118" s="301"/>
      <c r="J118" s="339"/>
      <c r="K118" s="254"/>
      <c r="L118" s="339">
        <f t="shared" ref="L118:L124" si="5">SUM(F118+H118-J118)</f>
        <v>0</v>
      </c>
      <c r="N118" s="658"/>
      <c r="O118" s="1001"/>
      <c r="P118" s="748"/>
    </row>
    <row r="119" spans="1:16" s="439" customFormat="1" ht="9.9499999999999993" hidden="1" customHeight="1" x14ac:dyDescent="0.2">
      <c r="A119" s="533"/>
      <c r="B119" s="662"/>
      <c r="C119" s="660" t="s">
        <v>1013</v>
      </c>
      <c r="D119" s="663"/>
      <c r="E119" s="533"/>
      <c r="F119" s="273">
        <v>0</v>
      </c>
      <c r="G119" s="538"/>
      <c r="H119" s="1218"/>
      <c r="I119" s="1218"/>
      <c r="J119" s="1218"/>
      <c r="K119" s="538"/>
      <c r="L119" s="273">
        <f t="shared" si="5"/>
        <v>0</v>
      </c>
      <c r="M119" s="646"/>
      <c r="N119" s="1002"/>
      <c r="O119" s="1001"/>
      <c r="P119" s="748"/>
    </row>
    <row r="120" spans="1:16" s="439" customFormat="1" ht="9.9499999999999993" hidden="1" customHeight="1" x14ac:dyDescent="0.2">
      <c r="A120" s="533"/>
      <c r="B120" s="662"/>
      <c r="C120" s="660" t="s">
        <v>674</v>
      </c>
      <c r="D120" s="663"/>
      <c r="E120" s="533"/>
      <c r="F120" s="273">
        <v>0</v>
      </c>
      <c r="G120" s="538"/>
      <c r="H120" s="1218"/>
      <c r="I120" s="1218"/>
      <c r="J120" s="1218"/>
      <c r="K120" s="538"/>
      <c r="L120" s="273">
        <f t="shared" si="5"/>
        <v>0</v>
      </c>
      <c r="M120" s="646"/>
      <c r="N120" s="1002"/>
      <c r="O120" s="1001"/>
      <c r="P120" s="748"/>
    </row>
    <row r="121" spans="1:16" s="439" customFormat="1" ht="9.9499999999999993" hidden="1" customHeight="1" x14ac:dyDescent="0.2">
      <c r="A121" s="533"/>
      <c r="B121" s="662"/>
      <c r="C121" s="660" t="s">
        <v>62</v>
      </c>
      <c r="D121" s="663"/>
      <c r="E121" s="533"/>
      <c r="F121" s="273">
        <v>0</v>
      </c>
      <c r="G121" s="538"/>
      <c r="H121" s="1218"/>
      <c r="I121" s="1218"/>
      <c r="J121" s="1218"/>
      <c r="K121" s="538"/>
      <c r="L121" s="273">
        <f t="shared" si="5"/>
        <v>0</v>
      </c>
      <c r="M121" s="646"/>
      <c r="N121" s="1002"/>
      <c r="O121" s="1001"/>
      <c r="P121" s="748"/>
    </row>
    <row r="122" spans="1:16" s="439" customFormat="1" ht="9.9499999999999993" hidden="1" customHeight="1" x14ac:dyDescent="0.2">
      <c r="A122" s="533"/>
      <c r="B122" s="663"/>
      <c r="C122" s="660"/>
      <c r="D122" s="663" t="s">
        <v>844</v>
      </c>
      <c r="E122" s="533"/>
      <c r="F122" s="273">
        <v>0</v>
      </c>
      <c r="G122" s="538"/>
      <c r="H122" s="1218"/>
      <c r="I122" s="1218"/>
      <c r="J122" s="1218"/>
      <c r="K122" s="538"/>
      <c r="L122" s="273">
        <f t="shared" si="5"/>
        <v>0</v>
      </c>
      <c r="M122" s="646"/>
      <c r="N122" s="1002"/>
      <c r="O122" s="1001"/>
      <c r="P122" s="748"/>
    </row>
    <row r="123" spans="1:16" s="439" customFormat="1" ht="9.9499999999999993" hidden="1" customHeight="1" x14ac:dyDescent="0.2">
      <c r="A123" s="533"/>
      <c r="B123" s="663"/>
      <c r="C123" s="660"/>
      <c r="D123" s="663" t="s">
        <v>676</v>
      </c>
      <c r="E123" s="533"/>
      <c r="F123" s="273">
        <v>0</v>
      </c>
      <c r="G123" s="538"/>
      <c r="H123" s="1218"/>
      <c r="I123" s="1218"/>
      <c r="J123" s="1218"/>
      <c r="K123" s="538"/>
      <c r="L123" s="273">
        <f t="shared" si="5"/>
        <v>0</v>
      </c>
      <c r="M123" s="646"/>
      <c r="N123" s="1002"/>
      <c r="O123" s="1001"/>
      <c r="P123" s="748"/>
    </row>
    <row r="124" spans="1:16" s="439" customFormat="1" ht="9.9499999999999993" hidden="1" customHeight="1" x14ac:dyDescent="0.2">
      <c r="A124" s="533"/>
      <c r="B124" s="663"/>
      <c r="C124" s="660" t="s">
        <v>63</v>
      </c>
      <c r="D124" s="663"/>
      <c r="E124" s="533"/>
      <c r="F124" s="273">
        <v>0</v>
      </c>
      <c r="G124" s="538"/>
      <c r="H124" s="1218"/>
      <c r="I124" s="1218"/>
      <c r="J124" s="1218"/>
      <c r="K124" s="538"/>
      <c r="L124" s="273">
        <f t="shared" si="5"/>
        <v>0</v>
      </c>
      <c r="M124" s="646"/>
      <c r="N124" s="1002"/>
      <c r="O124" s="1001"/>
      <c r="P124" s="748"/>
    </row>
    <row r="125" spans="1:16" s="439" customFormat="1" ht="9.9499999999999993" hidden="1" customHeight="1" x14ac:dyDescent="0.2">
      <c r="A125" s="253"/>
      <c r="B125" s="352"/>
      <c r="C125" s="660"/>
      <c r="D125" s="352"/>
      <c r="E125" s="253"/>
      <c r="F125" s="340"/>
      <c r="G125" s="254"/>
      <c r="H125" s="366"/>
      <c r="I125" s="254"/>
      <c r="J125" s="366"/>
      <c r="K125" s="254"/>
      <c r="L125" s="340"/>
      <c r="N125" s="658"/>
      <c r="O125" s="1001"/>
      <c r="P125" s="748"/>
    </row>
    <row r="126" spans="1:16" s="439" customFormat="1" ht="9.9499999999999993" hidden="1" customHeight="1" thickBot="1" x14ac:dyDescent="0.25">
      <c r="A126" s="253"/>
      <c r="B126" s="353" t="s">
        <v>687</v>
      </c>
      <c r="C126" s="660"/>
      <c r="D126" s="352"/>
      <c r="E126" s="253"/>
      <c r="F126" s="344">
        <v>0</v>
      </c>
      <c r="G126" s="254"/>
      <c r="H126" s="344"/>
      <c r="I126" s="254"/>
      <c r="J126" s="344"/>
      <c r="K126" s="254"/>
      <c r="L126" s="344">
        <f>SUM(L118:L124)</f>
        <v>0</v>
      </c>
      <c r="N126" s="658"/>
      <c r="O126" s="1001"/>
      <c r="P126" s="748"/>
    </row>
    <row r="127" spans="1:16" s="439" customFormat="1" ht="9.9499999999999993" hidden="1" customHeight="1" thickTop="1" x14ac:dyDescent="0.2">
      <c r="A127" s="253"/>
      <c r="B127" s="352"/>
      <c r="C127" s="660"/>
      <c r="D127" s="352"/>
      <c r="E127" s="253"/>
      <c r="F127" s="254"/>
      <c r="G127" s="254"/>
      <c r="H127" s="254"/>
      <c r="I127" s="254"/>
      <c r="J127" s="254"/>
      <c r="K127" s="254"/>
      <c r="L127" s="254"/>
      <c r="N127" s="658"/>
      <c r="O127" s="1001"/>
      <c r="P127" s="748"/>
    </row>
    <row r="128" spans="1:16" s="439" customFormat="1" ht="9.9499999999999993" hidden="1" customHeight="1" x14ac:dyDescent="0.2">
      <c r="A128" s="253"/>
      <c r="B128" s="353" t="s">
        <v>751</v>
      </c>
      <c r="C128" s="660"/>
      <c r="D128" s="352"/>
      <c r="E128" s="253"/>
      <c r="F128" s="254"/>
      <c r="G128" s="254"/>
      <c r="H128" s="254"/>
      <c r="I128" s="254"/>
      <c r="J128" s="254"/>
      <c r="K128" s="254"/>
      <c r="L128" s="254"/>
      <c r="N128" s="658"/>
      <c r="O128" s="1001"/>
      <c r="P128" s="748"/>
    </row>
    <row r="129" spans="1:16" s="439" customFormat="1" ht="9.9499999999999993" hidden="1" customHeight="1" x14ac:dyDescent="0.2">
      <c r="A129" s="253"/>
      <c r="B129" s="353"/>
      <c r="C129" s="660" t="s">
        <v>688</v>
      </c>
      <c r="D129" s="352"/>
      <c r="E129" s="254"/>
      <c r="F129" s="339">
        <v>0</v>
      </c>
      <c r="G129" s="254"/>
      <c r="H129" s="339"/>
      <c r="I129" s="254"/>
      <c r="J129" s="339"/>
      <c r="K129" s="254"/>
      <c r="L129" s="339">
        <f>SUM(F129+H129-J129)</f>
        <v>0</v>
      </c>
      <c r="N129" s="658"/>
      <c r="O129" s="1001"/>
      <c r="P129" s="748"/>
    </row>
    <row r="130" spans="1:16" s="907" customFormat="1" ht="9.9499999999999993" hidden="1" customHeight="1" x14ac:dyDescent="0.2">
      <c r="A130" s="454"/>
      <c r="B130" s="1110"/>
      <c r="C130" s="908" t="s">
        <v>847</v>
      </c>
      <c r="D130" s="908"/>
      <c r="E130" s="454"/>
      <c r="F130" s="346">
        <v>0</v>
      </c>
      <c r="G130" s="346"/>
      <c r="H130" s="254"/>
      <c r="I130" s="254"/>
      <c r="J130" s="254"/>
      <c r="K130" s="346"/>
      <c r="L130" s="339">
        <f>SUM(F130+H130-J130)</f>
        <v>0</v>
      </c>
      <c r="N130" s="1111"/>
      <c r="O130" s="1112"/>
      <c r="P130" s="1112"/>
    </row>
    <row r="131" spans="1:16" s="439" customFormat="1" ht="9.9499999999999993" hidden="1" customHeight="1" x14ac:dyDescent="0.2">
      <c r="A131" s="253"/>
      <c r="B131" s="353"/>
      <c r="C131" s="660"/>
      <c r="D131" s="352"/>
      <c r="E131" s="254"/>
      <c r="F131" s="661"/>
      <c r="G131" s="254"/>
      <c r="H131" s="366"/>
      <c r="I131" s="254"/>
      <c r="J131" s="366"/>
      <c r="K131" s="254"/>
      <c r="L131" s="661"/>
      <c r="N131" s="658"/>
      <c r="O131" s="1001"/>
      <c r="P131" s="748"/>
    </row>
    <row r="132" spans="1:16" s="439" customFormat="1" ht="9.9499999999999993" hidden="1" customHeight="1" thickBot="1" x14ac:dyDescent="0.25">
      <c r="A132" s="253"/>
      <c r="B132" s="353" t="s">
        <v>702</v>
      </c>
      <c r="C132" s="660"/>
      <c r="D132" s="352"/>
      <c r="E132" s="254"/>
      <c r="F132" s="344">
        <v>0</v>
      </c>
      <c r="G132" s="254"/>
      <c r="H132" s="344">
        <f>SUM(H129:H130)</f>
        <v>0</v>
      </c>
      <c r="I132" s="254"/>
      <c r="J132" s="344">
        <f>SUM(J129:J130)</f>
        <v>0</v>
      </c>
      <c r="K132" s="254"/>
      <c r="L132" s="344">
        <f>SUM(L129:L130)</f>
        <v>0</v>
      </c>
      <c r="N132" s="420">
        <f>+L126-L132</f>
        <v>0</v>
      </c>
      <c r="O132" s="1001">
        <f>+L132-'BS-agency '!P18</f>
        <v>0</v>
      </c>
      <c r="P132" s="748"/>
    </row>
    <row r="133" spans="1:16" s="439" customFormat="1" ht="9.9499999999999993" hidden="1" customHeight="1" thickTop="1" x14ac:dyDescent="0.2">
      <c r="A133" s="253"/>
      <c r="B133" s="353"/>
      <c r="C133" s="660"/>
      <c r="D133" s="352"/>
      <c r="E133" s="254"/>
      <c r="F133" s="339"/>
      <c r="G133" s="254"/>
      <c r="H133" s="339"/>
      <c r="I133" s="254"/>
      <c r="J133" s="339"/>
      <c r="K133" s="254"/>
      <c r="L133" s="339"/>
      <c r="N133" s="658"/>
      <c r="O133" s="1001"/>
      <c r="P133" s="748"/>
    </row>
    <row r="134" spans="1:16" s="439" customFormat="1" ht="9.9499999999999993" customHeight="1" x14ac:dyDescent="0.2">
      <c r="A134" s="367" t="s">
        <v>495</v>
      </c>
      <c r="B134" s="284"/>
      <c r="C134" s="617"/>
      <c r="D134" s="284"/>
      <c r="E134" s="253"/>
      <c r="F134" s="257"/>
      <c r="G134" s="253"/>
      <c r="H134" s="257"/>
      <c r="I134" s="253"/>
      <c r="J134" s="257"/>
      <c r="K134" s="253"/>
      <c r="L134" s="257"/>
      <c r="N134" s="658"/>
      <c r="O134" s="1001"/>
      <c r="P134" s="748"/>
    </row>
    <row r="135" spans="1:16" s="439" customFormat="1" ht="6.95" customHeight="1" x14ac:dyDescent="0.2">
      <c r="A135" s="509"/>
      <c r="B135" s="509"/>
      <c r="C135" s="659"/>
      <c r="D135" s="509"/>
      <c r="E135" s="253"/>
      <c r="F135" s="257"/>
      <c r="G135" s="253"/>
      <c r="H135" s="257"/>
      <c r="I135" s="253"/>
      <c r="J135" s="257"/>
      <c r="K135" s="253"/>
      <c r="L135" s="257"/>
      <c r="N135" s="658"/>
      <c r="O135" s="1001"/>
      <c r="P135" s="748"/>
    </row>
    <row r="136" spans="1:16" s="439" customFormat="1" ht="9.9499999999999993" customHeight="1" x14ac:dyDescent="0.2">
      <c r="A136" s="253"/>
      <c r="B136" s="353" t="s">
        <v>672</v>
      </c>
      <c r="C136" s="660"/>
      <c r="D136" s="352"/>
      <c r="E136" s="253"/>
      <c r="F136" s="254"/>
      <c r="G136" s="254"/>
      <c r="H136" s="254"/>
      <c r="I136" s="254"/>
      <c r="J136" s="254"/>
      <c r="K136" s="254"/>
      <c r="L136" s="254"/>
      <c r="N136" s="658"/>
      <c r="O136" s="1001"/>
      <c r="P136" s="748"/>
    </row>
    <row r="137" spans="1:16" s="439" customFormat="1" ht="9.9499999999999993" customHeight="1" x14ac:dyDescent="0.2">
      <c r="A137" s="253"/>
      <c r="B137" s="353"/>
      <c r="C137" s="660" t="s">
        <v>673</v>
      </c>
      <c r="D137" s="352"/>
      <c r="E137" s="253"/>
      <c r="F137" s="339">
        <v>43</v>
      </c>
      <c r="G137" s="254"/>
      <c r="H137" s="346">
        <v>5</v>
      </c>
      <c r="I137" s="254"/>
      <c r="J137" s="339">
        <v>7</v>
      </c>
      <c r="K137" s="254"/>
      <c r="L137" s="339">
        <f t="shared" ref="L137:L143" si="6">SUM(F137+H137-J137)</f>
        <v>41</v>
      </c>
      <c r="N137" s="658"/>
      <c r="O137" s="1001"/>
      <c r="P137" s="748"/>
    </row>
    <row r="138" spans="1:16" s="439" customFormat="1" ht="9.9499999999999993" hidden="1" customHeight="1" x14ac:dyDescent="0.2">
      <c r="A138" s="253"/>
      <c r="B138" s="353"/>
      <c r="C138" s="660" t="s">
        <v>1013</v>
      </c>
      <c r="D138" s="352"/>
      <c r="E138" s="253"/>
      <c r="F138" s="273">
        <v>0</v>
      </c>
      <c r="G138" s="254"/>
      <c r="H138" s="254"/>
      <c r="I138" s="254"/>
      <c r="J138" s="254"/>
      <c r="K138" s="254"/>
      <c r="L138" s="273">
        <f t="shared" si="6"/>
        <v>0</v>
      </c>
      <c r="N138" s="658"/>
      <c r="O138" s="1001"/>
      <c r="P138" s="748"/>
    </row>
    <row r="139" spans="1:16" s="439" customFormat="1" ht="9.9499999999999993" hidden="1" customHeight="1" x14ac:dyDescent="0.2">
      <c r="A139" s="253"/>
      <c r="B139" s="353"/>
      <c r="C139" s="660" t="s">
        <v>674</v>
      </c>
      <c r="D139" s="352"/>
      <c r="E139" s="253"/>
      <c r="F139" s="273">
        <v>0</v>
      </c>
      <c r="G139" s="254"/>
      <c r="H139" s="254"/>
      <c r="I139" s="254"/>
      <c r="J139" s="254"/>
      <c r="K139" s="254"/>
      <c r="L139" s="273">
        <f t="shared" si="6"/>
        <v>0</v>
      </c>
      <c r="N139" s="658"/>
      <c r="O139" s="1001"/>
      <c r="P139" s="748"/>
    </row>
    <row r="140" spans="1:16" s="439" customFormat="1" ht="9.9499999999999993" hidden="1" customHeight="1" x14ac:dyDescent="0.2">
      <c r="A140" s="253"/>
      <c r="B140" s="353"/>
      <c r="C140" s="660" t="s">
        <v>62</v>
      </c>
      <c r="D140" s="352"/>
      <c r="E140" s="253"/>
      <c r="F140" s="273">
        <v>0</v>
      </c>
      <c r="G140" s="254"/>
      <c r="H140" s="254"/>
      <c r="I140" s="254"/>
      <c r="J140" s="254"/>
      <c r="K140" s="254"/>
      <c r="L140" s="273">
        <f t="shared" si="6"/>
        <v>0</v>
      </c>
      <c r="N140" s="658"/>
      <c r="O140" s="1001"/>
      <c r="P140" s="748"/>
    </row>
    <row r="141" spans="1:16" s="439" customFormat="1" ht="9.9499999999999993" hidden="1" customHeight="1" x14ac:dyDescent="0.2">
      <c r="A141" s="253"/>
      <c r="B141" s="352"/>
      <c r="C141" s="660"/>
      <c r="D141" s="352" t="s">
        <v>844</v>
      </c>
      <c r="E141" s="253"/>
      <c r="F141" s="273">
        <v>0</v>
      </c>
      <c r="G141" s="254"/>
      <c r="H141" s="254"/>
      <c r="I141" s="254"/>
      <c r="J141" s="254"/>
      <c r="K141" s="254"/>
      <c r="L141" s="273">
        <f t="shared" si="6"/>
        <v>0</v>
      </c>
      <c r="N141" s="658"/>
      <c r="O141" s="1001"/>
      <c r="P141" s="748"/>
    </row>
    <row r="142" spans="1:16" s="439" customFormat="1" ht="9.9499999999999993" hidden="1" customHeight="1" x14ac:dyDescent="0.2">
      <c r="A142" s="253"/>
      <c r="B142" s="352"/>
      <c r="C142" s="660"/>
      <c r="D142" s="352" t="s">
        <v>676</v>
      </c>
      <c r="E142" s="253"/>
      <c r="F142" s="273">
        <v>0</v>
      </c>
      <c r="G142" s="254"/>
      <c r="H142" s="254"/>
      <c r="I142" s="254"/>
      <c r="J142" s="254"/>
      <c r="K142" s="254"/>
      <c r="L142" s="273">
        <f t="shared" si="6"/>
        <v>0</v>
      </c>
      <c r="N142" s="658"/>
      <c r="O142" s="1001"/>
      <c r="P142" s="748"/>
    </row>
    <row r="143" spans="1:16" s="439" customFormat="1" ht="9.9499999999999993" hidden="1" customHeight="1" x14ac:dyDescent="0.2">
      <c r="A143" s="253"/>
      <c r="B143" s="352"/>
      <c r="C143" s="660" t="s">
        <v>63</v>
      </c>
      <c r="D143" s="352"/>
      <c r="E143" s="253"/>
      <c r="F143" s="273">
        <v>0</v>
      </c>
      <c r="G143" s="254"/>
      <c r="H143" s="254"/>
      <c r="I143" s="254"/>
      <c r="J143" s="254"/>
      <c r="K143" s="254"/>
      <c r="L143" s="273">
        <f t="shared" si="6"/>
        <v>0</v>
      </c>
      <c r="N143" s="658"/>
      <c r="O143" s="1001"/>
      <c r="P143" s="748"/>
    </row>
    <row r="144" spans="1:16" s="439" customFormat="1" ht="9.9499999999999993" customHeight="1" x14ac:dyDescent="0.2">
      <c r="A144" s="253"/>
      <c r="B144" s="352"/>
      <c r="C144" s="660"/>
      <c r="D144" s="352"/>
      <c r="E144" s="253"/>
      <c r="F144" s="340"/>
      <c r="G144" s="254"/>
      <c r="H144" s="366"/>
      <c r="I144" s="254"/>
      <c r="J144" s="366"/>
      <c r="K144" s="254"/>
      <c r="L144" s="340"/>
      <c r="N144" s="658"/>
      <c r="O144" s="1001"/>
      <c r="P144" s="748"/>
    </row>
    <row r="145" spans="1:16" s="439" customFormat="1" ht="9.9499999999999993" customHeight="1" thickBot="1" x14ac:dyDescent="0.25">
      <c r="A145" s="253"/>
      <c r="B145" s="353" t="s">
        <v>687</v>
      </c>
      <c r="C145" s="660"/>
      <c r="D145" s="352"/>
      <c r="E145" s="253"/>
      <c r="F145" s="344">
        <f>SUM(F137:F144)</f>
        <v>43</v>
      </c>
      <c r="G145" s="254"/>
      <c r="H145" s="344">
        <f>SUM(H137:H143)</f>
        <v>5</v>
      </c>
      <c r="I145" s="254"/>
      <c r="J145" s="344">
        <f>SUM(J137:J143)</f>
        <v>7</v>
      </c>
      <c r="K145" s="254"/>
      <c r="L145" s="344">
        <f>SUM(L137:L143)</f>
        <v>41</v>
      </c>
      <c r="N145" s="658"/>
      <c r="O145" s="1001"/>
      <c r="P145" s="748"/>
    </row>
    <row r="146" spans="1:16" s="439" customFormat="1" ht="9.9499999999999993" customHeight="1" thickTop="1" x14ac:dyDescent="0.2">
      <c r="A146" s="253"/>
      <c r="B146" s="352"/>
      <c r="C146" s="660"/>
      <c r="D146" s="352"/>
      <c r="E146" s="253"/>
      <c r="F146" s="254"/>
      <c r="G146" s="254"/>
      <c r="H146" s="254"/>
      <c r="I146" s="254"/>
      <c r="J146" s="254"/>
      <c r="K146" s="254"/>
      <c r="L146" s="254"/>
      <c r="N146" s="658"/>
      <c r="O146" s="1001"/>
      <c r="P146" s="748"/>
    </row>
    <row r="147" spans="1:16" s="439" customFormat="1" ht="9.9499999999999993" customHeight="1" x14ac:dyDescent="0.2">
      <c r="A147" s="253"/>
      <c r="B147" s="353" t="s">
        <v>751</v>
      </c>
      <c r="C147" s="660"/>
      <c r="D147" s="352"/>
      <c r="E147" s="253"/>
      <c r="F147" s="254"/>
      <c r="G147" s="254"/>
      <c r="H147" s="254"/>
      <c r="I147" s="254"/>
      <c r="J147" s="254"/>
      <c r="K147" s="254"/>
      <c r="L147" s="254"/>
      <c r="N147" s="658"/>
      <c r="O147" s="1001"/>
      <c r="P147" s="748"/>
    </row>
    <row r="148" spans="1:16" s="439" customFormat="1" ht="9.9499999999999993" hidden="1" customHeight="1" x14ac:dyDescent="0.2">
      <c r="A148" s="253"/>
      <c r="B148" s="353"/>
      <c r="C148" s="660" t="s">
        <v>688</v>
      </c>
      <c r="D148" s="352"/>
      <c r="E148" s="254"/>
      <c r="F148" s="339">
        <v>0</v>
      </c>
      <c r="G148" s="254"/>
      <c r="H148" s="339"/>
      <c r="I148" s="254"/>
      <c r="J148" s="339"/>
      <c r="K148" s="254"/>
      <c r="L148" s="339">
        <f>SUM(F148+H148-J148)</f>
        <v>0</v>
      </c>
      <c r="N148" s="658"/>
      <c r="O148" s="1001"/>
      <c r="P148" s="748"/>
    </row>
    <row r="149" spans="1:16" s="439" customFormat="1" ht="9.9499999999999993" customHeight="1" x14ac:dyDescent="0.2">
      <c r="A149" s="253"/>
      <c r="B149" s="353"/>
      <c r="C149" s="660" t="s">
        <v>847</v>
      </c>
      <c r="D149" s="352"/>
      <c r="E149" s="254"/>
      <c r="F149" s="346">
        <v>43</v>
      </c>
      <c r="G149" s="346"/>
      <c r="H149" s="346">
        <v>7</v>
      </c>
      <c r="I149" s="1218"/>
      <c r="J149" s="346">
        <v>9</v>
      </c>
      <c r="K149" s="346"/>
      <c r="L149" s="346">
        <f>SUM(F149+H149-J149)</f>
        <v>41</v>
      </c>
      <c r="N149" s="658"/>
      <c r="O149" s="1001"/>
      <c r="P149" s="748"/>
    </row>
    <row r="150" spans="1:16" s="439" customFormat="1" ht="9.9499999999999993" hidden="1" customHeight="1" x14ac:dyDescent="0.2">
      <c r="A150" s="253"/>
      <c r="B150" s="353"/>
      <c r="C150" s="660" t="s">
        <v>854</v>
      </c>
      <c r="D150" s="352"/>
      <c r="E150" s="254"/>
      <c r="F150" s="273">
        <v>0</v>
      </c>
      <c r="G150" s="254"/>
      <c r="H150" s="254"/>
      <c r="I150" s="254"/>
      <c r="J150" s="254"/>
      <c r="K150" s="254"/>
      <c r="L150" s="273">
        <f>SUM(F150+H150-J150)</f>
        <v>0</v>
      </c>
      <c r="N150" s="658"/>
      <c r="O150" s="1001"/>
      <c r="P150" s="748"/>
    </row>
    <row r="151" spans="1:16" s="439" customFormat="1" ht="9.9499999999999993" hidden="1" customHeight="1" x14ac:dyDescent="0.2">
      <c r="A151" s="253"/>
      <c r="B151" s="353"/>
      <c r="C151" s="660" t="s">
        <v>604</v>
      </c>
      <c r="D151" s="352"/>
      <c r="E151" s="254"/>
      <c r="F151" s="273">
        <v>0</v>
      </c>
      <c r="G151" s="254"/>
      <c r="H151" s="254"/>
      <c r="I151" s="254"/>
      <c r="J151" s="254"/>
      <c r="K151" s="254"/>
      <c r="L151" s="273">
        <f>SUM(F151+H151-J151)</f>
        <v>0</v>
      </c>
      <c r="N151" s="658"/>
      <c r="O151" s="1001"/>
      <c r="P151" s="748"/>
    </row>
    <row r="152" spans="1:16" s="439" customFormat="1" ht="9.9499999999999993" customHeight="1" x14ac:dyDescent="0.2">
      <c r="A152" s="253"/>
      <c r="B152" s="353"/>
      <c r="C152" s="660"/>
      <c r="D152" s="352"/>
      <c r="E152" s="254"/>
      <c r="F152" s="661"/>
      <c r="G152" s="254"/>
      <c r="H152" s="366"/>
      <c r="I152" s="254"/>
      <c r="J152" s="366"/>
      <c r="K152" s="254"/>
      <c r="L152" s="661"/>
      <c r="N152" s="381"/>
      <c r="O152" s="1001"/>
      <c r="P152" s="748"/>
    </row>
    <row r="153" spans="1:16" s="439" customFormat="1" ht="9.9499999999999993" customHeight="1" thickBot="1" x14ac:dyDescent="0.25">
      <c r="A153" s="253"/>
      <c r="B153" s="353" t="s">
        <v>702</v>
      </c>
      <c r="C153" s="660"/>
      <c r="D153" s="352"/>
      <c r="E153" s="254"/>
      <c r="F153" s="344">
        <f>SUM(F148:F152)</f>
        <v>43</v>
      </c>
      <c r="G153" s="254"/>
      <c r="H153" s="344">
        <f>SUM(H148:H151)</f>
        <v>7</v>
      </c>
      <c r="I153" s="254"/>
      <c r="J153" s="344">
        <f>SUM(J148:J151)</f>
        <v>9</v>
      </c>
      <c r="K153" s="254"/>
      <c r="L153" s="344">
        <f>SUM(L148:L151)</f>
        <v>41</v>
      </c>
      <c r="N153" s="420">
        <f>+L145-L153</f>
        <v>0</v>
      </c>
      <c r="O153" s="1001">
        <f>+L153-'BS-agency '!P19</f>
        <v>0</v>
      </c>
      <c r="P153" s="748"/>
    </row>
    <row r="154" spans="1:16" s="439" customFormat="1" ht="9.9499999999999993" customHeight="1" thickTop="1" x14ac:dyDescent="0.2">
      <c r="A154" s="253"/>
      <c r="B154" s="353"/>
      <c r="C154" s="660"/>
      <c r="D154" s="352"/>
      <c r="E154" s="254"/>
      <c r="F154" s="339"/>
      <c r="G154" s="254"/>
      <c r="H154" s="339"/>
      <c r="I154" s="254"/>
      <c r="J154" s="339"/>
      <c r="K154" s="254"/>
      <c r="L154" s="339"/>
      <c r="N154" s="658"/>
      <c r="O154" s="1001"/>
      <c r="P154" s="748"/>
    </row>
    <row r="155" spans="1:16" s="439" customFormat="1" ht="9.9499999999999993" hidden="1" customHeight="1" x14ac:dyDescent="0.2">
      <c r="A155" s="367" t="s">
        <v>1221</v>
      </c>
      <c r="B155" s="284"/>
      <c r="C155" s="617"/>
      <c r="D155" s="284"/>
      <c r="E155" s="253"/>
      <c r="F155" s="257"/>
      <c r="G155" s="253"/>
      <c r="H155" s="257"/>
      <c r="I155" s="253"/>
      <c r="J155" s="257"/>
      <c r="K155" s="253"/>
      <c r="L155" s="257"/>
      <c r="N155" s="658"/>
      <c r="O155" s="1001"/>
      <c r="P155" s="748"/>
    </row>
    <row r="156" spans="1:16" s="439" customFormat="1" ht="6.95" hidden="1" customHeight="1" x14ac:dyDescent="0.2">
      <c r="A156" s="509"/>
      <c r="B156" s="509"/>
      <c r="C156" s="659"/>
      <c r="D156" s="509"/>
      <c r="E156" s="253"/>
      <c r="F156" s="257"/>
      <c r="G156" s="253"/>
      <c r="H156" s="257"/>
      <c r="I156" s="253"/>
      <c r="J156" s="257"/>
      <c r="K156" s="253"/>
      <c r="L156" s="257"/>
      <c r="N156" s="658"/>
      <c r="O156" s="1001"/>
      <c r="P156" s="748"/>
    </row>
    <row r="157" spans="1:16" s="439" customFormat="1" ht="9.9499999999999993" hidden="1" customHeight="1" x14ac:dyDescent="0.2">
      <c r="A157" s="253"/>
      <c r="B157" s="353" t="s">
        <v>672</v>
      </c>
      <c r="C157" s="660"/>
      <c r="D157" s="352"/>
      <c r="E157" s="253"/>
      <c r="F157" s="254"/>
      <c r="G157" s="254"/>
      <c r="H157" s="1342"/>
      <c r="I157" s="1342"/>
      <c r="J157" s="1342"/>
      <c r="K157" s="254"/>
      <c r="L157" s="254"/>
      <c r="N157" s="658"/>
      <c r="O157" s="1001"/>
      <c r="P157" s="748"/>
    </row>
    <row r="158" spans="1:16" s="439" customFormat="1" ht="9.9499999999999993" hidden="1" customHeight="1" x14ac:dyDescent="0.2">
      <c r="A158" s="253"/>
      <c r="B158" s="353"/>
      <c r="C158" s="857" t="s">
        <v>673</v>
      </c>
      <c r="D158" s="352"/>
      <c r="E158" s="253"/>
      <c r="F158" s="1230">
        <v>0</v>
      </c>
      <c r="G158" s="1231"/>
      <c r="H158" s="1230"/>
      <c r="I158" s="1231"/>
      <c r="J158" s="1230"/>
      <c r="K158" s="1231"/>
      <c r="L158" s="1230">
        <f t="shared" ref="L158:L164" si="7">SUM(F158+H158-J158)</f>
        <v>0</v>
      </c>
      <c r="N158" s="658"/>
      <c r="O158" s="1001"/>
      <c r="P158" s="748"/>
    </row>
    <row r="159" spans="1:16" s="439" customFormat="1" ht="9.9499999999999993" hidden="1" customHeight="1" x14ac:dyDescent="0.2">
      <c r="A159" s="253"/>
      <c r="B159" s="353"/>
      <c r="C159" s="857" t="s">
        <v>1013</v>
      </c>
      <c r="D159" s="352"/>
      <c r="E159" s="253"/>
      <c r="F159" s="1232">
        <v>0</v>
      </c>
      <c r="G159" s="1231"/>
      <c r="H159" s="1236"/>
      <c r="I159" s="1231"/>
      <c r="J159" s="1230"/>
      <c r="K159" s="1231"/>
      <c r="L159" s="1232">
        <f t="shared" si="7"/>
        <v>0</v>
      </c>
      <c r="N159" s="658"/>
      <c r="O159" s="1001"/>
      <c r="P159" s="748"/>
    </row>
    <row r="160" spans="1:16" s="1005" customFormat="1" ht="9.9499999999999993" hidden="1" customHeight="1" x14ac:dyDescent="0.2">
      <c r="A160" s="346"/>
      <c r="B160" s="858"/>
      <c r="C160" s="859" t="s">
        <v>674</v>
      </c>
      <c r="D160" s="859"/>
      <c r="E160" s="346"/>
      <c r="F160" s="1232">
        <v>0</v>
      </c>
      <c r="G160" s="1233"/>
      <c r="H160" s="1238"/>
      <c r="I160" s="1238"/>
      <c r="J160" s="1238"/>
      <c r="K160" s="1233"/>
      <c r="L160" s="1232">
        <f t="shared" si="7"/>
        <v>0</v>
      </c>
      <c r="N160" s="1006"/>
      <c r="O160" s="1007"/>
      <c r="P160" s="1007"/>
    </row>
    <row r="161" spans="1:16" s="439" customFormat="1" ht="9.9499999999999993" hidden="1" customHeight="1" x14ac:dyDescent="0.2">
      <c r="A161" s="253"/>
      <c r="B161" s="353"/>
      <c r="C161" s="857" t="s">
        <v>62</v>
      </c>
      <c r="D161" s="352"/>
      <c r="E161" s="253"/>
      <c r="F161" s="1232">
        <v>0</v>
      </c>
      <c r="G161" s="1231"/>
      <c r="H161" s="1231"/>
      <c r="I161" s="1231"/>
      <c r="J161" s="1231"/>
      <c r="K161" s="1231"/>
      <c r="L161" s="1232">
        <f t="shared" si="7"/>
        <v>0</v>
      </c>
      <c r="N161" s="658"/>
      <c r="O161" s="1001"/>
      <c r="P161" s="748"/>
    </row>
    <row r="162" spans="1:16" s="439" customFormat="1" ht="9.9499999999999993" hidden="1" customHeight="1" x14ac:dyDescent="0.2">
      <c r="A162" s="253"/>
      <c r="B162" s="352"/>
      <c r="C162" s="660"/>
      <c r="D162" s="352" t="s">
        <v>844</v>
      </c>
      <c r="E162" s="253"/>
      <c r="F162" s="1232">
        <v>0</v>
      </c>
      <c r="G162" s="1231"/>
      <c r="H162" s="1231"/>
      <c r="I162" s="1231"/>
      <c r="J162" s="1231"/>
      <c r="K162" s="1231"/>
      <c r="L162" s="1232">
        <f t="shared" si="7"/>
        <v>0</v>
      </c>
      <c r="N162" s="658"/>
      <c r="O162" s="1001"/>
      <c r="P162" s="748"/>
    </row>
    <row r="163" spans="1:16" s="439" customFormat="1" ht="9.9499999999999993" hidden="1" customHeight="1" x14ac:dyDescent="0.2">
      <c r="A163" s="253"/>
      <c r="B163" s="352"/>
      <c r="C163" s="660"/>
      <c r="D163" s="352" t="s">
        <v>676</v>
      </c>
      <c r="E163" s="253"/>
      <c r="F163" s="1232">
        <v>0</v>
      </c>
      <c r="G163" s="1231"/>
      <c r="H163" s="1231"/>
      <c r="I163" s="1231"/>
      <c r="J163" s="1231"/>
      <c r="K163" s="1231"/>
      <c r="L163" s="1232">
        <f t="shared" si="7"/>
        <v>0</v>
      </c>
      <c r="N163" s="658"/>
      <c r="O163" s="1001"/>
      <c r="P163" s="748"/>
    </row>
    <row r="164" spans="1:16" s="439" customFormat="1" ht="9.9499999999999993" hidden="1" customHeight="1" x14ac:dyDescent="0.2">
      <c r="A164" s="253"/>
      <c r="B164" s="352"/>
      <c r="C164" s="660" t="s">
        <v>604</v>
      </c>
      <c r="D164" s="352"/>
      <c r="E164" s="253"/>
      <c r="F164" s="1232">
        <v>0</v>
      </c>
      <c r="G164" s="1231"/>
      <c r="H164" s="1231"/>
      <c r="I164" s="1231"/>
      <c r="J164" s="1231"/>
      <c r="K164" s="1231"/>
      <c r="L164" s="1232">
        <f t="shared" si="7"/>
        <v>0</v>
      </c>
      <c r="N164" s="658"/>
      <c r="O164" s="1001"/>
      <c r="P164" s="748"/>
    </row>
    <row r="165" spans="1:16" s="439" customFormat="1" ht="9.9499999999999993" hidden="1" customHeight="1" x14ac:dyDescent="0.2">
      <c r="A165" s="253"/>
      <c r="B165" s="352"/>
      <c r="C165" s="660"/>
      <c r="D165" s="352"/>
      <c r="E165" s="253"/>
      <c r="F165" s="1234"/>
      <c r="G165" s="1231"/>
      <c r="H165" s="1343"/>
      <c r="I165" s="1231"/>
      <c r="J165" s="1343"/>
      <c r="K165" s="1231"/>
      <c r="L165" s="1234"/>
      <c r="N165" s="658"/>
      <c r="O165" s="1001"/>
      <c r="P165" s="748"/>
    </row>
    <row r="166" spans="1:16" s="439" customFormat="1" ht="9.9499999999999993" hidden="1" customHeight="1" thickBot="1" x14ac:dyDescent="0.25">
      <c r="A166" s="253"/>
      <c r="B166" s="353" t="s">
        <v>687</v>
      </c>
      <c r="C166" s="660"/>
      <c r="D166" s="352"/>
      <c r="E166" s="253"/>
      <c r="F166" s="1235">
        <v>0</v>
      </c>
      <c r="G166" s="1231"/>
      <c r="H166" s="1235">
        <f>SUM(H158:H164)</f>
        <v>0</v>
      </c>
      <c r="I166" s="1231"/>
      <c r="J166" s="1235">
        <f>SUM(J158:J164)</f>
        <v>0</v>
      </c>
      <c r="K166" s="1231"/>
      <c r="L166" s="1235">
        <f>SUM(L158:L164)</f>
        <v>0</v>
      </c>
      <c r="N166" s="658"/>
      <c r="O166" s="1001"/>
      <c r="P166" s="748"/>
    </row>
    <row r="167" spans="1:16" s="439" customFormat="1" ht="9.9499999999999993" hidden="1" customHeight="1" thickTop="1" x14ac:dyDescent="0.2">
      <c r="A167" s="253"/>
      <c r="B167" s="352"/>
      <c r="C167" s="660"/>
      <c r="D167" s="352"/>
      <c r="E167" s="253"/>
      <c r="F167" s="1231"/>
      <c r="G167" s="1231"/>
      <c r="H167" s="1231"/>
      <c r="I167" s="1231"/>
      <c r="J167" s="1231"/>
      <c r="K167" s="1231"/>
      <c r="L167" s="1231"/>
      <c r="N167" s="658"/>
      <c r="O167" s="1001"/>
      <c r="P167" s="748"/>
    </row>
    <row r="168" spans="1:16" s="439" customFormat="1" ht="9.9499999999999993" hidden="1" customHeight="1" x14ac:dyDescent="0.2">
      <c r="A168" s="253"/>
      <c r="B168" s="353" t="s">
        <v>751</v>
      </c>
      <c r="C168" s="660"/>
      <c r="D168" s="352"/>
      <c r="E168" s="253"/>
      <c r="F168" s="1231"/>
      <c r="G168" s="1231"/>
      <c r="H168" s="1231"/>
      <c r="I168" s="1231"/>
      <c r="J168" s="1231"/>
      <c r="K168" s="1231"/>
      <c r="L168" s="1231"/>
      <c r="N168" s="658"/>
      <c r="O168" s="1001"/>
      <c r="P168" s="748"/>
    </row>
    <row r="169" spans="1:16" s="439" customFormat="1" ht="9.9499999999999993" hidden="1" customHeight="1" x14ac:dyDescent="0.2">
      <c r="A169" s="253"/>
      <c r="B169" s="353"/>
      <c r="C169" s="857" t="s">
        <v>688</v>
      </c>
      <c r="D169" s="352"/>
      <c r="E169" s="254"/>
      <c r="F169" s="1230">
        <v>0</v>
      </c>
      <c r="G169" s="1231"/>
      <c r="H169" s="1230"/>
      <c r="I169" s="1231"/>
      <c r="J169" s="1230"/>
      <c r="K169" s="1231"/>
      <c r="L169" s="1230">
        <f>SUM(F169+H169-J169)</f>
        <v>0</v>
      </c>
      <c r="N169" s="658"/>
      <c r="O169" s="1001"/>
      <c r="P169" s="748"/>
    </row>
    <row r="170" spans="1:16" s="778" customFormat="1" ht="9.9499999999999993" hidden="1" customHeight="1" x14ac:dyDescent="0.2">
      <c r="A170" s="538"/>
      <c r="B170" s="860"/>
      <c r="C170" s="861" t="s">
        <v>847</v>
      </c>
      <c r="D170" s="861"/>
      <c r="E170" s="538"/>
      <c r="F170" s="1236">
        <v>0</v>
      </c>
      <c r="G170" s="1236"/>
      <c r="H170" s="1218"/>
      <c r="I170" s="1218"/>
      <c r="J170" s="1218"/>
      <c r="K170" s="1236"/>
      <c r="L170" s="339">
        <f>SUM(F170+H170-J170)</f>
        <v>0</v>
      </c>
      <c r="N170" s="1008"/>
      <c r="O170" s="1009"/>
      <c r="P170" s="1009"/>
    </row>
    <row r="171" spans="1:16" s="439" customFormat="1" ht="9.9499999999999993" hidden="1" customHeight="1" x14ac:dyDescent="0.2">
      <c r="A171" s="253"/>
      <c r="B171" s="353"/>
      <c r="C171" s="857" t="s">
        <v>854</v>
      </c>
      <c r="D171" s="352"/>
      <c r="E171" s="254"/>
      <c r="F171" s="1232">
        <v>0</v>
      </c>
      <c r="G171" s="1231"/>
      <c r="H171" s="1231"/>
      <c r="I171" s="1231"/>
      <c r="J171" s="1231"/>
      <c r="K171" s="1231"/>
      <c r="L171" s="1232">
        <f>SUM(F171+H171-J171)</f>
        <v>0</v>
      </c>
      <c r="N171" s="658"/>
      <c r="O171" s="1001"/>
      <c r="P171" s="748"/>
    </row>
    <row r="172" spans="1:16" s="439" customFormat="1" ht="9.9499999999999993" hidden="1" customHeight="1" x14ac:dyDescent="0.2">
      <c r="A172" s="253"/>
      <c r="B172" s="353"/>
      <c r="C172" s="660" t="s">
        <v>604</v>
      </c>
      <c r="D172" s="352"/>
      <c r="E172" s="254"/>
      <c r="F172" s="1232">
        <v>0</v>
      </c>
      <c r="G172" s="1231"/>
      <c r="H172" s="1231"/>
      <c r="I172" s="1231"/>
      <c r="J172" s="1231"/>
      <c r="K172" s="1231"/>
      <c r="L172" s="1232">
        <f>SUM(F172+H172-J172)</f>
        <v>0</v>
      </c>
      <c r="N172" s="658"/>
      <c r="O172" s="1001"/>
      <c r="P172" s="748"/>
    </row>
    <row r="173" spans="1:16" s="439" customFormat="1" ht="9.9499999999999993" hidden="1" customHeight="1" x14ac:dyDescent="0.2">
      <c r="A173" s="253"/>
      <c r="B173" s="353"/>
      <c r="C173" s="660"/>
      <c r="D173" s="352"/>
      <c r="E173" s="254"/>
      <c r="F173" s="1237"/>
      <c r="G173" s="1231"/>
      <c r="H173" s="1343"/>
      <c r="I173" s="1231"/>
      <c r="J173" s="1343"/>
      <c r="K173" s="1231"/>
      <c r="L173" s="1237"/>
      <c r="N173" s="658"/>
      <c r="O173" s="1001"/>
      <c r="P173" s="748"/>
    </row>
    <row r="174" spans="1:16" s="439" customFormat="1" ht="9.9499999999999993" hidden="1" customHeight="1" thickBot="1" x14ac:dyDescent="0.25">
      <c r="A174" s="253"/>
      <c r="B174" s="353" t="s">
        <v>702</v>
      </c>
      <c r="C174" s="660"/>
      <c r="D174" s="352"/>
      <c r="E174" s="254"/>
      <c r="F174" s="1235">
        <v>0</v>
      </c>
      <c r="G174" s="1231"/>
      <c r="H174" s="1235">
        <f>SUM(H169:H172)</f>
        <v>0</v>
      </c>
      <c r="I174" s="1231"/>
      <c r="J174" s="1235">
        <f>SUM(J169:J172)</f>
        <v>0</v>
      </c>
      <c r="K174" s="1231"/>
      <c r="L174" s="1235">
        <f>SUM(L169:L172)</f>
        <v>0</v>
      </c>
      <c r="N174" s="420">
        <f>+L166-L174</f>
        <v>0</v>
      </c>
      <c r="O174" s="1001">
        <f>+L174-'BS-agency '!P20</f>
        <v>0</v>
      </c>
      <c r="P174" s="748"/>
    </row>
    <row r="176" spans="1:16" s="439" customFormat="1" ht="9.9499999999999993" customHeight="1" x14ac:dyDescent="0.2">
      <c r="A176" s="367" t="s">
        <v>981</v>
      </c>
      <c r="B176" s="284"/>
      <c r="C176" s="617"/>
      <c r="D176" s="284"/>
      <c r="E176" s="253"/>
      <c r="F176" s="257"/>
      <c r="G176" s="253"/>
      <c r="H176" s="257"/>
      <c r="I176" s="253"/>
      <c r="J176" s="257"/>
      <c r="K176" s="253"/>
      <c r="L176" s="257"/>
      <c r="N176" s="658"/>
      <c r="O176" s="1001"/>
      <c r="P176" s="748"/>
    </row>
    <row r="177" spans="1:16" s="439" customFormat="1" ht="6.95" customHeight="1" x14ac:dyDescent="0.2">
      <c r="A177" s="509"/>
      <c r="B177" s="509"/>
      <c r="C177" s="659"/>
      <c r="D177" s="509"/>
      <c r="E177" s="253"/>
      <c r="F177" s="257"/>
      <c r="G177" s="253"/>
      <c r="H177" s="257"/>
      <c r="I177" s="253"/>
      <c r="J177" s="257"/>
      <c r="K177" s="253"/>
      <c r="L177" s="257"/>
      <c r="N177" s="658"/>
      <c r="O177" s="1001"/>
      <c r="P177" s="748"/>
    </row>
    <row r="178" spans="1:16" s="439" customFormat="1" ht="9.9499999999999993" customHeight="1" x14ac:dyDescent="0.2">
      <c r="A178" s="253"/>
      <c r="B178" s="353" t="s">
        <v>672</v>
      </c>
      <c r="C178" s="660"/>
      <c r="D178" s="352"/>
      <c r="E178" s="253"/>
      <c r="F178" s="254"/>
      <c r="G178" s="254"/>
      <c r="H178" s="254"/>
      <c r="I178" s="254"/>
      <c r="J178" s="254"/>
      <c r="K178" s="254"/>
      <c r="L178" s="254"/>
      <c r="N178" s="658"/>
      <c r="O178" s="1001"/>
      <c r="P178" s="748"/>
    </row>
    <row r="179" spans="1:16" s="439" customFormat="1" ht="9.75" customHeight="1" x14ac:dyDescent="0.2">
      <c r="A179" s="253"/>
      <c r="B179" s="353"/>
      <c r="C179" s="660" t="s">
        <v>673</v>
      </c>
      <c r="D179" s="352"/>
      <c r="E179" s="253"/>
      <c r="F179" s="339">
        <v>200</v>
      </c>
      <c r="G179" s="254"/>
      <c r="H179" s="346">
        <v>13353</v>
      </c>
      <c r="I179" s="254"/>
      <c r="J179" s="339">
        <v>13458</v>
      </c>
      <c r="K179" s="254"/>
      <c r="L179" s="339">
        <f>SUM(F179+H179-J179)</f>
        <v>95</v>
      </c>
      <c r="N179" s="658"/>
      <c r="O179" s="1001"/>
      <c r="P179" s="748"/>
    </row>
    <row r="180" spans="1:16" s="439" customFormat="1" ht="9.9499999999999993" hidden="1" customHeight="1" x14ac:dyDescent="0.2">
      <c r="A180" s="533"/>
      <c r="B180" s="662"/>
      <c r="C180" s="660" t="s">
        <v>1013</v>
      </c>
      <c r="D180" s="663"/>
      <c r="E180" s="533"/>
      <c r="F180" s="273">
        <v>0</v>
      </c>
      <c r="G180" s="538"/>
      <c r="H180" s="1218"/>
      <c r="I180" s="1218"/>
      <c r="J180" s="1218"/>
      <c r="K180" s="538"/>
      <c r="L180" s="273">
        <f t="shared" ref="L180:L185" si="8">SUM(F180+H180-J180)</f>
        <v>0</v>
      </c>
      <c r="M180" s="646"/>
      <c r="N180" s="1002"/>
      <c r="O180" s="1001"/>
      <c r="P180" s="748"/>
    </row>
    <row r="181" spans="1:16" s="439" customFormat="1" ht="9.9499999999999993" hidden="1" customHeight="1" x14ac:dyDescent="0.2">
      <c r="A181" s="533"/>
      <c r="B181" s="662"/>
      <c r="C181" s="660" t="s">
        <v>674</v>
      </c>
      <c r="D181" s="663"/>
      <c r="E181" s="533"/>
      <c r="F181" s="273">
        <v>0</v>
      </c>
      <c r="G181" s="538"/>
      <c r="H181" s="1218"/>
      <c r="I181" s="1218"/>
      <c r="J181" s="1218"/>
      <c r="K181" s="538"/>
      <c r="L181" s="273">
        <f t="shared" si="8"/>
        <v>0</v>
      </c>
      <c r="M181" s="646"/>
      <c r="N181" s="1002"/>
      <c r="O181" s="1001"/>
      <c r="P181" s="748"/>
    </row>
    <row r="182" spans="1:16" s="439" customFormat="1" ht="9.9499999999999993" hidden="1" customHeight="1" x14ac:dyDescent="0.2">
      <c r="A182" s="533"/>
      <c r="B182" s="662"/>
      <c r="C182" s="660" t="s">
        <v>62</v>
      </c>
      <c r="D182" s="663"/>
      <c r="E182" s="533"/>
      <c r="F182" s="273">
        <v>0</v>
      </c>
      <c r="G182" s="538"/>
      <c r="H182" s="1218"/>
      <c r="I182" s="1218"/>
      <c r="J182" s="1218"/>
      <c r="K182" s="538"/>
      <c r="L182" s="273">
        <f t="shared" si="8"/>
        <v>0</v>
      </c>
      <c r="M182" s="646"/>
      <c r="N182" s="1002"/>
      <c r="O182" s="1001"/>
      <c r="P182" s="748"/>
    </row>
    <row r="183" spans="1:16" s="439" customFormat="1" ht="9.9499999999999993" hidden="1" customHeight="1" x14ac:dyDescent="0.2">
      <c r="A183" s="533"/>
      <c r="B183" s="663"/>
      <c r="C183" s="660"/>
      <c r="D183" s="663" t="s">
        <v>844</v>
      </c>
      <c r="E183" s="533"/>
      <c r="F183" s="273">
        <v>0</v>
      </c>
      <c r="G183" s="538"/>
      <c r="H183" s="1218"/>
      <c r="I183" s="1218"/>
      <c r="J183" s="1218"/>
      <c r="K183" s="538"/>
      <c r="L183" s="273">
        <f t="shared" si="8"/>
        <v>0</v>
      </c>
      <c r="M183" s="646"/>
      <c r="N183" s="1002"/>
      <c r="O183" s="1001"/>
      <c r="P183" s="748"/>
    </row>
    <row r="184" spans="1:16" s="439" customFormat="1" ht="9.9499999999999993" hidden="1" customHeight="1" x14ac:dyDescent="0.2">
      <c r="A184" s="533"/>
      <c r="B184" s="663"/>
      <c r="C184" s="660"/>
      <c r="D184" s="663" t="s">
        <v>676</v>
      </c>
      <c r="E184" s="533"/>
      <c r="F184" s="273">
        <v>0</v>
      </c>
      <c r="G184" s="538"/>
      <c r="H184" s="1218"/>
      <c r="I184" s="1218"/>
      <c r="J184" s="1218"/>
      <c r="K184" s="538"/>
      <c r="L184" s="273">
        <f t="shared" si="8"/>
        <v>0</v>
      </c>
      <c r="M184" s="646"/>
      <c r="N184" s="1002"/>
      <c r="O184" s="1001"/>
      <c r="P184" s="748"/>
    </row>
    <row r="185" spans="1:16" s="439" customFormat="1" ht="9.9499999999999993" hidden="1" customHeight="1" x14ac:dyDescent="0.2">
      <c r="A185" s="533"/>
      <c r="B185" s="663"/>
      <c r="C185" s="660" t="s">
        <v>604</v>
      </c>
      <c r="D185" s="663"/>
      <c r="E185" s="533"/>
      <c r="F185" s="273">
        <v>0</v>
      </c>
      <c r="G185" s="538"/>
      <c r="H185" s="1218"/>
      <c r="I185" s="1218"/>
      <c r="J185" s="1218"/>
      <c r="K185" s="538"/>
      <c r="L185" s="273">
        <f t="shared" si="8"/>
        <v>0</v>
      </c>
      <c r="M185" s="646"/>
      <c r="N185" s="1002"/>
      <c r="O185" s="1001"/>
      <c r="P185" s="748"/>
    </row>
    <row r="186" spans="1:16" s="439" customFormat="1" ht="9.9499999999999993" customHeight="1" x14ac:dyDescent="0.2">
      <c r="A186" s="253"/>
      <c r="B186" s="352"/>
      <c r="C186" s="660"/>
      <c r="D186" s="352"/>
      <c r="E186" s="253"/>
      <c r="F186" s="340"/>
      <c r="G186" s="254"/>
      <c r="H186" s="366"/>
      <c r="I186" s="254"/>
      <c r="J186" s="366"/>
      <c r="K186" s="254"/>
      <c r="L186" s="340"/>
      <c r="N186" s="658"/>
      <c r="O186" s="1001"/>
      <c r="P186" s="748"/>
    </row>
    <row r="187" spans="1:16" s="439" customFormat="1" ht="9.9499999999999993" customHeight="1" thickBot="1" x14ac:dyDescent="0.25">
      <c r="A187" s="253"/>
      <c r="B187" s="353" t="s">
        <v>687</v>
      </c>
      <c r="C187" s="660"/>
      <c r="D187" s="352"/>
      <c r="E187" s="253"/>
      <c r="F187" s="344">
        <f>SUM(F179:F186)</f>
        <v>200</v>
      </c>
      <c r="G187" s="254"/>
      <c r="H187" s="344">
        <f>SUM(H179:H185)</f>
        <v>13353</v>
      </c>
      <c r="I187" s="254"/>
      <c r="J187" s="344">
        <f>SUM(J179:J185)</f>
        <v>13458</v>
      </c>
      <c r="K187" s="254"/>
      <c r="L187" s="344">
        <f>SUM(L179:L185)</f>
        <v>95</v>
      </c>
      <c r="N187" s="658"/>
      <c r="O187" s="1001"/>
      <c r="P187" s="748"/>
    </row>
    <row r="188" spans="1:16" s="439" customFormat="1" ht="9.9499999999999993" customHeight="1" thickTop="1" x14ac:dyDescent="0.2">
      <c r="A188" s="253"/>
      <c r="B188" s="352"/>
      <c r="C188" s="660"/>
      <c r="D188" s="352"/>
      <c r="E188" s="253"/>
      <c r="F188" s="254"/>
      <c r="G188" s="254"/>
      <c r="H188" s="254"/>
      <c r="I188" s="254"/>
      <c r="J188" s="254"/>
      <c r="K188" s="254"/>
      <c r="L188" s="254"/>
      <c r="N188" s="658"/>
      <c r="O188" s="1001"/>
      <c r="P188" s="748"/>
    </row>
    <row r="189" spans="1:16" s="439" customFormat="1" ht="9.9499999999999993" customHeight="1" x14ac:dyDescent="0.2">
      <c r="A189" s="253"/>
      <c r="B189" s="353" t="s">
        <v>751</v>
      </c>
      <c r="C189" s="660"/>
      <c r="D189" s="352"/>
      <c r="E189" s="253"/>
      <c r="F189" s="254"/>
      <c r="G189" s="254"/>
      <c r="H189" s="254"/>
      <c r="I189" s="254"/>
      <c r="J189" s="254"/>
      <c r="K189" s="254"/>
      <c r="L189" s="254"/>
      <c r="N189" s="658"/>
      <c r="O189" s="1001"/>
      <c r="P189" s="748"/>
    </row>
    <row r="190" spans="1:16" s="439" customFormat="1" ht="9.9499999999999993" hidden="1" customHeight="1" x14ac:dyDescent="0.2">
      <c r="A190" s="253"/>
      <c r="B190" s="353"/>
      <c r="C190" s="660" t="s">
        <v>688</v>
      </c>
      <c r="D190" s="352"/>
      <c r="E190" s="254"/>
      <c r="F190" s="339">
        <v>0</v>
      </c>
      <c r="G190" s="254"/>
      <c r="H190" s="339"/>
      <c r="I190" s="254"/>
      <c r="J190" s="339"/>
      <c r="K190" s="254"/>
      <c r="L190" s="339">
        <f>SUM(F190+H190-J190)</f>
        <v>0</v>
      </c>
      <c r="N190" s="658"/>
      <c r="O190" s="1001"/>
      <c r="P190" s="748"/>
    </row>
    <row r="191" spans="1:16" s="439" customFormat="1" ht="9.9499999999999993" customHeight="1" x14ac:dyDescent="0.2">
      <c r="A191" s="253"/>
      <c r="B191" s="353"/>
      <c r="C191" s="660" t="s">
        <v>847</v>
      </c>
      <c r="D191" s="352"/>
      <c r="E191" s="254"/>
      <c r="F191" s="346">
        <v>200</v>
      </c>
      <c r="G191" s="346"/>
      <c r="H191" s="346">
        <v>13354</v>
      </c>
      <c r="I191" s="1218"/>
      <c r="J191" s="346">
        <v>13459</v>
      </c>
      <c r="K191" s="346"/>
      <c r="L191" s="346">
        <f>SUM(F191+H191-J191)</f>
        <v>95</v>
      </c>
      <c r="N191" s="658"/>
      <c r="O191" s="1001"/>
      <c r="P191" s="748"/>
    </row>
    <row r="192" spans="1:16" s="439" customFormat="1" ht="9.9499999999999993" hidden="1" customHeight="1" x14ac:dyDescent="0.2">
      <c r="A192" s="253"/>
      <c r="B192" s="353"/>
      <c r="C192" s="660" t="s">
        <v>854</v>
      </c>
      <c r="D192" s="352"/>
      <c r="E192" s="254"/>
      <c r="F192" s="273">
        <v>0</v>
      </c>
      <c r="G192" s="254"/>
      <c r="H192" s="254"/>
      <c r="I192" s="254"/>
      <c r="J192" s="254"/>
      <c r="K192" s="254"/>
      <c r="L192" s="273">
        <f>SUM(F192+H192-J192)</f>
        <v>0</v>
      </c>
      <c r="N192" s="658"/>
      <c r="O192" s="1001"/>
      <c r="P192" s="748"/>
    </row>
    <row r="193" spans="1:16" s="439" customFormat="1" ht="9.9499999999999993" hidden="1" customHeight="1" x14ac:dyDescent="0.2">
      <c r="A193" s="253"/>
      <c r="B193" s="353"/>
      <c r="C193" s="660" t="s">
        <v>604</v>
      </c>
      <c r="D193" s="352"/>
      <c r="E193" s="254"/>
      <c r="F193" s="273">
        <v>0</v>
      </c>
      <c r="G193" s="254"/>
      <c r="H193" s="254"/>
      <c r="I193" s="254"/>
      <c r="J193" s="254"/>
      <c r="K193" s="254"/>
      <c r="L193" s="273">
        <f>SUM(F193+H193-J193)</f>
        <v>0</v>
      </c>
      <c r="N193" s="658"/>
      <c r="O193" s="1001"/>
      <c r="P193" s="748"/>
    </row>
    <row r="194" spans="1:16" s="439" customFormat="1" ht="9.9499999999999993" customHeight="1" x14ac:dyDescent="0.2">
      <c r="A194" s="253"/>
      <c r="B194" s="353"/>
      <c r="C194" s="660"/>
      <c r="D194" s="352"/>
      <c r="E194" s="254"/>
      <c r="F194" s="661"/>
      <c r="G194" s="254"/>
      <c r="H194" s="366"/>
      <c r="I194" s="254"/>
      <c r="J194" s="366"/>
      <c r="K194" s="254"/>
      <c r="L194" s="661"/>
      <c r="N194" s="381"/>
      <c r="O194" s="1001"/>
      <c r="P194" s="748"/>
    </row>
    <row r="195" spans="1:16" s="439" customFormat="1" ht="9.9499999999999993" customHeight="1" thickBot="1" x14ac:dyDescent="0.25">
      <c r="A195" s="253"/>
      <c r="B195" s="353" t="s">
        <v>702</v>
      </c>
      <c r="C195" s="660"/>
      <c r="D195" s="352"/>
      <c r="E195" s="254"/>
      <c r="F195" s="344">
        <f>SUM(F190:F194)</f>
        <v>200</v>
      </c>
      <c r="G195" s="254"/>
      <c r="H195" s="344">
        <f>SUM(H190:H193)</f>
        <v>13354</v>
      </c>
      <c r="I195" s="254"/>
      <c r="J195" s="344">
        <f>SUM(J190:J193)</f>
        <v>13459</v>
      </c>
      <c r="K195" s="254"/>
      <c r="L195" s="344">
        <f>SUM(L190:L193)</f>
        <v>95</v>
      </c>
      <c r="N195" s="420">
        <f>+L187-L195</f>
        <v>0</v>
      </c>
      <c r="O195" s="1001"/>
      <c r="P195" s="748"/>
    </row>
    <row r="196" spans="1:16" s="439" customFormat="1" ht="9.9499999999999993" customHeight="1" thickTop="1" x14ac:dyDescent="0.2">
      <c r="A196" s="253"/>
      <c r="B196" s="353"/>
      <c r="C196" s="660"/>
      <c r="D196" s="352"/>
      <c r="E196" s="254"/>
      <c r="F196" s="339"/>
      <c r="G196" s="254"/>
      <c r="H196" s="339"/>
      <c r="I196" s="254"/>
      <c r="J196" s="339"/>
      <c r="K196" s="254"/>
      <c r="L196" s="339"/>
      <c r="N196" s="658"/>
      <c r="O196" s="1001"/>
      <c r="P196" s="748"/>
    </row>
    <row r="197" spans="1:16" s="439" customFormat="1" ht="21.75" hidden="1" customHeight="1" x14ac:dyDescent="0.2">
      <c r="A197" s="253"/>
      <c r="B197" s="353"/>
      <c r="C197" s="660"/>
      <c r="D197" s="352"/>
      <c r="E197" s="254"/>
      <c r="F197" s="339" t="s">
        <v>1102</v>
      </c>
      <c r="G197" s="254"/>
      <c r="H197" s="1344"/>
      <c r="I197" s="1342"/>
      <c r="J197" s="1344"/>
      <c r="K197" s="254"/>
      <c r="L197" s="665" t="s">
        <v>1102</v>
      </c>
      <c r="N197" s="658"/>
      <c r="O197" s="1001"/>
      <c r="P197" s="748"/>
    </row>
    <row r="198" spans="1:16" s="439" customFormat="1" ht="9.9499999999999993" customHeight="1" x14ac:dyDescent="0.2">
      <c r="A198" s="367" t="s">
        <v>494</v>
      </c>
      <c r="B198" s="284"/>
      <c r="C198" s="617"/>
      <c r="D198" s="284"/>
      <c r="E198" s="253"/>
      <c r="F198" s="257"/>
      <c r="G198" s="253"/>
      <c r="H198" s="257"/>
      <c r="I198" s="253"/>
      <c r="J198" s="257"/>
      <c r="K198" s="253"/>
      <c r="L198" s="257"/>
      <c r="N198" s="658"/>
      <c r="O198" s="1001"/>
      <c r="P198" s="748"/>
    </row>
    <row r="199" spans="1:16" s="439" customFormat="1" ht="6.95" customHeight="1" x14ac:dyDescent="0.2">
      <c r="A199" s="509"/>
      <c r="B199" s="509"/>
      <c r="C199" s="659"/>
      <c r="D199" s="509"/>
      <c r="E199" s="253"/>
      <c r="F199" s="257"/>
      <c r="G199" s="253"/>
      <c r="H199" s="257"/>
      <c r="I199" s="253"/>
      <c r="J199" s="257"/>
      <c r="K199" s="253"/>
      <c r="L199" s="257"/>
      <c r="N199" s="658"/>
      <c r="O199" s="1001"/>
      <c r="P199" s="748"/>
    </row>
    <row r="200" spans="1:16" s="439" customFormat="1" ht="9.9499999999999993" customHeight="1" x14ac:dyDescent="0.2">
      <c r="A200" s="253"/>
      <c r="B200" s="353" t="s">
        <v>672</v>
      </c>
      <c r="C200" s="660"/>
      <c r="D200" s="352"/>
      <c r="E200" s="253"/>
      <c r="F200" s="254"/>
      <c r="G200" s="254"/>
      <c r="H200" s="254"/>
      <c r="I200" s="254"/>
      <c r="J200" s="254"/>
      <c r="K200" s="254"/>
      <c r="L200" s="254"/>
      <c r="N200" s="658"/>
      <c r="O200" s="1001"/>
      <c r="P200" s="748"/>
    </row>
    <row r="201" spans="1:16" s="439" customFormat="1" ht="9.9499999999999993" customHeight="1" x14ac:dyDescent="0.2">
      <c r="A201" s="253"/>
      <c r="B201" s="353"/>
      <c r="C201" s="660" t="s">
        <v>673</v>
      </c>
      <c r="D201" s="352"/>
      <c r="E201" s="253"/>
      <c r="F201" s="339">
        <v>37</v>
      </c>
      <c r="G201" s="254"/>
      <c r="H201" s="346">
        <v>643</v>
      </c>
      <c r="I201" s="254"/>
      <c r="J201" s="339">
        <v>494</v>
      </c>
      <c r="K201" s="254"/>
      <c r="L201" s="339">
        <f t="shared" ref="L201:L207" si="9">SUM(F201+H201-J201)</f>
        <v>186</v>
      </c>
      <c r="N201" s="658"/>
      <c r="O201" s="1001"/>
      <c r="P201" s="748"/>
    </row>
    <row r="202" spans="1:16" s="439" customFormat="1" ht="9.9499999999999993" hidden="1" customHeight="1" x14ac:dyDescent="0.2">
      <c r="A202" s="253"/>
      <c r="B202" s="353"/>
      <c r="C202" s="660" t="s">
        <v>1013</v>
      </c>
      <c r="D202" s="352"/>
      <c r="E202" s="253"/>
      <c r="F202" s="273">
        <v>0</v>
      </c>
      <c r="G202" s="254"/>
      <c r="H202" s="254"/>
      <c r="I202" s="254"/>
      <c r="J202" s="254"/>
      <c r="K202" s="254"/>
      <c r="L202" s="273">
        <f t="shared" si="9"/>
        <v>0</v>
      </c>
      <c r="N202" s="658"/>
      <c r="O202" s="1001"/>
      <c r="P202" s="748"/>
    </row>
    <row r="203" spans="1:16" s="439" customFormat="1" ht="9.9499999999999993" customHeight="1" x14ac:dyDescent="0.2">
      <c r="A203" s="253"/>
      <c r="B203" s="353"/>
      <c r="C203" s="660" t="s">
        <v>674</v>
      </c>
      <c r="D203" s="352"/>
      <c r="E203" s="253"/>
      <c r="F203" s="273">
        <v>355</v>
      </c>
      <c r="G203" s="254"/>
      <c r="H203" s="254">
        <v>161</v>
      </c>
      <c r="I203" s="254"/>
      <c r="J203" s="254">
        <v>356</v>
      </c>
      <c r="K203" s="254"/>
      <c r="L203" s="273">
        <f t="shared" si="9"/>
        <v>160</v>
      </c>
      <c r="N203" s="658"/>
      <c r="O203" s="1001"/>
      <c r="P203" s="748"/>
    </row>
    <row r="204" spans="1:16" s="439" customFormat="1" ht="9.9499999999999993" customHeight="1" x14ac:dyDescent="0.2">
      <c r="A204" s="253"/>
      <c r="B204" s="353"/>
      <c r="C204" s="660" t="s">
        <v>62</v>
      </c>
      <c r="D204" s="352"/>
      <c r="E204" s="253"/>
      <c r="F204" s="273">
        <v>0</v>
      </c>
      <c r="G204" s="254"/>
      <c r="H204" s="254"/>
      <c r="I204" s="254"/>
      <c r="J204" s="254"/>
      <c r="K204" s="254"/>
      <c r="L204" s="273">
        <f t="shared" si="9"/>
        <v>0</v>
      </c>
      <c r="N204" s="658"/>
      <c r="O204" s="1001"/>
      <c r="P204" s="748"/>
    </row>
    <row r="205" spans="1:16" s="439" customFormat="1" ht="9.9499999999999993" hidden="1" customHeight="1" x14ac:dyDescent="0.2">
      <c r="A205" s="253"/>
      <c r="B205" s="352"/>
      <c r="C205" s="660"/>
      <c r="D205" s="352" t="s">
        <v>844</v>
      </c>
      <c r="E205" s="253"/>
      <c r="F205" s="273">
        <v>0</v>
      </c>
      <c r="G205" s="254"/>
      <c r="H205" s="254"/>
      <c r="I205" s="254"/>
      <c r="J205" s="254"/>
      <c r="K205" s="254"/>
      <c r="L205" s="273">
        <f t="shared" si="9"/>
        <v>0</v>
      </c>
      <c r="N205" s="658"/>
      <c r="O205" s="1001"/>
      <c r="P205" s="748"/>
    </row>
    <row r="206" spans="1:16" s="439" customFormat="1" ht="9.9499999999999993" customHeight="1" x14ac:dyDescent="0.2">
      <c r="A206" s="253"/>
      <c r="B206" s="352"/>
      <c r="C206" s="660"/>
      <c r="D206" s="352" t="s">
        <v>676</v>
      </c>
      <c r="E206" s="253"/>
      <c r="F206" s="273">
        <v>1</v>
      </c>
      <c r="G206" s="254"/>
      <c r="H206" s="254">
        <v>1</v>
      </c>
      <c r="I206" s="254"/>
      <c r="J206" s="254">
        <v>2</v>
      </c>
      <c r="K206" s="254"/>
      <c r="L206" s="273">
        <f t="shared" si="9"/>
        <v>0</v>
      </c>
      <c r="N206" s="658"/>
      <c r="O206" s="1001"/>
      <c r="P206" s="748"/>
    </row>
    <row r="207" spans="1:16" s="439" customFormat="1" ht="9.9499999999999993" hidden="1" customHeight="1" x14ac:dyDescent="0.2">
      <c r="A207" s="253"/>
      <c r="B207" s="352"/>
      <c r="C207" s="660" t="s">
        <v>604</v>
      </c>
      <c r="D207" s="352"/>
      <c r="E207" s="253"/>
      <c r="F207" s="273">
        <v>0</v>
      </c>
      <c r="G207" s="254"/>
      <c r="H207" s="254"/>
      <c r="I207" s="254"/>
      <c r="J207" s="254"/>
      <c r="K207" s="254"/>
      <c r="L207" s="273">
        <f t="shared" si="9"/>
        <v>0</v>
      </c>
      <c r="N207" s="658"/>
      <c r="O207" s="1001"/>
      <c r="P207" s="748"/>
    </row>
    <row r="208" spans="1:16" s="439" customFormat="1" ht="9.9499999999999993" customHeight="1" x14ac:dyDescent="0.2">
      <c r="A208" s="253"/>
      <c r="B208" s="352"/>
      <c r="C208" s="660"/>
      <c r="D208" s="352"/>
      <c r="E208" s="253"/>
      <c r="F208" s="340"/>
      <c r="G208" s="254"/>
      <c r="H208" s="366"/>
      <c r="I208" s="254"/>
      <c r="J208" s="366"/>
      <c r="K208" s="254"/>
      <c r="L208" s="340"/>
      <c r="N208" s="658"/>
      <c r="O208" s="1001"/>
      <c r="P208" s="748"/>
    </row>
    <row r="209" spans="1:16" s="439" customFormat="1" ht="9.9499999999999993" customHeight="1" thickBot="1" x14ac:dyDescent="0.25">
      <c r="A209" s="253"/>
      <c r="B209" s="353" t="s">
        <v>687</v>
      </c>
      <c r="C209" s="660"/>
      <c r="D209" s="352"/>
      <c r="E209" s="253"/>
      <c r="F209" s="344">
        <f>SUM(F201:F208)</f>
        <v>393</v>
      </c>
      <c r="G209" s="254"/>
      <c r="H209" s="344">
        <f>SUM(H201:H207)</f>
        <v>805</v>
      </c>
      <c r="I209" s="254"/>
      <c r="J209" s="344">
        <f>SUM(J201:J207)</f>
        <v>852</v>
      </c>
      <c r="K209" s="254"/>
      <c r="L209" s="344">
        <f>SUM(L201:L207)</f>
        <v>346</v>
      </c>
      <c r="N209" s="658"/>
      <c r="O209" s="1001"/>
      <c r="P209" s="748"/>
    </row>
    <row r="210" spans="1:16" s="439" customFormat="1" ht="9.9499999999999993" customHeight="1" thickTop="1" x14ac:dyDescent="0.2">
      <c r="A210" s="253"/>
      <c r="B210" s="352"/>
      <c r="C210" s="660"/>
      <c r="D210" s="352"/>
      <c r="E210" s="253"/>
      <c r="F210" s="254"/>
      <c r="G210" s="254"/>
      <c r="H210" s="254"/>
      <c r="I210" s="254"/>
      <c r="J210" s="254"/>
      <c r="K210" s="254"/>
      <c r="L210" s="254"/>
      <c r="N210" s="658"/>
      <c r="O210" s="1001"/>
      <c r="P210" s="748"/>
    </row>
    <row r="211" spans="1:16" s="439" customFormat="1" ht="9.9499999999999993" customHeight="1" x14ac:dyDescent="0.2">
      <c r="A211" s="253"/>
      <c r="B211" s="353" t="s">
        <v>751</v>
      </c>
      <c r="C211" s="660"/>
      <c r="D211" s="352"/>
      <c r="E211" s="253"/>
      <c r="F211" s="254"/>
      <c r="G211" s="254"/>
      <c r="H211" s="254"/>
      <c r="I211" s="254"/>
      <c r="J211" s="254"/>
      <c r="K211" s="254"/>
      <c r="L211" s="254"/>
      <c r="N211" s="658"/>
      <c r="O211" s="1001"/>
      <c r="P211" s="748"/>
    </row>
    <row r="212" spans="1:16" s="439" customFormat="1" ht="9.9499999999999993" hidden="1" customHeight="1" x14ac:dyDescent="0.2">
      <c r="A212" s="253"/>
      <c r="B212" s="353"/>
      <c r="C212" s="660" t="s">
        <v>688</v>
      </c>
      <c r="D212" s="352"/>
      <c r="E212" s="254"/>
      <c r="F212" s="339">
        <v>0</v>
      </c>
      <c r="G212" s="254"/>
      <c r="H212" s="339"/>
      <c r="I212" s="254"/>
      <c r="J212" s="339"/>
      <c r="K212" s="254"/>
      <c r="L212" s="339">
        <f>SUM(F212+H212-J212)</f>
        <v>0</v>
      </c>
      <c r="N212" s="658"/>
      <c r="O212" s="1001"/>
      <c r="P212" s="748"/>
    </row>
    <row r="213" spans="1:16" s="907" customFormat="1" ht="9.9499999999999993" customHeight="1" x14ac:dyDescent="0.2">
      <c r="A213" s="454"/>
      <c r="B213" s="1110"/>
      <c r="C213" s="908" t="s">
        <v>847</v>
      </c>
      <c r="D213" s="908"/>
      <c r="E213" s="454"/>
      <c r="F213" s="346">
        <v>393</v>
      </c>
      <c r="G213" s="346"/>
      <c r="H213" s="346">
        <v>141</v>
      </c>
      <c r="I213" s="1218"/>
      <c r="J213" s="346">
        <v>188</v>
      </c>
      <c r="K213" s="346"/>
      <c r="L213" s="346">
        <f>SUM(F213+H213-J213)</f>
        <v>346</v>
      </c>
      <c r="N213" s="1111"/>
      <c r="O213" s="1112"/>
      <c r="P213" s="1112"/>
    </row>
    <row r="214" spans="1:16" s="439" customFormat="1" ht="9.9499999999999993" hidden="1" customHeight="1" x14ac:dyDescent="0.2">
      <c r="A214" s="253"/>
      <c r="B214" s="353"/>
      <c r="C214" s="660" t="s">
        <v>854</v>
      </c>
      <c r="D214" s="352"/>
      <c r="E214" s="254"/>
      <c r="F214" s="273">
        <v>0</v>
      </c>
      <c r="G214" s="254"/>
      <c r="H214" s="254"/>
      <c r="I214" s="254"/>
      <c r="J214" s="254"/>
      <c r="K214" s="254"/>
      <c r="L214" s="273">
        <f>SUM(F214+H214-J214)</f>
        <v>0</v>
      </c>
      <c r="N214" s="658"/>
      <c r="O214" s="1001"/>
      <c r="P214" s="748"/>
    </row>
    <row r="215" spans="1:16" s="439" customFormat="1" ht="9.9499999999999993" hidden="1" customHeight="1" x14ac:dyDescent="0.2">
      <c r="A215" s="253"/>
      <c r="B215" s="353"/>
      <c r="C215" s="660" t="s">
        <v>604</v>
      </c>
      <c r="D215" s="352"/>
      <c r="E215" s="254"/>
      <c r="F215" s="273">
        <v>0</v>
      </c>
      <c r="G215" s="254"/>
      <c r="H215" s="254"/>
      <c r="I215" s="254"/>
      <c r="J215" s="254"/>
      <c r="K215" s="254"/>
      <c r="L215" s="273">
        <f>SUM(F215+H215-J215)</f>
        <v>0</v>
      </c>
      <c r="N215" s="658"/>
      <c r="O215" s="1001"/>
      <c r="P215" s="748"/>
    </row>
    <row r="216" spans="1:16" s="439" customFormat="1" ht="9.9499999999999993" customHeight="1" x14ac:dyDescent="0.2">
      <c r="A216" s="253"/>
      <c r="B216" s="353"/>
      <c r="C216" s="660"/>
      <c r="D216" s="352"/>
      <c r="E216" s="254"/>
      <c r="F216" s="661"/>
      <c r="G216" s="254"/>
      <c r="H216" s="366"/>
      <c r="I216" s="254"/>
      <c r="J216" s="366"/>
      <c r="K216" s="254"/>
      <c r="L216" s="661"/>
      <c r="N216" s="658"/>
      <c r="O216" s="1001"/>
      <c r="P216" s="748"/>
    </row>
    <row r="217" spans="1:16" s="439" customFormat="1" ht="9.9499999999999993" customHeight="1" thickBot="1" x14ac:dyDescent="0.25">
      <c r="A217" s="253"/>
      <c r="B217" s="353" t="s">
        <v>702</v>
      </c>
      <c r="C217" s="660"/>
      <c r="D217" s="352"/>
      <c r="E217" s="254"/>
      <c r="F217" s="344">
        <f>SUM(F212:F216)</f>
        <v>393</v>
      </c>
      <c r="G217" s="254"/>
      <c r="H217" s="344">
        <f>SUM(H212:H215)</f>
        <v>141</v>
      </c>
      <c r="I217" s="254"/>
      <c r="J217" s="344">
        <f>SUM(J212:J215)</f>
        <v>188</v>
      </c>
      <c r="K217" s="254"/>
      <c r="L217" s="344">
        <f>SUM(L212:L215)</f>
        <v>346</v>
      </c>
      <c r="N217" s="420">
        <f>+L209-L217</f>
        <v>0</v>
      </c>
      <c r="O217" s="1001"/>
      <c r="P217" s="748"/>
    </row>
    <row r="218" spans="1:16" s="439" customFormat="1" ht="9.9499999999999993" customHeight="1" thickTop="1" x14ac:dyDescent="0.2">
      <c r="A218" s="253"/>
      <c r="B218" s="353"/>
      <c r="C218" s="660"/>
      <c r="D218" s="352"/>
      <c r="E218" s="254"/>
      <c r="F218" s="339"/>
      <c r="G218" s="254"/>
      <c r="H218" s="339"/>
      <c r="I218" s="254"/>
      <c r="J218" s="339"/>
      <c r="K218" s="254"/>
      <c r="L218" s="339"/>
      <c r="N218" s="658"/>
      <c r="O218" s="1001"/>
      <c r="P218" s="748"/>
    </row>
    <row r="219" spans="1:16" s="439" customFormat="1" ht="9.9499999999999993" hidden="1" customHeight="1" x14ac:dyDescent="0.2">
      <c r="A219" s="284" t="s">
        <v>206</v>
      </c>
      <c r="B219" s="284"/>
      <c r="C219" s="617"/>
      <c r="D219" s="284"/>
      <c r="E219" s="253"/>
      <c r="F219" s="257"/>
      <c r="G219" s="253"/>
      <c r="H219" s="257"/>
      <c r="I219" s="253"/>
      <c r="J219" s="257"/>
      <c r="K219" s="253"/>
      <c r="L219" s="257"/>
      <c r="N219" s="658"/>
      <c r="O219" s="1001"/>
      <c r="P219" s="748"/>
    </row>
    <row r="220" spans="1:16" s="439" customFormat="1" ht="6.95" hidden="1" customHeight="1" x14ac:dyDescent="0.2">
      <c r="A220" s="509"/>
      <c r="B220" s="509"/>
      <c r="C220" s="659"/>
      <c r="D220" s="509"/>
      <c r="E220" s="253"/>
      <c r="F220" s="257"/>
      <c r="G220" s="253"/>
      <c r="H220" s="257"/>
      <c r="I220" s="253"/>
      <c r="J220" s="257"/>
      <c r="K220" s="253"/>
      <c r="L220" s="257"/>
      <c r="N220" s="658"/>
      <c r="O220" s="1001"/>
      <c r="P220" s="748"/>
    </row>
    <row r="221" spans="1:16" s="439" customFormat="1" ht="9.9499999999999993" hidden="1" customHeight="1" x14ac:dyDescent="0.2">
      <c r="A221" s="253"/>
      <c r="B221" s="353" t="s">
        <v>672</v>
      </c>
      <c r="C221" s="660"/>
      <c r="D221" s="352"/>
      <c r="E221" s="253"/>
      <c r="F221" s="254"/>
      <c r="G221" s="254"/>
      <c r="H221" s="254"/>
      <c r="I221" s="254"/>
      <c r="J221" s="254"/>
      <c r="K221" s="254"/>
      <c r="L221" s="254"/>
      <c r="N221" s="658"/>
      <c r="O221" s="1001"/>
      <c r="P221" s="748"/>
    </row>
    <row r="222" spans="1:16" s="439" customFormat="1" ht="9.9499999999999993" hidden="1" customHeight="1" x14ac:dyDescent="0.2">
      <c r="A222" s="253"/>
      <c r="B222" s="353"/>
      <c r="C222" s="660" t="s">
        <v>673</v>
      </c>
      <c r="D222" s="352"/>
      <c r="E222" s="253"/>
      <c r="F222" s="339">
        <v>0</v>
      </c>
      <c r="G222" s="254"/>
      <c r="H222" s="346"/>
      <c r="I222" s="254"/>
      <c r="J222" s="339"/>
      <c r="K222" s="254"/>
      <c r="L222" s="339">
        <f t="shared" ref="L222:L228" si="10">SUM(F222+H222-J222)</f>
        <v>0</v>
      </c>
      <c r="N222" s="658"/>
      <c r="O222" s="1001"/>
      <c r="P222" s="748"/>
    </row>
    <row r="223" spans="1:16" s="439" customFormat="1" ht="9.9499999999999993" hidden="1" customHeight="1" x14ac:dyDescent="0.2">
      <c r="A223" s="253"/>
      <c r="B223" s="353"/>
      <c r="C223" s="660" t="s">
        <v>1013</v>
      </c>
      <c r="D223" s="352"/>
      <c r="E223" s="253"/>
      <c r="F223" s="273">
        <v>0</v>
      </c>
      <c r="G223" s="538"/>
      <c r="H223" s="1218"/>
      <c r="I223" s="1218"/>
      <c r="J223" s="1218"/>
      <c r="K223" s="538"/>
      <c r="L223" s="273">
        <f t="shared" si="10"/>
        <v>0</v>
      </c>
      <c r="N223" s="658"/>
      <c r="O223" s="1001"/>
      <c r="P223" s="748"/>
    </row>
    <row r="224" spans="1:16" s="439" customFormat="1" ht="9.9499999999999993" hidden="1" customHeight="1" x14ac:dyDescent="0.2">
      <c r="A224" s="253"/>
      <c r="B224" s="353"/>
      <c r="C224" s="660" t="s">
        <v>674</v>
      </c>
      <c r="D224" s="352"/>
      <c r="E224" s="253"/>
      <c r="F224" s="273">
        <v>0</v>
      </c>
      <c r="G224" s="254"/>
      <c r="H224" s="254"/>
      <c r="I224" s="254"/>
      <c r="J224" s="254"/>
      <c r="K224" s="254"/>
      <c r="L224" s="273">
        <f t="shared" si="10"/>
        <v>0</v>
      </c>
      <c r="N224" s="658"/>
      <c r="O224" s="1001"/>
      <c r="P224" s="748"/>
    </row>
    <row r="225" spans="1:16" s="439" customFormat="1" ht="9.9499999999999993" hidden="1" customHeight="1" x14ac:dyDescent="0.2">
      <c r="A225" s="253"/>
      <c r="B225" s="353"/>
      <c r="C225" s="660" t="s">
        <v>62</v>
      </c>
      <c r="D225" s="352"/>
      <c r="E225" s="253"/>
      <c r="F225" s="273">
        <v>0</v>
      </c>
      <c r="G225" s="254"/>
      <c r="H225" s="254"/>
      <c r="I225" s="254"/>
      <c r="J225" s="254"/>
      <c r="K225" s="254"/>
      <c r="L225" s="273">
        <f t="shared" si="10"/>
        <v>0</v>
      </c>
      <c r="N225" s="658"/>
      <c r="O225" s="1001"/>
      <c r="P225" s="748"/>
    </row>
    <row r="226" spans="1:16" s="439" customFormat="1" ht="9.9499999999999993" hidden="1" customHeight="1" x14ac:dyDescent="0.2">
      <c r="A226" s="253"/>
      <c r="B226" s="352"/>
      <c r="C226" s="660"/>
      <c r="D226" s="352" t="s">
        <v>844</v>
      </c>
      <c r="E226" s="253"/>
      <c r="F226" s="273">
        <v>0</v>
      </c>
      <c r="G226" s="254"/>
      <c r="H226" s="254"/>
      <c r="I226" s="254"/>
      <c r="J226" s="254"/>
      <c r="K226" s="254"/>
      <c r="L226" s="273">
        <f t="shared" si="10"/>
        <v>0</v>
      </c>
      <c r="N226" s="658"/>
      <c r="O226" s="1001"/>
      <c r="P226" s="748"/>
    </row>
    <row r="227" spans="1:16" s="439" customFormat="1" ht="9.9499999999999993" hidden="1" customHeight="1" x14ac:dyDescent="0.2">
      <c r="A227" s="253"/>
      <c r="B227" s="352"/>
      <c r="C227" s="660"/>
      <c r="D227" s="352" t="s">
        <v>676</v>
      </c>
      <c r="E227" s="253"/>
      <c r="F227" s="273">
        <v>0</v>
      </c>
      <c r="G227" s="254"/>
      <c r="H227" s="254"/>
      <c r="I227" s="254"/>
      <c r="J227" s="254"/>
      <c r="K227" s="254"/>
      <c r="L227" s="273">
        <f t="shared" si="10"/>
        <v>0</v>
      </c>
      <c r="N227" s="658"/>
      <c r="O227" s="1001"/>
      <c r="P227" s="748"/>
    </row>
    <row r="228" spans="1:16" s="439" customFormat="1" ht="9.9499999999999993" hidden="1" customHeight="1" x14ac:dyDescent="0.2">
      <c r="A228" s="253"/>
      <c r="B228" s="352"/>
      <c r="C228" s="660" t="s">
        <v>63</v>
      </c>
      <c r="D228" s="352"/>
      <c r="E228" s="253"/>
      <c r="F228" s="273">
        <v>0</v>
      </c>
      <c r="G228" s="254"/>
      <c r="H228" s="254"/>
      <c r="I228" s="254"/>
      <c r="J228" s="254"/>
      <c r="K228" s="254"/>
      <c r="L228" s="273">
        <f t="shared" si="10"/>
        <v>0</v>
      </c>
      <c r="N228" s="658"/>
      <c r="O228" s="1001"/>
      <c r="P228" s="748"/>
    </row>
    <row r="229" spans="1:16" s="439" customFormat="1" ht="9.9499999999999993" hidden="1" customHeight="1" x14ac:dyDescent="0.2">
      <c r="A229" s="253"/>
      <c r="B229" s="352"/>
      <c r="C229" s="660"/>
      <c r="D229" s="352"/>
      <c r="E229" s="253"/>
      <c r="F229" s="340"/>
      <c r="G229" s="254"/>
      <c r="H229" s="366"/>
      <c r="I229" s="254"/>
      <c r="J229" s="366"/>
      <c r="K229" s="254"/>
      <c r="L229" s="340"/>
      <c r="N229" s="658"/>
      <c r="O229" s="1001"/>
      <c r="P229" s="748"/>
    </row>
    <row r="230" spans="1:16" s="439" customFormat="1" ht="9.9499999999999993" hidden="1" customHeight="1" thickBot="1" x14ac:dyDescent="0.25">
      <c r="A230" s="253"/>
      <c r="B230" s="353" t="s">
        <v>687</v>
      </c>
      <c r="C230" s="660"/>
      <c r="D230" s="352"/>
      <c r="E230" s="253"/>
      <c r="F230" s="344">
        <v>0</v>
      </c>
      <c r="G230" s="254"/>
      <c r="H230" s="344">
        <f>SUM(H222:H228)</f>
        <v>0</v>
      </c>
      <c r="I230" s="254"/>
      <c r="J230" s="344">
        <f>SUM(J222:J228)</f>
        <v>0</v>
      </c>
      <c r="K230" s="254"/>
      <c r="L230" s="344">
        <f>SUM(L222:L228)</f>
        <v>0</v>
      </c>
      <c r="N230" s="658"/>
      <c r="O230" s="1001"/>
      <c r="P230" s="748"/>
    </row>
    <row r="231" spans="1:16" s="439" customFormat="1" ht="9.9499999999999993" hidden="1" customHeight="1" thickTop="1" x14ac:dyDescent="0.2">
      <c r="A231" s="253"/>
      <c r="B231" s="352"/>
      <c r="C231" s="660"/>
      <c r="D231" s="352"/>
      <c r="E231" s="253"/>
      <c r="F231" s="254"/>
      <c r="G231" s="254"/>
      <c r="H231" s="254"/>
      <c r="I231" s="254"/>
      <c r="J231" s="254"/>
      <c r="K231" s="254"/>
      <c r="L231" s="254"/>
      <c r="N231" s="658"/>
      <c r="O231" s="1001"/>
      <c r="P231" s="748"/>
    </row>
    <row r="232" spans="1:16" s="439" customFormat="1" ht="9.9499999999999993" hidden="1" customHeight="1" x14ac:dyDescent="0.2">
      <c r="A232" s="253"/>
      <c r="B232" s="353" t="s">
        <v>751</v>
      </c>
      <c r="C232" s="660"/>
      <c r="D232" s="352"/>
      <c r="E232" s="253"/>
      <c r="F232" s="254"/>
      <c r="G232" s="254"/>
      <c r="H232" s="254"/>
      <c r="I232" s="254"/>
      <c r="J232" s="254"/>
      <c r="K232" s="254"/>
      <c r="L232" s="254"/>
      <c r="N232" s="658"/>
      <c r="O232" s="1001"/>
      <c r="P232" s="748"/>
    </row>
    <row r="233" spans="1:16" s="439" customFormat="1" ht="9.9499999999999993" hidden="1" customHeight="1" x14ac:dyDescent="0.2">
      <c r="A233" s="253"/>
      <c r="B233" s="353"/>
      <c r="C233" s="660" t="s">
        <v>688</v>
      </c>
      <c r="D233" s="352"/>
      <c r="E233" s="254"/>
      <c r="F233" s="339">
        <v>0</v>
      </c>
      <c r="G233" s="254"/>
      <c r="H233" s="339"/>
      <c r="I233" s="254"/>
      <c r="J233" s="339"/>
      <c r="K233" s="254"/>
      <c r="L233" s="339">
        <f>SUM(F233+H233-J233)</f>
        <v>0</v>
      </c>
      <c r="N233" s="658"/>
      <c r="O233" s="1001"/>
      <c r="P233" s="748"/>
    </row>
    <row r="234" spans="1:16" s="439" customFormat="1" ht="9.9499999999999993" hidden="1" customHeight="1" x14ac:dyDescent="0.2">
      <c r="A234" s="253"/>
      <c r="B234" s="353"/>
      <c r="C234" s="660" t="s">
        <v>847</v>
      </c>
      <c r="D234" s="352"/>
      <c r="E234" s="254"/>
      <c r="F234" s="273">
        <v>0</v>
      </c>
      <c r="G234" s="254"/>
      <c r="H234" s="254"/>
      <c r="I234" s="254"/>
      <c r="J234" s="254"/>
      <c r="K234" s="254"/>
      <c r="L234" s="273">
        <f>SUM(F234+H234-J234)</f>
        <v>0</v>
      </c>
      <c r="N234" s="658"/>
      <c r="O234" s="1001"/>
      <c r="P234" s="748"/>
    </row>
    <row r="235" spans="1:16" s="439" customFormat="1" ht="9.9499999999999993" hidden="1" customHeight="1" x14ac:dyDescent="0.2">
      <c r="A235" s="253"/>
      <c r="B235" s="353"/>
      <c r="C235" s="660" t="s">
        <v>854</v>
      </c>
      <c r="D235" s="352"/>
      <c r="E235" s="254"/>
      <c r="F235" s="273">
        <v>0</v>
      </c>
      <c r="G235" s="254"/>
      <c r="H235" s="254"/>
      <c r="I235" s="254"/>
      <c r="J235" s="254"/>
      <c r="K235" s="254"/>
      <c r="L235" s="273">
        <f>SUM(F235+H235-J235)</f>
        <v>0</v>
      </c>
      <c r="N235" s="658"/>
      <c r="O235" s="1001"/>
      <c r="P235" s="748"/>
    </row>
    <row r="236" spans="1:16" s="439" customFormat="1" ht="9.9499999999999993" hidden="1" customHeight="1" x14ac:dyDescent="0.2">
      <c r="A236" s="253"/>
      <c r="B236" s="353"/>
      <c r="C236" s="660" t="s">
        <v>604</v>
      </c>
      <c r="D236" s="352"/>
      <c r="E236" s="254"/>
      <c r="F236" s="273">
        <v>0</v>
      </c>
      <c r="G236" s="254"/>
      <c r="H236" s="254"/>
      <c r="I236" s="254"/>
      <c r="J236" s="254"/>
      <c r="K236" s="254"/>
      <c r="L236" s="273">
        <f>SUM(F236+H236-J236)</f>
        <v>0</v>
      </c>
      <c r="N236" s="658"/>
      <c r="O236" s="1001"/>
      <c r="P236" s="748"/>
    </row>
    <row r="237" spans="1:16" s="439" customFormat="1" ht="9.9499999999999993" hidden="1" customHeight="1" x14ac:dyDescent="0.2">
      <c r="A237" s="253"/>
      <c r="B237" s="353"/>
      <c r="C237" s="660"/>
      <c r="D237" s="352"/>
      <c r="E237" s="254"/>
      <c r="F237" s="661"/>
      <c r="G237" s="254"/>
      <c r="H237" s="661"/>
      <c r="I237" s="254"/>
      <c r="J237" s="661"/>
      <c r="K237" s="254"/>
      <c r="L237" s="661"/>
      <c r="N237" s="381"/>
      <c r="O237" s="1001"/>
      <c r="P237" s="748"/>
    </row>
    <row r="238" spans="1:16" s="439" customFormat="1" ht="9.9499999999999993" hidden="1" customHeight="1" thickBot="1" x14ac:dyDescent="0.25">
      <c r="A238" s="253"/>
      <c r="B238" s="353" t="s">
        <v>702</v>
      </c>
      <c r="C238" s="660"/>
      <c r="D238" s="352"/>
      <c r="E238" s="254"/>
      <c r="F238" s="344">
        <v>0</v>
      </c>
      <c r="G238" s="254"/>
      <c r="H238" s="344">
        <f>SUM(H233:H236)</f>
        <v>0</v>
      </c>
      <c r="I238" s="254"/>
      <c r="J238" s="344">
        <f>SUM(J233:J236)</f>
        <v>0</v>
      </c>
      <c r="K238" s="254"/>
      <c r="L238" s="344">
        <f>SUM(L233:L236)</f>
        <v>0</v>
      </c>
      <c r="N238" s="420">
        <f>+L230-L238</f>
        <v>0</v>
      </c>
      <c r="O238" s="1001"/>
      <c r="P238" s="748"/>
    </row>
    <row r="239" spans="1:16" s="439" customFormat="1" ht="9.9499999999999993" hidden="1" customHeight="1" thickTop="1" x14ac:dyDescent="0.2">
      <c r="A239" s="253"/>
      <c r="B239" s="353"/>
      <c r="C239" s="660"/>
      <c r="D239" s="352"/>
      <c r="E239" s="254"/>
      <c r="F239" s="339"/>
      <c r="G239" s="254"/>
      <c r="H239" s="339"/>
      <c r="I239" s="254"/>
      <c r="J239" s="339"/>
      <c r="K239" s="254"/>
      <c r="L239" s="339"/>
      <c r="N239" s="658"/>
      <c r="O239" s="1001"/>
      <c r="P239" s="748"/>
    </row>
    <row r="240" spans="1:16" s="439" customFormat="1" ht="9.9499999999999993" customHeight="1" x14ac:dyDescent="0.2">
      <c r="A240" s="367" t="s">
        <v>1040</v>
      </c>
      <c r="B240" s="284"/>
      <c r="C240" s="617"/>
      <c r="D240" s="284"/>
      <c r="E240" s="253"/>
      <c r="F240" s="257"/>
      <c r="G240" s="253"/>
      <c r="H240" s="257"/>
      <c r="I240" s="253"/>
      <c r="J240" s="257"/>
      <c r="K240" s="253"/>
      <c r="L240" s="257"/>
      <c r="N240" s="658"/>
      <c r="O240" s="1001"/>
      <c r="P240" s="748"/>
    </row>
    <row r="241" spans="1:16" s="439" customFormat="1" ht="6.95" customHeight="1" x14ac:dyDescent="0.2">
      <c r="A241" s="509"/>
      <c r="B241" s="509"/>
      <c r="C241" s="659"/>
      <c r="D241" s="509"/>
      <c r="E241" s="253"/>
      <c r="F241" s="257"/>
      <c r="G241" s="253"/>
      <c r="H241" s="257"/>
      <c r="I241" s="253"/>
      <c r="J241" s="257"/>
      <c r="K241" s="253"/>
      <c r="L241" s="257"/>
      <c r="N241" s="658"/>
      <c r="O241" s="1001"/>
      <c r="P241" s="748"/>
    </row>
    <row r="242" spans="1:16" s="439" customFormat="1" ht="9.9499999999999993" customHeight="1" x14ac:dyDescent="0.2">
      <c r="A242" s="253"/>
      <c r="B242" s="353" t="s">
        <v>672</v>
      </c>
      <c r="C242" s="660"/>
      <c r="D242" s="352"/>
      <c r="E242" s="253"/>
      <c r="F242" s="254"/>
      <c r="G242" s="254"/>
      <c r="H242" s="254"/>
      <c r="I242" s="254"/>
      <c r="J242" s="254"/>
      <c r="K242" s="254"/>
      <c r="L242" s="254"/>
      <c r="N242" s="658"/>
      <c r="O242" s="1001"/>
      <c r="P242" s="748"/>
    </row>
    <row r="243" spans="1:16" s="439" customFormat="1" ht="9.9499999999999993" customHeight="1" x14ac:dyDescent="0.2">
      <c r="A243" s="253"/>
      <c r="B243" s="353"/>
      <c r="C243" s="660" t="s">
        <v>673</v>
      </c>
      <c r="D243" s="352"/>
      <c r="E243" s="253"/>
      <c r="F243" s="339">
        <f>+F13+F34+F55+F76+F97+F118+F137+F158+F179+F201</f>
        <v>3448</v>
      </c>
      <c r="G243" s="254"/>
      <c r="H243" s="339">
        <f>+H13+H34+H55+H76+H97+H118+H137+H158+H179+H201</f>
        <v>42336</v>
      </c>
      <c r="I243" s="254"/>
      <c r="J243" s="339">
        <f>+J13+J34+J55+J76+J97+J118+J137+J158+J179+J201</f>
        <v>41569</v>
      </c>
      <c r="K243" s="254"/>
      <c r="L243" s="339">
        <f t="shared" ref="L243" si="11">+L13+L34+L55+L76+L97+L118+L137+L158+L179+L201</f>
        <v>4215</v>
      </c>
      <c r="M243" s="1053">
        <f>+L222+L201+L179+L158+L137+L118+L97+L76+L55+L34+L13</f>
        <v>4215</v>
      </c>
      <c r="N243" s="658"/>
      <c r="O243" s="1001"/>
      <c r="P243" s="748"/>
    </row>
    <row r="244" spans="1:16" s="439" customFormat="1" ht="9.9499999999999993" customHeight="1" x14ac:dyDescent="0.2">
      <c r="A244" s="533"/>
      <c r="B244" s="662"/>
      <c r="C244" s="660" t="s">
        <v>674</v>
      </c>
      <c r="D244" s="663"/>
      <c r="E244" s="533"/>
      <c r="F244" s="538">
        <v>4563</v>
      </c>
      <c r="G244" s="538"/>
      <c r="H244" s="273">
        <f>+H15+H36+H57+H78+H99+H120+H139+H160+H181+H203</f>
        <v>2079</v>
      </c>
      <c r="I244" s="1218"/>
      <c r="J244" s="273">
        <f>+J15+J36+J57+J78+J99+J120+J139+J160+J181+J203</f>
        <v>4570</v>
      </c>
      <c r="K244" s="538"/>
      <c r="L244" s="538">
        <f>+L15+L36+L57+L78+L99+L120+L139+L160+L181+L203</f>
        <v>2072</v>
      </c>
      <c r="M244" s="1053">
        <f>+L224+L203+L181+L160+L139+L120+L99+L78+L57+L37+L15</f>
        <v>2072</v>
      </c>
      <c r="N244" s="1002"/>
      <c r="O244" s="1001"/>
      <c r="P244" s="748"/>
    </row>
    <row r="245" spans="1:16" s="439" customFormat="1" ht="9.9499999999999993" customHeight="1" x14ac:dyDescent="0.2">
      <c r="A245" s="533"/>
      <c r="B245" s="662"/>
      <c r="C245" s="660" t="s">
        <v>62</v>
      </c>
      <c r="D245" s="663"/>
      <c r="E245" s="533"/>
      <c r="F245" s="273"/>
      <c r="G245" s="538"/>
      <c r="H245" s="273">
        <f t="shared" ref="H245:H246" si="12">+H16+H37+H58+H79+H100+H121+H140+H161+H182+H204</f>
        <v>0</v>
      </c>
      <c r="I245" s="1218"/>
      <c r="J245" s="273">
        <f t="shared" ref="J245:J246" si="13">+J16+J37+J58+J79+J100+J121+J140+J161+J182+J204</f>
        <v>0</v>
      </c>
      <c r="K245" s="538"/>
      <c r="L245" s="538"/>
      <c r="M245" s="1053">
        <f>+L225+L204+L182+L161+L140+L121+L100+L79+L58+L38+L16</f>
        <v>0</v>
      </c>
      <c r="N245" s="1002"/>
      <c r="O245" s="1001"/>
      <c r="P245" s="748"/>
    </row>
    <row r="246" spans="1:16" s="439" customFormat="1" ht="9.9499999999999993" customHeight="1" x14ac:dyDescent="0.2">
      <c r="A246" s="533"/>
      <c r="B246" s="663"/>
      <c r="C246" s="660"/>
      <c r="D246" s="663" t="s">
        <v>844</v>
      </c>
      <c r="E246" s="533"/>
      <c r="F246" s="538">
        <v>94</v>
      </c>
      <c r="G246" s="538"/>
      <c r="H246" s="273">
        <f t="shared" si="12"/>
        <v>13446</v>
      </c>
      <c r="I246" s="1218"/>
      <c r="J246" s="273">
        <f t="shared" si="13"/>
        <v>13295</v>
      </c>
      <c r="K246" s="538"/>
      <c r="L246" s="538">
        <f>+L17+L38+L59+L80+L101+L122+L141+L162+L183+L205</f>
        <v>245</v>
      </c>
      <c r="M246" s="1053">
        <f>+L226+L205+L183+L162+L141+L122+L101+L80+L59+L39+L17</f>
        <v>245</v>
      </c>
      <c r="N246" s="1002"/>
      <c r="O246" s="1001"/>
      <c r="P246" s="748"/>
    </row>
    <row r="247" spans="1:16" s="439" customFormat="1" ht="9.9499999999999993" customHeight="1" x14ac:dyDescent="0.2">
      <c r="A247" s="533"/>
      <c r="B247" s="663"/>
      <c r="C247" s="660"/>
      <c r="D247" s="663" t="s">
        <v>676</v>
      </c>
      <c r="E247" s="533"/>
      <c r="F247" s="538">
        <v>13</v>
      </c>
      <c r="G247" s="538"/>
      <c r="H247" s="273">
        <f>+H18+H39+H60+H81+H102+H123+H142+H163+H184+H206</f>
        <v>9</v>
      </c>
      <c r="I247" s="1218"/>
      <c r="J247" s="273">
        <f>+J18+J39+J60+J81+J102+J123+J142+J163+J184+J206</f>
        <v>15</v>
      </c>
      <c r="K247" s="538"/>
      <c r="L247" s="538">
        <f>+L18+L39+L60+L81+L102+L123+L142+L163+L184+L206</f>
        <v>7</v>
      </c>
      <c r="M247" s="1053">
        <f>+L227+L206+L184+L163+L142+L123+L102+L81+L60+L40+L18</f>
        <v>7</v>
      </c>
      <c r="N247" s="1002"/>
      <c r="O247" s="1001"/>
      <c r="P247" s="748"/>
    </row>
    <row r="248" spans="1:16" s="439" customFormat="1" ht="9.9499999999999993" hidden="1" customHeight="1" x14ac:dyDescent="0.2">
      <c r="A248" s="533"/>
      <c r="B248" s="663"/>
      <c r="C248" s="660" t="s">
        <v>63</v>
      </c>
      <c r="D248" s="663"/>
      <c r="E248" s="533"/>
      <c r="F248" s="273">
        <v>0</v>
      </c>
      <c r="G248" s="538"/>
      <c r="H248" s="273">
        <f>+H19+H40+H61+H82+H103+H124+H143+H164+H185+H207</f>
        <v>0</v>
      </c>
      <c r="I248" s="1218"/>
      <c r="J248" s="273">
        <f>+J19+J40+J61+J82+J103+J124+J143+J164+J185+J207</f>
        <v>0</v>
      </c>
      <c r="K248" s="538"/>
      <c r="L248" s="538">
        <f>+L19+L40+L61+L82+L103+L124+L143+L164+L185+L207</f>
        <v>0</v>
      </c>
      <c r="M248" s="1053">
        <f>+L228+L207+L185+L164+L143+L124+L103+L82+L61+L41+L19</f>
        <v>0</v>
      </c>
      <c r="N248" s="1002"/>
      <c r="O248" s="1001"/>
      <c r="P248" s="748"/>
    </row>
    <row r="249" spans="1:16" s="439" customFormat="1" ht="9.9499999999999993" customHeight="1" x14ac:dyDescent="0.2">
      <c r="A249" s="533"/>
      <c r="B249" s="663"/>
      <c r="C249" s="660"/>
      <c r="D249" s="663"/>
      <c r="E249" s="533"/>
      <c r="F249" s="664"/>
      <c r="G249" s="538"/>
      <c r="H249" s="1282"/>
      <c r="I249" s="1218"/>
      <c r="J249" s="1282"/>
      <c r="K249" s="538"/>
      <c r="L249" s="664"/>
      <c r="M249" s="646"/>
      <c r="N249" s="1002"/>
      <c r="O249" s="1001"/>
      <c r="P249" s="748"/>
    </row>
    <row r="250" spans="1:16" s="439" customFormat="1" ht="9.9499999999999993" customHeight="1" thickBot="1" x14ac:dyDescent="0.25">
      <c r="A250" s="253"/>
      <c r="B250" s="353" t="s">
        <v>687</v>
      </c>
      <c r="C250" s="660"/>
      <c r="D250" s="352"/>
      <c r="E250" s="253"/>
      <c r="F250" s="344">
        <f>SUM(F243:F249)</f>
        <v>8118</v>
      </c>
      <c r="G250" s="254"/>
      <c r="H250" s="344">
        <f>SUM(H243:H248)</f>
        <v>57870</v>
      </c>
      <c r="I250" s="254"/>
      <c r="J250" s="344">
        <f>SUM(J243:J248)</f>
        <v>59449</v>
      </c>
      <c r="K250" s="254"/>
      <c r="L250" s="344">
        <f>SUM(L243:L248)</f>
        <v>6539</v>
      </c>
      <c r="N250" s="658"/>
      <c r="O250" s="1001"/>
      <c r="P250" s="748"/>
    </row>
    <row r="251" spans="1:16" s="439" customFormat="1" ht="9.9499999999999993" customHeight="1" thickTop="1" x14ac:dyDescent="0.2">
      <c r="A251" s="253"/>
      <c r="B251" s="352"/>
      <c r="C251" s="660"/>
      <c r="D251" s="352"/>
      <c r="E251" s="253"/>
      <c r="F251" s="254"/>
      <c r="G251" s="254"/>
      <c r="H251" s="254"/>
      <c r="I251" s="254"/>
      <c r="J251" s="254"/>
      <c r="K251" s="254"/>
      <c r="L251" s="254"/>
      <c r="N251" s="658"/>
      <c r="O251" s="1001"/>
      <c r="P251" s="748"/>
    </row>
    <row r="252" spans="1:16" s="439" customFormat="1" ht="9.9499999999999993" customHeight="1" x14ac:dyDescent="0.2">
      <c r="A252" s="253"/>
      <c r="B252" s="353" t="s">
        <v>751</v>
      </c>
      <c r="C252" s="660"/>
      <c r="D252" s="352"/>
      <c r="E252" s="253"/>
      <c r="F252" s="254"/>
      <c r="G252" s="254"/>
      <c r="K252" s="254"/>
      <c r="L252" s="254"/>
      <c r="N252" s="658"/>
      <c r="O252" s="1001"/>
      <c r="P252" s="748"/>
    </row>
    <row r="253" spans="1:16" s="439" customFormat="1" ht="9.9499999999999993" customHeight="1" x14ac:dyDescent="0.2">
      <c r="A253" s="253"/>
      <c r="B253" s="353"/>
      <c r="C253" s="660" t="s">
        <v>688</v>
      </c>
      <c r="D253" s="352"/>
      <c r="E253" s="254"/>
      <c r="F253" s="339">
        <v>10</v>
      </c>
      <c r="G253" s="254"/>
      <c r="H253" s="339">
        <f>+H24+H45+H66+H87+H108+H129+H148+H169+H190+H212</f>
        <v>14042</v>
      </c>
      <c r="I253" s="254"/>
      <c r="J253" s="339">
        <f>+J24+J45+J66+J87+J108+J129+J148+J169+J190+J212</f>
        <v>13396</v>
      </c>
      <c r="K253" s="254"/>
      <c r="L253" s="339">
        <f>+L24+L45+L66+L87+L108+L129+L148+L169+L190+L212</f>
        <v>656</v>
      </c>
      <c r="N253" s="658"/>
      <c r="O253" s="1001"/>
      <c r="P253" s="748"/>
    </row>
    <row r="254" spans="1:16" s="439" customFormat="1" ht="9.9499999999999993" customHeight="1" x14ac:dyDescent="0.2">
      <c r="A254" s="253"/>
      <c r="B254" s="353"/>
      <c r="C254" s="660" t="s">
        <v>847</v>
      </c>
      <c r="D254" s="352"/>
      <c r="E254" s="254"/>
      <c r="F254" s="273">
        <v>7479</v>
      </c>
      <c r="G254" s="254"/>
      <c r="H254" s="273">
        <f>+H25+H46+H67+H88+H109+H130+H149+H170+H191+H213</f>
        <v>155816</v>
      </c>
      <c r="I254" s="254"/>
      <c r="J254" s="273">
        <f>+J25+J46+J67+J88+J109+J130+J149+J170+J191+J213</f>
        <v>157412</v>
      </c>
      <c r="K254" s="254"/>
      <c r="L254" s="273">
        <f>+L25+L46+L67+L88+L109+L130+L149+L170+L191+L213</f>
        <v>5883</v>
      </c>
      <c r="N254" s="658"/>
      <c r="O254" s="1001"/>
      <c r="P254" s="748"/>
    </row>
    <row r="255" spans="1:16" s="439" customFormat="1" ht="9.9499999999999993" customHeight="1" x14ac:dyDescent="0.2">
      <c r="A255" s="253"/>
      <c r="B255" s="353"/>
      <c r="C255" s="660" t="s">
        <v>604</v>
      </c>
      <c r="D255" s="352"/>
      <c r="E255" s="254"/>
      <c r="F255" s="273">
        <v>629</v>
      </c>
      <c r="G255" s="254"/>
      <c r="H255" s="273">
        <f>+H27+H48+H69+H90+H111+H151+H172+H193+H215</f>
        <v>0</v>
      </c>
      <c r="I255" s="254"/>
      <c r="J255" s="273">
        <f>+J27+J48+J69+J90+J111+J151+J172+J193+J215</f>
        <v>629</v>
      </c>
      <c r="K255" s="254"/>
      <c r="L255" s="273">
        <f>+L27+L48+L69+L90+L111+L151+L172+L193+L215</f>
        <v>0</v>
      </c>
      <c r="N255" s="658"/>
      <c r="O255" s="1001"/>
      <c r="P255" s="748"/>
    </row>
    <row r="256" spans="1:16" s="439" customFormat="1" ht="9.9499999999999993" customHeight="1" x14ac:dyDescent="0.2">
      <c r="A256" s="253"/>
      <c r="B256" s="353"/>
      <c r="C256" s="660"/>
      <c r="D256" s="352"/>
      <c r="E256" s="254"/>
      <c r="F256" s="661"/>
      <c r="G256" s="254"/>
      <c r="H256" s="661"/>
      <c r="I256" s="254"/>
      <c r="J256" s="661"/>
      <c r="K256" s="254"/>
      <c r="L256" s="661"/>
      <c r="N256" s="658"/>
      <c r="O256" s="1001"/>
      <c r="P256" s="748"/>
    </row>
    <row r="257" spans="1:16" s="439" customFormat="1" ht="9.9499999999999993" customHeight="1" thickBot="1" x14ac:dyDescent="0.25">
      <c r="A257" s="253"/>
      <c r="B257" s="353" t="s">
        <v>702</v>
      </c>
      <c r="C257" s="660"/>
      <c r="D257" s="352"/>
      <c r="E257" s="254"/>
      <c r="F257" s="344">
        <f>SUM(F253:F256)</f>
        <v>8118</v>
      </c>
      <c r="G257" s="254"/>
      <c r="H257" s="344">
        <f>SUM(H253:H256)</f>
        <v>169858</v>
      </c>
      <c r="I257" s="254"/>
      <c r="J257" s="344">
        <f>SUM(J253:J256)</f>
        <v>171437</v>
      </c>
      <c r="K257" s="254"/>
      <c r="L257" s="344">
        <f>SUM(L253:L256)</f>
        <v>6539</v>
      </c>
      <c r="N257" s="420">
        <f>+L250-L257</f>
        <v>0</v>
      </c>
      <c r="O257" s="1001"/>
      <c r="P257" s="748"/>
    </row>
    <row r="258" spans="1:16" s="439" customFormat="1" ht="21.75" customHeight="1" thickTop="1" x14ac:dyDescent="0.2">
      <c r="A258" s="253"/>
      <c r="B258" s="353"/>
      <c r="C258" s="660"/>
      <c r="D258" s="352"/>
      <c r="E258" s="254"/>
      <c r="F258" s="339"/>
      <c r="G258" s="254"/>
      <c r="H258" s="339"/>
      <c r="I258" s="254"/>
      <c r="J258" s="339"/>
      <c r="K258" s="254"/>
      <c r="L258" s="665" t="s">
        <v>1453</v>
      </c>
      <c r="N258" s="658"/>
      <c r="O258" s="1001"/>
      <c r="P258" s="748"/>
    </row>
    <row r="259" spans="1:16" s="439" customFormat="1" ht="9.9499999999999993" customHeight="1" x14ac:dyDescent="0.2">
      <c r="C259" s="1010"/>
      <c r="N259" s="658"/>
    </row>
    <row r="260" spans="1:16" s="658" customFormat="1" ht="9.9499999999999993" customHeight="1" x14ac:dyDescent="0.2">
      <c r="C260" s="1011"/>
      <c r="F260" s="1003">
        <f>F250-F257</f>
        <v>0</v>
      </c>
      <c r="H260" s="1003"/>
      <c r="J260" s="1003"/>
      <c r="L260" s="1003">
        <f>L250-L257</f>
        <v>0</v>
      </c>
    </row>
    <row r="261" spans="1:16" s="439" customFormat="1" ht="9.9499999999999993" customHeight="1" x14ac:dyDescent="0.2">
      <c r="C261" s="1010"/>
      <c r="N261" s="658"/>
    </row>
    <row r="262" spans="1:16" s="439" customFormat="1" ht="9.9499999999999993" customHeight="1" x14ac:dyDescent="0.2">
      <c r="C262" s="1010"/>
      <c r="N262" s="658"/>
    </row>
    <row r="263" spans="1:16" s="439" customFormat="1" ht="9.9499999999999993" customHeight="1" x14ac:dyDescent="0.2">
      <c r="C263" s="1010"/>
      <c r="N263" s="658"/>
    </row>
    <row r="264" spans="1:16" ht="9.9499999999999993" customHeight="1" x14ac:dyDescent="0.2">
      <c r="A264" s="202"/>
      <c r="B264" s="202"/>
      <c r="C264" s="938"/>
      <c r="D264" s="202"/>
      <c r="E264" s="202"/>
      <c r="F264" s="202"/>
      <c r="G264" s="202"/>
      <c r="H264" s="202"/>
      <c r="I264" s="202"/>
      <c r="J264" s="202"/>
      <c r="K264" s="202"/>
      <c r="L264" s="202"/>
    </row>
    <row r="265" spans="1:16" ht="9.9499999999999993" customHeight="1" x14ac:dyDescent="0.2">
      <c r="A265" s="202"/>
      <c r="B265" s="202"/>
      <c r="C265" s="938"/>
      <c r="D265" s="202"/>
      <c r="E265" s="202"/>
      <c r="F265" s="202"/>
      <c r="G265" s="202"/>
      <c r="H265" s="202"/>
      <c r="I265" s="202"/>
      <c r="J265" s="202"/>
      <c r="K265" s="202"/>
      <c r="L265" s="202"/>
    </row>
    <row r="266" spans="1:16" ht="9.9499999999999993" customHeight="1" x14ac:dyDescent="0.2">
      <c r="A266" s="202"/>
      <c r="B266" s="202"/>
      <c r="C266" s="938"/>
      <c r="D266" s="202"/>
      <c r="E266" s="202"/>
      <c r="F266" s="202"/>
      <c r="G266" s="202"/>
      <c r="H266" s="202"/>
      <c r="I266" s="202"/>
      <c r="J266" s="202"/>
      <c r="K266" s="202"/>
      <c r="L266" s="202"/>
    </row>
    <row r="267" spans="1:16" ht="9.9499999999999993" customHeight="1" x14ac:dyDescent="0.2">
      <c r="A267" s="202"/>
      <c r="B267" s="202"/>
      <c r="C267" s="938"/>
      <c r="D267" s="202"/>
      <c r="E267" s="202"/>
      <c r="F267" s="202"/>
      <c r="G267" s="202"/>
      <c r="H267" s="202"/>
      <c r="I267" s="202"/>
      <c r="J267" s="202"/>
      <c r="K267" s="202"/>
      <c r="L267" s="202"/>
    </row>
    <row r="268" spans="1:16" ht="9.9499999999999993" customHeight="1" x14ac:dyDescent="0.2">
      <c r="A268" s="202"/>
      <c r="B268" s="202"/>
      <c r="C268" s="938"/>
      <c r="D268" s="202"/>
      <c r="E268" s="202"/>
      <c r="F268" s="202"/>
      <c r="G268" s="202"/>
      <c r="H268" s="202"/>
      <c r="I268" s="202"/>
      <c r="J268" s="202"/>
      <c r="K268" s="202"/>
      <c r="L268" s="202"/>
    </row>
    <row r="269" spans="1:16" ht="9.9499999999999993" customHeight="1" x14ac:dyDescent="0.2">
      <c r="A269" s="202"/>
      <c r="B269" s="202"/>
      <c r="C269" s="938"/>
      <c r="D269" s="202"/>
      <c r="E269" s="202"/>
      <c r="F269" s="202"/>
      <c r="G269" s="202"/>
      <c r="H269" s="202"/>
      <c r="I269" s="202"/>
      <c r="J269" s="202"/>
      <c r="K269" s="202"/>
      <c r="L269" s="202"/>
    </row>
    <row r="270" spans="1:16" ht="9.9499999999999993" customHeight="1" x14ac:dyDescent="0.2">
      <c r="A270" s="202"/>
      <c r="B270" s="202"/>
      <c r="C270" s="938"/>
      <c r="D270" s="202"/>
      <c r="E270" s="202"/>
      <c r="F270" s="202"/>
      <c r="G270" s="202"/>
      <c r="H270" s="202"/>
      <c r="I270" s="202"/>
      <c r="J270" s="202"/>
      <c r="K270" s="202"/>
      <c r="L270" s="202"/>
    </row>
    <row r="271" spans="1:16" ht="9.9499999999999993" customHeight="1" x14ac:dyDescent="0.2">
      <c r="A271" s="202"/>
      <c r="B271" s="202"/>
      <c r="C271" s="938"/>
      <c r="D271" s="202"/>
      <c r="E271" s="202"/>
      <c r="F271" s="202"/>
      <c r="G271" s="202"/>
      <c r="H271" s="202"/>
      <c r="I271" s="202"/>
      <c r="J271" s="202"/>
      <c r="K271" s="202"/>
      <c r="L271" s="202"/>
    </row>
    <row r="272" spans="1:16" ht="9.9499999999999993" customHeight="1" x14ac:dyDescent="0.2">
      <c r="A272" s="202"/>
      <c r="B272" s="202"/>
      <c r="C272" s="938"/>
      <c r="D272" s="202"/>
      <c r="E272" s="202"/>
      <c r="F272" s="202"/>
      <c r="G272" s="202"/>
      <c r="H272" s="202"/>
      <c r="I272" s="202"/>
      <c r="J272" s="202"/>
      <c r="K272" s="202"/>
      <c r="L272" s="202"/>
    </row>
    <row r="273" spans="1:12" ht="9.9499999999999993" customHeight="1" x14ac:dyDescent="0.2">
      <c r="A273" s="202"/>
      <c r="B273" s="202"/>
      <c r="C273" s="938"/>
      <c r="D273" s="202"/>
      <c r="E273" s="202"/>
      <c r="F273" s="202"/>
      <c r="G273" s="202"/>
      <c r="H273" s="202"/>
      <c r="I273" s="202"/>
      <c r="J273" s="202"/>
      <c r="K273" s="202"/>
      <c r="L273" s="202"/>
    </row>
    <row r="274" spans="1:12" ht="9.9499999999999993" customHeight="1" x14ac:dyDescent="0.2">
      <c r="A274" s="202"/>
      <c r="B274" s="202"/>
      <c r="C274" s="938"/>
      <c r="D274" s="202"/>
      <c r="E274" s="202"/>
      <c r="F274" s="202"/>
      <c r="G274" s="202"/>
      <c r="H274" s="202"/>
      <c r="I274" s="202"/>
      <c r="J274" s="202"/>
      <c r="K274" s="202"/>
      <c r="L274" s="202"/>
    </row>
    <row r="275" spans="1:12" ht="9.9499999999999993" customHeight="1" x14ac:dyDescent="0.2">
      <c r="A275" s="202"/>
      <c r="B275" s="202"/>
      <c r="C275" s="938"/>
      <c r="D275" s="202"/>
      <c r="E275" s="202"/>
      <c r="F275" s="202"/>
      <c r="G275" s="202"/>
      <c r="H275" s="202"/>
      <c r="I275" s="202"/>
      <c r="J275" s="202"/>
      <c r="K275" s="202"/>
      <c r="L275" s="202"/>
    </row>
    <row r="276" spans="1:12" ht="9.9499999999999993" customHeight="1" x14ac:dyDescent="0.2">
      <c r="A276" s="202"/>
      <c r="B276" s="202"/>
      <c r="C276" s="938"/>
      <c r="D276" s="202"/>
      <c r="E276" s="202"/>
      <c r="F276" s="202"/>
      <c r="G276" s="202"/>
      <c r="H276" s="202"/>
      <c r="I276" s="202"/>
      <c r="J276" s="202"/>
      <c r="K276" s="202"/>
      <c r="L276" s="202"/>
    </row>
    <row r="277" spans="1:12" ht="9.9499999999999993" customHeight="1" x14ac:dyDescent="0.2">
      <c r="A277" s="202"/>
      <c r="B277" s="202"/>
      <c r="C277" s="938"/>
      <c r="D277" s="202"/>
      <c r="E277" s="202"/>
      <c r="F277" s="202"/>
      <c r="G277" s="202"/>
      <c r="H277" s="202"/>
      <c r="I277" s="202"/>
      <c r="J277" s="202"/>
      <c r="K277" s="202"/>
      <c r="L277" s="202"/>
    </row>
    <row r="278" spans="1:12" ht="9.9499999999999993" customHeight="1" x14ac:dyDescent="0.2">
      <c r="A278" s="202"/>
      <c r="B278" s="202"/>
      <c r="C278" s="938"/>
      <c r="D278" s="202"/>
      <c r="E278" s="202"/>
      <c r="F278" s="202"/>
      <c r="G278" s="202"/>
      <c r="H278" s="202"/>
      <c r="I278" s="202"/>
      <c r="J278" s="202"/>
      <c r="K278" s="202"/>
      <c r="L278" s="202"/>
    </row>
    <row r="279" spans="1:12" ht="9.9499999999999993" customHeight="1" x14ac:dyDescent="0.2">
      <c r="A279" s="202"/>
      <c r="B279" s="202"/>
      <c r="C279" s="938"/>
      <c r="D279" s="202"/>
      <c r="E279" s="202"/>
      <c r="F279" s="202"/>
      <c r="G279" s="202"/>
      <c r="H279" s="202"/>
      <c r="I279" s="202"/>
      <c r="J279" s="202"/>
      <c r="K279" s="202"/>
      <c r="L279" s="202"/>
    </row>
    <row r="280" spans="1:12" ht="9.9499999999999993" customHeight="1" x14ac:dyDescent="0.2">
      <c r="A280" s="202"/>
      <c r="B280" s="202"/>
      <c r="C280" s="938"/>
      <c r="D280" s="202"/>
      <c r="E280" s="202"/>
      <c r="F280" s="202"/>
      <c r="G280" s="202"/>
      <c r="H280" s="202"/>
      <c r="I280" s="202"/>
      <c r="J280" s="202"/>
      <c r="K280" s="202"/>
      <c r="L280" s="202"/>
    </row>
    <row r="281" spans="1:12" ht="9.9499999999999993" customHeight="1" x14ac:dyDescent="0.2">
      <c r="A281" s="202"/>
      <c r="B281" s="202"/>
      <c r="C281" s="938"/>
      <c r="D281" s="202"/>
      <c r="E281" s="202"/>
      <c r="F281" s="202"/>
      <c r="G281" s="202"/>
      <c r="H281" s="202"/>
      <c r="I281" s="202"/>
      <c r="J281" s="202"/>
      <c r="K281" s="202"/>
      <c r="L281" s="202"/>
    </row>
    <row r="282" spans="1:12" ht="9.9499999999999993" customHeight="1" x14ac:dyDescent="0.2">
      <c r="A282" s="202"/>
      <c r="B282" s="202"/>
      <c r="C282" s="938"/>
      <c r="D282" s="202"/>
      <c r="E282" s="202"/>
      <c r="F282" s="202"/>
      <c r="G282" s="202"/>
      <c r="H282" s="202"/>
      <c r="I282" s="202"/>
      <c r="J282" s="202"/>
      <c r="K282" s="202"/>
      <c r="L282" s="202"/>
    </row>
    <row r="283" spans="1:12" ht="9.9499999999999993" customHeight="1" x14ac:dyDescent="0.2">
      <c r="A283" s="202"/>
      <c r="B283" s="202"/>
      <c r="C283" s="938"/>
      <c r="D283" s="202"/>
      <c r="E283" s="202"/>
      <c r="F283" s="202"/>
      <c r="G283" s="202"/>
      <c r="H283" s="202"/>
      <c r="I283" s="202"/>
      <c r="J283" s="202"/>
      <c r="K283" s="202"/>
      <c r="L283" s="202"/>
    </row>
    <row r="284" spans="1:12" ht="9.9499999999999993" customHeight="1" x14ac:dyDescent="0.2">
      <c r="A284" s="202"/>
      <c r="B284" s="202"/>
      <c r="C284" s="938"/>
      <c r="D284" s="202"/>
      <c r="E284" s="202"/>
      <c r="F284" s="202"/>
      <c r="G284" s="202"/>
      <c r="H284" s="202"/>
      <c r="I284" s="202"/>
      <c r="J284" s="202"/>
      <c r="K284" s="202"/>
      <c r="L284" s="202"/>
    </row>
    <row r="285" spans="1:12" ht="9.9499999999999993" customHeight="1" x14ac:dyDescent="0.2">
      <c r="A285" s="202"/>
      <c r="B285" s="202"/>
      <c r="C285" s="938"/>
      <c r="D285" s="202"/>
      <c r="E285" s="202"/>
      <c r="F285" s="202"/>
      <c r="G285" s="202"/>
      <c r="H285" s="202"/>
      <c r="I285" s="202"/>
      <c r="J285" s="202"/>
      <c r="K285" s="202"/>
      <c r="L285" s="202"/>
    </row>
    <row r="286" spans="1:12" ht="9.9499999999999993" customHeight="1" x14ac:dyDescent="0.2">
      <c r="A286" s="202"/>
      <c r="B286" s="202"/>
      <c r="C286" s="938"/>
      <c r="D286" s="202"/>
      <c r="E286" s="202"/>
      <c r="F286" s="202"/>
      <c r="G286" s="202"/>
      <c r="H286" s="202"/>
      <c r="I286" s="202"/>
      <c r="J286" s="202"/>
      <c r="K286" s="202"/>
      <c r="L286" s="202"/>
    </row>
    <row r="287" spans="1:12" ht="9.9499999999999993" customHeight="1" x14ac:dyDescent="0.2">
      <c r="A287" s="202"/>
      <c r="B287" s="202"/>
      <c r="C287" s="938"/>
      <c r="D287" s="202"/>
      <c r="E287" s="202"/>
      <c r="F287" s="202"/>
      <c r="G287" s="202"/>
      <c r="H287" s="202"/>
      <c r="I287" s="202"/>
      <c r="J287" s="202"/>
      <c r="K287" s="202"/>
      <c r="L287" s="202"/>
    </row>
    <row r="288" spans="1:12" ht="9.9499999999999993" customHeight="1" x14ac:dyDescent="0.2">
      <c r="A288" s="202"/>
      <c r="B288" s="202"/>
      <c r="C288" s="938"/>
      <c r="D288" s="202"/>
      <c r="E288" s="202"/>
      <c r="F288" s="202"/>
      <c r="G288" s="202"/>
      <c r="H288" s="202"/>
      <c r="I288" s="202"/>
      <c r="J288" s="202"/>
      <c r="K288" s="202"/>
      <c r="L288" s="202"/>
    </row>
    <row r="289" spans="1:12" ht="9.9499999999999993" customHeight="1" x14ac:dyDescent="0.2">
      <c r="A289" s="202"/>
      <c r="B289" s="202"/>
      <c r="C289" s="938"/>
      <c r="D289" s="202"/>
      <c r="E289" s="202"/>
      <c r="F289" s="202"/>
      <c r="G289" s="202"/>
      <c r="H289" s="202"/>
      <c r="I289" s="202"/>
      <c r="J289" s="202"/>
      <c r="K289" s="202"/>
      <c r="L289" s="202"/>
    </row>
    <row r="290" spans="1:12" ht="9.9499999999999993" customHeight="1" x14ac:dyDescent="0.2">
      <c r="A290" s="202"/>
      <c r="B290" s="202"/>
      <c r="C290" s="938"/>
      <c r="D290" s="202"/>
      <c r="E290" s="202"/>
      <c r="F290" s="202"/>
      <c r="G290" s="202"/>
      <c r="H290" s="202"/>
      <c r="I290" s="202"/>
      <c r="J290" s="202"/>
      <c r="K290" s="202"/>
      <c r="L290" s="202"/>
    </row>
    <row r="291" spans="1:12" ht="9.9499999999999993" customHeight="1" x14ac:dyDescent="0.2">
      <c r="A291" s="202"/>
      <c r="B291" s="202"/>
      <c r="C291" s="938"/>
      <c r="D291" s="202"/>
      <c r="E291" s="202"/>
      <c r="F291" s="202"/>
      <c r="G291" s="202"/>
      <c r="H291" s="202"/>
      <c r="I291" s="202"/>
      <c r="J291" s="202"/>
      <c r="K291" s="202"/>
      <c r="L291" s="202"/>
    </row>
    <row r="292" spans="1:12" ht="9.9499999999999993" customHeight="1" x14ac:dyDescent="0.2">
      <c r="A292" s="202"/>
      <c r="B292" s="202"/>
      <c r="C292" s="938"/>
      <c r="D292" s="202"/>
      <c r="E292" s="202"/>
      <c r="F292" s="202"/>
      <c r="G292" s="202"/>
      <c r="H292" s="202"/>
      <c r="I292" s="202"/>
      <c r="J292" s="202"/>
      <c r="K292" s="202"/>
      <c r="L292" s="202"/>
    </row>
    <row r="293" spans="1:12" ht="9.9499999999999993" customHeight="1" x14ac:dyDescent="0.2">
      <c r="A293" s="202"/>
      <c r="B293" s="202"/>
      <c r="C293" s="938"/>
      <c r="D293" s="202"/>
      <c r="E293" s="202"/>
      <c r="F293" s="202"/>
      <c r="G293" s="202"/>
      <c r="H293" s="202"/>
      <c r="I293" s="202"/>
      <c r="J293" s="202"/>
      <c r="K293" s="202"/>
      <c r="L293" s="202"/>
    </row>
    <row r="294" spans="1:12" ht="9.9499999999999993" customHeight="1" x14ac:dyDescent="0.2">
      <c r="A294" s="202"/>
      <c r="B294" s="202"/>
      <c r="C294" s="938"/>
      <c r="D294" s="202"/>
      <c r="E294" s="202"/>
      <c r="F294" s="202"/>
      <c r="G294" s="202"/>
      <c r="H294" s="202"/>
      <c r="I294" s="202"/>
      <c r="J294" s="202"/>
      <c r="K294" s="202"/>
      <c r="L294" s="202"/>
    </row>
    <row r="295" spans="1:12" ht="9.9499999999999993" customHeight="1" x14ac:dyDescent="0.2">
      <c r="A295" s="202"/>
      <c r="B295" s="202"/>
      <c r="C295" s="938"/>
      <c r="D295" s="202"/>
      <c r="E295" s="202"/>
      <c r="F295" s="202"/>
      <c r="G295" s="202"/>
      <c r="H295" s="202"/>
      <c r="I295" s="202"/>
      <c r="J295" s="202"/>
      <c r="K295" s="202"/>
      <c r="L295" s="202"/>
    </row>
    <row r="296" spans="1:12" ht="9.9499999999999993" customHeight="1" x14ac:dyDescent="0.2">
      <c r="A296" s="202"/>
      <c r="B296" s="202"/>
      <c r="C296" s="938"/>
      <c r="D296" s="202"/>
      <c r="E296" s="202"/>
      <c r="F296" s="202"/>
      <c r="G296" s="202"/>
      <c r="H296" s="202"/>
      <c r="I296" s="202"/>
      <c r="J296" s="202"/>
      <c r="K296" s="202"/>
      <c r="L296" s="202"/>
    </row>
    <row r="297" spans="1:12" ht="9.9499999999999993" customHeight="1" x14ac:dyDescent="0.2">
      <c r="A297" s="202"/>
      <c r="B297" s="202"/>
      <c r="C297" s="938"/>
      <c r="D297" s="202"/>
      <c r="E297" s="202"/>
      <c r="F297" s="202"/>
      <c r="G297" s="202"/>
      <c r="H297" s="202"/>
      <c r="I297" s="202"/>
      <c r="J297" s="202"/>
      <c r="K297" s="202"/>
      <c r="L297" s="202"/>
    </row>
    <row r="298" spans="1:12" ht="9.9499999999999993" customHeight="1" x14ac:dyDescent="0.2">
      <c r="A298" s="202"/>
      <c r="B298" s="202"/>
      <c r="C298" s="938"/>
      <c r="D298" s="202"/>
      <c r="E298" s="202"/>
      <c r="F298" s="202"/>
      <c r="G298" s="202"/>
      <c r="H298" s="202"/>
      <c r="I298" s="202"/>
      <c r="J298" s="202"/>
      <c r="K298" s="202"/>
      <c r="L298" s="202"/>
    </row>
    <row r="299" spans="1:12" ht="9.9499999999999993" customHeight="1" x14ac:dyDescent="0.2">
      <c r="A299" s="202"/>
      <c r="B299" s="202"/>
      <c r="C299" s="938"/>
      <c r="D299" s="202"/>
      <c r="E299" s="202"/>
      <c r="F299" s="202"/>
      <c r="G299" s="202"/>
      <c r="H299" s="202"/>
      <c r="I299" s="202"/>
      <c r="J299" s="202"/>
      <c r="K299" s="202"/>
      <c r="L299" s="202"/>
    </row>
    <row r="300" spans="1:12" ht="9.9499999999999993" customHeight="1" x14ac:dyDescent="0.2">
      <c r="A300" s="202"/>
      <c r="B300" s="202"/>
      <c r="C300" s="938"/>
      <c r="D300" s="202"/>
      <c r="E300" s="202"/>
      <c r="F300" s="202"/>
      <c r="G300" s="202"/>
      <c r="H300" s="202"/>
      <c r="I300" s="202"/>
      <c r="J300" s="202"/>
      <c r="K300" s="202"/>
      <c r="L300" s="202"/>
    </row>
    <row r="301" spans="1:12" ht="9.9499999999999993" customHeight="1" x14ac:dyDescent="0.2">
      <c r="A301" s="202"/>
      <c r="B301" s="202"/>
      <c r="C301" s="938"/>
      <c r="D301" s="202"/>
      <c r="E301" s="202"/>
      <c r="F301" s="202"/>
      <c r="G301" s="202"/>
      <c r="H301" s="202"/>
      <c r="I301" s="202"/>
      <c r="J301" s="202"/>
      <c r="K301" s="202"/>
      <c r="L301" s="202"/>
    </row>
    <row r="302" spans="1:12" ht="9.9499999999999993" customHeight="1" x14ac:dyDescent="0.2">
      <c r="A302" s="202"/>
      <c r="B302" s="202"/>
      <c r="C302" s="938"/>
      <c r="D302" s="202"/>
      <c r="E302" s="202"/>
      <c r="F302" s="202"/>
      <c r="G302" s="202"/>
      <c r="H302" s="202"/>
      <c r="I302" s="202"/>
      <c r="J302" s="202"/>
      <c r="K302" s="202"/>
      <c r="L302" s="202"/>
    </row>
    <row r="303" spans="1:12" ht="9.9499999999999993" customHeight="1" x14ac:dyDescent="0.2">
      <c r="A303" s="202"/>
      <c r="B303" s="202"/>
      <c r="C303" s="938"/>
      <c r="D303" s="202"/>
      <c r="E303" s="202"/>
      <c r="F303" s="202"/>
      <c r="G303" s="202"/>
      <c r="H303" s="202"/>
      <c r="I303" s="202"/>
      <c r="J303" s="202"/>
      <c r="K303" s="202"/>
      <c r="L303" s="202"/>
    </row>
    <row r="304" spans="1:12" ht="9.9499999999999993" customHeight="1" x14ac:dyDescent="0.2">
      <c r="A304" s="202"/>
      <c r="B304" s="202"/>
      <c r="C304" s="938"/>
      <c r="D304" s="202"/>
      <c r="E304" s="202"/>
      <c r="F304" s="202"/>
      <c r="G304" s="202"/>
      <c r="H304" s="202"/>
      <c r="I304" s="202"/>
      <c r="J304" s="202"/>
      <c r="K304" s="202"/>
      <c r="L304" s="202"/>
    </row>
    <row r="305" spans="1:12" ht="9.9499999999999993" customHeight="1" x14ac:dyDescent="0.2">
      <c r="A305" s="202"/>
      <c r="B305" s="202"/>
      <c r="C305" s="938"/>
      <c r="D305" s="202"/>
      <c r="E305" s="202"/>
      <c r="F305" s="202"/>
      <c r="G305" s="202"/>
      <c r="H305" s="202"/>
      <c r="I305" s="202"/>
      <c r="J305" s="202"/>
      <c r="K305" s="202"/>
      <c r="L305" s="202"/>
    </row>
    <row r="306" spans="1:12" ht="9.9499999999999993" customHeight="1" x14ac:dyDescent="0.2">
      <c r="A306" s="202"/>
      <c r="B306" s="202"/>
      <c r="C306" s="938"/>
      <c r="D306" s="202"/>
      <c r="E306" s="202"/>
      <c r="F306" s="202"/>
      <c r="G306" s="202"/>
      <c r="H306" s="202"/>
      <c r="I306" s="202"/>
      <c r="J306" s="202"/>
      <c r="K306" s="202"/>
      <c r="L306" s="202"/>
    </row>
    <row r="307" spans="1:12" ht="9.9499999999999993" customHeight="1" x14ac:dyDescent="0.2">
      <c r="A307" s="202"/>
      <c r="B307" s="202"/>
      <c r="C307" s="938"/>
      <c r="D307" s="202"/>
      <c r="E307" s="202"/>
      <c r="F307" s="202"/>
      <c r="G307" s="202"/>
      <c r="H307" s="202"/>
      <c r="I307" s="202"/>
      <c r="J307" s="202"/>
      <c r="K307" s="202"/>
      <c r="L307" s="202"/>
    </row>
    <row r="308" spans="1:12" ht="9.9499999999999993" customHeight="1" x14ac:dyDescent="0.2">
      <c r="A308" s="202"/>
      <c r="B308" s="202"/>
      <c r="C308" s="938"/>
      <c r="D308" s="202"/>
      <c r="E308" s="202"/>
      <c r="F308" s="202"/>
      <c r="G308" s="202"/>
      <c r="H308" s="202"/>
      <c r="I308" s="202"/>
      <c r="J308" s="202"/>
      <c r="K308" s="202"/>
      <c r="L308" s="202"/>
    </row>
    <row r="309" spans="1:12" ht="9.9499999999999993" customHeight="1" x14ac:dyDescent="0.2">
      <c r="A309" s="202"/>
      <c r="B309" s="202"/>
      <c r="C309" s="938"/>
      <c r="D309" s="202"/>
      <c r="E309" s="202"/>
      <c r="F309" s="202"/>
      <c r="G309" s="202"/>
      <c r="H309" s="202"/>
      <c r="I309" s="202"/>
      <c r="J309" s="202"/>
      <c r="K309" s="202"/>
      <c r="L309" s="202"/>
    </row>
    <row r="310" spans="1:12" ht="9.9499999999999993" customHeight="1" x14ac:dyDescent="0.2">
      <c r="A310" s="202"/>
      <c r="B310" s="202"/>
      <c r="C310" s="938"/>
      <c r="D310" s="202"/>
      <c r="E310" s="202"/>
      <c r="F310" s="202"/>
      <c r="G310" s="202"/>
      <c r="H310" s="202"/>
      <c r="I310" s="202"/>
      <c r="J310" s="202"/>
      <c r="K310" s="202"/>
      <c r="L310" s="202"/>
    </row>
    <row r="311" spans="1:12" ht="9.9499999999999993" customHeight="1" x14ac:dyDescent="0.2">
      <c r="A311" s="202"/>
      <c r="B311" s="202"/>
      <c r="C311" s="938"/>
      <c r="D311" s="202"/>
      <c r="E311" s="202"/>
      <c r="F311" s="202"/>
      <c r="G311" s="202"/>
      <c r="H311" s="202"/>
      <c r="I311" s="202"/>
      <c r="J311" s="202"/>
      <c r="K311" s="202"/>
      <c r="L311" s="202"/>
    </row>
    <row r="312" spans="1:12" ht="9.9499999999999993" customHeight="1" x14ac:dyDescent="0.2">
      <c r="A312" s="202"/>
      <c r="B312" s="202"/>
      <c r="C312" s="938"/>
      <c r="D312" s="202"/>
      <c r="E312" s="202"/>
      <c r="F312" s="202"/>
      <c r="G312" s="202"/>
      <c r="H312" s="202"/>
      <c r="I312" s="202"/>
      <c r="J312" s="202"/>
      <c r="K312" s="202"/>
      <c r="L312" s="202"/>
    </row>
    <row r="313" spans="1:12" ht="9.9499999999999993" customHeight="1" x14ac:dyDescent="0.2">
      <c r="A313" s="202"/>
      <c r="B313" s="202"/>
      <c r="C313" s="938"/>
      <c r="D313" s="202"/>
      <c r="E313" s="202"/>
      <c r="F313" s="202"/>
      <c r="G313" s="202"/>
      <c r="H313" s="202"/>
      <c r="I313" s="202"/>
      <c r="J313" s="202"/>
      <c r="K313" s="202"/>
      <c r="L313" s="202"/>
    </row>
    <row r="314" spans="1:12" ht="9.9499999999999993" customHeight="1" x14ac:dyDescent="0.2">
      <c r="A314" s="202"/>
      <c r="B314" s="202"/>
      <c r="C314" s="938"/>
      <c r="D314" s="202"/>
      <c r="E314" s="202"/>
      <c r="F314" s="202"/>
      <c r="G314" s="202"/>
      <c r="H314" s="202"/>
      <c r="I314" s="202"/>
      <c r="J314" s="202"/>
      <c r="K314" s="202"/>
      <c r="L314" s="202"/>
    </row>
    <row r="315" spans="1:12" ht="9.9499999999999993" customHeight="1" x14ac:dyDescent="0.2">
      <c r="A315" s="202"/>
      <c r="B315" s="202"/>
      <c r="C315" s="938"/>
      <c r="D315" s="202"/>
      <c r="E315" s="202"/>
      <c r="F315" s="202"/>
      <c r="G315" s="202"/>
      <c r="H315" s="202"/>
      <c r="I315" s="202"/>
      <c r="J315" s="202"/>
      <c r="K315" s="202"/>
      <c r="L315" s="202"/>
    </row>
    <row r="316" spans="1:12" ht="9.9499999999999993" customHeight="1" x14ac:dyDescent="0.2">
      <c r="A316" s="202"/>
      <c r="B316" s="202"/>
      <c r="C316" s="938"/>
      <c r="D316" s="202"/>
      <c r="E316" s="202"/>
      <c r="F316" s="202"/>
      <c r="G316" s="202"/>
      <c r="H316" s="202"/>
      <c r="I316" s="202"/>
      <c r="J316" s="202"/>
      <c r="K316" s="202"/>
      <c r="L316" s="202"/>
    </row>
    <row r="317" spans="1:12" ht="9.9499999999999993" customHeight="1" x14ac:dyDescent="0.2">
      <c r="A317" s="202"/>
      <c r="B317" s="202"/>
      <c r="C317" s="938"/>
      <c r="D317" s="202"/>
      <c r="E317" s="202"/>
      <c r="F317" s="202"/>
      <c r="G317" s="202"/>
      <c r="H317" s="202"/>
      <c r="I317" s="202"/>
      <c r="J317" s="202"/>
      <c r="K317" s="202"/>
      <c r="L317" s="202"/>
    </row>
    <row r="318" spans="1:12" ht="9.9499999999999993" customHeight="1" x14ac:dyDescent="0.2">
      <c r="A318" s="202"/>
      <c r="B318" s="202"/>
      <c r="C318" s="938"/>
      <c r="D318" s="202"/>
      <c r="E318" s="202"/>
      <c r="F318" s="202"/>
      <c r="G318" s="202"/>
      <c r="H318" s="202"/>
      <c r="I318" s="202"/>
      <c r="J318" s="202"/>
      <c r="K318" s="202"/>
      <c r="L318" s="202"/>
    </row>
    <row r="319" spans="1:12" ht="9.9499999999999993" customHeight="1" x14ac:dyDescent="0.2">
      <c r="A319" s="202"/>
      <c r="B319" s="202"/>
      <c r="C319" s="938"/>
      <c r="D319" s="202"/>
      <c r="E319" s="202"/>
      <c r="F319" s="202"/>
      <c r="G319" s="202"/>
      <c r="H319" s="202"/>
      <c r="I319" s="202"/>
      <c r="J319" s="202"/>
      <c r="K319" s="202"/>
      <c r="L319" s="202"/>
    </row>
    <row r="320" spans="1:12" ht="9.9499999999999993" customHeight="1" x14ac:dyDescent="0.2">
      <c r="A320" s="202"/>
      <c r="B320" s="202"/>
      <c r="C320" s="938"/>
      <c r="D320" s="202"/>
      <c r="E320" s="202"/>
      <c r="F320" s="202"/>
      <c r="G320" s="202"/>
      <c r="H320" s="202"/>
      <c r="I320" s="202"/>
      <c r="J320" s="202"/>
      <c r="K320" s="202"/>
      <c r="L320" s="202"/>
    </row>
    <row r="321" spans="1:12" ht="9.9499999999999993" customHeight="1" x14ac:dyDescent="0.2">
      <c r="A321" s="202"/>
      <c r="B321" s="202"/>
      <c r="C321" s="938"/>
      <c r="D321" s="202"/>
      <c r="E321" s="202"/>
      <c r="F321" s="202"/>
      <c r="G321" s="202"/>
      <c r="H321" s="202"/>
      <c r="I321" s="202"/>
      <c r="J321" s="202"/>
      <c r="K321" s="202"/>
      <c r="L321" s="202"/>
    </row>
    <row r="322" spans="1:12" ht="9.9499999999999993" customHeight="1" x14ac:dyDescent="0.2">
      <c r="A322" s="202"/>
      <c r="B322" s="202"/>
      <c r="C322" s="938"/>
      <c r="D322" s="202"/>
      <c r="E322" s="202"/>
      <c r="F322" s="202"/>
      <c r="G322" s="202"/>
      <c r="H322" s="202"/>
      <c r="I322" s="202"/>
      <c r="J322" s="202"/>
      <c r="K322" s="202"/>
      <c r="L322" s="202"/>
    </row>
    <row r="323" spans="1:12" ht="9.9499999999999993" customHeight="1" x14ac:dyDescent="0.2">
      <c r="A323" s="202"/>
      <c r="B323" s="202"/>
      <c r="C323" s="938"/>
      <c r="D323" s="202"/>
      <c r="E323" s="202"/>
      <c r="F323" s="202"/>
      <c r="G323" s="202"/>
      <c r="H323" s="202"/>
      <c r="I323" s="202"/>
      <c r="J323" s="202"/>
      <c r="K323" s="202"/>
      <c r="L323" s="202"/>
    </row>
    <row r="324" spans="1:12" ht="9.9499999999999993" customHeight="1" x14ac:dyDescent="0.2">
      <c r="A324" s="202"/>
      <c r="B324" s="202"/>
      <c r="C324" s="938"/>
      <c r="D324" s="202"/>
      <c r="E324" s="202"/>
      <c r="F324" s="202"/>
      <c r="G324" s="202"/>
      <c r="H324" s="202"/>
      <c r="I324" s="202"/>
      <c r="J324" s="202"/>
      <c r="K324" s="202"/>
      <c r="L324" s="202"/>
    </row>
    <row r="325" spans="1:12" ht="9.9499999999999993" customHeight="1" x14ac:dyDescent="0.2">
      <c r="A325" s="202"/>
      <c r="B325" s="202"/>
      <c r="C325" s="938"/>
      <c r="D325" s="202"/>
      <c r="E325" s="202"/>
      <c r="F325" s="202"/>
      <c r="G325" s="202"/>
      <c r="H325" s="202"/>
      <c r="I325" s="202"/>
      <c r="J325" s="202"/>
      <c r="K325" s="202"/>
      <c r="L325" s="202"/>
    </row>
    <row r="326" spans="1:12" ht="9.9499999999999993" customHeight="1" x14ac:dyDescent="0.2">
      <c r="A326" s="202"/>
      <c r="B326" s="202"/>
      <c r="C326" s="938"/>
      <c r="D326" s="202"/>
      <c r="E326" s="202"/>
      <c r="F326" s="202"/>
      <c r="G326" s="202"/>
      <c r="H326" s="202"/>
      <c r="I326" s="202"/>
      <c r="J326" s="202"/>
      <c r="K326" s="202"/>
      <c r="L326" s="202"/>
    </row>
    <row r="327" spans="1:12" ht="9.9499999999999993" customHeight="1" x14ac:dyDescent="0.2">
      <c r="A327" s="202"/>
      <c r="B327" s="202"/>
      <c r="C327" s="938"/>
      <c r="D327" s="202"/>
      <c r="E327" s="202"/>
      <c r="F327" s="202"/>
      <c r="G327" s="202"/>
      <c r="H327" s="202"/>
      <c r="I327" s="202"/>
      <c r="J327" s="202"/>
      <c r="K327" s="202"/>
      <c r="L327" s="202"/>
    </row>
    <row r="328" spans="1:12" ht="9.9499999999999993" customHeight="1" x14ac:dyDescent="0.2">
      <c r="A328" s="202"/>
      <c r="B328" s="202"/>
      <c r="C328" s="938"/>
      <c r="D328" s="202"/>
      <c r="E328" s="202"/>
      <c r="F328" s="202"/>
      <c r="G328" s="202"/>
      <c r="H328" s="202"/>
      <c r="I328" s="202"/>
      <c r="J328" s="202"/>
      <c r="K328" s="202"/>
      <c r="L328" s="202"/>
    </row>
    <row r="329" spans="1:12" ht="9.9499999999999993" customHeight="1" x14ac:dyDescent="0.2">
      <c r="A329" s="202"/>
      <c r="B329" s="202"/>
      <c r="C329" s="938"/>
      <c r="D329" s="202"/>
      <c r="E329" s="202"/>
      <c r="F329" s="202"/>
      <c r="G329" s="202"/>
      <c r="H329" s="202"/>
      <c r="I329" s="202"/>
      <c r="J329" s="202"/>
      <c r="K329" s="202"/>
      <c r="L329" s="202"/>
    </row>
    <row r="330" spans="1:12" ht="9.9499999999999993" customHeight="1" x14ac:dyDescent="0.2">
      <c r="A330" s="202"/>
      <c r="B330" s="202"/>
      <c r="C330" s="938"/>
      <c r="D330" s="202"/>
      <c r="E330" s="202"/>
      <c r="F330" s="202"/>
      <c r="G330" s="202"/>
      <c r="H330" s="202"/>
      <c r="I330" s="202"/>
      <c r="J330" s="202"/>
      <c r="K330" s="202"/>
      <c r="L330" s="202"/>
    </row>
    <row r="331" spans="1:12" ht="9.9499999999999993" customHeight="1" x14ac:dyDescent="0.2">
      <c r="A331" s="202"/>
      <c r="B331" s="202"/>
      <c r="C331" s="938"/>
      <c r="D331" s="202"/>
      <c r="E331" s="202"/>
      <c r="F331" s="202"/>
      <c r="G331" s="202"/>
      <c r="H331" s="202"/>
      <c r="I331" s="202"/>
      <c r="J331" s="202"/>
      <c r="K331" s="202"/>
      <c r="L331" s="202"/>
    </row>
    <row r="332" spans="1:12" ht="9.9499999999999993" customHeight="1" x14ac:dyDescent="0.2">
      <c r="A332" s="202"/>
      <c r="B332" s="202"/>
      <c r="C332" s="938"/>
      <c r="D332" s="202"/>
      <c r="E332" s="202"/>
      <c r="F332" s="202"/>
      <c r="G332" s="202"/>
      <c r="H332" s="202"/>
      <c r="I332" s="202"/>
      <c r="J332" s="202"/>
      <c r="K332" s="202"/>
      <c r="L332" s="202"/>
    </row>
    <row r="333" spans="1:12" ht="9.9499999999999993" customHeight="1" x14ac:dyDescent="0.2">
      <c r="A333" s="202"/>
      <c r="B333" s="202"/>
      <c r="C333" s="938"/>
      <c r="D333" s="202"/>
      <c r="E333" s="202"/>
      <c r="F333" s="202"/>
      <c r="G333" s="202"/>
      <c r="H333" s="202"/>
      <c r="I333" s="202"/>
      <c r="J333" s="202"/>
      <c r="K333" s="202"/>
      <c r="L333" s="202"/>
    </row>
    <row r="334" spans="1:12" ht="9.9499999999999993" customHeight="1" x14ac:dyDescent="0.2">
      <c r="A334" s="202"/>
      <c r="B334" s="202"/>
      <c r="C334" s="938"/>
      <c r="D334" s="202"/>
      <c r="E334" s="202"/>
      <c r="F334" s="202"/>
      <c r="G334" s="202"/>
      <c r="H334" s="202"/>
      <c r="I334" s="202"/>
      <c r="J334" s="202"/>
      <c r="K334" s="202"/>
      <c r="L334" s="202"/>
    </row>
    <row r="335" spans="1:12" ht="9.9499999999999993" customHeight="1" x14ac:dyDescent="0.2">
      <c r="A335" s="202"/>
      <c r="B335" s="202"/>
      <c r="C335" s="938"/>
      <c r="D335" s="202"/>
      <c r="E335" s="202"/>
      <c r="F335" s="202"/>
      <c r="G335" s="202"/>
      <c r="H335" s="202"/>
      <c r="I335" s="202"/>
      <c r="J335" s="202"/>
      <c r="K335" s="202"/>
      <c r="L335" s="202"/>
    </row>
    <row r="336" spans="1:12" ht="9.9499999999999993" customHeight="1" x14ac:dyDescent="0.2">
      <c r="A336" s="202"/>
      <c r="B336" s="202"/>
      <c r="C336" s="938"/>
      <c r="D336" s="202"/>
      <c r="E336" s="202"/>
      <c r="F336" s="202"/>
      <c r="G336" s="202"/>
      <c r="H336" s="202"/>
      <c r="I336" s="202"/>
      <c r="J336" s="202"/>
      <c r="K336" s="202"/>
      <c r="L336" s="202"/>
    </row>
    <row r="337" spans="1:12" ht="9.9499999999999993" customHeight="1" x14ac:dyDescent="0.2">
      <c r="A337" s="202"/>
      <c r="B337" s="202"/>
      <c r="C337" s="938"/>
      <c r="D337" s="202"/>
      <c r="E337" s="202"/>
      <c r="F337" s="202"/>
      <c r="G337" s="202"/>
      <c r="H337" s="202"/>
      <c r="I337" s="202"/>
      <c r="J337" s="202"/>
      <c r="K337" s="202"/>
      <c r="L337" s="202"/>
    </row>
    <row r="338" spans="1:12" ht="9.9499999999999993" customHeight="1" x14ac:dyDescent="0.2">
      <c r="A338" s="202"/>
      <c r="B338" s="202"/>
      <c r="C338" s="938"/>
      <c r="D338" s="202"/>
      <c r="E338" s="202"/>
      <c r="F338" s="202"/>
      <c r="G338" s="202"/>
      <c r="H338" s="202"/>
      <c r="I338" s="202"/>
      <c r="J338" s="202"/>
      <c r="K338" s="202"/>
      <c r="L338" s="202"/>
    </row>
    <row r="339" spans="1:12" ht="9.9499999999999993" customHeight="1" x14ac:dyDescent="0.2">
      <c r="A339" s="202"/>
      <c r="B339" s="202"/>
      <c r="C339" s="938"/>
      <c r="D339" s="202"/>
      <c r="E339" s="202"/>
      <c r="F339" s="202"/>
      <c r="G339" s="202"/>
      <c r="H339" s="202"/>
      <c r="I339" s="202"/>
      <c r="J339" s="202"/>
      <c r="K339" s="202"/>
      <c r="L339" s="202"/>
    </row>
    <row r="340" spans="1:12" ht="9.9499999999999993" customHeight="1" x14ac:dyDescent="0.2">
      <c r="A340" s="202"/>
      <c r="B340" s="202"/>
      <c r="C340" s="938"/>
      <c r="D340" s="202"/>
      <c r="E340" s="202"/>
      <c r="F340" s="202"/>
      <c r="G340" s="202"/>
      <c r="H340" s="202"/>
      <c r="I340" s="202"/>
      <c r="J340" s="202"/>
      <c r="K340" s="202"/>
      <c r="L340" s="202"/>
    </row>
    <row r="341" spans="1:12" ht="9.9499999999999993" customHeight="1" x14ac:dyDescent="0.2">
      <c r="A341" s="202"/>
      <c r="B341" s="202"/>
      <c r="C341" s="938"/>
      <c r="D341" s="202"/>
      <c r="E341" s="202"/>
      <c r="F341" s="202"/>
      <c r="G341" s="202"/>
      <c r="H341" s="202"/>
      <c r="I341" s="202"/>
      <c r="J341" s="202"/>
      <c r="K341" s="202"/>
      <c r="L341" s="202"/>
    </row>
  </sheetData>
  <mergeCells count="2">
    <mergeCell ref="A4:G4"/>
    <mergeCell ref="A1:L1"/>
  </mergeCells>
  <phoneticPr fontId="9" type="noConversion"/>
  <printOptions horizontalCentered="1"/>
  <pageMargins left="0.5" right="0.5" top="0.5" bottom="0.625" header="0.5" footer="0.5"/>
  <pageSetup scale="85" fitToHeight="2" orientation="portrait" r:id="rId1"/>
  <headerFooter alignWithMargins="0">
    <oddFooter>&amp;C&amp;"Calibri,Regular"&amp;9The accompanying notes are an integral part of these basic financial statements.</oddFooter>
  </headerFooter>
  <rowBreaks count="1" manualBreakCount="1">
    <brk id="114" max="11"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tabColor theme="6" tint="0.39997558519241921"/>
  </sheetPr>
  <dimension ref="A1:BF100"/>
  <sheetViews>
    <sheetView workbookViewId="0">
      <selection activeCell="A91" sqref="A91"/>
    </sheetView>
  </sheetViews>
  <sheetFormatPr defaultColWidth="9.140625" defaultRowHeight="15" x14ac:dyDescent="0.3"/>
  <cols>
    <col min="1" max="1" width="1.5703125" style="61" customWidth="1"/>
    <col min="2" max="2" width="40.5703125" style="49" customWidth="1"/>
    <col min="3" max="4" width="1.5703125" style="61" customWidth="1"/>
    <col min="5" max="5" width="10.5703125" style="50" customWidth="1"/>
    <col min="6" max="7" width="1.5703125" style="61" customWidth="1"/>
    <col min="8" max="8" width="10.5703125" style="50" customWidth="1"/>
    <col min="9" max="10" width="1.5703125" style="61" customWidth="1"/>
    <col min="11" max="11" width="15.5703125" style="50" customWidth="1"/>
    <col min="12" max="13" width="1.5703125" style="61" customWidth="1"/>
    <col min="14" max="14" width="12.5703125" style="50" customWidth="1"/>
    <col min="15" max="16" width="1.5703125" style="61" customWidth="1"/>
    <col min="17" max="17" width="10.5703125" style="50" customWidth="1"/>
    <col min="18" max="19" width="1.5703125" style="61" customWidth="1"/>
    <col min="20" max="20" width="10.5703125" style="50" customWidth="1"/>
    <col min="21" max="22" width="1.5703125" style="61" customWidth="1"/>
    <col min="23" max="23" width="10.5703125" style="50" customWidth="1"/>
    <col min="24" max="25" width="1.5703125" style="61" customWidth="1"/>
    <col min="26" max="26" width="10.5703125" style="50" customWidth="1"/>
    <col min="27" max="28" width="1.5703125" style="50" customWidth="1"/>
    <col min="29" max="29" width="12.5703125" style="50" customWidth="1"/>
    <col min="30" max="31" width="1.5703125" style="50" customWidth="1"/>
    <col min="32" max="32" width="12.5703125" style="50" customWidth="1"/>
    <col min="33" max="34" width="1.5703125" style="50" customWidth="1"/>
    <col min="35" max="35" width="12.5703125" style="50" customWidth="1"/>
    <col min="36" max="37" width="1.5703125" style="50" customWidth="1"/>
    <col min="38" max="38" width="12.5703125" style="50" customWidth="1"/>
    <col min="39" max="40" width="1.5703125" style="50" customWidth="1"/>
    <col min="41" max="41" width="12.5703125" style="50" customWidth="1"/>
    <col min="42" max="43" width="1.5703125" style="50" customWidth="1"/>
    <col min="44" max="44" width="12.5703125" style="50" customWidth="1"/>
    <col min="45" max="46" width="1.5703125" style="50" customWidth="1"/>
    <col min="47" max="47" width="13.5703125" style="50" customWidth="1"/>
    <col min="48" max="49" width="1.5703125" style="50" customWidth="1"/>
    <col min="50" max="50" width="14.5703125" style="50" customWidth="1"/>
    <col min="51" max="52" width="1.5703125" style="50" customWidth="1"/>
    <col min="53" max="53" width="13.5703125" style="50" customWidth="1"/>
    <col min="54" max="55" width="1.5703125" style="61" customWidth="1"/>
    <col min="56" max="56" width="13.5703125" style="50" customWidth="1"/>
    <col min="57" max="57" width="1.5703125" style="61" customWidth="1"/>
    <col min="58" max="58" width="15.5703125" style="69" customWidth="1"/>
    <col min="59" max="16384" width="9.140625" style="1"/>
  </cols>
  <sheetData>
    <row r="1" spans="1:58" s="61" customFormat="1" ht="27.95" customHeight="1" thickBot="1" x14ac:dyDescent="0.25">
      <c r="A1" s="1628" t="s">
        <v>1033</v>
      </c>
      <c r="B1" s="1628"/>
      <c r="C1" s="1628"/>
      <c r="D1" s="1628"/>
      <c r="E1" s="1628"/>
      <c r="F1" s="1628"/>
      <c r="G1" s="1628"/>
      <c r="H1" s="1628"/>
      <c r="I1" s="1628"/>
      <c r="J1" s="1628"/>
      <c r="K1" s="1628"/>
      <c r="L1" s="1628"/>
      <c r="M1" s="1628"/>
      <c r="N1" s="1628"/>
      <c r="O1" s="1628"/>
      <c r="P1" s="1628"/>
      <c r="Q1" s="1628"/>
      <c r="R1" s="1628"/>
      <c r="S1" s="1628"/>
      <c r="T1" s="1628"/>
      <c r="U1" s="1628"/>
      <c r="V1" s="1628"/>
      <c r="W1" s="1628"/>
      <c r="X1" s="58"/>
      <c r="Y1" s="58"/>
      <c r="Z1" s="41"/>
      <c r="AA1" s="41"/>
      <c r="AB1" s="80" t="s">
        <v>1033</v>
      </c>
      <c r="AC1" s="41"/>
      <c r="AD1" s="41"/>
      <c r="AE1" s="41"/>
      <c r="AF1" s="41"/>
      <c r="AG1" s="41"/>
      <c r="AH1" s="41"/>
      <c r="AI1" s="41"/>
      <c r="AJ1" s="41"/>
      <c r="AK1" s="41"/>
      <c r="AL1" s="41"/>
      <c r="AM1" s="41"/>
      <c r="AN1" s="41"/>
      <c r="AO1" s="41"/>
      <c r="AP1" s="41"/>
      <c r="AQ1" s="41"/>
      <c r="AR1" s="41"/>
      <c r="AS1" s="41"/>
      <c r="AT1" s="41"/>
      <c r="AU1" s="59"/>
      <c r="AV1" s="59"/>
      <c r="AW1" s="59"/>
      <c r="AX1" s="59"/>
      <c r="AY1" s="59"/>
      <c r="AZ1" s="59"/>
      <c r="BA1" s="59"/>
      <c r="BB1" s="58"/>
      <c r="BC1" s="58"/>
      <c r="BD1" s="59"/>
      <c r="BF1" s="69"/>
    </row>
    <row r="2" spans="1:58" s="61" customFormat="1" ht="25.35" customHeight="1" x14ac:dyDescent="0.2">
      <c r="A2" s="79" t="s">
        <v>629</v>
      </c>
      <c r="B2" s="49"/>
      <c r="C2" s="42"/>
      <c r="D2" s="42"/>
      <c r="E2" s="60"/>
      <c r="F2" s="42"/>
      <c r="G2" s="42"/>
      <c r="H2" s="60"/>
      <c r="I2" s="42"/>
      <c r="J2" s="42"/>
      <c r="K2" s="60"/>
      <c r="L2" s="42"/>
      <c r="M2" s="42"/>
      <c r="N2" s="60"/>
      <c r="O2" s="42"/>
      <c r="P2" s="42"/>
      <c r="Q2" s="60"/>
      <c r="R2" s="42"/>
      <c r="S2" s="42"/>
      <c r="T2" s="60"/>
      <c r="U2" s="42"/>
      <c r="V2" s="42"/>
      <c r="W2" s="60"/>
      <c r="Z2" s="42"/>
      <c r="AA2" s="42"/>
      <c r="AB2" s="79" t="s">
        <v>629</v>
      </c>
      <c r="AC2" s="42"/>
      <c r="AD2" s="42"/>
      <c r="AE2" s="60"/>
      <c r="AF2" s="42"/>
      <c r="AG2" s="42"/>
      <c r="AH2" s="60"/>
      <c r="AI2" s="42"/>
      <c r="AJ2" s="42"/>
      <c r="AK2" s="60"/>
      <c r="AL2" s="42"/>
      <c r="AM2" s="42"/>
      <c r="AN2" s="60"/>
      <c r="AO2" s="42"/>
      <c r="AP2" s="42"/>
      <c r="AQ2" s="60"/>
      <c r="AR2" s="42"/>
      <c r="AS2" s="42"/>
      <c r="AT2" s="60"/>
      <c r="AU2" s="50"/>
      <c r="AV2" s="50"/>
      <c r="AW2" s="50"/>
      <c r="AX2" s="50"/>
      <c r="AY2" s="50"/>
      <c r="AZ2" s="50"/>
      <c r="BA2" s="50"/>
      <c r="BD2" s="50"/>
      <c r="BF2" s="69"/>
    </row>
    <row r="3" spans="1:58" s="61" customFormat="1" ht="25.35" customHeight="1" x14ac:dyDescent="0.2">
      <c r="A3" s="79" t="s">
        <v>625</v>
      </c>
      <c r="B3" s="49"/>
      <c r="C3" s="42"/>
      <c r="D3" s="42"/>
      <c r="E3" s="60"/>
      <c r="F3" s="42"/>
      <c r="G3" s="42"/>
      <c r="H3" s="60"/>
      <c r="I3" s="42"/>
      <c r="J3" s="42"/>
      <c r="K3" s="60"/>
      <c r="L3" s="42"/>
      <c r="M3" s="42"/>
      <c r="N3" s="60"/>
      <c r="O3" s="42"/>
      <c r="P3" s="42"/>
      <c r="Q3" s="60"/>
      <c r="R3" s="42"/>
      <c r="S3" s="42"/>
      <c r="T3" s="60"/>
      <c r="U3" s="42"/>
      <c r="V3" s="42"/>
      <c r="W3" s="60"/>
      <c r="Z3" s="42"/>
      <c r="AA3" s="42"/>
      <c r="AB3" s="79" t="s">
        <v>625</v>
      </c>
      <c r="AC3" s="42"/>
      <c r="AD3" s="42"/>
      <c r="AE3" s="60"/>
      <c r="AF3" s="42"/>
      <c r="AG3" s="42"/>
      <c r="AH3" s="60"/>
      <c r="AI3" s="42"/>
      <c r="AJ3" s="42"/>
      <c r="AK3" s="60"/>
      <c r="AL3" s="42"/>
      <c r="AM3" s="42"/>
      <c r="AN3" s="60"/>
      <c r="AO3" s="42"/>
      <c r="AP3" s="42"/>
      <c r="AQ3" s="60"/>
      <c r="AR3" s="42"/>
      <c r="AS3" s="42"/>
      <c r="AT3" s="60"/>
      <c r="AU3" s="50"/>
      <c r="AV3" s="50"/>
      <c r="AW3" s="50"/>
      <c r="AX3" s="50"/>
      <c r="AY3" s="50"/>
      <c r="AZ3" s="50"/>
      <c r="BA3" s="50"/>
      <c r="BD3" s="50"/>
      <c r="BF3" s="69"/>
    </row>
    <row r="4" spans="1:58" s="61" customFormat="1" ht="22.35" customHeight="1" x14ac:dyDescent="0.2">
      <c r="A4" s="1629" t="s">
        <v>1015</v>
      </c>
      <c r="B4" s="1629"/>
      <c r="C4" s="1629"/>
      <c r="D4" s="1629"/>
      <c r="E4" s="1629"/>
      <c r="F4" s="1629"/>
      <c r="G4" s="1629"/>
      <c r="H4" s="1629"/>
      <c r="I4" s="1629"/>
      <c r="J4" s="1629"/>
      <c r="K4" s="1629"/>
      <c r="L4" s="1629"/>
      <c r="M4" s="1629"/>
      <c r="N4" s="1629"/>
      <c r="O4" s="1629"/>
      <c r="P4" s="1629"/>
      <c r="Q4" s="1629"/>
      <c r="R4" s="1629"/>
      <c r="S4" s="1629"/>
      <c r="T4" s="1629"/>
      <c r="U4" s="1629"/>
      <c r="V4" s="1629"/>
      <c r="W4" s="1629"/>
      <c r="Z4" s="44"/>
      <c r="AA4" s="44"/>
      <c r="AB4" s="1630" t="s">
        <v>1015</v>
      </c>
      <c r="AC4" s="1630"/>
      <c r="AD4" s="1630"/>
      <c r="AE4" s="1630"/>
      <c r="AF4" s="1630"/>
      <c r="AG4" s="1630"/>
      <c r="AH4" s="1630"/>
      <c r="AI4" s="1630"/>
      <c r="AJ4" s="44"/>
      <c r="AK4" s="44"/>
      <c r="AL4" s="44"/>
      <c r="AM4" s="44"/>
      <c r="AN4" s="44"/>
      <c r="AO4" s="44"/>
      <c r="AP4" s="44"/>
      <c r="AQ4" s="44"/>
      <c r="AR4" s="44"/>
      <c r="AS4" s="44"/>
      <c r="AT4" s="44"/>
      <c r="AU4" s="50"/>
      <c r="AV4" s="50"/>
      <c r="AW4" s="50"/>
      <c r="AX4" s="50"/>
      <c r="AY4" s="50"/>
      <c r="AZ4" s="50"/>
      <c r="BA4" s="50"/>
      <c r="BD4" s="50"/>
      <c r="BF4" s="69"/>
    </row>
    <row r="5" spans="1:58" ht="9.9499999999999993" customHeight="1" x14ac:dyDescent="0.3">
      <c r="A5" s="1631"/>
      <c r="B5" s="1631"/>
      <c r="C5" s="1631"/>
      <c r="D5" s="1631"/>
      <c r="E5" s="1631"/>
      <c r="F5" s="1631"/>
      <c r="G5" s="1631"/>
      <c r="H5" s="1631"/>
      <c r="I5" s="1631"/>
      <c r="J5" s="1631"/>
      <c r="K5" s="1631"/>
      <c r="L5" s="1631"/>
      <c r="M5" s="1631"/>
      <c r="N5" s="1631"/>
      <c r="O5" s="1631"/>
      <c r="P5" s="1631"/>
      <c r="Q5" s="1631"/>
      <c r="R5" s="1631"/>
      <c r="S5" s="1631"/>
      <c r="T5" s="1631"/>
      <c r="U5" s="1631"/>
      <c r="V5" s="1631"/>
      <c r="W5" s="1631"/>
      <c r="Z5" s="22"/>
      <c r="AA5" s="22"/>
      <c r="AB5" s="22"/>
      <c r="AC5" s="22"/>
      <c r="AD5" s="22"/>
      <c r="AE5" s="22"/>
      <c r="AF5" s="22"/>
      <c r="AG5" s="22"/>
      <c r="AH5" s="22"/>
      <c r="AI5" s="22"/>
      <c r="AJ5" s="22"/>
      <c r="AK5" s="22"/>
      <c r="AL5" s="22"/>
      <c r="AM5" s="22"/>
      <c r="AN5" s="22"/>
      <c r="AO5" s="22"/>
      <c r="AP5" s="22"/>
      <c r="AQ5" s="22"/>
      <c r="AR5" s="22"/>
      <c r="AS5" s="22"/>
      <c r="AT5" s="22"/>
    </row>
    <row r="6" spans="1:58" s="55" customFormat="1" ht="12.6" customHeight="1" x14ac:dyDescent="0.35">
      <c r="A6" s="62"/>
      <c r="B6" s="62"/>
      <c r="C6" s="62"/>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2"/>
      <c r="BD6" s="64"/>
      <c r="BE6" s="62"/>
      <c r="BF6" s="70"/>
    </row>
    <row r="7" spans="1:58" s="55" customFormat="1" ht="12.6" customHeight="1" x14ac:dyDescent="0.35">
      <c r="A7" s="62"/>
      <c r="B7" s="62"/>
      <c r="C7" s="62"/>
      <c r="D7" s="1625" t="s">
        <v>15</v>
      </c>
      <c r="E7" s="1625"/>
      <c r="F7" s="1625"/>
      <c r="G7" s="1625"/>
      <c r="H7" s="1625"/>
      <c r="I7" s="1625"/>
      <c r="J7" s="1625"/>
      <c r="K7" s="1625"/>
      <c r="L7" s="1625"/>
      <c r="M7" s="1625"/>
      <c r="N7" s="1625"/>
      <c r="O7" s="1625"/>
      <c r="P7" s="1625"/>
      <c r="Q7" s="1625"/>
      <c r="R7" s="1625"/>
      <c r="S7" s="1625"/>
      <c r="T7" s="1625"/>
      <c r="U7" s="63"/>
      <c r="V7" s="1625" t="s">
        <v>18</v>
      </c>
      <c r="W7" s="1625"/>
      <c r="X7" s="1625"/>
      <c r="Y7" s="1625"/>
      <c r="Z7" s="1625"/>
      <c r="AA7" s="62"/>
      <c r="AB7" s="1625" t="s">
        <v>18</v>
      </c>
      <c r="AC7" s="1625"/>
      <c r="AD7" s="1625"/>
      <c r="AE7" s="1625"/>
      <c r="AF7" s="1625"/>
      <c r="AG7" s="1625"/>
      <c r="AH7" s="1625"/>
      <c r="AI7" s="1625"/>
      <c r="AJ7" s="1625"/>
      <c r="AK7" s="1625"/>
      <c r="AL7" s="1625"/>
      <c r="AM7" s="1625"/>
      <c r="AN7" s="1625"/>
      <c r="AO7" s="1625"/>
      <c r="AP7" s="1625"/>
      <c r="AQ7" s="1625"/>
      <c r="AR7" s="1625"/>
      <c r="AS7" s="62"/>
      <c r="AT7" s="1627" t="s">
        <v>312</v>
      </c>
      <c r="AU7" s="1627"/>
      <c r="AV7" s="62"/>
      <c r="AW7" s="62"/>
      <c r="AX7" s="62"/>
      <c r="AY7" s="62"/>
      <c r="AZ7" s="62"/>
      <c r="BA7" s="62"/>
      <c r="BB7" s="62"/>
      <c r="BC7" s="62"/>
      <c r="BD7" s="64"/>
      <c r="BE7" s="62"/>
      <c r="BF7" s="70"/>
    </row>
    <row r="8" spans="1:58" s="55" customFormat="1" ht="12.6" customHeight="1" x14ac:dyDescent="0.35">
      <c r="A8" s="62"/>
      <c r="B8" s="62"/>
      <c r="C8" s="62"/>
      <c r="D8" s="62"/>
      <c r="E8" s="64"/>
      <c r="F8" s="62"/>
      <c r="G8" s="62"/>
      <c r="H8" s="64"/>
      <c r="I8" s="62"/>
      <c r="J8" s="62"/>
      <c r="K8" s="64"/>
      <c r="L8" s="62"/>
      <c r="M8" s="62"/>
      <c r="N8" s="64"/>
      <c r="O8" s="62"/>
      <c r="P8" s="62"/>
      <c r="Q8" s="64"/>
      <c r="R8" s="62"/>
      <c r="S8" s="62"/>
      <c r="T8" s="64"/>
      <c r="U8" s="62"/>
      <c r="V8" s="62"/>
      <c r="W8" s="64"/>
      <c r="X8" s="62"/>
      <c r="Y8" s="62"/>
      <c r="Z8" s="64"/>
      <c r="AA8" s="64"/>
      <c r="AB8" s="64"/>
      <c r="AC8" s="64"/>
      <c r="AD8" s="64"/>
      <c r="AE8" s="64"/>
      <c r="AF8" s="64"/>
      <c r="AG8" s="64"/>
      <c r="AH8" s="64"/>
      <c r="AI8" s="64"/>
      <c r="AJ8" s="64"/>
      <c r="AK8" s="64"/>
      <c r="AL8" s="64"/>
      <c r="AM8" s="64"/>
      <c r="AN8" s="1623" t="s">
        <v>310</v>
      </c>
      <c r="AO8" s="1623"/>
      <c r="AP8" s="64"/>
      <c r="AQ8" s="64"/>
      <c r="AR8" s="64"/>
      <c r="AS8" s="64"/>
      <c r="AT8" s="1623" t="s">
        <v>313</v>
      </c>
      <c r="AU8" s="1623"/>
      <c r="AV8" s="64"/>
      <c r="AW8" s="1623" t="s">
        <v>256</v>
      </c>
      <c r="AX8" s="1623"/>
      <c r="AY8" s="64"/>
      <c r="AZ8" s="64"/>
      <c r="BA8" s="64"/>
      <c r="BB8" s="62"/>
      <c r="BC8" s="62"/>
      <c r="BD8" s="64"/>
      <c r="BE8" s="62"/>
      <c r="BF8" s="70"/>
    </row>
    <row r="9" spans="1:58" s="55" customFormat="1" ht="12.6" customHeight="1" x14ac:dyDescent="0.35">
      <c r="A9" s="62"/>
      <c r="B9" s="62"/>
      <c r="C9" s="62"/>
      <c r="D9" s="1623" t="s">
        <v>278</v>
      </c>
      <c r="E9" s="1623"/>
      <c r="F9" s="62"/>
      <c r="G9" s="62"/>
      <c r="H9" s="64"/>
      <c r="I9" s="62"/>
      <c r="J9" s="62"/>
      <c r="K9" s="64"/>
      <c r="L9" s="62"/>
      <c r="M9" s="62"/>
      <c r="N9" s="64"/>
      <c r="O9" s="62"/>
      <c r="P9" s="62"/>
      <c r="Q9" s="64"/>
      <c r="R9" s="62"/>
      <c r="S9" s="62"/>
      <c r="T9" s="64"/>
      <c r="U9" s="62"/>
      <c r="V9" s="62"/>
      <c r="W9" s="64"/>
      <c r="X9" s="62"/>
      <c r="Y9" s="62"/>
      <c r="Z9" s="64"/>
      <c r="AA9" s="64"/>
      <c r="AB9" s="64"/>
      <c r="AC9" s="64"/>
      <c r="AD9" s="64"/>
      <c r="AE9" s="64"/>
      <c r="AF9" s="64"/>
      <c r="AG9" s="64"/>
      <c r="AH9" s="64"/>
      <c r="AI9" s="64"/>
      <c r="AJ9" s="64"/>
      <c r="AK9" s="1623" t="s">
        <v>308</v>
      </c>
      <c r="AL9" s="1623"/>
      <c r="AM9" s="64"/>
      <c r="AN9" s="1623" t="s">
        <v>439</v>
      </c>
      <c r="AO9" s="1623"/>
      <c r="AP9" s="64"/>
      <c r="AQ9" s="64"/>
      <c r="AR9" s="64"/>
      <c r="AS9" s="64"/>
      <c r="AT9" s="1623" t="s">
        <v>314</v>
      </c>
      <c r="AU9" s="1623"/>
      <c r="AV9" s="64"/>
      <c r="AW9" s="1623" t="s">
        <v>316</v>
      </c>
      <c r="AX9" s="1623"/>
      <c r="AY9" s="64"/>
      <c r="AZ9" s="64"/>
      <c r="BA9" s="64"/>
      <c r="BB9" s="62"/>
      <c r="BC9" s="62"/>
      <c r="BD9" s="64"/>
      <c r="BE9" s="62"/>
      <c r="BF9" s="70"/>
    </row>
    <row r="10" spans="1:58" s="55" customFormat="1" ht="12.6" customHeight="1" x14ac:dyDescent="0.35">
      <c r="A10" s="62"/>
      <c r="B10" s="62"/>
      <c r="C10" s="62"/>
      <c r="D10" s="1623" t="s">
        <v>279</v>
      </c>
      <c r="E10" s="1623"/>
      <c r="F10" s="62"/>
      <c r="G10" s="62"/>
      <c r="H10" s="64"/>
      <c r="I10" s="62"/>
      <c r="J10" s="62"/>
      <c r="K10" s="64"/>
      <c r="L10" s="62"/>
      <c r="M10" s="62"/>
      <c r="N10" s="64"/>
      <c r="O10" s="62"/>
      <c r="P10" s="1623" t="s">
        <v>283</v>
      </c>
      <c r="Q10" s="1623"/>
      <c r="R10" s="62"/>
      <c r="S10" s="1623" t="s">
        <v>671</v>
      </c>
      <c r="T10" s="1623"/>
      <c r="U10" s="62"/>
      <c r="V10" s="1623" t="s">
        <v>108</v>
      </c>
      <c r="W10" s="1623"/>
      <c r="X10" s="62"/>
      <c r="Y10" s="1623" t="s">
        <v>303</v>
      </c>
      <c r="Z10" s="1623"/>
      <c r="AA10" s="64"/>
      <c r="AB10" s="1623" t="s">
        <v>303</v>
      </c>
      <c r="AC10" s="1623"/>
      <c r="AD10" s="64"/>
      <c r="AE10" s="1623" t="s">
        <v>306</v>
      </c>
      <c r="AF10" s="1623"/>
      <c r="AG10" s="64"/>
      <c r="AH10" s="64"/>
      <c r="AI10" s="64"/>
      <c r="AJ10" s="64"/>
      <c r="AK10" s="1623" t="s">
        <v>223</v>
      </c>
      <c r="AL10" s="1623"/>
      <c r="AM10" s="64"/>
      <c r="AN10" s="1623" t="s">
        <v>223</v>
      </c>
      <c r="AO10" s="1623"/>
      <c r="AP10" s="64"/>
      <c r="AQ10" s="1623" t="s">
        <v>671</v>
      </c>
      <c r="AR10" s="1623"/>
      <c r="AS10" s="64"/>
      <c r="AT10" s="1623" t="s">
        <v>315</v>
      </c>
      <c r="AU10" s="1623"/>
      <c r="AV10" s="64"/>
      <c r="AW10" s="1623" t="s">
        <v>317</v>
      </c>
      <c r="AX10" s="1623"/>
      <c r="AY10" s="64"/>
      <c r="AZ10" s="1622" t="s">
        <v>586</v>
      </c>
      <c r="BA10" s="1622"/>
      <c r="BB10" s="1622"/>
      <c r="BC10" s="1622"/>
      <c r="BD10" s="1622"/>
      <c r="BE10" s="62"/>
      <c r="BF10" s="70" t="s">
        <v>587</v>
      </c>
    </row>
    <row r="11" spans="1:58" s="55" customFormat="1" ht="12.6" customHeight="1" x14ac:dyDescent="0.35">
      <c r="A11" s="62"/>
      <c r="B11" s="62"/>
      <c r="C11" s="62"/>
      <c r="D11" s="1622" t="s">
        <v>838</v>
      </c>
      <c r="E11" s="1622"/>
      <c r="F11" s="62"/>
      <c r="G11" s="1622" t="s">
        <v>280</v>
      </c>
      <c r="H11" s="1622"/>
      <c r="I11" s="62"/>
      <c r="J11" s="1622" t="s">
        <v>281</v>
      </c>
      <c r="K11" s="1622"/>
      <c r="L11" s="62"/>
      <c r="M11" s="1622" t="s">
        <v>282</v>
      </c>
      <c r="N11" s="1622"/>
      <c r="O11" s="62"/>
      <c r="P11" s="1622" t="s">
        <v>301</v>
      </c>
      <c r="Q11" s="1622"/>
      <c r="R11" s="62"/>
      <c r="S11" s="1622" t="s">
        <v>15</v>
      </c>
      <c r="T11" s="1622"/>
      <c r="U11" s="62"/>
      <c r="V11" s="1622" t="s">
        <v>302</v>
      </c>
      <c r="W11" s="1622"/>
      <c r="X11" s="62"/>
      <c r="Y11" s="1622" t="s">
        <v>304</v>
      </c>
      <c r="Z11" s="1622"/>
      <c r="AA11" s="64"/>
      <c r="AB11" s="1622" t="s">
        <v>305</v>
      </c>
      <c r="AC11" s="1622"/>
      <c r="AD11" s="64"/>
      <c r="AE11" s="1622" t="s">
        <v>838</v>
      </c>
      <c r="AF11" s="1622"/>
      <c r="AG11" s="64"/>
      <c r="AH11" s="1622" t="s">
        <v>307</v>
      </c>
      <c r="AI11" s="1622"/>
      <c r="AJ11" s="64"/>
      <c r="AK11" s="1622" t="s">
        <v>309</v>
      </c>
      <c r="AL11" s="1622"/>
      <c r="AM11" s="64"/>
      <c r="AN11" s="1622" t="s">
        <v>311</v>
      </c>
      <c r="AO11" s="1622"/>
      <c r="AP11" s="64"/>
      <c r="AQ11" s="1622" t="s">
        <v>18</v>
      </c>
      <c r="AR11" s="1622"/>
      <c r="AS11" s="64"/>
      <c r="AT11" s="1622" t="s">
        <v>18</v>
      </c>
      <c r="AU11" s="1622"/>
      <c r="AV11" s="64"/>
      <c r="AW11" s="1622" t="s">
        <v>318</v>
      </c>
      <c r="AX11" s="1622"/>
      <c r="AY11" s="64"/>
      <c r="AZ11" s="1624" t="s">
        <v>584</v>
      </c>
      <c r="BA11" s="1625"/>
      <c r="BB11" s="62"/>
      <c r="BC11" s="1626" t="s">
        <v>585</v>
      </c>
      <c r="BD11" s="1626"/>
      <c r="BE11" s="62"/>
      <c r="BF11" s="71" t="s">
        <v>588</v>
      </c>
    </row>
    <row r="12" spans="1:58" s="56" customFormat="1" ht="9.9499999999999993" customHeight="1" x14ac:dyDescent="0.35">
      <c r="A12" s="46" t="s">
        <v>36</v>
      </c>
      <c r="B12" s="46"/>
      <c r="C12" s="65"/>
      <c r="D12" s="65"/>
      <c r="E12" s="66"/>
      <c r="F12" s="65"/>
      <c r="G12" s="65"/>
      <c r="H12" s="66"/>
      <c r="I12" s="65"/>
      <c r="J12" s="65"/>
      <c r="K12" s="66"/>
      <c r="L12" s="65"/>
      <c r="M12" s="65"/>
      <c r="N12" s="66"/>
      <c r="O12" s="65"/>
      <c r="P12" s="65"/>
      <c r="Q12" s="66"/>
      <c r="R12" s="65"/>
      <c r="S12" s="65"/>
      <c r="T12" s="66"/>
      <c r="U12" s="65"/>
      <c r="V12" s="65"/>
      <c r="W12" s="66"/>
      <c r="X12" s="65"/>
      <c r="Y12" s="65"/>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5"/>
      <c r="BC12" s="65"/>
      <c r="BD12" s="66"/>
      <c r="BE12" s="65"/>
      <c r="BF12" s="72"/>
    </row>
    <row r="13" spans="1:58" s="57" customFormat="1" ht="9.9499999999999993" customHeight="1" x14ac:dyDescent="0.3">
      <c r="A13" s="54"/>
      <c r="B13" s="54" t="s">
        <v>35</v>
      </c>
      <c r="C13" s="54"/>
      <c r="D13" s="54" t="s">
        <v>1035</v>
      </c>
      <c r="E13" s="48">
        <v>56</v>
      </c>
      <c r="F13" s="48"/>
      <c r="G13" s="54" t="s">
        <v>1035</v>
      </c>
      <c r="H13" s="48">
        <v>0</v>
      </c>
      <c r="I13" s="48"/>
      <c r="J13" s="54" t="s">
        <v>1035</v>
      </c>
      <c r="K13" s="48">
        <v>0</v>
      </c>
      <c r="L13" s="48"/>
      <c r="M13" s="54" t="s">
        <v>1035</v>
      </c>
      <c r="N13" s="48">
        <v>27709</v>
      </c>
      <c r="O13" s="48"/>
      <c r="P13" s="54" t="s">
        <v>1035</v>
      </c>
      <c r="Q13" s="48">
        <v>1590</v>
      </c>
      <c r="R13" s="48"/>
      <c r="S13" s="54" t="s">
        <v>1035</v>
      </c>
      <c r="T13" s="48">
        <f>SUM(E13:Q13)</f>
        <v>29355</v>
      </c>
      <c r="U13" s="48"/>
      <c r="V13" s="54" t="s">
        <v>1035</v>
      </c>
      <c r="W13" s="48">
        <v>0</v>
      </c>
      <c r="X13" s="48"/>
      <c r="Y13" s="54" t="s">
        <v>1035</v>
      </c>
      <c r="Z13" s="48">
        <v>0</v>
      </c>
      <c r="AA13" s="48"/>
      <c r="AB13" s="54" t="s">
        <v>1035</v>
      </c>
      <c r="AC13" s="48">
        <v>0</v>
      </c>
      <c r="AD13" s="48"/>
      <c r="AE13" s="54" t="s">
        <v>1035</v>
      </c>
      <c r="AF13" s="48">
        <v>0</v>
      </c>
      <c r="AG13" s="48"/>
      <c r="AH13" s="54" t="s">
        <v>1035</v>
      </c>
      <c r="AI13" s="48">
        <v>0</v>
      </c>
      <c r="AJ13" s="48"/>
      <c r="AK13" s="54" t="s">
        <v>1035</v>
      </c>
      <c r="AL13" s="48">
        <v>34484</v>
      </c>
      <c r="AM13" s="48"/>
      <c r="AN13" s="54" t="s">
        <v>1035</v>
      </c>
      <c r="AO13" s="48">
        <v>0</v>
      </c>
      <c r="AP13" s="48"/>
      <c r="AQ13" s="54" t="s">
        <v>1035</v>
      </c>
      <c r="AR13" s="48">
        <f>SUM(W13:AO13)</f>
        <v>34484</v>
      </c>
      <c r="AS13" s="48"/>
      <c r="AT13" s="54" t="s">
        <v>1035</v>
      </c>
      <c r="AU13" s="48">
        <f>SUM(T13-AR13)</f>
        <v>-5129</v>
      </c>
      <c r="AV13" s="48"/>
      <c r="AW13" s="54" t="s">
        <v>1035</v>
      </c>
      <c r="AX13" s="48">
        <v>0</v>
      </c>
      <c r="AY13" s="48"/>
      <c r="AZ13" s="54" t="s">
        <v>1035</v>
      </c>
      <c r="BA13" s="48">
        <v>73418</v>
      </c>
      <c r="BB13" s="48"/>
      <c r="BC13" s="67" t="s">
        <v>1035</v>
      </c>
      <c r="BD13" s="48">
        <f>SUM(AU13:BA13)</f>
        <v>68289</v>
      </c>
      <c r="BE13" s="54"/>
      <c r="BF13" s="73">
        <f>SUM('XCombining BS Liability(62Mem)'!Z13-BD13)</f>
        <v>0</v>
      </c>
    </row>
    <row r="14" spans="1:58" s="57" customFormat="1" ht="9.9499999999999993" customHeight="1" x14ac:dyDescent="0.3">
      <c r="A14" s="54"/>
      <c r="B14" s="54" t="s">
        <v>463</v>
      </c>
      <c r="C14" s="51"/>
      <c r="D14" s="51"/>
      <c r="E14" s="51"/>
      <c r="F14" s="51"/>
      <c r="G14" s="51"/>
      <c r="H14" s="51"/>
      <c r="I14" s="51"/>
      <c r="J14" s="51"/>
      <c r="K14" s="51"/>
      <c r="L14" s="51"/>
      <c r="M14" s="51"/>
      <c r="N14" s="51"/>
      <c r="O14" s="51"/>
      <c r="P14" s="51"/>
      <c r="Q14" s="51">
        <v>1</v>
      </c>
      <c r="R14" s="51"/>
      <c r="S14" s="51"/>
      <c r="T14" s="51">
        <f t="shared" ref="T14:T77" si="0">SUM(E14:Q14)</f>
        <v>1</v>
      </c>
      <c r="U14" s="51"/>
      <c r="V14" s="51"/>
      <c r="W14" s="51"/>
      <c r="X14" s="51"/>
      <c r="Y14" s="51"/>
      <c r="Z14" s="51"/>
      <c r="AA14" s="51"/>
      <c r="AB14" s="51"/>
      <c r="AC14" s="51"/>
      <c r="AD14" s="51"/>
      <c r="AE14" s="51"/>
      <c r="AF14" s="51"/>
      <c r="AG14" s="51"/>
      <c r="AH14" s="51"/>
      <c r="AI14" s="51"/>
      <c r="AJ14" s="51"/>
      <c r="AK14" s="51"/>
      <c r="AL14" s="51">
        <v>223</v>
      </c>
      <c r="AM14" s="51"/>
      <c r="AN14" s="51"/>
      <c r="AO14" s="51"/>
      <c r="AP14" s="51"/>
      <c r="AQ14" s="51"/>
      <c r="AR14" s="51">
        <f t="shared" ref="AR14:AR77" si="1">SUM(W14:AO14)</f>
        <v>223</v>
      </c>
      <c r="AS14" s="51"/>
      <c r="AT14" s="51"/>
      <c r="AU14" s="51">
        <f t="shared" ref="AU14:AU77" si="2">SUM(T14-AR14)</f>
        <v>-222</v>
      </c>
      <c r="AV14" s="51"/>
      <c r="AW14" s="51"/>
      <c r="AX14" s="51"/>
      <c r="AY14" s="51"/>
      <c r="AZ14" s="51"/>
      <c r="BA14" s="51">
        <v>243</v>
      </c>
      <c r="BB14" s="51"/>
      <c r="BC14" s="51"/>
      <c r="BD14" s="51">
        <f t="shared" ref="BD14:BD77" si="3">SUM(AU14:BA14)</f>
        <v>21</v>
      </c>
      <c r="BE14" s="54"/>
      <c r="BF14" s="73">
        <f>SUM('XCombining BS Liability(62Mem)'!Z14-BD14)</f>
        <v>0</v>
      </c>
    </row>
    <row r="15" spans="1:58" s="57" customFormat="1" ht="9.9499999999999993" customHeight="1" x14ac:dyDescent="0.3">
      <c r="A15" s="54"/>
      <c r="B15" s="54" t="s">
        <v>464</v>
      </c>
      <c r="C15" s="51"/>
      <c r="D15" s="51"/>
      <c r="E15" s="51">
        <v>109821</v>
      </c>
      <c r="F15" s="51"/>
      <c r="G15" s="51"/>
      <c r="H15" s="51"/>
      <c r="I15" s="51"/>
      <c r="J15" s="51"/>
      <c r="K15" s="51"/>
      <c r="L15" s="51"/>
      <c r="M15" s="51"/>
      <c r="N15" s="51">
        <v>40000</v>
      </c>
      <c r="O15" s="51"/>
      <c r="P15" s="51"/>
      <c r="Q15" s="51">
        <v>1859</v>
      </c>
      <c r="R15" s="51"/>
      <c r="S15" s="51"/>
      <c r="T15" s="51">
        <f t="shared" si="0"/>
        <v>151680</v>
      </c>
      <c r="U15" s="51"/>
      <c r="V15" s="51"/>
      <c r="W15" s="51"/>
      <c r="X15" s="51"/>
      <c r="Y15" s="51"/>
      <c r="Z15" s="51"/>
      <c r="AA15" s="51"/>
      <c r="AB15" s="51"/>
      <c r="AC15" s="51"/>
      <c r="AD15" s="51"/>
      <c r="AE15" s="51"/>
      <c r="AF15" s="51"/>
      <c r="AG15" s="51"/>
      <c r="AH15" s="51"/>
      <c r="AI15" s="51"/>
      <c r="AJ15" s="51"/>
      <c r="AK15" s="51"/>
      <c r="AL15" s="51">
        <v>47775</v>
      </c>
      <c r="AM15" s="51"/>
      <c r="AN15" s="51"/>
      <c r="AO15" s="51"/>
      <c r="AP15" s="51"/>
      <c r="AQ15" s="51"/>
      <c r="AR15" s="51">
        <f t="shared" si="1"/>
        <v>47775</v>
      </c>
      <c r="AS15" s="51"/>
      <c r="AT15" s="51"/>
      <c r="AU15" s="51">
        <f t="shared" si="2"/>
        <v>103905</v>
      </c>
      <c r="AV15" s="51"/>
      <c r="AW15" s="51"/>
      <c r="AX15" s="51">
        <v>-49275</v>
      </c>
      <c r="AY15" s="51"/>
      <c r="AZ15" s="51"/>
      <c r="BA15" s="51">
        <v>36719</v>
      </c>
      <c r="BB15" s="51"/>
      <c r="BC15" s="51"/>
      <c r="BD15" s="51">
        <f t="shared" si="3"/>
        <v>91349</v>
      </c>
      <c r="BE15" s="54"/>
      <c r="BF15" s="73">
        <f>SUM('XCombining BS Liability(62Mem)'!Z15-BD15)</f>
        <v>0</v>
      </c>
    </row>
    <row r="16" spans="1:58" s="57" customFormat="1" ht="9.9499999999999993" customHeight="1" x14ac:dyDescent="0.3">
      <c r="A16" s="54"/>
      <c r="B16" s="54" t="s">
        <v>465</v>
      </c>
      <c r="C16" s="51"/>
      <c r="D16" s="51"/>
      <c r="E16" s="51"/>
      <c r="F16" s="51"/>
      <c r="G16" s="51"/>
      <c r="H16" s="51"/>
      <c r="I16" s="51"/>
      <c r="J16" s="51"/>
      <c r="K16" s="51"/>
      <c r="L16" s="51"/>
      <c r="M16" s="51"/>
      <c r="N16" s="51">
        <v>14357</v>
      </c>
      <c r="O16" s="51"/>
      <c r="P16" s="51"/>
      <c r="Q16" s="51">
        <v>5649</v>
      </c>
      <c r="R16" s="51"/>
      <c r="S16" s="51"/>
      <c r="T16" s="51">
        <f t="shared" si="0"/>
        <v>20006</v>
      </c>
      <c r="U16" s="51"/>
      <c r="V16" s="51"/>
      <c r="W16" s="51"/>
      <c r="X16" s="51"/>
      <c r="Y16" s="51"/>
      <c r="Z16" s="51"/>
      <c r="AA16" s="51"/>
      <c r="AB16" s="51"/>
      <c r="AC16" s="51"/>
      <c r="AD16" s="51"/>
      <c r="AE16" s="51"/>
      <c r="AF16" s="51"/>
      <c r="AG16" s="51"/>
      <c r="AH16" s="51"/>
      <c r="AI16" s="51"/>
      <c r="AJ16" s="51"/>
      <c r="AK16" s="51"/>
      <c r="AL16" s="51">
        <v>33917</v>
      </c>
      <c r="AM16" s="51"/>
      <c r="AN16" s="51"/>
      <c r="AO16" s="51"/>
      <c r="AP16" s="51"/>
      <c r="AQ16" s="51"/>
      <c r="AR16" s="51">
        <f t="shared" si="1"/>
        <v>33917</v>
      </c>
      <c r="AS16" s="51"/>
      <c r="AT16" s="51"/>
      <c r="AU16" s="51">
        <f t="shared" si="2"/>
        <v>-13911</v>
      </c>
      <c r="AV16" s="51"/>
      <c r="AW16" s="51"/>
      <c r="AX16" s="51"/>
      <c r="AY16" s="51"/>
      <c r="AZ16" s="51"/>
      <c r="BA16" s="51">
        <v>272446</v>
      </c>
      <c r="BB16" s="51"/>
      <c r="BC16" s="51"/>
      <c r="BD16" s="51">
        <f t="shared" si="3"/>
        <v>258535</v>
      </c>
      <c r="BE16" s="54"/>
      <c r="BF16" s="73">
        <f>SUM('XCombining BS Liability(62Mem)'!Z16-BD16)</f>
        <v>0</v>
      </c>
    </row>
    <row r="17" spans="1:58" s="57" customFormat="1" ht="9.9499999999999993" customHeight="1" x14ac:dyDescent="0.3">
      <c r="A17" s="54"/>
      <c r="B17" s="54" t="s">
        <v>467</v>
      </c>
      <c r="C17" s="51"/>
      <c r="D17" s="51"/>
      <c r="E17" s="51"/>
      <c r="F17" s="51"/>
      <c r="G17" s="51"/>
      <c r="H17" s="51"/>
      <c r="I17" s="51"/>
      <c r="J17" s="51"/>
      <c r="K17" s="51"/>
      <c r="L17" s="51"/>
      <c r="M17" s="51"/>
      <c r="N17" s="51">
        <v>386449</v>
      </c>
      <c r="O17" s="51"/>
      <c r="P17" s="51"/>
      <c r="Q17" s="51">
        <v>21944</v>
      </c>
      <c r="R17" s="51"/>
      <c r="S17" s="51"/>
      <c r="T17" s="51">
        <f t="shared" si="0"/>
        <v>408393</v>
      </c>
      <c r="U17" s="51"/>
      <c r="V17" s="51"/>
      <c r="W17" s="51"/>
      <c r="X17" s="51"/>
      <c r="Y17" s="51"/>
      <c r="Z17" s="51"/>
      <c r="AA17" s="51"/>
      <c r="AB17" s="51"/>
      <c r="AC17" s="51"/>
      <c r="AD17" s="51"/>
      <c r="AE17" s="51"/>
      <c r="AF17" s="51"/>
      <c r="AG17" s="51"/>
      <c r="AH17" s="51"/>
      <c r="AI17" s="51"/>
      <c r="AJ17" s="51"/>
      <c r="AK17" s="51"/>
      <c r="AL17" s="51">
        <v>589219</v>
      </c>
      <c r="AM17" s="51"/>
      <c r="AN17" s="51"/>
      <c r="AO17" s="51"/>
      <c r="AP17" s="51"/>
      <c r="AQ17" s="51"/>
      <c r="AR17" s="51">
        <f t="shared" si="1"/>
        <v>589219</v>
      </c>
      <c r="AS17" s="51"/>
      <c r="AT17" s="51"/>
      <c r="AU17" s="51">
        <f t="shared" si="2"/>
        <v>-180826</v>
      </c>
      <c r="AV17" s="51"/>
      <c r="AW17" s="51"/>
      <c r="AX17" s="51"/>
      <c r="AY17" s="51"/>
      <c r="AZ17" s="51"/>
      <c r="BA17" s="51">
        <v>1258738</v>
      </c>
      <c r="BB17" s="51"/>
      <c r="BC17" s="51"/>
      <c r="BD17" s="51">
        <f t="shared" si="3"/>
        <v>1077912</v>
      </c>
      <c r="BE17" s="54"/>
      <c r="BF17" s="73">
        <f>SUM('XCombining BS Liability(62Mem)'!Z17-BD17)</f>
        <v>0</v>
      </c>
    </row>
    <row r="18" spans="1:58" s="57" customFormat="1" ht="9.9499999999999993" customHeight="1" x14ac:dyDescent="0.3">
      <c r="A18" s="54"/>
      <c r="B18" s="54" t="s">
        <v>468</v>
      </c>
      <c r="C18" s="51"/>
      <c r="D18" s="51"/>
      <c r="E18" s="51"/>
      <c r="F18" s="51"/>
      <c r="G18" s="51"/>
      <c r="H18" s="51"/>
      <c r="I18" s="51"/>
      <c r="J18" s="51"/>
      <c r="K18" s="51"/>
      <c r="L18" s="51"/>
      <c r="M18" s="51"/>
      <c r="N18" s="51">
        <v>54010</v>
      </c>
      <c r="O18" s="51"/>
      <c r="P18" s="51"/>
      <c r="Q18" s="51">
        <v>1001</v>
      </c>
      <c r="R18" s="51"/>
      <c r="S18" s="51"/>
      <c r="T18" s="51">
        <f t="shared" si="0"/>
        <v>55011</v>
      </c>
      <c r="U18" s="51"/>
      <c r="V18" s="51"/>
      <c r="W18" s="51"/>
      <c r="X18" s="51"/>
      <c r="Y18" s="51"/>
      <c r="Z18" s="51"/>
      <c r="AA18" s="51"/>
      <c r="AB18" s="51"/>
      <c r="AC18" s="51"/>
      <c r="AD18" s="51"/>
      <c r="AE18" s="51"/>
      <c r="AF18" s="51"/>
      <c r="AG18" s="51"/>
      <c r="AH18" s="51"/>
      <c r="AI18" s="51"/>
      <c r="AJ18" s="51"/>
      <c r="AK18" s="51"/>
      <c r="AL18" s="51">
        <v>29916</v>
      </c>
      <c r="AM18" s="51"/>
      <c r="AN18" s="51"/>
      <c r="AO18" s="51"/>
      <c r="AP18" s="51"/>
      <c r="AQ18" s="51"/>
      <c r="AR18" s="51">
        <f t="shared" si="1"/>
        <v>29916</v>
      </c>
      <c r="AS18" s="51"/>
      <c r="AT18" s="51"/>
      <c r="AU18" s="51">
        <f t="shared" si="2"/>
        <v>25095</v>
      </c>
      <c r="AV18" s="51"/>
      <c r="AW18" s="51"/>
      <c r="AX18" s="51"/>
      <c r="AY18" s="51"/>
      <c r="AZ18" s="51"/>
      <c r="BA18" s="51">
        <v>44881</v>
      </c>
      <c r="BB18" s="51"/>
      <c r="BC18" s="51"/>
      <c r="BD18" s="51">
        <f t="shared" si="3"/>
        <v>69976</v>
      </c>
      <c r="BE18" s="54"/>
      <c r="BF18" s="73">
        <f>SUM('XCombining BS Liability(62Mem)'!Z18-BD18)</f>
        <v>0</v>
      </c>
    </row>
    <row r="19" spans="1:58" s="57" customFormat="1" ht="9.9499999999999993" customHeight="1" x14ac:dyDescent="0.3">
      <c r="A19" s="54"/>
      <c r="B19" s="54" t="s">
        <v>469</v>
      </c>
      <c r="C19" s="51"/>
      <c r="D19" s="51"/>
      <c r="E19" s="51"/>
      <c r="F19" s="51"/>
      <c r="G19" s="51"/>
      <c r="H19" s="51"/>
      <c r="I19" s="51"/>
      <c r="J19" s="51"/>
      <c r="K19" s="51">
        <v>236413</v>
      </c>
      <c r="L19" s="51"/>
      <c r="M19" s="51"/>
      <c r="N19" s="51"/>
      <c r="O19" s="51"/>
      <c r="P19" s="51"/>
      <c r="Q19" s="51"/>
      <c r="R19" s="51"/>
      <c r="S19" s="51"/>
      <c r="T19" s="51">
        <f t="shared" si="0"/>
        <v>236413</v>
      </c>
      <c r="U19" s="51"/>
      <c r="V19" s="51"/>
      <c r="W19" s="51"/>
      <c r="X19" s="51"/>
      <c r="Y19" s="51"/>
      <c r="Z19" s="51"/>
      <c r="AA19" s="51"/>
      <c r="AB19" s="51"/>
      <c r="AC19" s="51"/>
      <c r="AD19" s="51"/>
      <c r="AE19" s="51"/>
      <c r="AF19" s="51">
        <v>228434</v>
      </c>
      <c r="AG19" s="51"/>
      <c r="AH19" s="51"/>
      <c r="AI19" s="51"/>
      <c r="AJ19" s="51"/>
      <c r="AK19" s="51"/>
      <c r="AL19" s="51"/>
      <c r="AM19" s="51"/>
      <c r="AN19" s="51"/>
      <c r="AO19" s="51"/>
      <c r="AP19" s="51"/>
      <c r="AQ19" s="51"/>
      <c r="AR19" s="51">
        <f t="shared" si="1"/>
        <v>228434</v>
      </c>
      <c r="AS19" s="51"/>
      <c r="AT19" s="51"/>
      <c r="AU19" s="51">
        <f t="shared" si="2"/>
        <v>7979</v>
      </c>
      <c r="AV19" s="51"/>
      <c r="AW19" s="51"/>
      <c r="AX19" s="51"/>
      <c r="AY19" s="51"/>
      <c r="AZ19" s="51"/>
      <c r="BA19" s="51">
        <v>-7979</v>
      </c>
      <c r="BB19" s="51"/>
      <c r="BC19" s="51"/>
      <c r="BD19" s="51">
        <f t="shared" si="3"/>
        <v>0</v>
      </c>
      <c r="BE19" s="54"/>
      <c r="BF19" s="73">
        <f>SUM('XCombining BS Liability(62Mem)'!Z19-BD19)</f>
        <v>0</v>
      </c>
    </row>
    <row r="20" spans="1:58" s="57" customFormat="1" ht="9.9499999999999993" customHeight="1" x14ac:dyDescent="0.3">
      <c r="A20" s="54"/>
      <c r="B20" s="54" t="s">
        <v>470</v>
      </c>
      <c r="C20" s="51"/>
      <c r="D20" s="51"/>
      <c r="E20" s="51">
        <v>7922</v>
      </c>
      <c r="F20" s="51"/>
      <c r="G20" s="51"/>
      <c r="H20" s="51"/>
      <c r="I20" s="51"/>
      <c r="J20" s="51"/>
      <c r="K20" s="51"/>
      <c r="L20" s="51"/>
      <c r="M20" s="51"/>
      <c r="N20" s="51">
        <v>30393</v>
      </c>
      <c r="O20" s="51"/>
      <c r="P20" s="51"/>
      <c r="Q20" s="51">
        <v>6604</v>
      </c>
      <c r="R20" s="51"/>
      <c r="S20" s="51"/>
      <c r="T20" s="51">
        <f t="shared" si="0"/>
        <v>44919</v>
      </c>
      <c r="U20" s="51"/>
      <c r="V20" s="51"/>
      <c r="W20" s="51"/>
      <c r="X20" s="51"/>
      <c r="Y20" s="51"/>
      <c r="Z20" s="51"/>
      <c r="AA20" s="51"/>
      <c r="AB20" s="51"/>
      <c r="AC20" s="51"/>
      <c r="AD20" s="51"/>
      <c r="AE20" s="51"/>
      <c r="AF20" s="51"/>
      <c r="AG20" s="51"/>
      <c r="AH20" s="51"/>
      <c r="AI20" s="51"/>
      <c r="AJ20" s="51"/>
      <c r="AK20" s="51"/>
      <c r="AL20" s="51">
        <v>18225</v>
      </c>
      <c r="AM20" s="51"/>
      <c r="AN20" s="51"/>
      <c r="AO20" s="51"/>
      <c r="AP20" s="51"/>
      <c r="AQ20" s="51"/>
      <c r="AR20" s="51">
        <f t="shared" si="1"/>
        <v>18225</v>
      </c>
      <c r="AS20" s="51"/>
      <c r="AT20" s="51"/>
      <c r="AU20" s="51">
        <f t="shared" si="2"/>
        <v>26694</v>
      </c>
      <c r="AV20" s="51"/>
      <c r="AW20" s="51"/>
      <c r="AX20" s="51"/>
      <c r="AY20" s="51"/>
      <c r="AZ20" s="51"/>
      <c r="BA20" s="51">
        <v>275902</v>
      </c>
      <c r="BB20" s="51"/>
      <c r="BC20" s="51"/>
      <c r="BD20" s="51">
        <f t="shared" si="3"/>
        <v>302596</v>
      </c>
      <c r="BE20" s="54"/>
      <c r="BF20" s="73">
        <f>SUM('XCombining BS Liability(62Mem)'!Z20-BD20)</f>
        <v>0</v>
      </c>
    </row>
    <row r="21" spans="1:58" s="57" customFormat="1" ht="9.9499999999999993" customHeight="1" x14ac:dyDescent="0.3">
      <c r="A21" s="54"/>
      <c r="B21" s="54" t="s">
        <v>471</v>
      </c>
      <c r="C21" s="51"/>
      <c r="D21" s="51"/>
      <c r="E21" s="51"/>
      <c r="F21" s="51"/>
      <c r="G21" s="51"/>
      <c r="H21" s="51"/>
      <c r="I21" s="51"/>
      <c r="J21" s="51"/>
      <c r="K21" s="51"/>
      <c r="L21" s="51"/>
      <c r="M21" s="51"/>
      <c r="N21" s="51"/>
      <c r="O21" s="51"/>
      <c r="P21" s="51"/>
      <c r="Q21" s="51">
        <v>265</v>
      </c>
      <c r="R21" s="51"/>
      <c r="S21" s="51"/>
      <c r="T21" s="51">
        <f t="shared" si="0"/>
        <v>265</v>
      </c>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f t="shared" si="1"/>
        <v>0</v>
      </c>
      <c r="AS21" s="51"/>
      <c r="AT21" s="51"/>
      <c r="AU21" s="51">
        <f t="shared" si="2"/>
        <v>265</v>
      </c>
      <c r="AV21" s="51"/>
      <c r="AW21" s="51"/>
      <c r="AX21" s="51"/>
      <c r="AY21" s="51"/>
      <c r="AZ21" s="51"/>
      <c r="BA21" s="51">
        <v>8889</v>
      </c>
      <c r="BB21" s="51"/>
      <c r="BC21" s="51"/>
      <c r="BD21" s="51">
        <f t="shared" si="3"/>
        <v>9154</v>
      </c>
      <c r="BE21" s="54"/>
      <c r="BF21" s="73">
        <f>SUM('XCombining BS Liability(62Mem)'!Z21-BD21)</f>
        <v>0</v>
      </c>
    </row>
    <row r="22" spans="1:58" s="57" customFormat="1" ht="9.9499999999999993" customHeight="1" x14ac:dyDescent="0.3">
      <c r="A22" s="54"/>
      <c r="B22" s="54" t="s">
        <v>473</v>
      </c>
      <c r="C22" s="51"/>
      <c r="D22" s="51"/>
      <c r="E22" s="51"/>
      <c r="F22" s="51"/>
      <c r="G22" s="51"/>
      <c r="H22" s="51"/>
      <c r="I22" s="51"/>
      <c r="J22" s="51"/>
      <c r="K22" s="51"/>
      <c r="L22" s="51"/>
      <c r="M22" s="51"/>
      <c r="N22" s="51"/>
      <c r="O22" s="51"/>
      <c r="P22" s="51"/>
      <c r="Q22" s="51">
        <v>10</v>
      </c>
      <c r="R22" s="51"/>
      <c r="S22" s="51"/>
      <c r="T22" s="51">
        <f t="shared" si="0"/>
        <v>10</v>
      </c>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f t="shared" si="1"/>
        <v>0</v>
      </c>
      <c r="AS22" s="51"/>
      <c r="AT22" s="51"/>
      <c r="AU22" s="51">
        <f t="shared" si="2"/>
        <v>10</v>
      </c>
      <c r="AV22" s="51"/>
      <c r="AW22" s="51"/>
      <c r="AX22" s="51"/>
      <c r="AY22" s="51"/>
      <c r="AZ22" s="51"/>
      <c r="BA22" s="51">
        <v>457</v>
      </c>
      <c r="BB22" s="51"/>
      <c r="BC22" s="51"/>
      <c r="BD22" s="51">
        <f t="shared" si="3"/>
        <v>467</v>
      </c>
      <c r="BE22" s="54"/>
      <c r="BF22" s="73">
        <f>SUM('XCombining BS Liability(62Mem)'!Z22-BD22)</f>
        <v>0</v>
      </c>
    </row>
    <row r="23" spans="1:58" s="57" customFormat="1" ht="9.9499999999999993" customHeight="1" x14ac:dyDescent="0.3">
      <c r="A23" s="54"/>
      <c r="B23" s="54" t="s">
        <v>474</v>
      </c>
      <c r="C23" s="51"/>
      <c r="D23" s="51"/>
      <c r="E23" s="51"/>
      <c r="F23" s="51"/>
      <c r="G23" s="51"/>
      <c r="H23" s="51"/>
      <c r="I23" s="51"/>
      <c r="J23" s="51"/>
      <c r="K23" s="51"/>
      <c r="L23" s="51"/>
      <c r="M23" s="51"/>
      <c r="N23" s="51">
        <v>100</v>
      </c>
      <c r="O23" s="51"/>
      <c r="P23" s="51"/>
      <c r="Q23" s="51"/>
      <c r="R23" s="51"/>
      <c r="S23" s="51"/>
      <c r="T23" s="51">
        <f t="shared" si="0"/>
        <v>100</v>
      </c>
      <c r="U23" s="51"/>
      <c r="V23" s="51"/>
      <c r="W23" s="51"/>
      <c r="X23" s="51"/>
      <c r="Y23" s="51"/>
      <c r="Z23" s="51"/>
      <c r="AA23" s="51"/>
      <c r="AB23" s="51"/>
      <c r="AC23" s="51"/>
      <c r="AD23" s="51"/>
      <c r="AE23" s="51"/>
      <c r="AF23" s="51"/>
      <c r="AG23" s="51"/>
      <c r="AH23" s="51"/>
      <c r="AI23" s="51">
        <v>1727</v>
      </c>
      <c r="AJ23" s="51"/>
      <c r="AK23" s="51"/>
      <c r="AL23" s="51"/>
      <c r="AM23" s="51"/>
      <c r="AN23" s="51"/>
      <c r="AO23" s="51"/>
      <c r="AP23" s="51"/>
      <c r="AQ23" s="51"/>
      <c r="AR23" s="51">
        <f t="shared" si="1"/>
        <v>1727</v>
      </c>
      <c r="AS23" s="51"/>
      <c r="AT23" s="51"/>
      <c r="AU23" s="51">
        <f t="shared" si="2"/>
        <v>-1627</v>
      </c>
      <c r="AV23" s="51"/>
      <c r="AW23" s="51"/>
      <c r="AX23" s="51"/>
      <c r="AY23" s="51"/>
      <c r="AZ23" s="51"/>
      <c r="BA23" s="51">
        <v>-1979</v>
      </c>
      <c r="BB23" s="51"/>
      <c r="BC23" s="51"/>
      <c r="BD23" s="51">
        <f t="shared" si="3"/>
        <v>-3606</v>
      </c>
      <c r="BE23" s="54"/>
      <c r="BF23" s="73">
        <f>SUM('XCombining BS Liability(62Mem)'!Z23-BD23)</f>
        <v>0</v>
      </c>
    </row>
    <row r="24" spans="1:58" s="57" customFormat="1" ht="9.9499999999999993" customHeight="1" x14ac:dyDescent="0.3">
      <c r="A24" s="54"/>
      <c r="B24" s="54" t="s">
        <v>480</v>
      </c>
      <c r="C24" s="51"/>
      <c r="D24" s="51"/>
      <c r="E24" s="51"/>
      <c r="F24" s="51"/>
      <c r="G24" s="51"/>
      <c r="H24" s="51"/>
      <c r="I24" s="51"/>
      <c r="J24" s="51"/>
      <c r="K24" s="51"/>
      <c r="L24" s="51"/>
      <c r="M24" s="51"/>
      <c r="N24" s="51"/>
      <c r="O24" s="51"/>
      <c r="P24" s="51"/>
      <c r="Q24" s="51"/>
      <c r="R24" s="51"/>
      <c r="S24" s="51"/>
      <c r="T24" s="51">
        <f t="shared" si="0"/>
        <v>0</v>
      </c>
      <c r="U24" s="51"/>
      <c r="V24" s="51"/>
      <c r="W24" s="51"/>
      <c r="X24" s="51"/>
      <c r="Y24" s="51"/>
      <c r="Z24" s="51"/>
      <c r="AA24" s="51"/>
      <c r="AB24" s="51"/>
      <c r="AC24" s="51"/>
      <c r="AD24" s="51"/>
      <c r="AE24" s="51"/>
      <c r="AF24" s="51"/>
      <c r="AG24" s="51"/>
      <c r="AH24" s="51"/>
      <c r="AI24" s="51"/>
      <c r="AJ24" s="51"/>
      <c r="AK24" s="51"/>
      <c r="AL24" s="51">
        <v>26097</v>
      </c>
      <c r="AM24" s="51"/>
      <c r="AN24" s="51"/>
      <c r="AO24" s="51"/>
      <c r="AP24" s="51"/>
      <c r="AQ24" s="51"/>
      <c r="AR24" s="51">
        <f t="shared" si="1"/>
        <v>26097</v>
      </c>
      <c r="AS24" s="51"/>
      <c r="AT24" s="51"/>
      <c r="AU24" s="51">
        <f t="shared" si="2"/>
        <v>-26097</v>
      </c>
      <c r="AV24" s="51"/>
      <c r="AW24" s="51"/>
      <c r="AX24" s="51">
        <v>15000</v>
      </c>
      <c r="AY24" s="51"/>
      <c r="AZ24" s="51"/>
      <c r="BA24" s="51">
        <v>-35801</v>
      </c>
      <c r="BB24" s="51"/>
      <c r="BC24" s="51"/>
      <c r="BD24" s="51">
        <f t="shared" si="3"/>
        <v>-46898</v>
      </c>
      <c r="BE24" s="54"/>
      <c r="BF24" s="73">
        <f>SUM('XCombining BS Liability(62Mem)'!Z24-BD24)</f>
        <v>0</v>
      </c>
    </row>
    <row r="25" spans="1:58" s="57" customFormat="1" ht="9.9499999999999993" customHeight="1" x14ac:dyDescent="0.3">
      <c r="A25" s="54"/>
      <c r="B25" s="54" t="s">
        <v>622</v>
      </c>
      <c r="C25" s="51"/>
      <c r="D25" s="51"/>
      <c r="E25" s="51"/>
      <c r="F25" s="51"/>
      <c r="G25" s="51"/>
      <c r="H25" s="51"/>
      <c r="I25" s="51"/>
      <c r="J25" s="51"/>
      <c r="K25" s="51"/>
      <c r="L25" s="51"/>
      <c r="M25" s="51"/>
      <c r="N25" s="51"/>
      <c r="O25" s="51"/>
      <c r="P25" s="51"/>
      <c r="Q25" s="51">
        <v>53</v>
      </c>
      <c r="R25" s="51"/>
      <c r="S25" s="51"/>
      <c r="T25" s="51">
        <f t="shared" si="0"/>
        <v>53</v>
      </c>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f t="shared" si="1"/>
        <v>0</v>
      </c>
      <c r="AS25" s="51"/>
      <c r="AT25" s="51"/>
      <c r="AU25" s="51">
        <f t="shared" si="2"/>
        <v>53</v>
      </c>
      <c r="AV25" s="51"/>
      <c r="AW25" s="51"/>
      <c r="AX25" s="51"/>
      <c r="AY25" s="51"/>
      <c r="AZ25" s="51"/>
      <c r="BA25" s="51">
        <v>2329</v>
      </c>
      <c r="BB25" s="51"/>
      <c r="BC25" s="51"/>
      <c r="BD25" s="51">
        <f t="shared" si="3"/>
        <v>2382</v>
      </c>
      <c r="BE25" s="54"/>
      <c r="BF25" s="73">
        <f>SUM('XCombining BS Liability(62Mem)'!Z25-BD25)</f>
        <v>0</v>
      </c>
    </row>
    <row r="26" spans="1:58" s="57" customFormat="1" ht="9.9499999999999993" customHeight="1" x14ac:dyDescent="0.3">
      <c r="A26" s="54"/>
      <c r="B26" s="54" t="s">
        <v>623</v>
      </c>
      <c r="C26" s="51"/>
      <c r="D26" s="51"/>
      <c r="E26" s="51"/>
      <c r="F26" s="51"/>
      <c r="G26" s="51"/>
      <c r="H26" s="51"/>
      <c r="I26" s="51"/>
      <c r="J26" s="51"/>
      <c r="K26" s="51"/>
      <c r="L26" s="51"/>
      <c r="M26" s="51"/>
      <c r="N26" s="51">
        <v>12525</v>
      </c>
      <c r="O26" s="51"/>
      <c r="P26" s="51"/>
      <c r="Q26" s="51">
        <v>84</v>
      </c>
      <c r="R26" s="51"/>
      <c r="S26" s="51"/>
      <c r="T26" s="51">
        <f t="shared" si="0"/>
        <v>12609</v>
      </c>
      <c r="U26" s="51"/>
      <c r="V26" s="51"/>
      <c r="W26" s="51"/>
      <c r="X26" s="51"/>
      <c r="Y26" s="51"/>
      <c r="Z26" s="51"/>
      <c r="AA26" s="51"/>
      <c r="AB26" s="51"/>
      <c r="AC26" s="51"/>
      <c r="AD26" s="51"/>
      <c r="AE26" s="51"/>
      <c r="AF26" s="51"/>
      <c r="AG26" s="51"/>
      <c r="AH26" s="51"/>
      <c r="AI26" s="51">
        <v>5006</v>
      </c>
      <c r="AJ26" s="51"/>
      <c r="AK26" s="51"/>
      <c r="AL26" s="51"/>
      <c r="AM26" s="51"/>
      <c r="AN26" s="51"/>
      <c r="AO26" s="51"/>
      <c r="AP26" s="51"/>
      <c r="AQ26" s="51"/>
      <c r="AR26" s="51">
        <f t="shared" si="1"/>
        <v>5006</v>
      </c>
      <c r="AS26" s="51"/>
      <c r="AT26" s="51"/>
      <c r="AU26" s="51">
        <f t="shared" si="2"/>
        <v>7603</v>
      </c>
      <c r="AV26" s="51"/>
      <c r="AW26" s="51"/>
      <c r="AX26" s="51">
        <v>7000</v>
      </c>
      <c r="AY26" s="51"/>
      <c r="AZ26" s="51"/>
      <c r="BA26" s="51">
        <v>-5533</v>
      </c>
      <c r="BB26" s="51"/>
      <c r="BC26" s="51"/>
      <c r="BD26" s="51">
        <f t="shared" si="3"/>
        <v>9070</v>
      </c>
      <c r="BE26" s="54"/>
      <c r="BF26" s="73">
        <f>SUM('XCombining BS Liability(62Mem)'!Z26-BD26)</f>
        <v>0</v>
      </c>
    </row>
    <row r="27" spans="1:58" s="57" customFormat="1" ht="9.9499999999999993" customHeight="1" x14ac:dyDescent="0.3">
      <c r="A27" s="54"/>
      <c r="B27" s="54" t="s">
        <v>481</v>
      </c>
      <c r="C27" s="51"/>
      <c r="D27" s="51"/>
      <c r="E27" s="51"/>
      <c r="F27" s="51"/>
      <c r="G27" s="51"/>
      <c r="H27" s="51"/>
      <c r="I27" s="51"/>
      <c r="J27" s="51"/>
      <c r="K27" s="51"/>
      <c r="L27" s="51"/>
      <c r="M27" s="51"/>
      <c r="N27" s="51"/>
      <c r="O27" s="51"/>
      <c r="P27" s="51"/>
      <c r="Q27" s="51">
        <v>108</v>
      </c>
      <c r="R27" s="51"/>
      <c r="S27" s="51"/>
      <c r="T27" s="51">
        <f t="shared" si="0"/>
        <v>108</v>
      </c>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f t="shared" si="1"/>
        <v>0</v>
      </c>
      <c r="AS27" s="51"/>
      <c r="AT27" s="51"/>
      <c r="AU27" s="51">
        <f t="shared" si="2"/>
        <v>108</v>
      </c>
      <c r="AV27" s="51"/>
      <c r="AW27" s="51"/>
      <c r="AX27" s="51"/>
      <c r="AY27" s="51"/>
      <c r="AZ27" s="51"/>
      <c r="BA27" s="51">
        <v>4387</v>
      </c>
      <c r="BB27" s="51"/>
      <c r="BC27" s="51"/>
      <c r="BD27" s="51">
        <f t="shared" si="3"/>
        <v>4495</v>
      </c>
      <c r="BE27" s="54"/>
      <c r="BF27" s="73">
        <f>SUM('XCombining BS Liability(62Mem)'!Z27-BD27)</f>
        <v>0</v>
      </c>
    </row>
    <row r="28" spans="1:58" s="57" customFormat="1" ht="9.9499999999999993" customHeight="1" x14ac:dyDescent="0.3">
      <c r="A28" s="54"/>
      <c r="B28" s="54" t="s">
        <v>482</v>
      </c>
      <c r="C28" s="51"/>
      <c r="D28" s="51"/>
      <c r="E28" s="51"/>
      <c r="F28" s="51"/>
      <c r="G28" s="51"/>
      <c r="H28" s="51"/>
      <c r="I28" s="51"/>
      <c r="J28" s="51"/>
      <c r="K28" s="51"/>
      <c r="L28" s="51"/>
      <c r="M28" s="51"/>
      <c r="N28" s="51"/>
      <c r="O28" s="51"/>
      <c r="P28" s="51"/>
      <c r="Q28" s="51"/>
      <c r="R28" s="51"/>
      <c r="S28" s="51"/>
      <c r="T28" s="51">
        <f t="shared" si="0"/>
        <v>0</v>
      </c>
      <c r="U28" s="51"/>
      <c r="V28" s="51"/>
      <c r="W28" s="51">
        <v>20000</v>
      </c>
      <c r="X28" s="51"/>
      <c r="Y28" s="51"/>
      <c r="Z28" s="51"/>
      <c r="AA28" s="51"/>
      <c r="AB28" s="51"/>
      <c r="AC28" s="51"/>
      <c r="AD28" s="51"/>
      <c r="AE28" s="51"/>
      <c r="AF28" s="51"/>
      <c r="AG28" s="51"/>
      <c r="AH28" s="51"/>
      <c r="AI28" s="51"/>
      <c r="AJ28" s="51"/>
      <c r="AK28" s="51"/>
      <c r="AL28" s="51"/>
      <c r="AM28" s="51"/>
      <c r="AN28" s="51"/>
      <c r="AO28" s="51"/>
      <c r="AP28" s="51"/>
      <c r="AQ28" s="51"/>
      <c r="AR28" s="51">
        <f t="shared" si="1"/>
        <v>20000</v>
      </c>
      <c r="AS28" s="51"/>
      <c r="AT28" s="51"/>
      <c r="AU28" s="51">
        <f t="shared" si="2"/>
        <v>-20000</v>
      </c>
      <c r="AV28" s="51"/>
      <c r="AW28" s="51"/>
      <c r="AX28" s="51"/>
      <c r="AY28" s="51"/>
      <c r="AZ28" s="51"/>
      <c r="BA28" s="51">
        <v>453</v>
      </c>
      <c r="BB28" s="51"/>
      <c r="BC28" s="51"/>
      <c r="BD28" s="51">
        <f t="shared" si="3"/>
        <v>-19547</v>
      </c>
      <c r="BE28" s="54"/>
      <c r="BF28" s="73">
        <f>SUM('XCombining BS Liability(62Mem)'!Z28-BD28)</f>
        <v>0</v>
      </c>
    </row>
    <row r="29" spans="1:58" s="57" customFormat="1" ht="9.9499999999999993" customHeight="1" x14ac:dyDescent="0.3">
      <c r="A29" s="54"/>
      <c r="B29" s="54" t="s">
        <v>483</v>
      </c>
      <c r="C29" s="51"/>
      <c r="D29" s="51"/>
      <c r="E29" s="51"/>
      <c r="F29" s="51"/>
      <c r="G29" s="51"/>
      <c r="H29" s="51"/>
      <c r="I29" s="51"/>
      <c r="J29" s="51"/>
      <c r="K29" s="51"/>
      <c r="L29" s="51"/>
      <c r="M29" s="51"/>
      <c r="N29" s="51"/>
      <c r="O29" s="51"/>
      <c r="P29" s="51"/>
      <c r="Q29" s="51">
        <v>1324</v>
      </c>
      <c r="R29" s="51"/>
      <c r="S29" s="51"/>
      <c r="T29" s="51">
        <f t="shared" si="0"/>
        <v>1324</v>
      </c>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f t="shared" si="1"/>
        <v>0</v>
      </c>
      <c r="AS29" s="51"/>
      <c r="AT29" s="51"/>
      <c r="AU29" s="51">
        <f t="shared" si="2"/>
        <v>1324</v>
      </c>
      <c r="AV29" s="51"/>
      <c r="AW29" s="51"/>
      <c r="AX29" s="51"/>
      <c r="AY29" s="51"/>
      <c r="AZ29" s="51"/>
      <c r="BA29" s="51">
        <v>58151</v>
      </c>
      <c r="BB29" s="51"/>
      <c r="BC29" s="51"/>
      <c r="BD29" s="51">
        <f t="shared" si="3"/>
        <v>59475</v>
      </c>
      <c r="BE29" s="54"/>
      <c r="BF29" s="73">
        <f>SUM('XCombining BS Liability(62Mem)'!Z29-BD29)</f>
        <v>0</v>
      </c>
    </row>
    <row r="30" spans="1:58" s="57" customFormat="1" ht="9.9499999999999993" customHeight="1" x14ac:dyDescent="0.3">
      <c r="A30" s="54"/>
      <c r="B30" s="54" t="s">
        <v>484</v>
      </c>
      <c r="C30" s="51"/>
      <c r="D30" s="51"/>
      <c r="E30" s="51"/>
      <c r="F30" s="51"/>
      <c r="G30" s="51"/>
      <c r="H30" s="51"/>
      <c r="I30" s="51"/>
      <c r="J30" s="51"/>
      <c r="K30" s="51"/>
      <c r="L30" s="51"/>
      <c r="M30" s="51"/>
      <c r="N30" s="51"/>
      <c r="O30" s="51"/>
      <c r="P30" s="51"/>
      <c r="Q30" s="51">
        <v>66</v>
      </c>
      <c r="R30" s="51"/>
      <c r="S30" s="51"/>
      <c r="T30" s="51">
        <f t="shared" si="0"/>
        <v>66</v>
      </c>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f t="shared" si="1"/>
        <v>0</v>
      </c>
      <c r="AS30" s="51"/>
      <c r="AT30" s="51"/>
      <c r="AU30" s="51">
        <f t="shared" si="2"/>
        <v>66</v>
      </c>
      <c r="AV30" s="51"/>
      <c r="AW30" s="51"/>
      <c r="AX30" s="51"/>
      <c r="AY30" s="51"/>
      <c r="AZ30" s="51"/>
      <c r="BA30" s="51">
        <v>2910</v>
      </c>
      <c r="BB30" s="51"/>
      <c r="BC30" s="51"/>
      <c r="BD30" s="51">
        <f t="shared" si="3"/>
        <v>2976</v>
      </c>
      <c r="BE30" s="54"/>
      <c r="BF30" s="73">
        <f>SUM('XCombining BS Liability(62Mem)'!Z30-BD30)</f>
        <v>0</v>
      </c>
    </row>
    <row r="31" spans="1:58" s="57" customFormat="1" ht="9.9499999999999993" customHeight="1" x14ac:dyDescent="0.3">
      <c r="A31" s="54"/>
      <c r="B31" s="54" t="s">
        <v>42</v>
      </c>
      <c r="C31" s="51"/>
      <c r="D31" s="51"/>
      <c r="E31" s="51"/>
      <c r="F31" s="51"/>
      <c r="G31" s="51"/>
      <c r="H31" s="51"/>
      <c r="I31" s="51"/>
      <c r="J31" s="51"/>
      <c r="K31" s="51"/>
      <c r="L31" s="51"/>
      <c r="M31" s="51"/>
      <c r="N31" s="51"/>
      <c r="O31" s="51"/>
      <c r="P31" s="51"/>
      <c r="Q31" s="51">
        <v>135</v>
      </c>
      <c r="R31" s="51"/>
      <c r="S31" s="51"/>
      <c r="T31" s="51">
        <f t="shared" si="0"/>
        <v>135</v>
      </c>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f t="shared" si="1"/>
        <v>0</v>
      </c>
      <c r="AS31" s="51"/>
      <c r="AT31" s="51"/>
      <c r="AU31" s="51">
        <f t="shared" si="2"/>
        <v>135</v>
      </c>
      <c r="AV31" s="51"/>
      <c r="AW31" s="51"/>
      <c r="AX31" s="51"/>
      <c r="AY31" s="51"/>
      <c r="AZ31" s="51"/>
      <c r="BA31" s="51">
        <v>5464</v>
      </c>
      <c r="BB31" s="51"/>
      <c r="BC31" s="51"/>
      <c r="BD31" s="51">
        <f t="shared" si="3"/>
        <v>5599</v>
      </c>
      <c r="BE31" s="54"/>
      <c r="BF31" s="73">
        <f>SUM('XCombining BS Liability(62Mem)'!Z31-BD31)</f>
        <v>0</v>
      </c>
    </row>
    <row r="32" spans="1:58" s="57" customFormat="1" ht="9.9499999999999993" customHeight="1" x14ac:dyDescent="0.3">
      <c r="A32" s="54"/>
      <c r="B32" s="54" t="s">
        <v>545</v>
      </c>
      <c r="C32" s="51"/>
      <c r="D32" s="51"/>
      <c r="E32" s="51"/>
      <c r="F32" s="51"/>
      <c r="G32" s="51"/>
      <c r="H32" s="51"/>
      <c r="I32" s="51"/>
      <c r="J32" s="51"/>
      <c r="K32" s="51"/>
      <c r="L32" s="51"/>
      <c r="M32" s="51"/>
      <c r="N32" s="51">
        <v>5000</v>
      </c>
      <c r="O32" s="51"/>
      <c r="P32" s="51"/>
      <c r="Q32" s="51">
        <v>547</v>
      </c>
      <c r="R32" s="51"/>
      <c r="S32" s="51"/>
      <c r="T32" s="51">
        <f t="shared" si="0"/>
        <v>5547</v>
      </c>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f t="shared" si="1"/>
        <v>0</v>
      </c>
      <c r="AS32" s="51"/>
      <c r="AT32" s="51"/>
      <c r="AU32" s="51">
        <f t="shared" si="2"/>
        <v>5547</v>
      </c>
      <c r="AV32" s="51"/>
      <c r="AW32" s="51"/>
      <c r="AX32" s="51"/>
      <c r="AY32" s="51"/>
      <c r="AZ32" s="51"/>
      <c r="BA32" s="51">
        <v>23475</v>
      </c>
      <c r="BB32" s="51"/>
      <c r="BC32" s="51"/>
      <c r="BD32" s="51">
        <f t="shared" si="3"/>
        <v>29022</v>
      </c>
      <c r="BE32" s="54"/>
      <c r="BF32" s="73">
        <f>SUM('XCombining BS Liability(62Mem)'!Z32-BD32)</f>
        <v>0</v>
      </c>
    </row>
    <row r="33" spans="1:58" s="57" customFormat="1" ht="9.9499999999999993" customHeight="1" x14ac:dyDescent="0.3">
      <c r="A33" s="54"/>
      <c r="B33" s="54" t="s">
        <v>546</v>
      </c>
      <c r="C33" s="51"/>
      <c r="D33" s="51"/>
      <c r="E33" s="51"/>
      <c r="F33" s="51"/>
      <c r="G33" s="51"/>
      <c r="H33" s="51"/>
      <c r="I33" s="51"/>
      <c r="J33" s="51"/>
      <c r="K33" s="51"/>
      <c r="L33" s="51"/>
      <c r="M33" s="51"/>
      <c r="N33" s="51"/>
      <c r="O33" s="51"/>
      <c r="P33" s="51"/>
      <c r="Q33" s="51">
        <v>918</v>
      </c>
      <c r="R33" s="51"/>
      <c r="S33" s="51"/>
      <c r="T33" s="51">
        <f t="shared" si="0"/>
        <v>918</v>
      </c>
      <c r="U33" s="51"/>
      <c r="V33" s="51"/>
      <c r="W33" s="51"/>
      <c r="X33" s="51"/>
      <c r="Y33" s="51"/>
      <c r="Z33" s="51"/>
      <c r="AA33" s="51"/>
      <c r="AB33" s="51"/>
      <c r="AC33" s="51"/>
      <c r="AD33" s="51"/>
      <c r="AE33" s="51"/>
      <c r="AF33" s="51"/>
      <c r="AG33" s="51"/>
      <c r="AH33" s="51"/>
      <c r="AI33" s="51"/>
      <c r="AJ33" s="51"/>
      <c r="AK33" s="51"/>
      <c r="AL33" s="51">
        <v>21262</v>
      </c>
      <c r="AM33" s="51"/>
      <c r="AN33" s="51"/>
      <c r="AO33" s="51"/>
      <c r="AP33" s="51"/>
      <c r="AQ33" s="51"/>
      <c r="AR33" s="51">
        <f t="shared" si="1"/>
        <v>21262</v>
      </c>
      <c r="AS33" s="51"/>
      <c r="AT33" s="51"/>
      <c r="AU33" s="51">
        <f t="shared" si="2"/>
        <v>-20344</v>
      </c>
      <c r="AV33" s="51"/>
      <c r="AW33" s="51"/>
      <c r="AX33" s="51"/>
      <c r="AY33" s="51"/>
      <c r="AZ33" s="51"/>
      <c r="BA33" s="51">
        <v>49136</v>
      </c>
      <c r="BB33" s="51"/>
      <c r="BC33" s="51"/>
      <c r="BD33" s="51">
        <f t="shared" si="3"/>
        <v>28792</v>
      </c>
      <c r="BE33" s="54"/>
      <c r="BF33" s="73">
        <f>SUM('XCombining BS Liability(62Mem)'!Z33-BD33)</f>
        <v>0</v>
      </c>
    </row>
    <row r="34" spans="1:58" s="57" customFormat="1" ht="9.9499999999999993" customHeight="1" x14ac:dyDescent="0.3">
      <c r="A34" s="54"/>
      <c r="B34" s="54" t="s">
        <v>547</v>
      </c>
      <c r="C34" s="51"/>
      <c r="D34" s="51"/>
      <c r="E34" s="51"/>
      <c r="F34" s="51"/>
      <c r="G34" s="51"/>
      <c r="H34" s="51"/>
      <c r="I34" s="51"/>
      <c r="J34" s="51"/>
      <c r="K34" s="51"/>
      <c r="L34" s="51"/>
      <c r="M34" s="51"/>
      <c r="N34" s="51"/>
      <c r="O34" s="51"/>
      <c r="P34" s="51"/>
      <c r="Q34" s="51">
        <v>16</v>
      </c>
      <c r="R34" s="51"/>
      <c r="S34" s="51"/>
      <c r="T34" s="51">
        <f t="shared" si="0"/>
        <v>16</v>
      </c>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f t="shared" si="1"/>
        <v>0</v>
      </c>
      <c r="AS34" s="51"/>
      <c r="AT34" s="51"/>
      <c r="AU34" s="51">
        <f t="shared" si="2"/>
        <v>16</v>
      </c>
      <c r="AV34" s="51"/>
      <c r="AW34" s="51"/>
      <c r="AX34" s="51"/>
      <c r="AY34" s="51"/>
      <c r="AZ34" s="51"/>
      <c r="BA34" s="51">
        <v>636</v>
      </c>
      <c r="BB34" s="51"/>
      <c r="BC34" s="51"/>
      <c r="BD34" s="51">
        <f t="shared" si="3"/>
        <v>652</v>
      </c>
      <c r="BE34" s="54"/>
      <c r="BF34" s="73">
        <f>SUM('XCombining BS Liability(62Mem)'!Z34-BD34)</f>
        <v>0</v>
      </c>
    </row>
    <row r="35" spans="1:58" s="57" customFormat="1" ht="9.9499999999999993" customHeight="1" x14ac:dyDescent="0.3">
      <c r="A35" s="54"/>
      <c r="B35" s="54" t="s">
        <v>548</v>
      </c>
      <c r="C35" s="51"/>
      <c r="D35" s="51"/>
      <c r="E35" s="51"/>
      <c r="F35" s="51"/>
      <c r="G35" s="51"/>
      <c r="H35" s="51"/>
      <c r="I35" s="51"/>
      <c r="J35" s="51"/>
      <c r="K35" s="51"/>
      <c r="L35" s="51"/>
      <c r="M35" s="51"/>
      <c r="N35" s="51"/>
      <c r="O35" s="51"/>
      <c r="P35" s="51"/>
      <c r="Q35" s="51"/>
      <c r="R35" s="51"/>
      <c r="S35" s="51"/>
      <c r="T35" s="51">
        <f t="shared" si="0"/>
        <v>0</v>
      </c>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f t="shared" si="1"/>
        <v>0</v>
      </c>
      <c r="AS35" s="51"/>
      <c r="AT35" s="51"/>
      <c r="AU35" s="51">
        <f t="shared" si="2"/>
        <v>0</v>
      </c>
      <c r="AV35" s="51"/>
      <c r="AW35" s="51"/>
      <c r="AX35" s="51"/>
      <c r="AY35" s="51"/>
      <c r="AZ35" s="51"/>
      <c r="BA35" s="51">
        <v>-322</v>
      </c>
      <c r="BB35" s="51"/>
      <c r="BC35" s="51"/>
      <c r="BD35" s="51">
        <f t="shared" si="3"/>
        <v>-322</v>
      </c>
      <c r="BE35" s="54"/>
      <c r="BF35" s="73">
        <f>SUM('XCombining BS Liability(62Mem)'!Z35-BD35)</f>
        <v>0</v>
      </c>
    </row>
    <row r="36" spans="1:58" s="57" customFormat="1" ht="9.9499999999999993" customHeight="1" x14ac:dyDescent="0.3">
      <c r="A36" s="54"/>
      <c r="B36" s="54" t="s">
        <v>549</v>
      </c>
      <c r="C36" s="51"/>
      <c r="D36" s="51"/>
      <c r="E36" s="51"/>
      <c r="F36" s="51"/>
      <c r="G36" s="51"/>
      <c r="H36" s="51"/>
      <c r="I36" s="51"/>
      <c r="J36" s="51"/>
      <c r="K36" s="51"/>
      <c r="L36" s="51"/>
      <c r="M36" s="51"/>
      <c r="N36" s="51"/>
      <c r="O36" s="51"/>
      <c r="P36" s="51"/>
      <c r="Q36" s="51">
        <v>305</v>
      </c>
      <c r="R36" s="51"/>
      <c r="S36" s="51"/>
      <c r="T36" s="51">
        <f t="shared" si="0"/>
        <v>305</v>
      </c>
      <c r="U36" s="51"/>
      <c r="V36" s="51"/>
      <c r="W36" s="51"/>
      <c r="X36" s="51"/>
      <c r="Y36" s="51"/>
      <c r="Z36" s="51"/>
      <c r="AA36" s="51"/>
      <c r="AB36" s="51"/>
      <c r="AC36" s="51"/>
      <c r="AD36" s="51"/>
      <c r="AE36" s="51"/>
      <c r="AF36" s="51"/>
      <c r="AG36" s="51"/>
      <c r="AH36" s="51"/>
      <c r="AI36" s="51"/>
      <c r="AJ36" s="51"/>
      <c r="AK36" s="51"/>
      <c r="AL36" s="51">
        <v>208</v>
      </c>
      <c r="AM36" s="51"/>
      <c r="AN36" s="51"/>
      <c r="AO36" s="51"/>
      <c r="AP36" s="51"/>
      <c r="AQ36" s="51"/>
      <c r="AR36" s="51">
        <f t="shared" si="1"/>
        <v>208</v>
      </c>
      <c r="AS36" s="51"/>
      <c r="AT36" s="51"/>
      <c r="AU36" s="51">
        <f t="shared" si="2"/>
        <v>97</v>
      </c>
      <c r="AV36" s="51"/>
      <c r="AW36" s="51"/>
      <c r="AX36" s="51">
        <v>500</v>
      </c>
      <c r="AY36" s="51"/>
      <c r="AZ36" s="51"/>
      <c r="BA36" s="51">
        <v>13598</v>
      </c>
      <c r="BB36" s="51"/>
      <c r="BC36" s="51"/>
      <c r="BD36" s="51">
        <f t="shared" si="3"/>
        <v>14195</v>
      </c>
      <c r="BE36" s="54"/>
      <c r="BF36" s="73">
        <f>SUM('XCombining BS Liability(62Mem)'!Z36-BD36)</f>
        <v>0</v>
      </c>
    </row>
    <row r="37" spans="1:58" s="57" customFormat="1" ht="9.9499999999999993" customHeight="1" x14ac:dyDescent="0.3">
      <c r="A37" s="54"/>
      <c r="B37" s="54" t="s">
        <v>621</v>
      </c>
      <c r="C37" s="51"/>
      <c r="D37" s="51"/>
      <c r="E37" s="51">
        <v>2510</v>
      </c>
      <c r="F37" s="51"/>
      <c r="G37" s="51"/>
      <c r="H37" s="51"/>
      <c r="I37" s="51"/>
      <c r="J37" s="51"/>
      <c r="K37" s="51"/>
      <c r="L37" s="51"/>
      <c r="M37" s="51"/>
      <c r="N37" s="51"/>
      <c r="O37" s="51"/>
      <c r="P37" s="51"/>
      <c r="Q37" s="51">
        <v>28</v>
      </c>
      <c r="R37" s="51"/>
      <c r="S37" s="51"/>
      <c r="T37" s="51">
        <f>SUM(E37:Q37)</f>
        <v>2538</v>
      </c>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f t="shared" si="1"/>
        <v>0</v>
      </c>
      <c r="AS37" s="51"/>
      <c r="AT37" s="51"/>
      <c r="AU37" s="51">
        <f t="shared" si="2"/>
        <v>2538</v>
      </c>
      <c r="AV37" s="51"/>
      <c r="AW37" s="51"/>
      <c r="AX37" s="51"/>
      <c r="AY37" s="51"/>
      <c r="AZ37" s="51"/>
      <c r="BA37" s="51"/>
      <c r="BB37" s="51"/>
      <c r="BC37" s="51"/>
      <c r="BD37" s="51">
        <f t="shared" si="3"/>
        <v>2538</v>
      </c>
      <c r="BE37" s="54"/>
      <c r="BF37" s="73">
        <f>SUM('XCombining BS Liability(62Mem)'!Z37-BD37)</f>
        <v>0</v>
      </c>
    </row>
    <row r="38" spans="1:58" s="57" customFormat="1" ht="9.9499999999999993" customHeight="1" x14ac:dyDescent="0.3">
      <c r="A38" s="54"/>
      <c r="B38" s="54" t="s">
        <v>550</v>
      </c>
      <c r="C38" s="51"/>
      <c r="D38" s="51"/>
      <c r="E38" s="51"/>
      <c r="F38" s="51"/>
      <c r="G38" s="51"/>
      <c r="H38" s="51"/>
      <c r="I38" s="51"/>
      <c r="J38" s="51"/>
      <c r="K38" s="51"/>
      <c r="L38" s="51"/>
      <c r="M38" s="51"/>
      <c r="N38" s="51"/>
      <c r="O38" s="51"/>
      <c r="P38" s="51"/>
      <c r="Q38" s="51">
        <v>3581</v>
      </c>
      <c r="R38" s="51"/>
      <c r="S38" s="51"/>
      <c r="T38" s="51">
        <f t="shared" si="0"/>
        <v>3581</v>
      </c>
      <c r="U38" s="51"/>
      <c r="V38" s="51"/>
      <c r="W38" s="51"/>
      <c r="X38" s="51"/>
      <c r="Y38" s="51"/>
      <c r="Z38" s="51"/>
      <c r="AA38" s="51"/>
      <c r="AB38" s="51"/>
      <c r="AC38" s="51"/>
      <c r="AD38" s="51"/>
      <c r="AE38" s="51"/>
      <c r="AF38" s="51"/>
      <c r="AG38" s="51"/>
      <c r="AH38" s="51"/>
      <c r="AI38" s="51"/>
      <c r="AJ38" s="51"/>
      <c r="AK38" s="51"/>
      <c r="AL38" s="51">
        <v>24535</v>
      </c>
      <c r="AM38" s="51"/>
      <c r="AN38" s="51"/>
      <c r="AO38" s="51"/>
      <c r="AP38" s="51"/>
      <c r="AQ38" s="51"/>
      <c r="AR38" s="51">
        <f t="shared" si="1"/>
        <v>24535</v>
      </c>
      <c r="AS38" s="51"/>
      <c r="AT38" s="51"/>
      <c r="AU38" s="51">
        <f t="shared" si="2"/>
        <v>-20954</v>
      </c>
      <c r="AV38" s="51"/>
      <c r="AW38" s="51"/>
      <c r="AX38" s="51">
        <v>100000</v>
      </c>
      <c r="AY38" s="51"/>
      <c r="AZ38" s="51"/>
      <c r="BA38" s="51">
        <v>159120</v>
      </c>
      <c r="BB38" s="51"/>
      <c r="BC38" s="51"/>
      <c r="BD38" s="51">
        <f t="shared" si="3"/>
        <v>238166</v>
      </c>
      <c r="BE38" s="54"/>
      <c r="BF38" s="73">
        <f>SUM('XCombining BS Liability(62Mem)'!Z38-BD38)</f>
        <v>0</v>
      </c>
    </row>
    <row r="39" spans="1:58" s="57" customFormat="1" ht="9.9499999999999993" customHeight="1" x14ac:dyDescent="0.3">
      <c r="A39" s="54"/>
      <c r="B39" s="54" t="s">
        <v>552</v>
      </c>
      <c r="C39" s="51"/>
      <c r="D39" s="51"/>
      <c r="E39" s="51"/>
      <c r="F39" s="51"/>
      <c r="G39" s="51"/>
      <c r="H39" s="51"/>
      <c r="I39" s="51"/>
      <c r="J39" s="51"/>
      <c r="K39" s="51"/>
      <c r="L39" s="51"/>
      <c r="M39" s="51"/>
      <c r="N39" s="51"/>
      <c r="O39" s="51"/>
      <c r="P39" s="51"/>
      <c r="Q39" s="51"/>
      <c r="R39" s="51"/>
      <c r="S39" s="51"/>
      <c r="T39" s="51">
        <f t="shared" si="0"/>
        <v>0</v>
      </c>
      <c r="U39" s="51"/>
      <c r="V39" s="51"/>
      <c r="W39" s="51"/>
      <c r="X39" s="51"/>
      <c r="Y39" s="51"/>
      <c r="Z39" s="51"/>
      <c r="AA39" s="51"/>
      <c r="AB39" s="51"/>
      <c r="AC39" s="51"/>
      <c r="AD39" s="51"/>
      <c r="AE39" s="51"/>
      <c r="AF39" s="51"/>
      <c r="AG39" s="51"/>
      <c r="AH39" s="51"/>
      <c r="AI39" s="51">
        <v>781</v>
      </c>
      <c r="AJ39" s="51"/>
      <c r="AK39" s="51"/>
      <c r="AL39" s="51"/>
      <c r="AM39" s="51"/>
      <c r="AN39" s="51"/>
      <c r="AO39" s="51"/>
      <c r="AP39" s="51"/>
      <c r="AQ39" s="51"/>
      <c r="AR39" s="51">
        <f t="shared" si="1"/>
        <v>781</v>
      </c>
      <c r="AS39" s="51"/>
      <c r="AT39" s="51"/>
      <c r="AU39" s="51">
        <f t="shared" si="2"/>
        <v>-781</v>
      </c>
      <c r="AV39" s="51"/>
      <c r="AW39" s="51"/>
      <c r="AX39" s="51"/>
      <c r="AY39" s="51"/>
      <c r="AZ39" s="51"/>
      <c r="BA39" s="51">
        <v>3389</v>
      </c>
      <c r="BB39" s="51"/>
      <c r="BC39" s="51"/>
      <c r="BD39" s="51">
        <f t="shared" si="3"/>
        <v>2608</v>
      </c>
      <c r="BE39" s="54"/>
      <c r="BF39" s="73">
        <f>SUM('XCombining BS Liability(62Mem)'!Z39-BD39)</f>
        <v>0</v>
      </c>
    </row>
    <row r="40" spans="1:58" s="57" customFormat="1" ht="9.9499999999999993" customHeight="1" x14ac:dyDescent="0.3">
      <c r="A40" s="54"/>
      <c r="B40" s="54" t="s">
        <v>553</v>
      </c>
      <c r="C40" s="51"/>
      <c r="D40" s="51"/>
      <c r="E40" s="51"/>
      <c r="F40" s="51"/>
      <c r="G40" s="51"/>
      <c r="H40" s="51"/>
      <c r="I40" s="51"/>
      <c r="J40" s="51"/>
      <c r="K40" s="51"/>
      <c r="L40" s="51"/>
      <c r="M40" s="51"/>
      <c r="N40" s="51"/>
      <c r="O40" s="51"/>
      <c r="P40" s="51"/>
      <c r="Q40" s="51">
        <v>381</v>
      </c>
      <c r="R40" s="51"/>
      <c r="S40" s="51"/>
      <c r="T40" s="51">
        <f t="shared" si="0"/>
        <v>381</v>
      </c>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f t="shared" si="1"/>
        <v>0</v>
      </c>
      <c r="AS40" s="51"/>
      <c r="AT40" s="51"/>
      <c r="AU40" s="51">
        <f t="shared" si="2"/>
        <v>381</v>
      </c>
      <c r="AV40" s="51"/>
      <c r="AW40" s="51"/>
      <c r="AX40" s="51"/>
      <c r="AY40" s="51"/>
      <c r="AZ40" s="51"/>
      <c r="BA40" s="51">
        <v>16745</v>
      </c>
      <c r="BB40" s="51"/>
      <c r="BC40" s="51"/>
      <c r="BD40" s="51">
        <f t="shared" si="3"/>
        <v>17126</v>
      </c>
      <c r="BE40" s="54"/>
      <c r="BF40" s="73">
        <f>SUM('XCombining BS Liability(62Mem)'!Z40-BD40)</f>
        <v>0</v>
      </c>
    </row>
    <row r="41" spans="1:58" s="57" customFormat="1" ht="9.9499999999999993" customHeight="1" x14ac:dyDescent="0.3">
      <c r="A41" s="54"/>
      <c r="B41" s="54" t="s">
        <v>620</v>
      </c>
      <c r="C41" s="51"/>
      <c r="D41" s="51"/>
      <c r="E41" s="51"/>
      <c r="F41" s="51"/>
      <c r="G41" s="51"/>
      <c r="H41" s="51"/>
      <c r="I41" s="51"/>
      <c r="J41" s="51"/>
      <c r="K41" s="51"/>
      <c r="L41" s="51"/>
      <c r="M41" s="51"/>
      <c r="N41" s="51"/>
      <c r="O41" s="51"/>
      <c r="P41" s="51"/>
      <c r="Q41" s="51"/>
      <c r="R41" s="51"/>
      <c r="S41" s="51"/>
      <c r="T41" s="51">
        <f t="shared" si="0"/>
        <v>0</v>
      </c>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f t="shared" si="1"/>
        <v>0</v>
      </c>
      <c r="AS41" s="51"/>
      <c r="AT41" s="51"/>
      <c r="AU41" s="51">
        <f t="shared" si="2"/>
        <v>0</v>
      </c>
      <c r="AV41" s="51"/>
      <c r="AW41" s="51"/>
      <c r="AX41" s="51"/>
      <c r="AY41" s="51"/>
      <c r="AZ41" s="51"/>
      <c r="BA41" s="51">
        <v>-445</v>
      </c>
      <c r="BB41" s="51"/>
      <c r="BC41" s="51"/>
      <c r="BD41" s="51">
        <f t="shared" si="3"/>
        <v>-445</v>
      </c>
      <c r="BE41" s="54"/>
      <c r="BF41" s="73">
        <f>SUM('XCombining BS Liability(62Mem)'!Z41-BD41)</f>
        <v>0</v>
      </c>
    </row>
    <row r="42" spans="1:58" s="57" customFormat="1" ht="9.9499999999999993" customHeight="1" x14ac:dyDescent="0.3">
      <c r="A42" s="54"/>
      <c r="B42" s="54" t="s">
        <v>619</v>
      </c>
      <c r="C42" s="51"/>
      <c r="D42" s="51"/>
      <c r="E42" s="51"/>
      <c r="F42" s="51"/>
      <c r="G42" s="51"/>
      <c r="H42" s="51"/>
      <c r="I42" s="51"/>
      <c r="J42" s="51"/>
      <c r="K42" s="51"/>
      <c r="L42" s="51"/>
      <c r="M42" s="51"/>
      <c r="N42" s="51">
        <v>502735</v>
      </c>
      <c r="O42" s="51"/>
      <c r="P42" s="51"/>
      <c r="Q42" s="51"/>
      <c r="R42" s="51"/>
      <c r="S42" s="51"/>
      <c r="T42" s="51">
        <f t="shared" si="0"/>
        <v>502735</v>
      </c>
      <c r="U42" s="51"/>
      <c r="V42" s="51"/>
      <c r="W42" s="51"/>
      <c r="X42" s="51"/>
      <c r="Y42" s="51"/>
      <c r="Z42" s="51"/>
      <c r="AA42" s="51"/>
      <c r="AB42" s="51"/>
      <c r="AC42" s="51"/>
      <c r="AD42" s="51"/>
      <c r="AE42" s="51"/>
      <c r="AF42" s="51"/>
      <c r="AG42" s="51"/>
      <c r="AH42" s="51"/>
      <c r="AI42" s="51"/>
      <c r="AJ42" s="51"/>
      <c r="AK42" s="51"/>
      <c r="AL42" s="51"/>
      <c r="AM42" s="51"/>
      <c r="AN42" s="51"/>
      <c r="AO42" s="51">
        <v>502735</v>
      </c>
      <c r="AP42" s="51"/>
      <c r="AQ42" s="51"/>
      <c r="AR42" s="51">
        <f t="shared" si="1"/>
        <v>502735</v>
      </c>
      <c r="AS42" s="51"/>
      <c r="AT42" s="51"/>
      <c r="AU42" s="51">
        <f t="shared" si="2"/>
        <v>0</v>
      </c>
      <c r="AV42" s="51"/>
      <c r="AW42" s="51"/>
      <c r="AX42" s="51"/>
      <c r="AY42" s="51"/>
      <c r="AZ42" s="51"/>
      <c r="BA42" s="51">
        <v>-41191</v>
      </c>
      <c r="BB42" s="51"/>
      <c r="BC42" s="51"/>
      <c r="BD42" s="51">
        <f t="shared" si="3"/>
        <v>-41191</v>
      </c>
      <c r="BE42" s="54"/>
      <c r="BF42" s="73">
        <f>SUM('XCombining BS Liability(62Mem)'!Z42-BD42)</f>
        <v>0</v>
      </c>
    </row>
    <row r="43" spans="1:58" s="57" customFormat="1" ht="9.9499999999999993" customHeight="1" x14ac:dyDescent="0.3">
      <c r="A43" s="54"/>
      <c r="B43" s="54" t="s">
        <v>37</v>
      </c>
      <c r="C43" s="51"/>
      <c r="D43" s="51"/>
      <c r="E43" s="51"/>
      <c r="F43" s="51"/>
      <c r="G43" s="51"/>
      <c r="H43" s="51"/>
      <c r="I43" s="51"/>
      <c r="J43" s="51"/>
      <c r="K43" s="51"/>
      <c r="L43" s="51"/>
      <c r="M43" s="51"/>
      <c r="N43" s="51">
        <v>48020</v>
      </c>
      <c r="O43" s="51"/>
      <c r="P43" s="51"/>
      <c r="Q43" s="51"/>
      <c r="R43" s="51"/>
      <c r="S43" s="51"/>
      <c r="T43" s="51">
        <f t="shared" si="0"/>
        <v>48020</v>
      </c>
      <c r="U43" s="51"/>
      <c r="V43" s="51"/>
      <c r="W43" s="51"/>
      <c r="X43" s="51"/>
      <c r="Y43" s="51"/>
      <c r="Z43" s="51"/>
      <c r="AA43" s="51"/>
      <c r="AB43" s="51"/>
      <c r="AC43" s="51"/>
      <c r="AD43" s="51"/>
      <c r="AE43" s="51"/>
      <c r="AF43" s="51"/>
      <c r="AG43" s="51"/>
      <c r="AH43" s="51"/>
      <c r="AI43" s="51"/>
      <c r="AJ43" s="51"/>
      <c r="AK43" s="51"/>
      <c r="AL43" s="51">
        <v>105</v>
      </c>
      <c r="AM43" s="51"/>
      <c r="AN43" s="51"/>
      <c r="AO43" s="51"/>
      <c r="AP43" s="51"/>
      <c r="AQ43" s="51"/>
      <c r="AR43" s="51">
        <f t="shared" si="1"/>
        <v>105</v>
      </c>
      <c r="AS43" s="51"/>
      <c r="AT43" s="51"/>
      <c r="AU43" s="51">
        <f t="shared" si="2"/>
        <v>47915</v>
      </c>
      <c r="AV43" s="51"/>
      <c r="AW43" s="51"/>
      <c r="AX43" s="51"/>
      <c r="AY43" s="51"/>
      <c r="AZ43" s="51"/>
      <c r="BA43" s="51">
        <v>-15933</v>
      </c>
      <c r="BB43" s="51"/>
      <c r="BC43" s="51"/>
      <c r="BD43" s="51">
        <f t="shared" si="3"/>
        <v>31982</v>
      </c>
      <c r="BE43" s="54"/>
      <c r="BF43" s="73">
        <f>SUM('XCombining BS Liability(62Mem)'!Z43-BD43)</f>
        <v>0</v>
      </c>
    </row>
    <row r="44" spans="1:58" s="57" customFormat="1" ht="9.9499999999999993" customHeight="1" x14ac:dyDescent="0.3">
      <c r="A44" s="54"/>
      <c r="B44" s="54" t="s">
        <v>38</v>
      </c>
      <c r="C44" s="51"/>
      <c r="D44" s="51"/>
      <c r="E44" s="51"/>
      <c r="F44" s="51"/>
      <c r="G44" s="51"/>
      <c r="H44" s="51"/>
      <c r="I44" s="51"/>
      <c r="J44" s="51"/>
      <c r="K44" s="51"/>
      <c r="L44" s="51"/>
      <c r="M44" s="51"/>
      <c r="N44" s="51"/>
      <c r="O44" s="51"/>
      <c r="P44" s="51"/>
      <c r="Q44" s="51">
        <v>10</v>
      </c>
      <c r="R44" s="51"/>
      <c r="S44" s="51"/>
      <c r="T44" s="51">
        <f t="shared" si="0"/>
        <v>10</v>
      </c>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f>SUM(W44:AO44)</f>
        <v>0</v>
      </c>
      <c r="AS44" s="51"/>
      <c r="AT44" s="51"/>
      <c r="AU44" s="51">
        <f t="shared" si="2"/>
        <v>10</v>
      </c>
      <c r="AV44" s="51"/>
      <c r="AW44" s="51"/>
      <c r="AX44" s="51"/>
      <c r="AY44" s="51"/>
      <c r="AZ44" s="51"/>
      <c r="BA44" s="51">
        <v>442</v>
      </c>
      <c r="BB44" s="51"/>
      <c r="BC44" s="51"/>
      <c r="BD44" s="51">
        <f t="shared" si="3"/>
        <v>452</v>
      </c>
      <c r="BE44" s="54"/>
      <c r="BF44" s="73">
        <f>SUM('XCombining BS Liability(62Mem)'!Z44-BD44)</f>
        <v>0</v>
      </c>
    </row>
    <row r="45" spans="1:58" s="57" customFormat="1" ht="9.9499999999999993" customHeight="1" x14ac:dyDescent="0.3">
      <c r="A45" s="54"/>
      <c r="B45" s="54" t="s">
        <v>554</v>
      </c>
      <c r="C45" s="51"/>
      <c r="D45" s="51"/>
      <c r="E45" s="51"/>
      <c r="F45" s="51"/>
      <c r="G45" s="51"/>
      <c r="H45" s="51"/>
      <c r="I45" s="51"/>
      <c r="J45" s="51"/>
      <c r="K45" s="51"/>
      <c r="L45" s="51"/>
      <c r="M45" s="51"/>
      <c r="N45" s="51"/>
      <c r="O45" s="51"/>
      <c r="P45" s="51"/>
      <c r="Q45" s="51">
        <v>70</v>
      </c>
      <c r="R45" s="51"/>
      <c r="S45" s="51"/>
      <c r="T45" s="51">
        <f t="shared" si="0"/>
        <v>70</v>
      </c>
      <c r="U45" s="51"/>
      <c r="V45" s="51"/>
      <c r="W45" s="51"/>
      <c r="X45" s="51"/>
      <c r="Y45" s="51"/>
      <c r="Z45" s="51">
        <v>13580</v>
      </c>
      <c r="AA45" s="51"/>
      <c r="AB45" s="51"/>
      <c r="AC45" s="51"/>
      <c r="AD45" s="51"/>
      <c r="AE45" s="51"/>
      <c r="AF45" s="51"/>
      <c r="AG45" s="51"/>
      <c r="AH45" s="51"/>
      <c r="AI45" s="51"/>
      <c r="AJ45" s="51"/>
      <c r="AK45" s="51"/>
      <c r="AL45" s="51"/>
      <c r="AM45" s="51"/>
      <c r="AN45" s="51"/>
      <c r="AO45" s="51"/>
      <c r="AP45" s="51"/>
      <c r="AQ45" s="51"/>
      <c r="AR45" s="51"/>
      <c r="AS45" s="51"/>
      <c r="AT45" s="51"/>
      <c r="AU45" s="51">
        <f t="shared" si="2"/>
        <v>70</v>
      </c>
      <c r="AV45" s="51"/>
      <c r="AW45" s="51"/>
      <c r="AX45" s="51"/>
      <c r="AY45" s="51"/>
      <c r="AZ45" s="51"/>
      <c r="BA45" s="51">
        <v>3045</v>
      </c>
      <c r="BB45" s="51"/>
      <c r="BC45" s="51"/>
      <c r="BD45" s="51">
        <f>SUM(AU45:BA45)</f>
        <v>3115</v>
      </c>
      <c r="BE45" s="54"/>
      <c r="BF45" s="73">
        <f>SUM('XCombining BS Liability(62Mem)'!Z45-BD45)</f>
        <v>0</v>
      </c>
    </row>
    <row r="46" spans="1:58" s="57" customFormat="1" ht="9.9499999999999993" customHeight="1" x14ac:dyDescent="0.3">
      <c r="A46" s="54"/>
      <c r="B46" s="54" t="s">
        <v>556</v>
      </c>
      <c r="C46" s="51"/>
      <c r="D46" s="51"/>
      <c r="E46" s="51"/>
      <c r="F46" s="51"/>
      <c r="G46" s="51"/>
      <c r="H46" s="51"/>
      <c r="I46" s="51"/>
      <c r="J46" s="51"/>
      <c r="K46" s="51"/>
      <c r="L46" s="51"/>
      <c r="M46" s="51"/>
      <c r="N46" s="51">
        <v>14770</v>
      </c>
      <c r="O46" s="51"/>
      <c r="P46" s="51"/>
      <c r="Q46" s="51">
        <v>529</v>
      </c>
      <c r="R46" s="51"/>
      <c r="S46" s="51"/>
      <c r="T46" s="51">
        <f t="shared" si="0"/>
        <v>15299</v>
      </c>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v>13580</v>
      </c>
      <c r="AS46" s="51"/>
      <c r="AT46" s="51"/>
      <c r="AU46" s="51">
        <f t="shared" si="2"/>
        <v>1719</v>
      </c>
      <c r="AV46" s="51"/>
      <c r="AW46" s="51"/>
      <c r="AX46" s="51"/>
      <c r="AY46" s="51"/>
      <c r="AZ46" s="51"/>
      <c r="BA46" s="51">
        <v>17203</v>
      </c>
      <c r="BB46" s="51"/>
      <c r="BC46" s="51"/>
      <c r="BD46" s="51">
        <f t="shared" si="3"/>
        <v>18922</v>
      </c>
      <c r="BE46" s="54"/>
      <c r="BF46" s="73">
        <f>SUM('XCombining BS Liability(62Mem)'!Z46-BD46)</f>
        <v>0</v>
      </c>
    </row>
    <row r="47" spans="1:58" s="57" customFormat="1" ht="9.9499999999999993" customHeight="1" x14ac:dyDescent="0.3">
      <c r="A47" s="54"/>
      <c r="B47" s="54" t="s">
        <v>558</v>
      </c>
      <c r="C47" s="51"/>
      <c r="D47" s="51"/>
      <c r="E47" s="51"/>
      <c r="F47" s="51"/>
      <c r="G47" s="51"/>
      <c r="H47" s="51"/>
      <c r="I47" s="51"/>
      <c r="J47" s="51"/>
      <c r="K47" s="51"/>
      <c r="L47" s="51"/>
      <c r="M47" s="51"/>
      <c r="N47" s="51"/>
      <c r="O47" s="51"/>
      <c r="P47" s="51"/>
      <c r="Q47" s="51">
        <v>9498</v>
      </c>
      <c r="R47" s="51"/>
      <c r="S47" s="51"/>
      <c r="T47" s="51">
        <f t="shared" si="0"/>
        <v>9498</v>
      </c>
      <c r="U47" s="51"/>
      <c r="V47" s="51"/>
      <c r="W47" s="51"/>
      <c r="X47" s="51"/>
      <c r="Y47" s="51"/>
      <c r="Z47" s="51"/>
      <c r="AA47" s="51"/>
      <c r="AB47" s="51"/>
      <c r="AC47" s="51"/>
      <c r="AD47" s="51"/>
      <c r="AE47" s="51"/>
      <c r="AF47" s="51"/>
      <c r="AG47" s="51"/>
      <c r="AH47" s="51"/>
      <c r="AI47" s="51">
        <v>1119</v>
      </c>
      <c r="AJ47" s="51"/>
      <c r="AK47" s="51"/>
      <c r="AL47" s="51"/>
      <c r="AM47" s="51"/>
      <c r="AN47" s="51"/>
      <c r="AO47" s="51"/>
      <c r="AP47" s="51"/>
      <c r="AQ47" s="51"/>
      <c r="AR47" s="51"/>
      <c r="AS47" s="51"/>
      <c r="AT47" s="51"/>
      <c r="AU47" s="51">
        <f t="shared" si="2"/>
        <v>9498</v>
      </c>
      <c r="AV47" s="51"/>
      <c r="AW47" s="51"/>
      <c r="AX47" s="51">
        <v>-1300638</v>
      </c>
      <c r="AY47" s="51"/>
      <c r="AZ47" s="51"/>
      <c r="BA47" s="51">
        <v>1300638</v>
      </c>
      <c r="BB47" s="51"/>
      <c r="BC47" s="51"/>
      <c r="BD47" s="51">
        <f t="shared" si="3"/>
        <v>9498</v>
      </c>
      <c r="BE47" s="54"/>
      <c r="BF47" s="73">
        <f>SUM('XCombining BS Liability(62Mem)'!Z47-BD47)</f>
        <v>0</v>
      </c>
    </row>
    <row r="48" spans="1:58" s="57" customFormat="1" ht="9.9499999999999993" customHeight="1" x14ac:dyDescent="0.3">
      <c r="A48" s="54"/>
      <c r="B48" s="54" t="s">
        <v>559</v>
      </c>
      <c r="C48" s="51"/>
      <c r="D48" s="51"/>
      <c r="E48" s="51"/>
      <c r="F48" s="51"/>
      <c r="G48" s="51"/>
      <c r="H48" s="51"/>
      <c r="I48" s="51"/>
      <c r="J48" s="51"/>
      <c r="K48" s="51"/>
      <c r="L48" s="51"/>
      <c r="M48" s="51"/>
      <c r="N48" s="51">
        <v>502</v>
      </c>
      <c r="O48" s="51"/>
      <c r="P48" s="51"/>
      <c r="Q48" s="51">
        <v>153</v>
      </c>
      <c r="R48" s="51"/>
      <c r="S48" s="51"/>
      <c r="T48" s="51">
        <f t="shared" si="0"/>
        <v>655</v>
      </c>
      <c r="U48" s="51"/>
      <c r="V48" s="51"/>
      <c r="W48" s="51"/>
      <c r="X48" s="51"/>
      <c r="Y48" s="51"/>
      <c r="Z48" s="51"/>
      <c r="AA48" s="51"/>
      <c r="AB48" s="51"/>
      <c r="AC48" s="51"/>
      <c r="AD48" s="51"/>
      <c r="AE48" s="51"/>
      <c r="AF48" s="51"/>
      <c r="AG48" s="51"/>
      <c r="AH48" s="51"/>
      <c r="AI48" s="51">
        <v>181212</v>
      </c>
      <c r="AJ48" s="51"/>
      <c r="AK48" s="51"/>
      <c r="AL48" s="51"/>
      <c r="AM48" s="51"/>
      <c r="AN48" s="51"/>
      <c r="AO48" s="51"/>
      <c r="AP48" s="51"/>
      <c r="AQ48" s="51"/>
      <c r="AR48" s="51">
        <v>1119</v>
      </c>
      <c r="AS48" s="51"/>
      <c r="AT48" s="51"/>
      <c r="AU48" s="51">
        <f>SUM(T48-AR48)</f>
        <v>-464</v>
      </c>
      <c r="AV48" s="51"/>
      <c r="AW48" s="51"/>
      <c r="AX48" s="51"/>
      <c r="AY48" s="51"/>
      <c r="AZ48" s="51"/>
      <c r="BA48" s="51">
        <v>6947</v>
      </c>
      <c r="BB48" s="51"/>
      <c r="BC48" s="51"/>
      <c r="BD48" s="51">
        <f t="shared" si="3"/>
        <v>6483</v>
      </c>
      <c r="BE48" s="54"/>
      <c r="BF48" s="73">
        <f>SUM('XCombining BS Liability(62Mem)'!Z48-BD48)</f>
        <v>0</v>
      </c>
    </row>
    <row r="49" spans="1:58" s="57" customFormat="1" ht="9.9499999999999993" customHeight="1" x14ac:dyDescent="0.3">
      <c r="A49" s="54"/>
      <c r="B49" s="54" t="s">
        <v>560</v>
      </c>
      <c r="C49" s="51"/>
      <c r="D49" s="51"/>
      <c r="E49" s="51">
        <v>245118</v>
      </c>
      <c r="F49" s="51"/>
      <c r="G49" s="51"/>
      <c r="H49" s="51"/>
      <c r="I49" s="51"/>
      <c r="J49" s="51"/>
      <c r="K49" s="51"/>
      <c r="L49" s="51"/>
      <c r="M49" s="51"/>
      <c r="N49" s="51"/>
      <c r="O49" s="51"/>
      <c r="P49" s="51"/>
      <c r="Q49" s="51">
        <v>5760</v>
      </c>
      <c r="R49" s="51"/>
      <c r="S49" s="51"/>
      <c r="T49" s="51">
        <f t="shared" si="0"/>
        <v>250878</v>
      </c>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v>181212</v>
      </c>
      <c r="AS49" s="51"/>
      <c r="AT49" s="51"/>
      <c r="AU49" s="51">
        <f t="shared" si="2"/>
        <v>69666</v>
      </c>
      <c r="AV49" s="51"/>
      <c r="AW49" s="51"/>
      <c r="AX49" s="51"/>
      <c r="AY49" s="51"/>
      <c r="AZ49" s="51"/>
      <c r="BA49" s="51">
        <v>293920</v>
      </c>
      <c r="BB49" s="51"/>
      <c r="BC49" s="51"/>
      <c r="BD49" s="51">
        <f t="shared" si="3"/>
        <v>363586</v>
      </c>
      <c r="BE49" s="54"/>
      <c r="BF49" s="73">
        <f>SUM('XCombining BS Liability(62Mem)'!Z49-BD49)</f>
        <v>0</v>
      </c>
    </row>
    <row r="50" spans="1:58" s="57" customFormat="1" ht="9.9499999999999993" customHeight="1" x14ac:dyDescent="0.3">
      <c r="A50" s="54"/>
      <c r="B50" s="54" t="s">
        <v>561</v>
      </c>
      <c r="C50" s="51"/>
      <c r="D50" s="51"/>
      <c r="E50" s="51"/>
      <c r="F50" s="51"/>
      <c r="G50" s="51"/>
      <c r="H50" s="51"/>
      <c r="I50" s="51"/>
      <c r="J50" s="51"/>
      <c r="K50" s="51"/>
      <c r="L50" s="51"/>
      <c r="M50" s="51"/>
      <c r="N50" s="51"/>
      <c r="O50" s="51"/>
      <c r="P50" s="51"/>
      <c r="Q50" s="51"/>
      <c r="R50" s="51"/>
      <c r="S50" s="51"/>
      <c r="T50" s="51">
        <f t="shared" si="0"/>
        <v>0</v>
      </c>
      <c r="U50" s="51"/>
      <c r="V50" s="51"/>
      <c r="W50" s="51"/>
      <c r="X50" s="51"/>
      <c r="Y50" s="51"/>
      <c r="Z50" s="51"/>
      <c r="AA50" s="51"/>
      <c r="AB50" s="51"/>
      <c r="AC50" s="51">
        <v>82646</v>
      </c>
      <c r="AD50" s="51"/>
      <c r="AE50" s="51"/>
      <c r="AF50" s="51"/>
      <c r="AG50" s="51"/>
      <c r="AH50" s="51"/>
      <c r="AI50" s="51"/>
      <c r="AJ50" s="51"/>
      <c r="AK50" s="51"/>
      <c r="AL50" s="51"/>
      <c r="AM50" s="51"/>
      <c r="AN50" s="51"/>
      <c r="AO50" s="51"/>
      <c r="AP50" s="51"/>
      <c r="AQ50" s="51"/>
      <c r="AR50" s="51"/>
      <c r="AS50" s="51"/>
      <c r="AT50" s="51"/>
      <c r="AU50" s="51">
        <f t="shared" si="2"/>
        <v>0</v>
      </c>
      <c r="AV50" s="51"/>
      <c r="AW50" s="51"/>
      <c r="AX50" s="51"/>
      <c r="AY50" s="51"/>
      <c r="AZ50" s="51"/>
      <c r="BA50" s="51">
        <v>83503</v>
      </c>
      <c r="BB50" s="51"/>
      <c r="BC50" s="51"/>
      <c r="BD50" s="51">
        <f t="shared" si="3"/>
        <v>83503</v>
      </c>
      <c r="BE50" s="54"/>
      <c r="BF50" s="73">
        <f>SUM('XCombining BS Liability(62Mem)'!Z50-BD50)</f>
        <v>0</v>
      </c>
    </row>
    <row r="51" spans="1:58" s="57" customFormat="1" ht="9.9499999999999993" customHeight="1" x14ac:dyDescent="0.3">
      <c r="A51" s="54"/>
      <c r="B51" s="54" t="s">
        <v>562</v>
      </c>
      <c r="C51" s="51"/>
      <c r="D51" s="51"/>
      <c r="E51" s="51"/>
      <c r="F51" s="51"/>
      <c r="G51" s="51"/>
      <c r="H51" s="51"/>
      <c r="I51" s="51"/>
      <c r="J51" s="51"/>
      <c r="K51" s="51">
        <v>474684</v>
      </c>
      <c r="L51" s="51"/>
      <c r="M51" s="51"/>
      <c r="N51" s="51"/>
      <c r="O51" s="51"/>
      <c r="P51" s="51"/>
      <c r="Q51" s="51"/>
      <c r="R51" s="51"/>
      <c r="S51" s="51"/>
      <c r="T51" s="51">
        <f t="shared" si="0"/>
        <v>474684</v>
      </c>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v>82646</v>
      </c>
      <c r="AS51" s="51"/>
      <c r="AT51" s="51"/>
      <c r="AU51" s="51">
        <f t="shared" si="2"/>
        <v>392038</v>
      </c>
      <c r="AV51" s="51"/>
      <c r="AW51" s="51"/>
      <c r="AX51" s="51"/>
      <c r="AY51" s="51"/>
      <c r="AZ51" s="51"/>
      <c r="BA51" s="51"/>
      <c r="BB51" s="51"/>
      <c r="BC51" s="51"/>
      <c r="BD51" s="51">
        <f t="shared" si="3"/>
        <v>392038</v>
      </c>
      <c r="BE51" s="54"/>
      <c r="BF51" s="73">
        <f>SUM('XCombining BS Liability(62Mem)'!Z51-BD51)</f>
        <v>0</v>
      </c>
    </row>
    <row r="52" spans="1:58" s="57" customFormat="1" ht="9.9499999999999993" customHeight="1" x14ac:dyDescent="0.3">
      <c r="A52" s="54"/>
      <c r="B52" s="54" t="s">
        <v>563</v>
      </c>
      <c r="C52" s="51"/>
      <c r="D52" s="51"/>
      <c r="E52" s="51">
        <v>12079</v>
      </c>
      <c r="F52" s="51"/>
      <c r="G52" s="51"/>
      <c r="H52" s="51"/>
      <c r="I52" s="51"/>
      <c r="J52" s="51"/>
      <c r="K52" s="51"/>
      <c r="L52" s="51"/>
      <c r="M52" s="51"/>
      <c r="N52" s="51">
        <v>214516</v>
      </c>
      <c r="O52" s="51"/>
      <c r="P52" s="51"/>
      <c r="Q52" s="51">
        <v>7518</v>
      </c>
      <c r="R52" s="51"/>
      <c r="S52" s="51"/>
      <c r="T52" s="51">
        <f t="shared" si="0"/>
        <v>234113</v>
      </c>
      <c r="U52" s="51"/>
      <c r="V52" s="51"/>
      <c r="W52" s="51"/>
      <c r="X52" s="51"/>
      <c r="Y52" s="51"/>
      <c r="Z52" s="51">
        <v>176324</v>
      </c>
      <c r="AA52" s="51"/>
      <c r="AB52" s="51"/>
      <c r="AC52" s="51"/>
      <c r="AD52" s="51"/>
      <c r="AE52" s="51"/>
      <c r="AF52" s="51"/>
      <c r="AG52" s="51"/>
      <c r="AH52" s="51"/>
      <c r="AI52" s="51"/>
      <c r="AJ52" s="51"/>
      <c r="AK52" s="51"/>
      <c r="AL52" s="51"/>
      <c r="AM52" s="51"/>
      <c r="AN52" s="51"/>
      <c r="AO52" s="51"/>
      <c r="AP52" s="51"/>
      <c r="AQ52" s="51"/>
      <c r="AR52" s="51">
        <v>176324</v>
      </c>
      <c r="AS52" s="51"/>
      <c r="AT52" s="51"/>
      <c r="AU52" s="51">
        <f t="shared" si="2"/>
        <v>57789</v>
      </c>
      <c r="AV52" s="51"/>
      <c r="AW52" s="51"/>
      <c r="AX52" s="51">
        <v>-5000</v>
      </c>
      <c r="AY52" s="51"/>
      <c r="AZ52" s="51"/>
      <c r="BA52" s="51">
        <v>337529</v>
      </c>
      <c r="BB52" s="51"/>
      <c r="BC52" s="51"/>
      <c r="BD52" s="51">
        <f t="shared" si="3"/>
        <v>390318</v>
      </c>
      <c r="BE52" s="54"/>
      <c r="BF52" s="73">
        <f>SUM('XCombining BS Liability(62Mem)'!Z52-BD52)</f>
        <v>0</v>
      </c>
    </row>
    <row r="53" spans="1:58" s="57" customFormat="1" ht="9.9499999999999993" customHeight="1" x14ac:dyDescent="0.3">
      <c r="A53" s="54"/>
      <c r="B53" s="54" t="s">
        <v>1016</v>
      </c>
      <c r="C53" s="51"/>
      <c r="D53" s="51"/>
      <c r="E53" s="51"/>
      <c r="F53" s="51"/>
      <c r="G53" s="51"/>
      <c r="H53" s="51"/>
      <c r="I53" s="51"/>
      <c r="J53" s="51"/>
      <c r="K53" s="51"/>
      <c r="L53" s="51"/>
      <c r="M53" s="51"/>
      <c r="N53" s="51">
        <v>60950</v>
      </c>
      <c r="O53" s="51"/>
      <c r="P53" s="51"/>
      <c r="Q53" s="51"/>
      <c r="R53" s="51"/>
      <c r="S53" s="51"/>
      <c r="T53" s="51">
        <f t="shared" si="0"/>
        <v>60950</v>
      </c>
      <c r="U53" s="51"/>
      <c r="V53" s="51"/>
      <c r="W53" s="51"/>
      <c r="X53" s="51"/>
      <c r="Y53" s="51"/>
      <c r="Z53" s="51">
        <v>60950</v>
      </c>
      <c r="AA53" s="51"/>
      <c r="AB53" s="51"/>
      <c r="AC53" s="51"/>
      <c r="AD53" s="51"/>
      <c r="AE53" s="51"/>
      <c r="AF53" s="51"/>
      <c r="AG53" s="51"/>
      <c r="AH53" s="51"/>
      <c r="AI53" s="51"/>
      <c r="AJ53" s="51"/>
      <c r="AK53" s="51"/>
      <c r="AL53" s="51"/>
      <c r="AM53" s="51"/>
      <c r="AN53" s="51"/>
      <c r="AO53" s="51"/>
      <c r="AP53" s="51"/>
      <c r="AQ53" s="51"/>
      <c r="AR53" s="51">
        <v>60950</v>
      </c>
      <c r="AS53" s="51"/>
      <c r="AT53" s="51"/>
      <c r="AU53" s="51">
        <f t="shared" si="2"/>
        <v>0</v>
      </c>
      <c r="AV53" s="51"/>
      <c r="AW53" s="51"/>
      <c r="AX53" s="51"/>
      <c r="AY53" s="51"/>
      <c r="AZ53" s="51"/>
      <c r="BA53" s="51"/>
      <c r="BB53" s="51"/>
      <c r="BC53" s="51"/>
      <c r="BD53" s="51">
        <f t="shared" si="3"/>
        <v>0</v>
      </c>
      <c r="BE53" s="54"/>
      <c r="BF53" s="73">
        <f>SUM('XCombining BS Liability(62Mem)'!Z53-BD53)</f>
        <v>0</v>
      </c>
    </row>
    <row r="54" spans="1:58" s="57" customFormat="1" ht="9.9499999999999993" customHeight="1" x14ac:dyDescent="0.3">
      <c r="A54" s="54"/>
      <c r="B54" s="54" t="s">
        <v>564</v>
      </c>
      <c r="C54" s="51"/>
      <c r="D54" s="51"/>
      <c r="E54" s="51"/>
      <c r="F54" s="51"/>
      <c r="G54" s="51"/>
      <c r="H54" s="51"/>
      <c r="I54" s="51"/>
      <c r="J54" s="51"/>
      <c r="K54" s="51"/>
      <c r="L54" s="51"/>
      <c r="M54" s="51"/>
      <c r="N54" s="51">
        <v>68366</v>
      </c>
      <c r="O54" s="51"/>
      <c r="P54" s="51"/>
      <c r="Q54" s="51"/>
      <c r="R54" s="51"/>
      <c r="S54" s="51"/>
      <c r="T54" s="51">
        <f t="shared" si="0"/>
        <v>68366</v>
      </c>
      <c r="U54" s="51"/>
      <c r="V54" s="51"/>
      <c r="W54" s="51"/>
      <c r="X54" s="51"/>
      <c r="Y54" s="51"/>
      <c r="Z54" s="51"/>
      <c r="AA54" s="51"/>
      <c r="AB54" s="51"/>
      <c r="AC54" s="51"/>
      <c r="AD54" s="51"/>
      <c r="AE54" s="51"/>
      <c r="AF54" s="51"/>
      <c r="AG54" s="51"/>
      <c r="AH54" s="51"/>
      <c r="AI54" s="51">
        <v>108</v>
      </c>
      <c r="AJ54" s="51"/>
      <c r="AK54" s="51"/>
      <c r="AL54" s="51"/>
      <c r="AM54" s="51"/>
      <c r="AN54" s="51"/>
      <c r="AO54" s="51"/>
      <c r="AP54" s="51"/>
      <c r="AQ54" s="51"/>
      <c r="AR54" s="51">
        <v>108</v>
      </c>
      <c r="AS54" s="51"/>
      <c r="AT54" s="51"/>
      <c r="AU54" s="51">
        <f t="shared" si="2"/>
        <v>68258</v>
      </c>
      <c r="AV54" s="51"/>
      <c r="AW54" s="51"/>
      <c r="AX54" s="51"/>
      <c r="AY54" s="51"/>
      <c r="AZ54" s="51"/>
      <c r="BA54" s="51">
        <v>4173</v>
      </c>
      <c r="BB54" s="51"/>
      <c r="BC54" s="51"/>
      <c r="BD54" s="51">
        <f t="shared" si="3"/>
        <v>72431</v>
      </c>
      <c r="BE54" s="54"/>
      <c r="BF54" s="73">
        <f>SUM('XCombining BS Liability(62Mem)'!Z54-BD54)</f>
        <v>0</v>
      </c>
    </row>
    <row r="55" spans="1:58" s="57" customFormat="1" ht="9.9499999999999993" customHeight="1" x14ac:dyDescent="0.3">
      <c r="A55" s="54"/>
      <c r="B55" s="54" t="s">
        <v>565</v>
      </c>
      <c r="C55" s="51"/>
      <c r="D55" s="51"/>
      <c r="E55" s="51">
        <v>592975</v>
      </c>
      <c r="F55" s="51"/>
      <c r="G55" s="51"/>
      <c r="H55" s="51"/>
      <c r="I55" s="51"/>
      <c r="J55" s="51"/>
      <c r="K55" s="51"/>
      <c r="L55" s="51"/>
      <c r="M55" s="51"/>
      <c r="N55" s="51">
        <v>5502</v>
      </c>
      <c r="O55" s="51"/>
      <c r="P55" s="51"/>
      <c r="Q55" s="51">
        <v>12968</v>
      </c>
      <c r="R55" s="51"/>
      <c r="S55" s="51"/>
      <c r="T55" s="51">
        <f t="shared" si="0"/>
        <v>611445</v>
      </c>
      <c r="U55" s="51"/>
      <c r="V55" s="51"/>
      <c r="W55" s="51"/>
      <c r="X55" s="51"/>
      <c r="Y55" s="51"/>
      <c r="Z55" s="51"/>
      <c r="AA55" s="51"/>
      <c r="AB55" s="51"/>
      <c r="AC55" s="51"/>
      <c r="AD55" s="51"/>
      <c r="AE55" s="51"/>
      <c r="AF55" s="51"/>
      <c r="AG55" s="51"/>
      <c r="AH55" s="51"/>
      <c r="AI55" s="51"/>
      <c r="AJ55" s="51"/>
      <c r="AK55" s="51"/>
      <c r="AL55" s="51">
        <v>41166</v>
      </c>
      <c r="AM55" s="51"/>
      <c r="AN55" s="51"/>
      <c r="AO55" s="51"/>
      <c r="AP55" s="51"/>
      <c r="AQ55" s="51"/>
      <c r="AR55" s="51">
        <v>41166</v>
      </c>
      <c r="AS55" s="51"/>
      <c r="AT55" s="51"/>
      <c r="AU55" s="51">
        <f t="shared" si="2"/>
        <v>570279</v>
      </c>
      <c r="AV55" s="51"/>
      <c r="AW55" s="51"/>
      <c r="AX55" s="51"/>
      <c r="AY55" s="51"/>
      <c r="AZ55" s="51"/>
      <c r="BA55" s="51">
        <v>345361</v>
      </c>
      <c r="BB55" s="51"/>
      <c r="BC55" s="51"/>
      <c r="BD55" s="51">
        <f t="shared" si="3"/>
        <v>915640</v>
      </c>
      <c r="BE55" s="54"/>
      <c r="BF55" s="73">
        <f>SUM('XCombining BS Liability(62Mem)'!Z55-BD55)</f>
        <v>0</v>
      </c>
    </row>
    <row r="56" spans="1:58" s="57" customFormat="1" ht="9.9499999999999993" customHeight="1" x14ac:dyDescent="0.3">
      <c r="A56" s="54"/>
      <c r="B56" s="54" t="s">
        <v>574</v>
      </c>
      <c r="C56" s="51"/>
      <c r="D56" s="51"/>
      <c r="E56" s="51"/>
      <c r="F56" s="51"/>
      <c r="G56" s="51"/>
      <c r="H56" s="51"/>
      <c r="I56" s="51"/>
      <c r="J56" s="51"/>
      <c r="K56" s="51"/>
      <c r="L56" s="51"/>
      <c r="M56" s="51"/>
      <c r="N56" s="51"/>
      <c r="O56" s="51"/>
      <c r="P56" s="51"/>
      <c r="Q56" s="51">
        <v>26</v>
      </c>
      <c r="R56" s="51"/>
      <c r="S56" s="51"/>
      <c r="T56" s="51">
        <f t="shared" si="0"/>
        <v>26</v>
      </c>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f t="shared" si="2"/>
        <v>26</v>
      </c>
      <c r="AV56" s="51"/>
      <c r="AW56" s="51"/>
      <c r="AX56" s="51"/>
      <c r="AY56" s="51"/>
      <c r="AZ56" s="51"/>
      <c r="BA56" s="51">
        <v>1185</v>
      </c>
      <c r="BB56" s="51"/>
      <c r="BC56" s="51"/>
      <c r="BD56" s="51">
        <f t="shared" si="3"/>
        <v>1211</v>
      </c>
      <c r="BE56" s="54"/>
      <c r="BF56" s="73">
        <f>SUM('XCombining BS Liability(62Mem)'!Z56-BD56)</f>
        <v>0</v>
      </c>
    </row>
    <row r="57" spans="1:58" s="57" customFormat="1" ht="9.9499999999999993" customHeight="1" x14ac:dyDescent="0.3">
      <c r="A57" s="54"/>
      <c r="B57" s="54" t="s">
        <v>575</v>
      </c>
      <c r="C57" s="51"/>
      <c r="D57" s="51"/>
      <c r="E57" s="51"/>
      <c r="F57" s="51"/>
      <c r="G57" s="51"/>
      <c r="H57" s="51"/>
      <c r="I57" s="51"/>
      <c r="J57" s="51"/>
      <c r="K57" s="51"/>
      <c r="L57" s="51"/>
      <c r="M57" s="51"/>
      <c r="N57" s="51"/>
      <c r="O57" s="51"/>
      <c r="P57" s="51"/>
      <c r="Q57" s="51">
        <v>19</v>
      </c>
      <c r="R57" s="51"/>
      <c r="S57" s="51"/>
      <c r="T57" s="51">
        <f>SUM(E57:Q57)</f>
        <v>19</v>
      </c>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f t="shared" si="1"/>
        <v>0</v>
      </c>
      <c r="AS57" s="51"/>
      <c r="AT57" s="51"/>
      <c r="AU57" s="51">
        <f t="shared" si="2"/>
        <v>19</v>
      </c>
      <c r="AV57" s="51"/>
      <c r="AW57" s="51"/>
      <c r="AX57" s="51"/>
      <c r="AY57" s="51"/>
      <c r="AZ57" s="51"/>
      <c r="BA57" s="51">
        <v>892</v>
      </c>
      <c r="BB57" s="51"/>
      <c r="BC57" s="51"/>
      <c r="BD57" s="51">
        <f t="shared" si="3"/>
        <v>911</v>
      </c>
      <c r="BE57" s="54"/>
      <c r="BF57" s="73">
        <f>SUM('XCombining BS Liability(62Mem)'!Z57-BD57)</f>
        <v>0</v>
      </c>
    </row>
    <row r="58" spans="1:58" s="57" customFormat="1" ht="9.9499999999999993" customHeight="1" x14ac:dyDescent="0.3">
      <c r="A58" s="54"/>
      <c r="B58" s="54" t="s">
        <v>578</v>
      </c>
      <c r="C58" s="51"/>
      <c r="D58" s="51"/>
      <c r="E58" s="51"/>
      <c r="F58" s="51"/>
      <c r="G58" s="51"/>
      <c r="H58" s="51"/>
      <c r="I58" s="51"/>
      <c r="J58" s="51"/>
      <c r="K58" s="51"/>
      <c r="L58" s="51"/>
      <c r="M58" s="51"/>
      <c r="N58" s="51">
        <v>1830</v>
      </c>
      <c r="O58" s="51"/>
      <c r="P58" s="51"/>
      <c r="Q58" s="51"/>
      <c r="R58" s="51"/>
      <c r="S58" s="51"/>
      <c r="T58" s="51">
        <f t="shared" si="0"/>
        <v>1830</v>
      </c>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f>SUM(W58:AO58)</f>
        <v>0</v>
      </c>
      <c r="AS58" s="51"/>
      <c r="AT58" s="51"/>
      <c r="AU58" s="51">
        <f t="shared" si="2"/>
        <v>1830</v>
      </c>
      <c r="AV58" s="51"/>
      <c r="AW58" s="51"/>
      <c r="AX58" s="51"/>
      <c r="AY58" s="51"/>
      <c r="AZ58" s="51"/>
      <c r="BA58" s="51">
        <v>931</v>
      </c>
      <c r="BB58" s="51"/>
      <c r="BC58" s="51"/>
      <c r="BD58" s="51">
        <f t="shared" si="3"/>
        <v>2761</v>
      </c>
      <c r="BE58" s="54"/>
      <c r="BF58" s="73">
        <f>SUM('XCombining BS Liability(62Mem)'!Z58-BD58)</f>
        <v>0</v>
      </c>
    </row>
    <row r="59" spans="1:58" s="57" customFormat="1" ht="9.9499999999999993" customHeight="1" x14ac:dyDescent="0.3">
      <c r="A59" s="54"/>
      <c r="B59" s="54" t="s">
        <v>579</v>
      </c>
      <c r="C59" s="51"/>
      <c r="D59" s="51"/>
      <c r="E59" s="51"/>
      <c r="F59" s="51"/>
      <c r="G59" s="51"/>
      <c r="H59" s="51"/>
      <c r="I59" s="51"/>
      <c r="J59" s="51"/>
      <c r="K59" s="51"/>
      <c r="L59" s="51"/>
      <c r="M59" s="51"/>
      <c r="N59" s="51"/>
      <c r="O59" s="51"/>
      <c r="P59" s="51"/>
      <c r="Q59" s="51">
        <v>2027</v>
      </c>
      <c r="R59" s="51"/>
      <c r="S59" s="51"/>
      <c r="T59" s="51">
        <f t="shared" si="0"/>
        <v>2027</v>
      </c>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f t="shared" si="1"/>
        <v>0</v>
      </c>
      <c r="AS59" s="51"/>
      <c r="AT59" s="51"/>
      <c r="AU59" s="51">
        <f t="shared" si="2"/>
        <v>2027</v>
      </c>
      <c r="AV59" s="51"/>
      <c r="AW59" s="51"/>
      <c r="AX59" s="51"/>
      <c r="AY59" s="51"/>
      <c r="AZ59" s="51"/>
      <c r="BA59" s="51">
        <v>89069</v>
      </c>
      <c r="BB59" s="51"/>
      <c r="BC59" s="51"/>
      <c r="BD59" s="51">
        <f t="shared" si="3"/>
        <v>91096</v>
      </c>
      <c r="BE59" s="54"/>
      <c r="BF59" s="73">
        <f>SUM('XCombining BS Liability(62Mem)'!Z59-BD59)</f>
        <v>0</v>
      </c>
    </row>
    <row r="60" spans="1:58" s="57" customFormat="1" ht="9.9499999999999993" customHeight="1" x14ac:dyDescent="0.3">
      <c r="A60" s="54"/>
      <c r="B60" s="54" t="s">
        <v>580</v>
      </c>
      <c r="C60" s="51"/>
      <c r="D60" s="51"/>
      <c r="E60" s="51"/>
      <c r="F60" s="51"/>
      <c r="G60" s="51"/>
      <c r="H60" s="51"/>
      <c r="I60" s="51"/>
      <c r="J60" s="51"/>
      <c r="K60" s="51"/>
      <c r="L60" s="51"/>
      <c r="M60" s="51"/>
      <c r="N60" s="51"/>
      <c r="O60" s="51"/>
      <c r="P60" s="51"/>
      <c r="Q60" s="51">
        <v>18</v>
      </c>
      <c r="R60" s="51"/>
      <c r="S60" s="51"/>
      <c r="T60" s="51">
        <f t="shared" si="0"/>
        <v>18</v>
      </c>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f t="shared" si="1"/>
        <v>0</v>
      </c>
      <c r="AS60" s="51"/>
      <c r="AT60" s="51"/>
      <c r="AU60" s="51">
        <f t="shared" si="2"/>
        <v>18</v>
      </c>
      <c r="AV60" s="51"/>
      <c r="AW60" s="51"/>
      <c r="AX60" s="51"/>
      <c r="AY60" s="51"/>
      <c r="AZ60" s="51"/>
      <c r="BA60" s="51">
        <v>-124</v>
      </c>
      <c r="BB60" s="51"/>
      <c r="BC60" s="51"/>
      <c r="BD60" s="51">
        <f t="shared" si="3"/>
        <v>-106</v>
      </c>
      <c r="BE60" s="54"/>
      <c r="BF60" s="73">
        <f>SUM('XCombining BS Liability(62Mem)'!Z60-BD60)</f>
        <v>0</v>
      </c>
    </row>
    <row r="61" spans="1:58" s="57" customFormat="1" ht="9.9499999999999993" customHeight="1" x14ac:dyDescent="0.3">
      <c r="A61" s="54"/>
      <c r="B61" s="54" t="s">
        <v>581</v>
      </c>
      <c r="C61" s="51"/>
      <c r="D61" s="51"/>
      <c r="E61" s="51"/>
      <c r="F61" s="51"/>
      <c r="G61" s="51"/>
      <c r="H61" s="51"/>
      <c r="I61" s="51"/>
      <c r="J61" s="51"/>
      <c r="K61" s="51"/>
      <c r="L61" s="51"/>
      <c r="M61" s="51"/>
      <c r="N61" s="51"/>
      <c r="O61" s="51"/>
      <c r="P61" s="51"/>
      <c r="Q61" s="51"/>
      <c r="R61" s="51"/>
      <c r="S61" s="51"/>
      <c r="T61" s="51">
        <f t="shared" si="0"/>
        <v>0</v>
      </c>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f t="shared" si="1"/>
        <v>0</v>
      </c>
      <c r="AS61" s="51"/>
      <c r="AT61" s="51"/>
      <c r="AU61" s="51">
        <f t="shared" si="2"/>
        <v>0</v>
      </c>
      <c r="AV61" s="51"/>
      <c r="AW61" s="51"/>
      <c r="AX61" s="51"/>
      <c r="AY61" s="51"/>
      <c r="AZ61" s="51"/>
      <c r="BA61" s="51">
        <v>27</v>
      </c>
      <c r="BB61" s="51"/>
      <c r="BC61" s="51"/>
      <c r="BD61" s="51">
        <f t="shared" si="3"/>
        <v>27</v>
      </c>
      <c r="BE61" s="54"/>
      <c r="BF61" s="73">
        <f>SUM('XCombining BS Liability(62Mem)'!Z61-BD61)</f>
        <v>0</v>
      </c>
    </row>
    <row r="62" spans="1:58" s="57" customFormat="1" ht="9.9499999999999993" customHeight="1" x14ac:dyDescent="0.3">
      <c r="A62" s="54"/>
      <c r="B62" s="54" t="s">
        <v>1017</v>
      </c>
      <c r="C62" s="51"/>
      <c r="D62" s="51"/>
      <c r="E62" s="51"/>
      <c r="F62" s="51"/>
      <c r="G62" s="51"/>
      <c r="H62" s="51"/>
      <c r="I62" s="51"/>
      <c r="J62" s="51"/>
      <c r="K62" s="51"/>
      <c r="L62" s="51"/>
      <c r="M62" s="51"/>
      <c r="N62" s="51"/>
      <c r="O62" s="51"/>
      <c r="P62" s="51"/>
      <c r="Q62" s="51">
        <v>302</v>
      </c>
      <c r="R62" s="51"/>
      <c r="S62" s="51"/>
      <c r="T62" s="51">
        <f t="shared" si="0"/>
        <v>302</v>
      </c>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f t="shared" si="1"/>
        <v>0</v>
      </c>
      <c r="AS62" s="51"/>
      <c r="AT62" s="51"/>
      <c r="AU62" s="51">
        <f t="shared" si="2"/>
        <v>302</v>
      </c>
      <c r="AV62" s="51"/>
      <c r="AW62" s="51"/>
      <c r="AX62" s="51"/>
      <c r="AY62" s="51"/>
      <c r="AZ62" s="51"/>
      <c r="BA62" s="51">
        <v>13269</v>
      </c>
      <c r="BB62" s="51"/>
      <c r="BC62" s="51"/>
      <c r="BD62" s="51">
        <f t="shared" si="3"/>
        <v>13571</v>
      </c>
      <c r="BE62" s="54"/>
      <c r="BF62" s="73">
        <f>SUM('XCombining BS Liability(62Mem)'!Z62-BD62)</f>
        <v>0</v>
      </c>
    </row>
    <row r="63" spans="1:58" s="57" customFormat="1" ht="9.9499999999999993" customHeight="1" x14ac:dyDescent="0.3">
      <c r="A63" s="54"/>
      <c r="B63" s="54" t="s">
        <v>582</v>
      </c>
      <c r="C63" s="51"/>
      <c r="D63" s="51"/>
      <c r="E63" s="51"/>
      <c r="F63" s="51"/>
      <c r="G63" s="51"/>
      <c r="H63" s="51"/>
      <c r="I63" s="51"/>
      <c r="J63" s="51"/>
      <c r="K63" s="51"/>
      <c r="L63" s="51"/>
      <c r="M63" s="51"/>
      <c r="N63" s="51"/>
      <c r="O63" s="51"/>
      <c r="P63" s="51"/>
      <c r="Q63" s="51">
        <v>955</v>
      </c>
      <c r="R63" s="51"/>
      <c r="S63" s="51"/>
      <c r="T63" s="51">
        <f t="shared" si="0"/>
        <v>955</v>
      </c>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f t="shared" si="1"/>
        <v>0</v>
      </c>
      <c r="AS63" s="51"/>
      <c r="AT63" s="51"/>
      <c r="AU63" s="51">
        <f t="shared" si="2"/>
        <v>955</v>
      </c>
      <c r="AV63" s="51"/>
      <c r="AW63" s="51"/>
      <c r="AX63" s="51"/>
      <c r="AY63" s="51"/>
      <c r="AZ63" s="51"/>
      <c r="BA63" s="51">
        <v>41993</v>
      </c>
      <c r="BB63" s="51"/>
      <c r="BC63" s="51"/>
      <c r="BD63" s="51">
        <f t="shared" si="3"/>
        <v>42948</v>
      </c>
      <c r="BE63" s="54"/>
      <c r="BF63" s="73">
        <f>SUM('XCombining BS Liability(62Mem)'!Z63-BD63)</f>
        <v>0</v>
      </c>
    </row>
    <row r="64" spans="1:58" s="57" customFormat="1" ht="9.9499999999999993" customHeight="1" x14ac:dyDescent="0.3">
      <c r="A64" s="54"/>
      <c r="B64" s="54" t="s">
        <v>618</v>
      </c>
      <c r="C64" s="51"/>
      <c r="D64" s="51"/>
      <c r="E64" s="51"/>
      <c r="F64" s="51"/>
      <c r="G64" s="51"/>
      <c r="H64" s="51"/>
      <c r="I64" s="51"/>
      <c r="J64" s="51"/>
      <c r="K64" s="51"/>
      <c r="L64" s="51"/>
      <c r="M64" s="51"/>
      <c r="N64" s="51"/>
      <c r="O64" s="51"/>
      <c r="P64" s="51"/>
      <c r="Q64" s="51"/>
      <c r="R64" s="51"/>
      <c r="S64" s="51"/>
      <c r="T64" s="51">
        <f t="shared" si="0"/>
        <v>0</v>
      </c>
      <c r="U64" s="51"/>
      <c r="V64" s="51"/>
      <c r="W64" s="51"/>
      <c r="X64" s="51"/>
      <c r="Y64" s="51"/>
      <c r="Z64" s="51"/>
      <c r="AA64" s="51"/>
      <c r="AB64" s="51"/>
      <c r="AC64" s="51"/>
      <c r="AD64" s="51"/>
      <c r="AE64" s="51"/>
      <c r="AF64" s="51"/>
      <c r="AG64" s="51"/>
      <c r="AH64" s="51"/>
      <c r="AI64" s="51"/>
      <c r="AJ64" s="51"/>
      <c r="AK64" s="51"/>
      <c r="AL64" s="51">
        <v>631265</v>
      </c>
      <c r="AM64" s="51"/>
      <c r="AN64" s="51"/>
      <c r="AO64" s="51"/>
      <c r="AP64" s="51"/>
      <c r="AQ64" s="51"/>
      <c r="AR64" s="51">
        <f t="shared" si="1"/>
        <v>631265</v>
      </c>
      <c r="AS64" s="51"/>
      <c r="AT64" s="51"/>
      <c r="AU64" s="51">
        <f>SUM(T64-AR64)</f>
        <v>-631265</v>
      </c>
      <c r="AV64" s="51"/>
      <c r="AW64" s="51"/>
      <c r="AX64" s="51">
        <v>631265</v>
      </c>
      <c r="AY64" s="51"/>
      <c r="AZ64" s="51"/>
      <c r="BA64" s="51"/>
      <c r="BB64" s="51"/>
      <c r="BC64" s="51"/>
      <c r="BD64" s="51">
        <f t="shared" si="3"/>
        <v>0</v>
      </c>
      <c r="BE64" s="54"/>
      <c r="BF64" s="73">
        <f>SUM('XCombining BS Liability(62Mem)'!Z64-BD64)</f>
        <v>0</v>
      </c>
    </row>
    <row r="65" spans="1:58" s="57" customFormat="1" ht="9.9499999999999993" customHeight="1" x14ac:dyDescent="0.3">
      <c r="A65" s="54"/>
      <c r="B65" s="54" t="s">
        <v>40</v>
      </c>
      <c r="C65" s="51"/>
      <c r="D65" s="51"/>
      <c r="E65" s="51"/>
      <c r="F65" s="51"/>
      <c r="G65" s="51"/>
      <c r="H65" s="51"/>
      <c r="I65" s="51"/>
      <c r="J65" s="51"/>
      <c r="K65" s="51"/>
      <c r="L65" s="51"/>
      <c r="M65" s="51"/>
      <c r="N65" s="51"/>
      <c r="O65" s="51"/>
      <c r="P65" s="51"/>
      <c r="Q65" s="51">
        <v>97</v>
      </c>
      <c r="R65" s="51"/>
      <c r="S65" s="51"/>
      <c r="T65" s="51">
        <f t="shared" si="0"/>
        <v>97</v>
      </c>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f t="shared" si="1"/>
        <v>0</v>
      </c>
      <c r="AS65" s="51"/>
      <c r="AT65" s="51"/>
      <c r="AU65" s="51">
        <f t="shared" si="2"/>
        <v>97</v>
      </c>
      <c r="AV65" s="51"/>
      <c r="AW65" s="51"/>
      <c r="AX65" s="51"/>
      <c r="AY65" s="51"/>
      <c r="AZ65" s="51"/>
      <c r="BA65" s="51">
        <v>4265</v>
      </c>
      <c r="BB65" s="51"/>
      <c r="BC65" s="51"/>
      <c r="BD65" s="51">
        <f t="shared" si="3"/>
        <v>4362</v>
      </c>
      <c r="BE65" s="54"/>
      <c r="BF65" s="73">
        <f>SUM('XCombining BS Liability(62Mem)'!Z65-BD65)</f>
        <v>0</v>
      </c>
    </row>
    <row r="66" spans="1:58" s="57" customFormat="1" ht="9.9499999999999993" customHeight="1" x14ac:dyDescent="0.3">
      <c r="A66" s="54"/>
      <c r="B66" s="54" t="s">
        <v>583</v>
      </c>
      <c r="C66" s="51"/>
      <c r="D66" s="51"/>
      <c r="E66" s="51"/>
      <c r="F66" s="51"/>
      <c r="G66" s="51"/>
      <c r="H66" s="51"/>
      <c r="I66" s="51"/>
      <c r="J66" s="51"/>
      <c r="K66" s="51"/>
      <c r="L66" s="51"/>
      <c r="M66" s="51"/>
      <c r="N66" s="51"/>
      <c r="O66" s="51"/>
      <c r="P66" s="51"/>
      <c r="Q66" s="51">
        <v>65409</v>
      </c>
      <c r="R66" s="51"/>
      <c r="S66" s="51"/>
      <c r="T66" s="51">
        <f t="shared" si="0"/>
        <v>65409</v>
      </c>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f t="shared" si="1"/>
        <v>0</v>
      </c>
      <c r="AS66" s="51"/>
      <c r="AT66" s="51"/>
      <c r="AU66" s="51">
        <f t="shared" si="2"/>
        <v>65409</v>
      </c>
      <c r="AV66" s="51"/>
      <c r="AW66" s="51"/>
      <c r="AX66" s="51">
        <v>-500000</v>
      </c>
      <c r="AY66" s="51"/>
      <c r="AZ66" s="51"/>
      <c r="BA66" s="51">
        <v>2878988</v>
      </c>
      <c r="BB66" s="51"/>
      <c r="BC66" s="51"/>
      <c r="BD66" s="51">
        <f t="shared" si="3"/>
        <v>2444397</v>
      </c>
      <c r="BE66" s="54"/>
      <c r="BF66" s="73">
        <f>SUM('XCombining BS Liability(62Mem)'!Z66-BD66)</f>
        <v>0</v>
      </c>
    </row>
    <row r="67" spans="1:58" s="57" customFormat="1" ht="9.9499999999999993" customHeight="1" x14ac:dyDescent="0.3">
      <c r="A67" s="54"/>
      <c r="B67" s="54" t="s">
        <v>606</v>
      </c>
      <c r="C67" s="51"/>
      <c r="D67" s="51"/>
      <c r="E67" s="51">
        <v>88228</v>
      </c>
      <c r="F67" s="51"/>
      <c r="G67" s="51"/>
      <c r="H67" s="51"/>
      <c r="I67" s="51"/>
      <c r="J67" s="51"/>
      <c r="K67" s="51"/>
      <c r="L67" s="51"/>
      <c r="M67" s="51"/>
      <c r="N67" s="51"/>
      <c r="O67" s="51"/>
      <c r="P67" s="51"/>
      <c r="Q67" s="51">
        <v>144</v>
      </c>
      <c r="R67" s="51"/>
      <c r="S67" s="51"/>
      <c r="T67" s="51">
        <f t="shared" si="0"/>
        <v>88372</v>
      </c>
      <c r="U67" s="51"/>
      <c r="V67" s="51"/>
      <c r="W67" s="51"/>
      <c r="X67" s="51"/>
      <c r="Y67" s="51"/>
      <c r="Z67" s="51"/>
      <c r="AA67" s="51"/>
      <c r="AB67" s="51"/>
      <c r="AC67" s="51"/>
      <c r="AD67" s="51"/>
      <c r="AE67" s="51"/>
      <c r="AF67" s="51"/>
      <c r="AG67" s="51"/>
      <c r="AH67" s="51"/>
      <c r="AI67" s="51"/>
      <c r="AJ67" s="51"/>
      <c r="AK67" s="51"/>
      <c r="AL67" s="51">
        <v>51804</v>
      </c>
      <c r="AM67" s="51"/>
      <c r="AN67" s="51"/>
      <c r="AO67" s="51"/>
      <c r="AP67" s="51"/>
      <c r="AQ67" s="51"/>
      <c r="AR67" s="51">
        <f t="shared" si="1"/>
        <v>51804</v>
      </c>
      <c r="AS67" s="51"/>
      <c r="AT67" s="51"/>
      <c r="AU67" s="51">
        <f t="shared" si="2"/>
        <v>36568</v>
      </c>
      <c r="AV67" s="51"/>
      <c r="AW67" s="51"/>
      <c r="AX67" s="51"/>
      <c r="AY67" s="51"/>
      <c r="AZ67" s="51"/>
      <c r="BA67" s="51">
        <v>1</v>
      </c>
      <c r="BB67" s="51"/>
      <c r="BC67" s="51"/>
      <c r="BD67" s="51">
        <f t="shared" si="3"/>
        <v>36569</v>
      </c>
      <c r="BE67" s="54"/>
      <c r="BF67" s="73">
        <f>SUM('XCombining BS Liability(62Mem)'!Z67-BD67)</f>
        <v>0</v>
      </c>
    </row>
    <row r="68" spans="1:58" s="57" customFormat="1" ht="9.9499999999999993" customHeight="1" x14ac:dyDescent="0.3">
      <c r="A68" s="54"/>
      <c r="B68" s="54" t="s">
        <v>610</v>
      </c>
      <c r="C68" s="51"/>
      <c r="D68" s="51"/>
      <c r="E68" s="51"/>
      <c r="F68" s="51"/>
      <c r="G68" s="51"/>
      <c r="H68" s="51"/>
      <c r="I68" s="51"/>
      <c r="J68" s="51"/>
      <c r="K68" s="51"/>
      <c r="L68" s="51"/>
      <c r="M68" s="51"/>
      <c r="N68" s="51">
        <v>545042</v>
      </c>
      <c r="O68" s="51"/>
      <c r="P68" s="51"/>
      <c r="Q68" s="51"/>
      <c r="R68" s="51"/>
      <c r="S68" s="51"/>
      <c r="T68" s="51">
        <f t="shared" si="0"/>
        <v>545042</v>
      </c>
      <c r="U68" s="51"/>
      <c r="V68" s="51"/>
      <c r="W68" s="51">
        <v>559156</v>
      </c>
      <c r="X68" s="51"/>
      <c r="Y68" s="51"/>
      <c r="Z68" s="51"/>
      <c r="AA68" s="51"/>
      <c r="AB68" s="51"/>
      <c r="AC68" s="51"/>
      <c r="AD68" s="51"/>
      <c r="AE68" s="51"/>
      <c r="AF68" s="51"/>
      <c r="AG68" s="51"/>
      <c r="AH68" s="51"/>
      <c r="AI68" s="51"/>
      <c r="AJ68" s="51"/>
      <c r="AK68" s="51"/>
      <c r="AL68" s="51"/>
      <c r="AM68" s="51"/>
      <c r="AN68" s="51"/>
      <c r="AO68" s="51"/>
      <c r="AP68" s="51"/>
      <c r="AQ68" s="51"/>
      <c r="AR68" s="51">
        <f t="shared" si="1"/>
        <v>559156</v>
      </c>
      <c r="AS68" s="51"/>
      <c r="AT68" s="51"/>
      <c r="AU68" s="51">
        <f t="shared" si="2"/>
        <v>-14114</v>
      </c>
      <c r="AV68" s="51"/>
      <c r="AW68" s="51"/>
      <c r="AX68" s="51"/>
      <c r="AY68" s="51"/>
      <c r="AZ68" s="51"/>
      <c r="BA68" s="51">
        <v>986108</v>
      </c>
      <c r="BB68" s="51"/>
      <c r="BC68" s="51"/>
      <c r="BD68" s="51">
        <f t="shared" si="3"/>
        <v>971994</v>
      </c>
      <c r="BE68" s="54"/>
      <c r="BF68" s="73">
        <f>SUM('XCombining BS Liability(62Mem)'!Z68-BD68)</f>
        <v>0</v>
      </c>
    </row>
    <row r="69" spans="1:58" s="57" customFormat="1" ht="9.9499999999999993" customHeight="1" x14ac:dyDescent="0.3">
      <c r="A69" s="54"/>
      <c r="B69" s="54" t="s">
        <v>611</v>
      </c>
      <c r="C69" s="51"/>
      <c r="D69" s="51"/>
      <c r="E69" s="51"/>
      <c r="F69" s="51"/>
      <c r="G69" s="51"/>
      <c r="H69" s="51"/>
      <c r="I69" s="51"/>
      <c r="J69" s="51"/>
      <c r="K69" s="51"/>
      <c r="L69" s="51"/>
      <c r="M69" s="51"/>
      <c r="N69" s="51"/>
      <c r="O69" s="51"/>
      <c r="P69" s="51"/>
      <c r="Q69" s="51"/>
      <c r="R69" s="51"/>
      <c r="S69" s="51"/>
      <c r="T69" s="51">
        <f t="shared" si="0"/>
        <v>0</v>
      </c>
      <c r="U69" s="51"/>
      <c r="V69" s="51"/>
      <c r="W69" s="51">
        <v>14866</v>
      </c>
      <c r="X69" s="51"/>
      <c r="Y69" s="51"/>
      <c r="Z69" s="51"/>
      <c r="AA69" s="51"/>
      <c r="AB69" s="51"/>
      <c r="AC69" s="51"/>
      <c r="AD69" s="51"/>
      <c r="AE69" s="51"/>
      <c r="AF69" s="51"/>
      <c r="AG69" s="51"/>
      <c r="AH69" s="51"/>
      <c r="AI69" s="51"/>
      <c r="AJ69" s="51"/>
      <c r="AK69" s="51"/>
      <c r="AL69" s="51"/>
      <c r="AM69" s="51"/>
      <c r="AN69" s="51"/>
      <c r="AO69" s="51"/>
      <c r="AP69" s="51"/>
      <c r="AQ69" s="51"/>
      <c r="AR69" s="51">
        <f t="shared" si="1"/>
        <v>14866</v>
      </c>
      <c r="AS69" s="51"/>
      <c r="AT69" s="51"/>
      <c r="AU69" s="51">
        <f t="shared" si="2"/>
        <v>-14866</v>
      </c>
      <c r="AV69" s="51"/>
      <c r="AW69" s="51"/>
      <c r="AX69" s="51"/>
      <c r="AY69" s="51"/>
      <c r="AZ69" s="51"/>
      <c r="BA69" s="51">
        <v>36949</v>
      </c>
      <c r="BB69" s="51"/>
      <c r="BC69" s="51"/>
      <c r="BD69" s="51">
        <f t="shared" si="3"/>
        <v>22083</v>
      </c>
      <c r="BE69" s="54"/>
      <c r="BF69" s="73">
        <f>SUM('XCombining BS Liability(62Mem)'!Z69-BD69)</f>
        <v>0</v>
      </c>
    </row>
    <row r="70" spans="1:58" s="57" customFormat="1" ht="9.9499999999999993" customHeight="1" x14ac:dyDescent="0.3">
      <c r="A70" s="54"/>
      <c r="B70" s="54" t="s">
        <v>612</v>
      </c>
      <c r="C70" s="51"/>
      <c r="D70" s="51"/>
      <c r="E70" s="51"/>
      <c r="F70" s="51"/>
      <c r="G70" s="51"/>
      <c r="H70" s="51"/>
      <c r="I70" s="51"/>
      <c r="J70" s="51"/>
      <c r="K70" s="51"/>
      <c r="L70" s="51"/>
      <c r="M70" s="51"/>
      <c r="N70" s="51"/>
      <c r="O70" s="51"/>
      <c r="P70" s="51"/>
      <c r="Q70" s="51">
        <v>91</v>
      </c>
      <c r="R70" s="51"/>
      <c r="S70" s="51"/>
      <c r="T70" s="51">
        <f t="shared" si="0"/>
        <v>91</v>
      </c>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f t="shared" si="1"/>
        <v>0</v>
      </c>
      <c r="AS70" s="51"/>
      <c r="AT70" s="51"/>
      <c r="AU70" s="51">
        <f t="shared" si="2"/>
        <v>91</v>
      </c>
      <c r="AV70" s="51"/>
      <c r="AW70" s="51"/>
      <c r="AX70" s="51"/>
      <c r="AY70" s="51"/>
      <c r="AZ70" s="51"/>
      <c r="BA70" s="51">
        <v>4019</v>
      </c>
      <c r="BB70" s="51"/>
      <c r="BC70" s="51"/>
      <c r="BD70" s="51">
        <f t="shared" si="3"/>
        <v>4110</v>
      </c>
      <c r="BE70" s="54"/>
      <c r="BF70" s="73">
        <f>SUM('XCombining BS Liability(62Mem)'!Z70-BD70)</f>
        <v>0</v>
      </c>
    </row>
    <row r="71" spans="1:58" s="57" customFormat="1" ht="9.9499999999999993" customHeight="1" x14ac:dyDescent="0.3">
      <c r="A71" s="54"/>
      <c r="B71" s="54" t="s">
        <v>613</v>
      </c>
      <c r="C71" s="51"/>
      <c r="D71" s="51"/>
      <c r="E71" s="51">
        <v>1237559</v>
      </c>
      <c r="F71" s="51"/>
      <c r="G71" s="51"/>
      <c r="H71" s="51"/>
      <c r="I71" s="51"/>
      <c r="J71" s="51"/>
      <c r="K71" s="51"/>
      <c r="L71" s="51"/>
      <c r="M71" s="51"/>
      <c r="N71" s="51">
        <v>88650</v>
      </c>
      <c r="O71" s="51"/>
      <c r="P71" s="51"/>
      <c r="Q71" s="51">
        <v>21202</v>
      </c>
      <c r="R71" s="51"/>
      <c r="S71" s="51"/>
      <c r="T71" s="51">
        <f t="shared" si="0"/>
        <v>1347411</v>
      </c>
      <c r="U71" s="51"/>
      <c r="V71" s="51"/>
      <c r="W71" s="51"/>
      <c r="X71" s="51"/>
      <c r="Y71" s="51"/>
      <c r="Z71" s="51"/>
      <c r="AA71" s="51"/>
      <c r="AB71" s="51"/>
      <c r="AC71" s="51"/>
      <c r="AD71" s="51"/>
      <c r="AE71" s="51"/>
      <c r="AF71" s="51"/>
      <c r="AG71" s="51"/>
      <c r="AH71" s="51"/>
      <c r="AI71" s="51"/>
      <c r="AJ71" s="51"/>
      <c r="AK71" s="51"/>
      <c r="AL71" s="51"/>
      <c r="AM71" s="51"/>
      <c r="AN71" s="51"/>
      <c r="AO71" s="51">
        <v>1508802</v>
      </c>
      <c r="AP71" s="51"/>
      <c r="AQ71" s="51"/>
      <c r="AR71" s="51">
        <f t="shared" si="1"/>
        <v>1508802</v>
      </c>
      <c r="AS71" s="51"/>
      <c r="AT71" s="51"/>
      <c r="AU71" s="51">
        <f t="shared" si="2"/>
        <v>-161391</v>
      </c>
      <c r="AV71" s="51"/>
      <c r="AW71" s="51"/>
      <c r="AX71" s="51"/>
      <c r="AY71" s="51"/>
      <c r="AZ71" s="51"/>
      <c r="BA71" s="51">
        <v>521478</v>
      </c>
      <c r="BB71" s="51"/>
      <c r="BC71" s="51"/>
      <c r="BD71" s="51">
        <f t="shared" si="3"/>
        <v>360087</v>
      </c>
      <c r="BE71" s="54"/>
      <c r="BF71" s="73">
        <f>SUM('XCombining BS Liability(62Mem)'!Z71-BD71)</f>
        <v>0</v>
      </c>
    </row>
    <row r="72" spans="1:58" s="57" customFormat="1" ht="9.9499999999999993" customHeight="1" x14ac:dyDescent="0.3">
      <c r="A72" s="54"/>
      <c r="B72" s="54" t="s">
        <v>614</v>
      </c>
      <c r="C72" s="51"/>
      <c r="D72" s="51"/>
      <c r="E72" s="51"/>
      <c r="F72" s="51"/>
      <c r="G72" s="51"/>
      <c r="H72" s="51"/>
      <c r="I72" s="51"/>
      <c r="J72" s="51"/>
      <c r="K72" s="51"/>
      <c r="L72" s="51"/>
      <c r="M72" s="51"/>
      <c r="N72" s="51"/>
      <c r="O72" s="51"/>
      <c r="P72" s="51"/>
      <c r="Q72" s="51"/>
      <c r="R72" s="51"/>
      <c r="S72" s="51"/>
      <c r="T72" s="51">
        <f t="shared" si="0"/>
        <v>0</v>
      </c>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f t="shared" si="1"/>
        <v>0</v>
      </c>
      <c r="AS72" s="51"/>
      <c r="AT72" s="51"/>
      <c r="AU72" s="51">
        <f t="shared" si="2"/>
        <v>0</v>
      </c>
      <c r="AV72" s="51"/>
      <c r="AW72" s="51"/>
      <c r="AX72" s="51"/>
      <c r="AY72" s="51"/>
      <c r="AZ72" s="51"/>
      <c r="BA72" s="51">
        <v>183</v>
      </c>
      <c r="BB72" s="51"/>
      <c r="BC72" s="51"/>
      <c r="BD72" s="51">
        <f t="shared" si="3"/>
        <v>183</v>
      </c>
      <c r="BE72" s="54"/>
      <c r="BF72" s="73">
        <f>SUM('XCombining BS Liability(62Mem)'!Z72-BD72)</f>
        <v>0</v>
      </c>
    </row>
    <row r="73" spans="1:58" s="57" customFormat="1" ht="9.9499999999999993" customHeight="1" x14ac:dyDescent="0.3">
      <c r="A73" s="54"/>
      <c r="B73" s="54" t="s">
        <v>615</v>
      </c>
      <c r="C73" s="51"/>
      <c r="D73" s="51"/>
      <c r="E73" s="51">
        <v>443886</v>
      </c>
      <c r="F73" s="51"/>
      <c r="G73" s="51"/>
      <c r="H73" s="51"/>
      <c r="I73" s="51"/>
      <c r="J73" s="51"/>
      <c r="K73" s="51"/>
      <c r="L73" s="51"/>
      <c r="M73" s="51"/>
      <c r="N73" s="51">
        <v>7200</v>
      </c>
      <c r="O73" s="51"/>
      <c r="P73" s="51"/>
      <c r="Q73" s="51">
        <v>9121</v>
      </c>
      <c r="R73" s="51"/>
      <c r="S73" s="51"/>
      <c r="T73" s="51">
        <f t="shared" si="0"/>
        <v>460207</v>
      </c>
      <c r="U73" s="51"/>
      <c r="V73" s="51"/>
      <c r="W73" s="51"/>
      <c r="X73" s="51"/>
      <c r="Y73" s="51"/>
      <c r="Z73" s="51"/>
      <c r="AA73" s="51"/>
      <c r="AB73" s="51"/>
      <c r="AC73" s="51"/>
      <c r="AD73" s="51"/>
      <c r="AE73" s="51"/>
      <c r="AF73" s="51"/>
      <c r="AG73" s="51"/>
      <c r="AH73" s="51"/>
      <c r="AI73" s="51"/>
      <c r="AJ73" s="51"/>
      <c r="AK73" s="51"/>
      <c r="AL73" s="51">
        <v>665022</v>
      </c>
      <c r="AM73" s="51"/>
      <c r="AN73" s="51"/>
      <c r="AO73" s="51"/>
      <c r="AP73" s="51"/>
      <c r="AQ73" s="51"/>
      <c r="AR73" s="51">
        <f>SUM(W73:AO73)</f>
        <v>665022</v>
      </c>
      <c r="AS73" s="51"/>
      <c r="AT73" s="51"/>
      <c r="AU73" s="51">
        <f t="shared" si="2"/>
        <v>-204815</v>
      </c>
      <c r="AV73" s="51"/>
      <c r="AW73" s="51"/>
      <c r="AX73" s="51">
        <v>-54630</v>
      </c>
      <c r="AY73" s="51"/>
      <c r="AZ73" s="51"/>
      <c r="BA73" s="51">
        <v>586348</v>
      </c>
      <c r="BB73" s="51"/>
      <c r="BC73" s="51"/>
      <c r="BD73" s="51">
        <f t="shared" si="3"/>
        <v>326903</v>
      </c>
      <c r="BE73" s="54"/>
      <c r="BF73" s="73">
        <f>SUM('XCombining BS Liability(62Mem)'!Z73-BD73)</f>
        <v>0</v>
      </c>
    </row>
    <row r="74" spans="1:58" s="57" customFormat="1" ht="9.9499999999999993" customHeight="1" x14ac:dyDescent="0.3">
      <c r="A74" s="54"/>
      <c r="B74" s="54" t="s">
        <v>616</v>
      </c>
      <c r="C74" s="51"/>
      <c r="D74" s="51"/>
      <c r="E74" s="51">
        <v>168742</v>
      </c>
      <c r="F74" s="51"/>
      <c r="G74" s="51"/>
      <c r="H74" s="51"/>
      <c r="I74" s="51"/>
      <c r="J74" s="51"/>
      <c r="K74" s="51"/>
      <c r="L74" s="51"/>
      <c r="M74" s="51"/>
      <c r="N74" s="51"/>
      <c r="O74" s="51"/>
      <c r="P74" s="51"/>
      <c r="Q74" s="51"/>
      <c r="R74" s="51"/>
      <c r="S74" s="51"/>
      <c r="T74" s="51">
        <f t="shared" si="0"/>
        <v>168742</v>
      </c>
      <c r="U74" s="51"/>
      <c r="V74" s="51"/>
      <c r="W74" s="51"/>
      <c r="X74" s="51"/>
      <c r="Y74" s="51"/>
      <c r="Z74" s="51">
        <v>164007</v>
      </c>
      <c r="AA74" s="51"/>
      <c r="AB74" s="51"/>
      <c r="AC74" s="51"/>
      <c r="AD74" s="51"/>
      <c r="AE74" s="51"/>
      <c r="AF74" s="51"/>
      <c r="AG74" s="51"/>
      <c r="AH74" s="51"/>
      <c r="AI74" s="51"/>
      <c r="AJ74" s="51"/>
      <c r="AK74" s="51"/>
      <c r="AL74" s="51"/>
      <c r="AM74" s="51"/>
      <c r="AN74" s="51"/>
      <c r="AO74" s="51"/>
      <c r="AP74" s="51"/>
      <c r="AQ74" s="51"/>
      <c r="AR74" s="51">
        <f t="shared" si="1"/>
        <v>164007</v>
      </c>
      <c r="AS74" s="51"/>
      <c r="AT74" s="51"/>
      <c r="AU74" s="51">
        <f t="shared" si="2"/>
        <v>4735</v>
      </c>
      <c r="AV74" s="51"/>
      <c r="AW74" s="51"/>
      <c r="AX74" s="51"/>
      <c r="AY74" s="51"/>
      <c r="AZ74" s="51"/>
      <c r="BA74" s="51">
        <v>-4735</v>
      </c>
      <c r="BB74" s="51"/>
      <c r="BC74" s="51"/>
      <c r="BD74" s="51">
        <f t="shared" si="3"/>
        <v>0</v>
      </c>
      <c r="BE74" s="54"/>
      <c r="BF74" s="73">
        <f>SUM('XCombining BS Liability(62Mem)'!Z74-BD74)</f>
        <v>0</v>
      </c>
    </row>
    <row r="75" spans="1:58" s="57" customFormat="1" ht="9.9499999999999993" customHeight="1" x14ac:dyDescent="0.3">
      <c r="A75" s="54"/>
      <c r="B75" s="54" t="s">
        <v>630</v>
      </c>
      <c r="C75" s="51"/>
      <c r="D75" s="51"/>
      <c r="E75" s="51"/>
      <c r="F75" s="51"/>
      <c r="G75" s="51"/>
      <c r="H75" s="51"/>
      <c r="I75" s="51"/>
      <c r="J75" s="51"/>
      <c r="K75" s="51"/>
      <c r="L75" s="51"/>
      <c r="M75" s="51"/>
      <c r="N75" s="51"/>
      <c r="O75" s="51"/>
      <c r="P75" s="51"/>
      <c r="Q75" s="51"/>
      <c r="R75" s="51"/>
      <c r="S75" s="51"/>
      <c r="T75" s="51">
        <f t="shared" si="0"/>
        <v>0</v>
      </c>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f t="shared" si="1"/>
        <v>0</v>
      </c>
      <c r="AS75" s="51"/>
      <c r="AT75" s="51"/>
      <c r="AU75" s="51">
        <f t="shared" si="2"/>
        <v>0</v>
      </c>
      <c r="AV75" s="51"/>
      <c r="AW75" s="51"/>
      <c r="AX75" s="51"/>
      <c r="AY75" s="51"/>
      <c r="AZ75" s="51"/>
      <c r="BA75" s="51"/>
      <c r="BB75" s="51"/>
      <c r="BC75" s="51"/>
      <c r="BD75" s="51">
        <f t="shared" si="3"/>
        <v>0</v>
      </c>
      <c r="BE75" s="54"/>
      <c r="BF75" s="73">
        <f>SUM('XCombining BS Liability(62Mem)'!Z75-BD75)</f>
        <v>0</v>
      </c>
    </row>
    <row r="76" spans="1:58" s="57" customFormat="1" ht="9.9499999999999993" customHeight="1" x14ac:dyDescent="0.3">
      <c r="A76" s="54"/>
      <c r="B76" s="54" t="s">
        <v>634</v>
      </c>
      <c r="C76" s="51"/>
      <c r="D76" s="51"/>
      <c r="E76" s="51"/>
      <c r="F76" s="51"/>
      <c r="G76" s="51"/>
      <c r="H76" s="51"/>
      <c r="I76" s="51"/>
      <c r="J76" s="51"/>
      <c r="K76" s="51"/>
      <c r="L76" s="51"/>
      <c r="M76" s="51"/>
      <c r="N76" s="51"/>
      <c r="O76" s="51"/>
      <c r="P76" s="51"/>
      <c r="Q76" s="51">
        <v>18</v>
      </c>
      <c r="R76" s="51"/>
      <c r="S76" s="51"/>
      <c r="T76" s="51">
        <f t="shared" si="0"/>
        <v>18</v>
      </c>
      <c r="U76" s="51"/>
      <c r="V76" s="51"/>
      <c r="W76" s="51"/>
      <c r="X76" s="51"/>
      <c r="Y76" s="51"/>
      <c r="Z76" s="51"/>
      <c r="AA76" s="51"/>
      <c r="AB76" s="51"/>
      <c r="AC76" s="51"/>
      <c r="AD76" s="51"/>
      <c r="AE76" s="51"/>
      <c r="AF76" s="51">
        <v>2305</v>
      </c>
      <c r="AG76" s="51"/>
      <c r="AH76" s="51"/>
      <c r="AI76" s="51"/>
      <c r="AJ76" s="51"/>
      <c r="AK76" s="51"/>
      <c r="AL76" s="51"/>
      <c r="AM76" s="51"/>
      <c r="AN76" s="51"/>
      <c r="AO76" s="51"/>
      <c r="AP76" s="51"/>
      <c r="AQ76" s="51"/>
      <c r="AR76" s="51">
        <f t="shared" si="1"/>
        <v>2305</v>
      </c>
      <c r="AS76" s="51"/>
      <c r="AT76" s="51"/>
      <c r="AU76" s="51">
        <f t="shared" si="2"/>
        <v>-2287</v>
      </c>
      <c r="AV76" s="51"/>
      <c r="AW76" s="51"/>
      <c r="AX76" s="51"/>
      <c r="AY76" s="51"/>
      <c r="AZ76" s="51"/>
      <c r="BA76" s="51">
        <v>18690</v>
      </c>
      <c r="BB76" s="51"/>
      <c r="BC76" s="51"/>
      <c r="BD76" s="51">
        <f t="shared" si="3"/>
        <v>16403</v>
      </c>
      <c r="BE76" s="54"/>
      <c r="BF76" s="73">
        <f>SUM('XCombining BS Liability(62Mem)'!Z76-BD76)</f>
        <v>0</v>
      </c>
    </row>
    <row r="77" spans="1:58" s="57" customFormat="1" ht="9.9499999999999993" customHeight="1" x14ac:dyDescent="0.3">
      <c r="A77" s="54"/>
      <c r="B77" s="54" t="s">
        <v>638</v>
      </c>
      <c r="C77" s="51"/>
      <c r="D77" s="51"/>
      <c r="E77" s="51"/>
      <c r="F77" s="51"/>
      <c r="G77" s="51"/>
      <c r="H77" s="51"/>
      <c r="I77" s="51"/>
      <c r="J77" s="51"/>
      <c r="K77" s="51"/>
      <c r="L77" s="51"/>
      <c r="M77" s="51"/>
      <c r="N77" s="51"/>
      <c r="O77" s="51"/>
      <c r="P77" s="51"/>
      <c r="Q77" s="51">
        <v>52</v>
      </c>
      <c r="R77" s="51"/>
      <c r="S77" s="51"/>
      <c r="T77" s="51">
        <f t="shared" si="0"/>
        <v>52</v>
      </c>
      <c r="U77" s="51"/>
      <c r="V77" s="51"/>
      <c r="W77" s="51"/>
      <c r="X77" s="51"/>
      <c r="Y77" s="51"/>
      <c r="Z77" s="51"/>
      <c r="AA77" s="51"/>
      <c r="AB77" s="51"/>
      <c r="AC77" s="51"/>
      <c r="AD77" s="51"/>
      <c r="AE77" s="51"/>
      <c r="AF77" s="51"/>
      <c r="AG77" s="51"/>
      <c r="AH77" s="51"/>
      <c r="AI77" s="51"/>
      <c r="AJ77" s="51"/>
      <c r="AK77" s="51"/>
      <c r="AL77" s="51"/>
      <c r="AM77" s="51"/>
      <c r="AN77" s="51"/>
      <c r="AO77" s="51">
        <v>2683</v>
      </c>
      <c r="AP77" s="51"/>
      <c r="AQ77" s="51"/>
      <c r="AR77" s="51">
        <f t="shared" si="1"/>
        <v>2683</v>
      </c>
      <c r="AS77" s="51"/>
      <c r="AT77" s="51"/>
      <c r="AU77" s="51">
        <f t="shared" si="2"/>
        <v>-2631</v>
      </c>
      <c r="AV77" s="51"/>
      <c r="AW77" s="51"/>
      <c r="AX77" s="51"/>
      <c r="AY77" s="51"/>
      <c r="AZ77" s="51"/>
      <c r="BA77" s="51">
        <v>9217</v>
      </c>
      <c r="BB77" s="51"/>
      <c r="BC77" s="51"/>
      <c r="BD77" s="51">
        <f t="shared" si="3"/>
        <v>6586</v>
      </c>
      <c r="BE77" s="54"/>
      <c r="BF77" s="73">
        <f>SUM('XCombining BS Liability(62Mem)'!Z77-BD77)</f>
        <v>0</v>
      </c>
    </row>
    <row r="78" spans="1:58" s="57" customFormat="1" ht="9.9499999999999993" customHeight="1" x14ac:dyDescent="0.3">
      <c r="A78" s="54"/>
      <c r="B78" s="54" t="s">
        <v>639</v>
      </c>
      <c r="C78" s="51"/>
      <c r="D78" s="51"/>
      <c r="E78" s="51">
        <v>120087</v>
      </c>
      <c r="F78" s="51"/>
      <c r="G78" s="51"/>
      <c r="H78" s="51"/>
      <c r="I78" s="51"/>
      <c r="J78" s="51"/>
      <c r="K78" s="51"/>
      <c r="L78" s="51"/>
      <c r="M78" s="51"/>
      <c r="N78" s="51"/>
      <c r="O78" s="51"/>
      <c r="P78" s="51"/>
      <c r="Q78" s="51">
        <v>813</v>
      </c>
      <c r="R78" s="51"/>
      <c r="S78" s="51"/>
      <c r="T78" s="51">
        <f>SUM(E78:Q78)</f>
        <v>120900</v>
      </c>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f t="shared" ref="AR78:AR87" si="4">SUM(W78:AO78)</f>
        <v>0</v>
      </c>
      <c r="AS78" s="51"/>
      <c r="AT78" s="51"/>
      <c r="AU78" s="51">
        <f>SUM(T78-AR78)</f>
        <v>120900</v>
      </c>
      <c r="AV78" s="51"/>
      <c r="AW78" s="51"/>
      <c r="AX78" s="51">
        <v>-120900</v>
      </c>
      <c r="AY78" s="51"/>
      <c r="AZ78" s="51"/>
      <c r="BA78" s="51"/>
      <c r="BB78" s="51"/>
      <c r="BC78" s="51"/>
      <c r="BD78" s="51">
        <f t="shared" ref="BD78:BD96" si="5">SUM(AU78:BA78)</f>
        <v>0</v>
      </c>
      <c r="BE78" s="54"/>
      <c r="BF78" s="73">
        <f>SUM('XCombining BS Liability(62Mem)'!Z78-BD78)</f>
        <v>0</v>
      </c>
    </row>
    <row r="79" spans="1:58" s="57" customFormat="1" ht="9.9499999999999993" customHeight="1" x14ac:dyDescent="0.3">
      <c r="A79" s="54"/>
      <c r="B79" s="54" t="s">
        <v>640</v>
      </c>
      <c r="C79" s="51"/>
      <c r="D79" s="51"/>
      <c r="E79" s="51"/>
      <c r="F79" s="51"/>
      <c r="G79" s="51"/>
      <c r="H79" s="51"/>
      <c r="I79" s="51"/>
      <c r="J79" s="51"/>
      <c r="K79" s="51">
        <v>1555562</v>
      </c>
      <c r="L79" s="51"/>
      <c r="M79" s="51"/>
      <c r="N79" s="51">
        <v>412582</v>
      </c>
      <c r="O79" s="51"/>
      <c r="P79" s="51"/>
      <c r="Q79" s="51">
        <v>14517</v>
      </c>
      <c r="R79" s="51"/>
      <c r="S79" s="51"/>
      <c r="T79" s="51">
        <f>SUM(E79:Q79)</f>
        <v>1982661</v>
      </c>
      <c r="U79" s="51"/>
      <c r="V79" s="51"/>
      <c r="W79" s="51">
        <v>144340</v>
      </c>
      <c r="X79" s="51"/>
      <c r="Y79" s="51"/>
      <c r="Z79" s="51"/>
      <c r="AA79" s="51"/>
      <c r="AB79" s="51"/>
      <c r="AC79" s="51"/>
      <c r="AD79" s="51"/>
      <c r="AE79" s="51"/>
      <c r="AF79" s="51"/>
      <c r="AG79" s="51"/>
      <c r="AH79" s="51"/>
      <c r="AI79" s="51"/>
      <c r="AJ79" s="51"/>
      <c r="AK79" s="51"/>
      <c r="AL79" s="51"/>
      <c r="AM79" s="51"/>
      <c r="AN79" s="51"/>
      <c r="AO79" s="51"/>
      <c r="AP79" s="51"/>
      <c r="AQ79" s="51"/>
      <c r="AR79" s="51">
        <f t="shared" si="4"/>
        <v>144340</v>
      </c>
      <c r="AS79" s="51"/>
      <c r="AT79" s="51"/>
      <c r="AU79" s="51">
        <f>SUM(T79-AR79)</f>
        <v>1838321</v>
      </c>
      <c r="AV79" s="51"/>
      <c r="AW79" s="51"/>
      <c r="AX79" s="51">
        <v>-1838321</v>
      </c>
      <c r="AY79" s="51"/>
      <c r="AZ79" s="51"/>
      <c r="BA79" s="51"/>
      <c r="BB79" s="51"/>
      <c r="BC79" s="51"/>
      <c r="BD79" s="51">
        <f t="shared" si="5"/>
        <v>0</v>
      </c>
      <c r="BE79" s="54"/>
      <c r="BF79" s="73">
        <f>SUM('XCombining BS Liability(62Mem)'!Z79-BD79)</f>
        <v>0</v>
      </c>
    </row>
    <row r="80" spans="1:58" s="57" customFormat="1" ht="9.9499999999999993" customHeight="1" x14ac:dyDescent="0.3">
      <c r="A80" s="54"/>
      <c r="B80" s="54" t="s">
        <v>641</v>
      </c>
      <c r="C80" s="51"/>
      <c r="D80" s="51"/>
      <c r="E80" s="51"/>
      <c r="F80" s="51"/>
      <c r="G80" s="51"/>
      <c r="H80" s="51"/>
      <c r="I80" s="51"/>
      <c r="J80" s="51"/>
      <c r="K80" s="51"/>
      <c r="L80" s="51"/>
      <c r="M80" s="51"/>
      <c r="N80" s="51">
        <v>15000</v>
      </c>
      <c r="O80" s="51"/>
      <c r="P80" s="51"/>
      <c r="Q80" s="51">
        <v>8948</v>
      </c>
      <c r="R80" s="51"/>
      <c r="S80" s="51"/>
      <c r="T80" s="51">
        <f>SUM(E80:Q80)</f>
        <v>23948</v>
      </c>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f t="shared" si="4"/>
        <v>0</v>
      </c>
      <c r="AS80" s="51"/>
      <c r="AT80" s="51"/>
      <c r="AU80" s="51">
        <f>SUM(T80-AR80)</f>
        <v>23948</v>
      </c>
      <c r="AV80" s="51"/>
      <c r="AW80" s="51"/>
      <c r="AX80" s="51"/>
      <c r="AY80" s="51"/>
      <c r="AZ80" s="51"/>
      <c r="BA80" s="51">
        <v>163133</v>
      </c>
      <c r="BB80" s="51"/>
      <c r="BC80" s="51"/>
      <c r="BD80" s="51">
        <f t="shared" si="5"/>
        <v>187081</v>
      </c>
      <c r="BE80" s="54"/>
      <c r="BF80" s="73">
        <f>SUM('XCombining BS Liability(62Mem)'!Z80-BD80)</f>
        <v>0</v>
      </c>
    </row>
    <row r="81" spans="1:58" s="57" customFormat="1" ht="9.9499999999999993" customHeight="1" x14ac:dyDescent="0.3">
      <c r="A81" s="54"/>
      <c r="B81" s="54" t="s">
        <v>642</v>
      </c>
      <c r="C81" s="51"/>
      <c r="D81" s="51"/>
      <c r="E81" s="51">
        <v>411964</v>
      </c>
      <c r="F81" s="51"/>
      <c r="G81" s="51"/>
      <c r="H81" s="51"/>
      <c r="I81" s="51"/>
      <c r="J81" s="51"/>
      <c r="K81" s="51"/>
      <c r="L81" s="51"/>
      <c r="M81" s="51"/>
      <c r="N81" s="51"/>
      <c r="O81" s="51"/>
      <c r="P81" s="51"/>
      <c r="Q81" s="51">
        <v>119</v>
      </c>
      <c r="R81" s="51"/>
      <c r="S81" s="51"/>
      <c r="T81" s="51">
        <f>SUM(E81:Q81)</f>
        <v>412083</v>
      </c>
      <c r="U81" s="51"/>
      <c r="V81" s="51"/>
      <c r="W81" s="51"/>
      <c r="X81" s="51"/>
      <c r="Y81" s="51"/>
      <c r="Z81" s="51"/>
      <c r="AA81" s="51"/>
      <c r="AB81" s="51"/>
      <c r="AC81" s="51"/>
      <c r="AD81" s="51"/>
      <c r="AE81" s="51"/>
      <c r="AF81" s="51"/>
      <c r="AG81" s="51"/>
      <c r="AH81" s="51"/>
      <c r="AI81" s="51"/>
      <c r="AJ81" s="51"/>
      <c r="AK81" s="51"/>
      <c r="AL81" s="51"/>
      <c r="AM81" s="51"/>
      <c r="AN81" s="51"/>
      <c r="AO81" s="51">
        <v>586918</v>
      </c>
      <c r="AP81" s="51"/>
      <c r="AQ81" s="51"/>
      <c r="AR81" s="51">
        <f t="shared" si="4"/>
        <v>586918</v>
      </c>
      <c r="AS81" s="51"/>
      <c r="AT81" s="51"/>
      <c r="AU81" s="51">
        <f t="shared" ref="AU81:AU96" si="6">SUM(T81-AR81)</f>
        <v>-174835</v>
      </c>
      <c r="AV81" s="51"/>
      <c r="AW81" s="51"/>
      <c r="AX81" s="51">
        <v>123582</v>
      </c>
      <c r="AY81" s="51"/>
      <c r="AZ81" s="51"/>
      <c r="BA81" s="51">
        <v>67830</v>
      </c>
      <c r="BB81" s="51"/>
      <c r="BC81" s="51"/>
      <c r="BD81" s="51">
        <f t="shared" si="5"/>
        <v>16577</v>
      </c>
      <c r="BE81" s="54"/>
      <c r="BF81" s="73">
        <f>SUM('XCombining BS Liability(62Mem)'!Z81-BD81)</f>
        <v>0</v>
      </c>
    </row>
    <row r="82" spans="1:58" s="57" customFormat="1" ht="9.9499999999999993" customHeight="1" x14ac:dyDescent="0.3">
      <c r="A82" s="54"/>
      <c r="B82" s="54" t="s">
        <v>643</v>
      </c>
      <c r="C82" s="51"/>
      <c r="D82" s="51"/>
      <c r="E82" s="51">
        <v>11000</v>
      </c>
      <c r="F82" s="51"/>
      <c r="G82" s="51"/>
      <c r="H82" s="51"/>
      <c r="I82" s="51"/>
      <c r="J82" s="51"/>
      <c r="K82" s="51"/>
      <c r="L82" s="51"/>
      <c r="M82" s="51"/>
      <c r="N82" s="51"/>
      <c r="O82" s="51"/>
      <c r="P82" s="51"/>
      <c r="Q82" s="51"/>
      <c r="R82" s="51"/>
      <c r="S82" s="51"/>
      <c r="T82" s="51">
        <f t="shared" ref="T82:T96" si="7">SUM(E82:Q82)</f>
        <v>11000</v>
      </c>
      <c r="U82" s="51"/>
      <c r="V82" s="51"/>
      <c r="W82" s="51"/>
      <c r="X82" s="51"/>
      <c r="Y82" s="51"/>
      <c r="Z82" s="51"/>
      <c r="AA82" s="51"/>
      <c r="AB82" s="51"/>
      <c r="AC82" s="51"/>
      <c r="AD82" s="51"/>
      <c r="AE82" s="51"/>
      <c r="AF82" s="51"/>
      <c r="AG82" s="51"/>
      <c r="AH82" s="51"/>
      <c r="AI82" s="51"/>
      <c r="AJ82" s="51"/>
      <c r="AK82" s="51"/>
      <c r="AL82" s="51"/>
      <c r="AM82" s="51"/>
      <c r="AN82" s="51"/>
      <c r="AO82" s="51">
        <v>53117</v>
      </c>
      <c r="AP82" s="51"/>
      <c r="AQ82" s="51"/>
      <c r="AR82" s="51">
        <f t="shared" si="4"/>
        <v>53117</v>
      </c>
      <c r="AS82" s="51"/>
      <c r="AT82" s="51"/>
      <c r="AU82" s="51">
        <f t="shared" si="6"/>
        <v>-42117</v>
      </c>
      <c r="AV82" s="51"/>
      <c r="AW82" s="51"/>
      <c r="AX82" s="51"/>
      <c r="AY82" s="51"/>
      <c r="AZ82" s="51"/>
      <c r="BA82" s="51">
        <v>-369837</v>
      </c>
      <c r="BB82" s="51"/>
      <c r="BC82" s="51"/>
      <c r="BD82" s="51">
        <f t="shared" si="5"/>
        <v>-411954</v>
      </c>
      <c r="BE82" s="54"/>
      <c r="BF82" s="73">
        <f>SUM('XCombining BS Liability(62Mem)'!Z82-BD82)</f>
        <v>0</v>
      </c>
    </row>
    <row r="83" spans="1:58" s="57" customFormat="1" ht="9.9499999999999993" customHeight="1" x14ac:dyDescent="0.3">
      <c r="A83" s="54"/>
      <c r="B83" s="54" t="s">
        <v>644</v>
      </c>
      <c r="C83" s="51"/>
      <c r="D83" s="51"/>
      <c r="E83" s="51"/>
      <c r="F83" s="51"/>
      <c r="G83" s="51"/>
      <c r="H83" s="51">
        <v>1338390</v>
      </c>
      <c r="I83" s="51"/>
      <c r="J83" s="51"/>
      <c r="K83" s="51">
        <v>1211784</v>
      </c>
      <c r="L83" s="51"/>
      <c r="M83" s="51"/>
      <c r="N83" s="51"/>
      <c r="O83" s="51"/>
      <c r="P83" s="51"/>
      <c r="Q83" s="51">
        <v>14832</v>
      </c>
      <c r="R83" s="51"/>
      <c r="S83" s="51"/>
      <c r="T83" s="51">
        <f t="shared" si="7"/>
        <v>2565006</v>
      </c>
      <c r="U83" s="51"/>
      <c r="V83" s="51"/>
      <c r="W83" s="51">
        <v>752365</v>
      </c>
      <c r="X83" s="51"/>
      <c r="Y83" s="51"/>
      <c r="Z83" s="51"/>
      <c r="AA83" s="51"/>
      <c r="AB83" s="51"/>
      <c r="AC83" s="51"/>
      <c r="AD83" s="51"/>
      <c r="AE83" s="51"/>
      <c r="AF83" s="51"/>
      <c r="AG83" s="51"/>
      <c r="AH83" s="51"/>
      <c r="AI83" s="51"/>
      <c r="AJ83" s="51"/>
      <c r="AK83" s="51"/>
      <c r="AL83" s="51"/>
      <c r="AM83" s="51"/>
      <c r="AN83" s="51"/>
      <c r="AO83" s="51"/>
      <c r="AP83" s="51"/>
      <c r="AQ83" s="51"/>
      <c r="AR83" s="51">
        <f t="shared" si="4"/>
        <v>752365</v>
      </c>
      <c r="AS83" s="51"/>
      <c r="AT83" s="51"/>
      <c r="AU83" s="51">
        <f t="shared" si="6"/>
        <v>1812641</v>
      </c>
      <c r="AV83" s="51"/>
      <c r="AW83" s="51"/>
      <c r="AX83" s="51">
        <v>-1182322</v>
      </c>
      <c r="AY83" s="51"/>
      <c r="AZ83" s="51"/>
      <c r="BA83" s="51">
        <v>929402</v>
      </c>
      <c r="BB83" s="51"/>
      <c r="BC83" s="51"/>
      <c r="BD83" s="51">
        <f t="shared" si="5"/>
        <v>1559721</v>
      </c>
      <c r="BE83" s="54"/>
      <c r="BF83" s="73">
        <f>SUM('XCombining BS Liability(62Mem)'!Z83-BD83)</f>
        <v>0</v>
      </c>
    </row>
    <row r="84" spans="1:58" s="57" customFormat="1" ht="9.9499999999999993" customHeight="1" x14ac:dyDescent="0.3">
      <c r="A84" s="54"/>
      <c r="B84" s="54" t="s">
        <v>648</v>
      </c>
      <c r="C84" s="51"/>
      <c r="D84" s="51"/>
      <c r="E84" s="51"/>
      <c r="F84" s="51"/>
      <c r="G84" s="51"/>
      <c r="H84" s="51"/>
      <c r="I84" s="51"/>
      <c r="J84" s="51"/>
      <c r="K84" s="51"/>
      <c r="L84" s="51"/>
      <c r="M84" s="51"/>
      <c r="N84" s="51"/>
      <c r="O84" s="51"/>
      <c r="P84" s="51"/>
      <c r="Q84" s="51">
        <v>2526</v>
      </c>
      <c r="R84" s="51"/>
      <c r="S84" s="51"/>
      <c r="T84" s="51">
        <f t="shared" si="7"/>
        <v>2526</v>
      </c>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f t="shared" si="4"/>
        <v>0</v>
      </c>
      <c r="AS84" s="51"/>
      <c r="AT84" s="51"/>
      <c r="AU84" s="51">
        <f t="shared" si="6"/>
        <v>2526</v>
      </c>
      <c r="AV84" s="51"/>
      <c r="AW84" s="51"/>
      <c r="AX84" s="51">
        <v>1649501</v>
      </c>
      <c r="AY84" s="51"/>
      <c r="AZ84" s="51"/>
      <c r="BA84" s="51">
        <v>-1652027</v>
      </c>
      <c r="BB84" s="51"/>
      <c r="BC84" s="51"/>
      <c r="BD84" s="51">
        <f t="shared" si="5"/>
        <v>0</v>
      </c>
      <c r="BE84" s="54"/>
      <c r="BF84" s="73">
        <f>SUM('XCombining BS Liability(62Mem)'!Z84-BD84)</f>
        <v>0</v>
      </c>
    </row>
    <row r="85" spans="1:58" s="57" customFormat="1" ht="9.9499999999999993" customHeight="1" x14ac:dyDescent="0.3">
      <c r="A85" s="54"/>
      <c r="B85" s="54" t="s">
        <v>649</v>
      </c>
      <c r="C85" s="51"/>
      <c r="D85" s="51"/>
      <c r="E85" s="51"/>
      <c r="F85" s="51"/>
      <c r="G85" s="51"/>
      <c r="H85" s="51"/>
      <c r="I85" s="51"/>
      <c r="J85" s="51"/>
      <c r="K85" s="51"/>
      <c r="L85" s="51"/>
      <c r="M85" s="51"/>
      <c r="N85" s="51">
        <v>124176</v>
      </c>
      <c r="O85" s="51"/>
      <c r="P85" s="51"/>
      <c r="Q85" s="51">
        <v>20527</v>
      </c>
      <c r="R85" s="51"/>
      <c r="S85" s="51"/>
      <c r="T85" s="51">
        <f t="shared" si="7"/>
        <v>144703</v>
      </c>
      <c r="U85" s="51"/>
      <c r="V85" s="51"/>
      <c r="W85" s="51">
        <v>1083</v>
      </c>
      <c r="X85" s="51"/>
      <c r="Y85" s="51"/>
      <c r="Z85" s="51"/>
      <c r="AA85" s="51"/>
      <c r="AB85" s="51"/>
      <c r="AC85" s="51"/>
      <c r="AD85" s="51"/>
      <c r="AE85" s="51"/>
      <c r="AF85" s="51"/>
      <c r="AG85" s="51"/>
      <c r="AH85" s="51"/>
      <c r="AI85" s="51"/>
      <c r="AJ85" s="51"/>
      <c r="AK85" s="51"/>
      <c r="AL85" s="51"/>
      <c r="AM85" s="51"/>
      <c r="AN85" s="51"/>
      <c r="AO85" s="51"/>
      <c r="AP85" s="51"/>
      <c r="AQ85" s="51"/>
      <c r="AR85" s="51">
        <f t="shared" si="4"/>
        <v>1083</v>
      </c>
      <c r="AS85" s="51"/>
      <c r="AT85" s="51"/>
      <c r="AU85" s="51">
        <f t="shared" si="6"/>
        <v>143620</v>
      </c>
      <c r="AV85" s="51"/>
      <c r="AW85" s="51"/>
      <c r="AX85" s="51"/>
      <c r="AY85" s="51"/>
      <c r="AZ85" s="51"/>
      <c r="BA85" s="51">
        <v>998487</v>
      </c>
      <c r="BB85" s="51"/>
      <c r="BC85" s="51"/>
      <c r="BD85" s="51">
        <f t="shared" si="5"/>
        <v>1142107</v>
      </c>
      <c r="BE85" s="54"/>
      <c r="BF85" s="73">
        <f>SUM('XCombining BS Liability(62Mem)'!Z85-BD85)</f>
        <v>0</v>
      </c>
    </row>
    <row r="86" spans="1:58" s="57" customFormat="1" ht="9.9499999999999993" customHeight="1" x14ac:dyDescent="0.3">
      <c r="A86" s="54"/>
      <c r="B86" s="54" t="s">
        <v>650</v>
      </c>
      <c r="C86" s="51"/>
      <c r="D86" s="51"/>
      <c r="E86" s="51"/>
      <c r="F86" s="51"/>
      <c r="G86" s="51"/>
      <c r="H86" s="51"/>
      <c r="I86" s="51"/>
      <c r="J86" s="51"/>
      <c r="K86" s="51"/>
      <c r="L86" s="51"/>
      <c r="M86" s="51"/>
      <c r="N86" s="51">
        <v>774056</v>
      </c>
      <c r="O86" s="51"/>
      <c r="P86" s="51"/>
      <c r="Q86" s="51">
        <v>63996</v>
      </c>
      <c r="R86" s="51"/>
      <c r="S86" s="51"/>
      <c r="T86" s="51">
        <f t="shared" si="7"/>
        <v>838052</v>
      </c>
      <c r="U86" s="51"/>
      <c r="V86" s="51"/>
      <c r="W86" s="51">
        <v>3515639</v>
      </c>
      <c r="X86" s="51"/>
      <c r="Y86" s="51"/>
      <c r="Z86" s="51"/>
      <c r="AA86" s="51"/>
      <c r="AB86" s="51"/>
      <c r="AC86" s="51"/>
      <c r="AD86" s="51"/>
      <c r="AE86" s="51"/>
      <c r="AF86" s="51"/>
      <c r="AG86" s="51"/>
      <c r="AH86" s="51"/>
      <c r="AI86" s="51"/>
      <c r="AJ86" s="51"/>
      <c r="AK86" s="51"/>
      <c r="AL86" s="51"/>
      <c r="AM86" s="51"/>
      <c r="AN86" s="51"/>
      <c r="AO86" s="51"/>
      <c r="AP86" s="51"/>
      <c r="AQ86" s="51"/>
      <c r="AR86" s="51">
        <f t="shared" si="4"/>
        <v>3515639</v>
      </c>
      <c r="AS86" s="51"/>
      <c r="AT86" s="51"/>
      <c r="AU86" s="51">
        <f t="shared" si="6"/>
        <v>-2677587</v>
      </c>
      <c r="AV86" s="51"/>
      <c r="AW86" s="51"/>
      <c r="AX86" s="51">
        <v>2461777</v>
      </c>
      <c r="AY86" s="51"/>
      <c r="AZ86" s="51"/>
      <c r="BA86" s="51">
        <v>978893</v>
      </c>
      <c r="BB86" s="51"/>
      <c r="BC86" s="51"/>
      <c r="BD86" s="51">
        <f t="shared" si="5"/>
        <v>763083</v>
      </c>
      <c r="BE86" s="54"/>
      <c r="BF86" s="73">
        <f>SUM('XCombining BS Liability(62Mem)'!Z86-BD86)</f>
        <v>0</v>
      </c>
    </row>
    <row r="87" spans="1:58" s="57" customFormat="1" ht="9.9499999999999993" customHeight="1" x14ac:dyDescent="0.3">
      <c r="A87" s="54"/>
      <c r="B87" s="54" t="s">
        <v>651</v>
      </c>
      <c r="C87" s="51"/>
      <c r="D87" s="51"/>
      <c r="E87" s="51">
        <v>420146</v>
      </c>
      <c r="F87" s="51"/>
      <c r="G87" s="51"/>
      <c r="H87" s="51"/>
      <c r="I87" s="51"/>
      <c r="J87" s="51"/>
      <c r="K87" s="51"/>
      <c r="L87" s="51"/>
      <c r="M87" s="51"/>
      <c r="N87" s="51"/>
      <c r="O87" s="51"/>
      <c r="P87" s="51"/>
      <c r="Q87" s="51"/>
      <c r="R87" s="51"/>
      <c r="S87" s="51"/>
      <c r="T87" s="51">
        <f t="shared" si="7"/>
        <v>420146</v>
      </c>
      <c r="U87" s="51"/>
      <c r="V87" s="51"/>
      <c r="W87" s="51">
        <v>298690</v>
      </c>
      <c r="X87" s="51"/>
      <c r="Y87" s="51"/>
      <c r="Z87" s="51"/>
      <c r="AA87" s="51"/>
      <c r="AB87" s="51"/>
      <c r="AC87" s="51"/>
      <c r="AD87" s="51"/>
      <c r="AE87" s="51"/>
      <c r="AF87" s="51"/>
      <c r="AG87" s="51"/>
      <c r="AH87" s="51"/>
      <c r="AI87" s="51"/>
      <c r="AJ87" s="51"/>
      <c r="AK87" s="51"/>
      <c r="AL87" s="51"/>
      <c r="AM87" s="51"/>
      <c r="AN87" s="51"/>
      <c r="AO87" s="51"/>
      <c r="AP87" s="51"/>
      <c r="AQ87" s="51"/>
      <c r="AR87" s="51">
        <f t="shared" si="4"/>
        <v>298690</v>
      </c>
      <c r="AS87" s="51"/>
      <c r="AT87" s="51"/>
      <c r="AU87" s="51">
        <f t="shared" si="6"/>
        <v>121456</v>
      </c>
      <c r="AV87" s="51"/>
      <c r="AW87" s="51"/>
      <c r="AX87" s="51"/>
      <c r="AY87" s="51"/>
      <c r="AZ87" s="51"/>
      <c r="BA87" s="51">
        <v>-233509</v>
      </c>
      <c r="BB87" s="51"/>
      <c r="BC87" s="51"/>
      <c r="BD87" s="51">
        <f t="shared" si="5"/>
        <v>-112053</v>
      </c>
      <c r="BE87" s="54"/>
      <c r="BF87" s="73">
        <f>SUM('XCombining BS Liability(62Mem)'!Z87-BD87)</f>
        <v>0</v>
      </c>
    </row>
    <row r="88" spans="1:58" s="57" customFormat="1" ht="9.9499999999999993" customHeight="1" x14ac:dyDescent="0.3">
      <c r="A88" s="54"/>
      <c r="B88" s="54" t="s">
        <v>41</v>
      </c>
      <c r="C88" s="51"/>
      <c r="D88" s="51"/>
      <c r="E88" s="51">
        <v>24169</v>
      </c>
      <c r="F88" s="51"/>
      <c r="G88" s="51"/>
      <c r="H88" s="51"/>
      <c r="I88" s="51"/>
      <c r="J88" s="51"/>
      <c r="K88" s="51"/>
      <c r="L88" s="51"/>
      <c r="M88" s="51"/>
      <c r="N88" s="51"/>
      <c r="O88" s="51"/>
      <c r="P88" s="51"/>
      <c r="Q88" s="51">
        <v>2401</v>
      </c>
      <c r="R88" s="51"/>
      <c r="S88" s="51"/>
      <c r="T88" s="51">
        <f t="shared" si="7"/>
        <v>26570</v>
      </c>
      <c r="U88" s="51"/>
      <c r="V88" s="51"/>
      <c r="W88" s="51"/>
      <c r="X88" s="51"/>
      <c r="Y88" s="51"/>
      <c r="Z88" s="51">
        <v>1808</v>
      </c>
      <c r="AA88" s="51"/>
      <c r="AB88" s="51"/>
      <c r="AC88" s="51"/>
      <c r="AD88" s="51"/>
      <c r="AE88" s="51"/>
      <c r="AF88" s="51"/>
      <c r="AG88" s="51"/>
      <c r="AH88" s="51"/>
      <c r="AI88" s="51"/>
      <c r="AJ88" s="51"/>
      <c r="AK88" s="51"/>
      <c r="AL88" s="51"/>
      <c r="AM88" s="51"/>
      <c r="AN88" s="51"/>
      <c r="AO88" s="51"/>
      <c r="AP88" s="51"/>
      <c r="AQ88" s="51"/>
      <c r="AR88" s="51">
        <f>SUM(W88:AO88)</f>
        <v>1808</v>
      </c>
      <c r="AS88" s="51"/>
      <c r="AT88" s="51"/>
      <c r="AU88" s="51">
        <f t="shared" si="6"/>
        <v>24762</v>
      </c>
      <c r="AV88" s="51"/>
      <c r="AW88" s="51"/>
      <c r="AX88" s="51"/>
      <c r="AY88" s="51"/>
      <c r="AZ88" s="51"/>
      <c r="BA88" s="51">
        <v>4784</v>
      </c>
      <c r="BB88" s="51"/>
      <c r="BC88" s="51"/>
      <c r="BD88" s="51">
        <f t="shared" si="5"/>
        <v>29546</v>
      </c>
      <c r="BE88" s="54"/>
      <c r="BF88" s="73">
        <f>SUM('XCombining BS Liability(62Mem)'!Z88-BD88)</f>
        <v>0</v>
      </c>
    </row>
    <row r="89" spans="1:58" s="57" customFormat="1" ht="9.9499999999999993" customHeight="1" x14ac:dyDescent="0.3">
      <c r="A89" s="54"/>
      <c r="B89" s="54" t="s">
        <v>652</v>
      </c>
      <c r="C89" s="51"/>
      <c r="D89" s="51"/>
      <c r="E89" s="51"/>
      <c r="F89" s="51"/>
      <c r="G89" s="51"/>
      <c r="H89" s="51"/>
      <c r="I89" s="51"/>
      <c r="J89" s="51"/>
      <c r="K89" s="51"/>
      <c r="L89" s="51"/>
      <c r="M89" s="51"/>
      <c r="N89" s="51"/>
      <c r="O89" s="51"/>
      <c r="P89" s="51"/>
      <c r="Q89" s="51">
        <v>209430</v>
      </c>
      <c r="R89" s="51"/>
      <c r="S89" s="51"/>
      <c r="T89" s="51">
        <f t="shared" si="7"/>
        <v>209430</v>
      </c>
      <c r="U89" s="51"/>
      <c r="V89" s="51"/>
      <c r="W89" s="51"/>
      <c r="X89" s="51"/>
      <c r="Y89" s="51"/>
      <c r="Z89" s="51"/>
      <c r="AA89" s="51"/>
      <c r="AB89" s="51"/>
      <c r="AC89" s="51"/>
      <c r="AD89" s="51"/>
      <c r="AE89" s="51"/>
      <c r="AF89" s="51"/>
      <c r="AG89" s="51"/>
      <c r="AH89" s="51"/>
      <c r="AI89" s="51"/>
      <c r="AJ89" s="51"/>
      <c r="AK89" s="51"/>
      <c r="AL89" s="51"/>
      <c r="AM89" s="51"/>
      <c r="AN89" s="51"/>
      <c r="AO89" s="51">
        <v>1600000</v>
      </c>
      <c r="AP89" s="51"/>
      <c r="AQ89" s="51"/>
      <c r="AR89" s="51">
        <f t="shared" ref="AR89:AR96" si="8">SUM(W89:AO89)</f>
        <v>1600000</v>
      </c>
      <c r="AS89" s="51"/>
      <c r="AT89" s="51"/>
      <c r="AU89" s="51">
        <f t="shared" si="6"/>
        <v>-1390570</v>
      </c>
      <c r="AV89" s="51"/>
      <c r="AW89" s="51"/>
      <c r="AX89" s="51">
        <v>8000000</v>
      </c>
      <c r="AY89" s="51"/>
      <c r="AZ89" s="51"/>
      <c r="BA89" s="51"/>
      <c r="BB89" s="51"/>
      <c r="BC89" s="51"/>
      <c r="BD89" s="51">
        <f t="shared" si="5"/>
        <v>6609430</v>
      </c>
      <c r="BE89" s="54"/>
      <c r="BF89" s="73">
        <f>SUM('XCombining BS Liability(62Mem)'!Z89-BD89)</f>
        <v>0</v>
      </c>
    </row>
    <row r="90" spans="1:58" s="57" customFormat="1" ht="9.9499999999999993" customHeight="1" x14ac:dyDescent="0.3">
      <c r="A90" s="54"/>
      <c r="B90" s="54" t="s">
        <v>653</v>
      </c>
      <c r="C90" s="51"/>
      <c r="D90" s="51"/>
      <c r="E90" s="51">
        <v>213300</v>
      </c>
      <c r="F90" s="51"/>
      <c r="G90" s="51"/>
      <c r="H90" s="51"/>
      <c r="I90" s="51"/>
      <c r="J90" s="51"/>
      <c r="K90" s="51"/>
      <c r="L90" s="51"/>
      <c r="M90" s="51"/>
      <c r="N90" s="51"/>
      <c r="O90" s="51"/>
      <c r="P90" s="51"/>
      <c r="Q90" s="51">
        <v>18793</v>
      </c>
      <c r="R90" s="51"/>
      <c r="S90" s="51"/>
      <c r="T90" s="51">
        <f t="shared" si="7"/>
        <v>232093</v>
      </c>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f t="shared" si="8"/>
        <v>0</v>
      </c>
      <c r="AS90" s="51"/>
      <c r="AT90" s="51"/>
      <c r="AU90" s="51">
        <f t="shared" si="6"/>
        <v>232093</v>
      </c>
      <c r="AV90" s="51"/>
      <c r="AW90" s="51"/>
      <c r="AX90" s="51">
        <v>668416</v>
      </c>
      <c r="AY90" s="51"/>
      <c r="AZ90" s="51"/>
      <c r="BA90" s="51"/>
      <c r="BB90" s="51"/>
      <c r="BC90" s="51"/>
      <c r="BD90" s="51">
        <f t="shared" si="5"/>
        <v>900509</v>
      </c>
      <c r="BE90" s="54"/>
      <c r="BF90" s="73">
        <f>SUM('XCombining BS Liability(62Mem)'!Z90-BD90)</f>
        <v>0</v>
      </c>
    </row>
    <row r="91" spans="1:58" s="57" customFormat="1" ht="9.9499999999999993" customHeight="1" x14ac:dyDescent="0.3">
      <c r="A91" s="54"/>
      <c r="B91" s="54" t="s">
        <v>654</v>
      </c>
      <c r="C91" s="51"/>
      <c r="D91" s="51"/>
      <c r="E91" s="51"/>
      <c r="F91" s="51"/>
      <c r="G91" s="51"/>
      <c r="H91" s="51"/>
      <c r="I91" s="51"/>
      <c r="J91" s="51"/>
      <c r="K91" s="51"/>
      <c r="L91" s="51"/>
      <c r="M91" s="51"/>
      <c r="N91" s="51">
        <v>7470</v>
      </c>
      <c r="O91" s="51"/>
      <c r="P91" s="51"/>
      <c r="Q91" s="51"/>
      <c r="R91" s="51"/>
      <c r="S91" s="51"/>
      <c r="T91" s="51">
        <f t="shared" si="7"/>
        <v>7470</v>
      </c>
      <c r="U91" s="51"/>
      <c r="V91" s="51"/>
      <c r="W91" s="51"/>
      <c r="X91" s="51"/>
      <c r="Y91" s="51"/>
      <c r="Z91" s="51"/>
      <c r="AA91" s="51"/>
      <c r="AB91" s="51"/>
      <c r="AC91" s="51"/>
      <c r="AD91" s="51"/>
      <c r="AE91" s="51"/>
      <c r="AF91" s="51"/>
      <c r="AG91" s="51"/>
      <c r="AH91" s="51"/>
      <c r="AI91" s="51"/>
      <c r="AJ91" s="51"/>
      <c r="AK91" s="51"/>
      <c r="AL91" s="51"/>
      <c r="AM91" s="51"/>
      <c r="AN91" s="51"/>
      <c r="AO91" s="51">
        <v>7470</v>
      </c>
      <c r="AP91" s="51"/>
      <c r="AQ91" s="51"/>
      <c r="AR91" s="51">
        <f t="shared" si="8"/>
        <v>7470</v>
      </c>
      <c r="AS91" s="51"/>
      <c r="AT91" s="51"/>
      <c r="AU91" s="51">
        <f t="shared" si="6"/>
        <v>0</v>
      </c>
      <c r="AV91" s="51"/>
      <c r="AW91" s="51"/>
      <c r="AX91" s="51"/>
      <c r="AY91" s="51"/>
      <c r="AZ91" s="51"/>
      <c r="BA91" s="51"/>
      <c r="BB91" s="51"/>
      <c r="BC91" s="51"/>
      <c r="BD91" s="51">
        <f t="shared" si="5"/>
        <v>0</v>
      </c>
      <c r="BE91" s="54"/>
      <c r="BF91" s="73">
        <f>SUM('XCombining BS Liability(62Mem)'!Z91-BD91)</f>
        <v>0</v>
      </c>
    </row>
    <row r="92" spans="1:58" s="57" customFormat="1" ht="9.9499999999999993" customHeight="1" x14ac:dyDescent="0.3">
      <c r="A92" s="54"/>
      <c r="B92" s="54" t="s">
        <v>655</v>
      </c>
      <c r="C92" s="51"/>
      <c r="D92" s="51"/>
      <c r="E92" s="51">
        <v>114976</v>
      </c>
      <c r="F92" s="51"/>
      <c r="G92" s="51"/>
      <c r="H92" s="51"/>
      <c r="I92" s="51"/>
      <c r="J92" s="51"/>
      <c r="K92" s="51"/>
      <c r="L92" s="51"/>
      <c r="M92" s="51"/>
      <c r="N92" s="51"/>
      <c r="O92" s="51"/>
      <c r="P92" s="51"/>
      <c r="Q92" s="51">
        <v>226</v>
      </c>
      <c r="R92" s="51"/>
      <c r="S92" s="51"/>
      <c r="T92" s="51">
        <f t="shared" si="7"/>
        <v>115202</v>
      </c>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f t="shared" si="8"/>
        <v>0</v>
      </c>
      <c r="AS92" s="51"/>
      <c r="AT92" s="51"/>
      <c r="AU92" s="51">
        <f t="shared" si="6"/>
        <v>115202</v>
      </c>
      <c r="AV92" s="51"/>
      <c r="AW92" s="51"/>
      <c r="AX92" s="51"/>
      <c r="AY92" s="51"/>
      <c r="AZ92" s="51"/>
      <c r="BA92" s="51"/>
      <c r="BB92" s="51"/>
      <c r="BC92" s="51"/>
      <c r="BD92" s="51">
        <f t="shared" si="5"/>
        <v>115202</v>
      </c>
      <c r="BE92" s="54"/>
      <c r="BF92" s="73">
        <f>SUM('XCombining BS Liability(62Mem)'!Z92-BD92)</f>
        <v>0</v>
      </c>
    </row>
    <row r="93" spans="1:58" s="57" customFormat="1" ht="9.9499999999999993" customHeight="1" x14ac:dyDescent="0.3">
      <c r="A93" s="54"/>
      <c r="B93" s="54" t="s">
        <v>656</v>
      </c>
      <c r="C93" s="51"/>
      <c r="D93" s="51"/>
      <c r="E93" s="51"/>
      <c r="F93" s="51"/>
      <c r="G93" s="51"/>
      <c r="H93" s="51"/>
      <c r="I93" s="51"/>
      <c r="J93" s="51"/>
      <c r="K93" s="51"/>
      <c r="L93" s="51"/>
      <c r="M93" s="51"/>
      <c r="N93" s="51">
        <v>4267</v>
      </c>
      <c r="O93" s="51"/>
      <c r="P93" s="51"/>
      <c r="Q93" s="51">
        <v>14</v>
      </c>
      <c r="R93" s="51"/>
      <c r="S93" s="51"/>
      <c r="T93" s="51">
        <f t="shared" si="7"/>
        <v>4281</v>
      </c>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f t="shared" si="8"/>
        <v>0</v>
      </c>
      <c r="AS93" s="51"/>
      <c r="AT93" s="51"/>
      <c r="AU93" s="51">
        <f t="shared" si="6"/>
        <v>4281</v>
      </c>
      <c r="AV93" s="51"/>
      <c r="AW93" s="51"/>
      <c r="AX93" s="51"/>
      <c r="AY93" s="51"/>
      <c r="AZ93" s="51"/>
      <c r="BA93" s="51"/>
      <c r="BB93" s="51"/>
      <c r="BC93" s="51"/>
      <c r="BD93" s="51">
        <f t="shared" si="5"/>
        <v>4281</v>
      </c>
      <c r="BE93" s="54"/>
      <c r="BF93" s="73">
        <f>SUM('XCombining BS Liability(62Mem)'!Z93-BD93)</f>
        <v>0</v>
      </c>
    </row>
    <row r="94" spans="1:58" s="57" customFormat="1" ht="9.9499999999999993" customHeight="1" x14ac:dyDescent="0.3">
      <c r="A94" s="54"/>
      <c r="B94" s="54" t="s">
        <v>657</v>
      </c>
      <c r="C94" s="51"/>
      <c r="D94" s="51"/>
      <c r="E94" s="51"/>
      <c r="F94" s="51"/>
      <c r="G94" s="51"/>
      <c r="H94" s="51"/>
      <c r="I94" s="51"/>
      <c r="J94" s="51"/>
      <c r="K94" s="51"/>
      <c r="L94" s="51"/>
      <c r="M94" s="51"/>
      <c r="N94" s="51">
        <v>10000</v>
      </c>
      <c r="O94" s="51"/>
      <c r="P94" s="51"/>
      <c r="Q94" s="51">
        <v>93</v>
      </c>
      <c r="R94" s="51"/>
      <c r="S94" s="51"/>
      <c r="T94" s="51">
        <f t="shared" si="7"/>
        <v>10093</v>
      </c>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f t="shared" si="8"/>
        <v>0</v>
      </c>
      <c r="AS94" s="51"/>
      <c r="AT94" s="51"/>
      <c r="AU94" s="51">
        <f t="shared" si="6"/>
        <v>10093</v>
      </c>
      <c r="AV94" s="51"/>
      <c r="AW94" s="51"/>
      <c r="AX94" s="51"/>
      <c r="AY94" s="51"/>
      <c r="AZ94" s="51"/>
      <c r="BA94" s="51"/>
      <c r="BB94" s="51"/>
      <c r="BC94" s="51"/>
      <c r="BD94" s="51">
        <f t="shared" si="5"/>
        <v>10093</v>
      </c>
      <c r="BE94" s="54"/>
      <c r="BF94" s="73">
        <f>SUM('XCombining BS Liability(62Mem)'!Z94-BD94)</f>
        <v>0</v>
      </c>
    </row>
    <row r="95" spans="1:58" s="57" customFormat="1" ht="9.9499999999999993" customHeight="1" x14ac:dyDescent="0.3">
      <c r="A95" s="54"/>
      <c r="B95" s="54" t="s">
        <v>658</v>
      </c>
      <c r="C95" s="51"/>
      <c r="D95" s="51"/>
      <c r="E95" s="51"/>
      <c r="F95" s="51"/>
      <c r="G95" s="51"/>
      <c r="H95" s="51"/>
      <c r="I95" s="51"/>
      <c r="J95" s="51"/>
      <c r="K95" s="51"/>
      <c r="L95" s="51"/>
      <c r="M95" s="51"/>
      <c r="N95" s="51"/>
      <c r="O95" s="51"/>
      <c r="P95" s="51"/>
      <c r="Q95" s="51"/>
      <c r="R95" s="51"/>
      <c r="S95" s="51"/>
      <c r="T95" s="51">
        <f t="shared" si="7"/>
        <v>0</v>
      </c>
      <c r="U95" s="51"/>
      <c r="V95" s="51"/>
      <c r="W95" s="51"/>
      <c r="X95" s="51"/>
      <c r="Y95" s="51"/>
      <c r="Z95" s="51"/>
      <c r="AA95" s="51"/>
      <c r="AB95" s="51"/>
      <c r="AC95" s="51">
        <v>12690972</v>
      </c>
      <c r="AD95" s="51"/>
      <c r="AE95" s="51"/>
      <c r="AF95" s="51"/>
      <c r="AG95" s="51"/>
      <c r="AH95" s="51"/>
      <c r="AI95" s="51"/>
      <c r="AJ95" s="51"/>
      <c r="AK95" s="51"/>
      <c r="AL95" s="51"/>
      <c r="AM95" s="51"/>
      <c r="AN95" s="51"/>
      <c r="AO95" s="51"/>
      <c r="AP95" s="51"/>
      <c r="AQ95" s="51"/>
      <c r="AR95" s="51">
        <f t="shared" si="8"/>
        <v>12690972</v>
      </c>
      <c r="AS95" s="51"/>
      <c r="AT95" s="51"/>
      <c r="AU95" s="51">
        <f t="shared" si="6"/>
        <v>-12690972</v>
      </c>
      <c r="AV95" s="51"/>
      <c r="AW95" s="51"/>
      <c r="AX95" s="51">
        <v>12690972</v>
      </c>
      <c r="AY95" s="51"/>
      <c r="AZ95" s="51"/>
      <c r="BA95" s="51"/>
      <c r="BB95" s="51"/>
      <c r="BC95" s="51"/>
      <c r="BD95" s="51">
        <f t="shared" si="5"/>
        <v>0</v>
      </c>
      <c r="BE95" s="54"/>
      <c r="BF95" s="73">
        <f>SUM('XCombining BS Liability(62Mem)'!Z95-BD95)</f>
        <v>0</v>
      </c>
    </row>
    <row r="96" spans="1:58" s="57" customFormat="1" ht="9.9499999999999993" customHeight="1" x14ac:dyDescent="0.3">
      <c r="A96" s="54"/>
      <c r="B96" s="54" t="s">
        <v>659</v>
      </c>
      <c r="C96" s="51"/>
      <c r="D96" s="52"/>
      <c r="E96" s="52"/>
      <c r="F96" s="51"/>
      <c r="G96" s="52"/>
      <c r="H96" s="52"/>
      <c r="I96" s="51"/>
      <c r="J96" s="52"/>
      <c r="K96" s="52"/>
      <c r="L96" s="51"/>
      <c r="M96" s="52"/>
      <c r="N96" s="52"/>
      <c r="O96" s="51"/>
      <c r="P96" s="52"/>
      <c r="Q96" s="52"/>
      <c r="R96" s="51"/>
      <c r="S96" s="52"/>
      <c r="T96" s="52">
        <f t="shared" si="7"/>
        <v>0</v>
      </c>
      <c r="U96" s="51"/>
      <c r="V96" s="52"/>
      <c r="W96" s="52"/>
      <c r="X96" s="51"/>
      <c r="Y96" s="52"/>
      <c r="Z96" s="52"/>
      <c r="AA96" s="51"/>
      <c r="AB96" s="52"/>
      <c r="AC96" s="52">
        <v>165361</v>
      </c>
      <c r="AD96" s="51"/>
      <c r="AE96" s="52"/>
      <c r="AF96" s="52"/>
      <c r="AG96" s="51"/>
      <c r="AH96" s="52"/>
      <c r="AI96" s="52"/>
      <c r="AJ96" s="51"/>
      <c r="AK96" s="52"/>
      <c r="AL96" s="52"/>
      <c r="AM96" s="51"/>
      <c r="AN96" s="52"/>
      <c r="AO96" s="52"/>
      <c r="AP96" s="51"/>
      <c r="AQ96" s="52"/>
      <c r="AR96" s="52">
        <f t="shared" si="8"/>
        <v>165361</v>
      </c>
      <c r="AS96" s="51"/>
      <c r="AT96" s="52"/>
      <c r="AU96" s="52">
        <f t="shared" si="6"/>
        <v>-165361</v>
      </c>
      <c r="AV96" s="51"/>
      <c r="AW96" s="52"/>
      <c r="AX96" s="52">
        <v>165361</v>
      </c>
      <c r="AY96" s="51"/>
      <c r="AZ96" s="52"/>
      <c r="BA96" s="52"/>
      <c r="BB96" s="51"/>
      <c r="BC96" s="52"/>
      <c r="BD96" s="52">
        <f t="shared" si="5"/>
        <v>0</v>
      </c>
      <c r="BE96" s="54"/>
      <c r="BF96" s="74">
        <f>SUM('XCombining BS Liability(62Mem)'!Z96-BD96)</f>
        <v>0</v>
      </c>
    </row>
    <row r="97" spans="1:58" s="57" customFormat="1" ht="9.9499999999999993" customHeight="1" x14ac:dyDescent="0.3">
      <c r="A97" s="54"/>
      <c r="B97" s="46"/>
      <c r="C97" s="54"/>
      <c r="D97" s="54"/>
      <c r="E97" s="47"/>
      <c r="F97" s="54"/>
      <c r="G97" s="54"/>
      <c r="H97" s="47"/>
      <c r="I97" s="54"/>
      <c r="J97" s="54"/>
      <c r="K97" s="47"/>
      <c r="L97" s="54"/>
      <c r="M97" s="54"/>
      <c r="N97" s="47"/>
      <c r="O97" s="54"/>
      <c r="P97" s="54"/>
      <c r="Q97" s="47"/>
      <c r="R97" s="54"/>
      <c r="S97" s="54"/>
      <c r="T97" s="47"/>
      <c r="U97" s="54"/>
      <c r="V97" s="54"/>
      <c r="W97" s="47"/>
      <c r="X97" s="54"/>
      <c r="Y97" s="54"/>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54"/>
      <c r="BC97" s="54"/>
      <c r="BD97" s="47"/>
      <c r="BE97" s="54"/>
      <c r="BF97" s="73"/>
    </row>
    <row r="98" spans="1:58" s="45" customFormat="1" ht="9.9499999999999993" customHeight="1" thickBot="1" x14ac:dyDescent="0.35">
      <c r="A98" s="46" t="s">
        <v>725</v>
      </c>
      <c r="B98" s="54"/>
      <c r="C98" s="48"/>
      <c r="D98" s="68" t="s">
        <v>1035</v>
      </c>
      <c r="E98" s="53">
        <f>SUM(E13:E96)</f>
        <v>4224538</v>
      </c>
      <c r="F98" s="48"/>
      <c r="G98" s="68" t="s">
        <v>1035</v>
      </c>
      <c r="H98" s="53">
        <f>SUM(H13:H96)</f>
        <v>1338390</v>
      </c>
      <c r="I98" s="48"/>
      <c r="J98" s="68" t="s">
        <v>1035</v>
      </c>
      <c r="K98" s="53">
        <f>SUM(K13:K96)</f>
        <v>3478443</v>
      </c>
      <c r="L98" s="48"/>
      <c r="M98" s="68" t="s">
        <v>1035</v>
      </c>
      <c r="N98" s="53">
        <f>SUM(N13:N96)</f>
        <v>3476177</v>
      </c>
      <c r="O98" s="48"/>
      <c r="P98" s="68" t="s">
        <v>1035</v>
      </c>
      <c r="Q98" s="53">
        <f>SUM(Q13:Q96)</f>
        <v>539691</v>
      </c>
      <c r="R98" s="48"/>
      <c r="S98" s="68" t="s">
        <v>1035</v>
      </c>
      <c r="T98" s="53">
        <f>SUM(T13:T96)</f>
        <v>13057239</v>
      </c>
      <c r="U98" s="48"/>
      <c r="V98" s="68" t="s">
        <v>1035</v>
      </c>
      <c r="W98" s="53">
        <f>SUM(W13:W96)</f>
        <v>5306139</v>
      </c>
      <c r="X98" s="48"/>
      <c r="Y98" s="68" t="s">
        <v>1035</v>
      </c>
      <c r="Z98" s="53">
        <f>SUM(Z13:Z96)</f>
        <v>416669</v>
      </c>
      <c r="AA98" s="48"/>
      <c r="AB98" s="68" t="s">
        <v>1035</v>
      </c>
      <c r="AC98" s="53">
        <f>SUM(AC13:AC96)</f>
        <v>12938979</v>
      </c>
      <c r="AD98" s="48"/>
      <c r="AE98" s="68" t="s">
        <v>1035</v>
      </c>
      <c r="AF98" s="53">
        <f>SUM(AF13:AF96)</f>
        <v>230739</v>
      </c>
      <c r="AG98" s="48"/>
      <c r="AH98" s="68" t="s">
        <v>1035</v>
      </c>
      <c r="AI98" s="53">
        <f>SUM(AI13:AI96)</f>
        <v>189953</v>
      </c>
      <c r="AJ98" s="48"/>
      <c r="AK98" s="68" t="s">
        <v>1035</v>
      </c>
      <c r="AL98" s="53">
        <f>SUM(AL13:AL96)</f>
        <v>2215223</v>
      </c>
      <c r="AM98" s="48"/>
      <c r="AN98" s="68" t="s">
        <v>1035</v>
      </c>
      <c r="AO98" s="53">
        <f>SUM(AO13:AO96)</f>
        <v>4261725</v>
      </c>
      <c r="AP98" s="48"/>
      <c r="AQ98" s="68" t="s">
        <v>1035</v>
      </c>
      <c r="AR98" s="53">
        <f>SUM(AR13:AR96)</f>
        <v>25559427</v>
      </c>
      <c r="AS98" s="48"/>
      <c r="AT98" s="68" t="s">
        <v>1035</v>
      </c>
      <c r="AU98" s="53">
        <f>SUM(AU13:AU96)</f>
        <v>-12502188</v>
      </c>
      <c r="AV98" s="48"/>
      <c r="AW98" s="68" t="s">
        <v>1035</v>
      </c>
      <c r="AX98" s="53">
        <f>SUM(AX13:AX96)</f>
        <v>21462288</v>
      </c>
      <c r="AY98" s="48"/>
      <c r="AZ98" s="68" t="s">
        <v>1035</v>
      </c>
      <c r="BA98" s="53">
        <f>SUM(BA13:BA96)</f>
        <v>10670973</v>
      </c>
      <c r="BB98" s="48"/>
      <c r="BC98" s="68" t="s">
        <v>1035</v>
      </c>
      <c r="BD98" s="53">
        <f>SUM(BD13:BD96)</f>
        <v>19631073</v>
      </c>
      <c r="BE98" s="48"/>
      <c r="BF98" s="73">
        <f>SUM(BF13:BF96)</f>
        <v>0</v>
      </c>
    </row>
    <row r="99" spans="1:58" ht="15.75" thickTop="1" x14ac:dyDescent="0.3"/>
    <row r="100" spans="1:58" s="83" customFormat="1" x14ac:dyDescent="0.3">
      <c r="A100" s="81"/>
      <c r="B100" s="82" t="s">
        <v>857</v>
      </c>
      <c r="C100" s="81"/>
      <c r="D100" s="81"/>
      <c r="E100" s="81">
        <f>+SUM(E98-'Special SOREC'!K23)</f>
        <v>4210798</v>
      </c>
      <c r="F100" s="81"/>
      <c r="G100" s="81"/>
      <c r="H100" s="81">
        <f>+SUM(H98-'Special SOREC'!K14)</f>
        <v>1332183</v>
      </c>
      <c r="I100" s="81"/>
      <c r="J100" s="81"/>
      <c r="K100" s="81">
        <f>+SUM(K98-'Special SOREC'!K22)</f>
        <v>3478443</v>
      </c>
      <c r="L100" s="81"/>
      <c r="M100" s="81"/>
      <c r="N100" s="81">
        <f>+SUM(N98-'Special SOREC'!K25)</f>
        <v>3467616</v>
      </c>
      <c r="O100" s="81"/>
      <c r="P100" s="81"/>
      <c r="Q100" s="81">
        <f>+SUM(Q98-'Special SOREC'!K26)</f>
        <v>533033</v>
      </c>
      <c r="R100" s="81"/>
      <c r="S100" s="81"/>
      <c r="T100" s="81">
        <f>+SUM(T98-'Special SOREC'!K29)</f>
        <v>13000296</v>
      </c>
      <c r="U100" s="81"/>
      <c r="V100" s="81"/>
      <c r="W100" s="81">
        <f>+SUM(W98-'Special SOREC'!K32)</f>
        <v>5306139</v>
      </c>
      <c r="X100" s="81"/>
      <c r="Y100" s="81"/>
      <c r="Z100" s="81">
        <f>+SUM(Z98-'Special SOREC'!K33)</f>
        <v>411095</v>
      </c>
      <c r="AA100" s="81"/>
      <c r="AB100" s="81"/>
      <c r="AC100" s="81">
        <f>+SUM(AC98-'Special SOREC'!K34)</f>
        <v>12929279</v>
      </c>
      <c r="AF100" s="81">
        <f>+SUM(AF98-'Special SOREC'!K40)</f>
        <v>220040</v>
      </c>
      <c r="AI100" s="81">
        <f>+SUM(AI98-'Special SOREC'!K43)</f>
        <v>183515</v>
      </c>
      <c r="AL100" s="81">
        <f>+SUM(AL98-'Special SOREC'!K45)</f>
        <v>2215223</v>
      </c>
      <c r="AO100" s="81">
        <f>+SUM(AO98-'Special SOREC'!K49)</f>
        <v>4261725</v>
      </c>
      <c r="AR100" s="81">
        <f>+SUM(AR98-'Special SOREC'!K58)</f>
        <v>25501216</v>
      </c>
      <c r="AU100" s="81">
        <f>+SUM(AU98-'Special SOREC'!K61)</f>
        <v>-12500920</v>
      </c>
      <c r="AX100" s="81">
        <f>+SUM(AX98-'Special SOREC'!K75)</f>
        <v>21461977</v>
      </c>
      <c r="BA100" s="81">
        <f>+SUM(BA98-'Special SOREC'!K79)</f>
        <v>10559574</v>
      </c>
      <c r="BD100" s="81">
        <f>+SUM(BD98-'Special SOREC'!K89)</f>
        <v>19520631</v>
      </c>
    </row>
  </sheetData>
  <mergeCells count="47">
    <mergeCell ref="M11:N11"/>
    <mergeCell ref="P11:Q11"/>
    <mergeCell ref="J11:K11"/>
    <mergeCell ref="G11:H11"/>
    <mergeCell ref="D11:E11"/>
    <mergeCell ref="A1:W1"/>
    <mergeCell ref="A4:W4"/>
    <mergeCell ref="AK9:AL9"/>
    <mergeCell ref="AK10:AL10"/>
    <mergeCell ref="P10:Q10"/>
    <mergeCell ref="AB4:AI4"/>
    <mergeCell ref="AB7:AR7"/>
    <mergeCell ref="V7:Z7"/>
    <mergeCell ref="D7:T7"/>
    <mergeCell ref="A5:W5"/>
    <mergeCell ref="AN10:AO10"/>
    <mergeCell ref="AQ10:AR10"/>
    <mergeCell ref="D9:E9"/>
    <mergeCell ref="D10:E10"/>
    <mergeCell ref="AT8:AU8"/>
    <mergeCell ref="AT7:AU7"/>
    <mergeCell ref="AW8:AX8"/>
    <mergeCell ref="AW9:AX9"/>
    <mergeCell ref="AN8:AO8"/>
    <mergeCell ref="AN9:AO9"/>
    <mergeCell ref="AZ11:BA11"/>
    <mergeCell ref="BC11:BD11"/>
    <mergeCell ref="AZ10:BD10"/>
    <mergeCell ref="AT9:AU9"/>
    <mergeCell ref="AT11:AU11"/>
    <mergeCell ref="AT10:AU10"/>
    <mergeCell ref="AW10:AX10"/>
    <mergeCell ref="AW11:AX11"/>
    <mergeCell ref="AQ11:AR11"/>
    <mergeCell ref="AH11:AI11"/>
    <mergeCell ref="S10:T10"/>
    <mergeCell ref="S11:T11"/>
    <mergeCell ref="Y11:Z11"/>
    <mergeCell ref="Y10:Z10"/>
    <mergeCell ref="V11:W11"/>
    <mergeCell ref="V10:W10"/>
    <mergeCell ref="AK11:AL11"/>
    <mergeCell ref="AN11:AO11"/>
    <mergeCell ref="AB10:AC10"/>
    <mergeCell ref="AB11:AC11"/>
    <mergeCell ref="AE10:AF10"/>
    <mergeCell ref="AE11:AF11"/>
  </mergeCells>
  <phoneticPr fontId="9" type="noConversion"/>
  <printOptions horizontalCentered="1"/>
  <pageMargins left="0.5" right="0.5" top="0.75" bottom="0.875" header="0.5" footer="0.75"/>
  <pageSetup scale="59" fitToWidth="2" orientation="portrait" r:id="rId1"/>
  <headerFooter alignWithMargins="0"/>
  <colBreaks count="1" manualBreakCount="1">
    <brk id="27" max="97" man="1"/>
  </colBreaks>
  <ignoredErrors>
    <ignoredError sqref="AZ11 BC11" twoDigitTextYear="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tabColor theme="6" tint="0.39997558519241921"/>
  </sheetPr>
  <dimension ref="A1:AE365"/>
  <sheetViews>
    <sheetView workbookViewId="0">
      <selection activeCell="A91" sqref="A91"/>
    </sheetView>
  </sheetViews>
  <sheetFormatPr defaultColWidth="9.140625" defaultRowHeight="15" x14ac:dyDescent="0.3"/>
  <cols>
    <col min="1" max="1" width="1.5703125" style="61" customWidth="1"/>
    <col min="2" max="2" width="40.5703125" style="49" customWidth="1"/>
    <col min="3" max="4" width="1.5703125" style="61" customWidth="1"/>
    <col min="5" max="5" width="10.5703125" style="50" customWidth="1"/>
    <col min="6" max="7" width="1.5703125" style="61" customWidth="1"/>
    <col min="8" max="8" width="10.5703125" style="50" customWidth="1"/>
    <col min="9" max="10" width="1.5703125" style="61" customWidth="1"/>
    <col min="11" max="11" width="10.5703125" style="50" customWidth="1"/>
    <col min="12" max="13" width="1.5703125" style="61" customWidth="1"/>
    <col min="14" max="14" width="10.5703125" style="50" customWidth="1"/>
    <col min="15" max="16" width="1.5703125" style="61" customWidth="1"/>
    <col min="17" max="17" width="10.5703125" style="50" customWidth="1"/>
    <col min="18" max="19" width="1.5703125" style="61" customWidth="1"/>
    <col min="20" max="20" width="11.5703125" style="50" customWidth="1"/>
    <col min="21" max="22" width="1.5703125" style="61" customWidth="1"/>
    <col min="23" max="23" width="10.5703125" style="50" customWidth="1"/>
    <col min="24" max="25" width="1.5703125" style="61" customWidth="1"/>
    <col min="26" max="26" width="10.5703125" style="50" customWidth="1"/>
    <col min="27" max="28" width="1.5703125" style="61" customWidth="1"/>
    <col min="29" max="29" width="12.5703125" style="50" customWidth="1"/>
    <col min="30" max="30" width="1.5703125" style="61" customWidth="1"/>
    <col min="31" max="31" width="15.5703125" style="69" customWidth="1"/>
    <col min="32" max="16384" width="9.140625" style="1"/>
  </cols>
  <sheetData>
    <row r="1" spans="1:31" s="61" customFormat="1" ht="29.45" customHeight="1" thickBot="1" x14ac:dyDescent="0.25">
      <c r="A1" s="1632" t="s">
        <v>1033</v>
      </c>
      <c r="B1" s="1632"/>
      <c r="C1" s="41"/>
      <c r="D1" s="41"/>
      <c r="E1" s="41"/>
      <c r="F1" s="41"/>
      <c r="G1" s="41"/>
      <c r="H1" s="41"/>
      <c r="I1" s="41"/>
      <c r="J1" s="41"/>
      <c r="K1" s="41"/>
      <c r="L1" s="41"/>
      <c r="M1" s="41"/>
      <c r="N1" s="41"/>
      <c r="O1" s="41"/>
      <c r="P1" s="41"/>
      <c r="Q1" s="41"/>
      <c r="R1" s="41"/>
      <c r="S1" s="41"/>
      <c r="T1" s="41"/>
      <c r="U1" s="41"/>
      <c r="V1" s="41"/>
      <c r="W1" s="41"/>
      <c r="X1" s="58"/>
      <c r="Y1" s="58"/>
      <c r="Z1" s="59"/>
      <c r="AA1" s="58"/>
      <c r="AB1" s="58"/>
      <c r="AC1" s="59"/>
      <c r="AE1" s="69"/>
    </row>
    <row r="2" spans="1:31" s="61" customFormat="1" ht="26.85" customHeight="1" x14ac:dyDescent="0.2">
      <c r="A2" s="78" t="s">
        <v>624</v>
      </c>
      <c r="B2" s="49"/>
      <c r="C2" s="42"/>
      <c r="D2" s="42"/>
      <c r="E2" s="60"/>
      <c r="F2" s="42"/>
      <c r="G2" s="42"/>
      <c r="H2" s="60"/>
      <c r="I2" s="42"/>
      <c r="J2" s="42"/>
      <c r="K2" s="60"/>
      <c r="L2" s="42"/>
      <c r="M2" s="42"/>
      <c r="N2" s="60"/>
      <c r="O2" s="42"/>
      <c r="P2" s="42"/>
      <c r="Q2" s="60"/>
      <c r="R2" s="42"/>
      <c r="S2" s="42"/>
      <c r="T2" s="60"/>
      <c r="U2" s="42"/>
      <c r="V2" s="42"/>
      <c r="W2" s="60"/>
      <c r="Z2" s="50"/>
      <c r="AC2" s="50"/>
      <c r="AE2" s="69"/>
    </row>
    <row r="3" spans="1:31" s="61" customFormat="1" ht="26.85" customHeight="1" x14ac:dyDescent="0.2">
      <c r="A3" s="78" t="s">
        <v>625</v>
      </c>
      <c r="B3" s="49"/>
      <c r="C3" s="42"/>
      <c r="D3" s="42"/>
      <c r="E3" s="60"/>
      <c r="F3" s="42"/>
      <c r="G3" s="42"/>
      <c r="H3" s="60"/>
      <c r="I3" s="42"/>
      <c r="J3" s="42"/>
      <c r="K3" s="60"/>
      <c r="L3" s="42"/>
      <c r="M3" s="42"/>
      <c r="N3" s="60"/>
      <c r="O3" s="42"/>
      <c r="P3" s="42"/>
      <c r="Q3" s="60"/>
      <c r="R3" s="42"/>
      <c r="S3" s="42"/>
      <c r="T3" s="60"/>
      <c r="U3" s="42"/>
      <c r="V3" s="42"/>
      <c r="W3" s="60"/>
      <c r="Z3" s="50"/>
      <c r="AC3" s="50"/>
      <c r="AE3" s="69"/>
    </row>
    <row r="4" spans="1:31" s="61" customFormat="1" ht="23.25" customHeight="1" x14ac:dyDescent="0.2">
      <c r="A4" s="1629" t="s">
        <v>1015</v>
      </c>
      <c r="B4" s="1629"/>
      <c r="C4" s="1629"/>
      <c r="D4" s="1629"/>
      <c r="E4" s="1629"/>
      <c r="F4" s="1629"/>
      <c r="G4" s="1629"/>
      <c r="H4" s="1629"/>
      <c r="I4" s="1629"/>
      <c r="J4" s="1629"/>
      <c r="K4" s="1629"/>
      <c r="L4" s="1629"/>
      <c r="M4" s="1629"/>
      <c r="N4" s="1629"/>
      <c r="O4" s="1629"/>
      <c r="P4" s="1629"/>
      <c r="Q4" s="1629"/>
      <c r="R4" s="1629"/>
      <c r="S4" s="1629"/>
      <c r="T4" s="1629"/>
      <c r="U4" s="1629"/>
      <c r="V4" s="1629"/>
      <c r="W4" s="1629"/>
      <c r="Z4" s="50"/>
      <c r="AC4" s="50"/>
      <c r="AE4" s="69"/>
    </row>
    <row r="5" spans="1:31" ht="9.9499999999999993" customHeight="1" x14ac:dyDescent="0.3">
      <c r="A5" s="1631"/>
      <c r="B5" s="1631"/>
      <c r="C5" s="1631"/>
      <c r="D5" s="1631"/>
      <c r="E5" s="1631"/>
      <c r="F5" s="1631"/>
      <c r="G5" s="1631"/>
      <c r="H5" s="1631"/>
      <c r="I5" s="1631"/>
      <c r="J5" s="1631"/>
      <c r="K5" s="1631"/>
      <c r="L5" s="1631"/>
      <c r="M5" s="1631"/>
      <c r="N5" s="1631"/>
      <c r="O5" s="1631"/>
      <c r="P5" s="1631"/>
      <c r="Q5" s="1631"/>
      <c r="R5" s="1631"/>
      <c r="S5" s="1631"/>
      <c r="T5" s="1631"/>
      <c r="U5" s="1631"/>
      <c r="V5" s="1631"/>
      <c r="W5" s="1631"/>
    </row>
    <row r="6" spans="1:31" s="55" customFormat="1" ht="12.6" customHeight="1" x14ac:dyDescent="0.35">
      <c r="A6" s="62"/>
      <c r="B6" s="62"/>
      <c r="C6" s="62"/>
      <c r="D6" s="1625" t="s">
        <v>79</v>
      </c>
      <c r="E6" s="1625"/>
      <c r="F6" s="1625"/>
      <c r="G6" s="1625"/>
      <c r="H6" s="1625"/>
      <c r="I6" s="1625"/>
      <c r="J6" s="1625"/>
      <c r="K6" s="1625"/>
      <c r="L6" s="1625"/>
      <c r="M6" s="1625"/>
      <c r="N6" s="1625"/>
      <c r="O6" s="1625"/>
      <c r="P6" s="1625"/>
      <c r="Q6" s="1625"/>
      <c r="R6" s="1625"/>
      <c r="S6" s="1625"/>
      <c r="T6" s="1625"/>
      <c r="U6" s="63"/>
      <c r="V6" s="63"/>
      <c r="W6" s="63"/>
      <c r="X6" s="63"/>
      <c r="Y6" s="63"/>
      <c r="Z6" s="63"/>
      <c r="AA6" s="63"/>
      <c r="AB6" s="62"/>
      <c r="AC6" s="64"/>
      <c r="AD6" s="62"/>
      <c r="AE6" s="70"/>
    </row>
    <row r="7" spans="1:31" s="55" customFormat="1" ht="12.6" customHeight="1" x14ac:dyDescent="0.35">
      <c r="A7" s="62"/>
      <c r="B7" s="62"/>
      <c r="C7" s="62"/>
      <c r="D7" s="62"/>
      <c r="E7" s="64"/>
      <c r="F7" s="62"/>
      <c r="G7" s="62"/>
      <c r="H7" s="64"/>
      <c r="I7" s="62"/>
      <c r="J7" s="1627"/>
      <c r="K7" s="1627"/>
      <c r="L7" s="1627"/>
      <c r="M7" s="1627"/>
      <c r="N7" s="1627"/>
      <c r="O7" s="1627"/>
      <c r="P7" s="1627"/>
      <c r="Q7" s="1627"/>
      <c r="R7" s="1627"/>
      <c r="S7" s="1627"/>
      <c r="T7" s="1627"/>
      <c r="U7" s="1627"/>
      <c r="V7" s="1627"/>
      <c r="W7" s="1627"/>
      <c r="X7" s="1627"/>
      <c r="Y7" s="1627"/>
      <c r="Z7" s="1627"/>
      <c r="AA7" s="62"/>
      <c r="AB7" s="1623" t="s">
        <v>671</v>
      </c>
      <c r="AC7" s="1623"/>
      <c r="AD7" s="62"/>
      <c r="AE7" s="70"/>
    </row>
    <row r="8" spans="1:31" s="55" customFormat="1" ht="12.6" customHeight="1" x14ac:dyDescent="0.35">
      <c r="A8" s="62"/>
      <c r="B8" s="62"/>
      <c r="C8" s="62"/>
      <c r="D8" s="62"/>
      <c r="E8" s="64"/>
      <c r="F8" s="62"/>
      <c r="G8" s="62"/>
      <c r="H8" s="64"/>
      <c r="I8" s="62"/>
      <c r="J8" s="62"/>
      <c r="K8" s="64"/>
      <c r="L8" s="62"/>
      <c r="M8" s="62"/>
      <c r="N8" s="64"/>
      <c r="O8" s="62"/>
      <c r="P8" s="62"/>
      <c r="Q8" s="64"/>
      <c r="R8" s="62"/>
      <c r="S8" s="62"/>
      <c r="T8" s="64"/>
      <c r="U8" s="62"/>
      <c r="V8" s="62"/>
      <c r="W8" s="64"/>
      <c r="X8" s="62"/>
      <c r="Y8" s="62"/>
      <c r="Z8" s="64"/>
      <c r="AA8" s="62"/>
      <c r="AB8" s="1623" t="s">
        <v>626</v>
      </c>
      <c r="AC8" s="1623"/>
      <c r="AD8" s="62"/>
      <c r="AE8" s="70"/>
    </row>
    <row r="9" spans="1:31" s="55" customFormat="1" ht="12.6" customHeight="1" x14ac:dyDescent="0.35">
      <c r="A9" s="62"/>
      <c r="B9" s="62"/>
      <c r="C9" s="62"/>
      <c r="D9" s="62"/>
      <c r="E9" s="64"/>
      <c r="F9" s="62"/>
      <c r="G9" s="1623" t="s">
        <v>257</v>
      </c>
      <c r="H9" s="1623"/>
      <c r="I9" s="62"/>
      <c r="J9" s="62"/>
      <c r="K9" s="64"/>
      <c r="L9" s="62"/>
      <c r="M9" s="1623" t="s">
        <v>262</v>
      </c>
      <c r="N9" s="1623"/>
      <c r="O9" s="62"/>
      <c r="P9" s="62"/>
      <c r="Q9" s="64"/>
      <c r="R9" s="62"/>
      <c r="S9" s="62"/>
      <c r="T9" s="64"/>
      <c r="U9" s="62"/>
      <c r="V9" s="62"/>
      <c r="W9" s="64"/>
      <c r="X9" s="62"/>
      <c r="Y9" s="62"/>
      <c r="Z9" s="64"/>
      <c r="AA9" s="62"/>
      <c r="AB9" s="1623" t="s">
        <v>627</v>
      </c>
      <c r="AC9" s="1623"/>
      <c r="AD9" s="62"/>
      <c r="AE9" s="70"/>
    </row>
    <row r="10" spans="1:31" s="55" customFormat="1" ht="12.6" customHeight="1" x14ac:dyDescent="0.35">
      <c r="A10" s="62"/>
      <c r="B10" s="62"/>
      <c r="C10" s="62"/>
      <c r="D10" s="1623" t="s">
        <v>267</v>
      </c>
      <c r="E10" s="1623"/>
      <c r="F10" s="62"/>
      <c r="G10" s="1623" t="s">
        <v>273</v>
      </c>
      <c r="H10" s="1623"/>
      <c r="I10" s="62"/>
      <c r="J10" s="1623" t="s">
        <v>262</v>
      </c>
      <c r="K10" s="1623"/>
      <c r="L10" s="62"/>
      <c r="M10" s="1623" t="s">
        <v>275</v>
      </c>
      <c r="N10" s="1623"/>
      <c r="O10" s="62"/>
      <c r="P10" s="1623" t="s">
        <v>276</v>
      </c>
      <c r="Q10" s="1623"/>
      <c r="R10" s="62"/>
      <c r="S10" s="1623" t="s">
        <v>277</v>
      </c>
      <c r="T10" s="1623"/>
      <c r="U10" s="62"/>
      <c r="V10" s="1623" t="s">
        <v>671</v>
      </c>
      <c r="W10" s="1623"/>
      <c r="X10" s="62"/>
      <c r="Y10" s="1623" t="s">
        <v>227</v>
      </c>
      <c r="Z10" s="1623"/>
      <c r="AA10" s="62"/>
      <c r="AB10" s="1623" t="s">
        <v>628</v>
      </c>
      <c r="AC10" s="1623"/>
      <c r="AD10" s="62"/>
      <c r="AE10" s="70" t="s">
        <v>587</v>
      </c>
    </row>
    <row r="11" spans="1:31" s="55" customFormat="1" ht="12.6" customHeight="1" x14ac:dyDescent="0.35">
      <c r="A11" s="62"/>
      <c r="B11" s="62"/>
      <c r="C11" s="62"/>
      <c r="D11" s="1622" t="s">
        <v>273</v>
      </c>
      <c r="E11" s="1622"/>
      <c r="F11" s="62"/>
      <c r="G11" s="1622" t="s">
        <v>256</v>
      </c>
      <c r="H11" s="1622"/>
      <c r="I11" s="62"/>
      <c r="J11" s="1622" t="s">
        <v>274</v>
      </c>
      <c r="K11" s="1622"/>
      <c r="L11" s="62"/>
      <c r="M11" s="1622" t="s">
        <v>273</v>
      </c>
      <c r="N11" s="1622"/>
      <c r="O11" s="62"/>
      <c r="P11" s="1622" t="s">
        <v>867</v>
      </c>
      <c r="Q11" s="1622"/>
      <c r="R11" s="62"/>
      <c r="S11" s="1622" t="s">
        <v>265</v>
      </c>
      <c r="T11" s="1622"/>
      <c r="U11" s="62"/>
      <c r="V11" s="1622" t="s">
        <v>79</v>
      </c>
      <c r="W11" s="1622"/>
      <c r="X11" s="62"/>
      <c r="Y11" s="1622" t="s">
        <v>628</v>
      </c>
      <c r="Z11" s="1622"/>
      <c r="AA11" s="62"/>
      <c r="AB11" s="1626" t="s">
        <v>660</v>
      </c>
      <c r="AC11" s="1626"/>
      <c r="AD11" s="62"/>
      <c r="AE11" s="71" t="s">
        <v>588</v>
      </c>
    </row>
    <row r="12" spans="1:31" s="56" customFormat="1" ht="9.9499999999999993" customHeight="1" x14ac:dyDescent="0.35">
      <c r="A12" s="46" t="s">
        <v>36</v>
      </c>
      <c r="B12" s="46"/>
      <c r="C12" s="65"/>
      <c r="D12" s="65"/>
      <c r="E12" s="66"/>
      <c r="F12" s="65"/>
      <c r="G12" s="65"/>
      <c r="H12" s="66"/>
      <c r="I12" s="65"/>
      <c r="J12" s="65"/>
      <c r="K12" s="66"/>
      <c r="L12" s="65"/>
      <c r="M12" s="65"/>
      <c r="N12" s="66"/>
      <c r="O12" s="65"/>
      <c r="P12" s="65"/>
      <c r="Q12" s="66"/>
      <c r="R12" s="65"/>
      <c r="S12" s="65"/>
      <c r="T12" s="66"/>
      <c r="U12" s="65"/>
      <c r="V12" s="65"/>
      <c r="W12" s="66"/>
      <c r="X12" s="65"/>
      <c r="Y12" s="65"/>
      <c r="Z12" s="66"/>
      <c r="AA12" s="65"/>
      <c r="AB12" s="65"/>
      <c r="AC12" s="66"/>
      <c r="AD12" s="65"/>
      <c r="AE12" s="72"/>
    </row>
    <row r="13" spans="1:31" s="57" customFormat="1" ht="9.9499999999999993" customHeight="1" x14ac:dyDescent="0.3">
      <c r="A13" s="54"/>
      <c r="B13" s="54" t="s">
        <v>35</v>
      </c>
      <c r="C13" s="54"/>
      <c r="D13" s="54" t="s">
        <v>1035</v>
      </c>
      <c r="E13" s="48">
        <v>0</v>
      </c>
      <c r="F13" s="48"/>
      <c r="G13" s="54" t="s">
        <v>1035</v>
      </c>
      <c r="H13" s="48">
        <v>0</v>
      </c>
      <c r="I13" s="48"/>
      <c r="J13" s="54" t="s">
        <v>1035</v>
      </c>
      <c r="K13" s="48">
        <v>0</v>
      </c>
      <c r="L13" s="48"/>
      <c r="M13" s="54" t="s">
        <v>1035</v>
      </c>
      <c r="N13" s="48">
        <v>0</v>
      </c>
      <c r="O13" s="48"/>
      <c r="P13" s="54" t="s">
        <v>1035</v>
      </c>
      <c r="Q13" s="48">
        <v>0</v>
      </c>
      <c r="R13" s="48"/>
      <c r="S13" s="54" t="s">
        <v>1035</v>
      </c>
      <c r="T13" s="48">
        <v>0</v>
      </c>
      <c r="U13" s="48"/>
      <c r="V13" s="54" t="s">
        <v>1035</v>
      </c>
      <c r="W13" s="48">
        <f>SUM(E13:T13)</f>
        <v>0</v>
      </c>
      <c r="X13" s="48"/>
      <c r="Y13" s="54" t="s">
        <v>1035</v>
      </c>
      <c r="Z13" s="48">
        <v>68289</v>
      </c>
      <c r="AA13" s="48"/>
      <c r="AB13" s="67" t="s">
        <v>1035</v>
      </c>
      <c r="AC13" s="48">
        <f>SUM(W13:Z13)</f>
        <v>68289</v>
      </c>
      <c r="AD13" s="54"/>
      <c r="AE13" s="73">
        <f>SUM('XCombining BS Assets (62-Memor)'!AC13-'XCombining BS Liability(62Mem)'!AC13)</f>
        <v>0</v>
      </c>
    </row>
    <row r="14" spans="1:31" s="57" customFormat="1" ht="9.9499999999999993" customHeight="1" x14ac:dyDescent="0.3">
      <c r="A14" s="54"/>
      <c r="B14" s="54" t="s">
        <v>463</v>
      </c>
      <c r="C14" s="51"/>
      <c r="D14" s="51"/>
      <c r="E14" s="51"/>
      <c r="F14" s="51"/>
      <c r="G14" s="51"/>
      <c r="H14" s="51"/>
      <c r="I14" s="51"/>
      <c r="J14" s="51"/>
      <c r="K14" s="51"/>
      <c r="L14" s="51"/>
      <c r="M14" s="51"/>
      <c r="N14" s="51"/>
      <c r="O14" s="51"/>
      <c r="P14" s="51"/>
      <c r="Q14" s="51"/>
      <c r="R14" s="51"/>
      <c r="S14" s="51"/>
      <c r="T14" s="51"/>
      <c r="U14" s="51"/>
      <c r="V14" s="51"/>
      <c r="W14" s="51">
        <f t="shared" ref="W14:W77" si="0">SUM(E14:T14)</f>
        <v>0</v>
      </c>
      <c r="X14" s="51"/>
      <c r="Y14" s="51"/>
      <c r="Z14" s="51">
        <v>21</v>
      </c>
      <c r="AA14" s="51"/>
      <c r="AB14" s="51"/>
      <c r="AC14" s="51">
        <f t="shared" ref="AC14:AC77" si="1">SUM(W14:Z14)</f>
        <v>21</v>
      </c>
      <c r="AD14" s="54"/>
      <c r="AE14" s="73">
        <f>SUM('XCombining BS Assets (62-Memor)'!AC14-'XCombining BS Liability(62Mem)'!AC14)</f>
        <v>0</v>
      </c>
    </row>
    <row r="15" spans="1:31" s="57" customFormat="1" ht="9.9499999999999993" customHeight="1" x14ac:dyDescent="0.3">
      <c r="A15" s="54"/>
      <c r="B15" s="54" t="s">
        <v>464</v>
      </c>
      <c r="C15" s="51"/>
      <c r="D15" s="51"/>
      <c r="E15" s="51"/>
      <c r="F15" s="51"/>
      <c r="G15" s="51"/>
      <c r="H15" s="51"/>
      <c r="I15" s="51"/>
      <c r="J15" s="51"/>
      <c r="K15" s="51">
        <v>1000</v>
      </c>
      <c r="L15" s="51"/>
      <c r="M15" s="51"/>
      <c r="N15" s="51"/>
      <c r="O15" s="51"/>
      <c r="P15" s="51"/>
      <c r="Q15" s="51"/>
      <c r="R15" s="51"/>
      <c r="S15" s="51"/>
      <c r="T15" s="51"/>
      <c r="U15" s="51"/>
      <c r="V15" s="51"/>
      <c r="W15" s="51">
        <f t="shared" si="0"/>
        <v>1000</v>
      </c>
      <c r="X15" s="51"/>
      <c r="Y15" s="51"/>
      <c r="Z15" s="51">
        <v>91349</v>
      </c>
      <c r="AA15" s="51"/>
      <c r="AB15" s="51"/>
      <c r="AC15" s="51">
        <f t="shared" si="1"/>
        <v>92349</v>
      </c>
      <c r="AD15" s="54"/>
      <c r="AE15" s="73">
        <f>SUM('XCombining BS Assets (62-Memor)'!AC15-'XCombining BS Liability(62Mem)'!AC15)</f>
        <v>0</v>
      </c>
    </row>
    <row r="16" spans="1:31" s="57" customFormat="1" ht="9.9499999999999993" customHeight="1" x14ac:dyDescent="0.3">
      <c r="A16" s="54"/>
      <c r="B16" s="54" t="s">
        <v>465</v>
      </c>
      <c r="C16" s="51"/>
      <c r="D16" s="51"/>
      <c r="E16" s="51"/>
      <c r="F16" s="51"/>
      <c r="G16" s="51"/>
      <c r="H16" s="51"/>
      <c r="I16" s="51"/>
      <c r="J16" s="51"/>
      <c r="K16" s="51"/>
      <c r="L16" s="51"/>
      <c r="M16" s="51"/>
      <c r="N16" s="51"/>
      <c r="O16" s="51"/>
      <c r="P16" s="51"/>
      <c r="Q16" s="51"/>
      <c r="R16" s="51"/>
      <c r="S16" s="51"/>
      <c r="T16" s="51"/>
      <c r="U16" s="51"/>
      <c r="V16" s="51"/>
      <c r="W16" s="51">
        <f t="shared" si="0"/>
        <v>0</v>
      </c>
      <c r="X16" s="51"/>
      <c r="Y16" s="51"/>
      <c r="Z16" s="51">
        <v>258535</v>
      </c>
      <c r="AA16" s="51"/>
      <c r="AB16" s="51"/>
      <c r="AC16" s="51">
        <f t="shared" si="1"/>
        <v>258535</v>
      </c>
      <c r="AD16" s="54"/>
      <c r="AE16" s="73">
        <f>SUM('XCombining BS Assets (62-Memor)'!AC16-'XCombining BS Liability(62Mem)'!AC16)</f>
        <v>0</v>
      </c>
    </row>
    <row r="17" spans="1:31" s="57" customFormat="1" ht="9.9499999999999993" customHeight="1" x14ac:dyDescent="0.3">
      <c r="A17" s="54"/>
      <c r="B17" s="54" t="s">
        <v>467</v>
      </c>
      <c r="C17" s="51"/>
      <c r="D17" s="51"/>
      <c r="E17" s="51">
        <v>1383</v>
      </c>
      <c r="F17" s="51"/>
      <c r="G17" s="51"/>
      <c r="H17" s="51"/>
      <c r="I17" s="51"/>
      <c r="J17" s="51"/>
      <c r="K17" s="51"/>
      <c r="L17" s="51"/>
      <c r="M17" s="51"/>
      <c r="N17" s="51"/>
      <c r="O17" s="51"/>
      <c r="P17" s="51"/>
      <c r="Q17" s="51"/>
      <c r="R17" s="51"/>
      <c r="S17" s="51"/>
      <c r="T17" s="51"/>
      <c r="U17" s="51"/>
      <c r="V17" s="51"/>
      <c r="W17" s="51">
        <f t="shared" si="0"/>
        <v>1383</v>
      </c>
      <c r="X17" s="51"/>
      <c r="Y17" s="51"/>
      <c r="Z17" s="51">
        <v>1077912</v>
      </c>
      <c r="AA17" s="51"/>
      <c r="AB17" s="51"/>
      <c r="AC17" s="51">
        <f t="shared" si="1"/>
        <v>1079295</v>
      </c>
      <c r="AD17" s="54"/>
      <c r="AE17" s="73">
        <f>SUM('XCombining BS Assets (62-Memor)'!AC17-'XCombining BS Liability(62Mem)'!AC17)</f>
        <v>0</v>
      </c>
    </row>
    <row r="18" spans="1:31" s="57" customFormat="1" ht="9.9499999999999993" customHeight="1" x14ac:dyDescent="0.3">
      <c r="A18" s="54"/>
      <c r="B18" s="54" t="s">
        <v>468</v>
      </c>
      <c r="C18" s="51"/>
      <c r="D18" s="51"/>
      <c r="E18" s="51">
        <v>120</v>
      </c>
      <c r="F18" s="51"/>
      <c r="G18" s="51"/>
      <c r="H18" s="51"/>
      <c r="I18" s="51"/>
      <c r="J18" s="51"/>
      <c r="K18" s="51"/>
      <c r="L18" s="51"/>
      <c r="M18" s="51"/>
      <c r="N18" s="51"/>
      <c r="O18" s="51"/>
      <c r="P18" s="51"/>
      <c r="Q18" s="51"/>
      <c r="R18" s="51"/>
      <c r="S18" s="51"/>
      <c r="T18" s="51"/>
      <c r="U18" s="51"/>
      <c r="V18" s="51"/>
      <c r="W18" s="51">
        <f t="shared" si="0"/>
        <v>120</v>
      </c>
      <c r="X18" s="51"/>
      <c r="Y18" s="51"/>
      <c r="Z18" s="51">
        <v>69976</v>
      </c>
      <c r="AA18" s="51"/>
      <c r="AB18" s="51"/>
      <c r="AC18" s="51">
        <f t="shared" si="1"/>
        <v>70096</v>
      </c>
      <c r="AD18" s="54"/>
      <c r="AE18" s="73">
        <f>SUM('XCombining BS Assets (62-Memor)'!AC18-'XCombining BS Liability(62Mem)'!AC18)</f>
        <v>0</v>
      </c>
    </row>
    <row r="19" spans="1:31" s="57" customFormat="1" ht="9.9499999999999993" customHeight="1" x14ac:dyDescent="0.3">
      <c r="A19" s="54"/>
      <c r="B19" s="54" t="s">
        <v>469</v>
      </c>
      <c r="C19" s="51"/>
      <c r="D19" s="51"/>
      <c r="E19" s="51"/>
      <c r="F19" s="51"/>
      <c r="G19" s="51"/>
      <c r="H19" s="51">
        <v>2098</v>
      </c>
      <c r="I19" s="51"/>
      <c r="J19" s="51"/>
      <c r="K19" s="51">
        <v>5087</v>
      </c>
      <c r="L19" s="51"/>
      <c r="M19" s="51"/>
      <c r="N19" s="51">
        <v>7854</v>
      </c>
      <c r="O19" s="51"/>
      <c r="P19" s="51"/>
      <c r="Q19" s="51"/>
      <c r="R19" s="51"/>
      <c r="S19" s="51"/>
      <c r="T19" s="51">
        <v>284073</v>
      </c>
      <c r="U19" s="51"/>
      <c r="V19" s="51"/>
      <c r="W19" s="51">
        <f t="shared" si="0"/>
        <v>299112</v>
      </c>
      <c r="X19" s="51"/>
      <c r="Y19" s="51"/>
      <c r="Z19" s="51"/>
      <c r="AA19" s="51"/>
      <c r="AB19" s="51"/>
      <c r="AC19" s="51">
        <f t="shared" si="1"/>
        <v>299112</v>
      </c>
      <c r="AD19" s="54"/>
      <c r="AE19" s="73">
        <f>SUM('XCombining BS Assets (62-Memor)'!AC19-'XCombining BS Liability(62Mem)'!AC19)</f>
        <v>0</v>
      </c>
    </row>
    <row r="20" spans="1:31" s="57" customFormat="1" ht="9.9499999999999993" customHeight="1" x14ac:dyDescent="0.3">
      <c r="A20" s="54"/>
      <c r="B20" s="54" t="s">
        <v>470</v>
      </c>
      <c r="C20" s="51"/>
      <c r="D20" s="51"/>
      <c r="E20" s="51">
        <v>2551</v>
      </c>
      <c r="F20" s="51"/>
      <c r="G20" s="51"/>
      <c r="H20" s="51">
        <v>30</v>
      </c>
      <c r="I20" s="51"/>
      <c r="J20" s="51"/>
      <c r="K20" s="51"/>
      <c r="L20" s="51"/>
      <c r="M20" s="51"/>
      <c r="N20" s="51"/>
      <c r="O20" s="51"/>
      <c r="P20" s="51"/>
      <c r="Q20" s="51"/>
      <c r="R20" s="51"/>
      <c r="S20" s="51"/>
      <c r="T20" s="51"/>
      <c r="U20" s="51"/>
      <c r="V20" s="51"/>
      <c r="W20" s="51">
        <f t="shared" si="0"/>
        <v>2581</v>
      </c>
      <c r="X20" s="51"/>
      <c r="Y20" s="51"/>
      <c r="Z20" s="51">
        <v>302596</v>
      </c>
      <c r="AA20" s="51"/>
      <c r="AB20" s="51"/>
      <c r="AC20" s="51">
        <f t="shared" si="1"/>
        <v>305177</v>
      </c>
      <c r="AD20" s="54"/>
      <c r="AE20" s="73">
        <f>SUM('XCombining BS Assets (62-Memor)'!AC20-'XCombining BS Liability(62Mem)'!AC20)</f>
        <v>0</v>
      </c>
    </row>
    <row r="21" spans="1:31" s="57" customFormat="1" ht="9.9499999999999993" customHeight="1" x14ac:dyDescent="0.3">
      <c r="A21" s="54"/>
      <c r="B21" s="54" t="s">
        <v>471</v>
      </c>
      <c r="C21" s="51"/>
      <c r="D21" s="51"/>
      <c r="E21" s="51"/>
      <c r="F21" s="51"/>
      <c r="G21" s="51"/>
      <c r="H21" s="51"/>
      <c r="I21" s="51"/>
      <c r="J21" s="51"/>
      <c r="K21" s="51"/>
      <c r="L21" s="51"/>
      <c r="M21" s="51"/>
      <c r="N21" s="51"/>
      <c r="O21" s="51"/>
      <c r="P21" s="51"/>
      <c r="Q21" s="51"/>
      <c r="R21" s="51"/>
      <c r="S21" s="51"/>
      <c r="T21" s="51"/>
      <c r="U21" s="51"/>
      <c r="V21" s="51"/>
      <c r="W21" s="51">
        <f t="shared" si="0"/>
        <v>0</v>
      </c>
      <c r="X21" s="51"/>
      <c r="Y21" s="51"/>
      <c r="Z21" s="51">
        <v>9154</v>
      </c>
      <c r="AA21" s="51"/>
      <c r="AB21" s="51"/>
      <c r="AC21" s="51">
        <f t="shared" si="1"/>
        <v>9154</v>
      </c>
      <c r="AD21" s="54"/>
      <c r="AE21" s="73">
        <f>SUM('XCombining BS Assets (62-Memor)'!AC21-'XCombining BS Liability(62Mem)'!AC21)</f>
        <v>0</v>
      </c>
    </row>
    <row r="22" spans="1:31" s="57" customFormat="1" ht="9.9499999999999993" customHeight="1" x14ac:dyDescent="0.3">
      <c r="A22" s="54"/>
      <c r="B22" s="54" t="s">
        <v>473</v>
      </c>
      <c r="C22" s="51"/>
      <c r="D22" s="51"/>
      <c r="E22" s="51"/>
      <c r="F22" s="51"/>
      <c r="G22" s="51"/>
      <c r="H22" s="51"/>
      <c r="I22" s="51"/>
      <c r="J22" s="51"/>
      <c r="K22" s="51"/>
      <c r="L22" s="51"/>
      <c r="M22" s="51"/>
      <c r="N22" s="51"/>
      <c r="O22" s="51"/>
      <c r="P22" s="51"/>
      <c r="Q22" s="51"/>
      <c r="R22" s="51"/>
      <c r="S22" s="51"/>
      <c r="T22" s="51"/>
      <c r="U22" s="51"/>
      <c r="V22" s="51"/>
      <c r="W22" s="51">
        <f t="shared" si="0"/>
        <v>0</v>
      </c>
      <c r="X22" s="51"/>
      <c r="Y22" s="51"/>
      <c r="Z22" s="51">
        <v>467</v>
      </c>
      <c r="AA22" s="51"/>
      <c r="AB22" s="51"/>
      <c r="AC22" s="51">
        <f t="shared" si="1"/>
        <v>467</v>
      </c>
      <c r="AD22" s="54"/>
      <c r="AE22" s="73">
        <f>SUM('XCombining BS Assets (62-Memor)'!AC22-'XCombining BS Liability(62Mem)'!AC22)</f>
        <v>0</v>
      </c>
    </row>
    <row r="23" spans="1:31" s="57" customFormat="1" ht="9.9499999999999993" customHeight="1" x14ac:dyDescent="0.3">
      <c r="A23" s="54"/>
      <c r="B23" s="54" t="s">
        <v>474</v>
      </c>
      <c r="C23" s="51"/>
      <c r="D23" s="51"/>
      <c r="E23" s="51"/>
      <c r="F23" s="51"/>
      <c r="G23" s="51"/>
      <c r="H23" s="51"/>
      <c r="I23" s="51"/>
      <c r="J23" s="51"/>
      <c r="K23" s="51"/>
      <c r="L23" s="51"/>
      <c r="M23" s="51"/>
      <c r="N23" s="51"/>
      <c r="O23" s="51"/>
      <c r="P23" s="51"/>
      <c r="Q23" s="51"/>
      <c r="R23" s="51"/>
      <c r="S23" s="51"/>
      <c r="T23" s="51">
        <v>3678</v>
      </c>
      <c r="U23" s="51"/>
      <c r="V23" s="51"/>
      <c r="W23" s="51">
        <f t="shared" si="0"/>
        <v>3678</v>
      </c>
      <c r="X23" s="51"/>
      <c r="Y23" s="51"/>
      <c r="Z23" s="51">
        <v>-3606</v>
      </c>
      <c r="AA23" s="51"/>
      <c r="AB23" s="51"/>
      <c r="AC23" s="51">
        <f t="shared" si="1"/>
        <v>72</v>
      </c>
      <c r="AD23" s="54"/>
      <c r="AE23" s="73">
        <f>SUM('XCombining BS Assets (62-Memor)'!AC23-'XCombining BS Liability(62Mem)'!AC23)</f>
        <v>0</v>
      </c>
    </row>
    <row r="24" spans="1:31" s="57" customFormat="1" ht="9.9499999999999993" customHeight="1" x14ac:dyDescent="0.3">
      <c r="A24" s="54"/>
      <c r="B24" s="54" t="s">
        <v>480</v>
      </c>
      <c r="C24" s="51"/>
      <c r="D24" s="51"/>
      <c r="E24" s="51">
        <v>2000</v>
      </c>
      <c r="F24" s="51"/>
      <c r="G24" s="51"/>
      <c r="H24" s="51"/>
      <c r="I24" s="51"/>
      <c r="J24" s="51"/>
      <c r="K24" s="51"/>
      <c r="L24" s="51"/>
      <c r="M24" s="51"/>
      <c r="N24" s="51"/>
      <c r="O24" s="51"/>
      <c r="P24" s="51"/>
      <c r="Q24" s="51"/>
      <c r="R24" s="51"/>
      <c r="S24" s="51"/>
      <c r="T24" s="51">
        <v>45796</v>
      </c>
      <c r="U24" s="51"/>
      <c r="V24" s="51"/>
      <c r="W24" s="51">
        <f t="shared" si="0"/>
        <v>47796</v>
      </c>
      <c r="X24" s="51"/>
      <c r="Y24" s="51"/>
      <c r="Z24" s="51">
        <v>-46898</v>
      </c>
      <c r="AA24" s="51"/>
      <c r="AB24" s="51"/>
      <c r="AC24" s="51">
        <f t="shared" si="1"/>
        <v>898</v>
      </c>
      <c r="AD24" s="54"/>
      <c r="AE24" s="73">
        <f>SUM('XCombining BS Assets (62-Memor)'!AC24-'XCombining BS Liability(62Mem)'!AC24)</f>
        <v>0</v>
      </c>
    </row>
    <row r="25" spans="1:31" s="57" customFormat="1" ht="9.9499999999999993" customHeight="1" x14ac:dyDescent="0.3">
      <c r="A25" s="54"/>
      <c r="B25" s="54" t="s">
        <v>622</v>
      </c>
      <c r="C25" s="51"/>
      <c r="D25" s="51"/>
      <c r="E25" s="51"/>
      <c r="F25" s="51"/>
      <c r="G25" s="51"/>
      <c r="H25" s="51"/>
      <c r="I25" s="51"/>
      <c r="J25" s="51"/>
      <c r="K25" s="51"/>
      <c r="L25" s="51"/>
      <c r="M25" s="51"/>
      <c r="N25" s="51"/>
      <c r="O25" s="51"/>
      <c r="P25" s="51"/>
      <c r="Q25" s="51"/>
      <c r="R25" s="51"/>
      <c r="S25" s="51"/>
      <c r="T25" s="51"/>
      <c r="U25" s="51"/>
      <c r="V25" s="51"/>
      <c r="W25" s="51">
        <f t="shared" si="0"/>
        <v>0</v>
      </c>
      <c r="X25" s="51"/>
      <c r="Y25" s="51"/>
      <c r="Z25" s="51">
        <v>2382</v>
      </c>
      <c r="AA25" s="51"/>
      <c r="AB25" s="51"/>
      <c r="AC25" s="51">
        <f t="shared" si="1"/>
        <v>2382</v>
      </c>
      <c r="AD25" s="54"/>
      <c r="AE25" s="73">
        <f>SUM('XCombining BS Assets (62-Memor)'!AC25-'XCombining BS Liability(62Mem)'!AC25)</f>
        <v>0</v>
      </c>
    </row>
    <row r="26" spans="1:31" s="57" customFormat="1" ht="9.9499999999999993" customHeight="1" x14ac:dyDescent="0.3">
      <c r="A26" s="54"/>
      <c r="B26" s="54" t="s">
        <v>623</v>
      </c>
      <c r="C26" s="51"/>
      <c r="D26" s="51"/>
      <c r="E26" s="51"/>
      <c r="F26" s="51"/>
      <c r="G26" s="51"/>
      <c r="H26" s="51"/>
      <c r="I26" s="51"/>
      <c r="J26" s="51"/>
      <c r="K26" s="51"/>
      <c r="L26" s="51"/>
      <c r="M26" s="51"/>
      <c r="N26" s="51"/>
      <c r="O26" s="51"/>
      <c r="P26" s="51"/>
      <c r="Q26" s="51"/>
      <c r="R26" s="51"/>
      <c r="S26" s="51"/>
      <c r="T26" s="51"/>
      <c r="U26" s="51"/>
      <c r="V26" s="51"/>
      <c r="W26" s="51">
        <f t="shared" si="0"/>
        <v>0</v>
      </c>
      <c r="X26" s="51"/>
      <c r="Y26" s="51"/>
      <c r="Z26" s="51">
        <v>9070</v>
      </c>
      <c r="AA26" s="51"/>
      <c r="AB26" s="51"/>
      <c r="AC26" s="51">
        <f t="shared" si="1"/>
        <v>9070</v>
      </c>
      <c r="AD26" s="54"/>
      <c r="AE26" s="73">
        <f>SUM('XCombining BS Assets (62-Memor)'!AC26-'XCombining BS Liability(62Mem)'!AC26)</f>
        <v>0</v>
      </c>
    </row>
    <row r="27" spans="1:31" s="57" customFormat="1" ht="9.9499999999999993" customHeight="1" x14ac:dyDescent="0.3">
      <c r="A27" s="54"/>
      <c r="B27" s="54" t="s">
        <v>481</v>
      </c>
      <c r="C27" s="51"/>
      <c r="D27" s="51"/>
      <c r="E27" s="51"/>
      <c r="F27" s="51"/>
      <c r="G27" s="51"/>
      <c r="H27" s="51"/>
      <c r="I27" s="51"/>
      <c r="J27" s="51"/>
      <c r="K27" s="51"/>
      <c r="L27" s="51"/>
      <c r="M27" s="51"/>
      <c r="N27" s="51"/>
      <c r="O27" s="51"/>
      <c r="P27" s="51"/>
      <c r="Q27" s="51"/>
      <c r="R27" s="51"/>
      <c r="S27" s="51"/>
      <c r="T27" s="51"/>
      <c r="U27" s="51"/>
      <c r="V27" s="51"/>
      <c r="W27" s="51">
        <f t="shared" si="0"/>
        <v>0</v>
      </c>
      <c r="X27" s="51"/>
      <c r="Y27" s="51"/>
      <c r="Z27" s="51">
        <v>4495</v>
      </c>
      <c r="AA27" s="51"/>
      <c r="AB27" s="51"/>
      <c r="AC27" s="51">
        <f t="shared" si="1"/>
        <v>4495</v>
      </c>
      <c r="AD27" s="54"/>
      <c r="AE27" s="73">
        <f>SUM('XCombining BS Assets (62-Memor)'!AC27-'XCombining BS Liability(62Mem)'!AC27)</f>
        <v>0</v>
      </c>
    </row>
    <row r="28" spans="1:31" s="57" customFormat="1" ht="9.9499999999999993" customHeight="1" x14ac:dyDescent="0.3">
      <c r="A28" s="54"/>
      <c r="B28" s="54" t="s">
        <v>482</v>
      </c>
      <c r="C28" s="51"/>
      <c r="D28" s="51"/>
      <c r="E28" s="51"/>
      <c r="F28" s="51"/>
      <c r="G28" s="51"/>
      <c r="H28" s="51"/>
      <c r="I28" s="51"/>
      <c r="J28" s="51"/>
      <c r="K28" s="51"/>
      <c r="L28" s="51"/>
      <c r="M28" s="51"/>
      <c r="N28" s="51"/>
      <c r="O28" s="51"/>
      <c r="P28" s="51"/>
      <c r="Q28" s="51"/>
      <c r="R28" s="51"/>
      <c r="S28" s="51"/>
      <c r="T28" s="51">
        <v>19938</v>
      </c>
      <c r="U28" s="51"/>
      <c r="V28" s="51"/>
      <c r="W28" s="51">
        <f t="shared" si="0"/>
        <v>19938</v>
      </c>
      <c r="X28" s="51"/>
      <c r="Y28" s="51"/>
      <c r="Z28" s="51">
        <v>-19547</v>
      </c>
      <c r="AA28" s="51"/>
      <c r="AB28" s="51"/>
      <c r="AC28" s="51">
        <f t="shared" si="1"/>
        <v>391</v>
      </c>
      <c r="AD28" s="54"/>
      <c r="AE28" s="73">
        <f>SUM('XCombining BS Assets (62-Memor)'!AC28-'XCombining BS Liability(62Mem)'!AC28)</f>
        <v>0</v>
      </c>
    </row>
    <row r="29" spans="1:31" s="57" customFormat="1" ht="9.9499999999999993" customHeight="1" x14ac:dyDescent="0.3">
      <c r="A29" s="54"/>
      <c r="B29" s="54" t="s">
        <v>483</v>
      </c>
      <c r="C29" s="51"/>
      <c r="D29" s="51"/>
      <c r="E29" s="51"/>
      <c r="F29" s="51"/>
      <c r="G29" s="51"/>
      <c r="H29" s="51"/>
      <c r="I29" s="51"/>
      <c r="J29" s="51"/>
      <c r="K29" s="51"/>
      <c r="L29" s="51"/>
      <c r="M29" s="51"/>
      <c r="N29" s="51"/>
      <c r="O29" s="51"/>
      <c r="P29" s="51"/>
      <c r="Q29" s="51"/>
      <c r="R29" s="51"/>
      <c r="S29" s="51"/>
      <c r="T29" s="51"/>
      <c r="U29" s="51"/>
      <c r="V29" s="51"/>
      <c r="W29" s="51">
        <f t="shared" si="0"/>
        <v>0</v>
      </c>
      <c r="X29" s="51"/>
      <c r="Y29" s="51"/>
      <c r="Z29" s="51">
        <v>59475</v>
      </c>
      <c r="AA29" s="51"/>
      <c r="AB29" s="51"/>
      <c r="AC29" s="51">
        <f t="shared" si="1"/>
        <v>59475</v>
      </c>
      <c r="AD29" s="54"/>
      <c r="AE29" s="73">
        <f>SUM('XCombining BS Assets (62-Memor)'!AC29-'XCombining BS Liability(62Mem)'!AC29)</f>
        <v>0</v>
      </c>
    </row>
    <row r="30" spans="1:31" s="57" customFormat="1" ht="9.9499999999999993" customHeight="1" x14ac:dyDescent="0.3">
      <c r="A30" s="54"/>
      <c r="B30" s="54" t="s">
        <v>484</v>
      </c>
      <c r="C30" s="51"/>
      <c r="D30" s="51"/>
      <c r="E30" s="51"/>
      <c r="F30" s="51"/>
      <c r="G30" s="51"/>
      <c r="H30" s="51"/>
      <c r="I30" s="51"/>
      <c r="J30" s="51"/>
      <c r="K30" s="51"/>
      <c r="L30" s="51"/>
      <c r="M30" s="51"/>
      <c r="N30" s="51"/>
      <c r="O30" s="51"/>
      <c r="P30" s="51"/>
      <c r="Q30" s="51"/>
      <c r="R30" s="51"/>
      <c r="S30" s="51"/>
      <c r="T30" s="51"/>
      <c r="U30" s="51"/>
      <c r="V30" s="51"/>
      <c r="W30" s="51">
        <f t="shared" si="0"/>
        <v>0</v>
      </c>
      <c r="X30" s="51"/>
      <c r="Y30" s="51"/>
      <c r="Z30" s="51">
        <v>2976</v>
      </c>
      <c r="AA30" s="51"/>
      <c r="AB30" s="51"/>
      <c r="AC30" s="51">
        <f t="shared" si="1"/>
        <v>2976</v>
      </c>
      <c r="AD30" s="54"/>
      <c r="AE30" s="73">
        <f>SUM('XCombining BS Assets (62-Memor)'!AC30-'XCombining BS Liability(62Mem)'!AC30)</f>
        <v>0</v>
      </c>
    </row>
    <row r="31" spans="1:31" s="57" customFormat="1" ht="9.9499999999999993" customHeight="1" x14ac:dyDescent="0.3">
      <c r="A31" s="54"/>
      <c r="B31" s="54" t="s">
        <v>42</v>
      </c>
      <c r="C31" s="51"/>
      <c r="D31" s="51"/>
      <c r="E31" s="51"/>
      <c r="F31" s="51"/>
      <c r="G31" s="51"/>
      <c r="H31" s="51"/>
      <c r="I31" s="51"/>
      <c r="J31" s="51"/>
      <c r="K31" s="51"/>
      <c r="L31" s="51"/>
      <c r="M31" s="51"/>
      <c r="N31" s="51"/>
      <c r="O31" s="51"/>
      <c r="P31" s="51"/>
      <c r="Q31" s="51"/>
      <c r="R31" s="51"/>
      <c r="S31" s="51"/>
      <c r="T31" s="51"/>
      <c r="U31" s="51"/>
      <c r="V31" s="51"/>
      <c r="W31" s="51">
        <f t="shared" si="0"/>
        <v>0</v>
      </c>
      <c r="X31" s="51"/>
      <c r="Y31" s="51"/>
      <c r="Z31" s="51">
        <v>5599</v>
      </c>
      <c r="AA31" s="51"/>
      <c r="AB31" s="51"/>
      <c r="AC31" s="51">
        <f t="shared" si="1"/>
        <v>5599</v>
      </c>
      <c r="AD31" s="54"/>
      <c r="AE31" s="73">
        <f>SUM('XCombining BS Assets (62-Memor)'!AC31-'XCombining BS Liability(62Mem)'!AC31)</f>
        <v>0</v>
      </c>
    </row>
    <row r="32" spans="1:31" s="57" customFormat="1" ht="9.9499999999999993" customHeight="1" x14ac:dyDescent="0.3">
      <c r="A32" s="54"/>
      <c r="B32" s="54" t="s">
        <v>545</v>
      </c>
      <c r="C32" s="51"/>
      <c r="D32" s="51"/>
      <c r="E32" s="51"/>
      <c r="F32" s="51"/>
      <c r="G32" s="51"/>
      <c r="H32" s="51"/>
      <c r="I32" s="51"/>
      <c r="J32" s="51"/>
      <c r="K32" s="51"/>
      <c r="L32" s="51"/>
      <c r="M32" s="51"/>
      <c r="N32" s="51"/>
      <c r="O32" s="51"/>
      <c r="P32" s="51"/>
      <c r="Q32" s="51"/>
      <c r="R32" s="51"/>
      <c r="S32" s="51"/>
      <c r="T32" s="51"/>
      <c r="U32" s="51"/>
      <c r="V32" s="51"/>
      <c r="W32" s="51">
        <f t="shared" si="0"/>
        <v>0</v>
      </c>
      <c r="X32" s="51"/>
      <c r="Y32" s="51"/>
      <c r="Z32" s="51">
        <v>29022</v>
      </c>
      <c r="AA32" s="51"/>
      <c r="AB32" s="51"/>
      <c r="AC32" s="51">
        <f>SUM(W32:Z32)</f>
        <v>29022</v>
      </c>
      <c r="AD32" s="54"/>
      <c r="AE32" s="73">
        <f>SUM('XCombining BS Assets (62-Memor)'!AC32-'XCombining BS Liability(62Mem)'!AC32)</f>
        <v>0</v>
      </c>
    </row>
    <row r="33" spans="1:31" s="57" customFormat="1" ht="9.9499999999999993" customHeight="1" x14ac:dyDescent="0.3">
      <c r="A33" s="54"/>
      <c r="B33" s="54" t="s">
        <v>546</v>
      </c>
      <c r="C33" s="51"/>
      <c r="D33" s="51"/>
      <c r="E33" s="51">
        <v>781</v>
      </c>
      <c r="F33" s="51"/>
      <c r="G33" s="51"/>
      <c r="H33" s="51">
        <v>60</v>
      </c>
      <c r="I33" s="51"/>
      <c r="J33" s="51"/>
      <c r="K33" s="51"/>
      <c r="L33" s="51"/>
      <c r="M33" s="51"/>
      <c r="N33" s="51"/>
      <c r="O33" s="51"/>
      <c r="P33" s="51"/>
      <c r="Q33" s="51"/>
      <c r="R33" s="51"/>
      <c r="S33" s="51"/>
      <c r="T33" s="51"/>
      <c r="U33" s="51"/>
      <c r="V33" s="51"/>
      <c r="W33" s="51">
        <f t="shared" si="0"/>
        <v>841</v>
      </c>
      <c r="X33" s="51"/>
      <c r="Y33" s="51"/>
      <c r="Z33" s="51">
        <v>28792</v>
      </c>
      <c r="AA33" s="51"/>
      <c r="AB33" s="51"/>
      <c r="AC33" s="51">
        <f t="shared" si="1"/>
        <v>29633</v>
      </c>
      <c r="AD33" s="54"/>
      <c r="AE33" s="73">
        <f>SUM('XCombining BS Assets (62-Memor)'!AC33-'XCombining BS Liability(62Mem)'!AC33)</f>
        <v>0</v>
      </c>
    </row>
    <row r="34" spans="1:31" s="57" customFormat="1" ht="9.9499999999999993" customHeight="1" x14ac:dyDescent="0.3">
      <c r="A34" s="54"/>
      <c r="B34" s="54" t="s">
        <v>547</v>
      </c>
      <c r="C34" s="51"/>
      <c r="D34" s="51"/>
      <c r="E34" s="51"/>
      <c r="F34" s="51"/>
      <c r="G34" s="51"/>
      <c r="H34" s="51"/>
      <c r="I34" s="51"/>
      <c r="J34" s="51"/>
      <c r="K34" s="51"/>
      <c r="L34" s="51"/>
      <c r="M34" s="51"/>
      <c r="N34" s="51"/>
      <c r="O34" s="51"/>
      <c r="P34" s="51"/>
      <c r="Q34" s="51"/>
      <c r="R34" s="51"/>
      <c r="S34" s="51"/>
      <c r="T34" s="51"/>
      <c r="U34" s="51"/>
      <c r="V34" s="51"/>
      <c r="W34" s="51">
        <f t="shared" si="0"/>
        <v>0</v>
      </c>
      <c r="X34" s="51"/>
      <c r="Y34" s="51"/>
      <c r="Z34" s="51">
        <v>652</v>
      </c>
      <c r="AA34" s="51"/>
      <c r="AB34" s="51"/>
      <c r="AC34" s="51">
        <f t="shared" si="1"/>
        <v>652</v>
      </c>
      <c r="AD34" s="54"/>
      <c r="AE34" s="73">
        <f>SUM('XCombining BS Assets (62-Memor)'!AC34-'XCombining BS Liability(62Mem)'!AC34)</f>
        <v>0</v>
      </c>
    </row>
    <row r="35" spans="1:31" s="57" customFormat="1" ht="9.9499999999999993" customHeight="1" x14ac:dyDescent="0.3">
      <c r="A35" s="54"/>
      <c r="B35" s="54" t="s">
        <v>548</v>
      </c>
      <c r="C35" s="51"/>
      <c r="D35" s="51"/>
      <c r="E35" s="51"/>
      <c r="F35" s="51"/>
      <c r="G35" s="51"/>
      <c r="H35" s="51"/>
      <c r="I35" s="51"/>
      <c r="J35" s="51"/>
      <c r="K35" s="51"/>
      <c r="L35" s="51"/>
      <c r="M35" s="51"/>
      <c r="N35" s="51"/>
      <c r="O35" s="51"/>
      <c r="P35" s="51"/>
      <c r="Q35" s="51"/>
      <c r="R35" s="51"/>
      <c r="S35" s="51"/>
      <c r="T35" s="51">
        <v>328</v>
      </c>
      <c r="U35" s="51"/>
      <c r="V35" s="51"/>
      <c r="W35" s="51">
        <f t="shared" si="0"/>
        <v>328</v>
      </c>
      <c r="X35" s="51"/>
      <c r="Y35" s="51"/>
      <c r="Z35" s="51">
        <v>-322</v>
      </c>
      <c r="AA35" s="51"/>
      <c r="AB35" s="51"/>
      <c r="AC35" s="51">
        <f t="shared" si="1"/>
        <v>6</v>
      </c>
      <c r="AD35" s="54"/>
      <c r="AE35" s="73">
        <f>SUM('XCombining BS Assets (62-Memor)'!AC35-'XCombining BS Liability(62Mem)'!AC35)</f>
        <v>0</v>
      </c>
    </row>
    <row r="36" spans="1:31" s="57" customFormat="1" ht="9.9499999999999993" customHeight="1" x14ac:dyDescent="0.3">
      <c r="A36" s="54"/>
      <c r="B36" s="54" t="s">
        <v>549</v>
      </c>
      <c r="C36" s="51"/>
      <c r="D36" s="51"/>
      <c r="E36" s="51"/>
      <c r="F36" s="51"/>
      <c r="G36" s="51"/>
      <c r="H36" s="51"/>
      <c r="I36" s="51"/>
      <c r="J36" s="51"/>
      <c r="K36" s="51"/>
      <c r="L36" s="51"/>
      <c r="M36" s="51"/>
      <c r="N36" s="51"/>
      <c r="O36" s="51"/>
      <c r="P36" s="51"/>
      <c r="Q36" s="51"/>
      <c r="R36" s="51"/>
      <c r="S36" s="51"/>
      <c r="T36" s="51"/>
      <c r="U36" s="51"/>
      <c r="V36" s="51"/>
      <c r="W36" s="51">
        <f t="shared" si="0"/>
        <v>0</v>
      </c>
      <c r="X36" s="51"/>
      <c r="Y36" s="51"/>
      <c r="Z36" s="51">
        <v>14195</v>
      </c>
      <c r="AA36" s="51"/>
      <c r="AB36" s="51"/>
      <c r="AC36" s="51">
        <f t="shared" si="1"/>
        <v>14195</v>
      </c>
      <c r="AD36" s="54"/>
      <c r="AE36" s="73">
        <f>SUM('XCombining BS Assets (62-Memor)'!AC36-'XCombining BS Liability(62Mem)'!AC36)</f>
        <v>0</v>
      </c>
    </row>
    <row r="37" spans="1:31" s="57" customFormat="1" ht="9.9499999999999993" customHeight="1" x14ac:dyDescent="0.3">
      <c r="A37" s="54"/>
      <c r="B37" s="54" t="s">
        <v>621</v>
      </c>
      <c r="C37" s="51"/>
      <c r="D37" s="51"/>
      <c r="E37" s="51"/>
      <c r="F37" s="51"/>
      <c r="G37" s="51"/>
      <c r="H37" s="51"/>
      <c r="I37" s="51"/>
      <c r="J37" s="51"/>
      <c r="K37" s="51"/>
      <c r="L37" s="51"/>
      <c r="M37" s="51"/>
      <c r="N37" s="51"/>
      <c r="O37" s="51"/>
      <c r="P37" s="51"/>
      <c r="Q37" s="51"/>
      <c r="R37" s="51"/>
      <c r="S37" s="51"/>
      <c r="T37" s="51"/>
      <c r="U37" s="51"/>
      <c r="V37" s="51"/>
      <c r="W37" s="51">
        <f t="shared" si="0"/>
        <v>0</v>
      </c>
      <c r="X37" s="51"/>
      <c r="Y37" s="51"/>
      <c r="Z37" s="51">
        <v>2538</v>
      </c>
      <c r="AA37" s="51"/>
      <c r="AB37" s="51"/>
      <c r="AC37" s="51">
        <f t="shared" si="1"/>
        <v>2538</v>
      </c>
      <c r="AD37" s="54"/>
      <c r="AE37" s="73">
        <f>SUM('XCombining BS Assets (62-Memor)'!AC37-'XCombining BS Liability(62Mem)'!AC37)</f>
        <v>0</v>
      </c>
    </row>
    <row r="38" spans="1:31" s="57" customFormat="1" ht="9.9499999999999993" customHeight="1" x14ac:dyDescent="0.3">
      <c r="A38" s="54"/>
      <c r="B38" s="54" t="s">
        <v>550</v>
      </c>
      <c r="C38" s="51"/>
      <c r="D38" s="51"/>
      <c r="E38" s="51">
        <v>7040</v>
      </c>
      <c r="F38" s="51"/>
      <c r="G38" s="51"/>
      <c r="H38" s="51"/>
      <c r="I38" s="51"/>
      <c r="J38" s="51"/>
      <c r="K38" s="51"/>
      <c r="L38" s="51"/>
      <c r="M38" s="51"/>
      <c r="N38" s="51"/>
      <c r="O38" s="51"/>
      <c r="P38" s="51"/>
      <c r="Q38" s="51"/>
      <c r="R38" s="51"/>
      <c r="S38" s="51"/>
      <c r="T38" s="51"/>
      <c r="U38" s="51"/>
      <c r="V38" s="51"/>
      <c r="W38" s="51">
        <f t="shared" si="0"/>
        <v>7040</v>
      </c>
      <c r="X38" s="51"/>
      <c r="Y38" s="51"/>
      <c r="Z38" s="51">
        <v>238166</v>
      </c>
      <c r="AA38" s="51"/>
      <c r="AB38" s="51"/>
      <c r="AC38" s="51">
        <f t="shared" si="1"/>
        <v>245206</v>
      </c>
      <c r="AD38" s="54"/>
      <c r="AE38" s="73">
        <f>SUM('XCombining BS Assets (62-Memor)'!AC38-'XCombining BS Liability(62Mem)'!AC38)</f>
        <v>0</v>
      </c>
    </row>
    <row r="39" spans="1:31" s="57" customFormat="1" ht="9.9499999999999993" customHeight="1" x14ac:dyDescent="0.3">
      <c r="A39" s="54"/>
      <c r="B39" s="54" t="s">
        <v>552</v>
      </c>
      <c r="C39" s="51"/>
      <c r="D39" s="51"/>
      <c r="E39" s="51">
        <v>725</v>
      </c>
      <c r="F39" s="51"/>
      <c r="G39" s="51"/>
      <c r="H39" s="51"/>
      <c r="I39" s="51"/>
      <c r="J39" s="51"/>
      <c r="K39" s="51"/>
      <c r="L39" s="51"/>
      <c r="M39" s="51"/>
      <c r="N39" s="51"/>
      <c r="O39" s="51"/>
      <c r="P39" s="51"/>
      <c r="Q39" s="51"/>
      <c r="R39" s="51"/>
      <c r="S39" s="51"/>
      <c r="T39" s="51"/>
      <c r="U39" s="51"/>
      <c r="V39" s="51"/>
      <c r="W39" s="51">
        <f t="shared" si="0"/>
        <v>725</v>
      </c>
      <c r="X39" s="51"/>
      <c r="Y39" s="51"/>
      <c r="Z39" s="51">
        <v>2608</v>
      </c>
      <c r="AA39" s="51"/>
      <c r="AB39" s="51"/>
      <c r="AC39" s="51">
        <f t="shared" si="1"/>
        <v>3333</v>
      </c>
      <c r="AD39" s="54"/>
      <c r="AE39" s="73">
        <f>SUM('XCombining BS Assets (62-Memor)'!AC39-'XCombining BS Liability(62Mem)'!AC39)</f>
        <v>0</v>
      </c>
    </row>
    <row r="40" spans="1:31" s="57" customFormat="1" ht="9.9499999999999993" customHeight="1" x14ac:dyDescent="0.3">
      <c r="A40" s="54"/>
      <c r="B40" s="54" t="s">
        <v>553</v>
      </c>
      <c r="C40" s="51"/>
      <c r="D40" s="51"/>
      <c r="E40" s="51"/>
      <c r="F40" s="51"/>
      <c r="G40" s="51"/>
      <c r="H40" s="51"/>
      <c r="I40" s="51"/>
      <c r="J40" s="51"/>
      <c r="K40" s="51"/>
      <c r="L40" s="51"/>
      <c r="M40" s="51"/>
      <c r="N40" s="51"/>
      <c r="O40" s="51"/>
      <c r="P40" s="51"/>
      <c r="Q40" s="51"/>
      <c r="R40" s="51"/>
      <c r="S40" s="51"/>
      <c r="T40" s="51"/>
      <c r="U40" s="51"/>
      <c r="V40" s="51"/>
      <c r="W40" s="51">
        <f t="shared" si="0"/>
        <v>0</v>
      </c>
      <c r="X40" s="51"/>
      <c r="Y40" s="51"/>
      <c r="Z40" s="51">
        <v>17126</v>
      </c>
      <c r="AA40" s="51"/>
      <c r="AB40" s="51"/>
      <c r="AC40" s="51">
        <f t="shared" si="1"/>
        <v>17126</v>
      </c>
      <c r="AD40" s="54"/>
      <c r="AE40" s="73">
        <f>SUM('XCombining BS Assets (62-Memor)'!AC40-'XCombining BS Liability(62Mem)'!AC40)</f>
        <v>0</v>
      </c>
    </row>
    <row r="41" spans="1:31" s="57" customFormat="1" ht="9.9499999999999993" customHeight="1" x14ac:dyDescent="0.3">
      <c r="A41" s="54"/>
      <c r="B41" s="54" t="s">
        <v>620</v>
      </c>
      <c r="C41" s="51"/>
      <c r="D41" s="51"/>
      <c r="E41" s="51"/>
      <c r="F41" s="51"/>
      <c r="G41" s="51"/>
      <c r="H41" s="51"/>
      <c r="I41" s="51"/>
      <c r="J41" s="51"/>
      <c r="K41" s="51"/>
      <c r="L41" s="51"/>
      <c r="M41" s="51"/>
      <c r="N41" s="51"/>
      <c r="O41" s="51"/>
      <c r="P41" s="51"/>
      <c r="Q41" s="51"/>
      <c r="R41" s="51"/>
      <c r="S41" s="51"/>
      <c r="T41" s="51">
        <v>445</v>
      </c>
      <c r="U41" s="51"/>
      <c r="V41" s="51"/>
      <c r="W41" s="51">
        <f t="shared" si="0"/>
        <v>445</v>
      </c>
      <c r="X41" s="51"/>
      <c r="Y41" s="51"/>
      <c r="Z41" s="51">
        <v>-445</v>
      </c>
      <c r="AA41" s="51"/>
      <c r="AB41" s="51"/>
      <c r="AC41" s="51">
        <f t="shared" si="1"/>
        <v>0</v>
      </c>
      <c r="AD41" s="54"/>
      <c r="AE41" s="73">
        <f>SUM('XCombining BS Assets (62-Memor)'!AC41-'XCombining BS Liability(62Mem)'!AC41)</f>
        <v>0</v>
      </c>
    </row>
    <row r="42" spans="1:31" s="57" customFormat="1" ht="9.9499999999999993" customHeight="1" x14ac:dyDescent="0.3">
      <c r="A42" s="54"/>
      <c r="B42" s="54" t="s">
        <v>619</v>
      </c>
      <c r="C42" s="51"/>
      <c r="D42" s="51"/>
      <c r="E42" s="51"/>
      <c r="F42" s="51"/>
      <c r="G42" s="51"/>
      <c r="H42" s="51">
        <v>5303</v>
      </c>
      <c r="I42" s="51"/>
      <c r="J42" s="51"/>
      <c r="K42" s="51">
        <v>13825</v>
      </c>
      <c r="L42" s="51"/>
      <c r="M42" s="51"/>
      <c r="N42" s="51">
        <v>16481</v>
      </c>
      <c r="O42" s="51"/>
      <c r="P42" s="51"/>
      <c r="Q42" s="51"/>
      <c r="R42" s="51"/>
      <c r="S42" s="51"/>
      <c r="T42" s="51">
        <v>146981</v>
      </c>
      <c r="U42" s="51"/>
      <c r="V42" s="51"/>
      <c r="W42" s="51">
        <f t="shared" si="0"/>
        <v>182590</v>
      </c>
      <c r="X42" s="51"/>
      <c r="Y42" s="51"/>
      <c r="Z42" s="51">
        <v>-41191</v>
      </c>
      <c r="AA42" s="51"/>
      <c r="AB42" s="51"/>
      <c r="AC42" s="51">
        <f t="shared" si="1"/>
        <v>141399</v>
      </c>
      <c r="AD42" s="54"/>
      <c r="AE42" s="73">
        <f>SUM('XCombining BS Assets (62-Memor)'!AC42-'XCombining BS Liability(62Mem)'!AC42)</f>
        <v>0</v>
      </c>
    </row>
    <row r="43" spans="1:31" s="57" customFormat="1" ht="9.9499999999999993" customHeight="1" x14ac:dyDescent="0.3">
      <c r="A43" s="54"/>
      <c r="B43" s="54" t="s">
        <v>37</v>
      </c>
      <c r="C43" s="51"/>
      <c r="D43" s="51"/>
      <c r="E43" s="51"/>
      <c r="F43" s="51"/>
      <c r="G43" s="51"/>
      <c r="H43" s="51"/>
      <c r="I43" s="51"/>
      <c r="J43" s="51"/>
      <c r="K43" s="51"/>
      <c r="L43" s="51"/>
      <c r="M43" s="51"/>
      <c r="N43" s="51"/>
      <c r="O43" s="51"/>
      <c r="P43" s="51"/>
      <c r="Q43" s="51"/>
      <c r="R43" s="51"/>
      <c r="S43" s="51"/>
      <c r="T43" s="51"/>
      <c r="U43" s="51"/>
      <c r="V43" s="51"/>
      <c r="W43" s="51">
        <f t="shared" si="0"/>
        <v>0</v>
      </c>
      <c r="X43" s="51"/>
      <c r="Y43" s="51"/>
      <c r="Z43" s="51">
        <v>31982</v>
      </c>
      <c r="AA43" s="51"/>
      <c r="AB43" s="51"/>
      <c r="AC43" s="51">
        <f t="shared" si="1"/>
        <v>31982</v>
      </c>
      <c r="AD43" s="54"/>
      <c r="AE43" s="73">
        <f>SUM('XCombining BS Assets (62-Memor)'!AC43-'XCombining BS Liability(62Mem)'!AC43)</f>
        <v>0</v>
      </c>
    </row>
    <row r="44" spans="1:31" s="57" customFormat="1" ht="9.9499999999999993" customHeight="1" x14ac:dyDescent="0.3">
      <c r="A44" s="54"/>
      <c r="B44" s="54" t="s">
        <v>38</v>
      </c>
      <c r="C44" s="51"/>
      <c r="D44" s="51"/>
      <c r="E44" s="51"/>
      <c r="F44" s="51"/>
      <c r="G44" s="51"/>
      <c r="H44" s="51"/>
      <c r="I44" s="51"/>
      <c r="J44" s="51"/>
      <c r="K44" s="51"/>
      <c r="L44" s="51"/>
      <c r="M44" s="51"/>
      <c r="N44" s="51"/>
      <c r="O44" s="51"/>
      <c r="P44" s="51"/>
      <c r="Q44" s="51"/>
      <c r="R44" s="51"/>
      <c r="S44" s="51"/>
      <c r="T44" s="51"/>
      <c r="U44" s="51"/>
      <c r="V44" s="51"/>
      <c r="W44" s="51">
        <f t="shared" si="0"/>
        <v>0</v>
      </c>
      <c r="X44" s="51"/>
      <c r="Y44" s="51"/>
      <c r="Z44" s="51">
        <v>452</v>
      </c>
      <c r="AA44" s="51"/>
      <c r="AB44" s="51"/>
      <c r="AC44" s="51">
        <f t="shared" si="1"/>
        <v>452</v>
      </c>
      <c r="AD44" s="54"/>
      <c r="AE44" s="73">
        <f>SUM('XCombining BS Assets (62-Memor)'!AC44-'XCombining BS Liability(62Mem)'!AC44)</f>
        <v>0</v>
      </c>
    </row>
    <row r="45" spans="1:31" s="57" customFormat="1" ht="9.9499999999999993" customHeight="1" x14ac:dyDescent="0.3">
      <c r="A45" s="54"/>
      <c r="B45" s="54" t="s">
        <v>554</v>
      </c>
      <c r="C45" s="51"/>
      <c r="D45" s="51"/>
      <c r="E45" s="51"/>
      <c r="F45" s="51"/>
      <c r="G45" s="51"/>
      <c r="H45" s="51"/>
      <c r="I45" s="51"/>
      <c r="J45" s="51"/>
      <c r="K45" s="51"/>
      <c r="L45" s="51"/>
      <c r="M45" s="51"/>
      <c r="N45" s="51"/>
      <c r="O45" s="51"/>
      <c r="P45" s="51"/>
      <c r="Q45" s="51"/>
      <c r="R45" s="51"/>
      <c r="S45" s="51"/>
      <c r="T45" s="51"/>
      <c r="U45" s="51"/>
      <c r="V45" s="51"/>
      <c r="W45" s="51">
        <f t="shared" si="0"/>
        <v>0</v>
      </c>
      <c r="X45" s="51"/>
      <c r="Y45" s="51"/>
      <c r="Z45" s="51">
        <v>3115</v>
      </c>
      <c r="AA45" s="51"/>
      <c r="AB45" s="51"/>
      <c r="AC45" s="51">
        <f t="shared" si="1"/>
        <v>3115</v>
      </c>
      <c r="AD45" s="54"/>
      <c r="AE45" s="73">
        <f>SUM('XCombining BS Assets (62-Memor)'!AC45-'XCombining BS Liability(62Mem)'!AC45)</f>
        <v>0</v>
      </c>
    </row>
    <row r="46" spans="1:31" s="57" customFormat="1" ht="9.9499999999999993" customHeight="1" x14ac:dyDescent="0.3">
      <c r="A46" s="54"/>
      <c r="B46" s="54" t="s">
        <v>556</v>
      </c>
      <c r="C46" s="51"/>
      <c r="D46" s="51"/>
      <c r="E46" s="51">
        <v>753</v>
      </c>
      <c r="F46" s="51"/>
      <c r="G46" s="51"/>
      <c r="H46" s="51"/>
      <c r="I46" s="51"/>
      <c r="J46" s="51"/>
      <c r="K46" s="51"/>
      <c r="L46" s="51"/>
      <c r="M46" s="51"/>
      <c r="N46" s="51"/>
      <c r="O46" s="51"/>
      <c r="P46" s="51"/>
      <c r="Q46" s="51"/>
      <c r="R46" s="51"/>
      <c r="S46" s="51"/>
      <c r="T46" s="51"/>
      <c r="U46" s="51"/>
      <c r="V46" s="51"/>
      <c r="W46" s="51">
        <f t="shared" si="0"/>
        <v>753</v>
      </c>
      <c r="X46" s="51"/>
      <c r="Y46" s="51"/>
      <c r="Z46" s="51">
        <v>18922</v>
      </c>
      <c r="AA46" s="51"/>
      <c r="AB46" s="51"/>
      <c r="AC46" s="51">
        <f t="shared" si="1"/>
        <v>19675</v>
      </c>
      <c r="AD46" s="54"/>
      <c r="AE46" s="73">
        <f>SUM('XCombining BS Assets (62-Memor)'!AC46-'XCombining BS Liability(62Mem)'!AC46)</f>
        <v>0</v>
      </c>
    </row>
    <row r="47" spans="1:31" s="57" customFormat="1" ht="9.9499999999999993" customHeight="1" x14ac:dyDescent="0.3">
      <c r="A47" s="54"/>
      <c r="B47" s="54" t="s">
        <v>558</v>
      </c>
      <c r="C47" s="51"/>
      <c r="D47" s="51"/>
      <c r="E47" s="51"/>
      <c r="F47" s="51"/>
      <c r="G47" s="51"/>
      <c r="H47" s="51"/>
      <c r="I47" s="51"/>
      <c r="J47" s="51"/>
      <c r="K47" s="51"/>
      <c r="L47" s="51"/>
      <c r="M47" s="51"/>
      <c r="N47" s="51"/>
      <c r="O47" s="51"/>
      <c r="P47" s="51"/>
      <c r="Q47" s="51"/>
      <c r="R47" s="51"/>
      <c r="S47" s="51"/>
      <c r="T47" s="51">
        <v>1854351</v>
      </c>
      <c r="U47" s="51"/>
      <c r="V47" s="51"/>
      <c r="W47" s="51">
        <f t="shared" si="0"/>
        <v>1854351</v>
      </c>
      <c r="X47" s="51"/>
      <c r="Y47" s="51"/>
      <c r="Z47" s="51">
        <v>9498</v>
      </c>
      <c r="AA47" s="51"/>
      <c r="AB47" s="51"/>
      <c r="AC47" s="51">
        <f t="shared" si="1"/>
        <v>1863849</v>
      </c>
      <c r="AD47" s="54"/>
      <c r="AE47" s="73">
        <f>SUM('XCombining BS Assets (62-Memor)'!AC47-'XCombining BS Liability(62Mem)'!AC47)</f>
        <v>0</v>
      </c>
    </row>
    <row r="48" spans="1:31" s="57" customFormat="1" ht="9.9499999999999993" customHeight="1" x14ac:dyDescent="0.3">
      <c r="A48" s="54"/>
      <c r="B48" s="54" t="s">
        <v>559</v>
      </c>
      <c r="C48" s="51"/>
      <c r="D48" s="51"/>
      <c r="E48" s="51"/>
      <c r="F48" s="51"/>
      <c r="G48" s="51"/>
      <c r="H48" s="51"/>
      <c r="I48" s="51"/>
      <c r="J48" s="51"/>
      <c r="K48" s="51"/>
      <c r="L48" s="51"/>
      <c r="M48" s="51"/>
      <c r="N48" s="51"/>
      <c r="O48" s="51"/>
      <c r="P48" s="51"/>
      <c r="Q48" s="51"/>
      <c r="R48" s="51"/>
      <c r="S48" s="51"/>
      <c r="T48" s="51"/>
      <c r="U48" s="51"/>
      <c r="V48" s="51"/>
      <c r="W48" s="51">
        <f t="shared" si="0"/>
        <v>0</v>
      </c>
      <c r="X48" s="51"/>
      <c r="Y48" s="51"/>
      <c r="Z48" s="51">
        <v>6483</v>
      </c>
      <c r="AA48" s="51"/>
      <c r="AB48" s="51"/>
      <c r="AC48" s="51">
        <f t="shared" si="1"/>
        <v>6483</v>
      </c>
      <c r="AD48" s="54"/>
      <c r="AE48" s="73">
        <f>SUM('XCombining BS Assets (62-Memor)'!AC48-'XCombining BS Liability(62Mem)'!AC48)</f>
        <v>0</v>
      </c>
    </row>
    <row r="49" spans="1:31" s="57" customFormat="1" ht="9.9499999999999993" customHeight="1" x14ac:dyDescent="0.3">
      <c r="A49" s="54"/>
      <c r="B49" s="54" t="s">
        <v>560</v>
      </c>
      <c r="C49" s="51"/>
      <c r="D49" s="51"/>
      <c r="E49" s="51">
        <v>4909</v>
      </c>
      <c r="F49" s="51"/>
      <c r="G49" s="51"/>
      <c r="H49" s="51">
        <v>1852</v>
      </c>
      <c r="I49" s="51"/>
      <c r="J49" s="51"/>
      <c r="K49" s="51">
        <v>4352</v>
      </c>
      <c r="L49" s="51"/>
      <c r="M49" s="51"/>
      <c r="N49" s="51">
        <v>2395</v>
      </c>
      <c r="O49" s="51"/>
      <c r="P49" s="51"/>
      <c r="Q49" s="51">
        <v>33398</v>
      </c>
      <c r="R49" s="51"/>
      <c r="S49" s="51"/>
      <c r="T49" s="51"/>
      <c r="U49" s="51"/>
      <c r="V49" s="51"/>
      <c r="W49" s="51">
        <f t="shared" si="0"/>
        <v>46906</v>
      </c>
      <c r="X49" s="51"/>
      <c r="Y49" s="51"/>
      <c r="Z49" s="51">
        <v>363586</v>
      </c>
      <c r="AA49" s="51"/>
      <c r="AB49" s="51"/>
      <c r="AC49" s="51">
        <f>SUM(W49:Z49)</f>
        <v>410492</v>
      </c>
      <c r="AD49" s="54"/>
      <c r="AE49" s="73">
        <f>SUM('XCombining BS Assets (62-Memor)'!AC49-'XCombining BS Liability(62Mem)'!AC49)</f>
        <v>0</v>
      </c>
    </row>
    <row r="50" spans="1:31" s="57" customFormat="1" ht="9.9499999999999993" customHeight="1" x14ac:dyDescent="0.3">
      <c r="A50" s="54"/>
      <c r="B50" s="54" t="s">
        <v>561</v>
      </c>
      <c r="C50" s="51"/>
      <c r="D50" s="51"/>
      <c r="E50" s="51"/>
      <c r="F50" s="51"/>
      <c r="G50" s="51"/>
      <c r="H50" s="51"/>
      <c r="I50" s="51"/>
      <c r="J50" s="51"/>
      <c r="K50" s="51"/>
      <c r="L50" s="51"/>
      <c r="M50" s="51"/>
      <c r="N50" s="51"/>
      <c r="O50" s="51"/>
      <c r="P50" s="51"/>
      <c r="Q50" s="51"/>
      <c r="R50" s="51"/>
      <c r="S50" s="51"/>
      <c r="T50" s="51"/>
      <c r="U50" s="51"/>
      <c r="V50" s="51"/>
      <c r="W50" s="51">
        <f t="shared" si="0"/>
        <v>0</v>
      </c>
      <c r="X50" s="51"/>
      <c r="Y50" s="51"/>
      <c r="Z50" s="51">
        <v>83503</v>
      </c>
      <c r="AA50" s="51"/>
      <c r="AB50" s="51"/>
      <c r="AC50" s="51">
        <f t="shared" si="1"/>
        <v>83503</v>
      </c>
      <c r="AD50" s="54"/>
      <c r="AE50" s="73">
        <f>SUM('XCombining BS Assets (62-Memor)'!AC50-'XCombining BS Liability(62Mem)'!AC50)</f>
        <v>0</v>
      </c>
    </row>
    <row r="51" spans="1:31" s="57" customFormat="1" ht="9.9499999999999993" customHeight="1" x14ac:dyDescent="0.3">
      <c r="A51" s="54"/>
      <c r="B51" s="54" t="s">
        <v>562</v>
      </c>
      <c r="C51" s="51"/>
      <c r="D51" s="51"/>
      <c r="E51" s="51"/>
      <c r="F51" s="51"/>
      <c r="G51" s="51"/>
      <c r="H51" s="51"/>
      <c r="I51" s="51"/>
      <c r="J51" s="51"/>
      <c r="K51" s="51"/>
      <c r="L51" s="51"/>
      <c r="M51" s="51"/>
      <c r="N51" s="51"/>
      <c r="O51" s="51"/>
      <c r="P51" s="51"/>
      <c r="Q51" s="51"/>
      <c r="R51" s="51"/>
      <c r="S51" s="51"/>
      <c r="T51" s="51">
        <v>217617</v>
      </c>
      <c r="U51" s="51"/>
      <c r="V51" s="51"/>
      <c r="W51" s="51">
        <f t="shared" si="0"/>
        <v>217617</v>
      </c>
      <c r="X51" s="51"/>
      <c r="Y51" s="51"/>
      <c r="Z51" s="51">
        <v>392038</v>
      </c>
      <c r="AA51" s="51"/>
      <c r="AB51" s="51"/>
      <c r="AC51" s="51">
        <f t="shared" si="1"/>
        <v>609655</v>
      </c>
      <c r="AD51" s="54"/>
      <c r="AE51" s="73">
        <f>SUM('XCombining BS Assets (62-Memor)'!AC51-'XCombining BS Liability(62Mem)'!AC51)</f>
        <v>0</v>
      </c>
    </row>
    <row r="52" spans="1:31" s="57" customFormat="1" ht="9.9499999999999993" customHeight="1" x14ac:dyDescent="0.3">
      <c r="A52" s="54"/>
      <c r="B52" s="54" t="s">
        <v>563</v>
      </c>
      <c r="C52" s="51"/>
      <c r="D52" s="51"/>
      <c r="E52" s="51">
        <v>12433</v>
      </c>
      <c r="F52" s="51"/>
      <c r="G52" s="51"/>
      <c r="H52" s="51"/>
      <c r="I52" s="51"/>
      <c r="J52" s="51"/>
      <c r="K52" s="51"/>
      <c r="L52" s="51"/>
      <c r="M52" s="51"/>
      <c r="N52" s="51"/>
      <c r="O52" s="51"/>
      <c r="P52" s="51"/>
      <c r="Q52" s="51"/>
      <c r="R52" s="51"/>
      <c r="S52" s="51"/>
      <c r="T52" s="51">
        <v>5000</v>
      </c>
      <c r="U52" s="51"/>
      <c r="V52" s="51"/>
      <c r="W52" s="51">
        <f t="shared" si="0"/>
        <v>17433</v>
      </c>
      <c r="X52" s="51"/>
      <c r="Y52" s="51"/>
      <c r="Z52" s="51">
        <v>390318</v>
      </c>
      <c r="AA52" s="51"/>
      <c r="AB52" s="51"/>
      <c r="AC52" s="51">
        <f t="shared" si="1"/>
        <v>407751</v>
      </c>
      <c r="AD52" s="54"/>
      <c r="AE52" s="73">
        <f>SUM('XCombining BS Assets (62-Memor)'!AC52-'XCombining BS Liability(62Mem)'!AC52)</f>
        <v>0</v>
      </c>
    </row>
    <row r="53" spans="1:31" s="57" customFormat="1" ht="9.9499999999999993" customHeight="1" x14ac:dyDescent="0.3">
      <c r="A53" s="54"/>
      <c r="B53" s="54" t="s">
        <v>1016</v>
      </c>
      <c r="C53" s="51"/>
      <c r="D53" s="51"/>
      <c r="E53" s="51"/>
      <c r="F53" s="51"/>
      <c r="G53" s="51"/>
      <c r="H53" s="51"/>
      <c r="I53" s="51"/>
      <c r="J53" s="51"/>
      <c r="K53" s="51"/>
      <c r="L53" s="51"/>
      <c r="M53" s="51"/>
      <c r="N53" s="51"/>
      <c r="O53" s="51"/>
      <c r="P53" s="51"/>
      <c r="Q53" s="51"/>
      <c r="R53" s="51"/>
      <c r="S53" s="51"/>
      <c r="T53" s="51">
        <v>60950</v>
      </c>
      <c r="U53" s="51"/>
      <c r="V53" s="51"/>
      <c r="W53" s="51">
        <f t="shared" si="0"/>
        <v>60950</v>
      </c>
      <c r="X53" s="51"/>
      <c r="Y53" s="51"/>
      <c r="Z53" s="51"/>
      <c r="AA53" s="51"/>
      <c r="AB53" s="51"/>
      <c r="AC53" s="51">
        <f t="shared" si="1"/>
        <v>60950</v>
      </c>
      <c r="AD53" s="54"/>
      <c r="AE53" s="73">
        <f>SUM('XCombining BS Assets (62-Memor)'!AC53-'XCombining BS Liability(62Mem)'!AC53)</f>
        <v>0</v>
      </c>
    </row>
    <row r="54" spans="1:31" s="57" customFormat="1" ht="9.9499999999999993" customHeight="1" x14ac:dyDescent="0.3">
      <c r="A54" s="54"/>
      <c r="B54" s="54" t="s">
        <v>564</v>
      </c>
      <c r="C54" s="51"/>
      <c r="D54" s="51"/>
      <c r="E54" s="51"/>
      <c r="F54" s="51"/>
      <c r="G54" s="51"/>
      <c r="H54" s="51"/>
      <c r="I54" s="51"/>
      <c r="J54" s="51"/>
      <c r="K54" s="51"/>
      <c r="L54" s="51"/>
      <c r="M54" s="51"/>
      <c r="N54" s="51"/>
      <c r="O54" s="51"/>
      <c r="P54" s="51"/>
      <c r="Q54" s="51"/>
      <c r="R54" s="51"/>
      <c r="S54" s="51"/>
      <c r="T54" s="51"/>
      <c r="U54" s="51"/>
      <c r="V54" s="51"/>
      <c r="W54" s="51">
        <f t="shared" si="0"/>
        <v>0</v>
      </c>
      <c r="X54" s="51"/>
      <c r="Y54" s="51"/>
      <c r="Z54" s="51">
        <v>72431</v>
      </c>
      <c r="AA54" s="51"/>
      <c r="AB54" s="51"/>
      <c r="AC54" s="51">
        <f t="shared" si="1"/>
        <v>72431</v>
      </c>
      <c r="AD54" s="54"/>
      <c r="AE54" s="73">
        <f>SUM('XCombining BS Assets (62-Memor)'!AC54-'XCombining BS Liability(62Mem)'!AC54)</f>
        <v>0</v>
      </c>
    </row>
    <row r="55" spans="1:31" s="57" customFormat="1" ht="9.9499999999999993" customHeight="1" x14ac:dyDescent="0.3">
      <c r="A55" s="54"/>
      <c r="B55" s="54" t="s">
        <v>565</v>
      </c>
      <c r="C55" s="51"/>
      <c r="D55" s="51"/>
      <c r="E55" s="51">
        <v>245</v>
      </c>
      <c r="F55" s="51"/>
      <c r="G55" s="51"/>
      <c r="H55" s="51">
        <v>58</v>
      </c>
      <c r="I55" s="51"/>
      <c r="J55" s="51"/>
      <c r="K55" s="51"/>
      <c r="L55" s="51"/>
      <c r="M55" s="51"/>
      <c r="N55" s="51"/>
      <c r="O55" s="51"/>
      <c r="P55" s="51"/>
      <c r="Q55" s="51"/>
      <c r="R55" s="51"/>
      <c r="S55" s="51"/>
      <c r="T55" s="51"/>
      <c r="U55" s="51"/>
      <c r="V55" s="51"/>
      <c r="W55" s="51">
        <f t="shared" si="0"/>
        <v>303</v>
      </c>
      <c r="X55" s="51"/>
      <c r="Y55" s="51"/>
      <c r="Z55" s="51">
        <v>915640</v>
      </c>
      <c r="AA55" s="51"/>
      <c r="AB55" s="51"/>
      <c r="AC55" s="51">
        <f t="shared" si="1"/>
        <v>915943</v>
      </c>
      <c r="AD55" s="54"/>
      <c r="AE55" s="73">
        <f>SUM('XCombining BS Assets (62-Memor)'!AC55-'XCombining BS Liability(62Mem)'!AC55)</f>
        <v>0</v>
      </c>
    </row>
    <row r="56" spans="1:31" s="57" customFormat="1" ht="9.9499999999999993" customHeight="1" x14ac:dyDescent="0.3">
      <c r="A56" s="54"/>
      <c r="B56" s="54" t="s">
        <v>574</v>
      </c>
      <c r="C56" s="51"/>
      <c r="D56" s="51"/>
      <c r="E56" s="51"/>
      <c r="F56" s="51"/>
      <c r="G56" s="51"/>
      <c r="H56" s="51"/>
      <c r="I56" s="51"/>
      <c r="J56" s="51"/>
      <c r="K56" s="51"/>
      <c r="L56" s="51"/>
      <c r="M56" s="51"/>
      <c r="N56" s="51"/>
      <c r="O56" s="51"/>
      <c r="P56" s="51"/>
      <c r="Q56" s="51"/>
      <c r="R56" s="51"/>
      <c r="S56" s="51"/>
      <c r="T56" s="51"/>
      <c r="U56" s="51"/>
      <c r="V56" s="51"/>
      <c r="W56" s="51">
        <f t="shared" si="0"/>
        <v>0</v>
      </c>
      <c r="X56" s="51"/>
      <c r="Y56" s="51"/>
      <c r="Z56" s="51">
        <v>1211</v>
      </c>
      <c r="AA56" s="51"/>
      <c r="AB56" s="51"/>
      <c r="AC56" s="51">
        <f t="shared" si="1"/>
        <v>1211</v>
      </c>
      <c r="AD56" s="54"/>
      <c r="AE56" s="73">
        <f>SUM('XCombining BS Assets (62-Memor)'!AC56-'XCombining BS Liability(62Mem)'!AC56)</f>
        <v>0</v>
      </c>
    </row>
    <row r="57" spans="1:31" s="57" customFormat="1" ht="9.9499999999999993" customHeight="1" x14ac:dyDescent="0.3">
      <c r="A57" s="54"/>
      <c r="B57" s="54" t="s">
        <v>575</v>
      </c>
      <c r="C57" s="51"/>
      <c r="D57" s="51"/>
      <c r="E57" s="51"/>
      <c r="F57" s="51"/>
      <c r="G57" s="51"/>
      <c r="H57" s="51"/>
      <c r="I57" s="51"/>
      <c r="J57" s="51"/>
      <c r="K57" s="51"/>
      <c r="L57" s="51"/>
      <c r="M57" s="51"/>
      <c r="N57" s="51"/>
      <c r="O57" s="51"/>
      <c r="P57" s="51"/>
      <c r="Q57" s="51"/>
      <c r="R57" s="51"/>
      <c r="S57" s="51"/>
      <c r="T57" s="51"/>
      <c r="U57" s="51"/>
      <c r="V57" s="51"/>
      <c r="W57" s="51">
        <f t="shared" si="0"/>
        <v>0</v>
      </c>
      <c r="X57" s="51"/>
      <c r="Y57" s="51"/>
      <c r="Z57" s="51">
        <v>911</v>
      </c>
      <c r="AA57" s="51"/>
      <c r="AB57" s="51"/>
      <c r="AC57" s="51">
        <f t="shared" si="1"/>
        <v>911</v>
      </c>
      <c r="AD57" s="54"/>
      <c r="AE57" s="73">
        <f>SUM('XCombining BS Assets (62-Memor)'!AC57-'XCombining BS Liability(62Mem)'!AC57)</f>
        <v>0</v>
      </c>
    </row>
    <row r="58" spans="1:31" s="57" customFormat="1" ht="9.9499999999999993" customHeight="1" x14ac:dyDescent="0.3">
      <c r="A58" s="54"/>
      <c r="B58" s="54" t="s">
        <v>578</v>
      </c>
      <c r="C58" s="51"/>
      <c r="D58" s="51"/>
      <c r="E58" s="51"/>
      <c r="F58" s="51"/>
      <c r="G58" s="51"/>
      <c r="H58" s="51"/>
      <c r="I58" s="51"/>
      <c r="J58" s="51"/>
      <c r="K58" s="51"/>
      <c r="L58" s="51"/>
      <c r="M58" s="51"/>
      <c r="N58" s="51"/>
      <c r="O58" s="51"/>
      <c r="P58" s="51"/>
      <c r="Q58" s="51"/>
      <c r="R58" s="51"/>
      <c r="S58" s="51"/>
      <c r="T58" s="51"/>
      <c r="U58" s="51"/>
      <c r="V58" s="51"/>
      <c r="W58" s="51">
        <f t="shared" si="0"/>
        <v>0</v>
      </c>
      <c r="X58" s="51"/>
      <c r="Y58" s="51"/>
      <c r="Z58" s="51">
        <v>2761</v>
      </c>
      <c r="AA58" s="51"/>
      <c r="AB58" s="51"/>
      <c r="AC58" s="51">
        <f t="shared" si="1"/>
        <v>2761</v>
      </c>
      <c r="AD58" s="54"/>
      <c r="AE58" s="73">
        <f>SUM('XCombining BS Assets (62-Memor)'!AC58-'XCombining BS Liability(62Mem)'!AC58)</f>
        <v>0</v>
      </c>
    </row>
    <row r="59" spans="1:31" s="57" customFormat="1" ht="9.9499999999999993" customHeight="1" x14ac:dyDescent="0.3">
      <c r="A59" s="54"/>
      <c r="B59" s="54" t="s">
        <v>579</v>
      </c>
      <c r="C59" s="51"/>
      <c r="D59" s="51"/>
      <c r="E59" s="51"/>
      <c r="F59" s="51"/>
      <c r="G59" s="51"/>
      <c r="H59" s="51"/>
      <c r="I59" s="51"/>
      <c r="J59" s="51"/>
      <c r="K59" s="51"/>
      <c r="L59" s="51"/>
      <c r="M59" s="51"/>
      <c r="N59" s="51"/>
      <c r="O59" s="51"/>
      <c r="P59" s="51"/>
      <c r="Q59" s="51"/>
      <c r="R59" s="51"/>
      <c r="S59" s="51"/>
      <c r="T59" s="51"/>
      <c r="U59" s="51"/>
      <c r="V59" s="51"/>
      <c r="W59" s="51">
        <f t="shared" si="0"/>
        <v>0</v>
      </c>
      <c r="X59" s="51"/>
      <c r="Y59" s="51"/>
      <c r="Z59" s="51">
        <v>91096</v>
      </c>
      <c r="AA59" s="51"/>
      <c r="AB59" s="51"/>
      <c r="AC59" s="51">
        <f t="shared" si="1"/>
        <v>91096</v>
      </c>
      <c r="AD59" s="54"/>
      <c r="AE59" s="73">
        <f>SUM('XCombining BS Assets (62-Memor)'!AC59-'XCombining BS Liability(62Mem)'!AC59)</f>
        <v>0</v>
      </c>
    </row>
    <row r="60" spans="1:31" s="57" customFormat="1" ht="9.9499999999999993" customHeight="1" x14ac:dyDescent="0.3">
      <c r="A60" s="54"/>
      <c r="B60" s="54" t="s">
        <v>580</v>
      </c>
      <c r="C60" s="51"/>
      <c r="D60" s="51"/>
      <c r="E60" s="51"/>
      <c r="F60" s="51"/>
      <c r="G60" s="51"/>
      <c r="H60" s="51"/>
      <c r="I60" s="51"/>
      <c r="J60" s="51"/>
      <c r="K60" s="51"/>
      <c r="L60" s="51"/>
      <c r="M60" s="51"/>
      <c r="N60" s="51"/>
      <c r="O60" s="51"/>
      <c r="P60" s="51"/>
      <c r="Q60" s="51"/>
      <c r="R60" s="51"/>
      <c r="S60" s="51"/>
      <c r="T60" s="51">
        <v>124</v>
      </c>
      <c r="U60" s="51"/>
      <c r="V60" s="51"/>
      <c r="W60" s="51">
        <f t="shared" si="0"/>
        <v>124</v>
      </c>
      <c r="X60" s="51"/>
      <c r="Y60" s="51"/>
      <c r="Z60" s="51">
        <v>-106</v>
      </c>
      <c r="AA60" s="51"/>
      <c r="AB60" s="51"/>
      <c r="AC60" s="51">
        <f>SUM(W60:Z60)</f>
        <v>18</v>
      </c>
      <c r="AD60" s="54"/>
      <c r="AE60" s="73">
        <f>SUM('XCombining BS Assets (62-Memor)'!AC60-'XCombining BS Liability(62Mem)'!AC60)</f>
        <v>0</v>
      </c>
    </row>
    <row r="61" spans="1:31" s="57" customFormat="1" ht="9.9499999999999993" customHeight="1" x14ac:dyDescent="0.3">
      <c r="A61" s="54"/>
      <c r="B61" s="54" t="s">
        <v>581</v>
      </c>
      <c r="C61" s="51"/>
      <c r="D61" s="51"/>
      <c r="E61" s="51"/>
      <c r="F61" s="51"/>
      <c r="G61" s="51"/>
      <c r="H61" s="51"/>
      <c r="I61" s="51"/>
      <c r="J61" s="51"/>
      <c r="K61" s="51"/>
      <c r="L61" s="51"/>
      <c r="M61" s="51"/>
      <c r="N61" s="51"/>
      <c r="O61" s="51"/>
      <c r="P61" s="51"/>
      <c r="Q61" s="51"/>
      <c r="R61" s="51"/>
      <c r="S61" s="51"/>
      <c r="T61" s="51"/>
      <c r="U61" s="51"/>
      <c r="V61" s="51"/>
      <c r="W61" s="51">
        <f t="shared" si="0"/>
        <v>0</v>
      </c>
      <c r="X61" s="51"/>
      <c r="Y61" s="51"/>
      <c r="Z61" s="51">
        <v>27</v>
      </c>
      <c r="AA61" s="51"/>
      <c r="AB61" s="51"/>
      <c r="AC61" s="51">
        <f t="shared" si="1"/>
        <v>27</v>
      </c>
      <c r="AD61" s="54"/>
      <c r="AE61" s="73">
        <f>SUM('XCombining BS Assets (62-Memor)'!AC61-'XCombining BS Liability(62Mem)'!AC61)</f>
        <v>0</v>
      </c>
    </row>
    <row r="62" spans="1:31" s="57" customFormat="1" ht="9.9499999999999993" customHeight="1" x14ac:dyDescent="0.3">
      <c r="A62" s="54"/>
      <c r="B62" s="54" t="s">
        <v>1017</v>
      </c>
      <c r="C62" s="51"/>
      <c r="D62" s="51"/>
      <c r="E62" s="51"/>
      <c r="F62" s="51"/>
      <c r="G62" s="51"/>
      <c r="H62" s="51"/>
      <c r="I62" s="51"/>
      <c r="J62" s="51"/>
      <c r="K62" s="51"/>
      <c r="L62" s="51"/>
      <c r="M62" s="51"/>
      <c r="N62" s="51"/>
      <c r="O62" s="51"/>
      <c r="P62" s="51"/>
      <c r="Q62" s="51"/>
      <c r="R62" s="51"/>
      <c r="S62" s="51"/>
      <c r="T62" s="51"/>
      <c r="U62" s="51"/>
      <c r="V62" s="51"/>
      <c r="W62" s="51">
        <f t="shared" si="0"/>
        <v>0</v>
      </c>
      <c r="X62" s="51"/>
      <c r="Y62" s="51"/>
      <c r="Z62" s="51">
        <v>13571</v>
      </c>
      <c r="AA62" s="51"/>
      <c r="AB62" s="51"/>
      <c r="AC62" s="51">
        <f t="shared" si="1"/>
        <v>13571</v>
      </c>
      <c r="AD62" s="54"/>
      <c r="AE62" s="73">
        <f>SUM('XCombining BS Assets (62-Memor)'!AC62-'XCombining BS Liability(62Mem)'!AC62)</f>
        <v>0</v>
      </c>
    </row>
    <row r="63" spans="1:31" s="57" customFormat="1" ht="9.9499999999999993" customHeight="1" x14ac:dyDescent="0.3">
      <c r="A63" s="54"/>
      <c r="B63" s="54" t="s">
        <v>582</v>
      </c>
      <c r="C63" s="51"/>
      <c r="D63" s="51"/>
      <c r="E63" s="51"/>
      <c r="F63" s="51"/>
      <c r="G63" s="51"/>
      <c r="H63" s="51"/>
      <c r="I63" s="51"/>
      <c r="J63" s="51"/>
      <c r="K63" s="51"/>
      <c r="L63" s="51"/>
      <c r="M63" s="51"/>
      <c r="N63" s="51"/>
      <c r="O63" s="51"/>
      <c r="P63" s="51"/>
      <c r="Q63" s="51"/>
      <c r="R63" s="51"/>
      <c r="S63" s="51"/>
      <c r="T63" s="51"/>
      <c r="U63" s="51"/>
      <c r="V63" s="51"/>
      <c r="W63" s="51">
        <f t="shared" si="0"/>
        <v>0</v>
      </c>
      <c r="X63" s="51"/>
      <c r="Y63" s="51"/>
      <c r="Z63" s="51">
        <v>42948</v>
      </c>
      <c r="AA63" s="51"/>
      <c r="AB63" s="51"/>
      <c r="AC63" s="51">
        <f t="shared" si="1"/>
        <v>42948</v>
      </c>
      <c r="AD63" s="54"/>
      <c r="AE63" s="73">
        <f>SUM('XCombining BS Assets (62-Memor)'!AC63-'XCombining BS Liability(62Mem)'!AC63)</f>
        <v>0</v>
      </c>
    </row>
    <row r="64" spans="1:31" s="57" customFormat="1" ht="9.9499999999999993" customHeight="1" x14ac:dyDescent="0.3">
      <c r="A64" s="54"/>
      <c r="B64" s="54" t="s">
        <v>618</v>
      </c>
      <c r="C64" s="51"/>
      <c r="D64" s="51"/>
      <c r="E64" s="51"/>
      <c r="F64" s="51"/>
      <c r="G64" s="51"/>
      <c r="H64" s="51"/>
      <c r="I64" s="51"/>
      <c r="J64" s="51"/>
      <c r="K64" s="51"/>
      <c r="L64" s="51"/>
      <c r="M64" s="51"/>
      <c r="N64" s="51"/>
      <c r="O64" s="51"/>
      <c r="P64" s="51"/>
      <c r="Q64" s="51"/>
      <c r="R64" s="51"/>
      <c r="S64" s="51"/>
      <c r="T64" s="51">
        <v>591265</v>
      </c>
      <c r="U64" s="51"/>
      <c r="V64" s="51"/>
      <c r="W64" s="51">
        <f t="shared" si="0"/>
        <v>591265</v>
      </c>
      <c r="X64" s="51"/>
      <c r="Y64" s="51"/>
      <c r="Z64" s="51"/>
      <c r="AA64" s="51"/>
      <c r="AB64" s="51"/>
      <c r="AC64" s="51">
        <f t="shared" si="1"/>
        <v>591265</v>
      </c>
      <c r="AD64" s="54"/>
      <c r="AE64" s="73">
        <f>SUM('XCombining BS Assets (62-Memor)'!AC64-'XCombining BS Liability(62Mem)'!AC64)</f>
        <v>0</v>
      </c>
    </row>
    <row r="65" spans="1:31" s="57" customFormat="1" ht="9.9499999999999993" customHeight="1" x14ac:dyDescent="0.3">
      <c r="A65" s="54"/>
      <c r="B65" s="54" t="s">
        <v>40</v>
      </c>
      <c r="C65" s="51"/>
      <c r="D65" s="51"/>
      <c r="E65" s="51"/>
      <c r="F65" s="51"/>
      <c r="G65" s="51"/>
      <c r="H65" s="51"/>
      <c r="I65" s="51"/>
      <c r="J65" s="51"/>
      <c r="K65" s="51"/>
      <c r="L65" s="51"/>
      <c r="M65" s="51"/>
      <c r="N65" s="51"/>
      <c r="O65" s="51"/>
      <c r="P65" s="51"/>
      <c r="Q65" s="51"/>
      <c r="R65" s="51"/>
      <c r="S65" s="51"/>
      <c r="T65" s="51"/>
      <c r="U65" s="51"/>
      <c r="V65" s="51"/>
      <c r="W65" s="51">
        <f t="shared" si="0"/>
        <v>0</v>
      </c>
      <c r="X65" s="51"/>
      <c r="Y65" s="51"/>
      <c r="Z65" s="51">
        <v>4362</v>
      </c>
      <c r="AA65" s="51"/>
      <c r="AB65" s="51"/>
      <c r="AC65" s="51">
        <f t="shared" si="1"/>
        <v>4362</v>
      </c>
      <c r="AD65" s="54"/>
      <c r="AE65" s="73">
        <f>SUM('XCombining BS Assets (62-Memor)'!AC65-'XCombining BS Liability(62Mem)'!AC65)</f>
        <v>0</v>
      </c>
    </row>
    <row r="66" spans="1:31" s="57" customFormat="1" ht="9.9499999999999993" customHeight="1" x14ac:dyDescent="0.3">
      <c r="A66" s="54"/>
      <c r="B66" s="54" t="s">
        <v>583</v>
      </c>
      <c r="C66" s="51"/>
      <c r="D66" s="51"/>
      <c r="E66" s="51"/>
      <c r="F66" s="51"/>
      <c r="G66" s="51"/>
      <c r="H66" s="51"/>
      <c r="I66" s="51"/>
      <c r="J66" s="51"/>
      <c r="K66" s="51"/>
      <c r="L66" s="51"/>
      <c r="M66" s="51"/>
      <c r="N66" s="51"/>
      <c r="O66" s="51"/>
      <c r="P66" s="51"/>
      <c r="Q66" s="51"/>
      <c r="R66" s="51"/>
      <c r="S66" s="51"/>
      <c r="T66" s="51"/>
      <c r="U66" s="51"/>
      <c r="V66" s="51"/>
      <c r="W66" s="51">
        <f t="shared" si="0"/>
        <v>0</v>
      </c>
      <c r="X66" s="51"/>
      <c r="Y66" s="51"/>
      <c r="Z66" s="51">
        <v>2444397</v>
      </c>
      <c r="AA66" s="51"/>
      <c r="AB66" s="51"/>
      <c r="AC66" s="51">
        <f t="shared" si="1"/>
        <v>2444397</v>
      </c>
      <c r="AD66" s="54"/>
      <c r="AE66" s="73">
        <f>SUM('XCombining BS Assets (62-Memor)'!AC66-'XCombining BS Liability(62Mem)'!AC66)</f>
        <v>0</v>
      </c>
    </row>
    <row r="67" spans="1:31" s="57" customFormat="1" ht="9.9499999999999993" customHeight="1" x14ac:dyDescent="0.3">
      <c r="A67" s="54"/>
      <c r="B67" s="54" t="s">
        <v>606</v>
      </c>
      <c r="C67" s="51"/>
      <c r="D67" s="51"/>
      <c r="E67" s="51">
        <v>51832</v>
      </c>
      <c r="F67" s="51"/>
      <c r="G67" s="51"/>
      <c r="H67" s="51"/>
      <c r="I67" s="51"/>
      <c r="J67" s="51"/>
      <c r="K67" s="51"/>
      <c r="L67" s="51"/>
      <c r="M67" s="51"/>
      <c r="N67" s="51"/>
      <c r="O67" s="51"/>
      <c r="P67" s="51"/>
      <c r="Q67" s="51"/>
      <c r="R67" s="51"/>
      <c r="S67" s="51"/>
      <c r="T67" s="51"/>
      <c r="U67" s="51"/>
      <c r="V67" s="51"/>
      <c r="W67" s="51">
        <f t="shared" si="0"/>
        <v>51832</v>
      </c>
      <c r="X67" s="51"/>
      <c r="Y67" s="51"/>
      <c r="Z67" s="51">
        <v>36569</v>
      </c>
      <c r="AA67" s="51"/>
      <c r="AB67" s="51"/>
      <c r="AC67" s="51">
        <f t="shared" si="1"/>
        <v>88401</v>
      </c>
      <c r="AD67" s="54"/>
      <c r="AE67" s="73">
        <f>SUM('XCombining BS Assets (62-Memor)'!AC67-'XCombining BS Liability(62Mem)'!AC67)</f>
        <v>0</v>
      </c>
    </row>
    <row r="68" spans="1:31" s="57" customFormat="1" ht="9.9499999999999993" customHeight="1" x14ac:dyDescent="0.3">
      <c r="A68" s="54"/>
      <c r="B68" s="54" t="s">
        <v>610</v>
      </c>
      <c r="C68" s="51"/>
      <c r="D68" s="51"/>
      <c r="E68" s="51"/>
      <c r="F68" s="51"/>
      <c r="G68" s="51"/>
      <c r="H68" s="51"/>
      <c r="I68" s="51"/>
      <c r="J68" s="51"/>
      <c r="K68" s="51"/>
      <c r="L68" s="51"/>
      <c r="M68" s="51"/>
      <c r="N68" s="51"/>
      <c r="O68" s="51"/>
      <c r="P68" s="51"/>
      <c r="Q68" s="51"/>
      <c r="R68" s="51"/>
      <c r="S68" s="51"/>
      <c r="T68" s="51"/>
      <c r="U68" s="51"/>
      <c r="V68" s="51"/>
      <c r="W68" s="51">
        <f t="shared" si="0"/>
        <v>0</v>
      </c>
      <c r="X68" s="51"/>
      <c r="Y68" s="51"/>
      <c r="Z68" s="51">
        <v>971994</v>
      </c>
      <c r="AA68" s="51"/>
      <c r="AB68" s="51"/>
      <c r="AC68" s="51">
        <f t="shared" si="1"/>
        <v>971994</v>
      </c>
      <c r="AD68" s="54"/>
      <c r="AE68" s="73">
        <f>SUM('XCombining BS Assets (62-Memor)'!AC68-'XCombining BS Liability(62Mem)'!AC68)</f>
        <v>0</v>
      </c>
    </row>
    <row r="69" spans="1:31" s="57" customFormat="1" ht="9.9499999999999993" customHeight="1" x14ac:dyDescent="0.3">
      <c r="A69" s="54"/>
      <c r="B69" s="54" t="s">
        <v>611</v>
      </c>
      <c r="C69" s="51"/>
      <c r="D69" s="51"/>
      <c r="E69" s="51"/>
      <c r="F69" s="51"/>
      <c r="G69" s="51"/>
      <c r="H69" s="51"/>
      <c r="I69" s="51"/>
      <c r="J69" s="51"/>
      <c r="K69" s="51"/>
      <c r="L69" s="51"/>
      <c r="M69" s="51"/>
      <c r="N69" s="51"/>
      <c r="O69" s="51"/>
      <c r="P69" s="51"/>
      <c r="Q69" s="51"/>
      <c r="R69" s="51"/>
      <c r="S69" s="51"/>
      <c r="T69" s="51"/>
      <c r="U69" s="51"/>
      <c r="V69" s="51"/>
      <c r="W69" s="51">
        <f t="shared" si="0"/>
        <v>0</v>
      </c>
      <c r="X69" s="51"/>
      <c r="Y69" s="51"/>
      <c r="Z69" s="51">
        <v>22083</v>
      </c>
      <c r="AA69" s="51"/>
      <c r="AB69" s="51"/>
      <c r="AC69" s="51">
        <f t="shared" si="1"/>
        <v>22083</v>
      </c>
      <c r="AD69" s="54"/>
      <c r="AE69" s="73">
        <f>SUM('XCombining BS Assets (62-Memor)'!AC69-'XCombining BS Liability(62Mem)'!AC69)</f>
        <v>0</v>
      </c>
    </row>
    <row r="70" spans="1:31" s="57" customFormat="1" ht="9.9499999999999993" customHeight="1" x14ac:dyDescent="0.3">
      <c r="A70" s="54"/>
      <c r="B70" s="54" t="s">
        <v>612</v>
      </c>
      <c r="C70" s="51"/>
      <c r="D70" s="51"/>
      <c r="E70" s="51"/>
      <c r="F70" s="51"/>
      <c r="G70" s="51"/>
      <c r="H70" s="51"/>
      <c r="I70" s="51"/>
      <c r="J70" s="51"/>
      <c r="K70" s="51"/>
      <c r="L70" s="51"/>
      <c r="M70" s="51"/>
      <c r="N70" s="51"/>
      <c r="O70" s="51"/>
      <c r="P70" s="51"/>
      <c r="Q70" s="51"/>
      <c r="R70" s="51"/>
      <c r="S70" s="51"/>
      <c r="T70" s="51"/>
      <c r="U70" s="51"/>
      <c r="V70" s="51"/>
      <c r="W70" s="51">
        <f t="shared" si="0"/>
        <v>0</v>
      </c>
      <c r="X70" s="51"/>
      <c r="Y70" s="51"/>
      <c r="Z70" s="51">
        <v>4110</v>
      </c>
      <c r="AA70" s="51"/>
      <c r="AB70" s="51"/>
      <c r="AC70" s="51">
        <f t="shared" si="1"/>
        <v>4110</v>
      </c>
      <c r="AD70" s="54"/>
      <c r="AE70" s="73">
        <f>SUM('XCombining BS Assets (62-Memor)'!AC70-'XCombining BS Liability(62Mem)'!AC70)</f>
        <v>0</v>
      </c>
    </row>
    <row r="71" spans="1:31" s="57" customFormat="1" ht="9.9499999999999993" customHeight="1" x14ac:dyDescent="0.3">
      <c r="A71" s="54"/>
      <c r="B71" s="54" t="s">
        <v>613</v>
      </c>
      <c r="C71" s="51"/>
      <c r="D71" s="51"/>
      <c r="E71" s="51"/>
      <c r="F71" s="51"/>
      <c r="G71" s="51"/>
      <c r="H71" s="51">
        <v>218563</v>
      </c>
      <c r="I71" s="51"/>
      <c r="J71" s="51"/>
      <c r="K71" s="51"/>
      <c r="L71" s="51"/>
      <c r="M71" s="51"/>
      <c r="N71" s="51"/>
      <c r="O71" s="51"/>
      <c r="P71" s="51"/>
      <c r="Q71" s="51"/>
      <c r="R71" s="51"/>
      <c r="S71" s="51"/>
      <c r="T71" s="51"/>
      <c r="U71" s="51"/>
      <c r="V71" s="51"/>
      <c r="W71" s="51">
        <f t="shared" si="0"/>
        <v>218563</v>
      </c>
      <c r="X71" s="51"/>
      <c r="Y71" s="51"/>
      <c r="Z71" s="51">
        <v>360087</v>
      </c>
      <c r="AA71" s="51"/>
      <c r="AB71" s="51"/>
      <c r="AC71" s="51">
        <f t="shared" si="1"/>
        <v>578650</v>
      </c>
      <c r="AD71" s="54"/>
      <c r="AE71" s="73">
        <f>SUM('XCombining BS Assets (62-Memor)'!AC71-'XCombining BS Liability(62Mem)'!AC71)</f>
        <v>0</v>
      </c>
    </row>
    <row r="72" spans="1:31" s="57" customFormat="1" ht="9.9499999999999993" customHeight="1" x14ac:dyDescent="0.3">
      <c r="A72" s="54"/>
      <c r="B72" s="54" t="s">
        <v>614</v>
      </c>
      <c r="C72" s="51"/>
      <c r="D72" s="51"/>
      <c r="E72" s="51"/>
      <c r="F72" s="51"/>
      <c r="G72" s="51"/>
      <c r="H72" s="51"/>
      <c r="I72" s="51"/>
      <c r="J72" s="51"/>
      <c r="K72" s="51"/>
      <c r="L72" s="51"/>
      <c r="M72" s="51"/>
      <c r="N72" s="51"/>
      <c r="O72" s="51"/>
      <c r="P72" s="51"/>
      <c r="Q72" s="51"/>
      <c r="R72" s="51"/>
      <c r="S72" s="51"/>
      <c r="T72" s="51"/>
      <c r="U72" s="51"/>
      <c r="V72" s="51"/>
      <c r="W72" s="51">
        <f t="shared" si="0"/>
        <v>0</v>
      </c>
      <c r="X72" s="51"/>
      <c r="Y72" s="51"/>
      <c r="Z72" s="51">
        <v>183</v>
      </c>
      <c r="AA72" s="51"/>
      <c r="AB72" s="51"/>
      <c r="AC72" s="51">
        <f t="shared" si="1"/>
        <v>183</v>
      </c>
      <c r="AD72" s="54"/>
      <c r="AE72" s="73">
        <f>SUM('XCombining BS Assets (62-Memor)'!AC72-'XCombining BS Liability(62Mem)'!AC72)</f>
        <v>0</v>
      </c>
    </row>
    <row r="73" spans="1:31" s="57" customFormat="1" ht="9.9499999999999993" customHeight="1" x14ac:dyDescent="0.3">
      <c r="A73" s="54"/>
      <c r="B73" s="54" t="s">
        <v>615</v>
      </c>
      <c r="C73" s="51"/>
      <c r="D73" s="51"/>
      <c r="E73" s="51">
        <v>6000</v>
      </c>
      <c r="F73" s="51"/>
      <c r="G73" s="51"/>
      <c r="H73" s="51">
        <v>2010</v>
      </c>
      <c r="I73" s="51"/>
      <c r="J73" s="51"/>
      <c r="K73" s="51">
        <v>8500</v>
      </c>
      <c r="L73" s="51"/>
      <c r="M73" s="51"/>
      <c r="N73" s="51"/>
      <c r="O73" s="51"/>
      <c r="P73" s="51"/>
      <c r="Q73" s="51">
        <v>330</v>
      </c>
      <c r="R73" s="51"/>
      <c r="S73" s="51"/>
      <c r="T73" s="51"/>
      <c r="U73" s="51"/>
      <c r="V73" s="51"/>
      <c r="W73" s="51">
        <f t="shared" si="0"/>
        <v>16840</v>
      </c>
      <c r="X73" s="51"/>
      <c r="Y73" s="51"/>
      <c r="Z73" s="51">
        <v>326903</v>
      </c>
      <c r="AA73" s="51"/>
      <c r="AB73" s="51"/>
      <c r="AC73" s="51">
        <f>SUM(W73:Z73)</f>
        <v>343743</v>
      </c>
      <c r="AD73" s="54"/>
      <c r="AE73" s="73">
        <f>SUM('XCombining BS Assets (62-Memor)'!AC73-'XCombining BS Liability(62Mem)'!AC73)</f>
        <v>0</v>
      </c>
    </row>
    <row r="74" spans="1:31" s="57" customFormat="1" ht="9.9499999999999993" customHeight="1" x14ac:dyDescent="0.3">
      <c r="A74" s="54"/>
      <c r="B74" s="54" t="s">
        <v>616</v>
      </c>
      <c r="C74" s="51"/>
      <c r="D74" s="51"/>
      <c r="E74" s="51">
        <v>380</v>
      </c>
      <c r="F74" s="51"/>
      <c r="G74" s="51"/>
      <c r="H74" s="51">
        <v>2237</v>
      </c>
      <c r="I74" s="51"/>
      <c r="J74" s="51"/>
      <c r="K74" s="51">
        <v>5314</v>
      </c>
      <c r="L74" s="51"/>
      <c r="M74" s="51"/>
      <c r="N74" s="51">
        <v>3335</v>
      </c>
      <c r="O74" s="51"/>
      <c r="P74" s="51"/>
      <c r="Q74" s="51"/>
      <c r="R74" s="51"/>
      <c r="S74" s="51"/>
      <c r="T74" s="51">
        <v>296572</v>
      </c>
      <c r="U74" s="51"/>
      <c r="V74" s="51"/>
      <c r="W74" s="51">
        <f t="shared" si="0"/>
        <v>307838</v>
      </c>
      <c r="X74" s="51"/>
      <c r="Y74" s="51"/>
      <c r="Z74" s="51"/>
      <c r="AA74" s="51"/>
      <c r="AB74" s="51"/>
      <c r="AC74" s="51">
        <f t="shared" si="1"/>
        <v>307838</v>
      </c>
      <c r="AD74" s="54"/>
      <c r="AE74" s="73">
        <f>SUM('XCombining BS Assets (62-Memor)'!AC74-'XCombining BS Liability(62Mem)'!AC74)</f>
        <v>0</v>
      </c>
    </row>
    <row r="75" spans="1:31" s="57" customFormat="1" ht="9.9499999999999993" customHeight="1" x14ac:dyDescent="0.3">
      <c r="A75" s="54"/>
      <c r="B75" s="54" t="s">
        <v>630</v>
      </c>
      <c r="C75" s="51"/>
      <c r="D75" s="51"/>
      <c r="E75" s="51"/>
      <c r="F75" s="51"/>
      <c r="G75" s="51"/>
      <c r="H75" s="51">
        <v>-511</v>
      </c>
      <c r="I75" s="51"/>
      <c r="J75" s="51"/>
      <c r="K75" s="51"/>
      <c r="L75" s="51"/>
      <c r="M75" s="51"/>
      <c r="N75" s="51"/>
      <c r="O75" s="51"/>
      <c r="P75" s="51"/>
      <c r="Q75" s="51"/>
      <c r="R75" s="51"/>
      <c r="S75" s="51"/>
      <c r="T75" s="51">
        <v>812473</v>
      </c>
      <c r="U75" s="51"/>
      <c r="V75" s="51"/>
      <c r="W75" s="51">
        <f t="shared" si="0"/>
        <v>811962</v>
      </c>
      <c r="X75" s="51"/>
      <c r="Y75" s="51"/>
      <c r="Z75" s="51"/>
      <c r="AA75" s="51"/>
      <c r="AB75" s="51"/>
      <c r="AC75" s="51">
        <f t="shared" si="1"/>
        <v>811962</v>
      </c>
      <c r="AD75" s="54"/>
      <c r="AE75" s="73">
        <f>SUM('XCombining BS Assets (62-Memor)'!AC75-'XCombining BS Liability(62Mem)'!AC75)</f>
        <v>0</v>
      </c>
    </row>
    <row r="76" spans="1:31" s="57" customFormat="1" ht="9.9499999999999993" customHeight="1" x14ac:dyDescent="0.3">
      <c r="A76" s="54"/>
      <c r="B76" s="54" t="s">
        <v>634</v>
      </c>
      <c r="C76" s="51"/>
      <c r="D76" s="51"/>
      <c r="E76" s="51"/>
      <c r="F76" s="51"/>
      <c r="G76" s="51"/>
      <c r="H76" s="51">
        <v>400</v>
      </c>
      <c r="I76" s="51"/>
      <c r="J76" s="51"/>
      <c r="K76" s="51"/>
      <c r="L76" s="51"/>
      <c r="M76" s="51"/>
      <c r="N76" s="51"/>
      <c r="O76" s="51"/>
      <c r="P76" s="51"/>
      <c r="Q76" s="51"/>
      <c r="R76" s="51"/>
      <c r="S76" s="51"/>
      <c r="T76" s="51"/>
      <c r="U76" s="51"/>
      <c r="V76" s="51"/>
      <c r="W76" s="51">
        <f t="shared" si="0"/>
        <v>400</v>
      </c>
      <c r="X76" s="51"/>
      <c r="Y76" s="51"/>
      <c r="Z76" s="51">
        <v>16403</v>
      </c>
      <c r="AA76" s="51"/>
      <c r="AB76" s="51"/>
      <c r="AC76" s="51">
        <f t="shared" si="1"/>
        <v>16803</v>
      </c>
      <c r="AD76" s="54"/>
      <c r="AE76" s="73">
        <f>SUM('XCombining BS Assets (62-Memor)'!AC76-'XCombining BS Liability(62Mem)'!AC76)</f>
        <v>0</v>
      </c>
    </row>
    <row r="77" spans="1:31" s="57" customFormat="1" ht="9.9499999999999993" customHeight="1" x14ac:dyDescent="0.3">
      <c r="A77" s="54"/>
      <c r="B77" s="54" t="s">
        <v>638</v>
      </c>
      <c r="C77" s="51"/>
      <c r="D77" s="51"/>
      <c r="E77" s="51"/>
      <c r="F77" s="51"/>
      <c r="G77" s="51"/>
      <c r="H77" s="51">
        <v>400</v>
      </c>
      <c r="I77" s="51"/>
      <c r="J77" s="51"/>
      <c r="K77" s="51"/>
      <c r="L77" s="51"/>
      <c r="M77" s="51"/>
      <c r="N77" s="51"/>
      <c r="O77" s="51"/>
      <c r="P77" s="51"/>
      <c r="Q77" s="51"/>
      <c r="R77" s="51"/>
      <c r="S77" s="51"/>
      <c r="T77" s="51"/>
      <c r="U77" s="51"/>
      <c r="V77" s="51"/>
      <c r="W77" s="51">
        <f t="shared" si="0"/>
        <v>400</v>
      </c>
      <c r="X77" s="51"/>
      <c r="Y77" s="51"/>
      <c r="Z77" s="51">
        <v>6586</v>
      </c>
      <c r="AA77" s="51"/>
      <c r="AB77" s="51"/>
      <c r="AC77" s="51">
        <f t="shared" si="1"/>
        <v>6986</v>
      </c>
      <c r="AD77" s="54"/>
      <c r="AE77" s="73">
        <f>SUM('XCombining BS Assets (62-Memor)'!AC77-'XCombining BS Liability(62Mem)'!AC77)</f>
        <v>0</v>
      </c>
    </row>
    <row r="78" spans="1:31" s="57" customFormat="1" ht="9.9499999999999993" customHeight="1" x14ac:dyDescent="0.3">
      <c r="A78" s="54"/>
      <c r="B78" s="54" t="s">
        <v>639</v>
      </c>
      <c r="C78" s="51"/>
      <c r="D78" s="51"/>
      <c r="E78" s="51"/>
      <c r="F78" s="51"/>
      <c r="G78" s="51"/>
      <c r="H78" s="51"/>
      <c r="I78" s="51"/>
      <c r="J78" s="51"/>
      <c r="K78" s="51"/>
      <c r="L78" s="51"/>
      <c r="M78" s="51"/>
      <c r="N78" s="51"/>
      <c r="O78" s="51"/>
      <c r="P78" s="51"/>
      <c r="Q78" s="51"/>
      <c r="R78" s="51"/>
      <c r="S78" s="51"/>
      <c r="T78" s="51">
        <v>2120</v>
      </c>
      <c r="U78" s="51"/>
      <c r="V78" s="51"/>
      <c r="W78" s="51">
        <f t="shared" ref="W78:W96" si="2">SUM(E78:T78)</f>
        <v>2120</v>
      </c>
      <c r="X78" s="51"/>
      <c r="Y78" s="51"/>
      <c r="Z78" s="51"/>
      <c r="AA78" s="51"/>
      <c r="AB78" s="51"/>
      <c r="AC78" s="51">
        <f t="shared" ref="AC78:AC87" si="3">SUM(W78:Z78)</f>
        <v>2120</v>
      </c>
      <c r="AD78" s="54"/>
      <c r="AE78" s="73">
        <f>SUM('XCombining BS Assets (62-Memor)'!AC78-'XCombining BS Liability(62Mem)'!AC78)</f>
        <v>0</v>
      </c>
    </row>
    <row r="79" spans="1:31" s="57" customFormat="1" ht="9.9499999999999993" customHeight="1" x14ac:dyDescent="0.3">
      <c r="A79" s="54"/>
      <c r="B79" s="54" t="s">
        <v>640</v>
      </c>
      <c r="C79" s="51"/>
      <c r="D79" s="51"/>
      <c r="E79" s="51"/>
      <c r="F79" s="51"/>
      <c r="G79" s="51"/>
      <c r="H79" s="51">
        <v>868</v>
      </c>
      <c r="I79" s="51"/>
      <c r="J79" s="51"/>
      <c r="K79" s="51"/>
      <c r="L79" s="51"/>
      <c r="M79" s="51"/>
      <c r="N79" s="51"/>
      <c r="O79" s="51"/>
      <c r="P79" s="51"/>
      <c r="Q79" s="51">
        <v>476</v>
      </c>
      <c r="R79" s="51"/>
      <c r="S79" s="51"/>
      <c r="T79" s="51">
        <v>110184</v>
      </c>
      <c r="U79" s="51"/>
      <c r="V79" s="51"/>
      <c r="W79" s="51">
        <f t="shared" si="2"/>
        <v>111528</v>
      </c>
      <c r="X79" s="51"/>
      <c r="Y79" s="51"/>
      <c r="Z79" s="51"/>
      <c r="AA79" s="51"/>
      <c r="AB79" s="51"/>
      <c r="AC79" s="51">
        <f t="shared" si="3"/>
        <v>111528</v>
      </c>
      <c r="AD79" s="54"/>
      <c r="AE79" s="73">
        <f>SUM('XCombining BS Assets (62-Memor)'!AC79-'XCombining BS Liability(62Mem)'!AC79)</f>
        <v>0</v>
      </c>
    </row>
    <row r="80" spans="1:31" s="57" customFormat="1" ht="9.9499999999999993" customHeight="1" x14ac:dyDescent="0.3">
      <c r="A80" s="54"/>
      <c r="B80" s="54" t="s">
        <v>641</v>
      </c>
      <c r="C80" s="51"/>
      <c r="D80" s="51"/>
      <c r="E80" s="51"/>
      <c r="F80" s="51"/>
      <c r="G80" s="51"/>
      <c r="H80" s="51"/>
      <c r="I80" s="51"/>
      <c r="J80" s="51"/>
      <c r="K80" s="51"/>
      <c r="L80" s="51"/>
      <c r="M80" s="51"/>
      <c r="N80" s="51"/>
      <c r="O80" s="51"/>
      <c r="P80" s="51"/>
      <c r="Q80" s="51">
        <v>200000</v>
      </c>
      <c r="R80" s="51"/>
      <c r="S80" s="51"/>
      <c r="T80" s="51"/>
      <c r="U80" s="51"/>
      <c r="V80" s="51"/>
      <c r="W80" s="51">
        <f t="shared" si="2"/>
        <v>200000</v>
      </c>
      <c r="X80" s="51"/>
      <c r="Y80" s="51"/>
      <c r="Z80" s="51">
        <v>187081</v>
      </c>
      <c r="AA80" s="51"/>
      <c r="AB80" s="51"/>
      <c r="AC80" s="51">
        <f t="shared" si="3"/>
        <v>387081</v>
      </c>
      <c r="AD80" s="54"/>
      <c r="AE80" s="73">
        <f>SUM('XCombining BS Assets (62-Memor)'!AC80-'XCombining BS Liability(62Mem)'!AC80)</f>
        <v>0</v>
      </c>
    </row>
    <row r="81" spans="1:31" s="57" customFormat="1" ht="9.9499999999999993" customHeight="1" x14ac:dyDescent="0.3">
      <c r="A81" s="54"/>
      <c r="B81" s="54" t="s">
        <v>642</v>
      </c>
      <c r="C81" s="51"/>
      <c r="D81" s="51"/>
      <c r="E81" s="51">
        <v>4048</v>
      </c>
      <c r="F81" s="51"/>
      <c r="G81" s="51"/>
      <c r="H81" s="51">
        <v>8199</v>
      </c>
      <c r="I81" s="51"/>
      <c r="J81" s="51"/>
      <c r="K81" s="51">
        <v>7050</v>
      </c>
      <c r="L81" s="51"/>
      <c r="M81" s="51"/>
      <c r="N81" s="51">
        <v>994</v>
      </c>
      <c r="O81" s="51"/>
      <c r="P81" s="51"/>
      <c r="Q81" s="51"/>
      <c r="R81" s="51"/>
      <c r="S81" s="51"/>
      <c r="T81" s="51"/>
      <c r="U81" s="51"/>
      <c r="V81" s="51"/>
      <c r="W81" s="51">
        <f t="shared" si="2"/>
        <v>20291</v>
      </c>
      <c r="X81" s="51"/>
      <c r="Y81" s="51"/>
      <c r="Z81" s="51">
        <v>16577</v>
      </c>
      <c r="AA81" s="51"/>
      <c r="AB81" s="51"/>
      <c r="AC81" s="51">
        <f t="shared" si="3"/>
        <v>36868</v>
      </c>
      <c r="AD81" s="54"/>
      <c r="AE81" s="73">
        <f>SUM('XCombining BS Assets (62-Memor)'!AC81-'XCombining BS Liability(62Mem)'!AC81)</f>
        <v>0</v>
      </c>
    </row>
    <row r="82" spans="1:31" s="57" customFormat="1" ht="9.9499999999999993" customHeight="1" x14ac:dyDescent="0.3">
      <c r="A82" s="54"/>
      <c r="B82" s="54" t="s">
        <v>643</v>
      </c>
      <c r="C82" s="51"/>
      <c r="D82" s="51"/>
      <c r="E82" s="51"/>
      <c r="F82" s="51"/>
      <c r="G82" s="51"/>
      <c r="H82" s="51">
        <v>301107</v>
      </c>
      <c r="I82" s="51"/>
      <c r="J82" s="51"/>
      <c r="K82" s="51"/>
      <c r="L82" s="51"/>
      <c r="M82" s="51"/>
      <c r="N82" s="51"/>
      <c r="O82" s="51"/>
      <c r="P82" s="51"/>
      <c r="Q82" s="51"/>
      <c r="R82" s="51"/>
      <c r="S82" s="51"/>
      <c r="T82" s="51">
        <v>110847</v>
      </c>
      <c r="U82" s="51"/>
      <c r="V82" s="51"/>
      <c r="W82" s="51">
        <f t="shared" si="2"/>
        <v>411954</v>
      </c>
      <c r="X82" s="51"/>
      <c r="Y82" s="51"/>
      <c r="Z82" s="51">
        <v>-411954</v>
      </c>
      <c r="AA82" s="51"/>
      <c r="AB82" s="51"/>
      <c r="AC82" s="51">
        <f t="shared" si="3"/>
        <v>0</v>
      </c>
      <c r="AD82" s="54"/>
      <c r="AE82" s="73">
        <f>SUM('XCombining BS Assets (62-Memor)'!AC82-'XCombining BS Liability(62Mem)'!AC82)</f>
        <v>0</v>
      </c>
    </row>
    <row r="83" spans="1:31" s="57" customFormat="1" ht="9.9499999999999993" customHeight="1" x14ac:dyDescent="0.3">
      <c r="A83" s="54"/>
      <c r="B83" s="54" t="s">
        <v>644</v>
      </c>
      <c r="C83" s="51"/>
      <c r="D83" s="51"/>
      <c r="E83" s="51"/>
      <c r="F83" s="51"/>
      <c r="G83" s="51"/>
      <c r="H83" s="51"/>
      <c r="I83" s="51"/>
      <c r="J83" s="51"/>
      <c r="K83" s="51"/>
      <c r="L83" s="51"/>
      <c r="M83" s="51"/>
      <c r="N83" s="51"/>
      <c r="O83" s="51"/>
      <c r="P83" s="51"/>
      <c r="Q83" s="51"/>
      <c r="R83" s="51"/>
      <c r="S83" s="51"/>
      <c r="T83" s="51"/>
      <c r="U83" s="51"/>
      <c r="V83" s="51"/>
      <c r="W83" s="51">
        <f t="shared" si="2"/>
        <v>0</v>
      </c>
      <c r="X83" s="51"/>
      <c r="Y83" s="51"/>
      <c r="Z83" s="51">
        <v>1559721</v>
      </c>
      <c r="AA83" s="51"/>
      <c r="AB83" s="51"/>
      <c r="AC83" s="51">
        <f t="shared" si="3"/>
        <v>1559721</v>
      </c>
      <c r="AD83" s="54"/>
      <c r="AE83" s="73">
        <f>SUM('XCombining BS Assets (62-Memor)'!AC83-'XCombining BS Liability(62Mem)'!AC83)</f>
        <v>0</v>
      </c>
    </row>
    <row r="84" spans="1:31" s="57" customFormat="1" ht="9.9499999999999993" customHeight="1" x14ac:dyDescent="0.3">
      <c r="A84" s="54"/>
      <c r="B84" s="54" t="s">
        <v>648</v>
      </c>
      <c r="C84" s="51"/>
      <c r="D84" s="51"/>
      <c r="E84" s="51">
        <v>634310</v>
      </c>
      <c r="F84" s="51"/>
      <c r="G84" s="51"/>
      <c r="H84" s="51"/>
      <c r="I84" s="51"/>
      <c r="J84" s="51"/>
      <c r="K84" s="51">
        <v>1786</v>
      </c>
      <c r="L84" s="51"/>
      <c r="M84" s="51"/>
      <c r="N84" s="51">
        <v>9225</v>
      </c>
      <c r="O84" s="51"/>
      <c r="P84" s="51"/>
      <c r="Q84" s="51"/>
      <c r="R84" s="51"/>
      <c r="S84" s="51"/>
      <c r="T84" s="51">
        <v>94365</v>
      </c>
      <c r="U84" s="51"/>
      <c r="V84" s="51"/>
      <c r="W84" s="51">
        <f t="shared" si="2"/>
        <v>739686</v>
      </c>
      <c r="X84" s="51"/>
      <c r="Y84" s="51"/>
      <c r="Z84" s="51"/>
      <c r="AA84" s="51"/>
      <c r="AB84" s="51"/>
      <c r="AC84" s="51">
        <f t="shared" si="3"/>
        <v>739686</v>
      </c>
      <c r="AD84" s="54"/>
      <c r="AE84" s="73">
        <f>SUM('XCombining BS Assets (62-Memor)'!AC84-'XCombining BS Liability(62Mem)'!AC84)</f>
        <v>0</v>
      </c>
    </row>
    <row r="85" spans="1:31" s="57" customFormat="1" ht="9.9499999999999993" customHeight="1" x14ac:dyDescent="0.3">
      <c r="A85" s="54"/>
      <c r="B85" s="54" t="s">
        <v>649</v>
      </c>
      <c r="C85" s="51"/>
      <c r="D85" s="51"/>
      <c r="E85" s="51"/>
      <c r="F85" s="51"/>
      <c r="G85" s="51"/>
      <c r="H85" s="51"/>
      <c r="I85" s="51"/>
      <c r="J85" s="51"/>
      <c r="K85" s="51"/>
      <c r="L85" s="51"/>
      <c r="M85" s="51"/>
      <c r="N85" s="51"/>
      <c r="O85" s="51"/>
      <c r="P85" s="51"/>
      <c r="Q85" s="51"/>
      <c r="R85" s="51"/>
      <c r="S85" s="51"/>
      <c r="T85" s="51">
        <v>600954</v>
      </c>
      <c r="U85" s="51"/>
      <c r="V85" s="51"/>
      <c r="W85" s="51">
        <f t="shared" si="2"/>
        <v>600954</v>
      </c>
      <c r="X85" s="51"/>
      <c r="Y85" s="51"/>
      <c r="Z85" s="51">
        <v>1142107</v>
      </c>
      <c r="AA85" s="51"/>
      <c r="AB85" s="51"/>
      <c r="AC85" s="51">
        <f t="shared" si="3"/>
        <v>1743061</v>
      </c>
      <c r="AD85" s="54"/>
      <c r="AE85" s="73">
        <f>SUM('XCombining BS Assets (62-Memor)'!AC85-'XCombining BS Liability(62Mem)'!AC85)</f>
        <v>0</v>
      </c>
    </row>
    <row r="86" spans="1:31" s="57" customFormat="1" ht="9.9499999999999993" customHeight="1" x14ac:dyDescent="0.3">
      <c r="A86" s="54"/>
      <c r="B86" s="54" t="s">
        <v>650</v>
      </c>
      <c r="C86" s="51"/>
      <c r="D86" s="51"/>
      <c r="E86" s="51">
        <v>359950</v>
      </c>
      <c r="F86" s="51"/>
      <c r="G86" s="51"/>
      <c r="H86" s="51"/>
      <c r="I86" s="51"/>
      <c r="J86" s="51"/>
      <c r="K86" s="51"/>
      <c r="L86" s="51"/>
      <c r="M86" s="51"/>
      <c r="N86" s="51"/>
      <c r="O86" s="51"/>
      <c r="P86" s="51"/>
      <c r="Q86" s="51"/>
      <c r="R86" s="51"/>
      <c r="S86" s="51"/>
      <c r="T86" s="51"/>
      <c r="U86" s="51"/>
      <c r="V86" s="51"/>
      <c r="W86" s="51">
        <f t="shared" si="2"/>
        <v>359950</v>
      </c>
      <c r="X86" s="51"/>
      <c r="Y86" s="51"/>
      <c r="Z86" s="51">
        <v>763083</v>
      </c>
      <c r="AA86" s="51"/>
      <c r="AB86" s="51"/>
      <c r="AC86" s="51">
        <f t="shared" si="3"/>
        <v>1123033</v>
      </c>
      <c r="AD86" s="54"/>
      <c r="AE86" s="73">
        <f>SUM('XCombining BS Assets (62-Memor)'!AC86-'XCombining BS Liability(62Mem)'!AC86)</f>
        <v>0</v>
      </c>
    </row>
    <row r="87" spans="1:31" s="57" customFormat="1" ht="9.9499999999999993" customHeight="1" x14ac:dyDescent="0.3">
      <c r="A87" s="54"/>
      <c r="B87" s="54" t="s">
        <v>651</v>
      </c>
      <c r="C87" s="51"/>
      <c r="D87" s="51"/>
      <c r="E87" s="51"/>
      <c r="F87" s="51"/>
      <c r="G87" s="51"/>
      <c r="H87" s="51">
        <v>3018</v>
      </c>
      <c r="I87" s="51"/>
      <c r="J87" s="51"/>
      <c r="K87" s="51">
        <v>8701</v>
      </c>
      <c r="L87" s="51"/>
      <c r="M87" s="51"/>
      <c r="N87" s="51">
        <v>1561</v>
      </c>
      <c r="O87" s="51"/>
      <c r="P87" s="51"/>
      <c r="Q87" s="51"/>
      <c r="R87" s="51"/>
      <c r="S87" s="51"/>
      <c r="T87" s="51">
        <v>104921</v>
      </c>
      <c r="U87" s="51"/>
      <c r="V87" s="51"/>
      <c r="W87" s="51">
        <f t="shared" si="2"/>
        <v>118201</v>
      </c>
      <c r="X87" s="51"/>
      <c r="Y87" s="51"/>
      <c r="Z87" s="51">
        <v>-112053</v>
      </c>
      <c r="AA87" s="51"/>
      <c r="AB87" s="51"/>
      <c r="AC87" s="51">
        <f t="shared" si="3"/>
        <v>6148</v>
      </c>
      <c r="AD87" s="54"/>
      <c r="AE87" s="73">
        <f>SUM('XCombining BS Assets (62-Memor)'!AC87-'XCombining BS Liability(62Mem)'!AC87)</f>
        <v>0</v>
      </c>
    </row>
    <row r="88" spans="1:31" s="57" customFormat="1" ht="9.9499999999999993" customHeight="1" x14ac:dyDescent="0.3">
      <c r="A88" s="54"/>
      <c r="B88" s="54" t="s">
        <v>41</v>
      </c>
      <c r="C88" s="51"/>
      <c r="D88" s="51"/>
      <c r="E88" s="51"/>
      <c r="F88" s="51"/>
      <c r="G88" s="51"/>
      <c r="H88" s="51"/>
      <c r="I88" s="51"/>
      <c r="J88" s="51"/>
      <c r="K88" s="51"/>
      <c r="L88" s="51"/>
      <c r="M88" s="51"/>
      <c r="N88" s="51"/>
      <c r="O88" s="51"/>
      <c r="P88" s="51"/>
      <c r="Q88" s="51"/>
      <c r="R88" s="51"/>
      <c r="S88" s="51"/>
      <c r="T88" s="51"/>
      <c r="U88" s="51"/>
      <c r="V88" s="51"/>
      <c r="W88" s="51">
        <f t="shared" si="2"/>
        <v>0</v>
      </c>
      <c r="X88" s="51"/>
      <c r="Y88" s="51"/>
      <c r="Z88" s="51">
        <v>29546</v>
      </c>
      <c r="AA88" s="51"/>
      <c r="AB88" s="51"/>
      <c r="AC88" s="51">
        <f>SUM(W88:Z88)</f>
        <v>29546</v>
      </c>
      <c r="AD88" s="54"/>
      <c r="AE88" s="73">
        <f>SUM('XCombining BS Assets (62-Memor)'!AC88-'XCombining BS Liability(62Mem)'!AC88)</f>
        <v>0</v>
      </c>
    </row>
    <row r="89" spans="1:31" s="57" customFormat="1" ht="9.9499999999999993" customHeight="1" x14ac:dyDescent="0.3">
      <c r="A89" s="54"/>
      <c r="B89" s="54" t="s">
        <v>652</v>
      </c>
      <c r="C89" s="51"/>
      <c r="D89" s="51"/>
      <c r="E89" s="51"/>
      <c r="F89" s="51"/>
      <c r="G89" s="51"/>
      <c r="H89" s="51">
        <v>100000</v>
      </c>
      <c r="I89" s="51"/>
      <c r="J89" s="51"/>
      <c r="K89" s="51"/>
      <c r="L89" s="51"/>
      <c r="M89" s="51"/>
      <c r="N89" s="51"/>
      <c r="O89" s="51"/>
      <c r="P89" s="51"/>
      <c r="Q89" s="51"/>
      <c r="R89" s="51"/>
      <c r="S89" s="51"/>
      <c r="T89" s="51"/>
      <c r="U89" s="51"/>
      <c r="V89" s="51"/>
      <c r="W89" s="51">
        <f t="shared" si="2"/>
        <v>100000</v>
      </c>
      <c r="X89" s="51"/>
      <c r="Y89" s="51"/>
      <c r="Z89" s="51">
        <v>6609430</v>
      </c>
      <c r="AA89" s="51"/>
      <c r="AB89" s="51"/>
      <c r="AC89" s="51">
        <f t="shared" ref="AC89:AC96" si="4">SUM(W89:Z89)</f>
        <v>6709430</v>
      </c>
      <c r="AD89" s="54"/>
      <c r="AE89" s="73">
        <f>SUM('XCombining BS Assets (62-Memor)'!AC89-'XCombining BS Liability(62Mem)'!AC89)</f>
        <v>0</v>
      </c>
    </row>
    <row r="90" spans="1:31" s="57" customFormat="1" ht="9.9499999999999993" customHeight="1" x14ac:dyDescent="0.3">
      <c r="A90" s="54"/>
      <c r="B90" s="54" t="s">
        <v>653</v>
      </c>
      <c r="C90" s="51"/>
      <c r="D90" s="51"/>
      <c r="E90" s="51"/>
      <c r="F90" s="51"/>
      <c r="G90" s="51"/>
      <c r="H90" s="51"/>
      <c r="I90" s="51"/>
      <c r="J90" s="51"/>
      <c r="K90" s="51"/>
      <c r="L90" s="51"/>
      <c r="M90" s="51"/>
      <c r="N90" s="51"/>
      <c r="O90" s="51"/>
      <c r="P90" s="51"/>
      <c r="Q90" s="51"/>
      <c r="R90" s="51"/>
      <c r="S90" s="51"/>
      <c r="T90" s="51"/>
      <c r="U90" s="51"/>
      <c r="V90" s="51"/>
      <c r="W90" s="51">
        <f t="shared" si="2"/>
        <v>0</v>
      </c>
      <c r="X90" s="51"/>
      <c r="Y90" s="51"/>
      <c r="Z90" s="51">
        <v>900509</v>
      </c>
      <c r="AA90" s="51"/>
      <c r="AB90" s="51"/>
      <c r="AC90" s="51">
        <f t="shared" si="4"/>
        <v>900509</v>
      </c>
      <c r="AD90" s="54"/>
      <c r="AE90" s="73">
        <f>SUM('XCombining BS Assets (62-Memor)'!AC90-'XCombining BS Liability(62Mem)'!AC90)</f>
        <v>0</v>
      </c>
    </row>
    <row r="91" spans="1:31" s="57" customFormat="1" ht="9.9499999999999993" customHeight="1" x14ac:dyDescent="0.3">
      <c r="A91" s="54"/>
      <c r="B91" s="54" t="s">
        <v>654</v>
      </c>
      <c r="C91" s="51"/>
      <c r="D91" s="51"/>
      <c r="E91" s="51">
        <v>2595</v>
      </c>
      <c r="F91" s="51"/>
      <c r="G91" s="51"/>
      <c r="H91" s="51"/>
      <c r="I91" s="51"/>
      <c r="J91" s="51"/>
      <c r="K91" s="51"/>
      <c r="L91" s="51"/>
      <c r="M91" s="51"/>
      <c r="N91" s="51"/>
      <c r="O91" s="51"/>
      <c r="P91" s="51"/>
      <c r="Q91" s="51"/>
      <c r="R91" s="51"/>
      <c r="S91" s="51"/>
      <c r="T91" s="51">
        <v>4972</v>
      </c>
      <c r="U91" s="51"/>
      <c r="V91" s="51"/>
      <c r="W91" s="51">
        <f t="shared" si="2"/>
        <v>7567</v>
      </c>
      <c r="X91" s="51"/>
      <c r="Y91" s="51"/>
      <c r="Z91" s="51"/>
      <c r="AA91" s="51"/>
      <c r="AB91" s="51"/>
      <c r="AC91" s="51">
        <f t="shared" si="4"/>
        <v>7567</v>
      </c>
      <c r="AD91" s="54"/>
      <c r="AE91" s="73">
        <f>SUM('XCombining BS Assets (62-Memor)'!AC91-'XCombining BS Liability(62Mem)'!AC91)</f>
        <v>0</v>
      </c>
    </row>
    <row r="92" spans="1:31" s="57" customFormat="1" ht="9.9499999999999993" customHeight="1" x14ac:dyDescent="0.3">
      <c r="A92" s="54"/>
      <c r="B92" s="54" t="s">
        <v>655</v>
      </c>
      <c r="C92" s="51"/>
      <c r="D92" s="51"/>
      <c r="E92" s="51"/>
      <c r="F92" s="51"/>
      <c r="G92" s="51"/>
      <c r="H92" s="51"/>
      <c r="I92" s="51"/>
      <c r="J92" s="51"/>
      <c r="K92" s="51"/>
      <c r="L92" s="51"/>
      <c r="M92" s="51"/>
      <c r="N92" s="51"/>
      <c r="O92" s="51"/>
      <c r="P92" s="51"/>
      <c r="Q92" s="51"/>
      <c r="R92" s="51"/>
      <c r="S92" s="51"/>
      <c r="T92" s="51"/>
      <c r="U92" s="51"/>
      <c r="V92" s="51"/>
      <c r="W92" s="51">
        <f t="shared" si="2"/>
        <v>0</v>
      </c>
      <c r="X92" s="51"/>
      <c r="Y92" s="51"/>
      <c r="Z92" s="51">
        <v>115202</v>
      </c>
      <c r="AA92" s="51"/>
      <c r="AB92" s="51"/>
      <c r="AC92" s="51">
        <f t="shared" si="4"/>
        <v>115202</v>
      </c>
      <c r="AD92" s="54"/>
      <c r="AE92" s="73">
        <f>SUM('XCombining BS Assets (62-Memor)'!AC92-'XCombining BS Liability(62Mem)'!AC92)</f>
        <v>0</v>
      </c>
    </row>
    <row r="93" spans="1:31" s="57" customFormat="1" ht="9.9499999999999993" customHeight="1" x14ac:dyDescent="0.3">
      <c r="A93" s="54"/>
      <c r="B93" s="54" t="s">
        <v>656</v>
      </c>
      <c r="C93" s="51"/>
      <c r="D93" s="51"/>
      <c r="E93" s="51"/>
      <c r="F93" s="51"/>
      <c r="G93" s="51"/>
      <c r="H93" s="51"/>
      <c r="I93" s="51"/>
      <c r="J93" s="51"/>
      <c r="K93" s="51"/>
      <c r="L93" s="51"/>
      <c r="M93" s="51"/>
      <c r="N93" s="51"/>
      <c r="O93" s="51"/>
      <c r="P93" s="51"/>
      <c r="Q93" s="51"/>
      <c r="R93" s="51"/>
      <c r="S93" s="51"/>
      <c r="T93" s="51"/>
      <c r="U93" s="51"/>
      <c r="V93" s="51"/>
      <c r="W93" s="51">
        <f t="shared" si="2"/>
        <v>0</v>
      </c>
      <c r="X93" s="51"/>
      <c r="Y93" s="51"/>
      <c r="Z93" s="51">
        <v>4281</v>
      </c>
      <c r="AA93" s="51"/>
      <c r="AB93" s="51"/>
      <c r="AC93" s="51">
        <f t="shared" si="4"/>
        <v>4281</v>
      </c>
      <c r="AD93" s="54"/>
      <c r="AE93" s="73">
        <f>SUM('XCombining BS Assets (62-Memor)'!AC93-'XCombining BS Liability(62Mem)'!AC93)</f>
        <v>0</v>
      </c>
    </row>
    <row r="94" spans="1:31" s="57" customFormat="1" ht="9.9499999999999993" customHeight="1" x14ac:dyDescent="0.3">
      <c r="A94" s="54"/>
      <c r="B94" s="54" t="s">
        <v>657</v>
      </c>
      <c r="C94" s="51"/>
      <c r="D94" s="51"/>
      <c r="E94" s="51"/>
      <c r="F94" s="51"/>
      <c r="G94" s="51"/>
      <c r="H94" s="51"/>
      <c r="I94" s="51"/>
      <c r="J94" s="51"/>
      <c r="K94" s="51"/>
      <c r="L94" s="51"/>
      <c r="M94" s="51"/>
      <c r="N94" s="51"/>
      <c r="O94" s="51"/>
      <c r="P94" s="51"/>
      <c r="Q94" s="51"/>
      <c r="R94" s="51"/>
      <c r="S94" s="51"/>
      <c r="T94" s="51"/>
      <c r="U94" s="51"/>
      <c r="V94" s="51"/>
      <c r="W94" s="51">
        <f t="shared" si="2"/>
        <v>0</v>
      </c>
      <c r="X94" s="51"/>
      <c r="Y94" s="51"/>
      <c r="Z94" s="51">
        <v>10093</v>
      </c>
      <c r="AA94" s="51"/>
      <c r="AB94" s="51"/>
      <c r="AC94" s="51">
        <f t="shared" si="4"/>
        <v>10093</v>
      </c>
      <c r="AD94" s="54"/>
      <c r="AE94" s="73">
        <f>SUM('XCombining BS Assets (62-Memor)'!AC94-'XCombining BS Liability(62Mem)'!AC94)</f>
        <v>0</v>
      </c>
    </row>
    <row r="95" spans="1:31" s="57" customFormat="1" ht="9.9499999999999993" customHeight="1" x14ac:dyDescent="0.3">
      <c r="A95" s="54"/>
      <c r="B95" s="54" t="s">
        <v>658</v>
      </c>
      <c r="C95" s="51"/>
      <c r="D95" s="51"/>
      <c r="E95" s="51">
        <v>1353135</v>
      </c>
      <c r="F95" s="51"/>
      <c r="G95" s="51"/>
      <c r="H95" s="51">
        <v>3293447</v>
      </c>
      <c r="I95" s="51"/>
      <c r="J95" s="51"/>
      <c r="K95" s="51">
        <v>2314286</v>
      </c>
      <c r="L95" s="51"/>
      <c r="M95" s="51"/>
      <c r="N95" s="51"/>
      <c r="O95" s="51"/>
      <c r="P95" s="51"/>
      <c r="Q95" s="51"/>
      <c r="R95" s="51"/>
      <c r="S95" s="51"/>
      <c r="T95" s="51">
        <v>5733065</v>
      </c>
      <c r="U95" s="51"/>
      <c r="V95" s="51"/>
      <c r="W95" s="51">
        <f t="shared" si="2"/>
        <v>12693933</v>
      </c>
      <c r="X95" s="51"/>
      <c r="Y95" s="51"/>
      <c r="Z95" s="51"/>
      <c r="AA95" s="51"/>
      <c r="AB95" s="51"/>
      <c r="AC95" s="51">
        <f t="shared" si="4"/>
        <v>12693933</v>
      </c>
      <c r="AD95" s="54"/>
      <c r="AE95" s="73">
        <f>SUM('XCombining BS Assets (62-Memor)'!AC95-'XCombining BS Liability(62Mem)'!AC95)</f>
        <v>0</v>
      </c>
    </row>
    <row r="96" spans="1:31" s="57" customFormat="1" ht="9.9499999999999993" customHeight="1" x14ac:dyDescent="0.3">
      <c r="A96" s="54"/>
      <c r="B96" s="54" t="s">
        <v>659</v>
      </c>
      <c r="C96" s="51"/>
      <c r="D96" s="52"/>
      <c r="E96" s="52"/>
      <c r="F96" s="51"/>
      <c r="G96" s="52"/>
      <c r="H96" s="52"/>
      <c r="I96" s="51"/>
      <c r="J96" s="52"/>
      <c r="K96" s="52"/>
      <c r="L96" s="51"/>
      <c r="M96" s="52"/>
      <c r="N96" s="52"/>
      <c r="O96" s="51"/>
      <c r="P96" s="52"/>
      <c r="Q96" s="52"/>
      <c r="R96" s="51"/>
      <c r="S96" s="52"/>
      <c r="T96" s="52">
        <v>165361</v>
      </c>
      <c r="U96" s="51"/>
      <c r="V96" s="52"/>
      <c r="W96" s="52">
        <f t="shared" si="2"/>
        <v>165361</v>
      </c>
      <c r="X96" s="51"/>
      <c r="Y96" s="52"/>
      <c r="Z96" s="52"/>
      <c r="AA96" s="51"/>
      <c r="AB96" s="52"/>
      <c r="AC96" s="52">
        <f t="shared" si="4"/>
        <v>165361</v>
      </c>
      <c r="AD96" s="54"/>
      <c r="AE96" s="74">
        <f>SUM('XCombining BS Assets (62-Memor)'!AC96-'XCombining BS Liability(62Mem)'!AC96)</f>
        <v>0</v>
      </c>
    </row>
    <row r="97" spans="1:31" s="57" customFormat="1" ht="9.9499999999999993" customHeight="1" x14ac:dyDescent="0.3">
      <c r="A97" s="54"/>
      <c r="B97" s="46"/>
      <c r="C97" s="54"/>
      <c r="D97" s="54"/>
      <c r="E97" s="47"/>
      <c r="F97" s="54"/>
      <c r="G97" s="54"/>
      <c r="H97" s="47"/>
      <c r="I97" s="54"/>
      <c r="J97" s="54"/>
      <c r="K97" s="47"/>
      <c r="L97" s="54"/>
      <c r="M97" s="54"/>
      <c r="N97" s="47"/>
      <c r="O97" s="54"/>
      <c r="P97" s="54"/>
      <c r="Q97" s="47"/>
      <c r="R97" s="54"/>
      <c r="S97" s="54"/>
      <c r="T97" s="47"/>
      <c r="U97" s="54"/>
      <c r="V97" s="54"/>
      <c r="W97" s="47"/>
      <c r="X97" s="54"/>
      <c r="Y97" s="54"/>
      <c r="Z97" s="47"/>
      <c r="AA97" s="54"/>
      <c r="AB97" s="54"/>
      <c r="AC97" s="47"/>
      <c r="AD97" s="54"/>
      <c r="AE97" s="73"/>
    </row>
    <row r="98" spans="1:31" s="45" customFormat="1" ht="9.9499999999999993" customHeight="1" thickBot="1" x14ac:dyDescent="0.35">
      <c r="A98" s="46" t="s">
        <v>725</v>
      </c>
      <c r="B98" s="54"/>
      <c r="C98" s="48"/>
      <c r="D98" s="68" t="s">
        <v>1035</v>
      </c>
      <c r="E98" s="53">
        <f>SUM(E13:E96)</f>
        <v>2445190</v>
      </c>
      <c r="F98" s="48"/>
      <c r="G98" s="68" t="s">
        <v>1035</v>
      </c>
      <c r="H98" s="53">
        <f>SUM(H13:H96)</f>
        <v>3939139</v>
      </c>
      <c r="I98" s="48"/>
      <c r="J98" s="68" t="s">
        <v>1035</v>
      </c>
      <c r="K98" s="53">
        <f>SUM(K13:K96)</f>
        <v>2369901</v>
      </c>
      <c r="L98" s="48"/>
      <c r="M98" s="68" t="s">
        <v>1035</v>
      </c>
      <c r="N98" s="53">
        <f>SUM(N13:N96)</f>
        <v>41845</v>
      </c>
      <c r="O98" s="48"/>
      <c r="P98" s="68" t="s">
        <v>1035</v>
      </c>
      <c r="Q98" s="53">
        <f>SUM(Q13:Q96)</f>
        <v>234204</v>
      </c>
      <c r="R98" s="48"/>
      <c r="S98" s="68" t="s">
        <v>1035</v>
      </c>
      <c r="T98" s="53">
        <f>SUM(T13:T96)</f>
        <v>11266380</v>
      </c>
      <c r="U98" s="48"/>
      <c r="V98" s="68" t="s">
        <v>1035</v>
      </c>
      <c r="W98" s="53">
        <f>SUM(W13:W96)</f>
        <v>20296659</v>
      </c>
      <c r="X98" s="48"/>
      <c r="Y98" s="68" t="s">
        <v>1035</v>
      </c>
      <c r="Z98" s="53">
        <f>SUM(Z13:Z96)</f>
        <v>19631073</v>
      </c>
      <c r="AA98" s="48"/>
      <c r="AB98" s="68" t="s">
        <v>1035</v>
      </c>
      <c r="AC98" s="53">
        <f>SUM(AC13:AC96)</f>
        <v>39927732</v>
      </c>
      <c r="AD98" s="48"/>
      <c r="AE98" s="75">
        <f>SUM(AE13:AE96)</f>
        <v>0</v>
      </c>
    </row>
    <row r="99" spans="1:31" s="57" customFormat="1" ht="14.25" thickTop="1" x14ac:dyDescent="0.3">
      <c r="A99" s="54"/>
      <c r="B99" s="46"/>
      <c r="C99" s="54"/>
      <c r="D99" s="54"/>
      <c r="E99" s="47"/>
      <c r="F99" s="54"/>
      <c r="G99" s="54"/>
      <c r="H99" s="47"/>
      <c r="I99" s="54"/>
      <c r="J99" s="54"/>
      <c r="K99" s="47"/>
      <c r="L99" s="54"/>
      <c r="M99" s="54"/>
      <c r="N99" s="47"/>
      <c r="O99" s="54"/>
      <c r="P99" s="54"/>
      <c r="Q99" s="47"/>
      <c r="R99" s="54"/>
      <c r="S99" s="54"/>
      <c r="T99" s="47"/>
      <c r="U99" s="54"/>
      <c r="V99" s="54"/>
      <c r="W99" s="47"/>
      <c r="X99" s="54"/>
      <c r="Y99" s="54"/>
      <c r="Z99" s="47"/>
      <c r="AA99" s="54"/>
      <c r="AB99" s="54"/>
      <c r="AC99" s="47"/>
      <c r="AD99" s="54"/>
      <c r="AE99" s="73"/>
    </row>
    <row r="100" spans="1:31" s="83" customFormat="1" x14ac:dyDescent="0.3">
      <c r="A100" s="81"/>
      <c r="B100" s="82" t="s">
        <v>856</v>
      </c>
      <c r="C100" s="81"/>
      <c r="D100" s="81"/>
      <c r="E100" s="81">
        <f>+SUM(E98-'Special BS'!K37)</f>
        <v>2445190</v>
      </c>
      <c r="F100" s="81"/>
      <c r="G100" s="81"/>
      <c r="H100" s="81">
        <f>+SUM(H98-'Special BS'!K38)</f>
        <v>3939139</v>
      </c>
      <c r="I100" s="81"/>
      <c r="J100" s="81"/>
      <c r="K100" s="81">
        <f>+SUM(K98-'Special BS'!K39)</f>
        <v>2369901</v>
      </c>
      <c r="L100" s="81"/>
      <c r="M100" s="81"/>
      <c r="N100" s="81">
        <f>+SUM(N98-'Special BS'!K40)</f>
        <v>41845</v>
      </c>
      <c r="O100" s="81"/>
      <c r="P100" s="81"/>
      <c r="Q100" s="81">
        <f>+SUM(Q98-'Special BS'!K41)</f>
        <v>234204</v>
      </c>
      <c r="R100" s="81"/>
      <c r="S100" s="81"/>
      <c r="T100" s="81" t="e">
        <f>+SUM(T98-'Special BS'!#REF!)</f>
        <v>#REF!</v>
      </c>
      <c r="U100" s="81"/>
      <c r="V100" s="81"/>
      <c r="W100" s="81">
        <f>+SUM(W98-'Special BS'!K55)</f>
        <v>20291865</v>
      </c>
      <c r="X100" s="81"/>
      <c r="Y100" s="81"/>
      <c r="Z100" s="81" t="e">
        <f>+SUM(Z98-'Special BS'!#REF!)</f>
        <v>#REF!</v>
      </c>
      <c r="AA100" s="81"/>
      <c r="AB100" s="81"/>
      <c r="AC100" s="81">
        <f>+SUM(AC98-'Special BS'!K70)</f>
        <v>39768219</v>
      </c>
    </row>
    <row r="101" spans="1:31" s="57" customFormat="1" ht="13.5" x14ac:dyDescent="0.3">
      <c r="A101" s="54"/>
      <c r="B101" s="46"/>
      <c r="C101" s="54"/>
      <c r="D101" s="54"/>
      <c r="E101" s="47"/>
      <c r="F101" s="54"/>
      <c r="G101" s="54"/>
      <c r="H101" s="47"/>
      <c r="I101" s="54"/>
      <c r="J101" s="54"/>
      <c r="K101" s="47"/>
      <c r="L101" s="54"/>
      <c r="M101" s="54"/>
      <c r="N101" s="47"/>
      <c r="O101" s="54"/>
      <c r="P101" s="54"/>
      <c r="Q101" s="47"/>
      <c r="R101" s="54"/>
      <c r="S101" s="54"/>
      <c r="T101" s="47"/>
      <c r="U101" s="54"/>
      <c r="V101" s="54"/>
      <c r="W101" s="47"/>
      <c r="X101" s="54"/>
      <c r="Y101" s="54"/>
      <c r="Z101" s="47"/>
      <c r="AA101" s="54"/>
      <c r="AB101" s="54"/>
      <c r="AC101" s="47"/>
      <c r="AD101" s="54"/>
      <c r="AE101" s="73"/>
    </row>
    <row r="102" spans="1:31" s="57" customFormat="1" ht="13.5" x14ac:dyDescent="0.3">
      <c r="A102" s="54"/>
      <c r="B102" s="46"/>
      <c r="C102" s="54"/>
      <c r="D102" s="54"/>
      <c r="E102" s="47"/>
      <c r="F102" s="54"/>
      <c r="G102" s="54"/>
      <c r="H102" s="47"/>
      <c r="I102" s="54"/>
      <c r="J102" s="54"/>
      <c r="K102" s="47"/>
      <c r="L102" s="54"/>
      <c r="M102" s="54"/>
      <c r="N102" s="47"/>
      <c r="O102" s="54"/>
      <c r="P102" s="54"/>
      <c r="Q102" s="47"/>
      <c r="R102" s="54"/>
      <c r="S102" s="54"/>
      <c r="T102" s="47"/>
      <c r="U102" s="54"/>
      <c r="V102" s="54"/>
      <c r="W102" s="47"/>
      <c r="X102" s="54"/>
      <c r="Y102" s="54"/>
      <c r="Z102" s="47"/>
      <c r="AA102" s="54"/>
      <c r="AB102" s="54"/>
      <c r="AC102" s="47"/>
      <c r="AD102" s="54"/>
      <c r="AE102" s="73"/>
    </row>
    <row r="103" spans="1:31" s="57" customFormat="1" ht="13.5" x14ac:dyDescent="0.3">
      <c r="A103" s="54"/>
      <c r="B103" s="46"/>
      <c r="C103" s="54"/>
      <c r="D103" s="54"/>
      <c r="E103" s="47"/>
      <c r="F103" s="54"/>
      <c r="G103" s="54"/>
      <c r="H103" s="47"/>
      <c r="I103" s="54"/>
      <c r="J103" s="54"/>
      <c r="K103" s="47"/>
      <c r="L103" s="54"/>
      <c r="M103" s="54"/>
      <c r="N103" s="47"/>
      <c r="O103" s="54"/>
      <c r="P103" s="54"/>
      <c r="Q103" s="47"/>
      <c r="R103" s="54"/>
      <c r="S103" s="54"/>
      <c r="T103" s="47"/>
      <c r="U103" s="54"/>
      <c r="V103" s="54"/>
      <c r="W103" s="47"/>
      <c r="X103" s="54"/>
      <c r="Y103" s="54"/>
      <c r="Z103" s="47"/>
      <c r="AA103" s="54"/>
      <c r="AB103" s="54"/>
      <c r="AC103" s="47"/>
      <c r="AD103" s="54"/>
      <c r="AE103" s="73"/>
    </row>
    <row r="104" spans="1:31" s="57" customFormat="1" ht="13.5" x14ac:dyDescent="0.3">
      <c r="A104" s="54"/>
      <c r="B104" s="46"/>
      <c r="C104" s="54"/>
      <c r="D104" s="54"/>
      <c r="E104" s="47"/>
      <c r="F104" s="54"/>
      <c r="G104" s="54"/>
      <c r="H104" s="47"/>
      <c r="I104" s="54"/>
      <c r="J104" s="54"/>
      <c r="K104" s="47"/>
      <c r="L104" s="54"/>
      <c r="M104" s="54"/>
      <c r="N104" s="47"/>
      <c r="O104" s="54"/>
      <c r="P104" s="54"/>
      <c r="Q104" s="47"/>
      <c r="R104" s="54"/>
      <c r="S104" s="54"/>
      <c r="T104" s="47"/>
      <c r="U104" s="54"/>
      <c r="V104" s="54"/>
      <c r="W104" s="47"/>
      <c r="X104" s="54"/>
      <c r="Y104" s="54"/>
      <c r="Z104" s="47"/>
      <c r="AA104" s="54"/>
      <c r="AB104" s="54"/>
      <c r="AC104" s="47"/>
      <c r="AD104" s="54"/>
      <c r="AE104" s="73"/>
    </row>
    <row r="105" spans="1:31" s="57" customFormat="1" ht="13.5" x14ac:dyDescent="0.3">
      <c r="A105" s="54"/>
      <c r="B105" s="46"/>
      <c r="C105" s="54"/>
      <c r="D105" s="54"/>
      <c r="E105" s="47"/>
      <c r="F105" s="54"/>
      <c r="G105" s="54"/>
      <c r="H105" s="47"/>
      <c r="I105" s="54"/>
      <c r="J105" s="54"/>
      <c r="K105" s="47"/>
      <c r="L105" s="54"/>
      <c r="M105" s="54"/>
      <c r="N105" s="47"/>
      <c r="O105" s="54"/>
      <c r="P105" s="54"/>
      <c r="Q105" s="47"/>
      <c r="R105" s="54"/>
      <c r="S105" s="54"/>
      <c r="T105" s="47"/>
      <c r="U105" s="54"/>
      <c r="V105" s="54"/>
      <c r="W105" s="47"/>
      <c r="X105" s="54"/>
      <c r="Y105" s="54"/>
      <c r="Z105" s="47"/>
      <c r="AA105" s="54"/>
      <c r="AB105" s="54"/>
      <c r="AC105" s="47"/>
      <c r="AD105" s="54"/>
      <c r="AE105" s="73"/>
    </row>
    <row r="106" spans="1:31" s="57" customFormat="1" ht="13.5" x14ac:dyDescent="0.3">
      <c r="A106" s="54"/>
      <c r="B106" s="46"/>
      <c r="C106" s="54"/>
      <c r="D106" s="54"/>
      <c r="E106" s="47"/>
      <c r="F106" s="54"/>
      <c r="G106" s="54"/>
      <c r="H106" s="47"/>
      <c r="I106" s="54"/>
      <c r="J106" s="54"/>
      <c r="K106" s="47"/>
      <c r="L106" s="54"/>
      <c r="M106" s="54"/>
      <c r="N106" s="47"/>
      <c r="O106" s="54"/>
      <c r="P106" s="54"/>
      <c r="Q106" s="47"/>
      <c r="R106" s="54"/>
      <c r="S106" s="54"/>
      <c r="T106" s="47"/>
      <c r="U106" s="54"/>
      <c r="V106" s="54"/>
      <c r="W106" s="47"/>
      <c r="X106" s="54"/>
      <c r="Y106" s="54"/>
      <c r="Z106" s="47"/>
      <c r="AA106" s="54"/>
      <c r="AB106" s="54"/>
      <c r="AC106" s="47"/>
      <c r="AD106" s="54"/>
      <c r="AE106" s="73"/>
    </row>
    <row r="107" spans="1:31" s="57" customFormat="1" ht="13.5" x14ac:dyDescent="0.3">
      <c r="A107" s="54"/>
      <c r="B107" s="46"/>
      <c r="C107" s="54"/>
      <c r="D107" s="54"/>
      <c r="E107" s="47"/>
      <c r="F107" s="54"/>
      <c r="G107" s="54"/>
      <c r="H107" s="47"/>
      <c r="I107" s="54"/>
      <c r="J107" s="54"/>
      <c r="K107" s="47"/>
      <c r="L107" s="54"/>
      <c r="M107" s="54"/>
      <c r="N107" s="47"/>
      <c r="O107" s="54"/>
      <c r="P107" s="54"/>
      <c r="Q107" s="47"/>
      <c r="R107" s="54"/>
      <c r="S107" s="54"/>
      <c r="T107" s="47"/>
      <c r="U107" s="54"/>
      <c r="V107" s="54"/>
      <c r="W107" s="47"/>
      <c r="X107" s="54"/>
      <c r="Y107" s="54"/>
      <c r="Z107" s="47"/>
      <c r="AA107" s="54"/>
      <c r="AB107" s="54"/>
      <c r="AC107" s="47"/>
      <c r="AD107" s="54"/>
      <c r="AE107" s="73"/>
    </row>
    <row r="108" spans="1:31" s="57" customFormat="1" ht="13.5" x14ac:dyDescent="0.3">
      <c r="A108" s="54"/>
      <c r="B108" s="46"/>
      <c r="C108" s="54"/>
      <c r="D108" s="54"/>
      <c r="E108" s="47"/>
      <c r="F108" s="54"/>
      <c r="G108" s="54"/>
      <c r="H108" s="47"/>
      <c r="I108" s="54"/>
      <c r="J108" s="54"/>
      <c r="K108" s="47"/>
      <c r="L108" s="54"/>
      <c r="M108" s="54"/>
      <c r="N108" s="47"/>
      <c r="O108" s="54"/>
      <c r="P108" s="54"/>
      <c r="Q108" s="47"/>
      <c r="R108" s="54"/>
      <c r="S108" s="54"/>
      <c r="T108" s="47"/>
      <c r="U108" s="54"/>
      <c r="V108" s="54"/>
      <c r="W108" s="47"/>
      <c r="X108" s="54"/>
      <c r="Y108" s="54"/>
      <c r="Z108" s="47"/>
      <c r="AA108" s="54"/>
      <c r="AB108" s="54"/>
      <c r="AC108" s="47"/>
      <c r="AD108" s="54"/>
      <c r="AE108" s="73"/>
    </row>
    <row r="109" spans="1:31" s="57" customFormat="1" ht="13.5" x14ac:dyDescent="0.3">
      <c r="A109" s="54"/>
      <c r="B109" s="46"/>
      <c r="C109" s="54"/>
      <c r="D109" s="54"/>
      <c r="E109" s="47"/>
      <c r="F109" s="54"/>
      <c r="G109" s="54"/>
      <c r="H109" s="47"/>
      <c r="I109" s="54"/>
      <c r="J109" s="54"/>
      <c r="K109" s="47"/>
      <c r="L109" s="54"/>
      <c r="M109" s="54"/>
      <c r="N109" s="47"/>
      <c r="O109" s="54"/>
      <c r="P109" s="54"/>
      <c r="Q109" s="47"/>
      <c r="R109" s="54"/>
      <c r="S109" s="54"/>
      <c r="T109" s="47"/>
      <c r="U109" s="54"/>
      <c r="V109" s="54"/>
      <c r="W109" s="47"/>
      <c r="X109" s="54"/>
      <c r="Y109" s="54"/>
      <c r="Z109" s="47"/>
      <c r="AA109" s="54"/>
      <c r="AB109" s="54"/>
      <c r="AC109" s="47"/>
      <c r="AD109" s="54"/>
      <c r="AE109" s="73"/>
    </row>
    <row r="110" spans="1:31" s="57" customFormat="1" ht="13.5" x14ac:dyDescent="0.3">
      <c r="A110" s="54"/>
      <c r="B110" s="46"/>
      <c r="C110" s="54"/>
      <c r="D110" s="54"/>
      <c r="E110" s="47"/>
      <c r="F110" s="54"/>
      <c r="G110" s="54"/>
      <c r="H110" s="47"/>
      <c r="I110" s="54"/>
      <c r="J110" s="54"/>
      <c r="K110" s="47"/>
      <c r="L110" s="54"/>
      <c r="M110" s="54"/>
      <c r="N110" s="47"/>
      <c r="O110" s="54"/>
      <c r="P110" s="54"/>
      <c r="Q110" s="47"/>
      <c r="R110" s="54"/>
      <c r="S110" s="54"/>
      <c r="T110" s="47"/>
      <c r="U110" s="54"/>
      <c r="V110" s="54"/>
      <c r="W110" s="47"/>
      <c r="X110" s="54"/>
      <c r="Y110" s="54"/>
      <c r="Z110" s="47"/>
      <c r="AA110" s="54"/>
      <c r="AB110" s="54"/>
      <c r="AC110" s="47"/>
      <c r="AD110" s="54"/>
      <c r="AE110" s="73"/>
    </row>
    <row r="111" spans="1:31" s="57" customFormat="1" ht="13.5" x14ac:dyDescent="0.3">
      <c r="A111" s="54"/>
      <c r="B111" s="46"/>
      <c r="C111" s="54"/>
      <c r="D111" s="54"/>
      <c r="E111" s="47"/>
      <c r="F111" s="54"/>
      <c r="G111" s="54"/>
      <c r="H111" s="47"/>
      <c r="I111" s="54"/>
      <c r="J111" s="54"/>
      <c r="K111" s="47"/>
      <c r="L111" s="54"/>
      <c r="M111" s="54"/>
      <c r="N111" s="47"/>
      <c r="O111" s="54"/>
      <c r="P111" s="54"/>
      <c r="Q111" s="47"/>
      <c r="R111" s="54"/>
      <c r="S111" s="54"/>
      <c r="T111" s="47"/>
      <c r="U111" s="54"/>
      <c r="V111" s="54"/>
      <c r="W111" s="47"/>
      <c r="X111" s="54"/>
      <c r="Y111" s="54"/>
      <c r="Z111" s="47"/>
      <c r="AA111" s="54"/>
      <c r="AB111" s="54"/>
      <c r="AC111" s="47"/>
      <c r="AD111" s="54"/>
      <c r="AE111" s="73"/>
    </row>
    <row r="112" spans="1:31" s="57" customFormat="1" ht="13.5" x14ac:dyDescent="0.3">
      <c r="A112" s="54"/>
      <c r="B112" s="46"/>
      <c r="C112" s="54"/>
      <c r="D112" s="54"/>
      <c r="E112" s="47"/>
      <c r="F112" s="54"/>
      <c r="G112" s="54"/>
      <c r="H112" s="47"/>
      <c r="I112" s="54"/>
      <c r="J112" s="54"/>
      <c r="K112" s="47"/>
      <c r="L112" s="54"/>
      <c r="M112" s="54"/>
      <c r="N112" s="47"/>
      <c r="O112" s="54"/>
      <c r="P112" s="54"/>
      <c r="Q112" s="47"/>
      <c r="R112" s="54"/>
      <c r="S112" s="54"/>
      <c r="T112" s="47"/>
      <c r="U112" s="54"/>
      <c r="V112" s="54"/>
      <c r="W112" s="47"/>
      <c r="X112" s="54"/>
      <c r="Y112" s="54"/>
      <c r="Z112" s="47"/>
      <c r="AA112" s="54"/>
      <c r="AB112" s="54"/>
      <c r="AC112" s="47"/>
      <c r="AD112" s="54"/>
      <c r="AE112" s="73"/>
    </row>
    <row r="113" spans="1:31" s="57" customFormat="1" ht="13.5" x14ac:dyDescent="0.3">
      <c r="A113" s="54"/>
      <c r="B113" s="46"/>
      <c r="C113" s="54"/>
      <c r="D113" s="54"/>
      <c r="E113" s="47"/>
      <c r="F113" s="54"/>
      <c r="G113" s="54"/>
      <c r="H113" s="47"/>
      <c r="I113" s="54"/>
      <c r="J113" s="54"/>
      <c r="K113" s="47"/>
      <c r="L113" s="54"/>
      <c r="M113" s="54"/>
      <c r="N113" s="47"/>
      <c r="O113" s="54"/>
      <c r="P113" s="54"/>
      <c r="Q113" s="47"/>
      <c r="R113" s="54"/>
      <c r="S113" s="54"/>
      <c r="T113" s="47"/>
      <c r="U113" s="54"/>
      <c r="V113" s="54"/>
      <c r="W113" s="47"/>
      <c r="X113" s="54"/>
      <c r="Y113" s="54"/>
      <c r="Z113" s="47"/>
      <c r="AA113" s="54"/>
      <c r="AB113" s="54"/>
      <c r="AC113" s="47"/>
      <c r="AD113" s="54"/>
      <c r="AE113" s="73"/>
    </row>
    <row r="114" spans="1:31" s="57" customFormat="1" ht="13.5" x14ac:dyDescent="0.3">
      <c r="A114" s="54"/>
      <c r="B114" s="46"/>
      <c r="C114" s="54"/>
      <c r="D114" s="54"/>
      <c r="E114" s="47"/>
      <c r="F114" s="54"/>
      <c r="G114" s="54"/>
      <c r="H114" s="47"/>
      <c r="I114" s="54"/>
      <c r="J114" s="54"/>
      <c r="K114" s="47"/>
      <c r="L114" s="54"/>
      <c r="M114" s="54"/>
      <c r="N114" s="47"/>
      <c r="O114" s="54"/>
      <c r="P114" s="54"/>
      <c r="Q114" s="47"/>
      <c r="R114" s="54"/>
      <c r="S114" s="54"/>
      <c r="T114" s="47"/>
      <c r="U114" s="54"/>
      <c r="V114" s="54"/>
      <c r="W114" s="47"/>
      <c r="X114" s="54"/>
      <c r="Y114" s="54"/>
      <c r="Z114" s="47"/>
      <c r="AA114" s="54"/>
      <c r="AB114" s="54"/>
      <c r="AC114" s="47"/>
      <c r="AD114" s="54"/>
      <c r="AE114" s="73"/>
    </row>
    <row r="115" spans="1:31" s="57" customFormat="1" ht="13.5" x14ac:dyDescent="0.3">
      <c r="A115" s="54"/>
      <c r="B115" s="46"/>
      <c r="C115" s="54"/>
      <c r="D115" s="54"/>
      <c r="E115" s="47"/>
      <c r="F115" s="54"/>
      <c r="G115" s="54"/>
      <c r="H115" s="47"/>
      <c r="I115" s="54"/>
      <c r="J115" s="54"/>
      <c r="K115" s="47"/>
      <c r="L115" s="54"/>
      <c r="M115" s="54"/>
      <c r="N115" s="47"/>
      <c r="O115" s="54"/>
      <c r="P115" s="54"/>
      <c r="Q115" s="47"/>
      <c r="R115" s="54"/>
      <c r="S115" s="54"/>
      <c r="T115" s="47"/>
      <c r="U115" s="54"/>
      <c r="V115" s="54"/>
      <c r="W115" s="47"/>
      <c r="X115" s="54"/>
      <c r="Y115" s="54"/>
      <c r="Z115" s="47"/>
      <c r="AA115" s="54"/>
      <c r="AB115" s="54"/>
      <c r="AC115" s="47"/>
      <c r="AD115" s="54"/>
      <c r="AE115" s="73"/>
    </row>
    <row r="116" spans="1:31" s="57" customFormat="1" ht="13.5" x14ac:dyDescent="0.3">
      <c r="A116" s="54"/>
      <c r="B116" s="46"/>
      <c r="C116" s="54"/>
      <c r="D116" s="54"/>
      <c r="E116" s="47"/>
      <c r="F116" s="54"/>
      <c r="G116" s="54"/>
      <c r="H116" s="47"/>
      <c r="I116" s="54"/>
      <c r="J116" s="54"/>
      <c r="K116" s="47"/>
      <c r="L116" s="54"/>
      <c r="M116" s="54"/>
      <c r="N116" s="47"/>
      <c r="O116" s="54"/>
      <c r="P116" s="54"/>
      <c r="Q116" s="47"/>
      <c r="R116" s="54"/>
      <c r="S116" s="54"/>
      <c r="T116" s="47"/>
      <c r="U116" s="54"/>
      <c r="V116" s="54"/>
      <c r="W116" s="47"/>
      <c r="X116" s="54"/>
      <c r="Y116" s="54"/>
      <c r="Z116" s="47"/>
      <c r="AA116" s="54"/>
      <c r="AB116" s="54"/>
      <c r="AC116" s="47"/>
      <c r="AD116" s="54"/>
      <c r="AE116" s="73"/>
    </row>
    <row r="117" spans="1:31" s="57" customFormat="1" ht="13.5" x14ac:dyDescent="0.3">
      <c r="A117" s="54"/>
      <c r="B117" s="46"/>
      <c r="C117" s="54"/>
      <c r="D117" s="54"/>
      <c r="E117" s="47"/>
      <c r="F117" s="54"/>
      <c r="G117" s="54"/>
      <c r="H117" s="47"/>
      <c r="I117" s="54"/>
      <c r="J117" s="54"/>
      <c r="K117" s="47"/>
      <c r="L117" s="54"/>
      <c r="M117" s="54"/>
      <c r="N117" s="47"/>
      <c r="O117" s="54"/>
      <c r="P117" s="54"/>
      <c r="Q117" s="47"/>
      <c r="R117" s="54"/>
      <c r="S117" s="54"/>
      <c r="T117" s="47"/>
      <c r="U117" s="54"/>
      <c r="V117" s="54"/>
      <c r="W117" s="47"/>
      <c r="X117" s="54"/>
      <c r="Y117" s="54"/>
      <c r="Z117" s="47"/>
      <c r="AA117" s="54"/>
      <c r="AB117" s="54"/>
      <c r="AC117" s="47"/>
      <c r="AD117" s="54"/>
      <c r="AE117" s="73"/>
    </row>
    <row r="118" spans="1:31" s="57" customFormat="1" ht="13.5" x14ac:dyDescent="0.3">
      <c r="A118" s="54"/>
      <c r="B118" s="46"/>
      <c r="C118" s="54"/>
      <c r="D118" s="54"/>
      <c r="E118" s="47"/>
      <c r="F118" s="54"/>
      <c r="G118" s="54"/>
      <c r="H118" s="47"/>
      <c r="I118" s="54"/>
      <c r="J118" s="54"/>
      <c r="K118" s="47"/>
      <c r="L118" s="54"/>
      <c r="M118" s="54"/>
      <c r="N118" s="47"/>
      <c r="O118" s="54"/>
      <c r="P118" s="54"/>
      <c r="Q118" s="47"/>
      <c r="R118" s="54"/>
      <c r="S118" s="54"/>
      <c r="T118" s="47"/>
      <c r="U118" s="54"/>
      <c r="V118" s="54"/>
      <c r="W118" s="47"/>
      <c r="X118" s="54"/>
      <c r="Y118" s="54"/>
      <c r="Z118" s="47"/>
      <c r="AA118" s="54"/>
      <c r="AB118" s="54"/>
      <c r="AC118" s="47"/>
      <c r="AD118" s="54"/>
      <c r="AE118" s="73"/>
    </row>
    <row r="119" spans="1:31" s="57" customFormat="1" ht="13.5" x14ac:dyDescent="0.3">
      <c r="A119" s="54"/>
      <c r="B119" s="46"/>
      <c r="C119" s="54"/>
      <c r="D119" s="54"/>
      <c r="E119" s="47"/>
      <c r="F119" s="54"/>
      <c r="G119" s="54"/>
      <c r="H119" s="47"/>
      <c r="I119" s="54"/>
      <c r="J119" s="54"/>
      <c r="K119" s="47"/>
      <c r="L119" s="54"/>
      <c r="M119" s="54"/>
      <c r="N119" s="47"/>
      <c r="O119" s="54"/>
      <c r="P119" s="54"/>
      <c r="Q119" s="47"/>
      <c r="R119" s="54"/>
      <c r="S119" s="54"/>
      <c r="T119" s="47"/>
      <c r="U119" s="54"/>
      <c r="V119" s="54"/>
      <c r="W119" s="47"/>
      <c r="X119" s="54"/>
      <c r="Y119" s="54"/>
      <c r="Z119" s="47"/>
      <c r="AA119" s="54"/>
      <c r="AB119" s="54"/>
      <c r="AC119" s="47"/>
      <c r="AD119" s="54"/>
      <c r="AE119" s="73"/>
    </row>
    <row r="120" spans="1:31" s="57" customFormat="1" ht="13.5" x14ac:dyDescent="0.3">
      <c r="A120" s="54"/>
      <c r="B120" s="46"/>
      <c r="C120" s="54"/>
      <c r="D120" s="54"/>
      <c r="E120" s="47"/>
      <c r="F120" s="54"/>
      <c r="G120" s="54"/>
      <c r="H120" s="47"/>
      <c r="I120" s="54"/>
      <c r="J120" s="54"/>
      <c r="K120" s="47"/>
      <c r="L120" s="54"/>
      <c r="M120" s="54"/>
      <c r="N120" s="47"/>
      <c r="O120" s="54"/>
      <c r="P120" s="54"/>
      <c r="Q120" s="47"/>
      <c r="R120" s="54"/>
      <c r="S120" s="54"/>
      <c r="T120" s="47"/>
      <c r="U120" s="54"/>
      <c r="V120" s="54"/>
      <c r="W120" s="47"/>
      <c r="X120" s="54"/>
      <c r="Y120" s="54"/>
      <c r="Z120" s="47"/>
      <c r="AA120" s="54"/>
      <c r="AB120" s="54"/>
      <c r="AC120" s="47"/>
      <c r="AD120" s="54"/>
      <c r="AE120" s="73"/>
    </row>
    <row r="121" spans="1:31" s="57" customFormat="1" ht="13.5" x14ac:dyDescent="0.3">
      <c r="A121" s="54"/>
      <c r="B121" s="46"/>
      <c r="C121" s="54"/>
      <c r="D121" s="54"/>
      <c r="E121" s="47"/>
      <c r="F121" s="54"/>
      <c r="G121" s="54"/>
      <c r="H121" s="47"/>
      <c r="I121" s="54"/>
      <c r="J121" s="54"/>
      <c r="K121" s="47"/>
      <c r="L121" s="54"/>
      <c r="M121" s="54"/>
      <c r="N121" s="47"/>
      <c r="O121" s="54"/>
      <c r="P121" s="54"/>
      <c r="Q121" s="47"/>
      <c r="R121" s="54"/>
      <c r="S121" s="54"/>
      <c r="T121" s="47"/>
      <c r="U121" s="54"/>
      <c r="V121" s="54"/>
      <c r="W121" s="47"/>
      <c r="X121" s="54"/>
      <c r="Y121" s="54"/>
      <c r="Z121" s="47"/>
      <c r="AA121" s="54"/>
      <c r="AB121" s="54"/>
      <c r="AC121" s="47"/>
      <c r="AD121" s="54"/>
      <c r="AE121" s="73"/>
    </row>
    <row r="122" spans="1:31" s="57" customFormat="1" ht="13.5" x14ac:dyDescent="0.3">
      <c r="A122" s="54"/>
      <c r="B122" s="46"/>
      <c r="C122" s="54"/>
      <c r="D122" s="54"/>
      <c r="E122" s="47"/>
      <c r="F122" s="54"/>
      <c r="G122" s="54"/>
      <c r="H122" s="47"/>
      <c r="I122" s="54"/>
      <c r="J122" s="54"/>
      <c r="K122" s="47"/>
      <c r="L122" s="54"/>
      <c r="M122" s="54"/>
      <c r="N122" s="47"/>
      <c r="O122" s="54"/>
      <c r="P122" s="54"/>
      <c r="Q122" s="47"/>
      <c r="R122" s="54"/>
      <c r="S122" s="54"/>
      <c r="T122" s="47"/>
      <c r="U122" s="54"/>
      <c r="V122" s="54"/>
      <c r="W122" s="47"/>
      <c r="X122" s="54"/>
      <c r="Y122" s="54"/>
      <c r="Z122" s="47"/>
      <c r="AA122" s="54"/>
      <c r="AB122" s="54"/>
      <c r="AC122" s="47"/>
      <c r="AD122" s="54"/>
      <c r="AE122" s="73"/>
    </row>
    <row r="123" spans="1:31" s="57" customFormat="1" ht="13.5" x14ac:dyDescent="0.3">
      <c r="A123" s="54"/>
      <c r="B123" s="46"/>
      <c r="C123" s="54"/>
      <c r="D123" s="54"/>
      <c r="E123" s="47"/>
      <c r="F123" s="54"/>
      <c r="G123" s="54"/>
      <c r="H123" s="47"/>
      <c r="I123" s="54"/>
      <c r="J123" s="54"/>
      <c r="K123" s="47"/>
      <c r="L123" s="54"/>
      <c r="M123" s="54"/>
      <c r="N123" s="47"/>
      <c r="O123" s="54"/>
      <c r="P123" s="54"/>
      <c r="Q123" s="47"/>
      <c r="R123" s="54"/>
      <c r="S123" s="54"/>
      <c r="T123" s="47"/>
      <c r="U123" s="54"/>
      <c r="V123" s="54"/>
      <c r="W123" s="47"/>
      <c r="X123" s="54"/>
      <c r="Y123" s="54"/>
      <c r="Z123" s="47"/>
      <c r="AA123" s="54"/>
      <c r="AB123" s="54"/>
      <c r="AC123" s="47"/>
      <c r="AD123" s="54"/>
      <c r="AE123" s="73"/>
    </row>
    <row r="124" spans="1:31" s="57" customFormat="1" ht="13.5" x14ac:dyDescent="0.3">
      <c r="A124" s="54"/>
      <c r="B124" s="46"/>
      <c r="C124" s="54"/>
      <c r="D124" s="54"/>
      <c r="E124" s="47"/>
      <c r="F124" s="54"/>
      <c r="G124" s="54"/>
      <c r="H124" s="47"/>
      <c r="I124" s="54"/>
      <c r="J124" s="54"/>
      <c r="K124" s="47"/>
      <c r="L124" s="54"/>
      <c r="M124" s="54"/>
      <c r="N124" s="47"/>
      <c r="O124" s="54"/>
      <c r="P124" s="54"/>
      <c r="Q124" s="47"/>
      <c r="R124" s="54"/>
      <c r="S124" s="54"/>
      <c r="T124" s="47"/>
      <c r="U124" s="54"/>
      <c r="V124" s="54"/>
      <c r="W124" s="47"/>
      <c r="X124" s="54"/>
      <c r="Y124" s="54"/>
      <c r="Z124" s="47"/>
      <c r="AA124" s="54"/>
      <c r="AB124" s="54"/>
      <c r="AC124" s="47"/>
      <c r="AD124" s="54"/>
      <c r="AE124" s="73"/>
    </row>
    <row r="125" spans="1:31" s="57" customFormat="1" ht="13.5" x14ac:dyDescent="0.3">
      <c r="A125" s="54"/>
      <c r="B125" s="46"/>
      <c r="C125" s="54"/>
      <c r="D125" s="54"/>
      <c r="E125" s="47"/>
      <c r="F125" s="54"/>
      <c r="G125" s="54"/>
      <c r="H125" s="47"/>
      <c r="I125" s="54"/>
      <c r="J125" s="54"/>
      <c r="K125" s="47"/>
      <c r="L125" s="54"/>
      <c r="M125" s="54"/>
      <c r="N125" s="47"/>
      <c r="O125" s="54"/>
      <c r="P125" s="54"/>
      <c r="Q125" s="47"/>
      <c r="R125" s="54"/>
      <c r="S125" s="54"/>
      <c r="T125" s="47"/>
      <c r="U125" s="54"/>
      <c r="V125" s="54"/>
      <c r="W125" s="47"/>
      <c r="X125" s="54"/>
      <c r="Y125" s="54"/>
      <c r="Z125" s="47"/>
      <c r="AA125" s="54"/>
      <c r="AB125" s="54"/>
      <c r="AC125" s="47"/>
      <c r="AD125" s="54"/>
      <c r="AE125" s="73"/>
    </row>
    <row r="126" spans="1:31" s="57" customFormat="1" ht="13.5" x14ac:dyDescent="0.3">
      <c r="A126" s="54"/>
      <c r="B126" s="46"/>
      <c r="C126" s="54"/>
      <c r="D126" s="54"/>
      <c r="E126" s="47"/>
      <c r="F126" s="54"/>
      <c r="G126" s="54"/>
      <c r="H126" s="47"/>
      <c r="I126" s="54"/>
      <c r="J126" s="54"/>
      <c r="K126" s="47"/>
      <c r="L126" s="54"/>
      <c r="M126" s="54"/>
      <c r="N126" s="47"/>
      <c r="O126" s="54"/>
      <c r="P126" s="54"/>
      <c r="Q126" s="47"/>
      <c r="R126" s="54"/>
      <c r="S126" s="54"/>
      <c r="T126" s="47"/>
      <c r="U126" s="54"/>
      <c r="V126" s="54"/>
      <c r="W126" s="47"/>
      <c r="X126" s="54"/>
      <c r="Y126" s="54"/>
      <c r="Z126" s="47"/>
      <c r="AA126" s="54"/>
      <c r="AB126" s="54"/>
      <c r="AC126" s="47"/>
      <c r="AD126" s="54"/>
      <c r="AE126" s="73"/>
    </row>
    <row r="127" spans="1:31" s="57" customFormat="1" ht="13.5" x14ac:dyDescent="0.3">
      <c r="A127" s="54"/>
      <c r="B127" s="46"/>
      <c r="C127" s="54"/>
      <c r="D127" s="54"/>
      <c r="E127" s="47"/>
      <c r="F127" s="54"/>
      <c r="G127" s="54"/>
      <c r="H127" s="47"/>
      <c r="I127" s="54"/>
      <c r="J127" s="54"/>
      <c r="K127" s="47"/>
      <c r="L127" s="54"/>
      <c r="M127" s="54"/>
      <c r="N127" s="47"/>
      <c r="O127" s="54"/>
      <c r="P127" s="54"/>
      <c r="Q127" s="47"/>
      <c r="R127" s="54"/>
      <c r="S127" s="54"/>
      <c r="T127" s="47"/>
      <c r="U127" s="54"/>
      <c r="V127" s="54"/>
      <c r="W127" s="47"/>
      <c r="X127" s="54"/>
      <c r="Y127" s="54"/>
      <c r="Z127" s="47"/>
      <c r="AA127" s="54"/>
      <c r="AB127" s="54"/>
      <c r="AC127" s="47"/>
      <c r="AD127" s="54"/>
      <c r="AE127" s="73"/>
    </row>
    <row r="128" spans="1:31" s="57" customFormat="1" ht="13.5" x14ac:dyDescent="0.3">
      <c r="A128" s="54"/>
      <c r="B128" s="46"/>
      <c r="C128" s="54"/>
      <c r="D128" s="54"/>
      <c r="E128" s="47"/>
      <c r="F128" s="54"/>
      <c r="G128" s="54"/>
      <c r="H128" s="47"/>
      <c r="I128" s="54"/>
      <c r="J128" s="54"/>
      <c r="K128" s="47"/>
      <c r="L128" s="54"/>
      <c r="M128" s="54"/>
      <c r="N128" s="47"/>
      <c r="O128" s="54"/>
      <c r="P128" s="54"/>
      <c r="Q128" s="47"/>
      <c r="R128" s="54"/>
      <c r="S128" s="54"/>
      <c r="T128" s="47"/>
      <c r="U128" s="54"/>
      <c r="V128" s="54"/>
      <c r="W128" s="47"/>
      <c r="X128" s="54"/>
      <c r="Y128" s="54"/>
      <c r="Z128" s="47"/>
      <c r="AA128" s="54"/>
      <c r="AB128" s="54"/>
      <c r="AC128" s="47"/>
      <c r="AD128" s="54"/>
      <c r="AE128" s="73"/>
    </row>
    <row r="129" spans="1:31" s="57" customFormat="1" ht="13.5" x14ac:dyDescent="0.3">
      <c r="A129" s="54"/>
      <c r="B129" s="46"/>
      <c r="C129" s="54"/>
      <c r="D129" s="54"/>
      <c r="E129" s="47"/>
      <c r="F129" s="54"/>
      <c r="G129" s="54"/>
      <c r="H129" s="47"/>
      <c r="I129" s="54"/>
      <c r="J129" s="54"/>
      <c r="K129" s="47"/>
      <c r="L129" s="54"/>
      <c r="M129" s="54"/>
      <c r="N129" s="47"/>
      <c r="O129" s="54"/>
      <c r="P129" s="54"/>
      <c r="Q129" s="47"/>
      <c r="R129" s="54"/>
      <c r="S129" s="54"/>
      <c r="T129" s="47"/>
      <c r="U129" s="54"/>
      <c r="V129" s="54"/>
      <c r="W129" s="47"/>
      <c r="X129" s="54"/>
      <c r="Y129" s="54"/>
      <c r="Z129" s="47"/>
      <c r="AA129" s="54"/>
      <c r="AB129" s="54"/>
      <c r="AC129" s="47"/>
      <c r="AD129" s="54"/>
      <c r="AE129" s="73"/>
    </row>
    <row r="130" spans="1:31" s="57" customFormat="1" ht="13.5" x14ac:dyDescent="0.3">
      <c r="A130" s="54"/>
      <c r="B130" s="46"/>
      <c r="C130" s="54"/>
      <c r="D130" s="54"/>
      <c r="E130" s="47"/>
      <c r="F130" s="54"/>
      <c r="G130" s="54"/>
      <c r="H130" s="47"/>
      <c r="I130" s="54"/>
      <c r="J130" s="54"/>
      <c r="K130" s="47"/>
      <c r="L130" s="54"/>
      <c r="M130" s="54"/>
      <c r="N130" s="47"/>
      <c r="O130" s="54"/>
      <c r="P130" s="54"/>
      <c r="Q130" s="47"/>
      <c r="R130" s="54"/>
      <c r="S130" s="54"/>
      <c r="T130" s="47"/>
      <c r="U130" s="54"/>
      <c r="V130" s="54"/>
      <c r="W130" s="47"/>
      <c r="X130" s="54"/>
      <c r="Y130" s="54"/>
      <c r="Z130" s="47"/>
      <c r="AA130" s="54"/>
      <c r="AB130" s="54"/>
      <c r="AC130" s="47"/>
      <c r="AD130" s="54"/>
      <c r="AE130" s="73"/>
    </row>
    <row r="131" spans="1:31" s="57" customFormat="1" ht="13.5" x14ac:dyDescent="0.3">
      <c r="A131" s="54"/>
      <c r="B131" s="46"/>
      <c r="C131" s="54"/>
      <c r="D131" s="54"/>
      <c r="E131" s="47"/>
      <c r="F131" s="54"/>
      <c r="G131" s="54"/>
      <c r="H131" s="47"/>
      <c r="I131" s="54"/>
      <c r="J131" s="54"/>
      <c r="K131" s="47"/>
      <c r="L131" s="54"/>
      <c r="M131" s="54"/>
      <c r="N131" s="47"/>
      <c r="O131" s="54"/>
      <c r="P131" s="54"/>
      <c r="Q131" s="47"/>
      <c r="R131" s="54"/>
      <c r="S131" s="54"/>
      <c r="T131" s="47"/>
      <c r="U131" s="54"/>
      <c r="V131" s="54"/>
      <c r="W131" s="47"/>
      <c r="X131" s="54"/>
      <c r="Y131" s="54"/>
      <c r="Z131" s="47"/>
      <c r="AA131" s="54"/>
      <c r="AB131" s="54"/>
      <c r="AC131" s="47"/>
      <c r="AD131" s="54"/>
      <c r="AE131" s="73"/>
    </row>
    <row r="132" spans="1:31" s="57" customFormat="1" ht="13.5" x14ac:dyDescent="0.3">
      <c r="A132" s="54"/>
      <c r="B132" s="46"/>
      <c r="C132" s="54"/>
      <c r="D132" s="54"/>
      <c r="E132" s="47"/>
      <c r="F132" s="54"/>
      <c r="G132" s="54"/>
      <c r="H132" s="47"/>
      <c r="I132" s="54"/>
      <c r="J132" s="54"/>
      <c r="K132" s="47"/>
      <c r="L132" s="54"/>
      <c r="M132" s="54"/>
      <c r="N132" s="47"/>
      <c r="O132" s="54"/>
      <c r="P132" s="54"/>
      <c r="Q132" s="47"/>
      <c r="R132" s="54"/>
      <c r="S132" s="54"/>
      <c r="T132" s="47"/>
      <c r="U132" s="54"/>
      <c r="V132" s="54"/>
      <c r="W132" s="47"/>
      <c r="X132" s="54"/>
      <c r="Y132" s="54"/>
      <c r="Z132" s="47"/>
      <c r="AA132" s="54"/>
      <c r="AB132" s="54"/>
      <c r="AC132" s="47"/>
      <c r="AD132" s="54"/>
      <c r="AE132" s="73"/>
    </row>
    <row r="133" spans="1:31" s="57" customFormat="1" ht="13.5" x14ac:dyDescent="0.3">
      <c r="A133" s="54"/>
      <c r="B133" s="46"/>
      <c r="C133" s="54"/>
      <c r="D133" s="54"/>
      <c r="E133" s="47"/>
      <c r="F133" s="54"/>
      <c r="G133" s="54"/>
      <c r="H133" s="47"/>
      <c r="I133" s="54"/>
      <c r="J133" s="54"/>
      <c r="K133" s="47"/>
      <c r="L133" s="54"/>
      <c r="M133" s="54"/>
      <c r="N133" s="47"/>
      <c r="O133" s="54"/>
      <c r="P133" s="54"/>
      <c r="Q133" s="47"/>
      <c r="R133" s="54"/>
      <c r="S133" s="54"/>
      <c r="T133" s="47"/>
      <c r="U133" s="54"/>
      <c r="V133" s="54"/>
      <c r="W133" s="47"/>
      <c r="X133" s="54"/>
      <c r="Y133" s="54"/>
      <c r="Z133" s="47"/>
      <c r="AA133" s="54"/>
      <c r="AB133" s="54"/>
      <c r="AC133" s="47"/>
      <c r="AD133" s="54"/>
      <c r="AE133" s="73"/>
    </row>
    <row r="134" spans="1:31" s="57" customFormat="1" ht="13.5" x14ac:dyDescent="0.3">
      <c r="A134" s="54"/>
      <c r="B134" s="46"/>
      <c r="C134" s="54"/>
      <c r="D134" s="54"/>
      <c r="E134" s="47"/>
      <c r="F134" s="54"/>
      <c r="G134" s="54"/>
      <c r="H134" s="47"/>
      <c r="I134" s="54"/>
      <c r="J134" s="54"/>
      <c r="K134" s="47"/>
      <c r="L134" s="54"/>
      <c r="M134" s="54"/>
      <c r="N134" s="47"/>
      <c r="O134" s="54"/>
      <c r="P134" s="54"/>
      <c r="Q134" s="47"/>
      <c r="R134" s="54"/>
      <c r="S134" s="54"/>
      <c r="T134" s="47"/>
      <c r="U134" s="54"/>
      <c r="V134" s="54"/>
      <c r="W134" s="47"/>
      <c r="X134" s="54"/>
      <c r="Y134" s="54"/>
      <c r="Z134" s="47"/>
      <c r="AA134" s="54"/>
      <c r="AB134" s="54"/>
      <c r="AC134" s="47"/>
      <c r="AD134" s="54"/>
      <c r="AE134" s="73"/>
    </row>
    <row r="135" spans="1:31" s="57" customFormat="1" ht="13.5" x14ac:dyDescent="0.3">
      <c r="A135" s="54"/>
      <c r="B135" s="46"/>
      <c r="C135" s="54"/>
      <c r="D135" s="54"/>
      <c r="E135" s="47"/>
      <c r="F135" s="54"/>
      <c r="G135" s="54"/>
      <c r="H135" s="47"/>
      <c r="I135" s="54"/>
      <c r="J135" s="54"/>
      <c r="K135" s="47"/>
      <c r="L135" s="54"/>
      <c r="M135" s="54"/>
      <c r="N135" s="47"/>
      <c r="O135" s="54"/>
      <c r="P135" s="54"/>
      <c r="Q135" s="47"/>
      <c r="R135" s="54"/>
      <c r="S135" s="54"/>
      <c r="T135" s="47"/>
      <c r="U135" s="54"/>
      <c r="V135" s="54"/>
      <c r="W135" s="47"/>
      <c r="X135" s="54"/>
      <c r="Y135" s="54"/>
      <c r="Z135" s="47"/>
      <c r="AA135" s="54"/>
      <c r="AB135" s="54"/>
      <c r="AC135" s="47"/>
      <c r="AD135" s="54"/>
      <c r="AE135" s="73"/>
    </row>
    <row r="136" spans="1:31" s="57" customFormat="1" ht="13.5" x14ac:dyDescent="0.3">
      <c r="A136" s="54"/>
      <c r="B136" s="46"/>
      <c r="C136" s="54"/>
      <c r="D136" s="54"/>
      <c r="E136" s="47"/>
      <c r="F136" s="54"/>
      <c r="G136" s="54"/>
      <c r="H136" s="47"/>
      <c r="I136" s="54"/>
      <c r="J136" s="54"/>
      <c r="K136" s="47"/>
      <c r="L136" s="54"/>
      <c r="M136" s="54"/>
      <c r="N136" s="47"/>
      <c r="O136" s="54"/>
      <c r="P136" s="54"/>
      <c r="Q136" s="47"/>
      <c r="R136" s="54"/>
      <c r="S136" s="54"/>
      <c r="T136" s="47"/>
      <c r="U136" s="54"/>
      <c r="V136" s="54"/>
      <c r="W136" s="47"/>
      <c r="X136" s="54"/>
      <c r="Y136" s="54"/>
      <c r="Z136" s="47"/>
      <c r="AA136" s="54"/>
      <c r="AB136" s="54"/>
      <c r="AC136" s="47"/>
      <c r="AD136" s="54"/>
      <c r="AE136" s="73"/>
    </row>
    <row r="137" spans="1:31" s="57" customFormat="1" ht="13.5" x14ac:dyDescent="0.3">
      <c r="A137" s="54"/>
      <c r="B137" s="46"/>
      <c r="C137" s="54"/>
      <c r="D137" s="54"/>
      <c r="E137" s="47"/>
      <c r="F137" s="54"/>
      <c r="G137" s="54"/>
      <c r="H137" s="47"/>
      <c r="I137" s="54"/>
      <c r="J137" s="54"/>
      <c r="K137" s="47"/>
      <c r="L137" s="54"/>
      <c r="M137" s="54"/>
      <c r="N137" s="47"/>
      <c r="O137" s="54"/>
      <c r="P137" s="54"/>
      <c r="Q137" s="47"/>
      <c r="R137" s="54"/>
      <c r="S137" s="54"/>
      <c r="T137" s="47"/>
      <c r="U137" s="54"/>
      <c r="V137" s="54"/>
      <c r="W137" s="47"/>
      <c r="X137" s="54"/>
      <c r="Y137" s="54"/>
      <c r="Z137" s="47"/>
      <c r="AA137" s="54"/>
      <c r="AB137" s="54"/>
      <c r="AC137" s="47"/>
      <c r="AD137" s="54"/>
      <c r="AE137" s="73"/>
    </row>
    <row r="138" spans="1:31" s="57" customFormat="1" ht="13.5" x14ac:dyDescent="0.3">
      <c r="A138" s="54"/>
      <c r="B138" s="46"/>
      <c r="C138" s="54"/>
      <c r="D138" s="54"/>
      <c r="E138" s="47"/>
      <c r="F138" s="54"/>
      <c r="G138" s="54"/>
      <c r="H138" s="47"/>
      <c r="I138" s="54"/>
      <c r="J138" s="54"/>
      <c r="K138" s="47"/>
      <c r="L138" s="54"/>
      <c r="M138" s="54"/>
      <c r="N138" s="47"/>
      <c r="O138" s="54"/>
      <c r="P138" s="54"/>
      <c r="Q138" s="47"/>
      <c r="R138" s="54"/>
      <c r="S138" s="54"/>
      <c r="T138" s="47"/>
      <c r="U138" s="54"/>
      <c r="V138" s="54"/>
      <c r="W138" s="47"/>
      <c r="X138" s="54"/>
      <c r="Y138" s="54"/>
      <c r="Z138" s="47"/>
      <c r="AA138" s="54"/>
      <c r="AB138" s="54"/>
      <c r="AC138" s="47"/>
      <c r="AD138" s="54"/>
      <c r="AE138" s="73"/>
    </row>
    <row r="139" spans="1:31" s="57" customFormat="1" ht="13.5" x14ac:dyDescent="0.3">
      <c r="A139" s="54"/>
      <c r="B139" s="46"/>
      <c r="C139" s="54"/>
      <c r="D139" s="54"/>
      <c r="E139" s="47"/>
      <c r="F139" s="54"/>
      <c r="G139" s="54"/>
      <c r="H139" s="47"/>
      <c r="I139" s="54"/>
      <c r="J139" s="54"/>
      <c r="K139" s="47"/>
      <c r="L139" s="54"/>
      <c r="M139" s="54"/>
      <c r="N139" s="47"/>
      <c r="O139" s="54"/>
      <c r="P139" s="54"/>
      <c r="Q139" s="47"/>
      <c r="R139" s="54"/>
      <c r="S139" s="54"/>
      <c r="T139" s="47"/>
      <c r="U139" s="54"/>
      <c r="V139" s="54"/>
      <c r="W139" s="47"/>
      <c r="X139" s="54"/>
      <c r="Y139" s="54"/>
      <c r="Z139" s="47"/>
      <c r="AA139" s="54"/>
      <c r="AB139" s="54"/>
      <c r="AC139" s="47"/>
      <c r="AD139" s="54"/>
      <c r="AE139" s="73"/>
    </row>
    <row r="140" spans="1:31" s="57" customFormat="1" ht="13.5" x14ac:dyDescent="0.3">
      <c r="A140" s="54"/>
      <c r="B140" s="46"/>
      <c r="C140" s="54"/>
      <c r="D140" s="54"/>
      <c r="E140" s="47"/>
      <c r="F140" s="54"/>
      <c r="G140" s="54"/>
      <c r="H140" s="47"/>
      <c r="I140" s="54"/>
      <c r="J140" s="54"/>
      <c r="K140" s="47"/>
      <c r="L140" s="54"/>
      <c r="M140" s="54"/>
      <c r="N140" s="47"/>
      <c r="O140" s="54"/>
      <c r="P140" s="54"/>
      <c r="Q140" s="47"/>
      <c r="R140" s="54"/>
      <c r="S140" s="54"/>
      <c r="T140" s="47"/>
      <c r="U140" s="54"/>
      <c r="V140" s="54"/>
      <c r="W140" s="47"/>
      <c r="X140" s="54"/>
      <c r="Y140" s="54"/>
      <c r="Z140" s="47"/>
      <c r="AA140" s="54"/>
      <c r="AB140" s="54"/>
      <c r="AC140" s="47"/>
      <c r="AD140" s="54"/>
      <c r="AE140" s="73"/>
    </row>
    <row r="141" spans="1:31" s="57" customFormat="1" ht="13.5" x14ac:dyDescent="0.3">
      <c r="A141" s="54"/>
      <c r="B141" s="46"/>
      <c r="C141" s="54"/>
      <c r="D141" s="54"/>
      <c r="E141" s="47"/>
      <c r="F141" s="54"/>
      <c r="G141" s="54"/>
      <c r="H141" s="47"/>
      <c r="I141" s="54"/>
      <c r="J141" s="54"/>
      <c r="K141" s="47"/>
      <c r="L141" s="54"/>
      <c r="M141" s="54"/>
      <c r="N141" s="47"/>
      <c r="O141" s="54"/>
      <c r="P141" s="54"/>
      <c r="Q141" s="47"/>
      <c r="R141" s="54"/>
      <c r="S141" s="54"/>
      <c r="T141" s="47"/>
      <c r="U141" s="54"/>
      <c r="V141" s="54"/>
      <c r="W141" s="47"/>
      <c r="X141" s="54"/>
      <c r="Y141" s="54"/>
      <c r="Z141" s="47"/>
      <c r="AA141" s="54"/>
      <c r="AB141" s="54"/>
      <c r="AC141" s="47"/>
      <c r="AD141" s="54"/>
      <c r="AE141" s="73"/>
    </row>
    <row r="142" spans="1:31" s="57" customFormat="1" ht="13.5" x14ac:dyDescent="0.3">
      <c r="A142" s="54"/>
      <c r="B142" s="46"/>
      <c r="C142" s="54"/>
      <c r="D142" s="54"/>
      <c r="E142" s="47"/>
      <c r="F142" s="54"/>
      <c r="G142" s="54"/>
      <c r="H142" s="47"/>
      <c r="I142" s="54"/>
      <c r="J142" s="54"/>
      <c r="K142" s="47"/>
      <c r="L142" s="54"/>
      <c r="M142" s="54"/>
      <c r="N142" s="47"/>
      <c r="O142" s="54"/>
      <c r="P142" s="54"/>
      <c r="Q142" s="47"/>
      <c r="R142" s="54"/>
      <c r="S142" s="54"/>
      <c r="T142" s="47"/>
      <c r="U142" s="54"/>
      <c r="V142" s="54"/>
      <c r="W142" s="47"/>
      <c r="X142" s="54"/>
      <c r="Y142" s="54"/>
      <c r="Z142" s="47"/>
      <c r="AA142" s="54"/>
      <c r="AB142" s="54"/>
      <c r="AC142" s="47"/>
      <c r="AD142" s="54"/>
      <c r="AE142" s="73"/>
    </row>
    <row r="143" spans="1:31" s="57" customFormat="1" ht="13.5" x14ac:dyDescent="0.3">
      <c r="A143" s="54"/>
      <c r="B143" s="46"/>
      <c r="C143" s="54"/>
      <c r="D143" s="54"/>
      <c r="E143" s="47"/>
      <c r="F143" s="54"/>
      <c r="G143" s="54"/>
      <c r="H143" s="47"/>
      <c r="I143" s="54"/>
      <c r="J143" s="54"/>
      <c r="K143" s="47"/>
      <c r="L143" s="54"/>
      <c r="M143" s="54"/>
      <c r="N143" s="47"/>
      <c r="O143" s="54"/>
      <c r="P143" s="54"/>
      <c r="Q143" s="47"/>
      <c r="R143" s="54"/>
      <c r="S143" s="54"/>
      <c r="T143" s="47"/>
      <c r="U143" s="54"/>
      <c r="V143" s="54"/>
      <c r="W143" s="47"/>
      <c r="X143" s="54"/>
      <c r="Y143" s="54"/>
      <c r="Z143" s="47"/>
      <c r="AA143" s="54"/>
      <c r="AB143" s="54"/>
      <c r="AC143" s="47"/>
      <c r="AD143" s="54"/>
      <c r="AE143" s="73"/>
    </row>
    <row r="144" spans="1:31" s="57" customFormat="1" ht="13.5" x14ac:dyDescent="0.3">
      <c r="A144" s="54"/>
      <c r="B144" s="46"/>
      <c r="C144" s="54"/>
      <c r="D144" s="54"/>
      <c r="E144" s="47"/>
      <c r="F144" s="54"/>
      <c r="G144" s="54"/>
      <c r="H144" s="47"/>
      <c r="I144" s="54"/>
      <c r="J144" s="54"/>
      <c r="K144" s="47"/>
      <c r="L144" s="54"/>
      <c r="M144" s="54"/>
      <c r="N144" s="47"/>
      <c r="O144" s="54"/>
      <c r="P144" s="54"/>
      <c r="Q144" s="47"/>
      <c r="R144" s="54"/>
      <c r="S144" s="54"/>
      <c r="T144" s="47"/>
      <c r="U144" s="54"/>
      <c r="V144" s="54"/>
      <c r="W144" s="47"/>
      <c r="X144" s="54"/>
      <c r="Y144" s="54"/>
      <c r="Z144" s="47"/>
      <c r="AA144" s="54"/>
      <c r="AB144" s="54"/>
      <c r="AC144" s="47"/>
      <c r="AD144" s="54"/>
      <c r="AE144" s="73"/>
    </row>
    <row r="145" spans="1:31" s="57" customFormat="1" ht="13.5" x14ac:dyDescent="0.3">
      <c r="A145" s="54"/>
      <c r="B145" s="46"/>
      <c r="C145" s="54"/>
      <c r="D145" s="54"/>
      <c r="E145" s="47"/>
      <c r="F145" s="54"/>
      <c r="G145" s="54"/>
      <c r="H145" s="47"/>
      <c r="I145" s="54"/>
      <c r="J145" s="54"/>
      <c r="K145" s="47"/>
      <c r="L145" s="54"/>
      <c r="M145" s="54"/>
      <c r="N145" s="47"/>
      <c r="O145" s="54"/>
      <c r="P145" s="54"/>
      <c r="Q145" s="47"/>
      <c r="R145" s="54"/>
      <c r="S145" s="54"/>
      <c r="T145" s="47"/>
      <c r="U145" s="54"/>
      <c r="V145" s="54"/>
      <c r="W145" s="47"/>
      <c r="X145" s="54"/>
      <c r="Y145" s="54"/>
      <c r="Z145" s="47"/>
      <c r="AA145" s="54"/>
      <c r="AB145" s="54"/>
      <c r="AC145" s="47"/>
      <c r="AD145" s="54"/>
      <c r="AE145" s="73"/>
    </row>
    <row r="146" spans="1:31" s="57" customFormat="1" ht="13.5" x14ac:dyDescent="0.3">
      <c r="A146" s="54"/>
      <c r="B146" s="46"/>
      <c r="C146" s="54"/>
      <c r="D146" s="54"/>
      <c r="E146" s="47"/>
      <c r="F146" s="54"/>
      <c r="G146" s="54"/>
      <c r="H146" s="47"/>
      <c r="I146" s="54"/>
      <c r="J146" s="54"/>
      <c r="K146" s="47"/>
      <c r="L146" s="54"/>
      <c r="M146" s="54"/>
      <c r="N146" s="47"/>
      <c r="O146" s="54"/>
      <c r="P146" s="54"/>
      <c r="Q146" s="47"/>
      <c r="R146" s="54"/>
      <c r="S146" s="54"/>
      <c r="T146" s="47"/>
      <c r="U146" s="54"/>
      <c r="V146" s="54"/>
      <c r="W146" s="47"/>
      <c r="X146" s="54"/>
      <c r="Y146" s="54"/>
      <c r="Z146" s="47"/>
      <c r="AA146" s="54"/>
      <c r="AB146" s="54"/>
      <c r="AC146" s="47"/>
      <c r="AD146" s="54"/>
      <c r="AE146" s="73"/>
    </row>
    <row r="147" spans="1:31" s="57" customFormat="1" ht="13.5" x14ac:dyDescent="0.3">
      <c r="A147" s="54"/>
      <c r="B147" s="46"/>
      <c r="C147" s="54"/>
      <c r="D147" s="54"/>
      <c r="E147" s="47"/>
      <c r="F147" s="54"/>
      <c r="G147" s="54"/>
      <c r="H147" s="47"/>
      <c r="I147" s="54"/>
      <c r="J147" s="54"/>
      <c r="K147" s="47"/>
      <c r="L147" s="54"/>
      <c r="M147" s="54"/>
      <c r="N147" s="47"/>
      <c r="O147" s="54"/>
      <c r="P147" s="54"/>
      <c r="Q147" s="47"/>
      <c r="R147" s="54"/>
      <c r="S147" s="54"/>
      <c r="T147" s="47"/>
      <c r="U147" s="54"/>
      <c r="V147" s="54"/>
      <c r="W147" s="47"/>
      <c r="X147" s="54"/>
      <c r="Y147" s="54"/>
      <c r="Z147" s="47"/>
      <c r="AA147" s="54"/>
      <c r="AB147" s="54"/>
      <c r="AC147" s="47"/>
      <c r="AD147" s="54"/>
      <c r="AE147" s="73"/>
    </row>
    <row r="148" spans="1:31" s="57" customFormat="1" ht="13.5" x14ac:dyDescent="0.3">
      <c r="A148" s="54"/>
      <c r="B148" s="46"/>
      <c r="C148" s="54"/>
      <c r="D148" s="54"/>
      <c r="E148" s="47"/>
      <c r="F148" s="54"/>
      <c r="G148" s="54"/>
      <c r="H148" s="47"/>
      <c r="I148" s="54"/>
      <c r="J148" s="54"/>
      <c r="K148" s="47"/>
      <c r="L148" s="54"/>
      <c r="M148" s="54"/>
      <c r="N148" s="47"/>
      <c r="O148" s="54"/>
      <c r="P148" s="54"/>
      <c r="Q148" s="47"/>
      <c r="R148" s="54"/>
      <c r="S148" s="54"/>
      <c r="T148" s="47"/>
      <c r="U148" s="54"/>
      <c r="V148" s="54"/>
      <c r="W148" s="47"/>
      <c r="X148" s="54"/>
      <c r="Y148" s="54"/>
      <c r="Z148" s="47"/>
      <c r="AA148" s="54"/>
      <c r="AB148" s="54"/>
      <c r="AC148" s="47"/>
      <c r="AD148" s="54"/>
      <c r="AE148" s="73"/>
    </row>
    <row r="149" spans="1:31" s="57" customFormat="1" ht="13.5" x14ac:dyDescent="0.3">
      <c r="A149" s="54"/>
      <c r="B149" s="46"/>
      <c r="C149" s="54"/>
      <c r="D149" s="54"/>
      <c r="E149" s="47"/>
      <c r="F149" s="54"/>
      <c r="G149" s="54"/>
      <c r="H149" s="47"/>
      <c r="I149" s="54"/>
      <c r="J149" s="54"/>
      <c r="K149" s="47"/>
      <c r="L149" s="54"/>
      <c r="M149" s="54"/>
      <c r="N149" s="47"/>
      <c r="O149" s="54"/>
      <c r="P149" s="54"/>
      <c r="Q149" s="47"/>
      <c r="R149" s="54"/>
      <c r="S149" s="54"/>
      <c r="T149" s="47"/>
      <c r="U149" s="54"/>
      <c r="V149" s="54"/>
      <c r="W149" s="47"/>
      <c r="X149" s="54"/>
      <c r="Y149" s="54"/>
      <c r="Z149" s="47"/>
      <c r="AA149" s="54"/>
      <c r="AB149" s="54"/>
      <c r="AC149" s="47"/>
      <c r="AD149" s="54"/>
      <c r="AE149" s="73"/>
    </row>
    <row r="150" spans="1:31" s="57" customFormat="1" ht="13.5" x14ac:dyDescent="0.3">
      <c r="A150" s="54"/>
      <c r="B150" s="46"/>
      <c r="C150" s="54"/>
      <c r="D150" s="54"/>
      <c r="E150" s="47"/>
      <c r="F150" s="54"/>
      <c r="G150" s="54"/>
      <c r="H150" s="47"/>
      <c r="I150" s="54"/>
      <c r="J150" s="54"/>
      <c r="K150" s="47"/>
      <c r="L150" s="54"/>
      <c r="M150" s="54"/>
      <c r="N150" s="47"/>
      <c r="O150" s="54"/>
      <c r="P150" s="54"/>
      <c r="Q150" s="47"/>
      <c r="R150" s="54"/>
      <c r="S150" s="54"/>
      <c r="T150" s="47"/>
      <c r="U150" s="54"/>
      <c r="V150" s="54"/>
      <c r="W150" s="47"/>
      <c r="X150" s="54"/>
      <c r="Y150" s="54"/>
      <c r="Z150" s="47"/>
      <c r="AA150" s="54"/>
      <c r="AB150" s="54"/>
      <c r="AC150" s="47"/>
      <c r="AD150" s="54"/>
      <c r="AE150" s="73"/>
    </row>
    <row r="151" spans="1:31" s="57" customFormat="1" ht="13.5" x14ac:dyDescent="0.3">
      <c r="A151" s="54"/>
      <c r="B151" s="46"/>
      <c r="C151" s="54"/>
      <c r="D151" s="54"/>
      <c r="E151" s="47"/>
      <c r="F151" s="54"/>
      <c r="G151" s="54"/>
      <c r="H151" s="47"/>
      <c r="I151" s="54"/>
      <c r="J151" s="54"/>
      <c r="K151" s="47"/>
      <c r="L151" s="54"/>
      <c r="M151" s="54"/>
      <c r="N151" s="47"/>
      <c r="O151" s="54"/>
      <c r="P151" s="54"/>
      <c r="Q151" s="47"/>
      <c r="R151" s="54"/>
      <c r="S151" s="54"/>
      <c r="T151" s="47"/>
      <c r="U151" s="54"/>
      <c r="V151" s="54"/>
      <c r="W151" s="47"/>
      <c r="X151" s="54"/>
      <c r="Y151" s="54"/>
      <c r="Z151" s="47"/>
      <c r="AA151" s="54"/>
      <c r="AB151" s="54"/>
      <c r="AC151" s="47"/>
      <c r="AD151" s="54"/>
      <c r="AE151" s="73"/>
    </row>
    <row r="152" spans="1:31" s="57" customFormat="1" ht="13.5" x14ac:dyDescent="0.3">
      <c r="A152" s="54"/>
      <c r="B152" s="46"/>
      <c r="C152" s="54"/>
      <c r="D152" s="54"/>
      <c r="E152" s="47"/>
      <c r="F152" s="54"/>
      <c r="G152" s="54"/>
      <c r="H152" s="47"/>
      <c r="I152" s="54"/>
      <c r="J152" s="54"/>
      <c r="K152" s="47"/>
      <c r="L152" s="54"/>
      <c r="M152" s="54"/>
      <c r="N152" s="47"/>
      <c r="O152" s="54"/>
      <c r="P152" s="54"/>
      <c r="Q152" s="47"/>
      <c r="R152" s="54"/>
      <c r="S152" s="54"/>
      <c r="T152" s="47"/>
      <c r="U152" s="54"/>
      <c r="V152" s="54"/>
      <c r="W152" s="47"/>
      <c r="X152" s="54"/>
      <c r="Y152" s="54"/>
      <c r="Z152" s="47"/>
      <c r="AA152" s="54"/>
      <c r="AB152" s="54"/>
      <c r="AC152" s="47"/>
      <c r="AD152" s="54"/>
      <c r="AE152" s="73"/>
    </row>
    <row r="153" spans="1:31" s="57" customFormat="1" ht="13.5" x14ac:dyDescent="0.3">
      <c r="A153" s="54"/>
      <c r="B153" s="46"/>
      <c r="C153" s="54"/>
      <c r="D153" s="54"/>
      <c r="E153" s="47"/>
      <c r="F153" s="54"/>
      <c r="G153" s="54"/>
      <c r="H153" s="47"/>
      <c r="I153" s="54"/>
      <c r="J153" s="54"/>
      <c r="K153" s="47"/>
      <c r="L153" s="54"/>
      <c r="M153" s="54"/>
      <c r="N153" s="47"/>
      <c r="O153" s="54"/>
      <c r="P153" s="54"/>
      <c r="Q153" s="47"/>
      <c r="R153" s="54"/>
      <c r="S153" s="54"/>
      <c r="T153" s="47"/>
      <c r="U153" s="54"/>
      <c r="V153" s="54"/>
      <c r="W153" s="47"/>
      <c r="X153" s="54"/>
      <c r="Y153" s="54"/>
      <c r="Z153" s="47"/>
      <c r="AA153" s="54"/>
      <c r="AB153" s="54"/>
      <c r="AC153" s="47"/>
      <c r="AD153" s="54"/>
      <c r="AE153" s="73"/>
    </row>
    <row r="154" spans="1:31" s="57" customFormat="1" ht="13.5" x14ac:dyDescent="0.3">
      <c r="A154" s="54"/>
      <c r="B154" s="46"/>
      <c r="C154" s="54"/>
      <c r="D154" s="54"/>
      <c r="E154" s="47"/>
      <c r="F154" s="54"/>
      <c r="G154" s="54"/>
      <c r="H154" s="47"/>
      <c r="I154" s="54"/>
      <c r="J154" s="54"/>
      <c r="K154" s="47"/>
      <c r="L154" s="54"/>
      <c r="M154" s="54"/>
      <c r="N154" s="47"/>
      <c r="O154" s="54"/>
      <c r="P154" s="54"/>
      <c r="Q154" s="47"/>
      <c r="R154" s="54"/>
      <c r="S154" s="54"/>
      <c r="T154" s="47"/>
      <c r="U154" s="54"/>
      <c r="V154" s="54"/>
      <c r="W154" s="47"/>
      <c r="X154" s="54"/>
      <c r="Y154" s="54"/>
      <c r="Z154" s="47"/>
      <c r="AA154" s="54"/>
      <c r="AB154" s="54"/>
      <c r="AC154" s="47"/>
      <c r="AD154" s="54"/>
      <c r="AE154" s="73"/>
    </row>
    <row r="155" spans="1:31" s="57" customFormat="1" ht="13.5" x14ac:dyDescent="0.3">
      <c r="A155" s="54"/>
      <c r="B155" s="46"/>
      <c r="C155" s="54"/>
      <c r="D155" s="54"/>
      <c r="E155" s="47"/>
      <c r="F155" s="54"/>
      <c r="G155" s="54"/>
      <c r="H155" s="47"/>
      <c r="I155" s="54"/>
      <c r="J155" s="54"/>
      <c r="K155" s="47"/>
      <c r="L155" s="54"/>
      <c r="M155" s="54"/>
      <c r="N155" s="47"/>
      <c r="O155" s="54"/>
      <c r="P155" s="54"/>
      <c r="Q155" s="47"/>
      <c r="R155" s="54"/>
      <c r="S155" s="54"/>
      <c r="T155" s="47"/>
      <c r="U155" s="54"/>
      <c r="V155" s="54"/>
      <c r="W155" s="47"/>
      <c r="X155" s="54"/>
      <c r="Y155" s="54"/>
      <c r="Z155" s="47"/>
      <c r="AA155" s="54"/>
      <c r="AB155" s="54"/>
      <c r="AC155" s="47"/>
      <c r="AD155" s="54"/>
      <c r="AE155" s="73"/>
    </row>
    <row r="156" spans="1:31" s="57" customFormat="1" ht="13.5" x14ac:dyDescent="0.3">
      <c r="A156" s="54"/>
      <c r="B156" s="46"/>
      <c r="C156" s="54"/>
      <c r="D156" s="54"/>
      <c r="E156" s="47"/>
      <c r="F156" s="54"/>
      <c r="G156" s="54"/>
      <c r="H156" s="47"/>
      <c r="I156" s="54"/>
      <c r="J156" s="54"/>
      <c r="K156" s="47"/>
      <c r="L156" s="54"/>
      <c r="M156" s="54"/>
      <c r="N156" s="47"/>
      <c r="O156" s="54"/>
      <c r="P156" s="54"/>
      <c r="Q156" s="47"/>
      <c r="R156" s="54"/>
      <c r="S156" s="54"/>
      <c r="T156" s="47"/>
      <c r="U156" s="54"/>
      <c r="V156" s="54"/>
      <c r="W156" s="47"/>
      <c r="X156" s="54"/>
      <c r="Y156" s="54"/>
      <c r="Z156" s="47"/>
      <c r="AA156" s="54"/>
      <c r="AB156" s="54"/>
      <c r="AC156" s="47"/>
      <c r="AD156" s="54"/>
      <c r="AE156" s="73"/>
    </row>
    <row r="157" spans="1:31" s="57" customFormat="1" ht="13.5" x14ac:dyDescent="0.3">
      <c r="A157" s="54"/>
      <c r="B157" s="46"/>
      <c r="C157" s="54"/>
      <c r="D157" s="54"/>
      <c r="E157" s="47"/>
      <c r="F157" s="54"/>
      <c r="G157" s="54"/>
      <c r="H157" s="47"/>
      <c r="I157" s="54"/>
      <c r="J157" s="54"/>
      <c r="K157" s="47"/>
      <c r="L157" s="54"/>
      <c r="M157" s="54"/>
      <c r="N157" s="47"/>
      <c r="O157" s="54"/>
      <c r="P157" s="54"/>
      <c r="Q157" s="47"/>
      <c r="R157" s="54"/>
      <c r="S157" s="54"/>
      <c r="T157" s="47"/>
      <c r="U157" s="54"/>
      <c r="V157" s="54"/>
      <c r="W157" s="47"/>
      <c r="X157" s="54"/>
      <c r="Y157" s="54"/>
      <c r="Z157" s="47"/>
      <c r="AA157" s="54"/>
      <c r="AB157" s="54"/>
      <c r="AC157" s="47"/>
      <c r="AD157" s="54"/>
      <c r="AE157" s="73"/>
    </row>
    <row r="158" spans="1:31" s="57" customFormat="1" ht="13.5" x14ac:dyDescent="0.3">
      <c r="A158" s="54"/>
      <c r="B158" s="46"/>
      <c r="C158" s="54"/>
      <c r="D158" s="54"/>
      <c r="E158" s="47"/>
      <c r="F158" s="54"/>
      <c r="G158" s="54"/>
      <c r="H158" s="47"/>
      <c r="I158" s="54"/>
      <c r="J158" s="54"/>
      <c r="K158" s="47"/>
      <c r="L158" s="54"/>
      <c r="M158" s="54"/>
      <c r="N158" s="47"/>
      <c r="O158" s="54"/>
      <c r="P158" s="54"/>
      <c r="Q158" s="47"/>
      <c r="R158" s="54"/>
      <c r="S158" s="54"/>
      <c r="T158" s="47"/>
      <c r="U158" s="54"/>
      <c r="V158" s="54"/>
      <c r="W158" s="47"/>
      <c r="X158" s="54"/>
      <c r="Y158" s="54"/>
      <c r="Z158" s="47"/>
      <c r="AA158" s="54"/>
      <c r="AB158" s="54"/>
      <c r="AC158" s="47"/>
      <c r="AD158" s="54"/>
      <c r="AE158" s="73"/>
    </row>
    <row r="159" spans="1:31" s="57" customFormat="1" ht="13.5" x14ac:dyDescent="0.3">
      <c r="A159" s="54"/>
      <c r="B159" s="46"/>
      <c r="C159" s="54"/>
      <c r="D159" s="54"/>
      <c r="E159" s="47"/>
      <c r="F159" s="54"/>
      <c r="G159" s="54"/>
      <c r="H159" s="47"/>
      <c r="I159" s="54"/>
      <c r="J159" s="54"/>
      <c r="K159" s="47"/>
      <c r="L159" s="54"/>
      <c r="M159" s="54"/>
      <c r="N159" s="47"/>
      <c r="O159" s="54"/>
      <c r="P159" s="54"/>
      <c r="Q159" s="47"/>
      <c r="R159" s="54"/>
      <c r="S159" s="54"/>
      <c r="T159" s="47"/>
      <c r="U159" s="54"/>
      <c r="V159" s="54"/>
      <c r="W159" s="47"/>
      <c r="X159" s="54"/>
      <c r="Y159" s="54"/>
      <c r="Z159" s="47"/>
      <c r="AA159" s="54"/>
      <c r="AB159" s="54"/>
      <c r="AC159" s="47"/>
      <c r="AD159" s="54"/>
      <c r="AE159" s="73"/>
    </row>
    <row r="160" spans="1:31" s="57" customFormat="1" ht="13.5" x14ac:dyDescent="0.3">
      <c r="A160" s="54"/>
      <c r="B160" s="46"/>
      <c r="C160" s="54"/>
      <c r="D160" s="54"/>
      <c r="E160" s="47"/>
      <c r="F160" s="54"/>
      <c r="G160" s="54"/>
      <c r="H160" s="47"/>
      <c r="I160" s="54"/>
      <c r="J160" s="54"/>
      <c r="K160" s="47"/>
      <c r="L160" s="54"/>
      <c r="M160" s="54"/>
      <c r="N160" s="47"/>
      <c r="O160" s="54"/>
      <c r="P160" s="54"/>
      <c r="Q160" s="47"/>
      <c r="R160" s="54"/>
      <c r="S160" s="54"/>
      <c r="T160" s="47"/>
      <c r="U160" s="54"/>
      <c r="V160" s="54"/>
      <c r="W160" s="47"/>
      <c r="X160" s="54"/>
      <c r="Y160" s="54"/>
      <c r="Z160" s="47"/>
      <c r="AA160" s="54"/>
      <c r="AB160" s="54"/>
      <c r="AC160" s="47"/>
      <c r="AD160" s="54"/>
      <c r="AE160" s="73"/>
    </row>
    <row r="161" spans="1:31" s="57" customFormat="1" ht="13.5" x14ac:dyDescent="0.3">
      <c r="A161" s="54"/>
      <c r="B161" s="46"/>
      <c r="C161" s="54"/>
      <c r="D161" s="54"/>
      <c r="E161" s="47"/>
      <c r="F161" s="54"/>
      <c r="G161" s="54"/>
      <c r="H161" s="47"/>
      <c r="I161" s="54"/>
      <c r="J161" s="54"/>
      <c r="K161" s="47"/>
      <c r="L161" s="54"/>
      <c r="M161" s="54"/>
      <c r="N161" s="47"/>
      <c r="O161" s="54"/>
      <c r="P161" s="54"/>
      <c r="Q161" s="47"/>
      <c r="R161" s="54"/>
      <c r="S161" s="54"/>
      <c r="T161" s="47"/>
      <c r="U161" s="54"/>
      <c r="V161" s="54"/>
      <c r="W161" s="47"/>
      <c r="X161" s="54"/>
      <c r="Y161" s="54"/>
      <c r="Z161" s="47"/>
      <c r="AA161" s="54"/>
      <c r="AB161" s="54"/>
      <c r="AC161" s="47"/>
      <c r="AD161" s="54"/>
      <c r="AE161" s="73"/>
    </row>
    <row r="162" spans="1:31" s="57" customFormat="1" ht="13.5" x14ac:dyDescent="0.3">
      <c r="A162" s="54"/>
      <c r="B162" s="46"/>
      <c r="C162" s="54"/>
      <c r="D162" s="54"/>
      <c r="E162" s="47"/>
      <c r="F162" s="54"/>
      <c r="G162" s="54"/>
      <c r="H162" s="47"/>
      <c r="I162" s="54"/>
      <c r="J162" s="54"/>
      <c r="K162" s="47"/>
      <c r="L162" s="54"/>
      <c r="M162" s="54"/>
      <c r="N162" s="47"/>
      <c r="O162" s="54"/>
      <c r="P162" s="54"/>
      <c r="Q162" s="47"/>
      <c r="R162" s="54"/>
      <c r="S162" s="54"/>
      <c r="T162" s="47"/>
      <c r="U162" s="54"/>
      <c r="V162" s="54"/>
      <c r="W162" s="47"/>
      <c r="X162" s="54"/>
      <c r="Y162" s="54"/>
      <c r="Z162" s="47"/>
      <c r="AA162" s="54"/>
      <c r="AB162" s="54"/>
      <c r="AC162" s="47"/>
      <c r="AD162" s="54"/>
      <c r="AE162" s="73"/>
    </row>
    <row r="163" spans="1:31" s="57" customFormat="1" ht="13.5" x14ac:dyDescent="0.3">
      <c r="A163" s="54"/>
      <c r="B163" s="46"/>
      <c r="C163" s="54"/>
      <c r="D163" s="54"/>
      <c r="E163" s="47"/>
      <c r="F163" s="54"/>
      <c r="G163" s="54"/>
      <c r="H163" s="47"/>
      <c r="I163" s="54"/>
      <c r="J163" s="54"/>
      <c r="K163" s="47"/>
      <c r="L163" s="54"/>
      <c r="M163" s="54"/>
      <c r="N163" s="47"/>
      <c r="O163" s="54"/>
      <c r="P163" s="54"/>
      <c r="Q163" s="47"/>
      <c r="R163" s="54"/>
      <c r="S163" s="54"/>
      <c r="T163" s="47"/>
      <c r="U163" s="54"/>
      <c r="V163" s="54"/>
      <c r="W163" s="47"/>
      <c r="X163" s="54"/>
      <c r="Y163" s="54"/>
      <c r="Z163" s="47"/>
      <c r="AA163" s="54"/>
      <c r="AB163" s="54"/>
      <c r="AC163" s="47"/>
      <c r="AD163" s="54"/>
      <c r="AE163" s="73"/>
    </row>
    <row r="164" spans="1:31" s="57" customFormat="1" ht="13.5" x14ac:dyDescent="0.3">
      <c r="A164" s="54"/>
      <c r="B164" s="46"/>
      <c r="C164" s="54"/>
      <c r="D164" s="54"/>
      <c r="E164" s="47"/>
      <c r="F164" s="54"/>
      <c r="G164" s="54"/>
      <c r="H164" s="47"/>
      <c r="I164" s="54"/>
      <c r="J164" s="54"/>
      <c r="K164" s="47"/>
      <c r="L164" s="54"/>
      <c r="M164" s="54"/>
      <c r="N164" s="47"/>
      <c r="O164" s="54"/>
      <c r="P164" s="54"/>
      <c r="Q164" s="47"/>
      <c r="R164" s="54"/>
      <c r="S164" s="54"/>
      <c r="T164" s="47"/>
      <c r="U164" s="54"/>
      <c r="V164" s="54"/>
      <c r="W164" s="47"/>
      <c r="X164" s="54"/>
      <c r="Y164" s="54"/>
      <c r="Z164" s="47"/>
      <c r="AA164" s="54"/>
      <c r="AB164" s="54"/>
      <c r="AC164" s="47"/>
      <c r="AD164" s="54"/>
      <c r="AE164" s="73"/>
    </row>
    <row r="165" spans="1:31" s="57" customFormat="1" ht="13.5" x14ac:dyDescent="0.3">
      <c r="A165" s="54"/>
      <c r="B165" s="46"/>
      <c r="C165" s="54"/>
      <c r="D165" s="54"/>
      <c r="E165" s="47"/>
      <c r="F165" s="54"/>
      <c r="G165" s="54"/>
      <c r="H165" s="47"/>
      <c r="I165" s="54"/>
      <c r="J165" s="54"/>
      <c r="K165" s="47"/>
      <c r="L165" s="54"/>
      <c r="M165" s="54"/>
      <c r="N165" s="47"/>
      <c r="O165" s="54"/>
      <c r="P165" s="54"/>
      <c r="Q165" s="47"/>
      <c r="R165" s="54"/>
      <c r="S165" s="54"/>
      <c r="T165" s="47"/>
      <c r="U165" s="54"/>
      <c r="V165" s="54"/>
      <c r="W165" s="47"/>
      <c r="X165" s="54"/>
      <c r="Y165" s="54"/>
      <c r="Z165" s="47"/>
      <c r="AA165" s="54"/>
      <c r="AB165" s="54"/>
      <c r="AC165" s="47"/>
      <c r="AD165" s="54"/>
      <c r="AE165" s="73"/>
    </row>
    <row r="166" spans="1:31" s="57" customFormat="1" ht="13.5" x14ac:dyDescent="0.3">
      <c r="A166" s="54"/>
      <c r="B166" s="46"/>
      <c r="C166" s="54"/>
      <c r="D166" s="54"/>
      <c r="E166" s="47"/>
      <c r="F166" s="54"/>
      <c r="G166" s="54"/>
      <c r="H166" s="47"/>
      <c r="I166" s="54"/>
      <c r="J166" s="54"/>
      <c r="K166" s="47"/>
      <c r="L166" s="54"/>
      <c r="M166" s="54"/>
      <c r="N166" s="47"/>
      <c r="O166" s="54"/>
      <c r="P166" s="54"/>
      <c r="Q166" s="47"/>
      <c r="R166" s="54"/>
      <c r="S166" s="54"/>
      <c r="T166" s="47"/>
      <c r="U166" s="54"/>
      <c r="V166" s="54"/>
      <c r="W166" s="47"/>
      <c r="X166" s="54"/>
      <c r="Y166" s="54"/>
      <c r="Z166" s="47"/>
      <c r="AA166" s="54"/>
      <c r="AB166" s="54"/>
      <c r="AC166" s="47"/>
      <c r="AD166" s="54"/>
      <c r="AE166" s="73"/>
    </row>
    <row r="167" spans="1:31" s="57" customFormat="1" ht="13.5" x14ac:dyDescent="0.3">
      <c r="A167" s="54"/>
      <c r="B167" s="46"/>
      <c r="C167" s="54"/>
      <c r="D167" s="54"/>
      <c r="E167" s="47"/>
      <c r="F167" s="54"/>
      <c r="G167" s="54"/>
      <c r="H167" s="47"/>
      <c r="I167" s="54"/>
      <c r="J167" s="54"/>
      <c r="K167" s="47"/>
      <c r="L167" s="54"/>
      <c r="M167" s="54"/>
      <c r="N167" s="47"/>
      <c r="O167" s="54"/>
      <c r="P167" s="54"/>
      <c r="Q167" s="47"/>
      <c r="R167" s="54"/>
      <c r="S167" s="54"/>
      <c r="T167" s="47"/>
      <c r="U167" s="54"/>
      <c r="V167" s="54"/>
      <c r="W167" s="47"/>
      <c r="X167" s="54"/>
      <c r="Y167" s="54"/>
      <c r="Z167" s="47"/>
      <c r="AA167" s="54"/>
      <c r="AB167" s="54"/>
      <c r="AC167" s="47"/>
      <c r="AD167" s="54"/>
      <c r="AE167" s="73"/>
    </row>
    <row r="168" spans="1:31" s="57" customFormat="1" ht="13.5" x14ac:dyDescent="0.3">
      <c r="A168" s="54"/>
      <c r="B168" s="46"/>
      <c r="C168" s="54"/>
      <c r="D168" s="54"/>
      <c r="E168" s="47"/>
      <c r="F168" s="54"/>
      <c r="G168" s="54"/>
      <c r="H168" s="47"/>
      <c r="I168" s="54"/>
      <c r="J168" s="54"/>
      <c r="K168" s="47"/>
      <c r="L168" s="54"/>
      <c r="M168" s="54"/>
      <c r="N168" s="47"/>
      <c r="O168" s="54"/>
      <c r="P168" s="54"/>
      <c r="Q168" s="47"/>
      <c r="R168" s="54"/>
      <c r="S168" s="54"/>
      <c r="T168" s="47"/>
      <c r="U168" s="54"/>
      <c r="V168" s="54"/>
      <c r="W168" s="47"/>
      <c r="X168" s="54"/>
      <c r="Y168" s="54"/>
      <c r="Z168" s="47"/>
      <c r="AA168" s="54"/>
      <c r="AB168" s="54"/>
      <c r="AC168" s="47"/>
      <c r="AD168" s="54"/>
      <c r="AE168" s="73"/>
    </row>
    <row r="169" spans="1:31" s="57" customFormat="1" ht="13.5" x14ac:dyDescent="0.3">
      <c r="A169" s="54"/>
      <c r="B169" s="46"/>
      <c r="C169" s="54"/>
      <c r="D169" s="54"/>
      <c r="E169" s="47"/>
      <c r="F169" s="54"/>
      <c r="G169" s="54"/>
      <c r="H169" s="47"/>
      <c r="I169" s="54"/>
      <c r="J169" s="54"/>
      <c r="K169" s="47"/>
      <c r="L169" s="54"/>
      <c r="M169" s="54"/>
      <c r="N169" s="47"/>
      <c r="O169" s="54"/>
      <c r="P169" s="54"/>
      <c r="Q169" s="47"/>
      <c r="R169" s="54"/>
      <c r="S169" s="54"/>
      <c r="T169" s="47"/>
      <c r="U169" s="54"/>
      <c r="V169" s="54"/>
      <c r="W169" s="47"/>
      <c r="X169" s="54"/>
      <c r="Y169" s="54"/>
      <c r="Z169" s="47"/>
      <c r="AA169" s="54"/>
      <c r="AB169" s="54"/>
      <c r="AC169" s="47"/>
      <c r="AD169" s="54"/>
      <c r="AE169" s="73"/>
    </row>
    <row r="170" spans="1:31" s="57" customFormat="1" ht="13.5" x14ac:dyDescent="0.3">
      <c r="A170" s="54"/>
      <c r="B170" s="46"/>
      <c r="C170" s="54"/>
      <c r="D170" s="54"/>
      <c r="E170" s="47"/>
      <c r="F170" s="54"/>
      <c r="G170" s="54"/>
      <c r="H170" s="47"/>
      <c r="I170" s="54"/>
      <c r="J170" s="54"/>
      <c r="K170" s="47"/>
      <c r="L170" s="54"/>
      <c r="M170" s="54"/>
      <c r="N170" s="47"/>
      <c r="O170" s="54"/>
      <c r="P170" s="54"/>
      <c r="Q170" s="47"/>
      <c r="R170" s="54"/>
      <c r="S170" s="54"/>
      <c r="T170" s="47"/>
      <c r="U170" s="54"/>
      <c r="V170" s="54"/>
      <c r="W170" s="47"/>
      <c r="X170" s="54"/>
      <c r="Y170" s="54"/>
      <c r="Z170" s="47"/>
      <c r="AA170" s="54"/>
      <c r="AB170" s="54"/>
      <c r="AC170" s="47"/>
      <c r="AD170" s="54"/>
      <c r="AE170" s="73"/>
    </row>
    <row r="171" spans="1:31" s="57" customFormat="1" ht="13.5" x14ac:dyDescent="0.3">
      <c r="A171" s="54"/>
      <c r="B171" s="46"/>
      <c r="C171" s="54"/>
      <c r="D171" s="54"/>
      <c r="E171" s="47"/>
      <c r="F171" s="54"/>
      <c r="G171" s="54"/>
      <c r="H171" s="47"/>
      <c r="I171" s="54"/>
      <c r="J171" s="54"/>
      <c r="K171" s="47"/>
      <c r="L171" s="54"/>
      <c r="M171" s="54"/>
      <c r="N171" s="47"/>
      <c r="O171" s="54"/>
      <c r="P171" s="54"/>
      <c r="Q171" s="47"/>
      <c r="R171" s="54"/>
      <c r="S171" s="54"/>
      <c r="T171" s="47"/>
      <c r="U171" s="54"/>
      <c r="V171" s="54"/>
      <c r="W171" s="47"/>
      <c r="X171" s="54"/>
      <c r="Y171" s="54"/>
      <c r="Z171" s="47"/>
      <c r="AA171" s="54"/>
      <c r="AB171" s="54"/>
      <c r="AC171" s="47"/>
      <c r="AD171" s="54"/>
      <c r="AE171" s="73"/>
    </row>
    <row r="172" spans="1:31" s="57" customFormat="1" ht="13.5" x14ac:dyDescent="0.3">
      <c r="A172" s="54"/>
      <c r="B172" s="46"/>
      <c r="C172" s="54"/>
      <c r="D172" s="54"/>
      <c r="E172" s="47"/>
      <c r="F172" s="54"/>
      <c r="G172" s="54"/>
      <c r="H172" s="47"/>
      <c r="I172" s="54"/>
      <c r="J172" s="54"/>
      <c r="K172" s="47"/>
      <c r="L172" s="54"/>
      <c r="M172" s="54"/>
      <c r="N172" s="47"/>
      <c r="O172" s="54"/>
      <c r="P172" s="54"/>
      <c r="Q172" s="47"/>
      <c r="R172" s="54"/>
      <c r="S172" s="54"/>
      <c r="T172" s="47"/>
      <c r="U172" s="54"/>
      <c r="V172" s="54"/>
      <c r="W172" s="47"/>
      <c r="X172" s="54"/>
      <c r="Y172" s="54"/>
      <c r="Z172" s="47"/>
      <c r="AA172" s="54"/>
      <c r="AB172" s="54"/>
      <c r="AC172" s="47"/>
      <c r="AD172" s="54"/>
      <c r="AE172" s="73"/>
    </row>
    <row r="173" spans="1:31" s="57" customFormat="1" ht="13.5" x14ac:dyDescent="0.3">
      <c r="A173" s="54"/>
      <c r="B173" s="46"/>
      <c r="C173" s="54"/>
      <c r="D173" s="54"/>
      <c r="E173" s="47"/>
      <c r="F173" s="54"/>
      <c r="G173" s="54"/>
      <c r="H173" s="47"/>
      <c r="I173" s="54"/>
      <c r="J173" s="54"/>
      <c r="K173" s="47"/>
      <c r="L173" s="54"/>
      <c r="M173" s="54"/>
      <c r="N173" s="47"/>
      <c r="O173" s="54"/>
      <c r="P173" s="54"/>
      <c r="Q173" s="47"/>
      <c r="R173" s="54"/>
      <c r="S173" s="54"/>
      <c r="T173" s="47"/>
      <c r="U173" s="54"/>
      <c r="V173" s="54"/>
      <c r="W173" s="47"/>
      <c r="X173" s="54"/>
      <c r="Y173" s="54"/>
      <c r="Z173" s="47"/>
      <c r="AA173" s="54"/>
      <c r="AB173" s="54"/>
      <c r="AC173" s="47"/>
      <c r="AD173" s="54"/>
      <c r="AE173" s="73"/>
    </row>
    <row r="174" spans="1:31" s="57" customFormat="1" ht="13.5" x14ac:dyDescent="0.3">
      <c r="A174" s="54"/>
      <c r="B174" s="46"/>
      <c r="C174" s="54"/>
      <c r="D174" s="54"/>
      <c r="E174" s="47"/>
      <c r="F174" s="54"/>
      <c r="G174" s="54"/>
      <c r="H174" s="47"/>
      <c r="I174" s="54"/>
      <c r="J174" s="54"/>
      <c r="K174" s="47"/>
      <c r="L174" s="54"/>
      <c r="M174" s="54"/>
      <c r="N174" s="47"/>
      <c r="O174" s="54"/>
      <c r="P174" s="54"/>
      <c r="Q174" s="47"/>
      <c r="R174" s="54"/>
      <c r="S174" s="54"/>
      <c r="T174" s="47"/>
      <c r="U174" s="54"/>
      <c r="V174" s="54"/>
      <c r="W174" s="47"/>
      <c r="X174" s="54"/>
      <c r="Y174" s="54"/>
      <c r="Z174" s="47"/>
      <c r="AA174" s="54"/>
      <c r="AB174" s="54"/>
      <c r="AC174" s="47"/>
      <c r="AD174" s="54"/>
      <c r="AE174" s="73"/>
    </row>
    <row r="175" spans="1:31" s="57" customFormat="1" ht="13.5" x14ac:dyDescent="0.3">
      <c r="A175" s="54"/>
      <c r="B175" s="46"/>
      <c r="C175" s="54"/>
      <c r="D175" s="54"/>
      <c r="E175" s="47"/>
      <c r="F175" s="54"/>
      <c r="G175" s="54"/>
      <c r="H175" s="47"/>
      <c r="I175" s="54"/>
      <c r="J175" s="54"/>
      <c r="K175" s="47"/>
      <c r="L175" s="54"/>
      <c r="M175" s="54"/>
      <c r="N175" s="47"/>
      <c r="O175" s="54"/>
      <c r="P175" s="54"/>
      <c r="Q175" s="47"/>
      <c r="R175" s="54"/>
      <c r="S175" s="54"/>
      <c r="T175" s="47"/>
      <c r="U175" s="54"/>
      <c r="V175" s="54"/>
      <c r="W175" s="47"/>
      <c r="X175" s="54"/>
      <c r="Y175" s="54"/>
      <c r="Z175" s="47"/>
      <c r="AA175" s="54"/>
      <c r="AB175" s="54"/>
      <c r="AC175" s="47"/>
      <c r="AD175" s="54"/>
      <c r="AE175" s="73"/>
    </row>
    <row r="176" spans="1:31" s="57" customFormat="1" ht="13.5" x14ac:dyDescent="0.3">
      <c r="A176" s="54"/>
      <c r="B176" s="46"/>
      <c r="C176" s="54"/>
      <c r="D176" s="54"/>
      <c r="E176" s="47"/>
      <c r="F176" s="54"/>
      <c r="G176" s="54"/>
      <c r="H176" s="47"/>
      <c r="I176" s="54"/>
      <c r="J176" s="54"/>
      <c r="K176" s="47"/>
      <c r="L176" s="54"/>
      <c r="M176" s="54"/>
      <c r="N176" s="47"/>
      <c r="O176" s="54"/>
      <c r="P176" s="54"/>
      <c r="Q176" s="47"/>
      <c r="R176" s="54"/>
      <c r="S176" s="54"/>
      <c r="T176" s="47"/>
      <c r="U176" s="54"/>
      <c r="V176" s="54"/>
      <c r="W176" s="47"/>
      <c r="X176" s="54"/>
      <c r="Y176" s="54"/>
      <c r="Z176" s="47"/>
      <c r="AA176" s="54"/>
      <c r="AB176" s="54"/>
      <c r="AC176" s="47"/>
      <c r="AD176" s="54"/>
      <c r="AE176" s="73"/>
    </row>
    <row r="177" spans="1:31" s="57" customFormat="1" ht="13.5" x14ac:dyDescent="0.3">
      <c r="A177" s="54"/>
      <c r="B177" s="46"/>
      <c r="C177" s="54"/>
      <c r="D177" s="54"/>
      <c r="E177" s="47"/>
      <c r="F177" s="54"/>
      <c r="G177" s="54"/>
      <c r="H177" s="47"/>
      <c r="I177" s="54"/>
      <c r="J177" s="54"/>
      <c r="K177" s="47"/>
      <c r="L177" s="54"/>
      <c r="M177" s="54"/>
      <c r="N177" s="47"/>
      <c r="O177" s="54"/>
      <c r="P177" s="54"/>
      <c r="Q177" s="47"/>
      <c r="R177" s="54"/>
      <c r="S177" s="54"/>
      <c r="T177" s="47"/>
      <c r="U177" s="54"/>
      <c r="V177" s="54"/>
      <c r="W177" s="47"/>
      <c r="X177" s="54"/>
      <c r="Y177" s="54"/>
      <c r="Z177" s="47"/>
      <c r="AA177" s="54"/>
      <c r="AB177" s="54"/>
      <c r="AC177" s="47"/>
      <c r="AD177" s="54"/>
      <c r="AE177" s="73"/>
    </row>
    <row r="178" spans="1:31" s="57" customFormat="1" ht="13.5" x14ac:dyDescent="0.3">
      <c r="A178" s="54"/>
      <c r="B178" s="46"/>
      <c r="C178" s="54"/>
      <c r="D178" s="54"/>
      <c r="E178" s="47"/>
      <c r="F178" s="54"/>
      <c r="G178" s="54"/>
      <c r="H178" s="47"/>
      <c r="I178" s="54"/>
      <c r="J178" s="54"/>
      <c r="K178" s="47"/>
      <c r="L178" s="54"/>
      <c r="M178" s="54"/>
      <c r="N178" s="47"/>
      <c r="O178" s="54"/>
      <c r="P178" s="54"/>
      <c r="Q178" s="47"/>
      <c r="R178" s="54"/>
      <c r="S178" s="54"/>
      <c r="T178" s="47"/>
      <c r="U178" s="54"/>
      <c r="V178" s="54"/>
      <c r="W178" s="47"/>
      <c r="X178" s="54"/>
      <c r="Y178" s="54"/>
      <c r="Z178" s="47"/>
      <c r="AA178" s="54"/>
      <c r="AB178" s="54"/>
      <c r="AC178" s="47"/>
      <c r="AD178" s="54"/>
      <c r="AE178" s="73"/>
    </row>
    <row r="179" spans="1:31" s="57" customFormat="1" ht="13.5" x14ac:dyDescent="0.3">
      <c r="A179" s="54"/>
      <c r="B179" s="46"/>
      <c r="C179" s="54"/>
      <c r="D179" s="54"/>
      <c r="E179" s="47"/>
      <c r="F179" s="54"/>
      <c r="G179" s="54"/>
      <c r="H179" s="47"/>
      <c r="I179" s="54"/>
      <c r="J179" s="54"/>
      <c r="K179" s="47"/>
      <c r="L179" s="54"/>
      <c r="M179" s="54"/>
      <c r="N179" s="47"/>
      <c r="O179" s="54"/>
      <c r="P179" s="54"/>
      <c r="Q179" s="47"/>
      <c r="R179" s="54"/>
      <c r="S179" s="54"/>
      <c r="T179" s="47"/>
      <c r="U179" s="54"/>
      <c r="V179" s="54"/>
      <c r="W179" s="47"/>
      <c r="X179" s="54"/>
      <c r="Y179" s="54"/>
      <c r="Z179" s="47"/>
      <c r="AA179" s="54"/>
      <c r="AB179" s="54"/>
      <c r="AC179" s="47"/>
      <c r="AD179" s="54"/>
      <c r="AE179" s="73"/>
    </row>
    <row r="180" spans="1:31" s="57" customFormat="1" ht="13.5" x14ac:dyDescent="0.3">
      <c r="A180" s="54"/>
      <c r="B180" s="46"/>
      <c r="C180" s="54"/>
      <c r="D180" s="54"/>
      <c r="E180" s="47"/>
      <c r="F180" s="54"/>
      <c r="G180" s="54"/>
      <c r="H180" s="47"/>
      <c r="I180" s="54"/>
      <c r="J180" s="54"/>
      <c r="K180" s="47"/>
      <c r="L180" s="54"/>
      <c r="M180" s="54"/>
      <c r="N180" s="47"/>
      <c r="O180" s="54"/>
      <c r="P180" s="54"/>
      <c r="Q180" s="47"/>
      <c r="R180" s="54"/>
      <c r="S180" s="54"/>
      <c r="T180" s="47"/>
      <c r="U180" s="54"/>
      <c r="V180" s="54"/>
      <c r="W180" s="47"/>
      <c r="X180" s="54"/>
      <c r="Y180" s="54"/>
      <c r="Z180" s="47"/>
      <c r="AA180" s="54"/>
      <c r="AB180" s="54"/>
      <c r="AC180" s="47"/>
      <c r="AD180" s="54"/>
      <c r="AE180" s="73"/>
    </row>
    <row r="181" spans="1:31" s="57" customFormat="1" ht="13.5" x14ac:dyDescent="0.3">
      <c r="A181" s="54"/>
      <c r="B181" s="46"/>
      <c r="C181" s="54"/>
      <c r="D181" s="54"/>
      <c r="E181" s="47"/>
      <c r="F181" s="54"/>
      <c r="G181" s="54"/>
      <c r="H181" s="47"/>
      <c r="I181" s="54"/>
      <c r="J181" s="54"/>
      <c r="K181" s="47"/>
      <c r="L181" s="54"/>
      <c r="M181" s="54"/>
      <c r="N181" s="47"/>
      <c r="O181" s="54"/>
      <c r="P181" s="54"/>
      <c r="Q181" s="47"/>
      <c r="R181" s="54"/>
      <c r="S181" s="54"/>
      <c r="T181" s="47"/>
      <c r="U181" s="54"/>
      <c r="V181" s="54"/>
      <c r="W181" s="47"/>
      <c r="X181" s="54"/>
      <c r="Y181" s="54"/>
      <c r="Z181" s="47"/>
      <c r="AA181" s="54"/>
      <c r="AB181" s="54"/>
      <c r="AC181" s="47"/>
      <c r="AD181" s="54"/>
      <c r="AE181" s="73"/>
    </row>
    <row r="182" spans="1:31" s="57" customFormat="1" ht="13.5" x14ac:dyDescent="0.3">
      <c r="A182" s="54"/>
      <c r="B182" s="46"/>
      <c r="C182" s="54"/>
      <c r="D182" s="54"/>
      <c r="E182" s="47"/>
      <c r="F182" s="54"/>
      <c r="G182" s="54"/>
      <c r="H182" s="47"/>
      <c r="I182" s="54"/>
      <c r="J182" s="54"/>
      <c r="K182" s="47"/>
      <c r="L182" s="54"/>
      <c r="M182" s="54"/>
      <c r="N182" s="47"/>
      <c r="O182" s="54"/>
      <c r="P182" s="54"/>
      <c r="Q182" s="47"/>
      <c r="R182" s="54"/>
      <c r="S182" s="54"/>
      <c r="T182" s="47"/>
      <c r="U182" s="54"/>
      <c r="V182" s="54"/>
      <c r="W182" s="47"/>
      <c r="X182" s="54"/>
      <c r="Y182" s="54"/>
      <c r="Z182" s="47"/>
      <c r="AA182" s="54"/>
      <c r="AB182" s="54"/>
      <c r="AC182" s="47"/>
      <c r="AD182" s="54"/>
      <c r="AE182" s="73"/>
    </row>
    <row r="183" spans="1:31" s="57" customFormat="1" ht="13.5" x14ac:dyDescent="0.3">
      <c r="A183" s="54"/>
      <c r="B183" s="46"/>
      <c r="C183" s="54"/>
      <c r="D183" s="54"/>
      <c r="E183" s="47"/>
      <c r="F183" s="54"/>
      <c r="G183" s="54"/>
      <c r="H183" s="47"/>
      <c r="I183" s="54"/>
      <c r="J183" s="54"/>
      <c r="K183" s="47"/>
      <c r="L183" s="54"/>
      <c r="M183" s="54"/>
      <c r="N183" s="47"/>
      <c r="O183" s="54"/>
      <c r="P183" s="54"/>
      <c r="Q183" s="47"/>
      <c r="R183" s="54"/>
      <c r="S183" s="54"/>
      <c r="T183" s="47"/>
      <c r="U183" s="54"/>
      <c r="V183" s="54"/>
      <c r="W183" s="47"/>
      <c r="X183" s="54"/>
      <c r="Y183" s="54"/>
      <c r="Z183" s="47"/>
      <c r="AA183" s="54"/>
      <c r="AB183" s="54"/>
      <c r="AC183" s="47"/>
      <c r="AD183" s="54"/>
      <c r="AE183" s="73"/>
    </row>
    <row r="184" spans="1:31" s="57" customFormat="1" ht="13.5" x14ac:dyDescent="0.3">
      <c r="A184" s="54"/>
      <c r="B184" s="46"/>
      <c r="C184" s="54"/>
      <c r="D184" s="54"/>
      <c r="E184" s="47"/>
      <c r="F184" s="54"/>
      <c r="G184" s="54"/>
      <c r="H184" s="47"/>
      <c r="I184" s="54"/>
      <c r="J184" s="54"/>
      <c r="K184" s="47"/>
      <c r="L184" s="54"/>
      <c r="M184" s="54"/>
      <c r="N184" s="47"/>
      <c r="O184" s="54"/>
      <c r="P184" s="54"/>
      <c r="Q184" s="47"/>
      <c r="R184" s="54"/>
      <c r="S184" s="54"/>
      <c r="T184" s="47"/>
      <c r="U184" s="54"/>
      <c r="V184" s="54"/>
      <c r="W184" s="47"/>
      <c r="X184" s="54"/>
      <c r="Y184" s="54"/>
      <c r="Z184" s="47"/>
      <c r="AA184" s="54"/>
      <c r="AB184" s="54"/>
      <c r="AC184" s="47"/>
      <c r="AD184" s="54"/>
      <c r="AE184" s="73"/>
    </row>
    <row r="185" spans="1:31" s="57" customFormat="1" ht="13.5" x14ac:dyDescent="0.3">
      <c r="A185" s="54"/>
      <c r="B185" s="46"/>
      <c r="C185" s="54"/>
      <c r="D185" s="54"/>
      <c r="E185" s="47"/>
      <c r="F185" s="54"/>
      <c r="G185" s="54"/>
      <c r="H185" s="47"/>
      <c r="I185" s="54"/>
      <c r="J185" s="54"/>
      <c r="K185" s="47"/>
      <c r="L185" s="54"/>
      <c r="M185" s="54"/>
      <c r="N185" s="47"/>
      <c r="O185" s="54"/>
      <c r="P185" s="54"/>
      <c r="Q185" s="47"/>
      <c r="R185" s="54"/>
      <c r="S185" s="54"/>
      <c r="T185" s="47"/>
      <c r="U185" s="54"/>
      <c r="V185" s="54"/>
      <c r="W185" s="47"/>
      <c r="X185" s="54"/>
      <c r="Y185" s="54"/>
      <c r="Z185" s="47"/>
      <c r="AA185" s="54"/>
      <c r="AB185" s="54"/>
      <c r="AC185" s="47"/>
      <c r="AD185" s="54"/>
      <c r="AE185" s="73"/>
    </row>
    <row r="186" spans="1:31" s="57" customFormat="1" ht="13.5" x14ac:dyDescent="0.3">
      <c r="A186" s="54"/>
      <c r="B186" s="46"/>
      <c r="C186" s="54"/>
      <c r="D186" s="54"/>
      <c r="E186" s="47"/>
      <c r="F186" s="54"/>
      <c r="G186" s="54"/>
      <c r="H186" s="47"/>
      <c r="I186" s="54"/>
      <c r="J186" s="54"/>
      <c r="K186" s="47"/>
      <c r="L186" s="54"/>
      <c r="M186" s="54"/>
      <c r="N186" s="47"/>
      <c r="O186" s="54"/>
      <c r="P186" s="54"/>
      <c r="Q186" s="47"/>
      <c r="R186" s="54"/>
      <c r="S186" s="54"/>
      <c r="T186" s="47"/>
      <c r="U186" s="54"/>
      <c r="V186" s="54"/>
      <c r="W186" s="47"/>
      <c r="X186" s="54"/>
      <c r="Y186" s="54"/>
      <c r="Z186" s="47"/>
      <c r="AA186" s="54"/>
      <c r="AB186" s="54"/>
      <c r="AC186" s="47"/>
      <c r="AD186" s="54"/>
      <c r="AE186" s="73"/>
    </row>
    <row r="187" spans="1:31" s="57" customFormat="1" ht="13.5" x14ac:dyDescent="0.3">
      <c r="A187" s="54"/>
      <c r="B187" s="46"/>
      <c r="C187" s="54"/>
      <c r="D187" s="54"/>
      <c r="E187" s="47"/>
      <c r="F187" s="54"/>
      <c r="G187" s="54"/>
      <c r="H187" s="47"/>
      <c r="I187" s="54"/>
      <c r="J187" s="54"/>
      <c r="K187" s="47"/>
      <c r="L187" s="54"/>
      <c r="M187" s="54"/>
      <c r="N187" s="47"/>
      <c r="O187" s="54"/>
      <c r="P187" s="54"/>
      <c r="Q187" s="47"/>
      <c r="R187" s="54"/>
      <c r="S187" s="54"/>
      <c r="T187" s="47"/>
      <c r="U187" s="54"/>
      <c r="V187" s="54"/>
      <c r="W187" s="47"/>
      <c r="X187" s="54"/>
      <c r="Y187" s="54"/>
      <c r="Z187" s="47"/>
      <c r="AA187" s="54"/>
      <c r="AB187" s="54"/>
      <c r="AC187" s="47"/>
      <c r="AD187" s="54"/>
      <c r="AE187" s="73"/>
    </row>
    <row r="188" spans="1:31" s="57" customFormat="1" ht="13.5" x14ac:dyDescent="0.3">
      <c r="A188" s="54"/>
      <c r="B188" s="46"/>
      <c r="C188" s="54"/>
      <c r="D188" s="54"/>
      <c r="E188" s="47"/>
      <c r="F188" s="54"/>
      <c r="G188" s="54"/>
      <c r="H188" s="47"/>
      <c r="I188" s="54"/>
      <c r="J188" s="54"/>
      <c r="K188" s="47"/>
      <c r="L188" s="54"/>
      <c r="M188" s="54"/>
      <c r="N188" s="47"/>
      <c r="O188" s="54"/>
      <c r="P188" s="54"/>
      <c r="Q188" s="47"/>
      <c r="R188" s="54"/>
      <c r="S188" s="54"/>
      <c r="T188" s="47"/>
      <c r="U188" s="54"/>
      <c r="V188" s="54"/>
      <c r="W188" s="47"/>
      <c r="X188" s="54"/>
      <c r="Y188" s="54"/>
      <c r="Z188" s="47"/>
      <c r="AA188" s="54"/>
      <c r="AB188" s="54"/>
      <c r="AC188" s="47"/>
      <c r="AD188" s="54"/>
      <c r="AE188" s="73"/>
    </row>
    <row r="189" spans="1:31" s="57" customFormat="1" ht="13.5" x14ac:dyDescent="0.3">
      <c r="A189" s="54"/>
      <c r="B189" s="46"/>
      <c r="C189" s="54"/>
      <c r="D189" s="54"/>
      <c r="E189" s="47"/>
      <c r="F189" s="54"/>
      <c r="G189" s="54"/>
      <c r="H189" s="47"/>
      <c r="I189" s="54"/>
      <c r="J189" s="54"/>
      <c r="K189" s="47"/>
      <c r="L189" s="54"/>
      <c r="M189" s="54"/>
      <c r="N189" s="47"/>
      <c r="O189" s="54"/>
      <c r="P189" s="54"/>
      <c r="Q189" s="47"/>
      <c r="R189" s="54"/>
      <c r="S189" s="54"/>
      <c r="T189" s="47"/>
      <c r="U189" s="54"/>
      <c r="V189" s="54"/>
      <c r="W189" s="47"/>
      <c r="X189" s="54"/>
      <c r="Y189" s="54"/>
      <c r="Z189" s="47"/>
      <c r="AA189" s="54"/>
      <c r="AB189" s="54"/>
      <c r="AC189" s="47"/>
      <c r="AD189" s="54"/>
      <c r="AE189" s="73"/>
    </row>
    <row r="190" spans="1:31" s="57" customFormat="1" ht="13.5" x14ac:dyDescent="0.3">
      <c r="A190" s="54"/>
      <c r="B190" s="46"/>
      <c r="C190" s="54"/>
      <c r="D190" s="54"/>
      <c r="E190" s="47"/>
      <c r="F190" s="54"/>
      <c r="G190" s="54"/>
      <c r="H190" s="47"/>
      <c r="I190" s="54"/>
      <c r="J190" s="54"/>
      <c r="K190" s="47"/>
      <c r="L190" s="54"/>
      <c r="M190" s="54"/>
      <c r="N190" s="47"/>
      <c r="O190" s="54"/>
      <c r="P190" s="54"/>
      <c r="Q190" s="47"/>
      <c r="R190" s="54"/>
      <c r="S190" s="54"/>
      <c r="T190" s="47"/>
      <c r="U190" s="54"/>
      <c r="V190" s="54"/>
      <c r="W190" s="47"/>
      <c r="X190" s="54"/>
      <c r="Y190" s="54"/>
      <c r="Z190" s="47"/>
      <c r="AA190" s="54"/>
      <c r="AB190" s="54"/>
      <c r="AC190" s="47"/>
      <c r="AD190" s="54"/>
      <c r="AE190" s="73"/>
    </row>
    <row r="191" spans="1:31" s="57" customFormat="1" ht="13.5" x14ac:dyDescent="0.3">
      <c r="A191" s="54"/>
      <c r="B191" s="46"/>
      <c r="C191" s="54"/>
      <c r="D191" s="54"/>
      <c r="E191" s="47"/>
      <c r="F191" s="54"/>
      <c r="G191" s="54"/>
      <c r="H191" s="47"/>
      <c r="I191" s="54"/>
      <c r="J191" s="54"/>
      <c r="K191" s="47"/>
      <c r="L191" s="54"/>
      <c r="M191" s="54"/>
      <c r="N191" s="47"/>
      <c r="O191" s="54"/>
      <c r="P191" s="54"/>
      <c r="Q191" s="47"/>
      <c r="R191" s="54"/>
      <c r="S191" s="54"/>
      <c r="T191" s="47"/>
      <c r="U191" s="54"/>
      <c r="V191" s="54"/>
      <c r="W191" s="47"/>
      <c r="X191" s="54"/>
      <c r="Y191" s="54"/>
      <c r="Z191" s="47"/>
      <c r="AA191" s="54"/>
      <c r="AB191" s="54"/>
      <c r="AC191" s="47"/>
      <c r="AD191" s="54"/>
      <c r="AE191" s="73"/>
    </row>
    <row r="192" spans="1:31" s="57" customFormat="1" ht="13.5" x14ac:dyDescent="0.3">
      <c r="A192" s="54"/>
      <c r="B192" s="46"/>
      <c r="C192" s="54"/>
      <c r="D192" s="54"/>
      <c r="E192" s="47"/>
      <c r="F192" s="54"/>
      <c r="G192" s="54"/>
      <c r="H192" s="47"/>
      <c r="I192" s="54"/>
      <c r="J192" s="54"/>
      <c r="K192" s="47"/>
      <c r="L192" s="54"/>
      <c r="M192" s="54"/>
      <c r="N192" s="47"/>
      <c r="O192" s="54"/>
      <c r="P192" s="54"/>
      <c r="Q192" s="47"/>
      <c r="R192" s="54"/>
      <c r="S192" s="54"/>
      <c r="T192" s="47"/>
      <c r="U192" s="54"/>
      <c r="V192" s="54"/>
      <c r="W192" s="47"/>
      <c r="X192" s="54"/>
      <c r="Y192" s="54"/>
      <c r="Z192" s="47"/>
      <c r="AA192" s="54"/>
      <c r="AB192" s="54"/>
      <c r="AC192" s="47"/>
      <c r="AD192" s="54"/>
      <c r="AE192" s="73"/>
    </row>
    <row r="193" spans="1:31" s="57" customFormat="1" ht="13.5" x14ac:dyDescent="0.3">
      <c r="A193" s="54"/>
      <c r="B193" s="46"/>
      <c r="C193" s="54"/>
      <c r="D193" s="54"/>
      <c r="E193" s="47"/>
      <c r="F193" s="54"/>
      <c r="G193" s="54"/>
      <c r="H193" s="47"/>
      <c r="I193" s="54"/>
      <c r="J193" s="54"/>
      <c r="K193" s="47"/>
      <c r="L193" s="54"/>
      <c r="M193" s="54"/>
      <c r="N193" s="47"/>
      <c r="O193" s="54"/>
      <c r="P193" s="54"/>
      <c r="Q193" s="47"/>
      <c r="R193" s="54"/>
      <c r="S193" s="54"/>
      <c r="T193" s="47"/>
      <c r="U193" s="54"/>
      <c r="V193" s="54"/>
      <c r="W193" s="47"/>
      <c r="X193" s="54"/>
      <c r="Y193" s="54"/>
      <c r="Z193" s="47"/>
      <c r="AA193" s="54"/>
      <c r="AB193" s="54"/>
      <c r="AC193" s="47"/>
      <c r="AD193" s="54"/>
      <c r="AE193" s="73"/>
    </row>
    <row r="194" spans="1:31" s="57" customFormat="1" ht="13.5" x14ac:dyDescent="0.3">
      <c r="A194" s="54"/>
      <c r="B194" s="46"/>
      <c r="C194" s="54"/>
      <c r="D194" s="54"/>
      <c r="E194" s="47"/>
      <c r="F194" s="54"/>
      <c r="G194" s="54"/>
      <c r="H194" s="47"/>
      <c r="I194" s="54"/>
      <c r="J194" s="54"/>
      <c r="K194" s="47"/>
      <c r="L194" s="54"/>
      <c r="M194" s="54"/>
      <c r="N194" s="47"/>
      <c r="O194" s="54"/>
      <c r="P194" s="54"/>
      <c r="Q194" s="47"/>
      <c r="R194" s="54"/>
      <c r="S194" s="54"/>
      <c r="T194" s="47"/>
      <c r="U194" s="54"/>
      <c r="V194" s="54"/>
      <c r="W194" s="47"/>
      <c r="X194" s="54"/>
      <c r="Y194" s="54"/>
      <c r="Z194" s="47"/>
      <c r="AA194" s="54"/>
      <c r="AB194" s="54"/>
      <c r="AC194" s="47"/>
      <c r="AD194" s="54"/>
      <c r="AE194" s="73"/>
    </row>
    <row r="195" spans="1:31" s="57" customFormat="1" ht="13.5" x14ac:dyDescent="0.3">
      <c r="A195" s="54"/>
      <c r="B195" s="46"/>
      <c r="C195" s="54"/>
      <c r="D195" s="54"/>
      <c r="E195" s="47"/>
      <c r="F195" s="54"/>
      <c r="G195" s="54"/>
      <c r="H195" s="47"/>
      <c r="I195" s="54"/>
      <c r="J195" s="54"/>
      <c r="K195" s="47"/>
      <c r="L195" s="54"/>
      <c r="M195" s="54"/>
      <c r="N195" s="47"/>
      <c r="O195" s="54"/>
      <c r="P195" s="54"/>
      <c r="Q195" s="47"/>
      <c r="R195" s="54"/>
      <c r="S195" s="54"/>
      <c r="T195" s="47"/>
      <c r="U195" s="54"/>
      <c r="V195" s="54"/>
      <c r="W195" s="47"/>
      <c r="X195" s="54"/>
      <c r="Y195" s="54"/>
      <c r="Z195" s="47"/>
      <c r="AA195" s="54"/>
      <c r="AB195" s="54"/>
      <c r="AC195" s="47"/>
      <c r="AD195" s="54"/>
      <c r="AE195" s="73"/>
    </row>
    <row r="196" spans="1:31" s="57" customFormat="1" ht="13.5" x14ac:dyDescent="0.3">
      <c r="A196" s="54"/>
      <c r="B196" s="46"/>
      <c r="C196" s="54"/>
      <c r="D196" s="54"/>
      <c r="E196" s="47"/>
      <c r="F196" s="54"/>
      <c r="G196" s="54"/>
      <c r="H196" s="47"/>
      <c r="I196" s="54"/>
      <c r="J196" s="54"/>
      <c r="K196" s="47"/>
      <c r="L196" s="54"/>
      <c r="M196" s="54"/>
      <c r="N196" s="47"/>
      <c r="O196" s="54"/>
      <c r="P196" s="54"/>
      <c r="Q196" s="47"/>
      <c r="R196" s="54"/>
      <c r="S196" s="54"/>
      <c r="T196" s="47"/>
      <c r="U196" s="54"/>
      <c r="V196" s="54"/>
      <c r="W196" s="47"/>
      <c r="X196" s="54"/>
      <c r="Y196" s="54"/>
      <c r="Z196" s="47"/>
      <c r="AA196" s="54"/>
      <c r="AB196" s="54"/>
      <c r="AC196" s="47"/>
      <c r="AD196" s="54"/>
      <c r="AE196" s="73"/>
    </row>
    <row r="197" spans="1:31" s="57" customFormat="1" ht="13.5" x14ac:dyDescent="0.3">
      <c r="A197" s="54"/>
      <c r="B197" s="46"/>
      <c r="C197" s="54"/>
      <c r="D197" s="54"/>
      <c r="E197" s="47"/>
      <c r="F197" s="54"/>
      <c r="G197" s="54"/>
      <c r="H197" s="47"/>
      <c r="I197" s="54"/>
      <c r="J197" s="54"/>
      <c r="K197" s="47"/>
      <c r="L197" s="54"/>
      <c r="M197" s="54"/>
      <c r="N197" s="47"/>
      <c r="O197" s="54"/>
      <c r="P197" s="54"/>
      <c r="Q197" s="47"/>
      <c r="R197" s="54"/>
      <c r="S197" s="54"/>
      <c r="T197" s="47"/>
      <c r="U197" s="54"/>
      <c r="V197" s="54"/>
      <c r="W197" s="47"/>
      <c r="X197" s="54"/>
      <c r="Y197" s="54"/>
      <c r="Z197" s="47"/>
      <c r="AA197" s="54"/>
      <c r="AB197" s="54"/>
      <c r="AC197" s="47"/>
      <c r="AD197" s="54"/>
      <c r="AE197" s="73"/>
    </row>
    <row r="198" spans="1:31" s="57" customFormat="1" ht="13.5" x14ac:dyDescent="0.3">
      <c r="A198" s="54"/>
      <c r="B198" s="46"/>
      <c r="C198" s="54"/>
      <c r="D198" s="54"/>
      <c r="E198" s="47"/>
      <c r="F198" s="54"/>
      <c r="G198" s="54"/>
      <c r="H198" s="47"/>
      <c r="I198" s="54"/>
      <c r="J198" s="54"/>
      <c r="K198" s="47"/>
      <c r="L198" s="54"/>
      <c r="M198" s="54"/>
      <c r="N198" s="47"/>
      <c r="O198" s="54"/>
      <c r="P198" s="54"/>
      <c r="Q198" s="47"/>
      <c r="R198" s="54"/>
      <c r="S198" s="54"/>
      <c r="T198" s="47"/>
      <c r="U198" s="54"/>
      <c r="V198" s="54"/>
      <c r="W198" s="47"/>
      <c r="X198" s="54"/>
      <c r="Y198" s="54"/>
      <c r="Z198" s="47"/>
      <c r="AA198" s="54"/>
      <c r="AB198" s="54"/>
      <c r="AC198" s="47"/>
      <c r="AD198" s="54"/>
      <c r="AE198" s="73"/>
    </row>
    <row r="199" spans="1:31" s="57" customFormat="1" ht="13.5" x14ac:dyDescent="0.3">
      <c r="A199" s="54"/>
      <c r="B199" s="46"/>
      <c r="C199" s="54"/>
      <c r="D199" s="54"/>
      <c r="E199" s="47"/>
      <c r="F199" s="54"/>
      <c r="G199" s="54"/>
      <c r="H199" s="47"/>
      <c r="I199" s="54"/>
      <c r="J199" s="54"/>
      <c r="K199" s="47"/>
      <c r="L199" s="54"/>
      <c r="M199" s="54"/>
      <c r="N199" s="47"/>
      <c r="O199" s="54"/>
      <c r="P199" s="54"/>
      <c r="Q199" s="47"/>
      <c r="R199" s="54"/>
      <c r="S199" s="54"/>
      <c r="T199" s="47"/>
      <c r="U199" s="54"/>
      <c r="V199" s="54"/>
      <c r="W199" s="47"/>
      <c r="X199" s="54"/>
      <c r="Y199" s="54"/>
      <c r="Z199" s="47"/>
      <c r="AA199" s="54"/>
      <c r="AB199" s="54"/>
      <c r="AC199" s="47"/>
      <c r="AD199" s="54"/>
      <c r="AE199" s="73"/>
    </row>
    <row r="200" spans="1:31" s="57" customFormat="1" ht="13.5" x14ac:dyDescent="0.3">
      <c r="A200" s="54"/>
      <c r="B200" s="46"/>
      <c r="C200" s="54"/>
      <c r="D200" s="54"/>
      <c r="E200" s="47"/>
      <c r="F200" s="54"/>
      <c r="G200" s="54"/>
      <c r="H200" s="47"/>
      <c r="I200" s="54"/>
      <c r="J200" s="54"/>
      <c r="K200" s="47"/>
      <c r="L200" s="54"/>
      <c r="M200" s="54"/>
      <c r="N200" s="47"/>
      <c r="O200" s="54"/>
      <c r="P200" s="54"/>
      <c r="Q200" s="47"/>
      <c r="R200" s="54"/>
      <c r="S200" s="54"/>
      <c r="T200" s="47"/>
      <c r="U200" s="54"/>
      <c r="V200" s="54"/>
      <c r="W200" s="47"/>
      <c r="X200" s="54"/>
      <c r="Y200" s="54"/>
      <c r="Z200" s="47"/>
      <c r="AA200" s="54"/>
      <c r="AB200" s="54"/>
      <c r="AC200" s="47"/>
      <c r="AD200" s="54"/>
      <c r="AE200" s="73"/>
    </row>
    <row r="201" spans="1:31" s="57" customFormat="1" ht="13.5" x14ac:dyDescent="0.3">
      <c r="A201" s="54"/>
      <c r="B201" s="46"/>
      <c r="C201" s="54"/>
      <c r="D201" s="54"/>
      <c r="E201" s="47"/>
      <c r="F201" s="54"/>
      <c r="G201" s="54"/>
      <c r="H201" s="47"/>
      <c r="I201" s="54"/>
      <c r="J201" s="54"/>
      <c r="K201" s="47"/>
      <c r="L201" s="54"/>
      <c r="M201" s="54"/>
      <c r="N201" s="47"/>
      <c r="O201" s="54"/>
      <c r="P201" s="54"/>
      <c r="Q201" s="47"/>
      <c r="R201" s="54"/>
      <c r="S201" s="54"/>
      <c r="T201" s="47"/>
      <c r="U201" s="54"/>
      <c r="V201" s="54"/>
      <c r="W201" s="47"/>
      <c r="X201" s="54"/>
      <c r="Y201" s="54"/>
      <c r="Z201" s="47"/>
      <c r="AA201" s="54"/>
      <c r="AB201" s="54"/>
      <c r="AC201" s="47"/>
      <c r="AD201" s="54"/>
      <c r="AE201" s="73"/>
    </row>
    <row r="202" spans="1:31" s="57" customFormat="1" ht="13.5" x14ac:dyDescent="0.3">
      <c r="A202" s="54"/>
      <c r="B202" s="46"/>
      <c r="C202" s="54"/>
      <c r="D202" s="54"/>
      <c r="E202" s="47"/>
      <c r="F202" s="54"/>
      <c r="G202" s="54"/>
      <c r="H202" s="47"/>
      <c r="I202" s="54"/>
      <c r="J202" s="54"/>
      <c r="K202" s="47"/>
      <c r="L202" s="54"/>
      <c r="M202" s="54"/>
      <c r="N202" s="47"/>
      <c r="O202" s="54"/>
      <c r="P202" s="54"/>
      <c r="Q202" s="47"/>
      <c r="R202" s="54"/>
      <c r="S202" s="54"/>
      <c r="T202" s="47"/>
      <c r="U202" s="54"/>
      <c r="V202" s="54"/>
      <c r="W202" s="47"/>
      <c r="X202" s="54"/>
      <c r="Y202" s="54"/>
      <c r="Z202" s="47"/>
      <c r="AA202" s="54"/>
      <c r="AB202" s="54"/>
      <c r="AC202" s="47"/>
      <c r="AD202" s="54"/>
      <c r="AE202" s="73"/>
    </row>
    <row r="203" spans="1:31" s="57" customFormat="1" ht="13.5" x14ac:dyDescent="0.3">
      <c r="A203" s="54"/>
      <c r="B203" s="46"/>
      <c r="C203" s="54"/>
      <c r="D203" s="54"/>
      <c r="E203" s="47"/>
      <c r="F203" s="54"/>
      <c r="G203" s="54"/>
      <c r="H203" s="47"/>
      <c r="I203" s="54"/>
      <c r="J203" s="54"/>
      <c r="K203" s="47"/>
      <c r="L203" s="54"/>
      <c r="M203" s="54"/>
      <c r="N203" s="47"/>
      <c r="O203" s="54"/>
      <c r="P203" s="54"/>
      <c r="Q203" s="47"/>
      <c r="R203" s="54"/>
      <c r="S203" s="54"/>
      <c r="T203" s="47"/>
      <c r="U203" s="54"/>
      <c r="V203" s="54"/>
      <c r="W203" s="47"/>
      <c r="X203" s="54"/>
      <c r="Y203" s="54"/>
      <c r="Z203" s="47"/>
      <c r="AA203" s="54"/>
      <c r="AB203" s="54"/>
      <c r="AC203" s="47"/>
      <c r="AD203" s="54"/>
      <c r="AE203" s="73"/>
    </row>
    <row r="204" spans="1:31" s="57" customFormat="1" ht="13.5" x14ac:dyDescent="0.3">
      <c r="A204" s="54"/>
      <c r="B204" s="46"/>
      <c r="C204" s="54"/>
      <c r="D204" s="54"/>
      <c r="E204" s="47"/>
      <c r="F204" s="54"/>
      <c r="G204" s="54"/>
      <c r="H204" s="47"/>
      <c r="I204" s="54"/>
      <c r="J204" s="54"/>
      <c r="K204" s="47"/>
      <c r="L204" s="54"/>
      <c r="M204" s="54"/>
      <c r="N204" s="47"/>
      <c r="O204" s="54"/>
      <c r="P204" s="54"/>
      <c r="Q204" s="47"/>
      <c r="R204" s="54"/>
      <c r="S204" s="54"/>
      <c r="T204" s="47"/>
      <c r="U204" s="54"/>
      <c r="V204" s="54"/>
      <c r="W204" s="47"/>
      <c r="X204" s="54"/>
      <c r="Y204" s="54"/>
      <c r="Z204" s="47"/>
      <c r="AA204" s="54"/>
      <c r="AB204" s="54"/>
      <c r="AC204" s="47"/>
      <c r="AD204" s="54"/>
      <c r="AE204" s="73"/>
    </row>
    <row r="205" spans="1:31" s="57" customFormat="1" ht="13.5" x14ac:dyDescent="0.3">
      <c r="A205" s="54"/>
      <c r="B205" s="46"/>
      <c r="C205" s="54"/>
      <c r="D205" s="54"/>
      <c r="E205" s="47"/>
      <c r="F205" s="54"/>
      <c r="G205" s="54"/>
      <c r="H205" s="47"/>
      <c r="I205" s="54"/>
      <c r="J205" s="54"/>
      <c r="K205" s="47"/>
      <c r="L205" s="54"/>
      <c r="M205" s="54"/>
      <c r="N205" s="47"/>
      <c r="O205" s="54"/>
      <c r="P205" s="54"/>
      <c r="Q205" s="47"/>
      <c r="R205" s="54"/>
      <c r="S205" s="54"/>
      <c r="T205" s="47"/>
      <c r="U205" s="54"/>
      <c r="V205" s="54"/>
      <c r="W205" s="47"/>
      <c r="X205" s="54"/>
      <c r="Y205" s="54"/>
      <c r="Z205" s="47"/>
      <c r="AA205" s="54"/>
      <c r="AB205" s="54"/>
      <c r="AC205" s="47"/>
      <c r="AD205" s="54"/>
      <c r="AE205" s="73"/>
    </row>
    <row r="206" spans="1:31" s="57" customFormat="1" ht="13.5" x14ac:dyDescent="0.3">
      <c r="A206" s="54"/>
      <c r="B206" s="46"/>
      <c r="C206" s="54"/>
      <c r="D206" s="54"/>
      <c r="E206" s="47"/>
      <c r="F206" s="54"/>
      <c r="G206" s="54"/>
      <c r="H206" s="47"/>
      <c r="I206" s="54"/>
      <c r="J206" s="54"/>
      <c r="K206" s="47"/>
      <c r="L206" s="54"/>
      <c r="M206" s="54"/>
      <c r="N206" s="47"/>
      <c r="O206" s="54"/>
      <c r="P206" s="54"/>
      <c r="Q206" s="47"/>
      <c r="R206" s="54"/>
      <c r="S206" s="54"/>
      <c r="T206" s="47"/>
      <c r="U206" s="54"/>
      <c r="V206" s="54"/>
      <c r="W206" s="47"/>
      <c r="X206" s="54"/>
      <c r="Y206" s="54"/>
      <c r="Z206" s="47"/>
      <c r="AA206" s="54"/>
      <c r="AB206" s="54"/>
      <c r="AC206" s="47"/>
      <c r="AD206" s="54"/>
      <c r="AE206" s="73"/>
    </row>
    <row r="207" spans="1:31" s="57" customFormat="1" ht="13.5" x14ac:dyDescent="0.3">
      <c r="A207" s="54"/>
      <c r="B207" s="46"/>
      <c r="C207" s="54"/>
      <c r="D207" s="54"/>
      <c r="E207" s="47"/>
      <c r="F207" s="54"/>
      <c r="G207" s="54"/>
      <c r="H207" s="47"/>
      <c r="I207" s="54"/>
      <c r="J207" s="54"/>
      <c r="K207" s="47"/>
      <c r="L207" s="54"/>
      <c r="M207" s="54"/>
      <c r="N207" s="47"/>
      <c r="O207" s="54"/>
      <c r="P207" s="54"/>
      <c r="Q207" s="47"/>
      <c r="R207" s="54"/>
      <c r="S207" s="54"/>
      <c r="T207" s="47"/>
      <c r="U207" s="54"/>
      <c r="V207" s="54"/>
      <c r="W207" s="47"/>
      <c r="X207" s="54"/>
      <c r="Y207" s="54"/>
      <c r="Z207" s="47"/>
      <c r="AA207" s="54"/>
      <c r="AB207" s="54"/>
      <c r="AC207" s="47"/>
      <c r="AD207" s="54"/>
      <c r="AE207" s="73"/>
    </row>
    <row r="208" spans="1:31" s="57" customFormat="1" ht="13.5" x14ac:dyDescent="0.3">
      <c r="A208" s="54"/>
      <c r="B208" s="46"/>
      <c r="C208" s="54"/>
      <c r="D208" s="54"/>
      <c r="E208" s="47"/>
      <c r="F208" s="54"/>
      <c r="G208" s="54"/>
      <c r="H208" s="47"/>
      <c r="I208" s="54"/>
      <c r="J208" s="54"/>
      <c r="K208" s="47"/>
      <c r="L208" s="54"/>
      <c r="M208" s="54"/>
      <c r="N208" s="47"/>
      <c r="O208" s="54"/>
      <c r="P208" s="54"/>
      <c r="Q208" s="47"/>
      <c r="R208" s="54"/>
      <c r="S208" s="54"/>
      <c r="T208" s="47"/>
      <c r="U208" s="54"/>
      <c r="V208" s="54"/>
      <c r="W208" s="47"/>
      <c r="X208" s="54"/>
      <c r="Y208" s="54"/>
      <c r="Z208" s="47"/>
      <c r="AA208" s="54"/>
      <c r="AB208" s="54"/>
      <c r="AC208" s="47"/>
      <c r="AD208" s="54"/>
      <c r="AE208" s="73"/>
    </row>
    <row r="209" spans="1:31" s="57" customFormat="1" ht="13.5" x14ac:dyDescent="0.3">
      <c r="A209" s="54"/>
      <c r="B209" s="46"/>
      <c r="C209" s="54"/>
      <c r="D209" s="54"/>
      <c r="E209" s="47"/>
      <c r="F209" s="54"/>
      <c r="G209" s="54"/>
      <c r="H209" s="47"/>
      <c r="I209" s="54"/>
      <c r="J209" s="54"/>
      <c r="K209" s="47"/>
      <c r="L209" s="54"/>
      <c r="M209" s="54"/>
      <c r="N209" s="47"/>
      <c r="O209" s="54"/>
      <c r="P209" s="54"/>
      <c r="Q209" s="47"/>
      <c r="R209" s="54"/>
      <c r="S209" s="54"/>
      <c r="T209" s="47"/>
      <c r="U209" s="54"/>
      <c r="V209" s="54"/>
      <c r="W209" s="47"/>
      <c r="X209" s="54"/>
      <c r="Y209" s="54"/>
      <c r="Z209" s="47"/>
      <c r="AA209" s="54"/>
      <c r="AB209" s="54"/>
      <c r="AC209" s="47"/>
      <c r="AD209" s="54"/>
      <c r="AE209" s="73"/>
    </row>
    <row r="210" spans="1:31" s="57" customFormat="1" ht="13.5" x14ac:dyDescent="0.3">
      <c r="A210" s="54"/>
      <c r="B210" s="46"/>
      <c r="C210" s="54"/>
      <c r="D210" s="54"/>
      <c r="E210" s="47"/>
      <c r="F210" s="54"/>
      <c r="G210" s="54"/>
      <c r="H210" s="47"/>
      <c r="I210" s="54"/>
      <c r="J210" s="54"/>
      <c r="K210" s="47"/>
      <c r="L210" s="54"/>
      <c r="M210" s="54"/>
      <c r="N210" s="47"/>
      <c r="O210" s="54"/>
      <c r="P210" s="54"/>
      <c r="Q210" s="47"/>
      <c r="R210" s="54"/>
      <c r="S210" s="54"/>
      <c r="T210" s="47"/>
      <c r="U210" s="54"/>
      <c r="V210" s="54"/>
      <c r="W210" s="47"/>
      <c r="X210" s="54"/>
      <c r="Y210" s="54"/>
      <c r="Z210" s="47"/>
      <c r="AA210" s="54"/>
      <c r="AB210" s="54"/>
      <c r="AC210" s="47"/>
      <c r="AD210" s="54"/>
      <c r="AE210" s="73"/>
    </row>
    <row r="211" spans="1:31" s="57" customFormat="1" ht="13.5" x14ac:dyDescent="0.3">
      <c r="A211" s="54"/>
      <c r="B211" s="46"/>
      <c r="C211" s="54"/>
      <c r="D211" s="54"/>
      <c r="E211" s="47"/>
      <c r="F211" s="54"/>
      <c r="G211" s="54"/>
      <c r="H211" s="47"/>
      <c r="I211" s="54"/>
      <c r="J211" s="54"/>
      <c r="K211" s="47"/>
      <c r="L211" s="54"/>
      <c r="M211" s="54"/>
      <c r="N211" s="47"/>
      <c r="O211" s="54"/>
      <c r="P211" s="54"/>
      <c r="Q211" s="47"/>
      <c r="R211" s="54"/>
      <c r="S211" s="54"/>
      <c r="T211" s="47"/>
      <c r="U211" s="54"/>
      <c r="V211" s="54"/>
      <c r="W211" s="47"/>
      <c r="X211" s="54"/>
      <c r="Y211" s="54"/>
      <c r="Z211" s="47"/>
      <c r="AA211" s="54"/>
      <c r="AB211" s="54"/>
      <c r="AC211" s="47"/>
      <c r="AD211" s="54"/>
      <c r="AE211" s="73"/>
    </row>
    <row r="212" spans="1:31" s="57" customFormat="1" ht="13.5" x14ac:dyDescent="0.3">
      <c r="A212" s="54"/>
      <c r="B212" s="46"/>
      <c r="C212" s="54"/>
      <c r="D212" s="54"/>
      <c r="E212" s="47"/>
      <c r="F212" s="54"/>
      <c r="G212" s="54"/>
      <c r="H212" s="47"/>
      <c r="I212" s="54"/>
      <c r="J212" s="54"/>
      <c r="K212" s="47"/>
      <c r="L212" s="54"/>
      <c r="M212" s="54"/>
      <c r="N212" s="47"/>
      <c r="O212" s="54"/>
      <c r="P212" s="54"/>
      <c r="Q212" s="47"/>
      <c r="R212" s="54"/>
      <c r="S212" s="54"/>
      <c r="T212" s="47"/>
      <c r="U212" s="54"/>
      <c r="V212" s="54"/>
      <c r="W212" s="47"/>
      <c r="X212" s="54"/>
      <c r="Y212" s="54"/>
      <c r="Z212" s="47"/>
      <c r="AA212" s="54"/>
      <c r="AB212" s="54"/>
      <c r="AC212" s="47"/>
      <c r="AD212" s="54"/>
      <c r="AE212" s="73"/>
    </row>
    <row r="213" spans="1:31" s="57" customFormat="1" ht="13.5" x14ac:dyDescent="0.3">
      <c r="A213" s="54"/>
      <c r="B213" s="46"/>
      <c r="C213" s="54"/>
      <c r="D213" s="54"/>
      <c r="E213" s="47"/>
      <c r="F213" s="54"/>
      <c r="G213" s="54"/>
      <c r="H213" s="47"/>
      <c r="I213" s="54"/>
      <c r="J213" s="54"/>
      <c r="K213" s="47"/>
      <c r="L213" s="54"/>
      <c r="M213" s="54"/>
      <c r="N213" s="47"/>
      <c r="O213" s="54"/>
      <c r="P213" s="54"/>
      <c r="Q213" s="47"/>
      <c r="R213" s="54"/>
      <c r="S213" s="54"/>
      <c r="T213" s="47"/>
      <c r="U213" s="54"/>
      <c r="V213" s="54"/>
      <c r="W213" s="47"/>
      <c r="X213" s="54"/>
      <c r="Y213" s="54"/>
      <c r="Z213" s="47"/>
      <c r="AA213" s="54"/>
      <c r="AB213" s="54"/>
      <c r="AC213" s="47"/>
      <c r="AD213" s="54"/>
      <c r="AE213" s="73"/>
    </row>
    <row r="214" spans="1:31" s="57" customFormat="1" ht="13.5" x14ac:dyDescent="0.3">
      <c r="A214" s="54"/>
      <c r="B214" s="46"/>
      <c r="C214" s="54"/>
      <c r="D214" s="54"/>
      <c r="E214" s="47"/>
      <c r="F214" s="54"/>
      <c r="G214" s="54"/>
      <c r="H214" s="47"/>
      <c r="I214" s="54"/>
      <c r="J214" s="54"/>
      <c r="K214" s="47"/>
      <c r="L214" s="54"/>
      <c r="M214" s="54"/>
      <c r="N214" s="47"/>
      <c r="O214" s="54"/>
      <c r="P214" s="54"/>
      <c r="Q214" s="47"/>
      <c r="R214" s="54"/>
      <c r="S214" s="54"/>
      <c r="T214" s="47"/>
      <c r="U214" s="54"/>
      <c r="V214" s="54"/>
      <c r="W214" s="47"/>
      <c r="X214" s="54"/>
      <c r="Y214" s="54"/>
      <c r="Z214" s="47"/>
      <c r="AA214" s="54"/>
      <c r="AB214" s="54"/>
      <c r="AC214" s="47"/>
      <c r="AD214" s="54"/>
      <c r="AE214" s="73"/>
    </row>
    <row r="215" spans="1:31" s="57" customFormat="1" ht="13.5" x14ac:dyDescent="0.3">
      <c r="A215" s="54"/>
      <c r="B215" s="46"/>
      <c r="C215" s="54"/>
      <c r="D215" s="54"/>
      <c r="E215" s="47"/>
      <c r="F215" s="54"/>
      <c r="G215" s="54"/>
      <c r="H215" s="47"/>
      <c r="I215" s="54"/>
      <c r="J215" s="54"/>
      <c r="K215" s="47"/>
      <c r="L215" s="54"/>
      <c r="M215" s="54"/>
      <c r="N215" s="47"/>
      <c r="O215" s="54"/>
      <c r="P215" s="54"/>
      <c r="Q215" s="47"/>
      <c r="R215" s="54"/>
      <c r="S215" s="54"/>
      <c r="T215" s="47"/>
      <c r="U215" s="54"/>
      <c r="V215" s="54"/>
      <c r="W215" s="47"/>
      <c r="X215" s="54"/>
      <c r="Y215" s="54"/>
      <c r="Z215" s="47"/>
      <c r="AA215" s="54"/>
      <c r="AB215" s="54"/>
      <c r="AC215" s="47"/>
      <c r="AD215" s="54"/>
      <c r="AE215" s="73"/>
    </row>
    <row r="216" spans="1:31" s="57" customFormat="1" ht="13.5" x14ac:dyDescent="0.3">
      <c r="A216" s="54"/>
      <c r="B216" s="46"/>
      <c r="C216" s="54"/>
      <c r="D216" s="54"/>
      <c r="E216" s="47"/>
      <c r="F216" s="54"/>
      <c r="G216" s="54"/>
      <c r="H216" s="47"/>
      <c r="I216" s="54"/>
      <c r="J216" s="54"/>
      <c r="K216" s="47"/>
      <c r="L216" s="54"/>
      <c r="M216" s="54"/>
      <c r="N216" s="47"/>
      <c r="O216" s="54"/>
      <c r="P216" s="54"/>
      <c r="Q216" s="47"/>
      <c r="R216" s="54"/>
      <c r="S216" s="54"/>
      <c r="T216" s="47"/>
      <c r="U216" s="54"/>
      <c r="V216" s="54"/>
      <c r="W216" s="47"/>
      <c r="X216" s="54"/>
      <c r="Y216" s="54"/>
      <c r="Z216" s="47"/>
      <c r="AA216" s="54"/>
      <c r="AB216" s="54"/>
      <c r="AC216" s="47"/>
      <c r="AD216" s="54"/>
      <c r="AE216" s="73"/>
    </row>
    <row r="217" spans="1:31" s="57" customFormat="1" ht="13.5" x14ac:dyDescent="0.3">
      <c r="A217" s="54"/>
      <c r="B217" s="46"/>
      <c r="C217" s="54"/>
      <c r="D217" s="54"/>
      <c r="E217" s="47"/>
      <c r="F217" s="54"/>
      <c r="G217" s="54"/>
      <c r="H217" s="47"/>
      <c r="I217" s="54"/>
      <c r="J217" s="54"/>
      <c r="K217" s="47"/>
      <c r="L217" s="54"/>
      <c r="M217" s="54"/>
      <c r="N217" s="47"/>
      <c r="O217" s="54"/>
      <c r="P217" s="54"/>
      <c r="Q217" s="47"/>
      <c r="R217" s="54"/>
      <c r="S217" s="54"/>
      <c r="T217" s="47"/>
      <c r="U217" s="54"/>
      <c r="V217" s="54"/>
      <c r="W217" s="47"/>
      <c r="X217" s="54"/>
      <c r="Y217" s="54"/>
      <c r="Z217" s="47"/>
      <c r="AA217" s="54"/>
      <c r="AB217" s="54"/>
      <c r="AC217" s="47"/>
      <c r="AD217" s="54"/>
      <c r="AE217" s="73"/>
    </row>
    <row r="218" spans="1:31" s="57" customFormat="1" ht="13.5" x14ac:dyDescent="0.3">
      <c r="A218" s="54"/>
      <c r="B218" s="46"/>
      <c r="C218" s="54"/>
      <c r="D218" s="54"/>
      <c r="E218" s="47"/>
      <c r="F218" s="54"/>
      <c r="G218" s="54"/>
      <c r="H218" s="47"/>
      <c r="I218" s="54"/>
      <c r="J218" s="54"/>
      <c r="K218" s="47"/>
      <c r="L218" s="54"/>
      <c r="M218" s="54"/>
      <c r="N218" s="47"/>
      <c r="O218" s="54"/>
      <c r="P218" s="54"/>
      <c r="Q218" s="47"/>
      <c r="R218" s="54"/>
      <c r="S218" s="54"/>
      <c r="T218" s="47"/>
      <c r="U218" s="54"/>
      <c r="V218" s="54"/>
      <c r="W218" s="47"/>
      <c r="X218" s="54"/>
      <c r="Y218" s="54"/>
      <c r="Z218" s="47"/>
      <c r="AA218" s="54"/>
      <c r="AB218" s="54"/>
      <c r="AC218" s="47"/>
      <c r="AD218" s="54"/>
      <c r="AE218" s="73"/>
    </row>
    <row r="219" spans="1:31" s="57" customFormat="1" ht="13.5" x14ac:dyDescent="0.3">
      <c r="A219" s="54"/>
      <c r="B219" s="46"/>
      <c r="C219" s="54"/>
      <c r="D219" s="54"/>
      <c r="E219" s="47"/>
      <c r="F219" s="54"/>
      <c r="G219" s="54"/>
      <c r="H219" s="47"/>
      <c r="I219" s="54"/>
      <c r="J219" s="54"/>
      <c r="K219" s="47"/>
      <c r="L219" s="54"/>
      <c r="M219" s="54"/>
      <c r="N219" s="47"/>
      <c r="O219" s="54"/>
      <c r="P219" s="54"/>
      <c r="Q219" s="47"/>
      <c r="R219" s="54"/>
      <c r="S219" s="54"/>
      <c r="T219" s="47"/>
      <c r="U219" s="54"/>
      <c r="V219" s="54"/>
      <c r="W219" s="47"/>
      <c r="X219" s="54"/>
      <c r="Y219" s="54"/>
      <c r="Z219" s="47"/>
      <c r="AA219" s="54"/>
      <c r="AB219" s="54"/>
      <c r="AC219" s="47"/>
      <c r="AD219" s="54"/>
      <c r="AE219" s="73"/>
    </row>
    <row r="220" spans="1:31" s="57" customFormat="1" ht="13.5" x14ac:dyDescent="0.3">
      <c r="A220" s="54"/>
      <c r="B220" s="46"/>
      <c r="C220" s="54"/>
      <c r="D220" s="54"/>
      <c r="E220" s="47"/>
      <c r="F220" s="54"/>
      <c r="G220" s="54"/>
      <c r="H220" s="47"/>
      <c r="I220" s="54"/>
      <c r="J220" s="54"/>
      <c r="K220" s="47"/>
      <c r="L220" s="54"/>
      <c r="M220" s="54"/>
      <c r="N220" s="47"/>
      <c r="O220" s="54"/>
      <c r="P220" s="54"/>
      <c r="Q220" s="47"/>
      <c r="R220" s="54"/>
      <c r="S220" s="54"/>
      <c r="T220" s="47"/>
      <c r="U220" s="54"/>
      <c r="V220" s="54"/>
      <c r="W220" s="47"/>
      <c r="X220" s="54"/>
      <c r="Y220" s="54"/>
      <c r="Z220" s="47"/>
      <c r="AA220" s="54"/>
      <c r="AB220" s="54"/>
      <c r="AC220" s="47"/>
      <c r="AD220" s="54"/>
      <c r="AE220" s="73"/>
    </row>
    <row r="221" spans="1:31" s="57" customFormat="1" ht="13.5" x14ac:dyDescent="0.3">
      <c r="A221" s="54"/>
      <c r="B221" s="46"/>
      <c r="C221" s="54"/>
      <c r="D221" s="54"/>
      <c r="E221" s="47"/>
      <c r="F221" s="54"/>
      <c r="G221" s="54"/>
      <c r="H221" s="47"/>
      <c r="I221" s="54"/>
      <c r="J221" s="54"/>
      <c r="K221" s="47"/>
      <c r="L221" s="54"/>
      <c r="M221" s="54"/>
      <c r="N221" s="47"/>
      <c r="O221" s="54"/>
      <c r="P221" s="54"/>
      <c r="Q221" s="47"/>
      <c r="R221" s="54"/>
      <c r="S221" s="54"/>
      <c r="T221" s="47"/>
      <c r="U221" s="54"/>
      <c r="V221" s="54"/>
      <c r="W221" s="47"/>
      <c r="X221" s="54"/>
      <c r="Y221" s="54"/>
      <c r="Z221" s="47"/>
      <c r="AA221" s="54"/>
      <c r="AB221" s="54"/>
      <c r="AC221" s="47"/>
      <c r="AD221" s="54"/>
      <c r="AE221" s="73"/>
    </row>
    <row r="222" spans="1:31" s="57" customFormat="1" ht="13.5" x14ac:dyDescent="0.3">
      <c r="A222" s="54"/>
      <c r="B222" s="46"/>
      <c r="C222" s="54"/>
      <c r="D222" s="54"/>
      <c r="E222" s="47"/>
      <c r="F222" s="54"/>
      <c r="G222" s="54"/>
      <c r="H222" s="47"/>
      <c r="I222" s="54"/>
      <c r="J222" s="54"/>
      <c r="K222" s="47"/>
      <c r="L222" s="54"/>
      <c r="M222" s="54"/>
      <c r="N222" s="47"/>
      <c r="O222" s="54"/>
      <c r="P222" s="54"/>
      <c r="Q222" s="47"/>
      <c r="R222" s="54"/>
      <c r="S222" s="54"/>
      <c r="T222" s="47"/>
      <c r="U222" s="54"/>
      <c r="V222" s="54"/>
      <c r="W222" s="47"/>
      <c r="X222" s="54"/>
      <c r="Y222" s="54"/>
      <c r="Z222" s="47"/>
      <c r="AA222" s="54"/>
      <c r="AB222" s="54"/>
      <c r="AC222" s="47"/>
      <c r="AD222" s="54"/>
      <c r="AE222" s="73"/>
    </row>
    <row r="223" spans="1:31" s="57" customFormat="1" ht="13.5" x14ac:dyDescent="0.3">
      <c r="A223" s="54"/>
      <c r="B223" s="46"/>
      <c r="C223" s="54"/>
      <c r="D223" s="54"/>
      <c r="E223" s="47"/>
      <c r="F223" s="54"/>
      <c r="G223" s="54"/>
      <c r="H223" s="47"/>
      <c r="I223" s="54"/>
      <c r="J223" s="54"/>
      <c r="K223" s="47"/>
      <c r="L223" s="54"/>
      <c r="M223" s="54"/>
      <c r="N223" s="47"/>
      <c r="O223" s="54"/>
      <c r="P223" s="54"/>
      <c r="Q223" s="47"/>
      <c r="R223" s="54"/>
      <c r="S223" s="54"/>
      <c r="T223" s="47"/>
      <c r="U223" s="54"/>
      <c r="V223" s="54"/>
      <c r="W223" s="47"/>
      <c r="X223" s="54"/>
      <c r="Y223" s="54"/>
      <c r="Z223" s="47"/>
      <c r="AA223" s="54"/>
      <c r="AB223" s="54"/>
      <c r="AC223" s="47"/>
      <c r="AD223" s="54"/>
      <c r="AE223" s="73"/>
    </row>
    <row r="224" spans="1:31" s="57" customFormat="1" ht="13.5" x14ac:dyDescent="0.3">
      <c r="A224" s="54"/>
      <c r="B224" s="46"/>
      <c r="C224" s="54"/>
      <c r="D224" s="54"/>
      <c r="E224" s="47"/>
      <c r="F224" s="54"/>
      <c r="G224" s="54"/>
      <c r="H224" s="47"/>
      <c r="I224" s="54"/>
      <c r="J224" s="54"/>
      <c r="K224" s="47"/>
      <c r="L224" s="54"/>
      <c r="M224" s="54"/>
      <c r="N224" s="47"/>
      <c r="O224" s="54"/>
      <c r="P224" s="54"/>
      <c r="Q224" s="47"/>
      <c r="R224" s="54"/>
      <c r="S224" s="54"/>
      <c r="T224" s="47"/>
      <c r="U224" s="54"/>
      <c r="V224" s="54"/>
      <c r="W224" s="47"/>
      <c r="X224" s="54"/>
      <c r="Y224" s="54"/>
      <c r="Z224" s="47"/>
      <c r="AA224" s="54"/>
      <c r="AB224" s="54"/>
      <c r="AC224" s="47"/>
      <c r="AD224" s="54"/>
      <c r="AE224" s="73"/>
    </row>
    <row r="225" spans="1:31" s="57" customFormat="1" ht="13.5" x14ac:dyDescent="0.3">
      <c r="A225" s="54"/>
      <c r="B225" s="46"/>
      <c r="C225" s="54"/>
      <c r="D225" s="54"/>
      <c r="E225" s="47"/>
      <c r="F225" s="54"/>
      <c r="G225" s="54"/>
      <c r="H225" s="47"/>
      <c r="I225" s="54"/>
      <c r="J225" s="54"/>
      <c r="K225" s="47"/>
      <c r="L225" s="54"/>
      <c r="M225" s="54"/>
      <c r="N225" s="47"/>
      <c r="O225" s="54"/>
      <c r="P225" s="54"/>
      <c r="Q225" s="47"/>
      <c r="R225" s="54"/>
      <c r="S225" s="54"/>
      <c r="T225" s="47"/>
      <c r="U225" s="54"/>
      <c r="V225" s="54"/>
      <c r="W225" s="47"/>
      <c r="X225" s="54"/>
      <c r="Y225" s="54"/>
      <c r="Z225" s="47"/>
      <c r="AA225" s="54"/>
      <c r="AB225" s="54"/>
      <c r="AC225" s="47"/>
      <c r="AD225" s="54"/>
      <c r="AE225" s="73"/>
    </row>
    <row r="226" spans="1:31" s="57" customFormat="1" ht="13.5" x14ac:dyDescent="0.3">
      <c r="A226" s="54"/>
      <c r="B226" s="46"/>
      <c r="C226" s="54"/>
      <c r="D226" s="54"/>
      <c r="E226" s="47"/>
      <c r="F226" s="54"/>
      <c r="G226" s="54"/>
      <c r="H226" s="47"/>
      <c r="I226" s="54"/>
      <c r="J226" s="54"/>
      <c r="K226" s="47"/>
      <c r="L226" s="54"/>
      <c r="M226" s="54"/>
      <c r="N226" s="47"/>
      <c r="O226" s="54"/>
      <c r="P226" s="54"/>
      <c r="Q226" s="47"/>
      <c r="R226" s="54"/>
      <c r="S226" s="54"/>
      <c r="T226" s="47"/>
      <c r="U226" s="54"/>
      <c r="V226" s="54"/>
      <c r="W226" s="47"/>
      <c r="X226" s="54"/>
      <c r="Y226" s="54"/>
      <c r="Z226" s="47"/>
      <c r="AA226" s="54"/>
      <c r="AB226" s="54"/>
      <c r="AC226" s="47"/>
      <c r="AD226" s="54"/>
      <c r="AE226" s="73"/>
    </row>
    <row r="227" spans="1:31" s="57" customFormat="1" ht="13.5" x14ac:dyDescent="0.3">
      <c r="A227" s="54"/>
      <c r="B227" s="46"/>
      <c r="C227" s="54"/>
      <c r="D227" s="54"/>
      <c r="E227" s="47"/>
      <c r="F227" s="54"/>
      <c r="G227" s="54"/>
      <c r="H227" s="47"/>
      <c r="I227" s="54"/>
      <c r="J227" s="54"/>
      <c r="K227" s="47"/>
      <c r="L227" s="54"/>
      <c r="M227" s="54"/>
      <c r="N227" s="47"/>
      <c r="O227" s="54"/>
      <c r="P227" s="54"/>
      <c r="Q227" s="47"/>
      <c r="R227" s="54"/>
      <c r="S227" s="54"/>
      <c r="T227" s="47"/>
      <c r="U227" s="54"/>
      <c r="V227" s="54"/>
      <c r="W227" s="47"/>
      <c r="X227" s="54"/>
      <c r="Y227" s="54"/>
      <c r="Z227" s="47"/>
      <c r="AA227" s="54"/>
      <c r="AB227" s="54"/>
      <c r="AC227" s="47"/>
      <c r="AD227" s="54"/>
      <c r="AE227" s="73"/>
    </row>
    <row r="228" spans="1:31" s="57" customFormat="1" ht="13.5" x14ac:dyDescent="0.3">
      <c r="A228" s="54"/>
      <c r="B228" s="46"/>
      <c r="C228" s="54"/>
      <c r="D228" s="54"/>
      <c r="E228" s="47"/>
      <c r="F228" s="54"/>
      <c r="G228" s="54"/>
      <c r="H228" s="47"/>
      <c r="I228" s="54"/>
      <c r="J228" s="54"/>
      <c r="K228" s="47"/>
      <c r="L228" s="54"/>
      <c r="M228" s="54"/>
      <c r="N228" s="47"/>
      <c r="O228" s="54"/>
      <c r="P228" s="54"/>
      <c r="Q228" s="47"/>
      <c r="R228" s="54"/>
      <c r="S228" s="54"/>
      <c r="T228" s="47"/>
      <c r="U228" s="54"/>
      <c r="V228" s="54"/>
      <c r="W228" s="47"/>
      <c r="X228" s="54"/>
      <c r="Y228" s="54"/>
      <c r="Z228" s="47"/>
      <c r="AA228" s="54"/>
      <c r="AB228" s="54"/>
      <c r="AC228" s="47"/>
      <c r="AD228" s="54"/>
      <c r="AE228" s="73"/>
    </row>
    <row r="229" spans="1:31" s="57" customFormat="1" ht="13.5" x14ac:dyDescent="0.3">
      <c r="A229" s="54"/>
      <c r="B229" s="46"/>
      <c r="C229" s="54"/>
      <c r="D229" s="54"/>
      <c r="E229" s="47"/>
      <c r="F229" s="54"/>
      <c r="G229" s="54"/>
      <c r="H229" s="47"/>
      <c r="I229" s="54"/>
      <c r="J229" s="54"/>
      <c r="K229" s="47"/>
      <c r="L229" s="54"/>
      <c r="M229" s="54"/>
      <c r="N229" s="47"/>
      <c r="O229" s="54"/>
      <c r="P229" s="54"/>
      <c r="Q229" s="47"/>
      <c r="R229" s="54"/>
      <c r="S229" s="54"/>
      <c r="T229" s="47"/>
      <c r="U229" s="54"/>
      <c r="V229" s="54"/>
      <c r="W229" s="47"/>
      <c r="X229" s="54"/>
      <c r="Y229" s="54"/>
      <c r="Z229" s="47"/>
      <c r="AA229" s="54"/>
      <c r="AB229" s="54"/>
      <c r="AC229" s="47"/>
      <c r="AD229" s="54"/>
      <c r="AE229" s="73"/>
    </row>
    <row r="230" spans="1:31" s="57" customFormat="1" ht="13.5" x14ac:dyDescent="0.3">
      <c r="A230" s="54"/>
      <c r="B230" s="46"/>
      <c r="C230" s="54"/>
      <c r="D230" s="54"/>
      <c r="E230" s="47"/>
      <c r="F230" s="54"/>
      <c r="G230" s="54"/>
      <c r="H230" s="47"/>
      <c r="I230" s="54"/>
      <c r="J230" s="54"/>
      <c r="K230" s="47"/>
      <c r="L230" s="54"/>
      <c r="M230" s="54"/>
      <c r="N230" s="47"/>
      <c r="O230" s="54"/>
      <c r="P230" s="54"/>
      <c r="Q230" s="47"/>
      <c r="R230" s="54"/>
      <c r="S230" s="54"/>
      <c r="T230" s="47"/>
      <c r="U230" s="54"/>
      <c r="V230" s="54"/>
      <c r="W230" s="47"/>
      <c r="X230" s="54"/>
      <c r="Y230" s="54"/>
      <c r="Z230" s="47"/>
      <c r="AA230" s="54"/>
      <c r="AB230" s="54"/>
      <c r="AC230" s="47"/>
      <c r="AD230" s="54"/>
      <c r="AE230" s="73"/>
    </row>
    <row r="231" spans="1:31" s="57" customFormat="1" ht="13.5" x14ac:dyDescent="0.3">
      <c r="A231" s="54"/>
      <c r="B231" s="46"/>
      <c r="C231" s="54"/>
      <c r="D231" s="54"/>
      <c r="E231" s="47"/>
      <c r="F231" s="54"/>
      <c r="G231" s="54"/>
      <c r="H231" s="47"/>
      <c r="I231" s="54"/>
      <c r="J231" s="54"/>
      <c r="K231" s="47"/>
      <c r="L231" s="54"/>
      <c r="M231" s="54"/>
      <c r="N231" s="47"/>
      <c r="O231" s="54"/>
      <c r="P231" s="54"/>
      <c r="Q231" s="47"/>
      <c r="R231" s="54"/>
      <c r="S231" s="54"/>
      <c r="T231" s="47"/>
      <c r="U231" s="54"/>
      <c r="V231" s="54"/>
      <c r="W231" s="47"/>
      <c r="X231" s="54"/>
      <c r="Y231" s="54"/>
      <c r="Z231" s="47"/>
      <c r="AA231" s="54"/>
      <c r="AB231" s="54"/>
      <c r="AC231" s="47"/>
      <c r="AD231" s="54"/>
      <c r="AE231" s="73"/>
    </row>
    <row r="232" spans="1:31" s="57" customFormat="1" ht="13.5" x14ac:dyDescent="0.3">
      <c r="A232" s="54"/>
      <c r="B232" s="46"/>
      <c r="C232" s="54"/>
      <c r="D232" s="54"/>
      <c r="E232" s="47"/>
      <c r="F232" s="54"/>
      <c r="G232" s="54"/>
      <c r="H232" s="47"/>
      <c r="I232" s="54"/>
      <c r="J232" s="54"/>
      <c r="K232" s="47"/>
      <c r="L232" s="54"/>
      <c r="M232" s="54"/>
      <c r="N232" s="47"/>
      <c r="O232" s="54"/>
      <c r="P232" s="54"/>
      <c r="Q232" s="47"/>
      <c r="R232" s="54"/>
      <c r="S232" s="54"/>
      <c r="T232" s="47"/>
      <c r="U232" s="54"/>
      <c r="V232" s="54"/>
      <c r="W232" s="47"/>
      <c r="X232" s="54"/>
      <c r="Y232" s="54"/>
      <c r="Z232" s="47"/>
      <c r="AA232" s="54"/>
      <c r="AB232" s="54"/>
      <c r="AC232" s="47"/>
      <c r="AD232" s="54"/>
      <c r="AE232" s="73"/>
    </row>
    <row r="233" spans="1:31" s="57" customFormat="1" ht="13.5" x14ac:dyDescent="0.3">
      <c r="A233" s="54"/>
      <c r="B233" s="46"/>
      <c r="C233" s="54"/>
      <c r="D233" s="54"/>
      <c r="E233" s="47"/>
      <c r="F233" s="54"/>
      <c r="G233" s="54"/>
      <c r="H233" s="47"/>
      <c r="I233" s="54"/>
      <c r="J233" s="54"/>
      <c r="K233" s="47"/>
      <c r="L233" s="54"/>
      <c r="M233" s="54"/>
      <c r="N233" s="47"/>
      <c r="O233" s="54"/>
      <c r="P233" s="54"/>
      <c r="Q233" s="47"/>
      <c r="R233" s="54"/>
      <c r="S233" s="54"/>
      <c r="T233" s="47"/>
      <c r="U233" s="54"/>
      <c r="V233" s="54"/>
      <c r="W233" s="47"/>
      <c r="X233" s="54"/>
      <c r="Y233" s="54"/>
      <c r="Z233" s="47"/>
      <c r="AA233" s="54"/>
      <c r="AB233" s="54"/>
      <c r="AC233" s="47"/>
      <c r="AD233" s="54"/>
      <c r="AE233" s="73"/>
    </row>
    <row r="234" spans="1:31" s="57" customFormat="1" ht="13.5" x14ac:dyDescent="0.3">
      <c r="A234" s="54"/>
      <c r="B234" s="46"/>
      <c r="C234" s="54"/>
      <c r="D234" s="54"/>
      <c r="E234" s="47"/>
      <c r="F234" s="54"/>
      <c r="G234" s="54"/>
      <c r="H234" s="47"/>
      <c r="I234" s="54"/>
      <c r="J234" s="54"/>
      <c r="K234" s="47"/>
      <c r="L234" s="54"/>
      <c r="M234" s="54"/>
      <c r="N234" s="47"/>
      <c r="O234" s="54"/>
      <c r="P234" s="54"/>
      <c r="Q234" s="47"/>
      <c r="R234" s="54"/>
      <c r="S234" s="54"/>
      <c r="T234" s="47"/>
      <c r="U234" s="54"/>
      <c r="V234" s="54"/>
      <c r="W234" s="47"/>
      <c r="X234" s="54"/>
      <c r="Y234" s="54"/>
      <c r="Z234" s="47"/>
      <c r="AA234" s="54"/>
      <c r="AB234" s="54"/>
      <c r="AC234" s="47"/>
      <c r="AD234" s="54"/>
      <c r="AE234" s="73"/>
    </row>
    <row r="235" spans="1:31" s="57" customFormat="1" ht="13.5" x14ac:dyDescent="0.3">
      <c r="A235" s="54"/>
      <c r="B235" s="46"/>
      <c r="C235" s="54"/>
      <c r="D235" s="54"/>
      <c r="E235" s="47"/>
      <c r="F235" s="54"/>
      <c r="G235" s="54"/>
      <c r="H235" s="47"/>
      <c r="I235" s="54"/>
      <c r="J235" s="54"/>
      <c r="K235" s="47"/>
      <c r="L235" s="54"/>
      <c r="M235" s="54"/>
      <c r="N235" s="47"/>
      <c r="O235" s="54"/>
      <c r="P235" s="54"/>
      <c r="Q235" s="47"/>
      <c r="R235" s="54"/>
      <c r="S235" s="54"/>
      <c r="T235" s="47"/>
      <c r="U235" s="54"/>
      <c r="V235" s="54"/>
      <c r="W235" s="47"/>
      <c r="X235" s="54"/>
      <c r="Y235" s="54"/>
      <c r="Z235" s="47"/>
      <c r="AA235" s="54"/>
      <c r="AB235" s="54"/>
      <c r="AC235" s="47"/>
      <c r="AD235" s="54"/>
      <c r="AE235" s="73"/>
    </row>
    <row r="236" spans="1:31" s="57" customFormat="1" ht="13.5" x14ac:dyDescent="0.3">
      <c r="A236" s="54"/>
      <c r="B236" s="46"/>
      <c r="C236" s="54"/>
      <c r="D236" s="54"/>
      <c r="E236" s="47"/>
      <c r="F236" s="54"/>
      <c r="G236" s="54"/>
      <c r="H236" s="47"/>
      <c r="I236" s="54"/>
      <c r="J236" s="54"/>
      <c r="K236" s="47"/>
      <c r="L236" s="54"/>
      <c r="M236" s="54"/>
      <c r="N236" s="47"/>
      <c r="O236" s="54"/>
      <c r="P236" s="54"/>
      <c r="Q236" s="47"/>
      <c r="R236" s="54"/>
      <c r="S236" s="54"/>
      <c r="T236" s="47"/>
      <c r="U236" s="54"/>
      <c r="V236" s="54"/>
      <c r="W236" s="47"/>
      <c r="X236" s="54"/>
      <c r="Y236" s="54"/>
      <c r="Z236" s="47"/>
      <c r="AA236" s="54"/>
      <c r="AB236" s="54"/>
      <c r="AC236" s="47"/>
      <c r="AD236" s="54"/>
      <c r="AE236" s="73"/>
    </row>
    <row r="237" spans="1:31" s="57" customFormat="1" ht="13.5" x14ac:dyDescent="0.3">
      <c r="A237" s="54"/>
      <c r="B237" s="46"/>
      <c r="C237" s="54"/>
      <c r="D237" s="54"/>
      <c r="E237" s="47"/>
      <c r="F237" s="54"/>
      <c r="G237" s="54"/>
      <c r="H237" s="47"/>
      <c r="I237" s="54"/>
      <c r="J237" s="54"/>
      <c r="K237" s="47"/>
      <c r="L237" s="54"/>
      <c r="M237" s="54"/>
      <c r="N237" s="47"/>
      <c r="O237" s="54"/>
      <c r="P237" s="54"/>
      <c r="Q237" s="47"/>
      <c r="R237" s="54"/>
      <c r="S237" s="54"/>
      <c r="T237" s="47"/>
      <c r="U237" s="54"/>
      <c r="V237" s="54"/>
      <c r="W237" s="47"/>
      <c r="X237" s="54"/>
      <c r="Y237" s="54"/>
      <c r="Z237" s="47"/>
      <c r="AA237" s="54"/>
      <c r="AB237" s="54"/>
      <c r="AC237" s="47"/>
      <c r="AD237" s="54"/>
      <c r="AE237" s="73"/>
    </row>
    <row r="238" spans="1:31" s="57" customFormat="1" ht="13.5" x14ac:dyDescent="0.3">
      <c r="A238" s="54"/>
      <c r="B238" s="46"/>
      <c r="C238" s="54"/>
      <c r="D238" s="54"/>
      <c r="E238" s="47"/>
      <c r="F238" s="54"/>
      <c r="G238" s="54"/>
      <c r="H238" s="47"/>
      <c r="I238" s="54"/>
      <c r="J238" s="54"/>
      <c r="K238" s="47"/>
      <c r="L238" s="54"/>
      <c r="M238" s="54"/>
      <c r="N238" s="47"/>
      <c r="O238" s="54"/>
      <c r="P238" s="54"/>
      <c r="Q238" s="47"/>
      <c r="R238" s="54"/>
      <c r="S238" s="54"/>
      <c r="T238" s="47"/>
      <c r="U238" s="54"/>
      <c r="V238" s="54"/>
      <c r="W238" s="47"/>
      <c r="X238" s="54"/>
      <c r="Y238" s="54"/>
      <c r="Z238" s="47"/>
      <c r="AA238" s="54"/>
      <c r="AB238" s="54"/>
      <c r="AC238" s="47"/>
      <c r="AD238" s="54"/>
      <c r="AE238" s="73"/>
    </row>
    <row r="239" spans="1:31" s="57" customFormat="1" ht="13.5" x14ac:dyDescent="0.3">
      <c r="A239" s="54"/>
      <c r="B239" s="46"/>
      <c r="C239" s="54"/>
      <c r="D239" s="54"/>
      <c r="E239" s="47"/>
      <c r="F239" s="54"/>
      <c r="G239" s="54"/>
      <c r="H239" s="47"/>
      <c r="I239" s="54"/>
      <c r="J239" s="54"/>
      <c r="K239" s="47"/>
      <c r="L239" s="54"/>
      <c r="M239" s="54"/>
      <c r="N239" s="47"/>
      <c r="O239" s="54"/>
      <c r="P239" s="54"/>
      <c r="Q239" s="47"/>
      <c r="R239" s="54"/>
      <c r="S239" s="54"/>
      <c r="T239" s="47"/>
      <c r="U239" s="54"/>
      <c r="V239" s="54"/>
      <c r="W239" s="47"/>
      <c r="X239" s="54"/>
      <c r="Y239" s="54"/>
      <c r="Z239" s="47"/>
      <c r="AA239" s="54"/>
      <c r="AB239" s="54"/>
      <c r="AC239" s="47"/>
      <c r="AD239" s="54"/>
      <c r="AE239" s="73"/>
    </row>
    <row r="240" spans="1:31" s="57" customFormat="1" ht="13.5" x14ac:dyDescent="0.3">
      <c r="A240" s="54"/>
      <c r="B240" s="46"/>
      <c r="C240" s="54"/>
      <c r="D240" s="54"/>
      <c r="E240" s="47"/>
      <c r="F240" s="54"/>
      <c r="G240" s="54"/>
      <c r="H240" s="47"/>
      <c r="I240" s="54"/>
      <c r="J240" s="54"/>
      <c r="K240" s="47"/>
      <c r="L240" s="54"/>
      <c r="M240" s="54"/>
      <c r="N240" s="47"/>
      <c r="O240" s="54"/>
      <c r="P240" s="54"/>
      <c r="Q240" s="47"/>
      <c r="R240" s="54"/>
      <c r="S240" s="54"/>
      <c r="T240" s="47"/>
      <c r="U240" s="54"/>
      <c r="V240" s="54"/>
      <c r="W240" s="47"/>
      <c r="X240" s="54"/>
      <c r="Y240" s="54"/>
      <c r="Z240" s="47"/>
      <c r="AA240" s="54"/>
      <c r="AB240" s="54"/>
      <c r="AC240" s="47"/>
      <c r="AD240" s="54"/>
      <c r="AE240" s="73"/>
    </row>
    <row r="241" spans="1:31" s="57" customFormat="1" ht="13.5" x14ac:dyDescent="0.3">
      <c r="A241" s="54"/>
      <c r="B241" s="46"/>
      <c r="C241" s="54"/>
      <c r="D241" s="54"/>
      <c r="E241" s="47"/>
      <c r="F241" s="54"/>
      <c r="G241" s="54"/>
      <c r="H241" s="47"/>
      <c r="I241" s="54"/>
      <c r="J241" s="54"/>
      <c r="K241" s="47"/>
      <c r="L241" s="54"/>
      <c r="M241" s="54"/>
      <c r="N241" s="47"/>
      <c r="O241" s="54"/>
      <c r="P241" s="54"/>
      <c r="Q241" s="47"/>
      <c r="R241" s="54"/>
      <c r="S241" s="54"/>
      <c r="T241" s="47"/>
      <c r="U241" s="54"/>
      <c r="V241" s="54"/>
      <c r="W241" s="47"/>
      <c r="X241" s="54"/>
      <c r="Y241" s="54"/>
      <c r="Z241" s="47"/>
      <c r="AA241" s="54"/>
      <c r="AB241" s="54"/>
      <c r="AC241" s="47"/>
      <c r="AD241" s="54"/>
      <c r="AE241" s="73"/>
    </row>
    <row r="242" spans="1:31" s="57" customFormat="1" ht="13.5" x14ac:dyDescent="0.3">
      <c r="A242" s="54"/>
      <c r="B242" s="46"/>
      <c r="C242" s="54"/>
      <c r="D242" s="54"/>
      <c r="E242" s="47"/>
      <c r="F242" s="54"/>
      <c r="G242" s="54"/>
      <c r="H242" s="47"/>
      <c r="I242" s="54"/>
      <c r="J242" s="54"/>
      <c r="K242" s="47"/>
      <c r="L242" s="54"/>
      <c r="M242" s="54"/>
      <c r="N242" s="47"/>
      <c r="O242" s="54"/>
      <c r="P242" s="54"/>
      <c r="Q242" s="47"/>
      <c r="R242" s="54"/>
      <c r="S242" s="54"/>
      <c r="T242" s="47"/>
      <c r="U242" s="54"/>
      <c r="V242" s="54"/>
      <c r="W242" s="47"/>
      <c r="X242" s="54"/>
      <c r="Y242" s="54"/>
      <c r="Z242" s="47"/>
      <c r="AA242" s="54"/>
      <c r="AB242" s="54"/>
      <c r="AC242" s="47"/>
      <c r="AD242" s="54"/>
      <c r="AE242" s="73"/>
    </row>
    <row r="243" spans="1:31" s="57" customFormat="1" ht="13.5" x14ac:dyDescent="0.3">
      <c r="A243" s="54"/>
      <c r="B243" s="46"/>
      <c r="C243" s="54"/>
      <c r="D243" s="54"/>
      <c r="E243" s="47"/>
      <c r="F243" s="54"/>
      <c r="G243" s="54"/>
      <c r="H243" s="47"/>
      <c r="I243" s="54"/>
      <c r="J243" s="54"/>
      <c r="K243" s="47"/>
      <c r="L243" s="54"/>
      <c r="M243" s="54"/>
      <c r="N243" s="47"/>
      <c r="O243" s="54"/>
      <c r="P243" s="54"/>
      <c r="Q243" s="47"/>
      <c r="R243" s="54"/>
      <c r="S243" s="54"/>
      <c r="T243" s="47"/>
      <c r="U243" s="54"/>
      <c r="V243" s="54"/>
      <c r="W243" s="47"/>
      <c r="X243" s="54"/>
      <c r="Y243" s="54"/>
      <c r="Z243" s="47"/>
      <c r="AA243" s="54"/>
      <c r="AB243" s="54"/>
      <c r="AC243" s="47"/>
      <c r="AD243" s="54"/>
      <c r="AE243" s="73"/>
    </row>
    <row r="244" spans="1:31" s="57" customFormat="1" ht="13.5" x14ac:dyDescent="0.3">
      <c r="A244" s="54"/>
      <c r="B244" s="46"/>
      <c r="C244" s="54"/>
      <c r="D244" s="54"/>
      <c r="E244" s="47"/>
      <c r="F244" s="54"/>
      <c r="G244" s="54"/>
      <c r="H244" s="47"/>
      <c r="I244" s="54"/>
      <c r="J244" s="54"/>
      <c r="K244" s="47"/>
      <c r="L244" s="54"/>
      <c r="M244" s="54"/>
      <c r="N244" s="47"/>
      <c r="O244" s="54"/>
      <c r="P244" s="54"/>
      <c r="Q244" s="47"/>
      <c r="R244" s="54"/>
      <c r="S244" s="54"/>
      <c r="T244" s="47"/>
      <c r="U244" s="54"/>
      <c r="V244" s="54"/>
      <c r="W244" s="47"/>
      <c r="X244" s="54"/>
      <c r="Y244" s="54"/>
      <c r="Z244" s="47"/>
      <c r="AA244" s="54"/>
      <c r="AB244" s="54"/>
      <c r="AC244" s="47"/>
      <c r="AD244" s="54"/>
      <c r="AE244" s="73"/>
    </row>
    <row r="245" spans="1:31" s="57" customFormat="1" ht="13.5" x14ac:dyDescent="0.3">
      <c r="A245" s="54"/>
      <c r="B245" s="46"/>
      <c r="C245" s="54"/>
      <c r="D245" s="54"/>
      <c r="E245" s="47"/>
      <c r="F245" s="54"/>
      <c r="G245" s="54"/>
      <c r="H245" s="47"/>
      <c r="I245" s="54"/>
      <c r="J245" s="54"/>
      <c r="K245" s="47"/>
      <c r="L245" s="54"/>
      <c r="M245" s="54"/>
      <c r="N245" s="47"/>
      <c r="O245" s="54"/>
      <c r="P245" s="54"/>
      <c r="Q245" s="47"/>
      <c r="R245" s="54"/>
      <c r="S245" s="54"/>
      <c r="T245" s="47"/>
      <c r="U245" s="54"/>
      <c r="V245" s="54"/>
      <c r="W245" s="47"/>
      <c r="X245" s="54"/>
      <c r="Y245" s="54"/>
      <c r="Z245" s="47"/>
      <c r="AA245" s="54"/>
      <c r="AB245" s="54"/>
      <c r="AC245" s="47"/>
      <c r="AD245" s="54"/>
      <c r="AE245" s="73"/>
    </row>
    <row r="246" spans="1:31" s="57" customFormat="1" ht="13.5" x14ac:dyDescent="0.3">
      <c r="A246" s="54"/>
      <c r="B246" s="46"/>
      <c r="C246" s="54"/>
      <c r="D246" s="54"/>
      <c r="E246" s="47"/>
      <c r="F246" s="54"/>
      <c r="G246" s="54"/>
      <c r="H246" s="47"/>
      <c r="I246" s="54"/>
      <c r="J246" s="54"/>
      <c r="K246" s="47"/>
      <c r="L246" s="54"/>
      <c r="M246" s="54"/>
      <c r="N246" s="47"/>
      <c r="O246" s="54"/>
      <c r="P246" s="54"/>
      <c r="Q246" s="47"/>
      <c r="R246" s="54"/>
      <c r="S246" s="54"/>
      <c r="T246" s="47"/>
      <c r="U246" s="54"/>
      <c r="V246" s="54"/>
      <c r="W246" s="47"/>
      <c r="X246" s="54"/>
      <c r="Y246" s="54"/>
      <c r="Z246" s="47"/>
      <c r="AA246" s="54"/>
      <c r="AB246" s="54"/>
      <c r="AC246" s="47"/>
      <c r="AD246" s="54"/>
      <c r="AE246" s="73"/>
    </row>
    <row r="247" spans="1:31" s="57" customFormat="1" ht="13.5" x14ac:dyDescent="0.3">
      <c r="A247" s="54"/>
      <c r="B247" s="46"/>
      <c r="C247" s="54"/>
      <c r="D247" s="54"/>
      <c r="E247" s="47"/>
      <c r="F247" s="54"/>
      <c r="G247" s="54"/>
      <c r="H247" s="47"/>
      <c r="I247" s="54"/>
      <c r="J247" s="54"/>
      <c r="K247" s="47"/>
      <c r="L247" s="54"/>
      <c r="M247" s="54"/>
      <c r="N247" s="47"/>
      <c r="O247" s="54"/>
      <c r="P247" s="54"/>
      <c r="Q247" s="47"/>
      <c r="R247" s="54"/>
      <c r="S247" s="54"/>
      <c r="T247" s="47"/>
      <c r="U247" s="54"/>
      <c r="V247" s="54"/>
      <c r="W247" s="47"/>
      <c r="X247" s="54"/>
      <c r="Y247" s="54"/>
      <c r="Z247" s="47"/>
      <c r="AA247" s="54"/>
      <c r="AB247" s="54"/>
      <c r="AC247" s="47"/>
      <c r="AD247" s="54"/>
      <c r="AE247" s="73"/>
    </row>
    <row r="248" spans="1:31" s="57" customFormat="1" ht="13.5" x14ac:dyDescent="0.3">
      <c r="A248" s="54"/>
      <c r="B248" s="46"/>
      <c r="C248" s="54"/>
      <c r="D248" s="54"/>
      <c r="E248" s="47"/>
      <c r="F248" s="54"/>
      <c r="G248" s="54"/>
      <c r="H248" s="47"/>
      <c r="I248" s="54"/>
      <c r="J248" s="54"/>
      <c r="K248" s="47"/>
      <c r="L248" s="54"/>
      <c r="M248" s="54"/>
      <c r="N248" s="47"/>
      <c r="O248" s="54"/>
      <c r="P248" s="54"/>
      <c r="Q248" s="47"/>
      <c r="R248" s="54"/>
      <c r="S248" s="54"/>
      <c r="T248" s="47"/>
      <c r="U248" s="54"/>
      <c r="V248" s="54"/>
      <c r="W248" s="47"/>
      <c r="X248" s="54"/>
      <c r="Y248" s="54"/>
      <c r="Z248" s="47"/>
      <c r="AA248" s="54"/>
      <c r="AB248" s="54"/>
      <c r="AC248" s="47"/>
      <c r="AD248" s="54"/>
      <c r="AE248" s="73"/>
    </row>
    <row r="249" spans="1:31" s="57" customFormat="1" ht="13.5" x14ac:dyDescent="0.3">
      <c r="A249" s="54"/>
      <c r="B249" s="46"/>
      <c r="C249" s="54"/>
      <c r="D249" s="54"/>
      <c r="E249" s="47"/>
      <c r="F249" s="54"/>
      <c r="G249" s="54"/>
      <c r="H249" s="47"/>
      <c r="I249" s="54"/>
      <c r="J249" s="54"/>
      <c r="K249" s="47"/>
      <c r="L249" s="54"/>
      <c r="M249" s="54"/>
      <c r="N249" s="47"/>
      <c r="O249" s="54"/>
      <c r="P249" s="54"/>
      <c r="Q249" s="47"/>
      <c r="R249" s="54"/>
      <c r="S249" s="54"/>
      <c r="T249" s="47"/>
      <c r="U249" s="54"/>
      <c r="V249" s="54"/>
      <c r="W249" s="47"/>
      <c r="X249" s="54"/>
      <c r="Y249" s="54"/>
      <c r="Z249" s="47"/>
      <c r="AA249" s="54"/>
      <c r="AB249" s="54"/>
      <c r="AC249" s="47"/>
      <c r="AD249" s="54"/>
      <c r="AE249" s="73"/>
    </row>
    <row r="250" spans="1:31" s="57" customFormat="1" ht="13.5" x14ac:dyDescent="0.3">
      <c r="A250" s="54"/>
      <c r="B250" s="46"/>
      <c r="C250" s="54"/>
      <c r="D250" s="54"/>
      <c r="E250" s="47"/>
      <c r="F250" s="54"/>
      <c r="G250" s="54"/>
      <c r="H250" s="47"/>
      <c r="I250" s="54"/>
      <c r="J250" s="54"/>
      <c r="K250" s="47"/>
      <c r="L250" s="54"/>
      <c r="M250" s="54"/>
      <c r="N250" s="47"/>
      <c r="O250" s="54"/>
      <c r="P250" s="54"/>
      <c r="Q250" s="47"/>
      <c r="R250" s="54"/>
      <c r="S250" s="54"/>
      <c r="T250" s="47"/>
      <c r="U250" s="54"/>
      <c r="V250" s="54"/>
      <c r="W250" s="47"/>
      <c r="X250" s="54"/>
      <c r="Y250" s="54"/>
      <c r="Z250" s="47"/>
      <c r="AA250" s="54"/>
      <c r="AB250" s="54"/>
      <c r="AC250" s="47"/>
      <c r="AD250" s="54"/>
      <c r="AE250" s="73"/>
    </row>
    <row r="251" spans="1:31" s="57" customFormat="1" ht="13.5" x14ac:dyDescent="0.3">
      <c r="A251" s="54"/>
      <c r="B251" s="46"/>
      <c r="C251" s="54"/>
      <c r="D251" s="54"/>
      <c r="E251" s="47"/>
      <c r="F251" s="54"/>
      <c r="G251" s="54"/>
      <c r="H251" s="47"/>
      <c r="I251" s="54"/>
      <c r="J251" s="54"/>
      <c r="K251" s="47"/>
      <c r="L251" s="54"/>
      <c r="M251" s="54"/>
      <c r="N251" s="47"/>
      <c r="O251" s="54"/>
      <c r="P251" s="54"/>
      <c r="Q251" s="47"/>
      <c r="R251" s="54"/>
      <c r="S251" s="54"/>
      <c r="T251" s="47"/>
      <c r="U251" s="54"/>
      <c r="V251" s="54"/>
      <c r="W251" s="47"/>
      <c r="X251" s="54"/>
      <c r="Y251" s="54"/>
      <c r="Z251" s="47"/>
      <c r="AA251" s="54"/>
      <c r="AB251" s="54"/>
      <c r="AC251" s="47"/>
      <c r="AD251" s="54"/>
      <c r="AE251" s="73"/>
    </row>
    <row r="252" spans="1:31" s="57" customFormat="1" ht="13.5" x14ac:dyDescent="0.3">
      <c r="A252" s="54"/>
      <c r="B252" s="46"/>
      <c r="C252" s="54"/>
      <c r="D252" s="54"/>
      <c r="E252" s="47"/>
      <c r="F252" s="54"/>
      <c r="G252" s="54"/>
      <c r="H252" s="47"/>
      <c r="I252" s="54"/>
      <c r="J252" s="54"/>
      <c r="K252" s="47"/>
      <c r="L252" s="54"/>
      <c r="M252" s="54"/>
      <c r="N252" s="47"/>
      <c r="O252" s="54"/>
      <c r="P252" s="54"/>
      <c r="Q252" s="47"/>
      <c r="R252" s="54"/>
      <c r="S252" s="54"/>
      <c r="T252" s="47"/>
      <c r="U252" s="54"/>
      <c r="V252" s="54"/>
      <c r="W252" s="47"/>
      <c r="X252" s="54"/>
      <c r="Y252" s="54"/>
      <c r="Z252" s="47"/>
      <c r="AA252" s="54"/>
      <c r="AB252" s="54"/>
      <c r="AC252" s="47"/>
      <c r="AD252" s="54"/>
      <c r="AE252" s="73"/>
    </row>
    <row r="253" spans="1:31" s="57" customFormat="1" ht="13.5" x14ac:dyDescent="0.3">
      <c r="A253" s="54"/>
      <c r="B253" s="46"/>
      <c r="C253" s="54"/>
      <c r="D253" s="54"/>
      <c r="E253" s="47"/>
      <c r="F253" s="54"/>
      <c r="G253" s="54"/>
      <c r="H253" s="47"/>
      <c r="I253" s="54"/>
      <c r="J253" s="54"/>
      <c r="K253" s="47"/>
      <c r="L253" s="54"/>
      <c r="M253" s="54"/>
      <c r="N253" s="47"/>
      <c r="O253" s="54"/>
      <c r="P253" s="54"/>
      <c r="Q253" s="47"/>
      <c r="R253" s="54"/>
      <c r="S253" s="54"/>
      <c r="T253" s="47"/>
      <c r="U253" s="54"/>
      <c r="V253" s="54"/>
      <c r="W253" s="47"/>
      <c r="X253" s="54"/>
      <c r="Y253" s="54"/>
      <c r="Z253" s="47"/>
      <c r="AA253" s="54"/>
      <c r="AB253" s="54"/>
      <c r="AC253" s="47"/>
      <c r="AD253" s="54"/>
      <c r="AE253" s="73"/>
    </row>
    <row r="254" spans="1:31" s="57" customFormat="1" ht="13.5" x14ac:dyDescent="0.3">
      <c r="A254" s="54"/>
      <c r="B254" s="46"/>
      <c r="C254" s="54"/>
      <c r="D254" s="54"/>
      <c r="E254" s="47"/>
      <c r="F254" s="54"/>
      <c r="G254" s="54"/>
      <c r="H254" s="47"/>
      <c r="I254" s="54"/>
      <c r="J254" s="54"/>
      <c r="K254" s="47"/>
      <c r="L254" s="54"/>
      <c r="M254" s="54"/>
      <c r="N254" s="47"/>
      <c r="O254" s="54"/>
      <c r="P254" s="54"/>
      <c r="Q254" s="47"/>
      <c r="R254" s="54"/>
      <c r="S254" s="54"/>
      <c r="T254" s="47"/>
      <c r="U254" s="54"/>
      <c r="V254" s="54"/>
      <c r="W254" s="47"/>
      <c r="X254" s="54"/>
      <c r="Y254" s="54"/>
      <c r="Z254" s="47"/>
      <c r="AA254" s="54"/>
      <c r="AB254" s="54"/>
      <c r="AC254" s="47"/>
      <c r="AD254" s="54"/>
      <c r="AE254" s="73"/>
    </row>
    <row r="255" spans="1:31" s="57" customFormat="1" ht="13.5" x14ac:dyDescent="0.3">
      <c r="A255" s="54"/>
      <c r="B255" s="46"/>
      <c r="C255" s="54"/>
      <c r="D255" s="54"/>
      <c r="E255" s="47"/>
      <c r="F255" s="54"/>
      <c r="G255" s="54"/>
      <c r="H255" s="47"/>
      <c r="I255" s="54"/>
      <c r="J255" s="54"/>
      <c r="K255" s="47"/>
      <c r="L255" s="54"/>
      <c r="M255" s="54"/>
      <c r="N255" s="47"/>
      <c r="O255" s="54"/>
      <c r="P255" s="54"/>
      <c r="Q255" s="47"/>
      <c r="R255" s="54"/>
      <c r="S255" s="54"/>
      <c r="T255" s="47"/>
      <c r="U255" s="54"/>
      <c r="V255" s="54"/>
      <c r="W255" s="47"/>
      <c r="X255" s="54"/>
      <c r="Y255" s="54"/>
      <c r="Z255" s="47"/>
      <c r="AA255" s="54"/>
      <c r="AB255" s="54"/>
      <c r="AC255" s="47"/>
      <c r="AD255" s="54"/>
      <c r="AE255" s="73"/>
    </row>
    <row r="256" spans="1:31" s="57" customFormat="1" ht="13.5" x14ac:dyDescent="0.3">
      <c r="A256" s="54"/>
      <c r="B256" s="46"/>
      <c r="C256" s="54"/>
      <c r="D256" s="54"/>
      <c r="E256" s="47"/>
      <c r="F256" s="54"/>
      <c r="G256" s="54"/>
      <c r="H256" s="47"/>
      <c r="I256" s="54"/>
      <c r="J256" s="54"/>
      <c r="K256" s="47"/>
      <c r="L256" s="54"/>
      <c r="M256" s="54"/>
      <c r="N256" s="47"/>
      <c r="O256" s="54"/>
      <c r="P256" s="54"/>
      <c r="Q256" s="47"/>
      <c r="R256" s="54"/>
      <c r="S256" s="54"/>
      <c r="T256" s="47"/>
      <c r="U256" s="54"/>
      <c r="V256" s="54"/>
      <c r="W256" s="47"/>
      <c r="X256" s="54"/>
      <c r="Y256" s="54"/>
      <c r="Z256" s="47"/>
      <c r="AA256" s="54"/>
      <c r="AB256" s="54"/>
      <c r="AC256" s="47"/>
      <c r="AD256" s="54"/>
      <c r="AE256" s="73"/>
    </row>
    <row r="257" spans="1:31" s="57" customFormat="1" ht="13.5" x14ac:dyDescent="0.3">
      <c r="A257" s="54"/>
      <c r="B257" s="46"/>
      <c r="C257" s="54"/>
      <c r="D257" s="54"/>
      <c r="E257" s="47"/>
      <c r="F257" s="54"/>
      <c r="G257" s="54"/>
      <c r="H257" s="47"/>
      <c r="I257" s="54"/>
      <c r="J257" s="54"/>
      <c r="K257" s="47"/>
      <c r="L257" s="54"/>
      <c r="M257" s="54"/>
      <c r="N257" s="47"/>
      <c r="O257" s="54"/>
      <c r="P257" s="54"/>
      <c r="Q257" s="47"/>
      <c r="R257" s="54"/>
      <c r="S257" s="54"/>
      <c r="T257" s="47"/>
      <c r="U257" s="54"/>
      <c r="V257" s="54"/>
      <c r="W257" s="47"/>
      <c r="X257" s="54"/>
      <c r="Y257" s="54"/>
      <c r="Z257" s="47"/>
      <c r="AA257" s="54"/>
      <c r="AB257" s="54"/>
      <c r="AC257" s="47"/>
      <c r="AD257" s="54"/>
      <c r="AE257" s="73"/>
    </row>
    <row r="258" spans="1:31" s="57" customFormat="1" ht="13.5" x14ac:dyDescent="0.3">
      <c r="A258" s="54"/>
      <c r="B258" s="46"/>
      <c r="C258" s="54"/>
      <c r="D258" s="54"/>
      <c r="E258" s="47"/>
      <c r="F258" s="54"/>
      <c r="G258" s="54"/>
      <c r="H258" s="47"/>
      <c r="I258" s="54"/>
      <c r="J258" s="54"/>
      <c r="K258" s="47"/>
      <c r="L258" s="54"/>
      <c r="M258" s="54"/>
      <c r="N258" s="47"/>
      <c r="O258" s="54"/>
      <c r="P258" s="54"/>
      <c r="Q258" s="47"/>
      <c r="R258" s="54"/>
      <c r="S258" s="54"/>
      <c r="T258" s="47"/>
      <c r="U258" s="54"/>
      <c r="V258" s="54"/>
      <c r="W258" s="47"/>
      <c r="X258" s="54"/>
      <c r="Y258" s="54"/>
      <c r="Z258" s="47"/>
      <c r="AA258" s="54"/>
      <c r="AB258" s="54"/>
      <c r="AC258" s="47"/>
      <c r="AD258" s="54"/>
      <c r="AE258" s="73"/>
    </row>
    <row r="259" spans="1:31" s="57" customFormat="1" ht="13.5" x14ac:dyDescent="0.3">
      <c r="A259" s="54"/>
      <c r="B259" s="46"/>
      <c r="C259" s="54"/>
      <c r="D259" s="54"/>
      <c r="E259" s="47"/>
      <c r="F259" s="54"/>
      <c r="G259" s="54"/>
      <c r="H259" s="47"/>
      <c r="I259" s="54"/>
      <c r="J259" s="54"/>
      <c r="K259" s="47"/>
      <c r="L259" s="54"/>
      <c r="M259" s="54"/>
      <c r="N259" s="47"/>
      <c r="O259" s="54"/>
      <c r="P259" s="54"/>
      <c r="Q259" s="47"/>
      <c r="R259" s="54"/>
      <c r="S259" s="54"/>
      <c r="T259" s="47"/>
      <c r="U259" s="54"/>
      <c r="V259" s="54"/>
      <c r="W259" s="47"/>
      <c r="X259" s="54"/>
      <c r="Y259" s="54"/>
      <c r="Z259" s="47"/>
      <c r="AA259" s="54"/>
      <c r="AB259" s="54"/>
      <c r="AC259" s="47"/>
      <c r="AD259" s="54"/>
      <c r="AE259" s="73"/>
    </row>
    <row r="260" spans="1:31" s="57" customFormat="1" ht="13.5" x14ac:dyDescent="0.3">
      <c r="A260" s="54"/>
      <c r="B260" s="46"/>
      <c r="C260" s="54"/>
      <c r="D260" s="54"/>
      <c r="E260" s="47"/>
      <c r="F260" s="54"/>
      <c r="G260" s="54"/>
      <c r="H260" s="47"/>
      <c r="I260" s="54"/>
      <c r="J260" s="54"/>
      <c r="K260" s="47"/>
      <c r="L260" s="54"/>
      <c r="M260" s="54"/>
      <c r="N260" s="47"/>
      <c r="O260" s="54"/>
      <c r="P260" s="54"/>
      <c r="Q260" s="47"/>
      <c r="R260" s="54"/>
      <c r="S260" s="54"/>
      <c r="T260" s="47"/>
      <c r="U260" s="54"/>
      <c r="V260" s="54"/>
      <c r="W260" s="47"/>
      <c r="X260" s="54"/>
      <c r="Y260" s="54"/>
      <c r="Z260" s="47"/>
      <c r="AA260" s="54"/>
      <c r="AB260" s="54"/>
      <c r="AC260" s="47"/>
      <c r="AD260" s="54"/>
      <c r="AE260" s="73"/>
    </row>
    <row r="261" spans="1:31" s="57" customFormat="1" ht="13.5" x14ac:dyDescent="0.3">
      <c r="A261" s="54"/>
      <c r="B261" s="46"/>
      <c r="C261" s="54"/>
      <c r="D261" s="54"/>
      <c r="E261" s="47"/>
      <c r="F261" s="54"/>
      <c r="G261" s="54"/>
      <c r="H261" s="47"/>
      <c r="I261" s="54"/>
      <c r="J261" s="54"/>
      <c r="K261" s="47"/>
      <c r="L261" s="54"/>
      <c r="M261" s="54"/>
      <c r="N261" s="47"/>
      <c r="O261" s="54"/>
      <c r="P261" s="54"/>
      <c r="Q261" s="47"/>
      <c r="R261" s="54"/>
      <c r="S261" s="54"/>
      <c r="T261" s="47"/>
      <c r="U261" s="54"/>
      <c r="V261" s="54"/>
      <c r="W261" s="47"/>
      <c r="X261" s="54"/>
      <c r="Y261" s="54"/>
      <c r="Z261" s="47"/>
      <c r="AA261" s="54"/>
      <c r="AB261" s="54"/>
      <c r="AC261" s="47"/>
      <c r="AD261" s="54"/>
      <c r="AE261" s="73"/>
    </row>
    <row r="262" spans="1:31" s="57" customFormat="1" ht="13.5" x14ac:dyDescent="0.3">
      <c r="A262" s="54"/>
      <c r="B262" s="46"/>
      <c r="C262" s="54"/>
      <c r="D262" s="54"/>
      <c r="E262" s="47"/>
      <c r="F262" s="54"/>
      <c r="G262" s="54"/>
      <c r="H262" s="47"/>
      <c r="I262" s="54"/>
      <c r="J262" s="54"/>
      <c r="K262" s="47"/>
      <c r="L262" s="54"/>
      <c r="M262" s="54"/>
      <c r="N262" s="47"/>
      <c r="O262" s="54"/>
      <c r="P262" s="54"/>
      <c r="Q262" s="47"/>
      <c r="R262" s="54"/>
      <c r="S262" s="54"/>
      <c r="T262" s="47"/>
      <c r="U262" s="54"/>
      <c r="V262" s="54"/>
      <c r="W262" s="47"/>
      <c r="X262" s="54"/>
      <c r="Y262" s="54"/>
      <c r="Z262" s="47"/>
      <c r="AA262" s="54"/>
      <c r="AB262" s="54"/>
      <c r="AC262" s="47"/>
      <c r="AD262" s="54"/>
      <c r="AE262" s="73"/>
    </row>
    <row r="263" spans="1:31" s="57" customFormat="1" ht="13.5" x14ac:dyDescent="0.3">
      <c r="A263" s="54"/>
      <c r="B263" s="46"/>
      <c r="C263" s="54"/>
      <c r="D263" s="54"/>
      <c r="E263" s="47"/>
      <c r="F263" s="54"/>
      <c r="G263" s="54"/>
      <c r="H263" s="47"/>
      <c r="I263" s="54"/>
      <c r="J263" s="54"/>
      <c r="K263" s="47"/>
      <c r="L263" s="54"/>
      <c r="M263" s="54"/>
      <c r="N263" s="47"/>
      <c r="O263" s="54"/>
      <c r="P263" s="54"/>
      <c r="Q263" s="47"/>
      <c r="R263" s="54"/>
      <c r="S263" s="54"/>
      <c r="T263" s="47"/>
      <c r="U263" s="54"/>
      <c r="V263" s="54"/>
      <c r="W263" s="47"/>
      <c r="X263" s="54"/>
      <c r="Y263" s="54"/>
      <c r="Z263" s="47"/>
      <c r="AA263" s="54"/>
      <c r="AB263" s="54"/>
      <c r="AC263" s="47"/>
      <c r="AD263" s="54"/>
      <c r="AE263" s="73"/>
    </row>
    <row r="264" spans="1:31" s="57" customFormat="1" ht="13.5" x14ac:dyDescent="0.3">
      <c r="A264" s="54"/>
      <c r="B264" s="46"/>
      <c r="C264" s="54"/>
      <c r="D264" s="54"/>
      <c r="E264" s="47"/>
      <c r="F264" s="54"/>
      <c r="G264" s="54"/>
      <c r="H264" s="47"/>
      <c r="I264" s="54"/>
      <c r="J264" s="54"/>
      <c r="K264" s="47"/>
      <c r="L264" s="54"/>
      <c r="M264" s="54"/>
      <c r="N264" s="47"/>
      <c r="O264" s="54"/>
      <c r="P264" s="54"/>
      <c r="Q264" s="47"/>
      <c r="R264" s="54"/>
      <c r="S264" s="54"/>
      <c r="T264" s="47"/>
      <c r="U264" s="54"/>
      <c r="V264" s="54"/>
      <c r="W264" s="47"/>
      <c r="X264" s="54"/>
      <c r="Y264" s="54"/>
      <c r="Z264" s="47"/>
      <c r="AA264" s="54"/>
      <c r="AB264" s="54"/>
      <c r="AC264" s="47"/>
      <c r="AD264" s="54"/>
      <c r="AE264" s="73"/>
    </row>
    <row r="265" spans="1:31" s="57" customFormat="1" ht="13.5" x14ac:dyDescent="0.3">
      <c r="A265" s="54"/>
      <c r="B265" s="46"/>
      <c r="C265" s="54"/>
      <c r="D265" s="54"/>
      <c r="E265" s="47"/>
      <c r="F265" s="54"/>
      <c r="G265" s="54"/>
      <c r="H265" s="47"/>
      <c r="I265" s="54"/>
      <c r="J265" s="54"/>
      <c r="K265" s="47"/>
      <c r="L265" s="54"/>
      <c r="M265" s="54"/>
      <c r="N265" s="47"/>
      <c r="O265" s="54"/>
      <c r="P265" s="54"/>
      <c r="Q265" s="47"/>
      <c r="R265" s="54"/>
      <c r="S265" s="54"/>
      <c r="T265" s="47"/>
      <c r="U265" s="54"/>
      <c r="V265" s="54"/>
      <c r="W265" s="47"/>
      <c r="X265" s="54"/>
      <c r="Y265" s="54"/>
      <c r="Z265" s="47"/>
      <c r="AA265" s="54"/>
      <c r="AB265" s="54"/>
      <c r="AC265" s="47"/>
      <c r="AD265" s="54"/>
      <c r="AE265" s="73"/>
    </row>
    <row r="266" spans="1:31" s="57" customFormat="1" ht="13.5" x14ac:dyDescent="0.3">
      <c r="A266" s="54"/>
      <c r="B266" s="46"/>
      <c r="C266" s="54"/>
      <c r="D266" s="54"/>
      <c r="E266" s="47"/>
      <c r="F266" s="54"/>
      <c r="G266" s="54"/>
      <c r="H266" s="47"/>
      <c r="I266" s="54"/>
      <c r="J266" s="54"/>
      <c r="K266" s="47"/>
      <c r="L266" s="54"/>
      <c r="M266" s="54"/>
      <c r="N266" s="47"/>
      <c r="O266" s="54"/>
      <c r="P266" s="54"/>
      <c r="Q266" s="47"/>
      <c r="R266" s="54"/>
      <c r="S266" s="54"/>
      <c r="T266" s="47"/>
      <c r="U266" s="54"/>
      <c r="V266" s="54"/>
      <c r="W266" s="47"/>
      <c r="X266" s="54"/>
      <c r="Y266" s="54"/>
      <c r="Z266" s="47"/>
      <c r="AA266" s="54"/>
      <c r="AB266" s="54"/>
      <c r="AC266" s="47"/>
      <c r="AD266" s="54"/>
      <c r="AE266" s="73"/>
    </row>
    <row r="267" spans="1:31" s="57" customFormat="1" ht="13.5" x14ac:dyDescent="0.3">
      <c r="A267" s="54"/>
      <c r="B267" s="46"/>
      <c r="C267" s="54"/>
      <c r="D267" s="54"/>
      <c r="E267" s="47"/>
      <c r="F267" s="54"/>
      <c r="G267" s="54"/>
      <c r="H267" s="47"/>
      <c r="I267" s="54"/>
      <c r="J267" s="54"/>
      <c r="K267" s="47"/>
      <c r="L267" s="54"/>
      <c r="M267" s="54"/>
      <c r="N267" s="47"/>
      <c r="O267" s="54"/>
      <c r="P267" s="54"/>
      <c r="Q267" s="47"/>
      <c r="R267" s="54"/>
      <c r="S267" s="54"/>
      <c r="T267" s="47"/>
      <c r="U267" s="54"/>
      <c r="V267" s="54"/>
      <c r="W267" s="47"/>
      <c r="X267" s="54"/>
      <c r="Y267" s="54"/>
      <c r="Z267" s="47"/>
      <c r="AA267" s="54"/>
      <c r="AB267" s="54"/>
      <c r="AC267" s="47"/>
      <c r="AD267" s="54"/>
      <c r="AE267" s="73"/>
    </row>
    <row r="268" spans="1:31" s="57" customFormat="1" ht="13.5" x14ac:dyDescent="0.3">
      <c r="A268" s="54"/>
      <c r="B268" s="46"/>
      <c r="C268" s="54"/>
      <c r="D268" s="54"/>
      <c r="E268" s="47"/>
      <c r="F268" s="54"/>
      <c r="G268" s="54"/>
      <c r="H268" s="47"/>
      <c r="I268" s="54"/>
      <c r="J268" s="54"/>
      <c r="K268" s="47"/>
      <c r="L268" s="54"/>
      <c r="M268" s="54"/>
      <c r="N268" s="47"/>
      <c r="O268" s="54"/>
      <c r="P268" s="54"/>
      <c r="Q268" s="47"/>
      <c r="R268" s="54"/>
      <c r="S268" s="54"/>
      <c r="T268" s="47"/>
      <c r="U268" s="54"/>
      <c r="V268" s="54"/>
      <c r="W268" s="47"/>
      <c r="X268" s="54"/>
      <c r="Y268" s="54"/>
      <c r="Z268" s="47"/>
      <c r="AA268" s="54"/>
      <c r="AB268" s="54"/>
      <c r="AC268" s="47"/>
      <c r="AD268" s="54"/>
      <c r="AE268" s="73"/>
    </row>
    <row r="269" spans="1:31" s="57" customFormat="1" ht="13.5" x14ac:dyDescent="0.3">
      <c r="A269" s="54"/>
      <c r="B269" s="46"/>
      <c r="C269" s="54"/>
      <c r="D269" s="54"/>
      <c r="E269" s="47"/>
      <c r="F269" s="54"/>
      <c r="G269" s="54"/>
      <c r="H269" s="47"/>
      <c r="I269" s="54"/>
      <c r="J269" s="54"/>
      <c r="K269" s="47"/>
      <c r="L269" s="54"/>
      <c r="M269" s="54"/>
      <c r="N269" s="47"/>
      <c r="O269" s="54"/>
      <c r="P269" s="54"/>
      <c r="Q269" s="47"/>
      <c r="R269" s="54"/>
      <c r="S269" s="54"/>
      <c r="T269" s="47"/>
      <c r="U269" s="54"/>
      <c r="V269" s="54"/>
      <c r="W269" s="47"/>
      <c r="X269" s="54"/>
      <c r="Y269" s="54"/>
      <c r="Z269" s="47"/>
      <c r="AA269" s="54"/>
      <c r="AB269" s="54"/>
      <c r="AC269" s="47"/>
      <c r="AD269" s="54"/>
      <c r="AE269" s="73"/>
    </row>
    <row r="270" spans="1:31" s="57" customFormat="1" ht="13.5" x14ac:dyDescent="0.3">
      <c r="A270" s="54"/>
      <c r="B270" s="46"/>
      <c r="C270" s="54"/>
      <c r="D270" s="54"/>
      <c r="E270" s="47"/>
      <c r="F270" s="54"/>
      <c r="G270" s="54"/>
      <c r="H270" s="47"/>
      <c r="I270" s="54"/>
      <c r="J270" s="54"/>
      <c r="K270" s="47"/>
      <c r="L270" s="54"/>
      <c r="M270" s="54"/>
      <c r="N270" s="47"/>
      <c r="O270" s="54"/>
      <c r="P270" s="54"/>
      <c r="Q270" s="47"/>
      <c r="R270" s="54"/>
      <c r="S270" s="54"/>
      <c r="T270" s="47"/>
      <c r="U270" s="54"/>
      <c r="V270" s="54"/>
      <c r="W270" s="47"/>
      <c r="X270" s="54"/>
      <c r="Y270" s="54"/>
      <c r="Z270" s="47"/>
      <c r="AA270" s="54"/>
      <c r="AB270" s="54"/>
      <c r="AC270" s="47"/>
      <c r="AD270" s="54"/>
      <c r="AE270" s="73"/>
    </row>
    <row r="271" spans="1:31" s="57" customFormat="1" ht="13.5" x14ac:dyDescent="0.3">
      <c r="A271" s="54"/>
      <c r="B271" s="46"/>
      <c r="C271" s="54"/>
      <c r="D271" s="54"/>
      <c r="E271" s="47"/>
      <c r="F271" s="54"/>
      <c r="G271" s="54"/>
      <c r="H271" s="47"/>
      <c r="I271" s="54"/>
      <c r="J271" s="54"/>
      <c r="K271" s="47"/>
      <c r="L271" s="54"/>
      <c r="M271" s="54"/>
      <c r="N271" s="47"/>
      <c r="O271" s="54"/>
      <c r="P271" s="54"/>
      <c r="Q271" s="47"/>
      <c r="R271" s="54"/>
      <c r="S271" s="54"/>
      <c r="T271" s="47"/>
      <c r="U271" s="54"/>
      <c r="V271" s="54"/>
      <c r="W271" s="47"/>
      <c r="X271" s="54"/>
      <c r="Y271" s="54"/>
      <c r="Z271" s="47"/>
      <c r="AA271" s="54"/>
      <c r="AB271" s="54"/>
      <c r="AC271" s="47"/>
      <c r="AD271" s="54"/>
      <c r="AE271" s="73"/>
    </row>
    <row r="272" spans="1:31" s="57" customFormat="1" ht="13.5" x14ac:dyDescent="0.3">
      <c r="A272" s="54"/>
      <c r="B272" s="46"/>
      <c r="C272" s="54"/>
      <c r="D272" s="54"/>
      <c r="E272" s="47"/>
      <c r="F272" s="54"/>
      <c r="G272" s="54"/>
      <c r="H272" s="47"/>
      <c r="I272" s="54"/>
      <c r="J272" s="54"/>
      <c r="K272" s="47"/>
      <c r="L272" s="54"/>
      <c r="M272" s="54"/>
      <c r="N272" s="47"/>
      <c r="O272" s="54"/>
      <c r="P272" s="54"/>
      <c r="Q272" s="47"/>
      <c r="R272" s="54"/>
      <c r="S272" s="54"/>
      <c r="T272" s="47"/>
      <c r="U272" s="54"/>
      <c r="V272" s="54"/>
      <c r="W272" s="47"/>
      <c r="X272" s="54"/>
      <c r="Y272" s="54"/>
      <c r="Z272" s="47"/>
      <c r="AA272" s="54"/>
      <c r="AB272" s="54"/>
      <c r="AC272" s="47"/>
      <c r="AD272" s="54"/>
      <c r="AE272" s="73"/>
    </row>
    <row r="273" spans="1:31" s="57" customFormat="1" ht="13.5" x14ac:dyDescent="0.3">
      <c r="A273" s="54"/>
      <c r="B273" s="46"/>
      <c r="C273" s="54"/>
      <c r="D273" s="54"/>
      <c r="E273" s="47"/>
      <c r="F273" s="54"/>
      <c r="G273" s="54"/>
      <c r="H273" s="47"/>
      <c r="I273" s="54"/>
      <c r="J273" s="54"/>
      <c r="K273" s="47"/>
      <c r="L273" s="54"/>
      <c r="M273" s="54"/>
      <c r="N273" s="47"/>
      <c r="O273" s="54"/>
      <c r="P273" s="54"/>
      <c r="Q273" s="47"/>
      <c r="R273" s="54"/>
      <c r="S273" s="54"/>
      <c r="T273" s="47"/>
      <c r="U273" s="54"/>
      <c r="V273" s="54"/>
      <c r="W273" s="47"/>
      <c r="X273" s="54"/>
      <c r="Y273" s="54"/>
      <c r="Z273" s="47"/>
      <c r="AA273" s="54"/>
      <c r="AB273" s="54"/>
      <c r="AC273" s="47"/>
      <c r="AD273" s="54"/>
      <c r="AE273" s="73"/>
    </row>
    <row r="274" spans="1:31" s="57" customFormat="1" ht="13.5" x14ac:dyDescent="0.3">
      <c r="A274" s="54"/>
      <c r="B274" s="46"/>
      <c r="C274" s="54"/>
      <c r="D274" s="54"/>
      <c r="E274" s="47"/>
      <c r="F274" s="54"/>
      <c r="G274" s="54"/>
      <c r="H274" s="47"/>
      <c r="I274" s="54"/>
      <c r="J274" s="54"/>
      <c r="K274" s="47"/>
      <c r="L274" s="54"/>
      <c r="M274" s="54"/>
      <c r="N274" s="47"/>
      <c r="O274" s="54"/>
      <c r="P274" s="54"/>
      <c r="Q274" s="47"/>
      <c r="R274" s="54"/>
      <c r="S274" s="54"/>
      <c r="T274" s="47"/>
      <c r="U274" s="54"/>
      <c r="V274" s="54"/>
      <c r="W274" s="47"/>
      <c r="X274" s="54"/>
      <c r="Y274" s="54"/>
      <c r="Z274" s="47"/>
      <c r="AA274" s="54"/>
      <c r="AB274" s="54"/>
      <c r="AC274" s="47"/>
      <c r="AD274" s="54"/>
      <c r="AE274" s="73"/>
    </row>
    <row r="275" spans="1:31" s="57" customFormat="1" ht="13.5" x14ac:dyDescent="0.3">
      <c r="A275" s="54"/>
      <c r="B275" s="46"/>
      <c r="C275" s="54"/>
      <c r="D275" s="54"/>
      <c r="E275" s="47"/>
      <c r="F275" s="54"/>
      <c r="G275" s="54"/>
      <c r="H275" s="47"/>
      <c r="I275" s="54"/>
      <c r="J275" s="54"/>
      <c r="K275" s="47"/>
      <c r="L275" s="54"/>
      <c r="M275" s="54"/>
      <c r="N275" s="47"/>
      <c r="O275" s="54"/>
      <c r="P275" s="54"/>
      <c r="Q275" s="47"/>
      <c r="R275" s="54"/>
      <c r="S275" s="54"/>
      <c r="T275" s="47"/>
      <c r="U275" s="54"/>
      <c r="V275" s="54"/>
      <c r="W275" s="47"/>
      <c r="X275" s="54"/>
      <c r="Y275" s="54"/>
      <c r="Z275" s="47"/>
      <c r="AA275" s="54"/>
      <c r="AB275" s="54"/>
      <c r="AC275" s="47"/>
      <c r="AD275" s="54"/>
      <c r="AE275" s="73"/>
    </row>
    <row r="276" spans="1:31" s="57" customFormat="1" ht="13.5" x14ac:dyDescent="0.3">
      <c r="A276" s="54"/>
      <c r="B276" s="46"/>
      <c r="C276" s="54"/>
      <c r="D276" s="54"/>
      <c r="E276" s="47"/>
      <c r="F276" s="54"/>
      <c r="G276" s="54"/>
      <c r="H276" s="47"/>
      <c r="I276" s="54"/>
      <c r="J276" s="54"/>
      <c r="K276" s="47"/>
      <c r="L276" s="54"/>
      <c r="M276" s="54"/>
      <c r="N276" s="47"/>
      <c r="O276" s="54"/>
      <c r="P276" s="54"/>
      <c r="Q276" s="47"/>
      <c r="R276" s="54"/>
      <c r="S276" s="54"/>
      <c r="T276" s="47"/>
      <c r="U276" s="54"/>
      <c r="V276" s="54"/>
      <c r="W276" s="47"/>
      <c r="X276" s="54"/>
      <c r="Y276" s="54"/>
      <c r="Z276" s="47"/>
      <c r="AA276" s="54"/>
      <c r="AB276" s="54"/>
      <c r="AC276" s="47"/>
      <c r="AD276" s="54"/>
      <c r="AE276" s="73"/>
    </row>
    <row r="277" spans="1:31" s="57" customFormat="1" ht="13.5" x14ac:dyDescent="0.3">
      <c r="A277" s="54"/>
      <c r="B277" s="46"/>
      <c r="C277" s="54"/>
      <c r="D277" s="54"/>
      <c r="E277" s="47"/>
      <c r="F277" s="54"/>
      <c r="G277" s="54"/>
      <c r="H277" s="47"/>
      <c r="I277" s="54"/>
      <c r="J277" s="54"/>
      <c r="K277" s="47"/>
      <c r="L277" s="54"/>
      <c r="M277" s="54"/>
      <c r="N277" s="47"/>
      <c r="O277" s="54"/>
      <c r="P277" s="54"/>
      <c r="Q277" s="47"/>
      <c r="R277" s="54"/>
      <c r="S277" s="54"/>
      <c r="T277" s="47"/>
      <c r="U277" s="54"/>
      <c r="V277" s="54"/>
      <c r="W277" s="47"/>
      <c r="X277" s="54"/>
      <c r="Y277" s="54"/>
      <c r="Z277" s="47"/>
      <c r="AA277" s="54"/>
      <c r="AB277" s="54"/>
      <c r="AC277" s="47"/>
      <c r="AD277" s="54"/>
      <c r="AE277" s="73"/>
    </row>
    <row r="278" spans="1:31" s="57" customFormat="1" ht="13.5" x14ac:dyDescent="0.3">
      <c r="A278" s="54"/>
      <c r="B278" s="46"/>
      <c r="C278" s="54"/>
      <c r="D278" s="54"/>
      <c r="E278" s="47"/>
      <c r="F278" s="54"/>
      <c r="G278" s="54"/>
      <c r="H278" s="47"/>
      <c r="I278" s="54"/>
      <c r="J278" s="54"/>
      <c r="K278" s="47"/>
      <c r="L278" s="54"/>
      <c r="M278" s="54"/>
      <c r="N278" s="47"/>
      <c r="O278" s="54"/>
      <c r="P278" s="54"/>
      <c r="Q278" s="47"/>
      <c r="R278" s="54"/>
      <c r="S278" s="54"/>
      <c r="T278" s="47"/>
      <c r="U278" s="54"/>
      <c r="V278" s="54"/>
      <c r="W278" s="47"/>
      <c r="X278" s="54"/>
      <c r="Y278" s="54"/>
      <c r="Z278" s="47"/>
      <c r="AA278" s="54"/>
      <c r="AB278" s="54"/>
      <c r="AC278" s="47"/>
      <c r="AD278" s="54"/>
      <c r="AE278" s="73"/>
    </row>
    <row r="279" spans="1:31" s="57" customFormat="1" ht="13.5" x14ac:dyDescent="0.3">
      <c r="A279" s="54"/>
      <c r="B279" s="46"/>
      <c r="C279" s="54"/>
      <c r="D279" s="54"/>
      <c r="E279" s="47"/>
      <c r="F279" s="54"/>
      <c r="G279" s="54"/>
      <c r="H279" s="47"/>
      <c r="I279" s="54"/>
      <c r="J279" s="54"/>
      <c r="K279" s="47"/>
      <c r="L279" s="54"/>
      <c r="M279" s="54"/>
      <c r="N279" s="47"/>
      <c r="O279" s="54"/>
      <c r="P279" s="54"/>
      <c r="Q279" s="47"/>
      <c r="R279" s="54"/>
      <c r="S279" s="54"/>
      <c r="T279" s="47"/>
      <c r="U279" s="54"/>
      <c r="V279" s="54"/>
      <c r="W279" s="47"/>
      <c r="X279" s="54"/>
      <c r="Y279" s="54"/>
      <c r="Z279" s="47"/>
      <c r="AA279" s="54"/>
      <c r="AB279" s="54"/>
      <c r="AC279" s="47"/>
      <c r="AD279" s="54"/>
      <c r="AE279" s="73"/>
    </row>
    <row r="280" spans="1:31" s="57" customFormat="1" ht="13.5" x14ac:dyDescent="0.3">
      <c r="A280" s="54"/>
      <c r="B280" s="46"/>
      <c r="C280" s="54"/>
      <c r="D280" s="54"/>
      <c r="E280" s="47"/>
      <c r="F280" s="54"/>
      <c r="G280" s="54"/>
      <c r="H280" s="47"/>
      <c r="I280" s="54"/>
      <c r="J280" s="54"/>
      <c r="K280" s="47"/>
      <c r="L280" s="54"/>
      <c r="M280" s="54"/>
      <c r="N280" s="47"/>
      <c r="O280" s="54"/>
      <c r="P280" s="54"/>
      <c r="Q280" s="47"/>
      <c r="R280" s="54"/>
      <c r="S280" s="54"/>
      <c r="T280" s="47"/>
      <c r="U280" s="54"/>
      <c r="V280" s="54"/>
      <c r="W280" s="47"/>
      <c r="X280" s="54"/>
      <c r="Y280" s="54"/>
      <c r="Z280" s="47"/>
      <c r="AA280" s="54"/>
      <c r="AB280" s="54"/>
      <c r="AC280" s="47"/>
      <c r="AD280" s="54"/>
      <c r="AE280" s="73"/>
    </row>
    <row r="281" spans="1:31" s="57" customFormat="1" ht="13.5" x14ac:dyDescent="0.3">
      <c r="A281" s="54"/>
      <c r="B281" s="46"/>
      <c r="C281" s="54"/>
      <c r="D281" s="54"/>
      <c r="E281" s="47"/>
      <c r="F281" s="54"/>
      <c r="G281" s="54"/>
      <c r="H281" s="47"/>
      <c r="I281" s="54"/>
      <c r="J281" s="54"/>
      <c r="K281" s="47"/>
      <c r="L281" s="54"/>
      <c r="M281" s="54"/>
      <c r="N281" s="47"/>
      <c r="O281" s="54"/>
      <c r="P281" s="54"/>
      <c r="Q281" s="47"/>
      <c r="R281" s="54"/>
      <c r="S281" s="54"/>
      <c r="T281" s="47"/>
      <c r="U281" s="54"/>
      <c r="V281" s="54"/>
      <c r="W281" s="47"/>
      <c r="X281" s="54"/>
      <c r="Y281" s="54"/>
      <c r="Z281" s="47"/>
      <c r="AA281" s="54"/>
      <c r="AB281" s="54"/>
      <c r="AC281" s="47"/>
      <c r="AD281" s="54"/>
      <c r="AE281" s="73"/>
    </row>
    <row r="282" spans="1:31" s="57" customFormat="1" ht="13.5" x14ac:dyDescent="0.3">
      <c r="A282" s="54"/>
      <c r="B282" s="46"/>
      <c r="C282" s="54"/>
      <c r="D282" s="54"/>
      <c r="E282" s="47"/>
      <c r="F282" s="54"/>
      <c r="G282" s="54"/>
      <c r="H282" s="47"/>
      <c r="I282" s="54"/>
      <c r="J282" s="54"/>
      <c r="K282" s="47"/>
      <c r="L282" s="54"/>
      <c r="M282" s="54"/>
      <c r="N282" s="47"/>
      <c r="O282" s="54"/>
      <c r="P282" s="54"/>
      <c r="Q282" s="47"/>
      <c r="R282" s="54"/>
      <c r="S282" s="54"/>
      <c r="T282" s="47"/>
      <c r="U282" s="54"/>
      <c r="V282" s="54"/>
      <c r="W282" s="47"/>
      <c r="X282" s="54"/>
      <c r="Y282" s="54"/>
      <c r="Z282" s="47"/>
      <c r="AA282" s="54"/>
      <c r="AB282" s="54"/>
      <c r="AC282" s="47"/>
      <c r="AD282" s="54"/>
      <c r="AE282" s="73"/>
    </row>
    <row r="283" spans="1:31" s="57" customFormat="1" ht="13.5" x14ac:dyDescent="0.3">
      <c r="A283" s="54"/>
      <c r="B283" s="46"/>
      <c r="C283" s="54"/>
      <c r="D283" s="54"/>
      <c r="E283" s="47"/>
      <c r="F283" s="54"/>
      <c r="G283" s="54"/>
      <c r="H283" s="47"/>
      <c r="I283" s="54"/>
      <c r="J283" s="54"/>
      <c r="K283" s="47"/>
      <c r="L283" s="54"/>
      <c r="M283" s="54"/>
      <c r="N283" s="47"/>
      <c r="O283" s="54"/>
      <c r="P283" s="54"/>
      <c r="Q283" s="47"/>
      <c r="R283" s="54"/>
      <c r="S283" s="54"/>
      <c r="T283" s="47"/>
      <c r="U283" s="54"/>
      <c r="V283" s="54"/>
      <c r="W283" s="47"/>
      <c r="X283" s="54"/>
      <c r="Y283" s="54"/>
      <c r="Z283" s="47"/>
      <c r="AA283" s="54"/>
      <c r="AB283" s="54"/>
      <c r="AC283" s="47"/>
      <c r="AD283" s="54"/>
      <c r="AE283" s="73"/>
    </row>
    <row r="284" spans="1:31" s="57" customFormat="1" ht="13.5" x14ac:dyDescent="0.3">
      <c r="A284" s="54"/>
      <c r="B284" s="46"/>
      <c r="C284" s="54"/>
      <c r="D284" s="54"/>
      <c r="E284" s="47"/>
      <c r="F284" s="54"/>
      <c r="G284" s="54"/>
      <c r="H284" s="47"/>
      <c r="I284" s="54"/>
      <c r="J284" s="54"/>
      <c r="K284" s="47"/>
      <c r="L284" s="54"/>
      <c r="M284" s="54"/>
      <c r="N284" s="47"/>
      <c r="O284" s="54"/>
      <c r="P284" s="54"/>
      <c r="Q284" s="47"/>
      <c r="R284" s="54"/>
      <c r="S284" s="54"/>
      <c r="T284" s="47"/>
      <c r="U284" s="54"/>
      <c r="V284" s="54"/>
      <c r="W284" s="47"/>
      <c r="X284" s="54"/>
      <c r="Y284" s="54"/>
      <c r="Z284" s="47"/>
      <c r="AA284" s="54"/>
      <c r="AB284" s="54"/>
      <c r="AC284" s="47"/>
      <c r="AD284" s="54"/>
      <c r="AE284" s="73"/>
    </row>
    <row r="285" spans="1:31" s="57" customFormat="1" ht="13.5" x14ac:dyDescent="0.3">
      <c r="A285" s="54"/>
      <c r="B285" s="46"/>
      <c r="C285" s="54"/>
      <c r="D285" s="54"/>
      <c r="E285" s="47"/>
      <c r="F285" s="54"/>
      <c r="G285" s="54"/>
      <c r="H285" s="47"/>
      <c r="I285" s="54"/>
      <c r="J285" s="54"/>
      <c r="K285" s="47"/>
      <c r="L285" s="54"/>
      <c r="M285" s="54"/>
      <c r="N285" s="47"/>
      <c r="O285" s="54"/>
      <c r="P285" s="54"/>
      <c r="Q285" s="47"/>
      <c r="R285" s="54"/>
      <c r="S285" s="54"/>
      <c r="T285" s="47"/>
      <c r="U285" s="54"/>
      <c r="V285" s="54"/>
      <c r="W285" s="47"/>
      <c r="X285" s="54"/>
      <c r="Y285" s="54"/>
      <c r="Z285" s="47"/>
      <c r="AA285" s="54"/>
      <c r="AB285" s="54"/>
      <c r="AC285" s="47"/>
      <c r="AD285" s="54"/>
      <c r="AE285" s="73"/>
    </row>
    <row r="286" spans="1:31" s="57" customFormat="1" ht="13.5" x14ac:dyDescent="0.3">
      <c r="A286" s="54"/>
      <c r="B286" s="46"/>
      <c r="C286" s="54"/>
      <c r="D286" s="54"/>
      <c r="E286" s="47"/>
      <c r="F286" s="54"/>
      <c r="G286" s="54"/>
      <c r="H286" s="47"/>
      <c r="I286" s="54"/>
      <c r="J286" s="54"/>
      <c r="K286" s="47"/>
      <c r="L286" s="54"/>
      <c r="M286" s="54"/>
      <c r="N286" s="47"/>
      <c r="O286" s="54"/>
      <c r="P286" s="54"/>
      <c r="Q286" s="47"/>
      <c r="R286" s="54"/>
      <c r="S286" s="54"/>
      <c r="T286" s="47"/>
      <c r="U286" s="54"/>
      <c r="V286" s="54"/>
      <c r="W286" s="47"/>
      <c r="X286" s="54"/>
      <c r="Y286" s="54"/>
      <c r="Z286" s="47"/>
      <c r="AA286" s="54"/>
      <c r="AB286" s="54"/>
      <c r="AC286" s="47"/>
      <c r="AD286" s="54"/>
      <c r="AE286" s="73"/>
    </row>
    <row r="287" spans="1:31" s="57" customFormat="1" ht="13.5" x14ac:dyDescent="0.3">
      <c r="A287" s="54"/>
      <c r="B287" s="46"/>
      <c r="C287" s="54"/>
      <c r="D287" s="54"/>
      <c r="E287" s="47"/>
      <c r="F287" s="54"/>
      <c r="G287" s="54"/>
      <c r="H287" s="47"/>
      <c r="I287" s="54"/>
      <c r="J287" s="54"/>
      <c r="K287" s="47"/>
      <c r="L287" s="54"/>
      <c r="M287" s="54"/>
      <c r="N287" s="47"/>
      <c r="O287" s="54"/>
      <c r="P287" s="54"/>
      <c r="Q287" s="47"/>
      <c r="R287" s="54"/>
      <c r="S287" s="54"/>
      <c r="T287" s="47"/>
      <c r="U287" s="54"/>
      <c r="V287" s="54"/>
      <c r="W287" s="47"/>
      <c r="X287" s="54"/>
      <c r="Y287" s="54"/>
      <c r="Z287" s="47"/>
      <c r="AA287" s="54"/>
      <c r="AB287" s="54"/>
      <c r="AC287" s="47"/>
      <c r="AD287" s="54"/>
      <c r="AE287" s="73"/>
    </row>
    <row r="288" spans="1:31" s="57" customFormat="1" ht="13.5" x14ac:dyDescent="0.3">
      <c r="A288" s="54"/>
      <c r="B288" s="46"/>
      <c r="C288" s="54"/>
      <c r="D288" s="54"/>
      <c r="E288" s="47"/>
      <c r="F288" s="54"/>
      <c r="G288" s="54"/>
      <c r="H288" s="47"/>
      <c r="I288" s="54"/>
      <c r="J288" s="54"/>
      <c r="K288" s="47"/>
      <c r="L288" s="54"/>
      <c r="M288" s="54"/>
      <c r="N288" s="47"/>
      <c r="O288" s="54"/>
      <c r="P288" s="54"/>
      <c r="Q288" s="47"/>
      <c r="R288" s="54"/>
      <c r="S288" s="54"/>
      <c r="T288" s="47"/>
      <c r="U288" s="54"/>
      <c r="V288" s="54"/>
      <c r="W288" s="47"/>
      <c r="X288" s="54"/>
      <c r="Y288" s="54"/>
      <c r="Z288" s="47"/>
      <c r="AA288" s="54"/>
      <c r="AB288" s="54"/>
      <c r="AC288" s="47"/>
      <c r="AD288" s="54"/>
      <c r="AE288" s="73"/>
    </row>
    <row r="289" spans="1:31" s="57" customFormat="1" ht="13.5" x14ac:dyDescent="0.3">
      <c r="A289" s="54"/>
      <c r="B289" s="46"/>
      <c r="C289" s="54"/>
      <c r="D289" s="54"/>
      <c r="E289" s="47"/>
      <c r="F289" s="54"/>
      <c r="G289" s="54"/>
      <c r="H289" s="47"/>
      <c r="I289" s="54"/>
      <c r="J289" s="54"/>
      <c r="K289" s="47"/>
      <c r="L289" s="54"/>
      <c r="M289" s="54"/>
      <c r="N289" s="47"/>
      <c r="O289" s="54"/>
      <c r="P289" s="54"/>
      <c r="Q289" s="47"/>
      <c r="R289" s="54"/>
      <c r="S289" s="54"/>
      <c r="T289" s="47"/>
      <c r="U289" s="54"/>
      <c r="V289" s="54"/>
      <c r="W289" s="47"/>
      <c r="X289" s="54"/>
      <c r="Y289" s="54"/>
      <c r="Z289" s="47"/>
      <c r="AA289" s="54"/>
      <c r="AB289" s="54"/>
      <c r="AC289" s="47"/>
      <c r="AD289" s="54"/>
      <c r="AE289" s="73"/>
    </row>
    <row r="290" spans="1:31" s="57" customFormat="1" ht="13.5" x14ac:dyDescent="0.3">
      <c r="A290" s="54"/>
      <c r="B290" s="46"/>
      <c r="C290" s="54"/>
      <c r="D290" s="54"/>
      <c r="E290" s="47"/>
      <c r="F290" s="54"/>
      <c r="G290" s="54"/>
      <c r="H290" s="47"/>
      <c r="I290" s="54"/>
      <c r="J290" s="54"/>
      <c r="K290" s="47"/>
      <c r="L290" s="54"/>
      <c r="M290" s="54"/>
      <c r="N290" s="47"/>
      <c r="O290" s="54"/>
      <c r="P290" s="54"/>
      <c r="Q290" s="47"/>
      <c r="R290" s="54"/>
      <c r="S290" s="54"/>
      <c r="T290" s="47"/>
      <c r="U290" s="54"/>
      <c r="V290" s="54"/>
      <c r="W290" s="47"/>
      <c r="X290" s="54"/>
      <c r="Y290" s="54"/>
      <c r="Z290" s="47"/>
      <c r="AA290" s="54"/>
      <c r="AB290" s="54"/>
      <c r="AC290" s="47"/>
      <c r="AD290" s="54"/>
      <c r="AE290" s="73"/>
    </row>
    <row r="291" spans="1:31" s="57" customFormat="1" ht="13.5" x14ac:dyDescent="0.3">
      <c r="A291" s="54"/>
      <c r="B291" s="46"/>
      <c r="C291" s="54"/>
      <c r="D291" s="54"/>
      <c r="E291" s="47"/>
      <c r="F291" s="54"/>
      <c r="G291" s="54"/>
      <c r="H291" s="47"/>
      <c r="I291" s="54"/>
      <c r="J291" s="54"/>
      <c r="K291" s="47"/>
      <c r="L291" s="54"/>
      <c r="M291" s="54"/>
      <c r="N291" s="47"/>
      <c r="O291" s="54"/>
      <c r="P291" s="54"/>
      <c r="Q291" s="47"/>
      <c r="R291" s="54"/>
      <c r="S291" s="54"/>
      <c r="T291" s="47"/>
      <c r="U291" s="54"/>
      <c r="V291" s="54"/>
      <c r="W291" s="47"/>
      <c r="X291" s="54"/>
      <c r="Y291" s="54"/>
      <c r="Z291" s="47"/>
      <c r="AA291" s="54"/>
      <c r="AB291" s="54"/>
      <c r="AC291" s="47"/>
      <c r="AD291" s="54"/>
      <c r="AE291" s="73"/>
    </row>
    <row r="292" spans="1:31" s="57" customFormat="1" ht="13.5" x14ac:dyDescent="0.3">
      <c r="A292" s="54"/>
      <c r="B292" s="46"/>
      <c r="C292" s="54"/>
      <c r="D292" s="54"/>
      <c r="E292" s="47"/>
      <c r="F292" s="54"/>
      <c r="G292" s="54"/>
      <c r="H292" s="47"/>
      <c r="I292" s="54"/>
      <c r="J292" s="54"/>
      <c r="K292" s="47"/>
      <c r="L292" s="54"/>
      <c r="M292" s="54"/>
      <c r="N292" s="47"/>
      <c r="O292" s="54"/>
      <c r="P292" s="54"/>
      <c r="Q292" s="47"/>
      <c r="R292" s="54"/>
      <c r="S292" s="54"/>
      <c r="T292" s="47"/>
      <c r="U292" s="54"/>
      <c r="V292" s="54"/>
      <c r="W292" s="47"/>
      <c r="X292" s="54"/>
      <c r="Y292" s="54"/>
      <c r="Z292" s="47"/>
      <c r="AA292" s="54"/>
      <c r="AB292" s="54"/>
      <c r="AC292" s="47"/>
      <c r="AD292" s="54"/>
      <c r="AE292" s="73"/>
    </row>
    <row r="293" spans="1:31" s="57" customFormat="1" ht="13.5" x14ac:dyDescent="0.3">
      <c r="A293" s="54"/>
      <c r="B293" s="46"/>
      <c r="C293" s="54"/>
      <c r="D293" s="54"/>
      <c r="E293" s="47"/>
      <c r="F293" s="54"/>
      <c r="G293" s="54"/>
      <c r="H293" s="47"/>
      <c r="I293" s="54"/>
      <c r="J293" s="54"/>
      <c r="K293" s="47"/>
      <c r="L293" s="54"/>
      <c r="M293" s="54"/>
      <c r="N293" s="47"/>
      <c r="O293" s="54"/>
      <c r="P293" s="54"/>
      <c r="Q293" s="47"/>
      <c r="R293" s="54"/>
      <c r="S293" s="54"/>
      <c r="T293" s="47"/>
      <c r="U293" s="54"/>
      <c r="V293" s="54"/>
      <c r="W293" s="47"/>
      <c r="X293" s="54"/>
      <c r="Y293" s="54"/>
      <c r="Z293" s="47"/>
      <c r="AA293" s="54"/>
      <c r="AB293" s="54"/>
      <c r="AC293" s="47"/>
      <c r="AD293" s="54"/>
      <c r="AE293" s="73"/>
    </row>
    <row r="294" spans="1:31" s="57" customFormat="1" ht="13.5" x14ac:dyDescent="0.3">
      <c r="A294" s="54"/>
      <c r="B294" s="46"/>
      <c r="C294" s="54"/>
      <c r="D294" s="54"/>
      <c r="E294" s="47"/>
      <c r="F294" s="54"/>
      <c r="G294" s="54"/>
      <c r="H294" s="47"/>
      <c r="I294" s="54"/>
      <c r="J294" s="54"/>
      <c r="K294" s="47"/>
      <c r="L294" s="54"/>
      <c r="M294" s="54"/>
      <c r="N294" s="47"/>
      <c r="O294" s="54"/>
      <c r="P294" s="54"/>
      <c r="Q294" s="47"/>
      <c r="R294" s="54"/>
      <c r="S294" s="54"/>
      <c r="T294" s="47"/>
      <c r="U294" s="54"/>
      <c r="V294" s="54"/>
      <c r="W294" s="47"/>
      <c r="X294" s="54"/>
      <c r="Y294" s="54"/>
      <c r="Z294" s="47"/>
      <c r="AA294" s="54"/>
      <c r="AB294" s="54"/>
      <c r="AC294" s="47"/>
      <c r="AD294" s="54"/>
      <c r="AE294" s="73"/>
    </row>
    <row r="295" spans="1:31" s="57" customFormat="1" ht="13.5" x14ac:dyDescent="0.3">
      <c r="A295" s="54"/>
      <c r="B295" s="46"/>
      <c r="C295" s="54"/>
      <c r="D295" s="54"/>
      <c r="E295" s="47"/>
      <c r="F295" s="54"/>
      <c r="G295" s="54"/>
      <c r="H295" s="47"/>
      <c r="I295" s="54"/>
      <c r="J295" s="54"/>
      <c r="K295" s="47"/>
      <c r="L295" s="54"/>
      <c r="M295" s="54"/>
      <c r="N295" s="47"/>
      <c r="O295" s="54"/>
      <c r="P295" s="54"/>
      <c r="Q295" s="47"/>
      <c r="R295" s="54"/>
      <c r="S295" s="54"/>
      <c r="T295" s="47"/>
      <c r="U295" s="54"/>
      <c r="V295" s="54"/>
      <c r="W295" s="47"/>
      <c r="X295" s="54"/>
      <c r="Y295" s="54"/>
      <c r="Z295" s="47"/>
      <c r="AA295" s="54"/>
      <c r="AB295" s="54"/>
      <c r="AC295" s="47"/>
      <c r="AD295" s="54"/>
      <c r="AE295" s="73"/>
    </row>
    <row r="296" spans="1:31" s="57" customFormat="1" ht="13.5" x14ac:dyDescent="0.3">
      <c r="A296" s="54"/>
      <c r="B296" s="46"/>
      <c r="C296" s="54"/>
      <c r="D296" s="54"/>
      <c r="E296" s="47"/>
      <c r="F296" s="54"/>
      <c r="G296" s="54"/>
      <c r="H296" s="47"/>
      <c r="I296" s="54"/>
      <c r="J296" s="54"/>
      <c r="K296" s="47"/>
      <c r="L296" s="54"/>
      <c r="M296" s="54"/>
      <c r="N296" s="47"/>
      <c r="O296" s="54"/>
      <c r="P296" s="54"/>
      <c r="Q296" s="47"/>
      <c r="R296" s="54"/>
      <c r="S296" s="54"/>
      <c r="T296" s="47"/>
      <c r="U296" s="54"/>
      <c r="V296" s="54"/>
      <c r="W296" s="47"/>
      <c r="X296" s="54"/>
      <c r="Y296" s="54"/>
      <c r="Z296" s="47"/>
      <c r="AA296" s="54"/>
      <c r="AB296" s="54"/>
      <c r="AC296" s="47"/>
      <c r="AD296" s="54"/>
      <c r="AE296" s="73"/>
    </row>
    <row r="297" spans="1:31" s="57" customFormat="1" ht="13.5" x14ac:dyDescent="0.3">
      <c r="A297" s="54"/>
      <c r="B297" s="46"/>
      <c r="C297" s="54"/>
      <c r="D297" s="54"/>
      <c r="E297" s="47"/>
      <c r="F297" s="54"/>
      <c r="G297" s="54"/>
      <c r="H297" s="47"/>
      <c r="I297" s="54"/>
      <c r="J297" s="54"/>
      <c r="K297" s="47"/>
      <c r="L297" s="54"/>
      <c r="M297" s="54"/>
      <c r="N297" s="47"/>
      <c r="O297" s="54"/>
      <c r="P297" s="54"/>
      <c r="Q297" s="47"/>
      <c r="R297" s="54"/>
      <c r="S297" s="54"/>
      <c r="T297" s="47"/>
      <c r="U297" s="54"/>
      <c r="V297" s="54"/>
      <c r="W297" s="47"/>
      <c r="X297" s="54"/>
      <c r="Y297" s="54"/>
      <c r="Z297" s="47"/>
      <c r="AA297" s="54"/>
      <c r="AB297" s="54"/>
      <c r="AC297" s="47"/>
      <c r="AD297" s="54"/>
      <c r="AE297" s="73"/>
    </row>
    <row r="298" spans="1:31" s="57" customFormat="1" ht="13.5" x14ac:dyDescent="0.3">
      <c r="A298" s="54"/>
      <c r="B298" s="46"/>
      <c r="C298" s="54"/>
      <c r="D298" s="54"/>
      <c r="E298" s="47"/>
      <c r="F298" s="54"/>
      <c r="G298" s="54"/>
      <c r="H298" s="47"/>
      <c r="I298" s="54"/>
      <c r="J298" s="54"/>
      <c r="K298" s="47"/>
      <c r="L298" s="54"/>
      <c r="M298" s="54"/>
      <c r="N298" s="47"/>
      <c r="O298" s="54"/>
      <c r="P298" s="54"/>
      <c r="Q298" s="47"/>
      <c r="R298" s="54"/>
      <c r="S298" s="54"/>
      <c r="T298" s="47"/>
      <c r="U298" s="54"/>
      <c r="V298" s="54"/>
      <c r="W298" s="47"/>
      <c r="X298" s="54"/>
      <c r="Y298" s="54"/>
      <c r="Z298" s="47"/>
      <c r="AA298" s="54"/>
      <c r="AB298" s="54"/>
      <c r="AC298" s="47"/>
      <c r="AD298" s="54"/>
      <c r="AE298" s="73"/>
    </row>
    <row r="299" spans="1:31" s="57" customFormat="1" ht="13.5" x14ac:dyDescent="0.3">
      <c r="A299" s="54"/>
      <c r="B299" s="46"/>
      <c r="C299" s="54"/>
      <c r="D299" s="54"/>
      <c r="E299" s="47"/>
      <c r="F299" s="54"/>
      <c r="G299" s="54"/>
      <c r="H299" s="47"/>
      <c r="I299" s="54"/>
      <c r="J299" s="54"/>
      <c r="K299" s="47"/>
      <c r="L299" s="54"/>
      <c r="M299" s="54"/>
      <c r="N299" s="47"/>
      <c r="O299" s="54"/>
      <c r="P299" s="54"/>
      <c r="Q299" s="47"/>
      <c r="R299" s="54"/>
      <c r="S299" s="54"/>
      <c r="T299" s="47"/>
      <c r="U299" s="54"/>
      <c r="V299" s="54"/>
      <c r="W299" s="47"/>
      <c r="X299" s="54"/>
      <c r="Y299" s="54"/>
      <c r="Z299" s="47"/>
      <c r="AA299" s="54"/>
      <c r="AB299" s="54"/>
      <c r="AC299" s="47"/>
      <c r="AD299" s="54"/>
      <c r="AE299" s="73"/>
    </row>
    <row r="300" spans="1:31" s="57" customFormat="1" ht="13.5" x14ac:dyDescent="0.3">
      <c r="A300" s="54"/>
      <c r="B300" s="46"/>
      <c r="C300" s="54"/>
      <c r="D300" s="54"/>
      <c r="E300" s="47"/>
      <c r="F300" s="54"/>
      <c r="G300" s="54"/>
      <c r="H300" s="47"/>
      <c r="I300" s="54"/>
      <c r="J300" s="54"/>
      <c r="K300" s="47"/>
      <c r="L300" s="54"/>
      <c r="M300" s="54"/>
      <c r="N300" s="47"/>
      <c r="O300" s="54"/>
      <c r="P300" s="54"/>
      <c r="Q300" s="47"/>
      <c r="R300" s="54"/>
      <c r="S300" s="54"/>
      <c r="T300" s="47"/>
      <c r="U300" s="54"/>
      <c r="V300" s="54"/>
      <c r="W300" s="47"/>
      <c r="X300" s="54"/>
      <c r="Y300" s="54"/>
      <c r="Z300" s="47"/>
      <c r="AA300" s="54"/>
      <c r="AB300" s="54"/>
      <c r="AC300" s="47"/>
      <c r="AD300" s="54"/>
      <c r="AE300" s="73"/>
    </row>
    <row r="301" spans="1:31" s="57" customFormat="1" ht="13.5" x14ac:dyDescent="0.3">
      <c r="A301" s="54"/>
      <c r="B301" s="46"/>
      <c r="C301" s="54"/>
      <c r="D301" s="54"/>
      <c r="E301" s="47"/>
      <c r="F301" s="54"/>
      <c r="G301" s="54"/>
      <c r="H301" s="47"/>
      <c r="I301" s="54"/>
      <c r="J301" s="54"/>
      <c r="K301" s="47"/>
      <c r="L301" s="54"/>
      <c r="M301" s="54"/>
      <c r="N301" s="47"/>
      <c r="O301" s="54"/>
      <c r="P301" s="54"/>
      <c r="Q301" s="47"/>
      <c r="R301" s="54"/>
      <c r="S301" s="54"/>
      <c r="T301" s="47"/>
      <c r="U301" s="54"/>
      <c r="V301" s="54"/>
      <c r="W301" s="47"/>
      <c r="X301" s="54"/>
      <c r="Y301" s="54"/>
      <c r="Z301" s="47"/>
      <c r="AA301" s="54"/>
      <c r="AB301" s="54"/>
      <c r="AC301" s="47"/>
      <c r="AD301" s="54"/>
      <c r="AE301" s="73"/>
    </row>
    <row r="302" spans="1:31" s="57" customFormat="1" ht="13.5" x14ac:dyDescent="0.3">
      <c r="A302" s="54"/>
      <c r="B302" s="46"/>
      <c r="C302" s="54"/>
      <c r="D302" s="54"/>
      <c r="E302" s="47"/>
      <c r="F302" s="54"/>
      <c r="G302" s="54"/>
      <c r="H302" s="47"/>
      <c r="I302" s="54"/>
      <c r="J302" s="54"/>
      <c r="K302" s="47"/>
      <c r="L302" s="54"/>
      <c r="M302" s="54"/>
      <c r="N302" s="47"/>
      <c r="O302" s="54"/>
      <c r="P302" s="54"/>
      <c r="Q302" s="47"/>
      <c r="R302" s="54"/>
      <c r="S302" s="54"/>
      <c r="T302" s="47"/>
      <c r="U302" s="54"/>
      <c r="V302" s="54"/>
      <c r="W302" s="47"/>
      <c r="X302" s="54"/>
      <c r="Y302" s="54"/>
      <c r="Z302" s="47"/>
      <c r="AA302" s="54"/>
      <c r="AB302" s="54"/>
      <c r="AC302" s="47"/>
      <c r="AD302" s="54"/>
      <c r="AE302" s="73"/>
    </row>
    <row r="303" spans="1:31" s="57" customFormat="1" ht="13.5" x14ac:dyDescent="0.3">
      <c r="A303" s="54"/>
      <c r="B303" s="46"/>
      <c r="C303" s="54"/>
      <c r="D303" s="54"/>
      <c r="E303" s="47"/>
      <c r="F303" s="54"/>
      <c r="G303" s="54"/>
      <c r="H303" s="47"/>
      <c r="I303" s="54"/>
      <c r="J303" s="54"/>
      <c r="K303" s="47"/>
      <c r="L303" s="54"/>
      <c r="M303" s="54"/>
      <c r="N303" s="47"/>
      <c r="O303" s="54"/>
      <c r="P303" s="54"/>
      <c r="Q303" s="47"/>
      <c r="R303" s="54"/>
      <c r="S303" s="54"/>
      <c r="T303" s="47"/>
      <c r="U303" s="54"/>
      <c r="V303" s="54"/>
      <c r="W303" s="47"/>
      <c r="X303" s="54"/>
      <c r="Y303" s="54"/>
      <c r="Z303" s="47"/>
      <c r="AA303" s="54"/>
      <c r="AB303" s="54"/>
      <c r="AC303" s="47"/>
      <c r="AD303" s="54"/>
      <c r="AE303" s="73"/>
    </row>
    <row r="304" spans="1:31" s="57" customFormat="1" ht="13.5" x14ac:dyDescent="0.3">
      <c r="A304" s="54"/>
      <c r="B304" s="46"/>
      <c r="C304" s="54"/>
      <c r="D304" s="54"/>
      <c r="E304" s="47"/>
      <c r="F304" s="54"/>
      <c r="G304" s="54"/>
      <c r="H304" s="47"/>
      <c r="I304" s="54"/>
      <c r="J304" s="54"/>
      <c r="K304" s="47"/>
      <c r="L304" s="54"/>
      <c r="M304" s="54"/>
      <c r="N304" s="47"/>
      <c r="O304" s="54"/>
      <c r="P304" s="54"/>
      <c r="Q304" s="47"/>
      <c r="R304" s="54"/>
      <c r="S304" s="54"/>
      <c r="T304" s="47"/>
      <c r="U304" s="54"/>
      <c r="V304" s="54"/>
      <c r="W304" s="47"/>
      <c r="X304" s="54"/>
      <c r="Y304" s="54"/>
      <c r="Z304" s="47"/>
      <c r="AA304" s="54"/>
      <c r="AB304" s="54"/>
      <c r="AC304" s="47"/>
      <c r="AD304" s="54"/>
      <c r="AE304" s="73"/>
    </row>
    <row r="305" spans="1:31" s="57" customFormat="1" ht="13.5" x14ac:dyDescent="0.3">
      <c r="A305" s="54"/>
      <c r="B305" s="46"/>
      <c r="C305" s="54"/>
      <c r="D305" s="54"/>
      <c r="E305" s="47"/>
      <c r="F305" s="54"/>
      <c r="G305" s="54"/>
      <c r="H305" s="47"/>
      <c r="I305" s="54"/>
      <c r="J305" s="54"/>
      <c r="K305" s="47"/>
      <c r="L305" s="54"/>
      <c r="M305" s="54"/>
      <c r="N305" s="47"/>
      <c r="O305" s="54"/>
      <c r="P305" s="54"/>
      <c r="Q305" s="47"/>
      <c r="R305" s="54"/>
      <c r="S305" s="54"/>
      <c r="T305" s="47"/>
      <c r="U305" s="54"/>
      <c r="V305" s="54"/>
      <c r="W305" s="47"/>
      <c r="X305" s="54"/>
      <c r="Y305" s="54"/>
      <c r="Z305" s="47"/>
      <c r="AA305" s="54"/>
      <c r="AB305" s="54"/>
      <c r="AC305" s="47"/>
      <c r="AD305" s="54"/>
      <c r="AE305" s="73"/>
    </row>
    <row r="306" spans="1:31" s="57" customFormat="1" ht="13.5" x14ac:dyDescent="0.3">
      <c r="A306" s="54"/>
      <c r="B306" s="46"/>
      <c r="C306" s="54"/>
      <c r="D306" s="54"/>
      <c r="E306" s="47"/>
      <c r="F306" s="54"/>
      <c r="G306" s="54"/>
      <c r="H306" s="47"/>
      <c r="I306" s="54"/>
      <c r="J306" s="54"/>
      <c r="K306" s="47"/>
      <c r="L306" s="54"/>
      <c r="M306" s="54"/>
      <c r="N306" s="47"/>
      <c r="O306" s="54"/>
      <c r="P306" s="54"/>
      <c r="Q306" s="47"/>
      <c r="R306" s="54"/>
      <c r="S306" s="54"/>
      <c r="T306" s="47"/>
      <c r="U306" s="54"/>
      <c r="V306" s="54"/>
      <c r="W306" s="47"/>
      <c r="X306" s="54"/>
      <c r="Y306" s="54"/>
      <c r="Z306" s="47"/>
      <c r="AA306" s="54"/>
      <c r="AB306" s="54"/>
      <c r="AC306" s="47"/>
      <c r="AD306" s="54"/>
      <c r="AE306" s="73"/>
    </row>
    <row r="307" spans="1:31" s="57" customFormat="1" ht="13.5" x14ac:dyDescent="0.3">
      <c r="A307" s="54"/>
      <c r="B307" s="46"/>
      <c r="C307" s="54"/>
      <c r="D307" s="54"/>
      <c r="E307" s="47"/>
      <c r="F307" s="54"/>
      <c r="G307" s="54"/>
      <c r="H307" s="47"/>
      <c r="I307" s="54"/>
      <c r="J307" s="54"/>
      <c r="K307" s="47"/>
      <c r="L307" s="54"/>
      <c r="M307" s="54"/>
      <c r="N307" s="47"/>
      <c r="O307" s="54"/>
      <c r="P307" s="54"/>
      <c r="Q307" s="47"/>
      <c r="R307" s="54"/>
      <c r="S307" s="54"/>
      <c r="T307" s="47"/>
      <c r="U307" s="54"/>
      <c r="V307" s="54"/>
      <c r="W307" s="47"/>
      <c r="X307" s="54"/>
      <c r="Y307" s="54"/>
      <c r="Z307" s="47"/>
      <c r="AA307" s="54"/>
      <c r="AB307" s="54"/>
      <c r="AC307" s="47"/>
      <c r="AD307" s="54"/>
      <c r="AE307" s="73"/>
    </row>
    <row r="308" spans="1:31" s="57" customFormat="1" ht="13.5" x14ac:dyDescent="0.3">
      <c r="A308" s="54"/>
      <c r="B308" s="46"/>
      <c r="C308" s="54"/>
      <c r="D308" s="54"/>
      <c r="E308" s="47"/>
      <c r="F308" s="54"/>
      <c r="G308" s="54"/>
      <c r="H308" s="47"/>
      <c r="I308" s="54"/>
      <c r="J308" s="54"/>
      <c r="K308" s="47"/>
      <c r="L308" s="54"/>
      <c r="M308" s="54"/>
      <c r="N308" s="47"/>
      <c r="O308" s="54"/>
      <c r="P308" s="54"/>
      <c r="Q308" s="47"/>
      <c r="R308" s="54"/>
      <c r="S308" s="54"/>
      <c r="T308" s="47"/>
      <c r="U308" s="54"/>
      <c r="V308" s="54"/>
      <c r="W308" s="47"/>
      <c r="X308" s="54"/>
      <c r="Y308" s="54"/>
      <c r="Z308" s="47"/>
      <c r="AA308" s="54"/>
      <c r="AB308" s="54"/>
      <c r="AC308" s="47"/>
      <c r="AD308" s="54"/>
      <c r="AE308" s="73"/>
    </row>
    <row r="309" spans="1:31" s="57" customFormat="1" ht="13.5" x14ac:dyDescent="0.3">
      <c r="A309" s="54"/>
      <c r="B309" s="46"/>
      <c r="C309" s="54"/>
      <c r="D309" s="54"/>
      <c r="E309" s="47"/>
      <c r="F309" s="54"/>
      <c r="G309" s="54"/>
      <c r="H309" s="47"/>
      <c r="I309" s="54"/>
      <c r="J309" s="54"/>
      <c r="K309" s="47"/>
      <c r="L309" s="54"/>
      <c r="M309" s="54"/>
      <c r="N309" s="47"/>
      <c r="O309" s="54"/>
      <c r="P309" s="54"/>
      <c r="Q309" s="47"/>
      <c r="R309" s="54"/>
      <c r="S309" s="54"/>
      <c r="T309" s="47"/>
      <c r="U309" s="54"/>
      <c r="V309" s="54"/>
      <c r="W309" s="47"/>
      <c r="X309" s="54"/>
      <c r="Y309" s="54"/>
      <c r="Z309" s="47"/>
      <c r="AA309" s="54"/>
      <c r="AB309" s="54"/>
      <c r="AC309" s="47"/>
      <c r="AD309" s="54"/>
      <c r="AE309" s="73"/>
    </row>
    <row r="310" spans="1:31" s="57" customFormat="1" ht="13.5" x14ac:dyDescent="0.3">
      <c r="A310" s="54"/>
      <c r="B310" s="46"/>
      <c r="C310" s="54"/>
      <c r="D310" s="54"/>
      <c r="E310" s="47"/>
      <c r="F310" s="54"/>
      <c r="G310" s="54"/>
      <c r="H310" s="47"/>
      <c r="I310" s="54"/>
      <c r="J310" s="54"/>
      <c r="K310" s="47"/>
      <c r="L310" s="54"/>
      <c r="M310" s="54"/>
      <c r="N310" s="47"/>
      <c r="O310" s="54"/>
      <c r="P310" s="54"/>
      <c r="Q310" s="47"/>
      <c r="R310" s="54"/>
      <c r="S310" s="54"/>
      <c r="T310" s="47"/>
      <c r="U310" s="54"/>
      <c r="V310" s="54"/>
      <c r="W310" s="47"/>
      <c r="X310" s="54"/>
      <c r="Y310" s="54"/>
      <c r="Z310" s="47"/>
      <c r="AA310" s="54"/>
      <c r="AB310" s="54"/>
      <c r="AC310" s="47"/>
      <c r="AD310" s="54"/>
      <c r="AE310" s="73"/>
    </row>
    <row r="311" spans="1:31" s="57" customFormat="1" ht="13.5" x14ac:dyDescent="0.3">
      <c r="A311" s="54"/>
      <c r="B311" s="46"/>
      <c r="C311" s="54"/>
      <c r="D311" s="54"/>
      <c r="E311" s="47"/>
      <c r="F311" s="54"/>
      <c r="G311" s="54"/>
      <c r="H311" s="47"/>
      <c r="I311" s="54"/>
      <c r="J311" s="54"/>
      <c r="K311" s="47"/>
      <c r="L311" s="54"/>
      <c r="M311" s="54"/>
      <c r="N311" s="47"/>
      <c r="O311" s="54"/>
      <c r="P311" s="54"/>
      <c r="Q311" s="47"/>
      <c r="R311" s="54"/>
      <c r="S311" s="54"/>
      <c r="T311" s="47"/>
      <c r="U311" s="54"/>
      <c r="V311" s="54"/>
      <c r="W311" s="47"/>
      <c r="X311" s="54"/>
      <c r="Y311" s="54"/>
      <c r="Z311" s="47"/>
      <c r="AA311" s="54"/>
      <c r="AB311" s="54"/>
      <c r="AC311" s="47"/>
      <c r="AD311" s="54"/>
      <c r="AE311" s="73"/>
    </row>
    <row r="312" spans="1:31" s="57" customFormat="1" ht="13.5" x14ac:dyDescent="0.3">
      <c r="A312" s="54"/>
      <c r="B312" s="46"/>
      <c r="C312" s="54"/>
      <c r="D312" s="54"/>
      <c r="E312" s="47"/>
      <c r="F312" s="54"/>
      <c r="G312" s="54"/>
      <c r="H312" s="47"/>
      <c r="I312" s="54"/>
      <c r="J312" s="54"/>
      <c r="K312" s="47"/>
      <c r="L312" s="54"/>
      <c r="M312" s="54"/>
      <c r="N312" s="47"/>
      <c r="O312" s="54"/>
      <c r="P312" s="54"/>
      <c r="Q312" s="47"/>
      <c r="R312" s="54"/>
      <c r="S312" s="54"/>
      <c r="T312" s="47"/>
      <c r="U312" s="54"/>
      <c r="V312" s="54"/>
      <c r="W312" s="47"/>
      <c r="X312" s="54"/>
      <c r="Y312" s="54"/>
      <c r="Z312" s="47"/>
      <c r="AA312" s="54"/>
      <c r="AB312" s="54"/>
      <c r="AC312" s="47"/>
      <c r="AD312" s="54"/>
      <c r="AE312" s="73"/>
    </row>
    <row r="313" spans="1:31" s="57" customFormat="1" ht="13.5" x14ac:dyDescent="0.3">
      <c r="A313" s="54"/>
      <c r="B313" s="46"/>
      <c r="C313" s="54"/>
      <c r="D313" s="54"/>
      <c r="E313" s="47"/>
      <c r="F313" s="54"/>
      <c r="G313" s="54"/>
      <c r="H313" s="47"/>
      <c r="I313" s="54"/>
      <c r="J313" s="54"/>
      <c r="K313" s="47"/>
      <c r="L313" s="54"/>
      <c r="M313" s="54"/>
      <c r="N313" s="47"/>
      <c r="O313" s="54"/>
      <c r="P313" s="54"/>
      <c r="Q313" s="47"/>
      <c r="R313" s="54"/>
      <c r="S313" s="54"/>
      <c r="T313" s="47"/>
      <c r="U313" s="54"/>
      <c r="V313" s="54"/>
      <c r="W313" s="47"/>
      <c r="X313" s="54"/>
      <c r="Y313" s="54"/>
      <c r="Z313" s="47"/>
      <c r="AA313" s="54"/>
      <c r="AB313" s="54"/>
      <c r="AC313" s="47"/>
      <c r="AD313" s="54"/>
      <c r="AE313" s="73"/>
    </row>
    <row r="314" spans="1:31" s="57" customFormat="1" ht="13.5" x14ac:dyDescent="0.3">
      <c r="A314" s="54"/>
      <c r="B314" s="46"/>
      <c r="C314" s="54"/>
      <c r="D314" s="54"/>
      <c r="E314" s="47"/>
      <c r="F314" s="54"/>
      <c r="G314" s="54"/>
      <c r="H314" s="47"/>
      <c r="I314" s="54"/>
      <c r="J314" s="54"/>
      <c r="K314" s="47"/>
      <c r="L314" s="54"/>
      <c r="M314" s="54"/>
      <c r="N314" s="47"/>
      <c r="O314" s="54"/>
      <c r="P314" s="54"/>
      <c r="Q314" s="47"/>
      <c r="R314" s="54"/>
      <c r="S314" s="54"/>
      <c r="T314" s="47"/>
      <c r="U314" s="54"/>
      <c r="V314" s="54"/>
      <c r="W314" s="47"/>
      <c r="X314" s="54"/>
      <c r="Y314" s="54"/>
      <c r="Z314" s="47"/>
      <c r="AA314" s="54"/>
      <c r="AB314" s="54"/>
      <c r="AC314" s="47"/>
      <c r="AD314" s="54"/>
      <c r="AE314" s="73"/>
    </row>
    <row r="315" spans="1:31" s="57" customFormat="1" ht="13.5" x14ac:dyDescent="0.3">
      <c r="A315" s="54"/>
      <c r="B315" s="46"/>
      <c r="C315" s="54"/>
      <c r="D315" s="54"/>
      <c r="E315" s="47"/>
      <c r="F315" s="54"/>
      <c r="G315" s="54"/>
      <c r="H315" s="47"/>
      <c r="I315" s="54"/>
      <c r="J315" s="54"/>
      <c r="K315" s="47"/>
      <c r="L315" s="54"/>
      <c r="M315" s="54"/>
      <c r="N315" s="47"/>
      <c r="O315" s="54"/>
      <c r="P315" s="54"/>
      <c r="Q315" s="47"/>
      <c r="R315" s="54"/>
      <c r="S315" s="54"/>
      <c r="T315" s="47"/>
      <c r="U315" s="54"/>
      <c r="V315" s="54"/>
      <c r="W315" s="47"/>
      <c r="X315" s="54"/>
      <c r="Y315" s="54"/>
      <c r="Z315" s="47"/>
      <c r="AA315" s="54"/>
      <c r="AB315" s="54"/>
      <c r="AC315" s="47"/>
      <c r="AD315" s="54"/>
      <c r="AE315" s="73"/>
    </row>
    <row r="316" spans="1:31" s="57" customFormat="1" ht="13.5" x14ac:dyDescent="0.3">
      <c r="A316" s="54"/>
      <c r="B316" s="46"/>
      <c r="C316" s="54"/>
      <c r="D316" s="54"/>
      <c r="E316" s="47"/>
      <c r="F316" s="54"/>
      <c r="G316" s="54"/>
      <c r="H316" s="47"/>
      <c r="I316" s="54"/>
      <c r="J316" s="54"/>
      <c r="K316" s="47"/>
      <c r="L316" s="54"/>
      <c r="M316" s="54"/>
      <c r="N316" s="47"/>
      <c r="O316" s="54"/>
      <c r="P316" s="54"/>
      <c r="Q316" s="47"/>
      <c r="R316" s="54"/>
      <c r="S316" s="54"/>
      <c r="T316" s="47"/>
      <c r="U316" s="54"/>
      <c r="V316" s="54"/>
      <c r="W316" s="47"/>
      <c r="X316" s="54"/>
      <c r="Y316" s="54"/>
      <c r="Z316" s="47"/>
      <c r="AA316" s="54"/>
      <c r="AB316" s="54"/>
      <c r="AC316" s="47"/>
      <c r="AD316" s="54"/>
      <c r="AE316" s="73"/>
    </row>
    <row r="317" spans="1:31" s="57" customFormat="1" ht="13.5" x14ac:dyDescent="0.3">
      <c r="A317" s="54"/>
      <c r="B317" s="46"/>
      <c r="C317" s="54"/>
      <c r="D317" s="54"/>
      <c r="E317" s="47"/>
      <c r="F317" s="54"/>
      <c r="G317" s="54"/>
      <c r="H317" s="47"/>
      <c r="I317" s="54"/>
      <c r="J317" s="54"/>
      <c r="K317" s="47"/>
      <c r="L317" s="54"/>
      <c r="M317" s="54"/>
      <c r="N317" s="47"/>
      <c r="O317" s="54"/>
      <c r="P317" s="54"/>
      <c r="Q317" s="47"/>
      <c r="R317" s="54"/>
      <c r="S317" s="54"/>
      <c r="T317" s="47"/>
      <c r="U317" s="54"/>
      <c r="V317" s="54"/>
      <c r="W317" s="47"/>
      <c r="X317" s="54"/>
      <c r="Y317" s="54"/>
      <c r="Z317" s="47"/>
      <c r="AA317" s="54"/>
      <c r="AB317" s="54"/>
      <c r="AC317" s="47"/>
      <c r="AD317" s="54"/>
      <c r="AE317" s="73"/>
    </row>
    <row r="318" spans="1:31" s="57" customFormat="1" ht="13.5" x14ac:dyDescent="0.3">
      <c r="A318" s="54"/>
      <c r="B318" s="46"/>
      <c r="C318" s="54"/>
      <c r="D318" s="54"/>
      <c r="E318" s="47"/>
      <c r="F318" s="54"/>
      <c r="G318" s="54"/>
      <c r="H318" s="47"/>
      <c r="I318" s="54"/>
      <c r="J318" s="54"/>
      <c r="K318" s="47"/>
      <c r="L318" s="54"/>
      <c r="M318" s="54"/>
      <c r="N318" s="47"/>
      <c r="O318" s="54"/>
      <c r="P318" s="54"/>
      <c r="Q318" s="47"/>
      <c r="R318" s="54"/>
      <c r="S318" s="54"/>
      <c r="T318" s="47"/>
      <c r="U318" s="54"/>
      <c r="V318" s="54"/>
      <c r="W318" s="47"/>
      <c r="X318" s="54"/>
      <c r="Y318" s="54"/>
      <c r="Z318" s="47"/>
      <c r="AA318" s="54"/>
      <c r="AB318" s="54"/>
      <c r="AC318" s="47"/>
      <c r="AD318" s="54"/>
      <c r="AE318" s="73"/>
    </row>
    <row r="319" spans="1:31" s="57" customFormat="1" ht="13.5" x14ac:dyDescent="0.3">
      <c r="A319" s="54"/>
      <c r="B319" s="46"/>
      <c r="C319" s="54"/>
      <c r="D319" s="54"/>
      <c r="E319" s="47"/>
      <c r="F319" s="54"/>
      <c r="G319" s="54"/>
      <c r="H319" s="47"/>
      <c r="I319" s="54"/>
      <c r="J319" s="54"/>
      <c r="K319" s="47"/>
      <c r="L319" s="54"/>
      <c r="M319" s="54"/>
      <c r="N319" s="47"/>
      <c r="O319" s="54"/>
      <c r="P319" s="54"/>
      <c r="Q319" s="47"/>
      <c r="R319" s="54"/>
      <c r="S319" s="54"/>
      <c r="T319" s="47"/>
      <c r="U319" s="54"/>
      <c r="V319" s="54"/>
      <c r="W319" s="47"/>
      <c r="X319" s="54"/>
      <c r="Y319" s="54"/>
      <c r="Z319" s="47"/>
      <c r="AA319" s="54"/>
      <c r="AB319" s="54"/>
      <c r="AC319" s="47"/>
      <c r="AD319" s="54"/>
      <c r="AE319" s="73"/>
    </row>
    <row r="320" spans="1:31" s="57" customFormat="1" ht="13.5" x14ac:dyDescent="0.3">
      <c r="A320" s="54"/>
      <c r="B320" s="46"/>
      <c r="C320" s="54"/>
      <c r="D320" s="54"/>
      <c r="E320" s="47"/>
      <c r="F320" s="54"/>
      <c r="G320" s="54"/>
      <c r="H320" s="47"/>
      <c r="I320" s="54"/>
      <c r="J320" s="54"/>
      <c r="K320" s="47"/>
      <c r="L320" s="54"/>
      <c r="M320" s="54"/>
      <c r="N320" s="47"/>
      <c r="O320" s="54"/>
      <c r="P320" s="54"/>
      <c r="Q320" s="47"/>
      <c r="R320" s="54"/>
      <c r="S320" s="54"/>
      <c r="T320" s="47"/>
      <c r="U320" s="54"/>
      <c r="V320" s="54"/>
      <c r="W320" s="47"/>
      <c r="X320" s="54"/>
      <c r="Y320" s="54"/>
      <c r="Z320" s="47"/>
      <c r="AA320" s="54"/>
      <c r="AB320" s="54"/>
      <c r="AC320" s="47"/>
      <c r="AD320" s="54"/>
      <c r="AE320" s="73"/>
    </row>
    <row r="321" spans="1:31" s="57" customFormat="1" ht="13.5" x14ac:dyDescent="0.3">
      <c r="A321" s="54"/>
      <c r="B321" s="46"/>
      <c r="C321" s="54"/>
      <c r="D321" s="54"/>
      <c r="E321" s="47"/>
      <c r="F321" s="54"/>
      <c r="G321" s="54"/>
      <c r="H321" s="47"/>
      <c r="I321" s="54"/>
      <c r="J321" s="54"/>
      <c r="K321" s="47"/>
      <c r="L321" s="54"/>
      <c r="M321" s="54"/>
      <c r="N321" s="47"/>
      <c r="O321" s="54"/>
      <c r="P321" s="54"/>
      <c r="Q321" s="47"/>
      <c r="R321" s="54"/>
      <c r="S321" s="54"/>
      <c r="T321" s="47"/>
      <c r="U321" s="54"/>
      <c r="V321" s="54"/>
      <c r="W321" s="47"/>
      <c r="X321" s="54"/>
      <c r="Y321" s="54"/>
      <c r="Z321" s="47"/>
      <c r="AA321" s="54"/>
      <c r="AB321" s="54"/>
      <c r="AC321" s="47"/>
      <c r="AD321" s="54"/>
      <c r="AE321" s="73"/>
    </row>
    <row r="322" spans="1:31" s="57" customFormat="1" ht="13.5" x14ac:dyDescent="0.3">
      <c r="A322" s="54"/>
      <c r="B322" s="46"/>
      <c r="C322" s="54"/>
      <c r="D322" s="54"/>
      <c r="E322" s="47"/>
      <c r="F322" s="54"/>
      <c r="G322" s="54"/>
      <c r="H322" s="47"/>
      <c r="I322" s="54"/>
      <c r="J322" s="54"/>
      <c r="K322" s="47"/>
      <c r="L322" s="54"/>
      <c r="M322" s="54"/>
      <c r="N322" s="47"/>
      <c r="O322" s="54"/>
      <c r="P322" s="54"/>
      <c r="Q322" s="47"/>
      <c r="R322" s="54"/>
      <c r="S322" s="54"/>
      <c r="T322" s="47"/>
      <c r="U322" s="54"/>
      <c r="V322" s="54"/>
      <c r="W322" s="47"/>
      <c r="X322" s="54"/>
      <c r="Y322" s="54"/>
      <c r="Z322" s="47"/>
      <c r="AA322" s="54"/>
      <c r="AB322" s="54"/>
      <c r="AC322" s="47"/>
      <c r="AD322" s="54"/>
      <c r="AE322" s="73"/>
    </row>
    <row r="323" spans="1:31" s="57" customFormat="1" ht="13.5" x14ac:dyDescent="0.3">
      <c r="A323" s="54"/>
      <c r="B323" s="46"/>
      <c r="C323" s="54"/>
      <c r="D323" s="54"/>
      <c r="E323" s="47"/>
      <c r="F323" s="54"/>
      <c r="G323" s="54"/>
      <c r="H323" s="47"/>
      <c r="I323" s="54"/>
      <c r="J323" s="54"/>
      <c r="K323" s="47"/>
      <c r="L323" s="54"/>
      <c r="M323" s="54"/>
      <c r="N323" s="47"/>
      <c r="O323" s="54"/>
      <c r="P323" s="54"/>
      <c r="Q323" s="47"/>
      <c r="R323" s="54"/>
      <c r="S323" s="54"/>
      <c r="T323" s="47"/>
      <c r="U323" s="54"/>
      <c r="V323" s="54"/>
      <c r="W323" s="47"/>
      <c r="X323" s="54"/>
      <c r="Y323" s="54"/>
      <c r="Z323" s="47"/>
      <c r="AA323" s="54"/>
      <c r="AB323" s="54"/>
      <c r="AC323" s="47"/>
      <c r="AD323" s="54"/>
      <c r="AE323" s="73"/>
    </row>
    <row r="324" spans="1:31" s="57" customFormat="1" ht="13.5" x14ac:dyDescent="0.3">
      <c r="A324" s="54"/>
      <c r="B324" s="46"/>
      <c r="C324" s="54"/>
      <c r="D324" s="54"/>
      <c r="E324" s="47"/>
      <c r="F324" s="54"/>
      <c r="G324" s="54"/>
      <c r="H324" s="47"/>
      <c r="I324" s="54"/>
      <c r="J324" s="54"/>
      <c r="K324" s="47"/>
      <c r="L324" s="54"/>
      <c r="M324" s="54"/>
      <c r="N324" s="47"/>
      <c r="O324" s="54"/>
      <c r="P324" s="54"/>
      <c r="Q324" s="47"/>
      <c r="R324" s="54"/>
      <c r="S324" s="54"/>
      <c r="T324" s="47"/>
      <c r="U324" s="54"/>
      <c r="V324" s="54"/>
      <c r="W324" s="47"/>
      <c r="X324" s="54"/>
      <c r="Y324" s="54"/>
      <c r="Z324" s="47"/>
      <c r="AA324" s="54"/>
      <c r="AB324" s="54"/>
      <c r="AC324" s="47"/>
      <c r="AD324" s="54"/>
      <c r="AE324" s="73"/>
    </row>
    <row r="325" spans="1:31" s="57" customFormat="1" ht="13.5" x14ac:dyDescent="0.3">
      <c r="A325" s="54"/>
      <c r="B325" s="46"/>
      <c r="C325" s="54"/>
      <c r="D325" s="54"/>
      <c r="E325" s="47"/>
      <c r="F325" s="54"/>
      <c r="G325" s="54"/>
      <c r="H325" s="47"/>
      <c r="I325" s="54"/>
      <c r="J325" s="54"/>
      <c r="K325" s="47"/>
      <c r="L325" s="54"/>
      <c r="M325" s="54"/>
      <c r="N325" s="47"/>
      <c r="O325" s="54"/>
      <c r="P325" s="54"/>
      <c r="Q325" s="47"/>
      <c r="R325" s="54"/>
      <c r="S325" s="54"/>
      <c r="T325" s="47"/>
      <c r="U325" s="54"/>
      <c r="V325" s="54"/>
      <c r="W325" s="47"/>
      <c r="X325" s="54"/>
      <c r="Y325" s="54"/>
      <c r="Z325" s="47"/>
      <c r="AA325" s="54"/>
      <c r="AB325" s="54"/>
      <c r="AC325" s="47"/>
      <c r="AD325" s="54"/>
      <c r="AE325" s="73"/>
    </row>
    <row r="326" spans="1:31" s="57" customFormat="1" ht="13.5" x14ac:dyDescent="0.3">
      <c r="A326" s="54"/>
      <c r="B326" s="46"/>
      <c r="C326" s="54"/>
      <c r="D326" s="54"/>
      <c r="E326" s="47"/>
      <c r="F326" s="54"/>
      <c r="G326" s="54"/>
      <c r="H326" s="47"/>
      <c r="I326" s="54"/>
      <c r="J326" s="54"/>
      <c r="K326" s="47"/>
      <c r="L326" s="54"/>
      <c r="M326" s="54"/>
      <c r="N326" s="47"/>
      <c r="O326" s="54"/>
      <c r="P326" s="54"/>
      <c r="Q326" s="47"/>
      <c r="R326" s="54"/>
      <c r="S326" s="54"/>
      <c r="T326" s="47"/>
      <c r="U326" s="54"/>
      <c r="V326" s="54"/>
      <c r="W326" s="47"/>
      <c r="X326" s="54"/>
      <c r="Y326" s="54"/>
      <c r="Z326" s="47"/>
      <c r="AA326" s="54"/>
      <c r="AB326" s="54"/>
      <c r="AC326" s="47"/>
      <c r="AD326" s="54"/>
      <c r="AE326" s="73"/>
    </row>
    <row r="327" spans="1:31" s="57" customFormat="1" ht="13.5" x14ac:dyDescent="0.3">
      <c r="A327" s="54"/>
      <c r="B327" s="46"/>
      <c r="C327" s="54"/>
      <c r="D327" s="54"/>
      <c r="E327" s="47"/>
      <c r="F327" s="54"/>
      <c r="G327" s="54"/>
      <c r="H327" s="47"/>
      <c r="I327" s="54"/>
      <c r="J327" s="54"/>
      <c r="K327" s="47"/>
      <c r="L327" s="54"/>
      <c r="M327" s="54"/>
      <c r="N327" s="47"/>
      <c r="O327" s="54"/>
      <c r="P327" s="54"/>
      <c r="Q327" s="47"/>
      <c r="R327" s="54"/>
      <c r="S327" s="54"/>
      <c r="T327" s="47"/>
      <c r="U327" s="54"/>
      <c r="V327" s="54"/>
      <c r="W327" s="47"/>
      <c r="X327" s="54"/>
      <c r="Y327" s="54"/>
      <c r="Z327" s="47"/>
      <c r="AA327" s="54"/>
      <c r="AB327" s="54"/>
      <c r="AC327" s="47"/>
      <c r="AD327" s="54"/>
      <c r="AE327" s="73"/>
    </row>
    <row r="328" spans="1:31" s="57" customFormat="1" ht="13.5" x14ac:dyDescent="0.3">
      <c r="A328" s="54"/>
      <c r="B328" s="46"/>
      <c r="C328" s="54"/>
      <c r="D328" s="54"/>
      <c r="E328" s="47"/>
      <c r="F328" s="54"/>
      <c r="G328" s="54"/>
      <c r="H328" s="47"/>
      <c r="I328" s="54"/>
      <c r="J328" s="54"/>
      <c r="K328" s="47"/>
      <c r="L328" s="54"/>
      <c r="M328" s="54"/>
      <c r="N328" s="47"/>
      <c r="O328" s="54"/>
      <c r="P328" s="54"/>
      <c r="Q328" s="47"/>
      <c r="R328" s="54"/>
      <c r="S328" s="54"/>
      <c r="T328" s="47"/>
      <c r="U328" s="54"/>
      <c r="V328" s="54"/>
      <c r="W328" s="47"/>
      <c r="X328" s="54"/>
      <c r="Y328" s="54"/>
      <c r="Z328" s="47"/>
      <c r="AA328" s="54"/>
      <c r="AB328" s="54"/>
      <c r="AC328" s="47"/>
      <c r="AD328" s="54"/>
      <c r="AE328" s="73"/>
    </row>
    <row r="329" spans="1:31" s="57" customFormat="1" ht="13.5" x14ac:dyDescent="0.3">
      <c r="A329" s="54"/>
      <c r="B329" s="46"/>
      <c r="C329" s="54"/>
      <c r="D329" s="54"/>
      <c r="E329" s="47"/>
      <c r="F329" s="54"/>
      <c r="G329" s="54"/>
      <c r="H329" s="47"/>
      <c r="I329" s="54"/>
      <c r="J329" s="54"/>
      <c r="K329" s="47"/>
      <c r="L329" s="54"/>
      <c r="M329" s="54"/>
      <c r="N329" s="47"/>
      <c r="O329" s="54"/>
      <c r="P329" s="54"/>
      <c r="Q329" s="47"/>
      <c r="R329" s="54"/>
      <c r="S329" s="54"/>
      <c r="T329" s="47"/>
      <c r="U329" s="54"/>
      <c r="V329" s="54"/>
      <c r="W329" s="47"/>
      <c r="X329" s="54"/>
      <c r="Y329" s="54"/>
      <c r="Z329" s="47"/>
      <c r="AA329" s="54"/>
      <c r="AB329" s="54"/>
      <c r="AC329" s="47"/>
      <c r="AD329" s="54"/>
      <c r="AE329" s="73"/>
    </row>
    <row r="330" spans="1:31" s="57" customFormat="1" ht="13.5" x14ac:dyDescent="0.3">
      <c r="A330" s="54"/>
      <c r="B330" s="46"/>
      <c r="C330" s="54"/>
      <c r="D330" s="54"/>
      <c r="E330" s="47"/>
      <c r="F330" s="54"/>
      <c r="G330" s="54"/>
      <c r="H330" s="47"/>
      <c r="I330" s="54"/>
      <c r="J330" s="54"/>
      <c r="K330" s="47"/>
      <c r="L330" s="54"/>
      <c r="M330" s="54"/>
      <c r="N330" s="47"/>
      <c r="O330" s="54"/>
      <c r="P330" s="54"/>
      <c r="Q330" s="47"/>
      <c r="R330" s="54"/>
      <c r="S330" s="54"/>
      <c r="T330" s="47"/>
      <c r="U330" s="54"/>
      <c r="V330" s="54"/>
      <c r="W330" s="47"/>
      <c r="X330" s="54"/>
      <c r="Y330" s="54"/>
      <c r="Z330" s="47"/>
      <c r="AA330" s="54"/>
      <c r="AB330" s="54"/>
      <c r="AC330" s="47"/>
      <c r="AD330" s="54"/>
      <c r="AE330" s="73"/>
    </row>
    <row r="331" spans="1:31" s="57" customFormat="1" ht="13.5" x14ac:dyDescent="0.3">
      <c r="A331" s="54"/>
      <c r="B331" s="46"/>
      <c r="C331" s="54"/>
      <c r="D331" s="54"/>
      <c r="E331" s="47"/>
      <c r="F331" s="54"/>
      <c r="G331" s="54"/>
      <c r="H331" s="47"/>
      <c r="I331" s="54"/>
      <c r="J331" s="54"/>
      <c r="K331" s="47"/>
      <c r="L331" s="54"/>
      <c r="M331" s="54"/>
      <c r="N331" s="47"/>
      <c r="O331" s="54"/>
      <c r="P331" s="54"/>
      <c r="Q331" s="47"/>
      <c r="R331" s="54"/>
      <c r="S331" s="54"/>
      <c r="T331" s="47"/>
      <c r="U331" s="54"/>
      <c r="V331" s="54"/>
      <c r="W331" s="47"/>
      <c r="X331" s="54"/>
      <c r="Y331" s="54"/>
      <c r="Z331" s="47"/>
      <c r="AA331" s="54"/>
      <c r="AB331" s="54"/>
      <c r="AC331" s="47"/>
      <c r="AD331" s="54"/>
      <c r="AE331" s="73"/>
    </row>
    <row r="332" spans="1:31" s="57" customFormat="1" ht="13.5" x14ac:dyDescent="0.3">
      <c r="A332" s="54"/>
      <c r="B332" s="46"/>
      <c r="C332" s="54"/>
      <c r="D332" s="54"/>
      <c r="E332" s="47"/>
      <c r="F332" s="54"/>
      <c r="G332" s="54"/>
      <c r="H332" s="47"/>
      <c r="I332" s="54"/>
      <c r="J332" s="54"/>
      <c r="K332" s="47"/>
      <c r="L332" s="54"/>
      <c r="M332" s="54"/>
      <c r="N332" s="47"/>
      <c r="O332" s="54"/>
      <c r="P332" s="54"/>
      <c r="Q332" s="47"/>
      <c r="R332" s="54"/>
      <c r="S332" s="54"/>
      <c r="T332" s="47"/>
      <c r="U332" s="54"/>
      <c r="V332" s="54"/>
      <c r="W332" s="47"/>
      <c r="X332" s="54"/>
      <c r="Y332" s="54"/>
      <c r="Z332" s="47"/>
      <c r="AA332" s="54"/>
      <c r="AB332" s="54"/>
      <c r="AC332" s="47"/>
      <c r="AD332" s="54"/>
      <c r="AE332" s="73"/>
    </row>
    <row r="333" spans="1:31" s="57" customFormat="1" ht="13.5" x14ac:dyDescent="0.3">
      <c r="A333" s="54"/>
      <c r="B333" s="46"/>
      <c r="C333" s="54"/>
      <c r="D333" s="54"/>
      <c r="E333" s="47"/>
      <c r="F333" s="54"/>
      <c r="G333" s="54"/>
      <c r="H333" s="47"/>
      <c r="I333" s="54"/>
      <c r="J333" s="54"/>
      <c r="K333" s="47"/>
      <c r="L333" s="54"/>
      <c r="M333" s="54"/>
      <c r="N333" s="47"/>
      <c r="O333" s="54"/>
      <c r="P333" s="54"/>
      <c r="Q333" s="47"/>
      <c r="R333" s="54"/>
      <c r="S333" s="54"/>
      <c r="T333" s="47"/>
      <c r="U333" s="54"/>
      <c r="V333" s="54"/>
      <c r="W333" s="47"/>
      <c r="X333" s="54"/>
      <c r="Y333" s="54"/>
      <c r="Z333" s="47"/>
      <c r="AA333" s="54"/>
      <c r="AB333" s="54"/>
      <c r="AC333" s="47"/>
      <c r="AD333" s="54"/>
      <c r="AE333" s="73"/>
    </row>
    <row r="334" spans="1:31" s="57" customFormat="1" ht="13.5" x14ac:dyDescent="0.3">
      <c r="A334" s="54"/>
      <c r="B334" s="46"/>
      <c r="C334" s="54"/>
      <c r="D334" s="54"/>
      <c r="E334" s="47"/>
      <c r="F334" s="54"/>
      <c r="G334" s="54"/>
      <c r="H334" s="47"/>
      <c r="I334" s="54"/>
      <c r="J334" s="54"/>
      <c r="K334" s="47"/>
      <c r="L334" s="54"/>
      <c r="M334" s="54"/>
      <c r="N334" s="47"/>
      <c r="O334" s="54"/>
      <c r="P334" s="54"/>
      <c r="Q334" s="47"/>
      <c r="R334" s="54"/>
      <c r="S334" s="54"/>
      <c r="T334" s="47"/>
      <c r="U334" s="54"/>
      <c r="V334" s="54"/>
      <c r="W334" s="47"/>
      <c r="X334" s="54"/>
      <c r="Y334" s="54"/>
      <c r="Z334" s="47"/>
      <c r="AA334" s="54"/>
      <c r="AB334" s="54"/>
      <c r="AC334" s="47"/>
      <c r="AD334" s="54"/>
      <c r="AE334" s="73"/>
    </row>
    <row r="335" spans="1:31" s="57" customFormat="1" ht="13.5" x14ac:dyDescent="0.3">
      <c r="A335" s="54"/>
      <c r="B335" s="46"/>
      <c r="C335" s="54"/>
      <c r="D335" s="54"/>
      <c r="E335" s="47"/>
      <c r="F335" s="54"/>
      <c r="G335" s="54"/>
      <c r="H335" s="47"/>
      <c r="I335" s="54"/>
      <c r="J335" s="54"/>
      <c r="K335" s="47"/>
      <c r="L335" s="54"/>
      <c r="M335" s="54"/>
      <c r="N335" s="47"/>
      <c r="O335" s="54"/>
      <c r="P335" s="54"/>
      <c r="Q335" s="47"/>
      <c r="R335" s="54"/>
      <c r="S335" s="54"/>
      <c r="T335" s="47"/>
      <c r="U335" s="54"/>
      <c r="V335" s="54"/>
      <c r="W335" s="47"/>
      <c r="X335" s="54"/>
      <c r="Y335" s="54"/>
      <c r="Z335" s="47"/>
      <c r="AA335" s="54"/>
      <c r="AB335" s="54"/>
      <c r="AC335" s="47"/>
      <c r="AD335" s="54"/>
      <c r="AE335" s="73"/>
    </row>
    <row r="336" spans="1:31" s="57" customFormat="1" ht="13.5" x14ac:dyDescent="0.3">
      <c r="A336" s="54"/>
      <c r="B336" s="46"/>
      <c r="C336" s="54"/>
      <c r="D336" s="54"/>
      <c r="E336" s="47"/>
      <c r="F336" s="54"/>
      <c r="G336" s="54"/>
      <c r="H336" s="47"/>
      <c r="I336" s="54"/>
      <c r="J336" s="54"/>
      <c r="K336" s="47"/>
      <c r="L336" s="54"/>
      <c r="M336" s="54"/>
      <c r="N336" s="47"/>
      <c r="O336" s="54"/>
      <c r="P336" s="54"/>
      <c r="Q336" s="47"/>
      <c r="R336" s="54"/>
      <c r="S336" s="54"/>
      <c r="T336" s="47"/>
      <c r="U336" s="54"/>
      <c r="V336" s="54"/>
      <c r="W336" s="47"/>
      <c r="X336" s="54"/>
      <c r="Y336" s="54"/>
      <c r="Z336" s="47"/>
      <c r="AA336" s="54"/>
      <c r="AB336" s="54"/>
      <c r="AC336" s="47"/>
      <c r="AD336" s="54"/>
      <c r="AE336" s="73"/>
    </row>
    <row r="337" spans="1:31" s="57" customFormat="1" ht="13.5" x14ac:dyDescent="0.3">
      <c r="A337" s="54"/>
      <c r="B337" s="46"/>
      <c r="C337" s="54"/>
      <c r="D337" s="54"/>
      <c r="E337" s="47"/>
      <c r="F337" s="54"/>
      <c r="G337" s="54"/>
      <c r="H337" s="47"/>
      <c r="I337" s="54"/>
      <c r="J337" s="54"/>
      <c r="K337" s="47"/>
      <c r="L337" s="54"/>
      <c r="M337" s="54"/>
      <c r="N337" s="47"/>
      <c r="O337" s="54"/>
      <c r="P337" s="54"/>
      <c r="Q337" s="47"/>
      <c r="R337" s="54"/>
      <c r="S337" s="54"/>
      <c r="T337" s="47"/>
      <c r="U337" s="54"/>
      <c r="V337" s="54"/>
      <c r="W337" s="47"/>
      <c r="X337" s="54"/>
      <c r="Y337" s="54"/>
      <c r="Z337" s="47"/>
      <c r="AA337" s="54"/>
      <c r="AB337" s="54"/>
      <c r="AC337" s="47"/>
      <c r="AD337" s="54"/>
      <c r="AE337" s="73"/>
    </row>
    <row r="338" spans="1:31" s="57" customFormat="1" ht="13.5" x14ac:dyDescent="0.3">
      <c r="A338" s="54"/>
      <c r="B338" s="46"/>
      <c r="C338" s="54"/>
      <c r="D338" s="54"/>
      <c r="E338" s="47"/>
      <c r="F338" s="54"/>
      <c r="G338" s="54"/>
      <c r="H338" s="47"/>
      <c r="I338" s="54"/>
      <c r="J338" s="54"/>
      <c r="K338" s="47"/>
      <c r="L338" s="54"/>
      <c r="M338" s="54"/>
      <c r="N338" s="47"/>
      <c r="O338" s="54"/>
      <c r="P338" s="54"/>
      <c r="Q338" s="47"/>
      <c r="R338" s="54"/>
      <c r="S338" s="54"/>
      <c r="T338" s="47"/>
      <c r="U338" s="54"/>
      <c r="V338" s="54"/>
      <c r="W338" s="47"/>
      <c r="X338" s="54"/>
      <c r="Y338" s="54"/>
      <c r="Z338" s="47"/>
      <c r="AA338" s="54"/>
      <c r="AB338" s="54"/>
      <c r="AC338" s="47"/>
      <c r="AD338" s="54"/>
      <c r="AE338" s="73"/>
    </row>
    <row r="339" spans="1:31" s="57" customFormat="1" ht="13.5" x14ac:dyDescent="0.3">
      <c r="A339" s="54"/>
      <c r="B339" s="46"/>
      <c r="C339" s="54"/>
      <c r="D339" s="54"/>
      <c r="E339" s="47"/>
      <c r="F339" s="54"/>
      <c r="G339" s="54"/>
      <c r="H339" s="47"/>
      <c r="I339" s="54"/>
      <c r="J339" s="54"/>
      <c r="K339" s="47"/>
      <c r="L339" s="54"/>
      <c r="M339" s="54"/>
      <c r="N339" s="47"/>
      <c r="O339" s="54"/>
      <c r="P339" s="54"/>
      <c r="Q339" s="47"/>
      <c r="R339" s="54"/>
      <c r="S339" s="54"/>
      <c r="T339" s="47"/>
      <c r="U339" s="54"/>
      <c r="V339" s="54"/>
      <c r="W339" s="47"/>
      <c r="X339" s="54"/>
      <c r="Y339" s="54"/>
      <c r="Z339" s="47"/>
      <c r="AA339" s="54"/>
      <c r="AB339" s="54"/>
      <c r="AC339" s="47"/>
      <c r="AD339" s="54"/>
      <c r="AE339" s="73"/>
    </row>
    <row r="340" spans="1:31" s="57" customFormat="1" ht="13.5" x14ac:dyDescent="0.3">
      <c r="A340" s="54"/>
      <c r="B340" s="46"/>
      <c r="C340" s="54"/>
      <c r="D340" s="54"/>
      <c r="E340" s="47"/>
      <c r="F340" s="54"/>
      <c r="G340" s="54"/>
      <c r="H340" s="47"/>
      <c r="I340" s="54"/>
      <c r="J340" s="54"/>
      <c r="K340" s="47"/>
      <c r="L340" s="54"/>
      <c r="M340" s="54"/>
      <c r="N340" s="47"/>
      <c r="O340" s="54"/>
      <c r="P340" s="54"/>
      <c r="Q340" s="47"/>
      <c r="R340" s="54"/>
      <c r="S340" s="54"/>
      <c r="T340" s="47"/>
      <c r="U340" s="54"/>
      <c r="V340" s="54"/>
      <c r="W340" s="47"/>
      <c r="X340" s="54"/>
      <c r="Y340" s="54"/>
      <c r="Z340" s="47"/>
      <c r="AA340" s="54"/>
      <c r="AB340" s="54"/>
      <c r="AC340" s="47"/>
      <c r="AD340" s="54"/>
      <c r="AE340" s="73"/>
    </row>
    <row r="341" spans="1:31" s="57" customFormat="1" ht="13.5" x14ac:dyDescent="0.3">
      <c r="A341" s="54"/>
      <c r="B341" s="46"/>
      <c r="C341" s="54"/>
      <c r="D341" s="54"/>
      <c r="E341" s="47"/>
      <c r="F341" s="54"/>
      <c r="G341" s="54"/>
      <c r="H341" s="47"/>
      <c r="I341" s="54"/>
      <c r="J341" s="54"/>
      <c r="K341" s="47"/>
      <c r="L341" s="54"/>
      <c r="M341" s="54"/>
      <c r="N341" s="47"/>
      <c r="O341" s="54"/>
      <c r="P341" s="54"/>
      <c r="Q341" s="47"/>
      <c r="R341" s="54"/>
      <c r="S341" s="54"/>
      <c r="T341" s="47"/>
      <c r="U341" s="54"/>
      <c r="V341" s="54"/>
      <c r="W341" s="47"/>
      <c r="X341" s="54"/>
      <c r="Y341" s="54"/>
      <c r="Z341" s="47"/>
      <c r="AA341" s="54"/>
      <c r="AB341" s="54"/>
      <c r="AC341" s="47"/>
      <c r="AD341" s="54"/>
      <c r="AE341" s="73"/>
    </row>
    <row r="342" spans="1:31" s="57" customFormat="1" ht="13.5" x14ac:dyDescent="0.3">
      <c r="A342" s="54"/>
      <c r="B342" s="46"/>
      <c r="C342" s="54"/>
      <c r="D342" s="54"/>
      <c r="E342" s="47"/>
      <c r="F342" s="54"/>
      <c r="G342" s="54"/>
      <c r="H342" s="47"/>
      <c r="I342" s="54"/>
      <c r="J342" s="54"/>
      <c r="K342" s="47"/>
      <c r="L342" s="54"/>
      <c r="M342" s="54"/>
      <c r="N342" s="47"/>
      <c r="O342" s="54"/>
      <c r="P342" s="54"/>
      <c r="Q342" s="47"/>
      <c r="R342" s="54"/>
      <c r="S342" s="54"/>
      <c r="T342" s="47"/>
      <c r="U342" s="54"/>
      <c r="V342" s="54"/>
      <c r="W342" s="47"/>
      <c r="X342" s="54"/>
      <c r="Y342" s="54"/>
      <c r="Z342" s="47"/>
      <c r="AA342" s="54"/>
      <c r="AB342" s="54"/>
      <c r="AC342" s="47"/>
      <c r="AD342" s="54"/>
      <c r="AE342" s="73"/>
    </row>
    <row r="343" spans="1:31" s="57" customFormat="1" ht="13.5" x14ac:dyDescent="0.3">
      <c r="A343" s="54"/>
      <c r="B343" s="46"/>
      <c r="C343" s="54"/>
      <c r="D343" s="54"/>
      <c r="E343" s="47"/>
      <c r="F343" s="54"/>
      <c r="G343" s="54"/>
      <c r="H343" s="47"/>
      <c r="I343" s="54"/>
      <c r="J343" s="54"/>
      <c r="K343" s="47"/>
      <c r="L343" s="54"/>
      <c r="M343" s="54"/>
      <c r="N343" s="47"/>
      <c r="O343" s="54"/>
      <c r="P343" s="54"/>
      <c r="Q343" s="47"/>
      <c r="R343" s="54"/>
      <c r="S343" s="54"/>
      <c r="T343" s="47"/>
      <c r="U343" s="54"/>
      <c r="V343" s="54"/>
      <c r="W343" s="47"/>
      <c r="X343" s="54"/>
      <c r="Y343" s="54"/>
      <c r="Z343" s="47"/>
      <c r="AA343" s="54"/>
      <c r="AB343" s="54"/>
      <c r="AC343" s="47"/>
      <c r="AD343" s="54"/>
      <c r="AE343" s="73"/>
    </row>
    <row r="344" spans="1:31" s="57" customFormat="1" ht="13.5" x14ac:dyDescent="0.3">
      <c r="A344" s="54"/>
      <c r="B344" s="46"/>
      <c r="C344" s="54"/>
      <c r="D344" s="54"/>
      <c r="E344" s="47"/>
      <c r="F344" s="54"/>
      <c r="G344" s="54"/>
      <c r="H344" s="47"/>
      <c r="I344" s="54"/>
      <c r="J344" s="54"/>
      <c r="K344" s="47"/>
      <c r="L344" s="54"/>
      <c r="M344" s="54"/>
      <c r="N344" s="47"/>
      <c r="O344" s="54"/>
      <c r="P344" s="54"/>
      <c r="Q344" s="47"/>
      <c r="R344" s="54"/>
      <c r="S344" s="54"/>
      <c r="T344" s="47"/>
      <c r="U344" s="54"/>
      <c r="V344" s="54"/>
      <c r="W344" s="47"/>
      <c r="X344" s="54"/>
      <c r="Y344" s="54"/>
      <c r="Z344" s="47"/>
      <c r="AA344" s="54"/>
      <c r="AB344" s="54"/>
      <c r="AC344" s="47"/>
      <c r="AD344" s="54"/>
      <c r="AE344" s="73"/>
    </row>
    <row r="345" spans="1:31" s="57" customFormat="1" ht="13.5" x14ac:dyDescent="0.3">
      <c r="A345" s="54"/>
      <c r="B345" s="46"/>
      <c r="C345" s="54"/>
      <c r="D345" s="54"/>
      <c r="E345" s="47"/>
      <c r="F345" s="54"/>
      <c r="G345" s="54"/>
      <c r="H345" s="47"/>
      <c r="I345" s="54"/>
      <c r="J345" s="54"/>
      <c r="K345" s="47"/>
      <c r="L345" s="54"/>
      <c r="M345" s="54"/>
      <c r="N345" s="47"/>
      <c r="O345" s="54"/>
      <c r="P345" s="54"/>
      <c r="Q345" s="47"/>
      <c r="R345" s="54"/>
      <c r="S345" s="54"/>
      <c r="T345" s="47"/>
      <c r="U345" s="54"/>
      <c r="V345" s="54"/>
      <c r="W345" s="47"/>
      <c r="X345" s="54"/>
      <c r="Y345" s="54"/>
      <c r="Z345" s="47"/>
      <c r="AA345" s="54"/>
      <c r="AB345" s="54"/>
      <c r="AC345" s="47"/>
      <c r="AD345" s="54"/>
      <c r="AE345" s="73"/>
    </row>
    <row r="346" spans="1:31" s="57" customFormat="1" ht="13.5" x14ac:dyDescent="0.3">
      <c r="A346" s="54"/>
      <c r="B346" s="46"/>
      <c r="C346" s="54"/>
      <c r="D346" s="54"/>
      <c r="E346" s="47"/>
      <c r="F346" s="54"/>
      <c r="G346" s="54"/>
      <c r="H346" s="47"/>
      <c r="I346" s="54"/>
      <c r="J346" s="54"/>
      <c r="K346" s="47"/>
      <c r="L346" s="54"/>
      <c r="M346" s="54"/>
      <c r="N346" s="47"/>
      <c r="O346" s="54"/>
      <c r="P346" s="54"/>
      <c r="Q346" s="47"/>
      <c r="R346" s="54"/>
      <c r="S346" s="54"/>
      <c r="T346" s="47"/>
      <c r="U346" s="54"/>
      <c r="V346" s="54"/>
      <c r="W346" s="47"/>
      <c r="X346" s="54"/>
      <c r="Y346" s="54"/>
      <c r="Z346" s="47"/>
      <c r="AA346" s="54"/>
      <c r="AB346" s="54"/>
      <c r="AC346" s="47"/>
      <c r="AD346" s="54"/>
      <c r="AE346" s="73"/>
    </row>
    <row r="347" spans="1:31" s="57" customFormat="1" ht="13.5" x14ac:dyDescent="0.3">
      <c r="A347" s="54"/>
      <c r="B347" s="46"/>
      <c r="C347" s="54"/>
      <c r="D347" s="54"/>
      <c r="E347" s="47"/>
      <c r="F347" s="54"/>
      <c r="G347" s="54"/>
      <c r="H347" s="47"/>
      <c r="I347" s="54"/>
      <c r="J347" s="54"/>
      <c r="K347" s="47"/>
      <c r="L347" s="54"/>
      <c r="M347" s="54"/>
      <c r="N347" s="47"/>
      <c r="O347" s="54"/>
      <c r="P347" s="54"/>
      <c r="Q347" s="47"/>
      <c r="R347" s="54"/>
      <c r="S347" s="54"/>
      <c r="T347" s="47"/>
      <c r="U347" s="54"/>
      <c r="V347" s="54"/>
      <c r="W347" s="47"/>
      <c r="X347" s="54"/>
      <c r="Y347" s="54"/>
      <c r="Z347" s="47"/>
      <c r="AA347" s="54"/>
      <c r="AB347" s="54"/>
      <c r="AC347" s="47"/>
      <c r="AD347" s="54"/>
      <c r="AE347" s="73"/>
    </row>
    <row r="348" spans="1:31" s="57" customFormat="1" ht="13.5" x14ac:dyDescent="0.3">
      <c r="A348" s="54"/>
      <c r="B348" s="46"/>
      <c r="C348" s="54"/>
      <c r="D348" s="54"/>
      <c r="E348" s="47"/>
      <c r="F348" s="54"/>
      <c r="G348" s="54"/>
      <c r="H348" s="47"/>
      <c r="I348" s="54"/>
      <c r="J348" s="54"/>
      <c r="K348" s="47"/>
      <c r="L348" s="54"/>
      <c r="M348" s="54"/>
      <c r="N348" s="47"/>
      <c r="O348" s="54"/>
      <c r="P348" s="54"/>
      <c r="Q348" s="47"/>
      <c r="R348" s="54"/>
      <c r="S348" s="54"/>
      <c r="T348" s="47"/>
      <c r="U348" s="54"/>
      <c r="V348" s="54"/>
      <c r="W348" s="47"/>
      <c r="X348" s="54"/>
      <c r="Y348" s="54"/>
      <c r="Z348" s="47"/>
      <c r="AA348" s="54"/>
      <c r="AB348" s="54"/>
      <c r="AC348" s="47"/>
      <c r="AD348" s="54"/>
      <c r="AE348" s="73"/>
    </row>
    <row r="349" spans="1:31" s="57" customFormat="1" ht="13.5" x14ac:dyDescent="0.3">
      <c r="A349" s="54"/>
      <c r="B349" s="46"/>
      <c r="C349" s="54"/>
      <c r="D349" s="54"/>
      <c r="E349" s="47"/>
      <c r="F349" s="54"/>
      <c r="G349" s="54"/>
      <c r="H349" s="47"/>
      <c r="I349" s="54"/>
      <c r="J349" s="54"/>
      <c r="K349" s="47"/>
      <c r="L349" s="54"/>
      <c r="M349" s="54"/>
      <c r="N349" s="47"/>
      <c r="O349" s="54"/>
      <c r="P349" s="54"/>
      <c r="Q349" s="47"/>
      <c r="R349" s="54"/>
      <c r="S349" s="54"/>
      <c r="T349" s="47"/>
      <c r="U349" s="54"/>
      <c r="V349" s="54"/>
      <c r="W349" s="47"/>
      <c r="X349" s="54"/>
      <c r="Y349" s="54"/>
      <c r="Z349" s="47"/>
      <c r="AA349" s="54"/>
      <c r="AB349" s="54"/>
      <c r="AC349" s="47"/>
      <c r="AD349" s="54"/>
      <c r="AE349" s="73"/>
    </row>
    <row r="350" spans="1:31" s="57" customFormat="1" ht="13.5" x14ac:dyDescent="0.3">
      <c r="A350" s="54"/>
      <c r="B350" s="46"/>
      <c r="C350" s="54"/>
      <c r="D350" s="54"/>
      <c r="E350" s="47"/>
      <c r="F350" s="54"/>
      <c r="G350" s="54"/>
      <c r="H350" s="47"/>
      <c r="I350" s="54"/>
      <c r="J350" s="54"/>
      <c r="K350" s="47"/>
      <c r="L350" s="54"/>
      <c r="M350" s="54"/>
      <c r="N350" s="47"/>
      <c r="O350" s="54"/>
      <c r="P350" s="54"/>
      <c r="Q350" s="47"/>
      <c r="R350" s="54"/>
      <c r="S350" s="54"/>
      <c r="T350" s="47"/>
      <c r="U350" s="54"/>
      <c r="V350" s="54"/>
      <c r="W350" s="47"/>
      <c r="X350" s="54"/>
      <c r="Y350" s="54"/>
      <c r="Z350" s="47"/>
      <c r="AA350" s="54"/>
      <c r="AB350" s="54"/>
      <c r="AC350" s="47"/>
      <c r="AD350" s="54"/>
      <c r="AE350" s="73"/>
    </row>
    <row r="351" spans="1:31" s="57" customFormat="1" ht="13.5" x14ac:dyDescent="0.3">
      <c r="A351" s="54"/>
      <c r="B351" s="46"/>
      <c r="C351" s="54"/>
      <c r="D351" s="54"/>
      <c r="E351" s="47"/>
      <c r="F351" s="54"/>
      <c r="G351" s="54"/>
      <c r="H351" s="47"/>
      <c r="I351" s="54"/>
      <c r="J351" s="54"/>
      <c r="K351" s="47"/>
      <c r="L351" s="54"/>
      <c r="M351" s="54"/>
      <c r="N351" s="47"/>
      <c r="O351" s="54"/>
      <c r="P351" s="54"/>
      <c r="Q351" s="47"/>
      <c r="R351" s="54"/>
      <c r="S351" s="54"/>
      <c r="T351" s="47"/>
      <c r="U351" s="54"/>
      <c r="V351" s="54"/>
      <c r="W351" s="47"/>
      <c r="X351" s="54"/>
      <c r="Y351" s="54"/>
      <c r="Z351" s="47"/>
      <c r="AA351" s="54"/>
      <c r="AB351" s="54"/>
      <c r="AC351" s="47"/>
      <c r="AD351" s="54"/>
      <c r="AE351" s="73"/>
    </row>
    <row r="352" spans="1:31" s="57" customFormat="1" ht="13.5" x14ac:dyDescent="0.3">
      <c r="A352" s="54"/>
      <c r="B352" s="46"/>
      <c r="C352" s="54"/>
      <c r="D352" s="54"/>
      <c r="E352" s="47"/>
      <c r="F352" s="54"/>
      <c r="G352" s="54"/>
      <c r="H352" s="47"/>
      <c r="I352" s="54"/>
      <c r="J352" s="54"/>
      <c r="K352" s="47"/>
      <c r="L352" s="54"/>
      <c r="M352" s="54"/>
      <c r="N352" s="47"/>
      <c r="O352" s="54"/>
      <c r="P352" s="54"/>
      <c r="Q352" s="47"/>
      <c r="R352" s="54"/>
      <c r="S352" s="54"/>
      <c r="T352" s="47"/>
      <c r="U352" s="54"/>
      <c r="V352" s="54"/>
      <c r="W352" s="47"/>
      <c r="X352" s="54"/>
      <c r="Y352" s="54"/>
      <c r="Z352" s="47"/>
      <c r="AA352" s="54"/>
      <c r="AB352" s="54"/>
      <c r="AC352" s="47"/>
      <c r="AD352" s="54"/>
      <c r="AE352" s="73"/>
    </row>
    <row r="353" spans="1:31" s="57" customFormat="1" ht="13.5" x14ac:dyDescent="0.3">
      <c r="A353" s="54"/>
      <c r="B353" s="46"/>
      <c r="C353" s="54"/>
      <c r="D353" s="54"/>
      <c r="E353" s="47"/>
      <c r="F353" s="54"/>
      <c r="G353" s="54"/>
      <c r="H353" s="47"/>
      <c r="I353" s="54"/>
      <c r="J353" s="54"/>
      <c r="K353" s="47"/>
      <c r="L353" s="54"/>
      <c r="M353" s="54"/>
      <c r="N353" s="47"/>
      <c r="O353" s="54"/>
      <c r="P353" s="54"/>
      <c r="Q353" s="47"/>
      <c r="R353" s="54"/>
      <c r="S353" s="54"/>
      <c r="T353" s="47"/>
      <c r="U353" s="54"/>
      <c r="V353" s="54"/>
      <c r="W353" s="47"/>
      <c r="X353" s="54"/>
      <c r="Y353" s="54"/>
      <c r="Z353" s="47"/>
      <c r="AA353" s="54"/>
      <c r="AB353" s="54"/>
      <c r="AC353" s="47"/>
      <c r="AD353" s="54"/>
      <c r="AE353" s="73"/>
    </row>
    <row r="354" spans="1:31" s="57" customFormat="1" ht="13.5" x14ac:dyDescent="0.3">
      <c r="A354" s="54"/>
      <c r="B354" s="46"/>
      <c r="C354" s="54"/>
      <c r="D354" s="54"/>
      <c r="E354" s="47"/>
      <c r="F354" s="54"/>
      <c r="G354" s="54"/>
      <c r="H354" s="47"/>
      <c r="I354" s="54"/>
      <c r="J354" s="54"/>
      <c r="K354" s="47"/>
      <c r="L354" s="54"/>
      <c r="M354" s="54"/>
      <c r="N354" s="47"/>
      <c r="O354" s="54"/>
      <c r="P354" s="54"/>
      <c r="Q354" s="47"/>
      <c r="R354" s="54"/>
      <c r="S354" s="54"/>
      <c r="T354" s="47"/>
      <c r="U354" s="54"/>
      <c r="V354" s="54"/>
      <c r="W354" s="47"/>
      <c r="X354" s="54"/>
      <c r="Y354" s="54"/>
      <c r="Z354" s="47"/>
      <c r="AA354" s="54"/>
      <c r="AB354" s="54"/>
      <c r="AC354" s="47"/>
      <c r="AD354" s="54"/>
      <c r="AE354" s="73"/>
    </row>
    <row r="355" spans="1:31" s="57" customFormat="1" ht="13.5" x14ac:dyDescent="0.3">
      <c r="A355" s="54"/>
      <c r="B355" s="46"/>
      <c r="C355" s="54"/>
      <c r="D355" s="54"/>
      <c r="E355" s="47"/>
      <c r="F355" s="54"/>
      <c r="G355" s="54"/>
      <c r="H355" s="47"/>
      <c r="I355" s="54"/>
      <c r="J355" s="54"/>
      <c r="K355" s="47"/>
      <c r="L355" s="54"/>
      <c r="M355" s="54"/>
      <c r="N355" s="47"/>
      <c r="O355" s="54"/>
      <c r="P355" s="54"/>
      <c r="Q355" s="47"/>
      <c r="R355" s="54"/>
      <c r="S355" s="54"/>
      <c r="T355" s="47"/>
      <c r="U355" s="54"/>
      <c r="V355" s="54"/>
      <c r="W355" s="47"/>
      <c r="X355" s="54"/>
      <c r="Y355" s="54"/>
      <c r="Z355" s="47"/>
      <c r="AA355" s="54"/>
      <c r="AB355" s="54"/>
      <c r="AC355" s="47"/>
      <c r="AD355" s="54"/>
      <c r="AE355" s="73"/>
    </row>
    <row r="356" spans="1:31" s="57" customFormat="1" ht="13.5" x14ac:dyDescent="0.3">
      <c r="A356" s="54"/>
      <c r="B356" s="46"/>
      <c r="C356" s="54"/>
      <c r="D356" s="54"/>
      <c r="E356" s="47"/>
      <c r="F356" s="54"/>
      <c r="G356" s="54"/>
      <c r="H356" s="47"/>
      <c r="I356" s="54"/>
      <c r="J356" s="54"/>
      <c r="K356" s="47"/>
      <c r="L356" s="54"/>
      <c r="M356" s="54"/>
      <c r="N356" s="47"/>
      <c r="O356" s="54"/>
      <c r="P356" s="54"/>
      <c r="Q356" s="47"/>
      <c r="R356" s="54"/>
      <c r="S356" s="54"/>
      <c r="T356" s="47"/>
      <c r="U356" s="54"/>
      <c r="V356" s="54"/>
      <c r="W356" s="47"/>
      <c r="X356" s="54"/>
      <c r="Y356" s="54"/>
      <c r="Z356" s="47"/>
      <c r="AA356" s="54"/>
      <c r="AB356" s="54"/>
      <c r="AC356" s="47"/>
      <c r="AD356" s="54"/>
      <c r="AE356" s="73"/>
    </row>
    <row r="357" spans="1:31" s="57" customFormat="1" ht="13.5" x14ac:dyDescent="0.3">
      <c r="A357" s="54"/>
      <c r="B357" s="46"/>
      <c r="C357" s="54"/>
      <c r="D357" s="54"/>
      <c r="E357" s="47"/>
      <c r="F357" s="54"/>
      <c r="G357" s="54"/>
      <c r="H357" s="47"/>
      <c r="I357" s="54"/>
      <c r="J357" s="54"/>
      <c r="K357" s="47"/>
      <c r="L357" s="54"/>
      <c r="M357" s="54"/>
      <c r="N357" s="47"/>
      <c r="O357" s="54"/>
      <c r="P357" s="54"/>
      <c r="Q357" s="47"/>
      <c r="R357" s="54"/>
      <c r="S357" s="54"/>
      <c r="T357" s="47"/>
      <c r="U357" s="54"/>
      <c r="V357" s="54"/>
      <c r="W357" s="47"/>
      <c r="X357" s="54"/>
      <c r="Y357" s="54"/>
      <c r="Z357" s="47"/>
      <c r="AA357" s="54"/>
      <c r="AB357" s="54"/>
      <c r="AC357" s="47"/>
      <c r="AD357" s="54"/>
      <c r="AE357" s="73"/>
    </row>
    <row r="358" spans="1:31" s="57" customFormat="1" ht="13.5" x14ac:dyDescent="0.3">
      <c r="A358" s="54"/>
      <c r="B358" s="46"/>
      <c r="C358" s="54"/>
      <c r="D358" s="54"/>
      <c r="E358" s="47"/>
      <c r="F358" s="54"/>
      <c r="G358" s="54"/>
      <c r="H358" s="47"/>
      <c r="I358" s="54"/>
      <c r="J358" s="54"/>
      <c r="K358" s="47"/>
      <c r="L358" s="54"/>
      <c r="M358" s="54"/>
      <c r="N358" s="47"/>
      <c r="O358" s="54"/>
      <c r="P358" s="54"/>
      <c r="Q358" s="47"/>
      <c r="R358" s="54"/>
      <c r="S358" s="54"/>
      <c r="T358" s="47"/>
      <c r="U358" s="54"/>
      <c r="V358" s="54"/>
      <c r="W358" s="47"/>
      <c r="X358" s="54"/>
      <c r="Y358" s="54"/>
      <c r="Z358" s="47"/>
      <c r="AA358" s="54"/>
      <c r="AB358" s="54"/>
      <c r="AC358" s="47"/>
      <c r="AD358" s="54"/>
      <c r="AE358" s="73"/>
    </row>
    <row r="359" spans="1:31" s="57" customFormat="1" ht="13.5" x14ac:dyDescent="0.3">
      <c r="A359" s="54"/>
      <c r="B359" s="46"/>
      <c r="C359" s="54"/>
      <c r="D359" s="54"/>
      <c r="E359" s="47"/>
      <c r="F359" s="54"/>
      <c r="G359" s="54"/>
      <c r="H359" s="47"/>
      <c r="I359" s="54"/>
      <c r="J359" s="54"/>
      <c r="K359" s="47"/>
      <c r="L359" s="54"/>
      <c r="M359" s="54"/>
      <c r="N359" s="47"/>
      <c r="O359" s="54"/>
      <c r="P359" s="54"/>
      <c r="Q359" s="47"/>
      <c r="R359" s="54"/>
      <c r="S359" s="54"/>
      <c r="T359" s="47"/>
      <c r="U359" s="54"/>
      <c r="V359" s="54"/>
      <c r="W359" s="47"/>
      <c r="X359" s="54"/>
      <c r="Y359" s="54"/>
      <c r="Z359" s="47"/>
      <c r="AA359" s="54"/>
      <c r="AB359" s="54"/>
      <c r="AC359" s="47"/>
      <c r="AD359" s="54"/>
      <c r="AE359" s="73"/>
    </row>
    <row r="360" spans="1:31" s="57" customFormat="1" ht="13.5" x14ac:dyDescent="0.3">
      <c r="A360" s="54"/>
      <c r="B360" s="46"/>
      <c r="C360" s="54"/>
      <c r="D360" s="54"/>
      <c r="E360" s="47"/>
      <c r="F360" s="54"/>
      <c r="G360" s="54"/>
      <c r="H360" s="47"/>
      <c r="I360" s="54"/>
      <c r="J360" s="54"/>
      <c r="K360" s="47"/>
      <c r="L360" s="54"/>
      <c r="M360" s="54"/>
      <c r="N360" s="47"/>
      <c r="O360" s="54"/>
      <c r="P360" s="54"/>
      <c r="Q360" s="47"/>
      <c r="R360" s="54"/>
      <c r="S360" s="54"/>
      <c r="T360" s="47"/>
      <c r="U360" s="54"/>
      <c r="V360" s="54"/>
      <c r="W360" s="47"/>
      <c r="X360" s="54"/>
      <c r="Y360" s="54"/>
      <c r="Z360" s="47"/>
      <c r="AA360" s="54"/>
      <c r="AB360" s="54"/>
      <c r="AC360" s="47"/>
      <c r="AD360" s="54"/>
      <c r="AE360" s="73"/>
    </row>
    <row r="361" spans="1:31" s="57" customFormat="1" ht="13.5" x14ac:dyDescent="0.3">
      <c r="A361" s="54"/>
      <c r="B361" s="46"/>
      <c r="C361" s="54"/>
      <c r="D361" s="54"/>
      <c r="E361" s="47"/>
      <c r="F361" s="54"/>
      <c r="G361" s="54"/>
      <c r="H361" s="47"/>
      <c r="I361" s="54"/>
      <c r="J361" s="54"/>
      <c r="K361" s="47"/>
      <c r="L361" s="54"/>
      <c r="M361" s="54"/>
      <c r="N361" s="47"/>
      <c r="O361" s="54"/>
      <c r="P361" s="54"/>
      <c r="Q361" s="47"/>
      <c r="R361" s="54"/>
      <c r="S361" s="54"/>
      <c r="T361" s="47"/>
      <c r="U361" s="54"/>
      <c r="V361" s="54"/>
      <c r="W361" s="47"/>
      <c r="X361" s="54"/>
      <c r="Y361" s="54"/>
      <c r="Z361" s="47"/>
      <c r="AA361" s="54"/>
      <c r="AB361" s="54"/>
      <c r="AC361" s="47"/>
      <c r="AD361" s="54"/>
      <c r="AE361" s="73"/>
    </row>
    <row r="362" spans="1:31" s="57" customFormat="1" ht="13.5" x14ac:dyDescent="0.3">
      <c r="A362" s="54"/>
      <c r="B362" s="46"/>
      <c r="C362" s="54"/>
      <c r="D362" s="54"/>
      <c r="E362" s="47"/>
      <c r="F362" s="54"/>
      <c r="G362" s="54"/>
      <c r="H362" s="47"/>
      <c r="I362" s="54"/>
      <c r="J362" s="54"/>
      <c r="K362" s="47"/>
      <c r="L362" s="54"/>
      <c r="M362" s="54"/>
      <c r="N362" s="47"/>
      <c r="O362" s="54"/>
      <c r="P362" s="54"/>
      <c r="Q362" s="47"/>
      <c r="R362" s="54"/>
      <c r="S362" s="54"/>
      <c r="T362" s="47"/>
      <c r="U362" s="54"/>
      <c r="V362" s="54"/>
      <c r="W362" s="47"/>
      <c r="X362" s="54"/>
      <c r="Y362" s="54"/>
      <c r="Z362" s="47"/>
      <c r="AA362" s="54"/>
      <c r="AB362" s="54"/>
      <c r="AC362" s="47"/>
      <c r="AD362" s="54"/>
      <c r="AE362" s="73"/>
    </row>
    <row r="363" spans="1:31" s="57" customFormat="1" ht="13.5" x14ac:dyDescent="0.3">
      <c r="A363" s="54"/>
      <c r="B363" s="46"/>
      <c r="C363" s="54"/>
      <c r="D363" s="54"/>
      <c r="E363" s="47"/>
      <c r="F363" s="54"/>
      <c r="G363" s="54"/>
      <c r="H363" s="47"/>
      <c r="I363" s="54"/>
      <c r="J363" s="54"/>
      <c r="K363" s="47"/>
      <c r="L363" s="54"/>
      <c r="M363" s="54"/>
      <c r="N363" s="47"/>
      <c r="O363" s="54"/>
      <c r="P363" s="54"/>
      <c r="Q363" s="47"/>
      <c r="R363" s="54"/>
      <c r="S363" s="54"/>
      <c r="T363" s="47"/>
      <c r="U363" s="54"/>
      <c r="V363" s="54"/>
      <c r="W363" s="47"/>
      <c r="X363" s="54"/>
      <c r="Y363" s="54"/>
      <c r="Z363" s="47"/>
      <c r="AA363" s="54"/>
      <c r="AB363" s="54"/>
      <c r="AC363" s="47"/>
      <c r="AD363" s="54"/>
      <c r="AE363" s="73"/>
    </row>
    <row r="364" spans="1:31" s="57" customFormat="1" ht="13.5" x14ac:dyDescent="0.3">
      <c r="A364" s="54"/>
      <c r="B364" s="46"/>
      <c r="C364" s="54"/>
      <c r="D364" s="54"/>
      <c r="E364" s="47"/>
      <c r="F364" s="54"/>
      <c r="G364" s="54"/>
      <c r="H364" s="47"/>
      <c r="I364" s="54"/>
      <c r="J364" s="54"/>
      <c r="K364" s="47"/>
      <c r="L364" s="54"/>
      <c r="M364" s="54"/>
      <c r="N364" s="47"/>
      <c r="O364" s="54"/>
      <c r="P364" s="54"/>
      <c r="Q364" s="47"/>
      <c r="R364" s="54"/>
      <c r="S364" s="54"/>
      <c r="T364" s="47"/>
      <c r="U364" s="54"/>
      <c r="V364" s="54"/>
      <c r="W364" s="47"/>
      <c r="X364" s="54"/>
      <c r="Y364" s="54"/>
      <c r="Z364" s="47"/>
      <c r="AA364" s="54"/>
      <c r="AB364" s="54"/>
      <c r="AC364" s="47"/>
      <c r="AD364" s="54"/>
      <c r="AE364" s="73"/>
    </row>
    <row r="365" spans="1:31" s="57" customFormat="1" ht="13.5" x14ac:dyDescent="0.3">
      <c r="A365" s="54"/>
      <c r="B365" s="46"/>
      <c r="C365" s="54"/>
      <c r="D365" s="54"/>
      <c r="E365" s="47"/>
      <c r="F365" s="54"/>
      <c r="G365" s="54"/>
      <c r="H365" s="47"/>
      <c r="I365" s="54"/>
      <c r="J365" s="54"/>
      <c r="K365" s="47"/>
      <c r="L365" s="54"/>
      <c r="M365" s="54"/>
      <c r="N365" s="47"/>
      <c r="O365" s="54"/>
      <c r="P365" s="54"/>
      <c r="Q365" s="47"/>
      <c r="R365" s="54"/>
      <c r="S365" s="54"/>
      <c r="T365" s="47"/>
      <c r="U365" s="54"/>
      <c r="V365" s="54"/>
      <c r="W365" s="47"/>
      <c r="X365" s="54"/>
      <c r="Y365" s="54"/>
      <c r="Z365" s="47"/>
      <c r="AA365" s="54"/>
      <c r="AB365" s="54"/>
      <c r="AC365" s="47"/>
      <c r="AD365" s="54"/>
      <c r="AE365" s="73"/>
    </row>
  </sheetData>
  <mergeCells count="28">
    <mergeCell ref="Y11:Z11"/>
    <mergeCell ref="Y10:Z10"/>
    <mergeCell ref="V11:W11"/>
    <mergeCell ref="V10:W10"/>
    <mergeCell ref="A5:W5"/>
    <mergeCell ref="J7:Z7"/>
    <mergeCell ref="M9:N9"/>
    <mergeCell ref="M10:N10"/>
    <mergeCell ref="S11:T11"/>
    <mergeCell ref="P11:Q11"/>
    <mergeCell ref="M11:N11"/>
    <mergeCell ref="J11:K11"/>
    <mergeCell ref="A1:B1"/>
    <mergeCell ref="D6:T6"/>
    <mergeCell ref="A4:W4"/>
    <mergeCell ref="D11:E11"/>
    <mergeCell ref="AB11:AC11"/>
    <mergeCell ref="AB10:AC10"/>
    <mergeCell ref="AB9:AC9"/>
    <mergeCell ref="J10:K10"/>
    <mergeCell ref="G9:H9"/>
    <mergeCell ref="G10:H10"/>
    <mergeCell ref="D10:E10"/>
    <mergeCell ref="S10:T10"/>
    <mergeCell ref="P10:Q10"/>
    <mergeCell ref="AB8:AC8"/>
    <mergeCell ref="AB7:AC7"/>
    <mergeCell ref="G11:H11"/>
  </mergeCells>
  <phoneticPr fontId="9" type="noConversion"/>
  <printOptions horizontalCentered="1"/>
  <pageMargins left="0.5" right="0.5" top="0.75" bottom="0.875" header="0.5" footer="0.75"/>
  <pageSetup scale="56" orientation="portrait" r:id="rId1"/>
  <headerFooter alignWithMargins="0"/>
  <ignoredErrors>
    <ignoredError sqref="AB11"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tabColor theme="6" tint="0.39997558519241921"/>
  </sheetPr>
  <dimension ref="A1:AC114"/>
  <sheetViews>
    <sheetView workbookViewId="0">
      <selection activeCell="K45" activeCellId="1" sqref="BN74:BT74 K45"/>
    </sheetView>
  </sheetViews>
  <sheetFormatPr defaultColWidth="9.140625" defaultRowHeight="15" x14ac:dyDescent="0.3"/>
  <cols>
    <col min="1" max="1" width="1.5703125" style="61" customWidth="1"/>
    <col min="2" max="2" width="40.5703125" style="49" customWidth="1"/>
    <col min="3" max="4" width="1.5703125" style="61" customWidth="1"/>
    <col min="5" max="5" width="10.5703125" style="50" customWidth="1"/>
    <col min="6" max="7" width="1.5703125" style="61" customWidth="1"/>
    <col min="8" max="8" width="10.5703125" style="50" customWidth="1"/>
    <col min="9" max="10" width="1.5703125" style="61" customWidth="1"/>
    <col min="11" max="11" width="10.5703125" style="50" customWidth="1"/>
    <col min="12" max="13" width="1.5703125" style="61" customWidth="1"/>
    <col min="14" max="14" width="12.5703125" style="50" customWidth="1"/>
    <col min="15" max="16" width="1.5703125" style="61" customWidth="1"/>
    <col min="17" max="17" width="10.5703125" style="50" customWidth="1"/>
    <col min="18" max="19" width="1.5703125" style="61" customWidth="1"/>
    <col min="20" max="20" width="10.5703125" style="50" customWidth="1"/>
    <col min="21" max="22" width="1.5703125" style="61" customWidth="1"/>
    <col min="23" max="23" width="10.5703125" style="50" customWidth="1"/>
    <col min="24" max="25" width="1.5703125" style="61" customWidth="1"/>
    <col min="26" max="26" width="11.5703125" style="50" customWidth="1"/>
    <col min="27" max="28" width="1.5703125" style="61" customWidth="1"/>
    <col min="29" max="29" width="10.5703125" style="50" customWidth="1"/>
    <col min="30" max="16384" width="9.140625" style="1"/>
  </cols>
  <sheetData>
    <row r="1" spans="1:29" s="61" customFormat="1" ht="29.45" customHeight="1" thickBot="1" x14ac:dyDescent="0.25">
      <c r="A1" s="1632" t="s">
        <v>1033</v>
      </c>
      <c r="B1" s="1632"/>
      <c r="C1" s="1632"/>
      <c r="D1" s="1632"/>
      <c r="E1" s="1632"/>
      <c r="F1" s="1632"/>
      <c r="G1" s="1632"/>
      <c r="H1" s="1632"/>
      <c r="I1" s="1632"/>
      <c r="J1" s="1632"/>
      <c r="K1" s="1632"/>
      <c r="L1" s="1632"/>
      <c r="M1" s="1632"/>
      <c r="N1" s="1632"/>
      <c r="O1" s="1632"/>
      <c r="P1" s="1632"/>
      <c r="Q1" s="1632"/>
      <c r="R1" s="1632"/>
      <c r="S1" s="1632"/>
      <c r="T1" s="1632"/>
      <c r="U1" s="1632"/>
      <c r="V1" s="1632"/>
      <c r="W1" s="1632"/>
      <c r="X1" s="58"/>
      <c r="Y1" s="58"/>
      <c r="Z1" s="59"/>
      <c r="AA1" s="58"/>
      <c r="AB1" s="58"/>
      <c r="AC1" s="59"/>
    </row>
    <row r="2" spans="1:29" s="61" customFormat="1" ht="26.85" customHeight="1" x14ac:dyDescent="0.2">
      <c r="A2" s="77" t="s">
        <v>624</v>
      </c>
      <c r="B2" s="49"/>
      <c r="C2" s="42"/>
      <c r="D2" s="42"/>
      <c r="E2" s="60"/>
      <c r="F2" s="42"/>
      <c r="G2" s="42"/>
      <c r="H2" s="60"/>
      <c r="I2" s="42"/>
      <c r="J2" s="42"/>
      <c r="K2" s="60"/>
      <c r="L2" s="42"/>
      <c r="M2" s="42"/>
      <c r="N2" s="60"/>
      <c r="O2" s="42"/>
      <c r="P2" s="42"/>
      <c r="Q2" s="60"/>
      <c r="R2" s="42"/>
      <c r="S2" s="42"/>
      <c r="T2" s="60"/>
      <c r="U2" s="42"/>
      <c r="V2" s="42"/>
      <c r="W2" s="60"/>
      <c r="Z2" s="50"/>
      <c r="AC2" s="50"/>
    </row>
    <row r="3" spans="1:29" s="61" customFormat="1" ht="26.85" customHeight="1" x14ac:dyDescent="0.2">
      <c r="A3" s="77" t="s">
        <v>625</v>
      </c>
      <c r="B3" s="49"/>
      <c r="C3" s="42"/>
      <c r="D3" s="42"/>
      <c r="E3" s="60"/>
      <c r="F3" s="42"/>
      <c r="G3" s="42"/>
      <c r="H3" s="60"/>
      <c r="I3" s="42"/>
      <c r="J3" s="42"/>
      <c r="K3" s="60"/>
      <c r="L3" s="42"/>
      <c r="M3" s="42"/>
      <c r="N3" s="60"/>
      <c r="O3" s="42"/>
      <c r="P3" s="42"/>
      <c r="Q3" s="60"/>
      <c r="R3" s="42"/>
      <c r="S3" s="42"/>
      <c r="T3" s="60"/>
      <c r="U3" s="42"/>
      <c r="V3" s="42"/>
      <c r="W3" s="60"/>
      <c r="Z3" s="50"/>
      <c r="AC3" s="50"/>
    </row>
    <row r="4" spans="1:29" s="61" customFormat="1" ht="23.25" customHeight="1" x14ac:dyDescent="0.2">
      <c r="A4" s="1629" t="s">
        <v>1015</v>
      </c>
      <c r="B4" s="1629"/>
      <c r="C4" s="1629"/>
      <c r="D4" s="1629"/>
      <c r="E4" s="1629"/>
      <c r="F4" s="1629"/>
      <c r="G4" s="1629"/>
      <c r="H4" s="1629"/>
      <c r="I4" s="1629"/>
      <c r="J4" s="1629"/>
      <c r="K4" s="1629"/>
      <c r="L4" s="1629"/>
      <c r="M4" s="1629"/>
      <c r="N4" s="1629"/>
      <c r="O4" s="1629"/>
      <c r="P4" s="1629"/>
      <c r="Q4" s="1629"/>
      <c r="R4" s="1629"/>
      <c r="S4" s="1629"/>
      <c r="T4" s="1629"/>
      <c r="U4" s="1629"/>
      <c r="V4" s="1629"/>
      <c r="W4" s="1629"/>
      <c r="Z4" s="50"/>
      <c r="AC4" s="50"/>
    </row>
    <row r="5" spans="1:29" ht="9.9499999999999993" customHeight="1" x14ac:dyDescent="0.3">
      <c r="A5" s="1631"/>
      <c r="B5" s="1631"/>
      <c r="C5" s="1631"/>
      <c r="D5" s="1631"/>
      <c r="E5" s="1631"/>
      <c r="F5" s="1631"/>
      <c r="G5" s="1631"/>
      <c r="H5" s="1631"/>
      <c r="I5" s="1631"/>
      <c r="J5" s="1631"/>
      <c r="K5" s="1631"/>
      <c r="L5" s="1631"/>
      <c r="M5" s="1631"/>
      <c r="N5" s="1631"/>
      <c r="O5" s="1631"/>
      <c r="P5" s="1631"/>
      <c r="Q5" s="1631"/>
      <c r="R5" s="1631"/>
      <c r="S5" s="1631"/>
      <c r="T5" s="1631"/>
      <c r="U5" s="1631"/>
      <c r="V5" s="1631"/>
      <c r="W5" s="1631"/>
    </row>
    <row r="6" spans="1:29" s="55" customFormat="1" ht="12.6" customHeight="1" x14ac:dyDescent="0.35">
      <c r="A6" s="62"/>
      <c r="B6" s="62"/>
      <c r="C6" s="62"/>
      <c r="D6" s="1625" t="s">
        <v>839</v>
      </c>
      <c r="E6" s="1625"/>
      <c r="F6" s="1625"/>
      <c r="G6" s="1625"/>
      <c r="H6" s="1625"/>
      <c r="I6" s="1625"/>
      <c r="J6" s="1625"/>
      <c r="K6" s="1625"/>
      <c r="L6" s="1625"/>
      <c r="M6" s="1625"/>
      <c r="N6" s="1625"/>
      <c r="O6" s="1625"/>
      <c r="P6" s="1625"/>
      <c r="Q6" s="1625"/>
      <c r="R6" s="1625"/>
      <c r="S6" s="1625"/>
      <c r="T6" s="1625"/>
      <c r="U6" s="1625"/>
      <c r="V6" s="1625"/>
      <c r="W6" s="1625"/>
      <c r="X6" s="1625"/>
      <c r="Y6" s="1625"/>
      <c r="Z6" s="1625"/>
      <c r="AA6" s="63"/>
      <c r="AB6" s="62"/>
      <c r="AC6" s="64"/>
    </row>
    <row r="7" spans="1:29" s="55" customFormat="1" ht="12.6" customHeight="1" x14ac:dyDescent="0.35">
      <c r="A7" s="62"/>
      <c r="B7" s="62"/>
      <c r="C7" s="62"/>
      <c r="D7" s="62"/>
      <c r="E7" s="64"/>
      <c r="F7" s="62"/>
      <c r="G7" s="62"/>
      <c r="H7" s="64"/>
      <c r="I7" s="62"/>
      <c r="J7" s="63"/>
      <c r="K7" s="63"/>
      <c r="L7" s="63"/>
      <c r="M7" s="63"/>
      <c r="N7" s="63"/>
      <c r="O7" s="63"/>
      <c r="P7" s="63"/>
      <c r="Q7" s="63"/>
      <c r="R7" s="63"/>
      <c r="S7" s="63"/>
      <c r="T7" s="63"/>
      <c r="U7" s="63"/>
      <c r="V7" s="63"/>
      <c r="W7" s="63"/>
      <c r="X7" s="63"/>
      <c r="Y7" s="63"/>
      <c r="Z7" s="63"/>
      <c r="AA7" s="62"/>
      <c r="AB7" s="62"/>
      <c r="AC7" s="64"/>
    </row>
    <row r="8" spans="1:29" s="55" customFormat="1" ht="12.6" customHeight="1" x14ac:dyDescent="0.35">
      <c r="A8" s="62"/>
      <c r="B8" s="62"/>
      <c r="C8" s="62"/>
      <c r="D8" s="62"/>
      <c r="E8" s="64"/>
      <c r="F8" s="62"/>
      <c r="G8" s="62"/>
      <c r="H8" s="64"/>
      <c r="I8" s="62"/>
      <c r="J8" s="62"/>
      <c r="K8" s="64"/>
      <c r="L8" s="62"/>
      <c r="M8" s="1623" t="s">
        <v>258</v>
      </c>
      <c r="N8" s="1623"/>
      <c r="O8" s="62"/>
      <c r="P8" s="62"/>
      <c r="Q8" s="64"/>
      <c r="R8" s="62"/>
      <c r="S8" s="62"/>
      <c r="T8" s="64"/>
      <c r="U8" s="62"/>
      <c r="V8" s="62"/>
      <c r="W8" s="64"/>
      <c r="X8" s="62"/>
      <c r="Y8" s="1623" t="s">
        <v>264</v>
      </c>
      <c r="Z8" s="1623"/>
      <c r="AA8" s="62"/>
      <c r="AB8" s="62"/>
      <c r="AC8" s="64"/>
    </row>
    <row r="9" spans="1:29" s="55" customFormat="1" ht="12.6" customHeight="1" x14ac:dyDescent="0.35">
      <c r="A9" s="62"/>
      <c r="B9" s="62"/>
      <c r="C9" s="62"/>
      <c r="D9" s="1623" t="s">
        <v>249</v>
      </c>
      <c r="E9" s="1623"/>
      <c r="F9" s="62"/>
      <c r="G9" s="62"/>
      <c r="H9" s="64"/>
      <c r="I9" s="62"/>
      <c r="J9" s="62"/>
      <c r="K9" s="64"/>
      <c r="L9" s="62"/>
      <c r="M9" s="1623" t="s">
        <v>259</v>
      </c>
      <c r="N9" s="1623"/>
      <c r="O9" s="62"/>
      <c r="P9" s="62"/>
      <c r="Q9" s="64"/>
      <c r="R9" s="62"/>
      <c r="S9" s="62"/>
      <c r="T9" s="64"/>
      <c r="U9" s="62"/>
      <c r="V9" s="62"/>
      <c r="W9" s="64"/>
      <c r="X9" s="62"/>
      <c r="Y9" s="1623" t="s">
        <v>256</v>
      </c>
      <c r="Z9" s="1623"/>
      <c r="AA9" s="62"/>
      <c r="AB9" s="1623" t="s">
        <v>671</v>
      </c>
      <c r="AC9" s="1623"/>
    </row>
    <row r="10" spans="1:29" s="55" customFormat="1" ht="12.6" customHeight="1" x14ac:dyDescent="0.35">
      <c r="A10" s="62"/>
      <c r="B10" s="62"/>
      <c r="C10" s="62"/>
      <c r="D10" s="1623" t="s">
        <v>250</v>
      </c>
      <c r="E10" s="1623"/>
      <c r="F10" s="62"/>
      <c r="G10" s="62"/>
      <c r="H10" s="64"/>
      <c r="I10" s="62"/>
      <c r="J10" s="1623" t="s">
        <v>256</v>
      </c>
      <c r="K10" s="1623"/>
      <c r="L10" s="62"/>
      <c r="M10" s="1623" t="s">
        <v>260</v>
      </c>
      <c r="N10" s="1623"/>
      <c r="O10" s="62"/>
      <c r="P10" s="1623" t="s">
        <v>262</v>
      </c>
      <c r="Q10" s="1623"/>
      <c r="R10" s="62"/>
      <c r="S10" s="1623" t="s">
        <v>262</v>
      </c>
      <c r="T10" s="1623"/>
      <c r="U10" s="62"/>
      <c r="V10" s="1623" t="s">
        <v>264</v>
      </c>
      <c r="W10" s="1623"/>
      <c r="X10" s="62"/>
      <c r="Y10" s="1623" t="s">
        <v>669</v>
      </c>
      <c r="Z10" s="1623"/>
      <c r="AA10" s="62"/>
      <c r="AB10" s="1623" t="s">
        <v>839</v>
      </c>
      <c r="AC10" s="1623"/>
    </row>
    <row r="11" spans="1:29" s="55" customFormat="1" ht="12.6" customHeight="1" x14ac:dyDescent="0.35">
      <c r="A11" s="62"/>
      <c r="B11" s="62"/>
      <c r="C11" s="62"/>
      <c r="D11" s="1622" t="s">
        <v>251</v>
      </c>
      <c r="E11" s="1622"/>
      <c r="F11" s="62"/>
      <c r="G11" s="1622" t="s">
        <v>255</v>
      </c>
      <c r="H11" s="1622"/>
      <c r="I11" s="62"/>
      <c r="J11" s="1622" t="s">
        <v>257</v>
      </c>
      <c r="K11" s="1622"/>
      <c r="L11" s="62"/>
      <c r="M11" s="1622" t="s">
        <v>261</v>
      </c>
      <c r="N11" s="1622"/>
      <c r="O11" s="62"/>
      <c r="P11" s="1622" t="s">
        <v>263</v>
      </c>
      <c r="Q11" s="1622"/>
      <c r="R11" s="62"/>
      <c r="S11" s="1622" t="s">
        <v>867</v>
      </c>
      <c r="T11" s="1622"/>
      <c r="U11" s="62"/>
      <c r="V11" s="1622" t="s">
        <v>265</v>
      </c>
      <c r="W11" s="1622"/>
      <c r="X11" s="62"/>
      <c r="Y11" s="1622" t="s">
        <v>266</v>
      </c>
      <c r="Z11" s="1622"/>
      <c r="AA11" s="62"/>
      <c r="AB11" s="1626" t="s">
        <v>660</v>
      </c>
      <c r="AC11" s="1626"/>
    </row>
    <row r="12" spans="1:29" s="57" customFormat="1" ht="9.9499999999999993" customHeight="1" x14ac:dyDescent="0.3">
      <c r="A12" s="46" t="s">
        <v>36</v>
      </c>
      <c r="B12" s="46"/>
      <c r="C12" s="54"/>
      <c r="D12" s="54"/>
      <c r="E12" s="47"/>
      <c r="F12" s="54"/>
      <c r="G12" s="54"/>
      <c r="H12" s="47"/>
      <c r="I12" s="54"/>
      <c r="J12" s="54"/>
      <c r="K12" s="47"/>
      <c r="L12" s="54"/>
      <c r="M12" s="54"/>
      <c r="N12" s="47"/>
      <c r="O12" s="54"/>
      <c r="P12" s="54"/>
      <c r="Q12" s="47"/>
      <c r="R12" s="54"/>
      <c r="S12" s="54"/>
      <c r="T12" s="47"/>
      <c r="U12" s="54"/>
      <c r="V12" s="54"/>
      <c r="W12" s="47"/>
      <c r="X12" s="54"/>
      <c r="Y12" s="54"/>
      <c r="Z12" s="47"/>
      <c r="AA12" s="54"/>
      <c r="AB12" s="54"/>
      <c r="AC12" s="47"/>
    </row>
    <row r="13" spans="1:29" ht="9.9499999999999993" customHeight="1" x14ac:dyDescent="0.3">
      <c r="A13" s="54"/>
      <c r="B13" s="54" t="s">
        <v>35</v>
      </c>
      <c r="C13" s="54"/>
      <c r="D13" s="54" t="s">
        <v>1035</v>
      </c>
      <c r="E13" s="48">
        <v>4229</v>
      </c>
      <c r="F13" s="48"/>
      <c r="G13" s="67" t="s">
        <v>1035</v>
      </c>
      <c r="H13" s="48">
        <v>63599</v>
      </c>
      <c r="I13" s="48"/>
      <c r="J13" s="67" t="s">
        <v>1035</v>
      </c>
      <c r="K13" s="48">
        <v>0</v>
      </c>
      <c r="L13" s="48"/>
      <c r="M13" s="67" t="s">
        <v>1035</v>
      </c>
      <c r="N13" s="48">
        <v>0</v>
      </c>
      <c r="O13" s="48"/>
      <c r="P13" s="67" t="s">
        <v>1035</v>
      </c>
      <c r="Q13" s="48">
        <v>461</v>
      </c>
      <c r="R13" s="48"/>
      <c r="S13" s="67" t="s">
        <v>1035</v>
      </c>
      <c r="T13" s="48">
        <v>0</v>
      </c>
      <c r="U13" s="48"/>
      <c r="V13" s="67" t="s">
        <v>1035</v>
      </c>
      <c r="W13" s="48">
        <v>0</v>
      </c>
      <c r="X13" s="48"/>
      <c r="Y13" s="67" t="s">
        <v>1035</v>
      </c>
      <c r="Z13" s="48">
        <v>0</v>
      </c>
      <c r="AA13" s="48"/>
      <c r="AB13" s="67" t="s">
        <v>1035</v>
      </c>
      <c r="AC13" s="48">
        <f>SUM(E13:Z13)</f>
        <v>68289</v>
      </c>
    </row>
    <row r="14" spans="1:29" ht="9.9499999999999993" customHeight="1" x14ac:dyDescent="0.3">
      <c r="A14" s="54"/>
      <c r="B14" s="54" t="s">
        <v>463</v>
      </c>
      <c r="C14" s="51"/>
      <c r="D14" s="51"/>
      <c r="E14" s="51">
        <v>1</v>
      </c>
      <c r="F14" s="51"/>
      <c r="G14" s="51"/>
      <c r="H14" s="51">
        <v>20</v>
      </c>
      <c r="I14" s="51"/>
      <c r="J14" s="51"/>
      <c r="K14" s="51"/>
      <c r="L14" s="51"/>
      <c r="M14" s="51"/>
      <c r="N14" s="51"/>
      <c r="O14" s="51"/>
      <c r="P14" s="51"/>
      <c r="Q14" s="51"/>
      <c r="R14" s="51"/>
      <c r="S14" s="51"/>
      <c r="T14" s="51"/>
      <c r="U14" s="51"/>
      <c r="V14" s="51"/>
      <c r="W14" s="51"/>
      <c r="X14" s="51"/>
      <c r="Y14" s="51"/>
      <c r="Z14" s="51"/>
      <c r="AA14" s="51"/>
      <c r="AB14" s="51"/>
      <c r="AC14" s="51">
        <f t="shared" ref="AC14:AC77" si="0">SUM(E14:Z14)</f>
        <v>21</v>
      </c>
    </row>
    <row r="15" spans="1:29" ht="9.9499999999999993" customHeight="1" x14ac:dyDescent="0.3">
      <c r="A15" s="54"/>
      <c r="B15" s="54" t="s">
        <v>464</v>
      </c>
      <c r="C15" s="51"/>
      <c r="D15" s="51"/>
      <c r="E15" s="51">
        <v>5632</v>
      </c>
      <c r="F15" s="51"/>
      <c r="G15" s="51"/>
      <c r="H15" s="51">
        <v>84682</v>
      </c>
      <c r="I15" s="51"/>
      <c r="J15" s="51"/>
      <c r="K15" s="51">
        <v>1325</v>
      </c>
      <c r="L15" s="51"/>
      <c r="M15" s="51"/>
      <c r="N15" s="51"/>
      <c r="O15" s="51"/>
      <c r="P15" s="51"/>
      <c r="Q15" s="51">
        <v>710</v>
      </c>
      <c r="R15" s="51"/>
      <c r="S15" s="51"/>
      <c r="T15" s="51"/>
      <c r="U15" s="51"/>
      <c r="V15" s="51"/>
      <c r="W15" s="51"/>
      <c r="X15" s="51"/>
      <c r="Y15" s="51"/>
      <c r="Z15" s="51"/>
      <c r="AA15" s="51"/>
      <c r="AB15" s="51"/>
      <c r="AC15" s="51">
        <f t="shared" si="0"/>
        <v>92349</v>
      </c>
    </row>
    <row r="16" spans="1:29" ht="9.9499999999999993" customHeight="1" x14ac:dyDescent="0.3">
      <c r="A16" s="54"/>
      <c r="B16" s="54" t="s">
        <v>465</v>
      </c>
      <c r="C16" s="51"/>
      <c r="D16" s="51"/>
      <c r="E16" s="51">
        <v>16021</v>
      </c>
      <c r="F16" s="51"/>
      <c r="G16" s="51"/>
      <c r="H16" s="51">
        <v>240912</v>
      </c>
      <c r="I16" s="51"/>
      <c r="J16" s="51"/>
      <c r="K16" s="51"/>
      <c r="L16" s="51"/>
      <c r="M16" s="51"/>
      <c r="N16" s="51"/>
      <c r="O16" s="51"/>
      <c r="P16" s="51"/>
      <c r="Q16" s="51">
        <v>1602</v>
      </c>
      <c r="R16" s="51"/>
      <c r="S16" s="51"/>
      <c r="T16" s="51"/>
      <c r="U16" s="51"/>
      <c r="V16" s="51"/>
      <c r="W16" s="51"/>
      <c r="X16" s="51"/>
      <c r="Y16" s="51"/>
      <c r="Z16" s="51"/>
      <c r="AA16" s="51"/>
      <c r="AB16" s="51"/>
      <c r="AC16" s="51">
        <f t="shared" si="0"/>
        <v>258535</v>
      </c>
    </row>
    <row r="17" spans="1:29" ht="9.9499999999999993" customHeight="1" x14ac:dyDescent="0.3">
      <c r="A17" s="54"/>
      <c r="B17" s="54" t="s">
        <v>467</v>
      </c>
      <c r="C17" s="51"/>
      <c r="D17" s="51"/>
      <c r="E17" s="51">
        <v>66764</v>
      </c>
      <c r="F17" s="51"/>
      <c r="G17" s="51"/>
      <c r="H17" s="51">
        <v>1006302</v>
      </c>
      <c r="I17" s="51"/>
      <c r="J17" s="51"/>
      <c r="K17" s="51"/>
      <c r="L17" s="51"/>
      <c r="M17" s="51"/>
      <c r="N17" s="51"/>
      <c r="O17" s="51"/>
      <c r="P17" s="51"/>
      <c r="Q17" s="51">
        <v>6229</v>
      </c>
      <c r="R17" s="51"/>
      <c r="S17" s="51"/>
      <c r="T17" s="51"/>
      <c r="U17" s="51"/>
      <c r="V17" s="51"/>
      <c r="W17" s="51"/>
      <c r="X17" s="51"/>
      <c r="Y17" s="51"/>
      <c r="Z17" s="51"/>
      <c r="AA17" s="51"/>
      <c r="AB17" s="51"/>
      <c r="AC17" s="51">
        <f t="shared" si="0"/>
        <v>1079295</v>
      </c>
    </row>
    <row r="18" spans="1:29" ht="9.9499999999999993" customHeight="1" x14ac:dyDescent="0.3">
      <c r="A18" s="54"/>
      <c r="B18" s="54" t="s">
        <v>468</v>
      </c>
      <c r="C18" s="51"/>
      <c r="D18" s="51"/>
      <c r="E18" s="51">
        <v>4351</v>
      </c>
      <c r="F18" s="51"/>
      <c r="G18" s="51"/>
      <c r="H18" s="51">
        <v>65420</v>
      </c>
      <c r="I18" s="51"/>
      <c r="J18" s="51"/>
      <c r="K18" s="51"/>
      <c r="L18" s="51"/>
      <c r="M18" s="51"/>
      <c r="N18" s="51"/>
      <c r="O18" s="51"/>
      <c r="P18" s="51"/>
      <c r="Q18" s="51">
        <v>325</v>
      </c>
      <c r="R18" s="51"/>
      <c r="S18" s="51"/>
      <c r="T18" s="51"/>
      <c r="U18" s="51"/>
      <c r="V18" s="51"/>
      <c r="W18" s="51"/>
      <c r="X18" s="51"/>
      <c r="Y18" s="51"/>
      <c r="Z18" s="51"/>
      <c r="AA18" s="51"/>
      <c r="AB18" s="51"/>
      <c r="AC18" s="51">
        <f t="shared" si="0"/>
        <v>70096</v>
      </c>
    </row>
    <row r="19" spans="1:29" ht="9.9499999999999993" customHeight="1" x14ac:dyDescent="0.3">
      <c r="A19" s="54"/>
      <c r="B19" s="54" t="s">
        <v>469</v>
      </c>
      <c r="C19" s="51"/>
      <c r="D19" s="51"/>
      <c r="E19" s="51">
        <v>263967</v>
      </c>
      <c r="F19" s="51"/>
      <c r="G19" s="51"/>
      <c r="H19" s="51"/>
      <c r="I19" s="51"/>
      <c r="J19" s="51"/>
      <c r="K19" s="51"/>
      <c r="L19" s="51"/>
      <c r="M19" s="51"/>
      <c r="N19" s="51"/>
      <c r="O19" s="51"/>
      <c r="P19" s="51"/>
      <c r="Q19" s="51"/>
      <c r="R19" s="51"/>
      <c r="S19" s="51"/>
      <c r="T19" s="51"/>
      <c r="U19" s="51"/>
      <c r="V19" s="51"/>
      <c r="W19" s="51"/>
      <c r="X19" s="51"/>
      <c r="Y19" s="51"/>
      <c r="Z19" s="51">
        <v>35145</v>
      </c>
      <c r="AA19" s="51"/>
      <c r="AB19" s="51"/>
      <c r="AC19" s="51">
        <f t="shared" si="0"/>
        <v>299112</v>
      </c>
    </row>
    <row r="20" spans="1:29" ht="9.9499999999999993" customHeight="1" x14ac:dyDescent="0.3">
      <c r="A20" s="54"/>
      <c r="B20" s="54" t="s">
        <v>470</v>
      </c>
      <c r="C20" s="51"/>
      <c r="D20" s="51"/>
      <c r="E20" s="51">
        <v>18621</v>
      </c>
      <c r="F20" s="51"/>
      <c r="G20" s="51"/>
      <c r="H20" s="51">
        <v>279544</v>
      </c>
      <c r="I20" s="51"/>
      <c r="J20" s="51"/>
      <c r="K20" s="51"/>
      <c r="L20" s="51"/>
      <c r="M20" s="51"/>
      <c r="N20" s="51"/>
      <c r="O20" s="51"/>
      <c r="P20" s="51"/>
      <c r="Q20" s="51">
        <v>2012</v>
      </c>
      <c r="R20" s="51"/>
      <c r="S20" s="51"/>
      <c r="T20" s="51"/>
      <c r="U20" s="51"/>
      <c r="V20" s="51"/>
      <c r="W20" s="51"/>
      <c r="X20" s="51"/>
      <c r="Y20" s="51"/>
      <c r="Z20" s="51">
        <v>5000</v>
      </c>
      <c r="AA20" s="51"/>
      <c r="AB20" s="51"/>
      <c r="AC20" s="51">
        <f t="shared" si="0"/>
        <v>305177</v>
      </c>
    </row>
    <row r="21" spans="1:29" ht="9.9499999999999993" customHeight="1" x14ac:dyDescent="0.3">
      <c r="A21" s="54"/>
      <c r="B21" s="54" t="s">
        <v>471</v>
      </c>
      <c r="C21" s="51"/>
      <c r="D21" s="51"/>
      <c r="E21" s="51">
        <v>566</v>
      </c>
      <c r="F21" s="51"/>
      <c r="G21" s="51"/>
      <c r="H21" s="51">
        <v>8512</v>
      </c>
      <c r="I21" s="51"/>
      <c r="J21" s="51"/>
      <c r="K21" s="51"/>
      <c r="L21" s="51"/>
      <c r="M21" s="51"/>
      <c r="N21" s="51"/>
      <c r="O21" s="51"/>
      <c r="P21" s="51"/>
      <c r="Q21" s="51">
        <v>76</v>
      </c>
      <c r="R21" s="51"/>
      <c r="S21" s="51"/>
      <c r="T21" s="51"/>
      <c r="U21" s="51"/>
      <c r="V21" s="51"/>
      <c r="W21" s="51"/>
      <c r="X21" s="51"/>
      <c r="Y21" s="51"/>
      <c r="Z21" s="51"/>
      <c r="AA21" s="51"/>
      <c r="AB21" s="51"/>
      <c r="AC21" s="51">
        <f t="shared" si="0"/>
        <v>9154</v>
      </c>
    </row>
    <row r="22" spans="1:29" ht="9.9499999999999993" customHeight="1" x14ac:dyDescent="0.3">
      <c r="A22" s="54"/>
      <c r="B22" s="54" t="s">
        <v>473</v>
      </c>
      <c r="C22" s="51"/>
      <c r="D22" s="51"/>
      <c r="E22" s="51">
        <v>29</v>
      </c>
      <c r="F22" s="51"/>
      <c r="G22" s="51"/>
      <c r="H22" s="51">
        <v>435</v>
      </c>
      <c r="I22" s="51"/>
      <c r="J22" s="51"/>
      <c r="K22" s="51"/>
      <c r="L22" s="51"/>
      <c r="M22" s="51"/>
      <c r="N22" s="51"/>
      <c r="O22" s="51"/>
      <c r="P22" s="51"/>
      <c r="Q22" s="51">
        <v>3</v>
      </c>
      <c r="R22" s="51"/>
      <c r="S22" s="51"/>
      <c r="T22" s="51"/>
      <c r="U22" s="51"/>
      <c r="V22" s="51"/>
      <c r="W22" s="51"/>
      <c r="X22" s="51"/>
      <c r="Y22" s="51"/>
      <c r="Z22" s="51"/>
      <c r="AA22" s="51"/>
      <c r="AB22" s="51"/>
      <c r="AC22" s="51">
        <f t="shared" si="0"/>
        <v>467</v>
      </c>
    </row>
    <row r="23" spans="1:29" ht="9.9499999999999993" customHeight="1" x14ac:dyDescent="0.3">
      <c r="A23" s="54"/>
      <c r="B23" s="54" t="s">
        <v>474</v>
      </c>
      <c r="C23" s="51"/>
      <c r="D23" s="51"/>
      <c r="E23" s="51">
        <v>4</v>
      </c>
      <c r="F23" s="51"/>
      <c r="G23" s="51"/>
      <c r="H23" s="51">
        <v>68</v>
      </c>
      <c r="I23" s="51"/>
      <c r="J23" s="51"/>
      <c r="K23" s="51"/>
      <c r="L23" s="51"/>
      <c r="M23" s="51"/>
      <c r="N23" s="51"/>
      <c r="O23" s="51"/>
      <c r="P23" s="51"/>
      <c r="Q23" s="51"/>
      <c r="R23" s="51"/>
      <c r="S23" s="51"/>
      <c r="T23" s="51"/>
      <c r="U23" s="51"/>
      <c r="V23" s="51"/>
      <c r="W23" s="51"/>
      <c r="X23" s="51"/>
      <c r="Y23" s="51"/>
      <c r="Z23" s="51"/>
      <c r="AA23" s="51"/>
      <c r="AB23" s="51"/>
      <c r="AC23" s="51">
        <f t="shared" si="0"/>
        <v>72</v>
      </c>
    </row>
    <row r="24" spans="1:29" ht="9.9499999999999993" customHeight="1" x14ac:dyDescent="0.3">
      <c r="A24" s="54"/>
      <c r="B24" s="54" t="s">
        <v>480</v>
      </c>
      <c r="C24" s="51"/>
      <c r="D24" s="51"/>
      <c r="E24" s="51">
        <v>56</v>
      </c>
      <c r="F24" s="51"/>
      <c r="G24" s="51"/>
      <c r="H24" s="51">
        <v>842</v>
      </c>
      <c r="I24" s="51"/>
      <c r="J24" s="51"/>
      <c r="K24" s="51"/>
      <c r="L24" s="51"/>
      <c r="M24" s="51"/>
      <c r="N24" s="51"/>
      <c r="O24" s="51"/>
      <c r="P24" s="51"/>
      <c r="Q24" s="51"/>
      <c r="R24" s="51"/>
      <c r="S24" s="51"/>
      <c r="T24" s="51"/>
      <c r="U24" s="51"/>
      <c r="V24" s="51"/>
      <c r="W24" s="51"/>
      <c r="X24" s="51"/>
      <c r="Y24" s="51"/>
      <c r="Z24" s="51"/>
      <c r="AA24" s="51"/>
      <c r="AB24" s="51"/>
      <c r="AC24" s="51">
        <f t="shared" si="0"/>
        <v>898</v>
      </c>
    </row>
    <row r="25" spans="1:29" ht="9.9499999999999993" customHeight="1" x14ac:dyDescent="0.3">
      <c r="A25" s="54"/>
      <c r="B25" s="54" t="s">
        <v>622</v>
      </c>
      <c r="C25" s="51"/>
      <c r="D25" s="51"/>
      <c r="E25" s="51">
        <v>148</v>
      </c>
      <c r="F25" s="51"/>
      <c r="G25" s="51"/>
      <c r="H25" s="51">
        <v>2219</v>
      </c>
      <c r="I25" s="51"/>
      <c r="J25" s="51"/>
      <c r="K25" s="51"/>
      <c r="L25" s="51"/>
      <c r="M25" s="51"/>
      <c r="N25" s="51"/>
      <c r="O25" s="51"/>
      <c r="P25" s="51"/>
      <c r="Q25" s="51">
        <v>15</v>
      </c>
      <c r="R25" s="51"/>
      <c r="S25" s="51"/>
      <c r="T25" s="51"/>
      <c r="U25" s="51"/>
      <c r="V25" s="51"/>
      <c r="W25" s="51"/>
      <c r="X25" s="51"/>
      <c r="Y25" s="51"/>
      <c r="Z25" s="51"/>
      <c r="AA25" s="51"/>
      <c r="AB25" s="51"/>
      <c r="AC25" s="51">
        <f t="shared" si="0"/>
        <v>2382</v>
      </c>
    </row>
    <row r="26" spans="1:29" ht="9.9499999999999993" customHeight="1" x14ac:dyDescent="0.3">
      <c r="A26" s="54"/>
      <c r="B26" s="54" t="s">
        <v>623</v>
      </c>
      <c r="C26" s="51"/>
      <c r="D26" s="51"/>
      <c r="E26" s="51">
        <v>563</v>
      </c>
      <c r="F26" s="51"/>
      <c r="G26" s="51"/>
      <c r="H26" s="51">
        <v>8465</v>
      </c>
      <c r="I26" s="51"/>
      <c r="J26" s="51"/>
      <c r="K26" s="51"/>
      <c r="L26" s="51"/>
      <c r="M26" s="51"/>
      <c r="N26" s="51"/>
      <c r="O26" s="51"/>
      <c r="P26" s="51"/>
      <c r="Q26" s="51">
        <v>42</v>
      </c>
      <c r="R26" s="51"/>
      <c r="S26" s="51"/>
      <c r="T26" s="51"/>
      <c r="U26" s="51"/>
      <c r="V26" s="51"/>
      <c r="W26" s="51"/>
      <c r="X26" s="51"/>
      <c r="Y26" s="51"/>
      <c r="Z26" s="51"/>
      <c r="AA26" s="51"/>
      <c r="AB26" s="51"/>
      <c r="AC26" s="51">
        <f t="shared" si="0"/>
        <v>9070</v>
      </c>
    </row>
    <row r="27" spans="1:29" ht="9.9499999999999993" customHeight="1" x14ac:dyDescent="0.3">
      <c r="A27" s="54"/>
      <c r="B27" s="54" t="s">
        <v>481</v>
      </c>
      <c r="C27" s="51"/>
      <c r="D27" s="51"/>
      <c r="E27" s="51">
        <v>279</v>
      </c>
      <c r="F27" s="51"/>
      <c r="G27" s="51"/>
      <c r="H27" s="51">
        <v>4188</v>
      </c>
      <c r="I27" s="51"/>
      <c r="J27" s="51"/>
      <c r="K27" s="51"/>
      <c r="L27" s="51"/>
      <c r="M27" s="51"/>
      <c r="N27" s="51"/>
      <c r="O27" s="51"/>
      <c r="P27" s="51"/>
      <c r="Q27" s="51">
        <v>28</v>
      </c>
      <c r="R27" s="51"/>
      <c r="S27" s="51"/>
      <c r="T27" s="51"/>
      <c r="U27" s="51"/>
      <c r="V27" s="51"/>
      <c r="W27" s="51"/>
      <c r="X27" s="51"/>
      <c r="Y27" s="51"/>
      <c r="Z27" s="51"/>
      <c r="AA27" s="51"/>
      <c r="AB27" s="51"/>
      <c r="AC27" s="51">
        <f t="shared" si="0"/>
        <v>4495</v>
      </c>
    </row>
    <row r="28" spans="1:29" ht="9.9499999999999993" customHeight="1" x14ac:dyDescent="0.3">
      <c r="A28" s="54"/>
      <c r="B28" s="54" t="s">
        <v>482</v>
      </c>
      <c r="C28" s="51"/>
      <c r="D28" s="51"/>
      <c r="E28" s="51">
        <v>391</v>
      </c>
      <c r="F28" s="51"/>
      <c r="G28" s="51"/>
      <c r="H28" s="51"/>
      <c r="I28" s="51"/>
      <c r="J28" s="51"/>
      <c r="K28" s="51"/>
      <c r="L28" s="51"/>
      <c r="M28" s="51"/>
      <c r="N28" s="51"/>
      <c r="O28" s="51"/>
      <c r="P28" s="51"/>
      <c r="Q28" s="51"/>
      <c r="R28" s="51"/>
      <c r="S28" s="51"/>
      <c r="T28" s="51"/>
      <c r="U28" s="51"/>
      <c r="V28" s="51"/>
      <c r="W28" s="51"/>
      <c r="X28" s="51"/>
      <c r="Y28" s="51"/>
      <c r="Z28" s="51"/>
      <c r="AA28" s="51"/>
      <c r="AB28" s="51"/>
      <c r="AC28" s="51">
        <f t="shared" si="0"/>
        <v>391</v>
      </c>
    </row>
    <row r="29" spans="1:29" ht="9.9499999999999993" customHeight="1" x14ac:dyDescent="0.3">
      <c r="A29" s="54"/>
      <c r="B29" s="54" t="s">
        <v>483</v>
      </c>
      <c r="C29" s="51"/>
      <c r="D29" s="51"/>
      <c r="E29" s="51">
        <v>3686</v>
      </c>
      <c r="F29" s="51"/>
      <c r="G29" s="51"/>
      <c r="H29" s="51">
        <v>55410</v>
      </c>
      <c r="I29" s="51"/>
      <c r="J29" s="51"/>
      <c r="K29" s="51"/>
      <c r="L29" s="51"/>
      <c r="M29" s="51"/>
      <c r="N29" s="51"/>
      <c r="O29" s="51"/>
      <c r="P29" s="51"/>
      <c r="Q29" s="51">
        <v>379</v>
      </c>
      <c r="R29" s="51"/>
      <c r="S29" s="51"/>
      <c r="T29" s="51"/>
      <c r="U29" s="51"/>
      <c r="V29" s="51"/>
      <c r="W29" s="51"/>
      <c r="X29" s="51"/>
      <c r="Y29" s="51"/>
      <c r="Z29" s="51"/>
      <c r="AA29" s="51"/>
      <c r="AB29" s="51"/>
      <c r="AC29" s="51">
        <f t="shared" si="0"/>
        <v>59475</v>
      </c>
    </row>
    <row r="30" spans="1:29" ht="9.9499999999999993" customHeight="1" x14ac:dyDescent="0.3">
      <c r="A30" s="54"/>
      <c r="B30" s="54" t="s">
        <v>484</v>
      </c>
      <c r="C30" s="51"/>
      <c r="D30" s="51"/>
      <c r="E30" s="51">
        <v>184</v>
      </c>
      <c r="F30" s="51"/>
      <c r="G30" s="51"/>
      <c r="H30" s="51">
        <v>2773</v>
      </c>
      <c r="I30" s="51"/>
      <c r="J30" s="51"/>
      <c r="K30" s="51"/>
      <c r="L30" s="51"/>
      <c r="M30" s="51"/>
      <c r="N30" s="51"/>
      <c r="O30" s="51"/>
      <c r="P30" s="51"/>
      <c r="Q30" s="51">
        <v>19</v>
      </c>
      <c r="R30" s="51"/>
      <c r="S30" s="51"/>
      <c r="T30" s="51"/>
      <c r="U30" s="51"/>
      <c r="V30" s="51"/>
      <c r="W30" s="51"/>
      <c r="X30" s="51"/>
      <c r="Y30" s="51"/>
      <c r="Z30" s="51"/>
      <c r="AA30" s="51"/>
      <c r="AB30" s="51"/>
      <c r="AC30" s="51">
        <f t="shared" si="0"/>
        <v>2976</v>
      </c>
    </row>
    <row r="31" spans="1:29" ht="9.9499999999999993" customHeight="1" x14ac:dyDescent="0.3">
      <c r="A31" s="54"/>
      <c r="B31" s="54" t="s">
        <v>42</v>
      </c>
      <c r="C31" s="51"/>
      <c r="D31" s="51"/>
      <c r="E31" s="51">
        <v>347</v>
      </c>
      <c r="F31" s="51"/>
      <c r="G31" s="51"/>
      <c r="H31" s="51">
        <v>5216</v>
      </c>
      <c r="I31" s="51"/>
      <c r="J31" s="51"/>
      <c r="K31" s="51"/>
      <c r="L31" s="51"/>
      <c r="M31" s="51"/>
      <c r="N31" s="51"/>
      <c r="O31" s="51"/>
      <c r="P31" s="51"/>
      <c r="Q31" s="51">
        <v>36</v>
      </c>
      <c r="R31" s="51"/>
      <c r="S31" s="51"/>
      <c r="T31" s="51"/>
      <c r="U31" s="51"/>
      <c r="V31" s="51"/>
      <c r="W31" s="51"/>
      <c r="X31" s="51"/>
      <c r="Y31" s="51"/>
      <c r="Z31" s="51"/>
      <c r="AA31" s="51"/>
      <c r="AB31" s="51"/>
      <c r="AC31" s="51">
        <f t="shared" si="0"/>
        <v>5599</v>
      </c>
    </row>
    <row r="32" spans="1:29" ht="9.9499999999999993" customHeight="1" x14ac:dyDescent="0.3">
      <c r="A32" s="54"/>
      <c r="B32" s="54" t="s">
        <v>545</v>
      </c>
      <c r="C32" s="51"/>
      <c r="D32" s="51"/>
      <c r="E32" s="51">
        <v>1800</v>
      </c>
      <c r="F32" s="51"/>
      <c r="G32" s="51"/>
      <c r="H32" s="51">
        <v>27059</v>
      </c>
      <c r="I32" s="51"/>
      <c r="J32" s="51"/>
      <c r="K32" s="51"/>
      <c r="L32" s="51"/>
      <c r="M32" s="51"/>
      <c r="N32" s="51"/>
      <c r="O32" s="51"/>
      <c r="P32" s="51"/>
      <c r="Q32" s="51">
        <v>163</v>
      </c>
      <c r="R32" s="51"/>
      <c r="S32" s="51"/>
      <c r="T32" s="51"/>
      <c r="U32" s="51"/>
      <c r="V32" s="51"/>
      <c r="W32" s="51"/>
      <c r="X32" s="51"/>
      <c r="Y32" s="51"/>
      <c r="Z32" s="51"/>
      <c r="AA32" s="51"/>
      <c r="AB32" s="51"/>
      <c r="AC32" s="51">
        <f t="shared" si="0"/>
        <v>29022</v>
      </c>
    </row>
    <row r="33" spans="1:29" ht="9.9499999999999993" customHeight="1" x14ac:dyDescent="0.3">
      <c r="A33" s="54"/>
      <c r="B33" s="54" t="s">
        <v>546</v>
      </c>
      <c r="C33" s="51"/>
      <c r="D33" s="51"/>
      <c r="E33" s="51">
        <v>1797</v>
      </c>
      <c r="F33" s="51"/>
      <c r="G33" s="51"/>
      <c r="H33" s="51">
        <v>27602</v>
      </c>
      <c r="I33" s="51"/>
      <c r="J33" s="51"/>
      <c r="K33" s="51"/>
      <c r="L33" s="51"/>
      <c r="M33" s="51"/>
      <c r="N33" s="51"/>
      <c r="O33" s="51"/>
      <c r="P33" s="51"/>
      <c r="Q33" s="51">
        <v>234</v>
      </c>
      <c r="R33" s="51"/>
      <c r="S33" s="51"/>
      <c r="T33" s="51"/>
      <c r="U33" s="51"/>
      <c r="V33" s="51"/>
      <c r="W33" s="51"/>
      <c r="X33" s="51"/>
      <c r="Y33" s="51"/>
      <c r="Z33" s="51"/>
      <c r="AA33" s="51"/>
      <c r="AB33" s="51"/>
      <c r="AC33" s="51">
        <f t="shared" si="0"/>
        <v>29633</v>
      </c>
    </row>
    <row r="34" spans="1:29" ht="9.9499999999999993" customHeight="1" x14ac:dyDescent="0.3">
      <c r="A34" s="54"/>
      <c r="B34" s="54" t="s">
        <v>547</v>
      </c>
      <c r="C34" s="51"/>
      <c r="D34" s="51"/>
      <c r="E34" s="51">
        <v>41</v>
      </c>
      <c r="F34" s="51"/>
      <c r="G34" s="51"/>
      <c r="H34" s="51">
        <v>607</v>
      </c>
      <c r="I34" s="51"/>
      <c r="J34" s="51"/>
      <c r="K34" s="51"/>
      <c r="L34" s="51"/>
      <c r="M34" s="51"/>
      <c r="N34" s="51"/>
      <c r="O34" s="51"/>
      <c r="P34" s="51"/>
      <c r="Q34" s="51">
        <v>4</v>
      </c>
      <c r="R34" s="51"/>
      <c r="S34" s="51"/>
      <c r="T34" s="51"/>
      <c r="U34" s="51"/>
      <c r="V34" s="51"/>
      <c r="W34" s="51"/>
      <c r="X34" s="51"/>
      <c r="Y34" s="51"/>
      <c r="Z34" s="51"/>
      <c r="AA34" s="51"/>
      <c r="AB34" s="51"/>
      <c r="AC34" s="51">
        <f t="shared" si="0"/>
        <v>652</v>
      </c>
    </row>
    <row r="35" spans="1:29" ht="9.9499999999999993" customHeight="1" x14ac:dyDescent="0.3">
      <c r="A35" s="54"/>
      <c r="B35" s="54" t="s">
        <v>548</v>
      </c>
      <c r="C35" s="51"/>
      <c r="D35" s="51"/>
      <c r="E35" s="51">
        <v>1</v>
      </c>
      <c r="F35" s="51"/>
      <c r="G35" s="51"/>
      <c r="H35" s="51">
        <v>5</v>
      </c>
      <c r="I35" s="51"/>
      <c r="J35" s="51"/>
      <c r="K35" s="51"/>
      <c r="L35" s="51"/>
      <c r="M35" s="51"/>
      <c r="N35" s="51"/>
      <c r="O35" s="51"/>
      <c r="P35" s="51"/>
      <c r="Q35" s="51"/>
      <c r="R35" s="51"/>
      <c r="S35" s="51"/>
      <c r="T35" s="51"/>
      <c r="U35" s="51"/>
      <c r="V35" s="51"/>
      <c r="W35" s="51"/>
      <c r="X35" s="51"/>
      <c r="Y35" s="51"/>
      <c r="Z35" s="51"/>
      <c r="AA35" s="51"/>
      <c r="AB35" s="51"/>
      <c r="AC35" s="51">
        <f t="shared" si="0"/>
        <v>6</v>
      </c>
    </row>
    <row r="36" spans="1:29" ht="9.9499999999999993" customHeight="1" x14ac:dyDescent="0.3">
      <c r="A36" s="54"/>
      <c r="B36" s="54" t="s">
        <v>549</v>
      </c>
      <c r="C36" s="51"/>
      <c r="D36" s="51"/>
      <c r="E36" s="51">
        <v>880</v>
      </c>
      <c r="F36" s="51"/>
      <c r="G36" s="51"/>
      <c r="H36" s="51">
        <v>13230</v>
      </c>
      <c r="I36" s="51"/>
      <c r="J36" s="51"/>
      <c r="K36" s="51"/>
      <c r="L36" s="51"/>
      <c r="M36" s="51"/>
      <c r="N36" s="51"/>
      <c r="O36" s="51"/>
      <c r="P36" s="51"/>
      <c r="Q36" s="51">
        <v>85</v>
      </c>
      <c r="R36" s="51"/>
      <c r="S36" s="51"/>
      <c r="T36" s="51"/>
      <c r="U36" s="51"/>
      <c r="V36" s="51"/>
      <c r="W36" s="51"/>
      <c r="X36" s="51"/>
      <c r="Y36" s="51"/>
      <c r="Z36" s="51"/>
      <c r="AA36" s="51"/>
      <c r="AB36" s="51"/>
      <c r="AC36" s="51">
        <f t="shared" si="0"/>
        <v>14195</v>
      </c>
    </row>
    <row r="37" spans="1:29" ht="9.9499999999999993" customHeight="1" x14ac:dyDescent="0.3">
      <c r="A37" s="54"/>
      <c r="B37" s="54" t="s">
        <v>621</v>
      </c>
      <c r="C37" s="51"/>
      <c r="D37" s="51"/>
      <c r="E37" s="51">
        <v>158</v>
      </c>
      <c r="F37" s="51"/>
      <c r="G37" s="51"/>
      <c r="H37" s="51">
        <v>2368</v>
      </c>
      <c r="I37" s="51"/>
      <c r="J37" s="51"/>
      <c r="K37" s="51"/>
      <c r="L37" s="51"/>
      <c r="M37" s="51"/>
      <c r="N37" s="51"/>
      <c r="O37" s="51"/>
      <c r="P37" s="51"/>
      <c r="Q37" s="51">
        <v>12</v>
      </c>
      <c r="R37" s="51"/>
      <c r="S37" s="51"/>
      <c r="T37" s="51"/>
      <c r="U37" s="51"/>
      <c r="V37" s="51"/>
      <c r="W37" s="51"/>
      <c r="X37" s="51"/>
      <c r="Y37" s="51"/>
      <c r="Z37" s="51"/>
      <c r="AA37" s="51"/>
      <c r="AB37" s="51"/>
      <c r="AC37" s="51">
        <f t="shared" si="0"/>
        <v>2538</v>
      </c>
    </row>
    <row r="38" spans="1:29" ht="9.9499999999999993" customHeight="1" x14ac:dyDescent="0.3">
      <c r="A38" s="54"/>
      <c r="B38" s="54" t="s">
        <v>550</v>
      </c>
      <c r="C38" s="51"/>
      <c r="D38" s="51"/>
      <c r="E38" s="51">
        <v>15227</v>
      </c>
      <c r="F38" s="51"/>
      <c r="G38" s="51"/>
      <c r="H38" s="51">
        <v>228971</v>
      </c>
      <c r="I38" s="51"/>
      <c r="J38" s="51"/>
      <c r="K38" s="51"/>
      <c r="L38" s="51"/>
      <c r="M38" s="51"/>
      <c r="N38" s="51"/>
      <c r="O38" s="51"/>
      <c r="P38" s="51"/>
      <c r="Q38" s="51">
        <v>1008</v>
      </c>
      <c r="R38" s="51"/>
      <c r="S38" s="51"/>
      <c r="T38" s="51"/>
      <c r="U38" s="51"/>
      <c r="V38" s="51"/>
      <c r="W38" s="51"/>
      <c r="X38" s="51"/>
      <c r="Y38" s="51"/>
      <c r="Z38" s="51"/>
      <c r="AA38" s="51"/>
      <c r="AB38" s="51"/>
      <c r="AC38" s="51">
        <f t="shared" si="0"/>
        <v>245206</v>
      </c>
    </row>
    <row r="39" spans="1:29" ht="9.9499999999999993" customHeight="1" x14ac:dyDescent="0.3">
      <c r="A39" s="54"/>
      <c r="B39" s="54" t="s">
        <v>552</v>
      </c>
      <c r="C39" s="51"/>
      <c r="D39" s="51"/>
      <c r="E39" s="51">
        <v>3333</v>
      </c>
      <c r="F39" s="51"/>
      <c r="G39" s="51"/>
      <c r="H39" s="51"/>
      <c r="I39" s="51"/>
      <c r="J39" s="51"/>
      <c r="K39" s="51"/>
      <c r="L39" s="51"/>
      <c r="M39" s="51"/>
      <c r="N39" s="51"/>
      <c r="O39" s="51"/>
      <c r="P39" s="51"/>
      <c r="Q39" s="51"/>
      <c r="R39" s="51"/>
      <c r="S39" s="51"/>
      <c r="T39" s="51"/>
      <c r="U39" s="51"/>
      <c r="V39" s="51"/>
      <c r="W39" s="51"/>
      <c r="X39" s="51"/>
      <c r="Y39" s="51"/>
      <c r="Z39" s="51"/>
      <c r="AA39" s="51"/>
      <c r="AB39" s="51"/>
      <c r="AC39" s="51">
        <f t="shared" si="0"/>
        <v>3333</v>
      </c>
    </row>
    <row r="40" spans="1:29" ht="9.9499999999999993" customHeight="1" x14ac:dyDescent="0.3">
      <c r="A40" s="54"/>
      <c r="B40" s="54" t="s">
        <v>553</v>
      </c>
      <c r="C40" s="51"/>
      <c r="D40" s="51"/>
      <c r="E40" s="51">
        <v>1061</v>
      </c>
      <c r="F40" s="51"/>
      <c r="G40" s="51"/>
      <c r="H40" s="51">
        <v>15956</v>
      </c>
      <c r="I40" s="51"/>
      <c r="J40" s="51"/>
      <c r="K40" s="51"/>
      <c r="L40" s="51"/>
      <c r="M40" s="51"/>
      <c r="N40" s="51"/>
      <c r="O40" s="51"/>
      <c r="P40" s="51"/>
      <c r="Q40" s="51">
        <v>109</v>
      </c>
      <c r="R40" s="51"/>
      <c r="S40" s="51"/>
      <c r="T40" s="51"/>
      <c r="U40" s="51"/>
      <c r="V40" s="51"/>
      <c r="W40" s="51"/>
      <c r="X40" s="51"/>
      <c r="Y40" s="51"/>
      <c r="Z40" s="51"/>
      <c r="AA40" s="51"/>
      <c r="AB40" s="51"/>
      <c r="AC40" s="51">
        <f t="shared" si="0"/>
        <v>17126</v>
      </c>
    </row>
    <row r="41" spans="1:29" ht="9.9499999999999993" customHeight="1" x14ac:dyDescent="0.3">
      <c r="A41" s="54"/>
      <c r="B41" s="54" t="s">
        <v>620</v>
      </c>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f t="shared" si="0"/>
        <v>0</v>
      </c>
    </row>
    <row r="42" spans="1:29" ht="9.9499999999999993" customHeight="1" x14ac:dyDescent="0.3">
      <c r="A42" s="54"/>
      <c r="B42" s="54" t="s">
        <v>619</v>
      </c>
      <c r="C42" s="51"/>
      <c r="D42" s="51"/>
      <c r="E42" s="51">
        <v>10570</v>
      </c>
      <c r="F42" s="51"/>
      <c r="G42" s="51"/>
      <c r="H42" s="51"/>
      <c r="I42" s="51"/>
      <c r="J42" s="51"/>
      <c r="K42" s="51"/>
      <c r="L42" s="51"/>
      <c r="M42" s="51"/>
      <c r="N42" s="51"/>
      <c r="O42" s="51"/>
      <c r="P42" s="51"/>
      <c r="Q42" s="51"/>
      <c r="R42" s="51"/>
      <c r="S42" s="51"/>
      <c r="T42" s="51">
        <v>130829</v>
      </c>
      <c r="U42" s="51"/>
      <c r="V42" s="51"/>
      <c r="W42" s="51"/>
      <c r="X42" s="51"/>
      <c r="Y42" s="51"/>
      <c r="Z42" s="51"/>
      <c r="AA42" s="51"/>
      <c r="AB42" s="51"/>
      <c r="AC42" s="51">
        <f t="shared" si="0"/>
        <v>141399</v>
      </c>
    </row>
    <row r="43" spans="1:29" ht="9.9499999999999993" customHeight="1" x14ac:dyDescent="0.3">
      <c r="A43" s="54"/>
      <c r="B43" s="54" t="s">
        <v>37</v>
      </c>
      <c r="C43" s="51"/>
      <c r="D43" s="51"/>
      <c r="E43" s="51">
        <v>1994</v>
      </c>
      <c r="F43" s="51"/>
      <c r="G43" s="51"/>
      <c r="H43" s="51">
        <v>29988</v>
      </c>
      <c r="I43" s="51"/>
      <c r="J43" s="51"/>
      <c r="K43" s="51"/>
      <c r="L43" s="51"/>
      <c r="M43" s="51"/>
      <c r="N43" s="51"/>
      <c r="O43" s="51"/>
      <c r="P43" s="51"/>
      <c r="Q43" s="51"/>
      <c r="R43" s="51"/>
      <c r="S43" s="51"/>
      <c r="T43" s="51"/>
      <c r="U43" s="51"/>
      <c r="V43" s="51"/>
      <c r="W43" s="51"/>
      <c r="X43" s="51"/>
      <c r="Y43" s="51"/>
      <c r="Z43" s="51"/>
      <c r="AA43" s="51"/>
      <c r="AB43" s="51"/>
      <c r="AC43" s="51">
        <f t="shared" si="0"/>
        <v>31982</v>
      </c>
    </row>
    <row r="44" spans="1:29" ht="9.9499999999999993" customHeight="1" x14ac:dyDescent="0.3">
      <c r="A44" s="54"/>
      <c r="B44" s="54" t="s">
        <v>38</v>
      </c>
      <c r="C44" s="51"/>
      <c r="D44" s="51"/>
      <c r="E44" s="51">
        <v>28</v>
      </c>
      <c r="F44" s="51"/>
      <c r="G44" s="51"/>
      <c r="H44" s="51">
        <v>421</v>
      </c>
      <c r="I44" s="51"/>
      <c r="J44" s="51"/>
      <c r="K44" s="51"/>
      <c r="L44" s="51"/>
      <c r="M44" s="51"/>
      <c r="N44" s="51"/>
      <c r="O44" s="51"/>
      <c r="P44" s="51"/>
      <c r="Q44" s="51">
        <v>3</v>
      </c>
      <c r="R44" s="51"/>
      <c r="S44" s="51"/>
      <c r="T44" s="51"/>
      <c r="U44" s="51"/>
      <c r="V44" s="51"/>
      <c r="W44" s="51"/>
      <c r="X44" s="51"/>
      <c r="Y44" s="51"/>
      <c r="Z44" s="51"/>
      <c r="AA44" s="51"/>
      <c r="AB44" s="51"/>
      <c r="AC44" s="51">
        <f t="shared" si="0"/>
        <v>452</v>
      </c>
    </row>
    <row r="45" spans="1:29" ht="9.9499999999999993" customHeight="1" x14ac:dyDescent="0.3">
      <c r="A45" s="54"/>
      <c r="B45" s="54" t="s">
        <v>554</v>
      </c>
      <c r="C45" s="51"/>
      <c r="D45" s="51"/>
      <c r="E45" s="51">
        <v>193</v>
      </c>
      <c r="F45" s="51"/>
      <c r="G45" s="51"/>
      <c r="H45" s="51">
        <v>2902</v>
      </c>
      <c r="I45" s="51"/>
      <c r="J45" s="51"/>
      <c r="K45" s="51"/>
      <c r="L45" s="51"/>
      <c r="M45" s="51"/>
      <c r="N45" s="51"/>
      <c r="O45" s="51"/>
      <c r="P45" s="51"/>
      <c r="Q45" s="51">
        <v>20</v>
      </c>
      <c r="R45" s="51"/>
      <c r="S45" s="51"/>
      <c r="T45" s="51"/>
      <c r="U45" s="51"/>
      <c r="V45" s="51"/>
      <c r="W45" s="51"/>
      <c r="X45" s="51"/>
      <c r="Y45" s="51"/>
      <c r="Z45" s="51"/>
      <c r="AA45" s="51"/>
      <c r="AB45" s="51"/>
      <c r="AC45" s="51">
        <f t="shared" si="0"/>
        <v>3115</v>
      </c>
    </row>
    <row r="46" spans="1:29" ht="9.9499999999999993" customHeight="1" x14ac:dyDescent="0.3">
      <c r="A46" s="54"/>
      <c r="B46" s="54" t="s">
        <v>556</v>
      </c>
      <c r="C46" s="51"/>
      <c r="D46" s="51"/>
      <c r="E46" s="51">
        <v>1218</v>
      </c>
      <c r="F46" s="51"/>
      <c r="G46" s="51"/>
      <c r="H46" s="51">
        <v>18322</v>
      </c>
      <c r="I46" s="51"/>
      <c r="J46" s="51"/>
      <c r="K46" s="51"/>
      <c r="L46" s="51"/>
      <c r="M46" s="51"/>
      <c r="N46" s="51"/>
      <c r="O46" s="51"/>
      <c r="P46" s="51"/>
      <c r="Q46" s="51">
        <v>135</v>
      </c>
      <c r="R46" s="51"/>
      <c r="S46" s="51"/>
      <c r="T46" s="51"/>
      <c r="U46" s="51"/>
      <c r="V46" s="51"/>
      <c r="W46" s="51"/>
      <c r="X46" s="51"/>
      <c r="Y46" s="51"/>
      <c r="Z46" s="51"/>
      <c r="AA46" s="51"/>
      <c r="AB46" s="51"/>
      <c r="AC46" s="51">
        <f t="shared" si="0"/>
        <v>19675</v>
      </c>
    </row>
    <row r="47" spans="1:29" ht="9.9499999999999993" customHeight="1" x14ac:dyDescent="0.3">
      <c r="A47" s="54"/>
      <c r="B47" s="54" t="s">
        <v>558</v>
      </c>
      <c r="C47" s="51"/>
      <c r="D47" s="51"/>
      <c r="E47" s="51">
        <v>116204</v>
      </c>
      <c r="F47" s="51"/>
      <c r="G47" s="51"/>
      <c r="H47" s="51">
        <v>1747339</v>
      </c>
      <c r="I47" s="51"/>
      <c r="J47" s="51"/>
      <c r="K47" s="51"/>
      <c r="L47" s="51"/>
      <c r="M47" s="51"/>
      <c r="N47" s="51"/>
      <c r="O47" s="51"/>
      <c r="P47" s="51"/>
      <c r="Q47" s="51">
        <v>306</v>
      </c>
      <c r="R47" s="51"/>
      <c r="S47" s="51"/>
      <c r="T47" s="51"/>
      <c r="U47" s="51"/>
      <c r="V47" s="51"/>
      <c r="W47" s="51"/>
      <c r="X47" s="51"/>
      <c r="Y47" s="51"/>
      <c r="Z47" s="51"/>
      <c r="AA47" s="51"/>
      <c r="AB47" s="51"/>
      <c r="AC47" s="51">
        <f t="shared" si="0"/>
        <v>1863849</v>
      </c>
    </row>
    <row r="48" spans="1:29" ht="9.9499999999999993" customHeight="1" x14ac:dyDescent="0.3">
      <c r="A48" s="54"/>
      <c r="B48" s="54" t="s">
        <v>559</v>
      </c>
      <c r="C48" s="51"/>
      <c r="D48" s="51"/>
      <c r="E48" s="51">
        <v>402</v>
      </c>
      <c r="F48" s="51"/>
      <c r="G48" s="51"/>
      <c r="H48" s="51">
        <v>6039</v>
      </c>
      <c r="I48" s="51"/>
      <c r="J48" s="51"/>
      <c r="K48" s="51"/>
      <c r="L48" s="51"/>
      <c r="M48" s="51"/>
      <c r="N48" s="51"/>
      <c r="O48" s="51"/>
      <c r="P48" s="51"/>
      <c r="Q48" s="51">
        <v>42</v>
      </c>
      <c r="R48" s="51"/>
      <c r="S48" s="51"/>
      <c r="T48" s="51"/>
      <c r="U48" s="51"/>
      <c r="V48" s="51"/>
      <c r="W48" s="51"/>
      <c r="X48" s="51"/>
      <c r="Y48" s="51"/>
      <c r="Z48" s="51"/>
      <c r="AA48" s="51"/>
      <c r="AB48" s="51"/>
      <c r="AC48" s="51">
        <f t="shared" si="0"/>
        <v>6483</v>
      </c>
    </row>
    <row r="49" spans="1:29" ht="9.9499999999999993" customHeight="1" x14ac:dyDescent="0.3">
      <c r="A49" s="54"/>
      <c r="B49" s="54" t="s">
        <v>560</v>
      </c>
      <c r="C49" s="51"/>
      <c r="D49" s="51"/>
      <c r="E49" s="51">
        <v>25631</v>
      </c>
      <c r="F49" s="51"/>
      <c r="G49" s="51"/>
      <c r="H49" s="51">
        <v>360701</v>
      </c>
      <c r="I49" s="51"/>
      <c r="J49" s="51"/>
      <c r="K49" s="51">
        <v>17337</v>
      </c>
      <c r="L49" s="51"/>
      <c r="M49" s="51"/>
      <c r="N49" s="51"/>
      <c r="O49" s="51"/>
      <c r="P49" s="51"/>
      <c r="Q49" s="51">
        <v>1651</v>
      </c>
      <c r="R49" s="51"/>
      <c r="S49" s="51"/>
      <c r="T49" s="51"/>
      <c r="U49" s="51"/>
      <c r="V49" s="51"/>
      <c r="W49" s="51"/>
      <c r="X49" s="51"/>
      <c r="Y49" s="51"/>
      <c r="Z49" s="51">
        <v>5172</v>
      </c>
      <c r="AA49" s="51"/>
      <c r="AB49" s="51"/>
      <c r="AC49" s="51">
        <f t="shared" si="0"/>
        <v>410492</v>
      </c>
    </row>
    <row r="50" spans="1:29" ht="9.9499999999999993" customHeight="1" x14ac:dyDescent="0.3">
      <c r="A50" s="54"/>
      <c r="B50" s="54" t="s">
        <v>561</v>
      </c>
      <c r="C50" s="51"/>
      <c r="D50" s="51"/>
      <c r="E50" s="51">
        <v>83503</v>
      </c>
      <c r="F50" s="51"/>
      <c r="G50" s="51"/>
      <c r="H50" s="51"/>
      <c r="I50" s="51"/>
      <c r="J50" s="51"/>
      <c r="K50" s="51"/>
      <c r="L50" s="51"/>
      <c r="M50" s="51"/>
      <c r="N50" s="51"/>
      <c r="O50" s="51"/>
      <c r="P50" s="51"/>
      <c r="Q50" s="51"/>
      <c r="R50" s="51"/>
      <c r="S50" s="51"/>
      <c r="T50" s="51"/>
      <c r="U50" s="51"/>
      <c r="V50" s="51"/>
      <c r="W50" s="51"/>
      <c r="X50" s="51"/>
      <c r="Y50" s="51"/>
      <c r="Z50" s="51"/>
      <c r="AA50" s="51"/>
      <c r="AB50" s="51"/>
      <c r="AC50" s="51">
        <f t="shared" si="0"/>
        <v>83503</v>
      </c>
    </row>
    <row r="51" spans="1:29" ht="9.9499999999999993" customHeight="1" x14ac:dyDescent="0.3">
      <c r="A51" s="54"/>
      <c r="B51" s="54" t="s">
        <v>562</v>
      </c>
      <c r="C51" s="51"/>
      <c r="D51" s="51"/>
      <c r="E51" s="51">
        <v>4267</v>
      </c>
      <c r="F51" s="51"/>
      <c r="G51" s="51"/>
      <c r="H51" s="51"/>
      <c r="I51" s="51"/>
      <c r="J51" s="51"/>
      <c r="K51" s="51"/>
      <c r="L51" s="51"/>
      <c r="M51" s="51"/>
      <c r="N51" s="51"/>
      <c r="O51" s="51"/>
      <c r="P51" s="51"/>
      <c r="Q51" s="51"/>
      <c r="R51" s="51"/>
      <c r="S51" s="51"/>
      <c r="T51" s="51">
        <v>349877</v>
      </c>
      <c r="U51" s="51"/>
      <c r="V51" s="51"/>
      <c r="W51" s="51"/>
      <c r="X51" s="51"/>
      <c r="Y51" s="51"/>
      <c r="Z51" s="51">
        <v>255511</v>
      </c>
      <c r="AA51" s="51"/>
      <c r="AB51" s="51"/>
      <c r="AC51" s="51">
        <f t="shared" si="0"/>
        <v>609655</v>
      </c>
    </row>
    <row r="52" spans="1:29" ht="9.9499999999999993" customHeight="1" x14ac:dyDescent="0.3">
      <c r="A52" s="54"/>
      <c r="B52" s="54" t="s">
        <v>563</v>
      </c>
      <c r="C52" s="51"/>
      <c r="D52" s="51"/>
      <c r="E52" s="51">
        <v>120390</v>
      </c>
      <c r="F52" s="51"/>
      <c r="G52" s="51"/>
      <c r="H52" s="51">
        <v>274861</v>
      </c>
      <c r="I52" s="51"/>
      <c r="J52" s="51"/>
      <c r="K52" s="51">
        <v>1500</v>
      </c>
      <c r="L52" s="51"/>
      <c r="M52" s="51"/>
      <c r="N52" s="51"/>
      <c r="O52" s="51"/>
      <c r="P52" s="51"/>
      <c r="Q52" s="51">
        <v>2215</v>
      </c>
      <c r="R52" s="51"/>
      <c r="S52" s="51"/>
      <c r="T52" s="51"/>
      <c r="U52" s="51"/>
      <c r="V52" s="51"/>
      <c r="W52" s="51"/>
      <c r="X52" s="51"/>
      <c r="Y52" s="51"/>
      <c r="Z52" s="51">
        <v>8785</v>
      </c>
      <c r="AA52" s="51"/>
      <c r="AB52" s="51"/>
      <c r="AC52" s="51">
        <f t="shared" si="0"/>
        <v>407751</v>
      </c>
    </row>
    <row r="53" spans="1:29" ht="9.9499999999999993" customHeight="1" x14ac:dyDescent="0.3">
      <c r="A53" s="54"/>
      <c r="B53" s="54" t="s">
        <v>1016</v>
      </c>
      <c r="C53" s="51"/>
      <c r="D53" s="51"/>
      <c r="E53" s="51">
        <v>60950</v>
      </c>
      <c r="F53" s="51"/>
      <c r="G53" s="51"/>
      <c r="H53" s="51"/>
      <c r="I53" s="51"/>
      <c r="J53" s="51"/>
      <c r="K53" s="51"/>
      <c r="L53" s="51"/>
      <c r="M53" s="51"/>
      <c r="N53" s="51"/>
      <c r="O53" s="51"/>
      <c r="P53" s="51"/>
      <c r="Q53" s="51"/>
      <c r="R53" s="51"/>
      <c r="S53" s="51"/>
      <c r="T53" s="51"/>
      <c r="U53" s="51"/>
      <c r="V53" s="51"/>
      <c r="W53" s="51"/>
      <c r="X53" s="51"/>
      <c r="Y53" s="51"/>
      <c r="Z53" s="51"/>
      <c r="AA53" s="51"/>
      <c r="AB53" s="51"/>
      <c r="AC53" s="51">
        <f t="shared" si="0"/>
        <v>60950</v>
      </c>
    </row>
    <row r="54" spans="1:29" ht="9.9499999999999993" customHeight="1" x14ac:dyDescent="0.3">
      <c r="A54" s="54"/>
      <c r="B54" s="54" t="s">
        <v>564</v>
      </c>
      <c r="C54" s="51"/>
      <c r="D54" s="51"/>
      <c r="E54" s="51">
        <v>72431</v>
      </c>
      <c r="F54" s="51"/>
      <c r="G54" s="51"/>
      <c r="H54" s="51"/>
      <c r="I54" s="51"/>
      <c r="J54" s="51"/>
      <c r="K54" s="51"/>
      <c r="L54" s="51"/>
      <c r="M54" s="51"/>
      <c r="N54" s="51"/>
      <c r="O54" s="51"/>
      <c r="P54" s="51"/>
      <c r="Q54" s="51"/>
      <c r="R54" s="51"/>
      <c r="S54" s="51"/>
      <c r="T54" s="51"/>
      <c r="U54" s="51"/>
      <c r="V54" s="51"/>
      <c r="W54" s="51"/>
      <c r="X54" s="51"/>
      <c r="Y54" s="51"/>
      <c r="Z54" s="51"/>
      <c r="AA54" s="51"/>
      <c r="AB54" s="51"/>
      <c r="AC54" s="51">
        <f t="shared" si="0"/>
        <v>72431</v>
      </c>
    </row>
    <row r="55" spans="1:29" ht="9.9499999999999993" customHeight="1" x14ac:dyDescent="0.3">
      <c r="A55" s="54"/>
      <c r="B55" s="54" t="s">
        <v>565</v>
      </c>
      <c r="C55" s="51"/>
      <c r="D55" s="51"/>
      <c r="E55" s="51">
        <v>56800</v>
      </c>
      <c r="F55" s="51"/>
      <c r="G55" s="51"/>
      <c r="H55" s="51">
        <v>854090</v>
      </c>
      <c r="I55" s="51"/>
      <c r="J55" s="51"/>
      <c r="K55" s="51">
        <v>79</v>
      </c>
      <c r="L55" s="51"/>
      <c r="M55" s="51"/>
      <c r="N55" s="51"/>
      <c r="O55" s="51"/>
      <c r="P55" s="51"/>
      <c r="Q55" s="51">
        <v>4974</v>
      </c>
      <c r="R55" s="51"/>
      <c r="S55" s="51"/>
      <c r="T55" s="51"/>
      <c r="U55" s="51"/>
      <c r="V55" s="51"/>
      <c r="W55" s="51"/>
      <c r="X55" s="51"/>
      <c r="Y55" s="51"/>
      <c r="Z55" s="51"/>
      <c r="AA55" s="51"/>
      <c r="AB55" s="51"/>
      <c r="AC55" s="51">
        <f t="shared" si="0"/>
        <v>915943</v>
      </c>
    </row>
    <row r="56" spans="1:29" ht="9.9499999999999993" customHeight="1" x14ac:dyDescent="0.3">
      <c r="A56" s="54"/>
      <c r="B56" s="54" t="s">
        <v>574</v>
      </c>
      <c r="C56" s="51"/>
      <c r="D56" s="51"/>
      <c r="E56" s="51">
        <v>75</v>
      </c>
      <c r="F56" s="51"/>
      <c r="G56" s="51"/>
      <c r="H56" s="51">
        <v>1128</v>
      </c>
      <c r="I56" s="51"/>
      <c r="J56" s="51"/>
      <c r="K56" s="51"/>
      <c r="L56" s="51"/>
      <c r="M56" s="51"/>
      <c r="N56" s="51"/>
      <c r="O56" s="51"/>
      <c r="P56" s="51"/>
      <c r="Q56" s="51">
        <v>8</v>
      </c>
      <c r="R56" s="51"/>
      <c r="S56" s="51"/>
      <c r="T56" s="51"/>
      <c r="U56" s="51"/>
      <c r="V56" s="51"/>
      <c r="W56" s="51"/>
      <c r="X56" s="51"/>
      <c r="Y56" s="51"/>
      <c r="Z56" s="51"/>
      <c r="AA56" s="51"/>
      <c r="AB56" s="51"/>
      <c r="AC56" s="51">
        <f t="shared" si="0"/>
        <v>1211</v>
      </c>
    </row>
    <row r="57" spans="1:29" ht="9.9499999999999993" customHeight="1" x14ac:dyDescent="0.3">
      <c r="A57" s="54"/>
      <c r="B57" s="54" t="s">
        <v>575</v>
      </c>
      <c r="C57" s="51"/>
      <c r="D57" s="51"/>
      <c r="E57" s="51">
        <v>56</v>
      </c>
      <c r="F57" s="51"/>
      <c r="G57" s="51"/>
      <c r="H57" s="51">
        <v>849</v>
      </c>
      <c r="I57" s="51"/>
      <c r="J57" s="51"/>
      <c r="K57" s="51"/>
      <c r="L57" s="51"/>
      <c r="M57" s="51"/>
      <c r="N57" s="51"/>
      <c r="O57" s="51"/>
      <c r="P57" s="51"/>
      <c r="Q57" s="51">
        <v>6</v>
      </c>
      <c r="R57" s="51"/>
      <c r="S57" s="51"/>
      <c r="T57" s="51"/>
      <c r="U57" s="51"/>
      <c r="V57" s="51"/>
      <c r="W57" s="51"/>
      <c r="X57" s="51"/>
      <c r="Y57" s="51"/>
      <c r="Z57" s="51"/>
      <c r="AA57" s="51"/>
      <c r="AB57" s="51"/>
      <c r="AC57" s="51">
        <f t="shared" si="0"/>
        <v>911</v>
      </c>
    </row>
    <row r="58" spans="1:29" ht="9.9499999999999993" customHeight="1" x14ac:dyDescent="0.3">
      <c r="A58" s="54"/>
      <c r="B58" s="54" t="s">
        <v>578</v>
      </c>
      <c r="C58" s="51"/>
      <c r="D58" s="51"/>
      <c r="E58" s="51">
        <v>2761</v>
      </c>
      <c r="F58" s="51"/>
      <c r="G58" s="51"/>
      <c r="H58" s="51"/>
      <c r="I58" s="51"/>
      <c r="J58" s="51"/>
      <c r="K58" s="51"/>
      <c r="L58" s="51"/>
      <c r="M58" s="51"/>
      <c r="N58" s="51"/>
      <c r="O58" s="51"/>
      <c r="P58" s="51"/>
      <c r="Q58" s="51"/>
      <c r="R58" s="51"/>
      <c r="S58" s="51"/>
      <c r="T58" s="51"/>
      <c r="U58" s="51"/>
      <c r="V58" s="51"/>
      <c r="W58" s="51"/>
      <c r="X58" s="51"/>
      <c r="Y58" s="51"/>
      <c r="Z58" s="51"/>
      <c r="AA58" s="51"/>
      <c r="AB58" s="51"/>
      <c r="AC58" s="51">
        <f t="shared" si="0"/>
        <v>2761</v>
      </c>
    </row>
    <row r="59" spans="1:29" ht="9.9499999999999993" customHeight="1" x14ac:dyDescent="0.3">
      <c r="A59" s="54"/>
      <c r="B59" s="54" t="s">
        <v>579</v>
      </c>
      <c r="C59" s="51"/>
      <c r="D59" s="51"/>
      <c r="E59" s="51">
        <v>5644</v>
      </c>
      <c r="F59" s="51"/>
      <c r="G59" s="51"/>
      <c r="H59" s="51">
        <v>84870</v>
      </c>
      <c r="I59" s="51"/>
      <c r="J59" s="51"/>
      <c r="K59" s="51"/>
      <c r="L59" s="51"/>
      <c r="M59" s="51"/>
      <c r="N59" s="51"/>
      <c r="O59" s="51"/>
      <c r="P59" s="51"/>
      <c r="Q59" s="51">
        <v>582</v>
      </c>
      <c r="R59" s="51"/>
      <c r="S59" s="51"/>
      <c r="T59" s="51"/>
      <c r="U59" s="51"/>
      <c r="V59" s="51"/>
      <c r="W59" s="51"/>
      <c r="X59" s="51"/>
      <c r="Y59" s="51"/>
      <c r="Z59" s="51"/>
      <c r="AA59" s="51"/>
      <c r="AB59" s="51"/>
      <c r="AC59" s="51">
        <f t="shared" si="0"/>
        <v>91096</v>
      </c>
    </row>
    <row r="60" spans="1:29" ht="9.9499999999999993" customHeight="1" x14ac:dyDescent="0.3">
      <c r="A60" s="54"/>
      <c r="B60" s="54" t="s">
        <v>580</v>
      </c>
      <c r="C60" s="51"/>
      <c r="D60" s="51"/>
      <c r="E60" s="51">
        <v>1</v>
      </c>
      <c r="F60" s="51"/>
      <c r="G60" s="51"/>
      <c r="H60" s="51">
        <v>14</v>
      </c>
      <c r="I60" s="51"/>
      <c r="J60" s="51"/>
      <c r="K60" s="51"/>
      <c r="L60" s="51"/>
      <c r="M60" s="51"/>
      <c r="N60" s="51"/>
      <c r="O60" s="51"/>
      <c r="P60" s="51"/>
      <c r="Q60" s="51">
        <v>3</v>
      </c>
      <c r="R60" s="51"/>
      <c r="S60" s="51"/>
      <c r="T60" s="51"/>
      <c r="U60" s="51"/>
      <c r="V60" s="51"/>
      <c r="W60" s="51"/>
      <c r="X60" s="51"/>
      <c r="Y60" s="51"/>
      <c r="Z60" s="51"/>
      <c r="AA60" s="51"/>
      <c r="AB60" s="51"/>
      <c r="AC60" s="51">
        <f t="shared" si="0"/>
        <v>18</v>
      </c>
    </row>
    <row r="61" spans="1:29" ht="9.9499999999999993" customHeight="1" x14ac:dyDescent="0.3">
      <c r="A61" s="54"/>
      <c r="B61" s="54" t="s">
        <v>581</v>
      </c>
      <c r="C61" s="51"/>
      <c r="D61" s="51"/>
      <c r="E61" s="51">
        <v>27</v>
      </c>
      <c r="F61" s="51"/>
      <c r="G61" s="51"/>
      <c r="H61" s="51"/>
      <c r="I61" s="51"/>
      <c r="J61" s="51"/>
      <c r="K61" s="51"/>
      <c r="L61" s="51"/>
      <c r="M61" s="51"/>
      <c r="N61" s="51"/>
      <c r="O61" s="51"/>
      <c r="P61" s="51"/>
      <c r="Q61" s="51"/>
      <c r="R61" s="51"/>
      <c r="S61" s="51"/>
      <c r="T61" s="51"/>
      <c r="U61" s="51"/>
      <c r="V61" s="51"/>
      <c r="W61" s="51"/>
      <c r="X61" s="51"/>
      <c r="Y61" s="51"/>
      <c r="Z61" s="51"/>
      <c r="AA61" s="51"/>
      <c r="AB61" s="51"/>
      <c r="AC61" s="51">
        <f t="shared" si="0"/>
        <v>27</v>
      </c>
    </row>
    <row r="62" spans="1:29" ht="9.9499999999999993" customHeight="1" x14ac:dyDescent="0.3">
      <c r="A62" s="54"/>
      <c r="B62" s="54" t="s">
        <v>1017</v>
      </c>
      <c r="C62" s="51"/>
      <c r="D62" s="51"/>
      <c r="E62" s="51">
        <v>841</v>
      </c>
      <c r="F62" s="51"/>
      <c r="G62" s="51"/>
      <c r="H62" s="51">
        <v>12643</v>
      </c>
      <c r="I62" s="51"/>
      <c r="J62" s="51"/>
      <c r="K62" s="51"/>
      <c r="L62" s="51"/>
      <c r="M62" s="51"/>
      <c r="N62" s="51"/>
      <c r="O62" s="51"/>
      <c r="P62" s="51"/>
      <c r="Q62" s="51">
        <v>87</v>
      </c>
      <c r="R62" s="51"/>
      <c r="S62" s="51"/>
      <c r="T62" s="51"/>
      <c r="U62" s="51"/>
      <c r="V62" s="51"/>
      <c r="W62" s="51"/>
      <c r="X62" s="51"/>
      <c r="Y62" s="51"/>
      <c r="Z62" s="51"/>
      <c r="AA62" s="51"/>
      <c r="AB62" s="51"/>
      <c r="AC62" s="51">
        <f t="shared" si="0"/>
        <v>13571</v>
      </c>
    </row>
    <row r="63" spans="1:29" ht="9.9499999999999993" customHeight="1" x14ac:dyDescent="0.3">
      <c r="A63" s="54"/>
      <c r="B63" s="54" t="s">
        <v>582</v>
      </c>
      <c r="C63" s="51"/>
      <c r="D63" s="51"/>
      <c r="E63" s="51">
        <v>2661</v>
      </c>
      <c r="F63" s="51"/>
      <c r="G63" s="51"/>
      <c r="H63" s="51">
        <v>40013</v>
      </c>
      <c r="I63" s="51"/>
      <c r="J63" s="51"/>
      <c r="K63" s="51"/>
      <c r="L63" s="51"/>
      <c r="M63" s="51"/>
      <c r="N63" s="51"/>
      <c r="O63" s="51"/>
      <c r="P63" s="51"/>
      <c r="Q63" s="51">
        <v>274</v>
      </c>
      <c r="R63" s="51"/>
      <c r="S63" s="51"/>
      <c r="T63" s="51"/>
      <c r="U63" s="51"/>
      <c r="V63" s="51"/>
      <c r="W63" s="51"/>
      <c r="X63" s="51"/>
      <c r="Y63" s="51"/>
      <c r="Z63" s="51"/>
      <c r="AA63" s="51"/>
      <c r="AB63" s="51"/>
      <c r="AC63" s="51">
        <f t="shared" si="0"/>
        <v>42948</v>
      </c>
    </row>
    <row r="64" spans="1:29" ht="9.9499999999999993" customHeight="1" x14ac:dyDescent="0.3">
      <c r="A64" s="54"/>
      <c r="B64" s="54" t="s">
        <v>618</v>
      </c>
      <c r="C64" s="51"/>
      <c r="D64" s="51"/>
      <c r="E64" s="51">
        <v>591265</v>
      </c>
      <c r="F64" s="51"/>
      <c r="G64" s="51"/>
      <c r="H64" s="51"/>
      <c r="I64" s="51"/>
      <c r="J64" s="51"/>
      <c r="K64" s="51"/>
      <c r="L64" s="51"/>
      <c r="M64" s="51"/>
      <c r="N64" s="51"/>
      <c r="O64" s="51"/>
      <c r="P64" s="51"/>
      <c r="Q64" s="51"/>
      <c r="R64" s="51"/>
      <c r="S64" s="51"/>
      <c r="T64" s="51"/>
      <c r="U64" s="51"/>
      <c r="V64" s="51"/>
      <c r="W64" s="51"/>
      <c r="X64" s="51"/>
      <c r="Y64" s="51"/>
      <c r="Z64" s="51"/>
      <c r="AA64" s="51"/>
      <c r="AB64" s="51"/>
      <c r="AC64" s="51">
        <f t="shared" si="0"/>
        <v>591265</v>
      </c>
    </row>
    <row r="65" spans="1:29" ht="9.9499999999999993" customHeight="1" x14ac:dyDescent="0.3">
      <c r="A65" s="54"/>
      <c r="B65" s="54" t="s">
        <v>40</v>
      </c>
      <c r="C65" s="51"/>
      <c r="D65" s="51"/>
      <c r="E65" s="51">
        <v>270</v>
      </c>
      <c r="F65" s="51"/>
      <c r="G65" s="51"/>
      <c r="H65" s="51">
        <v>4065</v>
      </c>
      <c r="I65" s="51"/>
      <c r="J65" s="51"/>
      <c r="K65" s="51"/>
      <c r="L65" s="51"/>
      <c r="M65" s="51"/>
      <c r="N65" s="51"/>
      <c r="O65" s="51"/>
      <c r="P65" s="51"/>
      <c r="Q65" s="51">
        <v>27</v>
      </c>
      <c r="R65" s="51"/>
      <c r="S65" s="51"/>
      <c r="T65" s="51"/>
      <c r="U65" s="51"/>
      <c r="V65" s="51"/>
      <c r="W65" s="51"/>
      <c r="X65" s="51"/>
      <c r="Y65" s="51"/>
      <c r="Z65" s="51"/>
      <c r="AA65" s="51"/>
      <c r="AB65" s="51"/>
      <c r="AC65" s="51">
        <f t="shared" si="0"/>
        <v>4362</v>
      </c>
    </row>
    <row r="66" spans="1:29" ht="9.9499999999999993" customHeight="1" x14ac:dyDescent="0.3">
      <c r="A66" s="54"/>
      <c r="B66" s="54" t="s">
        <v>583</v>
      </c>
      <c r="C66" s="51"/>
      <c r="D66" s="51"/>
      <c r="E66" s="51">
        <v>151254</v>
      </c>
      <c r="F66" s="51"/>
      <c r="G66" s="51"/>
      <c r="H66" s="51">
        <v>2274384</v>
      </c>
      <c r="I66" s="51"/>
      <c r="J66" s="51"/>
      <c r="K66" s="51"/>
      <c r="L66" s="51"/>
      <c r="M66" s="51"/>
      <c r="N66" s="51"/>
      <c r="O66" s="51"/>
      <c r="P66" s="51"/>
      <c r="Q66" s="51">
        <v>18759</v>
      </c>
      <c r="R66" s="51"/>
      <c r="S66" s="51"/>
      <c r="T66" s="51"/>
      <c r="U66" s="51"/>
      <c r="V66" s="51"/>
      <c r="W66" s="51"/>
      <c r="X66" s="51"/>
      <c r="Y66" s="51"/>
      <c r="Z66" s="51"/>
      <c r="AA66" s="51"/>
      <c r="AB66" s="51"/>
      <c r="AC66" s="51">
        <f t="shared" si="0"/>
        <v>2444397</v>
      </c>
    </row>
    <row r="67" spans="1:29" ht="9.9499999999999993" customHeight="1" x14ac:dyDescent="0.3">
      <c r="A67" s="54"/>
      <c r="B67" s="54" t="s">
        <v>606</v>
      </c>
      <c r="C67" s="51"/>
      <c r="D67" s="51"/>
      <c r="E67" s="51">
        <v>5512</v>
      </c>
      <c r="F67" s="51"/>
      <c r="G67" s="51"/>
      <c r="H67" s="51">
        <v>82883</v>
      </c>
      <c r="I67" s="51"/>
      <c r="J67" s="51"/>
      <c r="K67" s="51"/>
      <c r="L67" s="51"/>
      <c r="M67" s="51"/>
      <c r="N67" s="51"/>
      <c r="O67" s="51"/>
      <c r="P67" s="51"/>
      <c r="Q67" s="51">
        <v>6</v>
      </c>
      <c r="R67" s="51"/>
      <c r="S67" s="51"/>
      <c r="T67" s="51"/>
      <c r="U67" s="51"/>
      <c r="V67" s="51"/>
      <c r="W67" s="51"/>
      <c r="X67" s="51"/>
      <c r="Y67" s="51"/>
      <c r="Z67" s="51"/>
      <c r="AA67" s="51"/>
      <c r="AB67" s="51"/>
      <c r="AC67" s="51">
        <f t="shared" si="0"/>
        <v>88401</v>
      </c>
    </row>
    <row r="68" spans="1:29" ht="9.9499999999999993" customHeight="1" x14ac:dyDescent="0.3">
      <c r="A68" s="54"/>
      <c r="B68" s="54" t="s">
        <v>610</v>
      </c>
      <c r="C68" s="51"/>
      <c r="D68" s="51"/>
      <c r="E68" s="51">
        <v>176</v>
      </c>
      <c r="F68" s="51"/>
      <c r="G68" s="51"/>
      <c r="H68" s="51"/>
      <c r="I68" s="51"/>
      <c r="J68" s="51"/>
      <c r="K68" s="51">
        <v>971818</v>
      </c>
      <c r="L68" s="51"/>
      <c r="M68" s="51"/>
      <c r="N68" s="51"/>
      <c r="O68" s="51"/>
      <c r="P68" s="51"/>
      <c r="Q68" s="51"/>
      <c r="R68" s="51"/>
      <c r="S68" s="51"/>
      <c r="T68" s="51"/>
      <c r="U68" s="51"/>
      <c r="V68" s="51"/>
      <c r="W68" s="51"/>
      <c r="X68" s="51"/>
      <c r="Y68" s="51"/>
      <c r="Z68" s="51"/>
      <c r="AA68" s="51"/>
      <c r="AB68" s="51"/>
      <c r="AC68" s="51">
        <f t="shared" si="0"/>
        <v>971994</v>
      </c>
    </row>
    <row r="69" spans="1:29" ht="9.9499999999999993" customHeight="1" x14ac:dyDescent="0.3">
      <c r="A69" s="54"/>
      <c r="B69" s="54" t="s">
        <v>611</v>
      </c>
      <c r="C69" s="51"/>
      <c r="D69" s="51"/>
      <c r="E69" s="51"/>
      <c r="F69" s="51"/>
      <c r="G69" s="51"/>
      <c r="H69" s="51"/>
      <c r="I69" s="51"/>
      <c r="J69" s="51"/>
      <c r="K69" s="51">
        <v>22083</v>
      </c>
      <c r="L69" s="51"/>
      <c r="M69" s="51"/>
      <c r="N69" s="51"/>
      <c r="O69" s="51"/>
      <c r="P69" s="51"/>
      <c r="Q69" s="51"/>
      <c r="R69" s="51"/>
      <c r="S69" s="51"/>
      <c r="T69" s="51"/>
      <c r="U69" s="51"/>
      <c r="V69" s="51"/>
      <c r="W69" s="51"/>
      <c r="X69" s="51"/>
      <c r="Y69" s="51"/>
      <c r="Z69" s="51"/>
      <c r="AA69" s="51"/>
      <c r="AB69" s="51"/>
      <c r="AC69" s="51">
        <f t="shared" si="0"/>
        <v>22083</v>
      </c>
    </row>
    <row r="70" spans="1:29" ht="9.9499999999999993" customHeight="1" x14ac:dyDescent="0.3">
      <c r="A70" s="54"/>
      <c r="B70" s="54" t="s">
        <v>612</v>
      </c>
      <c r="C70" s="51"/>
      <c r="D70" s="51"/>
      <c r="E70" s="51">
        <v>254</v>
      </c>
      <c r="F70" s="51"/>
      <c r="G70" s="51"/>
      <c r="H70" s="51">
        <v>3830</v>
      </c>
      <c r="I70" s="51"/>
      <c r="J70" s="51"/>
      <c r="K70" s="51"/>
      <c r="L70" s="51"/>
      <c r="M70" s="51"/>
      <c r="N70" s="51"/>
      <c r="O70" s="51"/>
      <c r="P70" s="51"/>
      <c r="Q70" s="51">
        <v>26</v>
      </c>
      <c r="R70" s="51"/>
      <c r="S70" s="51"/>
      <c r="T70" s="51"/>
      <c r="U70" s="51"/>
      <c r="V70" s="51"/>
      <c r="W70" s="51"/>
      <c r="X70" s="51"/>
      <c r="Y70" s="51"/>
      <c r="Z70" s="51"/>
      <c r="AA70" s="51"/>
      <c r="AB70" s="51"/>
      <c r="AC70" s="51">
        <f t="shared" si="0"/>
        <v>4110</v>
      </c>
    </row>
    <row r="71" spans="1:29" ht="9.9499999999999993" customHeight="1" x14ac:dyDescent="0.3">
      <c r="A71" s="54"/>
      <c r="B71" s="54" t="s">
        <v>613</v>
      </c>
      <c r="C71" s="51"/>
      <c r="D71" s="51"/>
      <c r="E71" s="51">
        <v>27975</v>
      </c>
      <c r="F71" s="51"/>
      <c r="G71" s="51"/>
      <c r="H71" s="51">
        <v>420646</v>
      </c>
      <c r="I71" s="51"/>
      <c r="J71" s="51"/>
      <c r="K71" s="51">
        <v>75000</v>
      </c>
      <c r="L71" s="51"/>
      <c r="M71" s="51"/>
      <c r="N71" s="51"/>
      <c r="O71" s="51"/>
      <c r="P71" s="51"/>
      <c r="Q71" s="51">
        <v>8997</v>
      </c>
      <c r="R71" s="51"/>
      <c r="S71" s="51"/>
      <c r="T71" s="51">
        <v>46032</v>
      </c>
      <c r="U71" s="51"/>
      <c r="V71" s="51"/>
      <c r="W71" s="51"/>
      <c r="X71" s="51"/>
      <c r="Y71" s="51"/>
      <c r="Z71" s="51"/>
      <c r="AA71" s="51"/>
      <c r="AB71" s="51"/>
      <c r="AC71" s="51">
        <f t="shared" si="0"/>
        <v>578650</v>
      </c>
    </row>
    <row r="72" spans="1:29" ht="9.9499999999999993" customHeight="1" x14ac:dyDescent="0.3">
      <c r="A72" s="54"/>
      <c r="B72" s="54" t="s">
        <v>614</v>
      </c>
      <c r="C72" s="51"/>
      <c r="D72" s="51"/>
      <c r="E72" s="51">
        <v>183</v>
      </c>
      <c r="F72" s="51"/>
      <c r="G72" s="51"/>
      <c r="H72" s="51"/>
      <c r="I72" s="51"/>
      <c r="J72" s="51"/>
      <c r="K72" s="51"/>
      <c r="L72" s="51"/>
      <c r="M72" s="51"/>
      <c r="N72" s="51"/>
      <c r="O72" s="51"/>
      <c r="P72" s="51"/>
      <c r="Q72" s="51"/>
      <c r="R72" s="51"/>
      <c r="S72" s="51"/>
      <c r="T72" s="51"/>
      <c r="U72" s="51"/>
      <c r="V72" s="51"/>
      <c r="W72" s="51"/>
      <c r="X72" s="51"/>
      <c r="Y72" s="51"/>
      <c r="Z72" s="51"/>
      <c r="AA72" s="51"/>
      <c r="AB72" s="51"/>
      <c r="AC72" s="51">
        <f t="shared" si="0"/>
        <v>183</v>
      </c>
    </row>
    <row r="73" spans="1:29" ht="9.9499999999999993" customHeight="1" x14ac:dyDescent="0.3">
      <c r="A73" s="54"/>
      <c r="B73" s="54" t="s">
        <v>615</v>
      </c>
      <c r="C73" s="51"/>
      <c r="D73" s="51"/>
      <c r="E73" s="51">
        <v>21009</v>
      </c>
      <c r="F73" s="51"/>
      <c r="G73" s="51"/>
      <c r="H73" s="51">
        <v>320320</v>
      </c>
      <c r="I73" s="51"/>
      <c r="J73" s="51"/>
      <c r="K73" s="51">
        <v>25</v>
      </c>
      <c r="L73" s="51"/>
      <c r="M73" s="51"/>
      <c r="N73" s="51"/>
      <c r="O73" s="51"/>
      <c r="P73" s="51"/>
      <c r="Q73" s="51">
        <v>2389</v>
      </c>
      <c r="R73" s="51"/>
      <c r="S73" s="51"/>
      <c r="T73" s="51"/>
      <c r="U73" s="51"/>
      <c r="V73" s="51"/>
      <c r="W73" s="51"/>
      <c r="X73" s="51"/>
      <c r="Y73" s="51"/>
      <c r="Z73" s="51"/>
      <c r="AA73" s="51"/>
      <c r="AB73" s="51"/>
      <c r="AC73" s="51">
        <f t="shared" si="0"/>
        <v>343743</v>
      </c>
    </row>
    <row r="74" spans="1:29" ht="9.9499999999999993" customHeight="1" x14ac:dyDescent="0.3">
      <c r="A74" s="54"/>
      <c r="B74" s="54" t="s">
        <v>616</v>
      </c>
      <c r="C74" s="51"/>
      <c r="D74" s="51"/>
      <c r="E74" s="51">
        <v>1128</v>
      </c>
      <c r="F74" s="51"/>
      <c r="G74" s="51"/>
      <c r="H74" s="51"/>
      <c r="I74" s="51"/>
      <c r="J74" s="51"/>
      <c r="K74" s="51">
        <v>194176</v>
      </c>
      <c r="L74" s="51"/>
      <c r="M74" s="51"/>
      <c r="N74" s="51"/>
      <c r="O74" s="51"/>
      <c r="P74" s="51"/>
      <c r="Q74" s="51"/>
      <c r="R74" s="51"/>
      <c r="S74" s="51"/>
      <c r="T74" s="51">
        <v>112534</v>
      </c>
      <c r="U74" s="51"/>
      <c r="V74" s="51"/>
      <c r="W74" s="51"/>
      <c r="X74" s="51"/>
      <c r="Y74" s="51"/>
      <c r="Z74" s="51"/>
      <c r="AA74" s="51"/>
      <c r="AB74" s="51"/>
      <c r="AC74" s="51">
        <f t="shared" si="0"/>
        <v>307838</v>
      </c>
    </row>
    <row r="75" spans="1:29" ht="9.9499999999999993" customHeight="1" x14ac:dyDescent="0.3">
      <c r="A75" s="54"/>
      <c r="B75" s="54" t="s">
        <v>630</v>
      </c>
      <c r="C75" s="51"/>
      <c r="D75" s="51"/>
      <c r="E75" s="51">
        <v>811962</v>
      </c>
      <c r="F75" s="51"/>
      <c r="G75" s="51"/>
      <c r="H75" s="51"/>
      <c r="I75" s="51"/>
      <c r="J75" s="51"/>
      <c r="K75" s="51"/>
      <c r="L75" s="51"/>
      <c r="M75" s="51"/>
      <c r="N75" s="51"/>
      <c r="O75" s="51"/>
      <c r="P75" s="51"/>
      <c r="Q75" s="51"/>
      <c r="R75" s="51"/>
      <c r="S75" s="51"/>
      <c r="T75" s="51"/>
      <c r="U75" s="51"/>
      <c r="V75" s="51"/>
      <c r="W75" s="51"/>
      <c r="X75" s="51"/>
      <c r="Y75" s="51"/>
      <c r="Z75" s="51"/>
      <c r="AA75" s="51"/>
      <c r="AB75" s="51"/>
      <c r="AC75" s="51">
        <f t="shared" si="0"/>
        <v>811962</v>
      </c>
    </row>
    <row r="76" spans="1:29" ht="9.9499999999999993" customHeight="1" x14ac:dyDescent="0.3">
      <c r="A76" s="54"/>
      <c r="B76" s="54" t="s">
        <v>634</v>
      </c>
      <c r="C76" s="51"/>
      <c r="D76" s="51"/>
      <c r="E76" s="51">
        <v>16803</v>
      </c>
      <c r="F76" s="51"/>
      <c r="G76" s="51"/>
      <c r="H76" s="51"/>
      <c r="I76" s="51"/>
      <c r="J76" s="51"/>
      <c r="K76" s="51"/>
      <c r="L76" s="51"/>
      <c r="M76" s="51"/>
      <c r="N76" s="51"/>
      <c r="O76" s="51"/>
      <c r="P76" s="51"/>
      <c r="Q76" s="51"/>
      <c r="R76" s="51"/>
      <c r="S76" s="51"/>
      <c r="T76" s="51"/>
      <c r="U76" s="51"/>
      <c r="V76" s="51"/>
      <c r="W76" s="51"/>
      <c r="X76" s="51"/>
      <c r="Y76" s="51"/>
      <c r="Z76" s="51"/>
      <c r="AA76" s="51"/>
      <c r="AB76" s="51"/>
      <c r="AC76" s="51">
        <f t="shared" si="0"/>
        <v>16803</v>
      </c>
    </row>
    <row r="77" spans="1:29" ht="9.9499999999999993" customHeight="1" x14ac:dyDescent="0.3">
      <c r="A77" s="54"/>
      <c r="B77" s="54" t="s">
        <v>638</v>
      </c>
      <c r="C77" s="51"/>
      <c r="D77" s="51"/>
      <c r="E77" s="51">
        <v>6986</v>
      </c>
      <c r="F77" s="51"/>
      <c r="G77" s="51"/>
      <c r="H77" s="51"/>
      <c r="I77" s="51"/>
      <c r="J77" s="51"/>
      <c r="K77" s="51"/>
      <c r="L77" s="51"/>
      <c r="M77" s="51"/>
      <c r="N77" s="51"/>
      <c r="O77" s="51"/>
      <c r="P77" s="51"/>
      <c r="Q77" s="51"/>
      <c r="R77" s="51"/>
      <c r="S77" s="51"/>
      <c r="T77" s="51"/>
      <c r="U77" s="51"/>
      <c r="V77" s="51"/>
      <c r="W77" s="51"/>
      <c r="X77" s="51"/>
      <c r="Y77" s="51"/>
      <c r="Z77" s="51"/>
      <c r="AA77" s="51"/>
      <c r="AB77" s="51"/>
      <c r="AC77" s="51">
        <f t="shared" si="0"/>
        <v>6986</v>
      </c>
    </row>
    <row r="78" spans="1:29" ht="9.9499999999999993" customHeight="1" x14ac:dyDescent="0.3">
      <c r="A78" s="54"/>
      <c r="B78" s="54" t="s">
        <v>639</v>
      </c>
      <c r="C78" s="51"/>
      <c r="D78" s="51"/>
      <c r="E78" s="51">
        <v>101</v>
      </c>
      <c r="F78" s="51"/>
      <c r="G78" s="51"/>
      <c r="H78" s="51">
        <v>1516</v>
      </c>
      <c r="I78" s="51"/>
      <c r="J78" s="51"/>
      <c r="K78" s="51"/>
      <c r="L78" s="51"/>
      <c r="M78" s="51"/>
      <c r="N78" s="51"/>
      <c r="O78" s="51"/>
      <c r="P78" s="51"/>
      <c r="Q78" s="51">
        <v>503</v>
      </c>
      <c r="R78" s="51"/>
      <c r="S78" s="51"/>
      <c r="T78" s="51"/>
      <c r="U78" s="51"/>
      <c r="V78" s="51"/>
      <c r="W78" s="51"/>
      <c r="X78" s="51"/>
      <c r="Y78" s="51"/>
      <c r="Z78" s="51"/>
      <c r="AA78" s="51"/>
      <c r="AB78" s="51"/>
      <c r="AC78" s="51">
        <f t="shared" ref="AC78:AC96" si="1">SUM(E78:Z78)</f>
        <v>2120</v>
      </c>
    </row>
    <row r="79" spans="1:29" ht="9.9499999999999993" customHeight="1" x14ac:dyDescent="0.3">
      <c r="A79" s="54"/>
      <c r="B79" s="54" t="s">
        <v>640</v>
      </c>
      <c r="C79" s="51"/>
      <c r="D79" s="51"/>
      <c r="E79" s="51"/>
      <c r="F79" s="51"/>
      <c r="G79" s="51"/>
      <c r="H79" s="51"/>
      <c r="I79" s="51"/>
      <c r="J79" s="51"/>
      <c r="K79" s="51">
        <v>103444</v>
      </c>
      <c r="L79" s="51"/>
      <c r="M79" s="51"/>
      <c r="N79" s="51"/>
      <c r="O79" s="51"/>
      <c r="P79" s="51"/>
      <c r="Q79" s="51">
        <v>8084</v>
      </c>
      <c r="R79" s="51"/>
      <c r="S79" s="51"/>
      <c r="T79" s="51"/>
      <c r="U79" s="51"/>
      <c r="V79" s="51"/>
      <c r="W79" s="51"/>
      <c r="X79" s="51"/>
      <c r="Y79" s="51"/>
      <c r="Z79" s="51"/>
      <c r="AA79" s="51"/>
      <c r="AB79" s="51"/>
      <c r="AC79" s="51">
        <f t="shared" si="1"/>
        <v>111528</v>
      </c>
    </row>
    <row r="80" spans="1:29" ht="9.9499999999999993" customHeight="1" x14ac:dyDescent="0.3">
      <c r="A80" s="54"/>
      <c r="B80" s="54" t="s">
        <v>641</v>
      </c>
      <c r="C80" s="51"/>
      <c r="D80" s="51"/>
      <c r="E80" s="51">
        <v>10259</v>
      </c>
      <c r="F80" s="51"/>
      <c r="G80" s="51"/>
      <c r="H80" s="51">
        <v>154256</v>
      </c>
      <c r="I80" s="51"/>
      <c r="J80" s="51"/>
      <c r="K80" s="51">
        <v>235000</v>
      </c>
      <c r="L80" s="51"/>
      <c r="M80" s="51"/>
      <c r="N80" s="51">
        <v>-15000</v>
      </c>
      <c r="O80" s="51"/>
      <c r="P80" s="51"/>
      <c r="Q80" s="51">
        <v>2566</v>
      </c>
      <c r="R80" s="51"/>
      <c r="S80" s="51"/>
      <c r="T80" s="51"/>
      <c r="U80" s="51"/>
      <c r="V80" s="51"/>
      <c r="W80" s="51"/>
      <c r="X80" s="51"/>
      <c r="Y80" s="51"/>
      <c r="Z80" s="51"/>
      <c r="AA80" s="51"/>
      <c r="AB80" s="51"/>
      <c r="AC80" s="51">
        <f t="shared" si="1"/>
        <v>387081</v>
      </c>
    </row>
    <row r="81" spans="1:29" ht="9.9499999999999993" customHeight="1" x14ac:dyDescent="0.3">
      <c r="A81" s="54"/>
      <c r="B81" s="54" t="s">
        <v>642</v>
      </c>
      <c r="C81" s="51"/>
      <c r="D81" s="51"/>
      <c r="E81" s="51">
        <v>4300</v>
      </c>
      <c r="F81" s="51"/>
      <c r="G81" s="51"/>
      <c r="H81" s="51">
        <v>31103</v>
      </c>
      <c r="I81" s="51"/>
      <c r="J81" s="51"/>
      <c r="K81" s="51">
        <v>1465</v>
      </c>
      <c r="L81" s="51"/>
      <c r="M81" s="51"/>
      <c r="N81" s="51"/>
      <c r="O81" s="51"/>
      <c r="P81" s="51"/>
      <c r="Q81" s="51"/>
      <c r="R81" s="51"/>
      <c r="S81" s="51"/>
      <c r="T81" s="51"/>
      <c r="U81" s="51"/>
      <c r="V81" s="51"/>
      <c r="W81" s="51"/>
      <c r="X81" s="51"/>
      <c r="Y81" s="51"/>
      <c r="Z81" s="51"/>
      <c r="AA81" s="51"/>
      <c r="AB81" s="51"/>
      <c r="AC81" s="51">
        <f t="shared" si="1"/>
        <v>36868</v>
      </c>
    </row>
    <row r="82" spans="1:29" ht="9.9499999999999993" customHeight="1" x14ac:dyDescent="0.3">
      <c r="A82" s="54"/>
      <c r="B82" s="54" t="s">
        <v>643</v>
      </c>
      <c r="C82" s="51"/>
      <c r="D82" s="51"/>
      <c r="E82" s="51">
        <v>-19</v>
      </c>
      <c r="F82" s="51"/>
      <c r="G82" s="51"/>
      <c r="H82" s="51">
        <v>19</v>
      </c>
      <c r="I82" s="51"/>
      <c r="J82" s="51"/>
      <c r="K82" s="51"/>
      <c r="L82" s="51"/>
      <c r="M82" s="51"/>
      <c r="N82" s="51"/>
      <c r="O82" s="51"/>
      <c r="P82" s="51"/>
      <c r="Q82" s="51"/>
      <c r="R82" s="51"/>
      <c r="S82" s="51"/>
      <c r="T82" s="51"/>
      <c r="U82" s="51"/>
      <c r="V82" s="51"/>
      <c r="W82" s="51"/>
      <c r="X82" s="51"/>
      <c r="Y82" s="51"/>
      <c r="Z82" s="51"/>
      <c r="AA82" s="51"/>
      <c r="AB82" s="51"/>
      <c r="AC82" s="51">
        <f t="shared" si="1"/>
        <v>0</v>
      </c>
    </row>
    <row r="83" spans="1:29" ht="9.9499999999999993" customHeight="1" x14ac:dyDescent="0.3">
      <c r="A83" s="54"/>
      <c r="B83" s="54" t="s">
        <v>644</v>
      </c>
      <c r="C83" s="51"/>
      <c r="D83" s="51"/>
      <c r="E83" s="51">
        <v>59288</v>
      </c>
      <c r="F83" s="51"/>
      <c r="G83" s="51"/>
      <c r="H83" s="51">
        <v>891497</v>
      </c>
      <c r="I83" s="51"/>
      <c r="J83" s="51"/>
      <c r="K83" s="51"/>
      <c r="L83" s="51"/>
      <c r="M83" s="51"/>
      <c r="N83" s="51"/>
      <c r="O83" s="51"/>
      <c r="P83" s="51"/>
      <c r="Q83" s="51">
        <v>4864</v>
      </c>
      <c r="R83" s="51"/>
      <c r="S83" s="51"/>
      <c r="T83" s="51"/>
      <c r="U83" s="51"/>
      <c r="V83" s="51"/>
      <c r="W83" s="51"/>
      <c r="X83" s="51"/>
      <c r="Y83" s="51"/>
      <c r="Z83" s="51">
        <v>604072</v>
      </c>
      <c r="AA83" s="51"/>
      <c r="AB83" s="51"/>
      <c r="AC83" s="51">
        <f t="shared" si="1"/>
        <v>1559721</v>
      </c>
    </row>
    <row r="84" spans="1:29" ht="9.9499999999999993" customHeight="1" x14ac:dyDescent="0.3">
      <c r="A84" s="54"/>
      <c r="B84" s="54" t="s">
        <v>648</v>
      </c>
      <c r="C84" s="51"/>
      <c r="D84" s="51"/>
      <c r="E84" s="51">
        <v>21378</v>
      </c>
      <c r="F84" s="51"/>
      <c r="G84" s="51"/>
      <c r="H84" s="51">
        <v>2217</v>
      </c>
      <c r="I84" s="51"/>
      <c r="J84" s="51"/>
      <c r="K84" s="51">
        <v>260</v>
      </c>
      <c r="L84" s="51"/>
      <c r="M84" s="51"/>
      <c r="N84" s="51"/>
      <c r="O84" s="51"/>
      <c r="P84" s="51"/>
      <c r="Q84" s="51">
        <v>1861</v>
      </c>
      <c r="R84" s="51"/>
      <c r="S84" s="51"/>
      <c r="T84" s="51"/>
      <c r="U84" s="51"/>
      <c r="V84" s="51"/>
      <c r="W84" s="51">
        <v>713970</v>
      </c>
      <c r="X84" s="51"/>
      <c r="Y84" s="51"/>
      <c r="Z84" s="51"/>
      <c r="AA84" s="51"/>
      <c r="AB84" s="51"/>
      <c r="AC84" s="51">
        <f t="shared" si="1"/>
        <v>739686</v>
      </c>
    </row>
    <row r="85" spans="1:29" ht="9.9499999999999993" customHeight="1" x14ac:dyDescent="0.3">
      <c r="A85" s="54"/>
      <c r="B85" s="54" t="s">
        <v>649</v>
      </c>
      <c r="C85" s="51"/>
      <c r="D85" s="51"/>
      <c r="E85" s="51">
        <v>115582</v>
      </c>
      <c r="F85" s="51"/>
      <c r="G85" s="51"/>
      <c r="H85" s="51">
        <v>1016648</v>
      </c>
      <c r="I85" s="51"/>
      <c r="J85" s="51"/>
      <c r="K85" s="51"/>
      <c r="L85" s="51"/>
      <c r="M85" s="51"/>
      <c r="N85" s="51"/>
      <c r="O85" s="51"/>
      <c r="P85" s="51"/>
      <c r="Q85" s="51">
        <v>6116</v>
      </c>
      <c r="R85" s="51"/>
      <c r="S85" s="51"/>
      <c r="T85" s="51"/>
      <c r="U85" s="51"/>
      <c r="V85" s="51"/>
      <c r="W85" s="51">
        <v>604715</v>
      </c>
      <c r="X85" s="51"/>
      <c r="Y85" s="51"/>
      <c r="Z85" s="51"/>
      <c r="AA85" s="51"/>
      <c r="AB85" s="51"/>
      <c r="AC85" s="51">
        <f t="shared" si="1"/>
        <v>1743061</v>
      </c>
    </row>
    <row r="86" spans="1:29" ht="9.9499999999999993" customHeight="1" x14ac:dyDescent="0.3">
      <c r="A86" s="54"/>
      <c r="B86" s="54" t="s">
        <v>650</v>
      </c>
      <c r="C86" s="51"/>
      <c r="D86" s="51"/>
      <c r="E86" s="51">
        <v>1123033</v>
      </c>
      <c r="F86" s="51"/>
      <c r="G86" s="51"/>
      <c r="H86" s="51"/>
      <c r="I86" s="51"/>
      <c r="J86" s="51"/>
      <c r="K86" s="51"/>
      <c r="L86" s="51"/>
      <c r="M86" s="51"/>
      <c r="N86" s="51"/>
      <c r="O86" s="51"/>
      <c r="P86" s="51"/>
      <c r="Q86" s="51"/>
      <c r="R86" s="51"/>
      <c r="S86" s="51"/>
      <c r="T86" s="51"/>
      <c r="U86" s="51"/>
      <c r="V86" s="51"/>
      <c r="W86" s="51"/>
      <c r="X86" s="51"/>
      <c r="Y86" s="51"/>
      <c r="Z86" s="51"/>
      <c r="AA86" s="51"/>
      <c r="AB86" s="51"/>
      <c r="AC86" s="51">
        <f t="shared" si="1"/>
        <v>1123033</v>
      </c>
    </row>
    <row r="87" spans="1:29" ht="9.9499999999999993" customHeight="1" x14ac:dyDescent="0.3">
      <c r="A87" s="54"/>
      <c r="B87" s="54" t="s">
        <v>651</v>
      </c>
      <c r="C87" s="51"/>
      <c r="D87" s="51"/>
      <c r="E87" s="51">
        <v>2984</v>
      </c>
      <c r="F87" s="51"/>
      <c r="G87" s="51"/>
      <c r="H87" s="51">
        <v>3164</v>
      </c>
      <c r="I87" s="51"/>
      <c r="J87" s="51"/>
      <c r="K87" s="51"/>
      <c r="L87" s="51"/>
      <c r="M87" s="51"/>
      <c r="N87" s="51"/>
      <c r="O87" s="51"/>
      <c r="P87" s="51"/>
      <c r="Q87" s="51"/>
      <c r="R87" s="51"/>
      <c r="S87" s="51"/>
      <c r="T87" s="51"/>
      <c r="U87" s="51"/>
      <c r="V87" s="51"/>
      <c r="W87" s="51"/>
      <c r="X87" s="51"/>
      <c r="Y87" s="51"/>
      <c r="Z87" s="51"/>
      <c r="AA87" s="51"/>
      <c r="AB87" s="51"/>
      <c r="AC87" s="51">
        <f t="shared" si="1"/>
        <v>6148</v>
      </c>
    </row>
    <row r="88" spans="1:29" ht="9.9499999999999993" customHeight="1" x14ac:dyDescent="0.3">
      <c r="A88" s="54"/>
      <c r="B88" s="54" t="s">
        <v>41</v>
      </c>
      <c r="C88" s="51"/>
      <c r="D88" s="51"/>
      <c r="E88" s="51">
        <v>1776</v>
      </c>
      <c r="F88" s="51"/>
      <c r="G88" s="51"/>
      <c r="H88" s="51">
        <v>26709</v>
      </c>
      <c r="I88" s="51"/>
      <c r="J88" s="51"/>
      <c r="K88" s="51"/>
      <c r="L88" s="51"/>
      <c r="M88" s="51"/>
      <c r="N88" s="51"/>
      <c r="O88" s="51"/>
      <c r="P88" s="51"/>
      <c r="Q88" s="51">
        <v>1061</v>
      </c>
      <c r="R88" s="51"/>
      <c r="S88" s="51"/>
      <c r="T88" s="51"/>
      <c r="U88" s="51"/>
      <c r="V88" s="51"/>
      <c r="W88" s="51"/>
      <c r="X88" s="51"/>
      <c r="Y88" s="51"/>
      <c r="Z88" s="51"/>
      <c r="AA88" s="51"/>
      <c r="AB88" s="51"/>
      <c r="AC88" s="51">
        <f t="shared" si="1"/>
        <v>29546</v>
      </c>
    </row>
    <row r="89" spans="1:29" ht="9.9499999999999993" customHeight="1" x14ac:dyDescent="0.3">
      <c r="A89" s="54"/>
      <c r="B89" s="54" t="s">
        <v>652</v>
      </c>
      <c r="C89" s="51"/>
      <c r="D89" s="51"/>
      <c r="E89" s="51">
        <v>415236</v>
      </c>
      <c r="F89" s="51"/>
      <c r="G89" s="51"/>
      <c r="H89" s="51">
        <v>6243822</v>
      </c>
      <c r="I89" s="51"/>
      <c r="J89" s="51"/>
      <c r="K89" s="51"/>
      <c r="L89" s="51"/>
      <c r="M89" s="51"/>
      <c r="N89" s="51"/>
      <c r="O89" s="51"/>
      <c r="P89" s="51"/>
      <c r="Q89" s="51">
        <v>50372</v>
      </c>
      <c r="R89" s="51"/>
      <c r="S89" s="51"/>
      <c r="T89" s="51"/>
      <c r="U89" s="51"/>
      <c r="V89" s="51"/>
      <c r="W89" s="51"/>
      <c r="X89" s="51"/>
      <c r="Y89" s="51"/>
      <c r="Z89" s="51"/>
      <c r="AA89" s="51"/>
      <c r="AB89" s="51"/>
      <c r="AC89" s="51">
        <f t="shared" si="1"/>
        <v>6709430</v>
      </c>
    </row>
    <row r="90" spans="1:29" ht="9.9499999999999993" customHeight="1" x14ac:dyDescent="0.3">
      <c r="A90" s="54"/>
      <c r="B90" s="54" t="s">
        <v>653</v>
      </c>
      <c r="C90" s="51"/>
      <c r="D90" s="51"/>
      <c r="E90" s="51">
        <v>50191</v>
      </c>
      <c r="F90" s="51"/>
      <c r="G90" s="51"/>
      <c r="H90" s="51">
        <v>754708</v>
      </c>
      <c r="I90" s="51"/>
      <c r="J90" s="51"/>
      <c r="K90" s="51">
        <v>90269</v>
      </c>
      <c r="L90" s="51"/>
      <c r="M90" s="51"/>
      <c r="N90" s="51"/>
      <c r="O90" s="51"/>
      <c r="P90" s="51"/>
      <c r="Q90" s="51">
        <v>5341</v>
      </c>
      <c r="R90" s="51"/>
      <c r="S90" s="51"/>
      <c r="T90" s="51"/>
      <c r="U90" s="51"/>
      <c r="V90" s="51"/>
      <c r="W90" s="51"/>
      <c r="X90" s="51"/>
      <c r="Y90" s="51"/>
      <c r="Z90" s="51"/>
      <c r="AA90" s="51"/>
      <c r="AB90" s="51"/>
      <c r="AC90" s="51">
        <f t="shared" si="1"/>
        <v>900509</v>
      </c>
    </row>
    <row r="91" spans="1:29" ht="9.9499999999999993" customHeight="1" x14ac:dyDescent="0.3">
      <c r="A91" s="54"/>
      <c r="B91" s="54" t="s">
        <v>654</v>
      </c>
      <c r="C91" s="51"/>
      <c r="D91" s="51"/>
      <c r="E91" s="51">
        <v>6</v>
      </c>
      <c r="F91" s="51"/>
      <c r="G91" s="51"/>
      <c r="H91" s="51">
        <v>91</v>
      </c>
      <c r="I91" s="51"/>
      <c r="J91" s="51"/>
      <c r="K91" s="51">
        <v>7470</v>
      </c>
      <c r="L91" s="51"/>
      <c r="M91" s="51"/>
      <c r="N91" s="51"/>
      <c r="O91" s="51"/>
      <c r="P91" s="51"/>
      <c r="Q91" s="51"/>
      <c r="R91" s="51"/>
      <c r="S91" s="51"/>
      <c r="T91" s="51"/>
      <c r="U91" s="51"/>
      <c r="V91" s="51"/>
      <c r="W91" s="51"/>
      <c r="X91" s="51"/>
      <c r="Y91" s="51"/>
      <c r="Z91" s="51"/>
      <c r="AA91" s="51"/>
      <c r="AB91" s="51"/>
      <c r="AC91" s="51">
        <f t="shared" si="1"/>
        <v>7567</v>
      </c>
    </row>
    <row r="92" spans="1:29" ht="9.9499999999999993" customHeight="1" x14ac:dyDescent="0.3">
      <c r="A92" s="54"/>
      <c r="B92" s="54" t="s">
        <v>655</v>
      </c>
      <c r="C92" s="51"/>
      <c r="D92" s="51"/>
      <c r="E92" s="51">
        <v>7175</v>
      </c>
      <c r="F92" s="51"/>
      <c r="G92" s="51"/>
      <c r="H92" s="51">
        <v>107892</v>
      </c>
      <c r="I92" s="51"/>
      <c r="J92" s="51"/>
      <c r="K92" s="51"/>
      <c r="L92" s="51"/>
      <c r="M92" s="51"/>
      <c r="N92" s="51"/>
      <c r="O92" s="51"/>
      <c r="P92" s="51"/>
      <c r="Q92" s="51">
        <v>135</v>
      </c>
      <c r="R92" s="51"/>
      <c r="S92" s="51"/>
      <c r="T92" s="51"/>
      <c r="U92" s="51"/>
      <c r="V92" s="51"/>
      <c r="W92" s="51"/>
      <c r="X92" s="51"/>
      <c r="Y92" s="51"/>
      <c r="Z92" s="51"/>
      <c r="AA92" s="51"/>
      <c r="AB92" s="51"/>
      <c r="AC92" s="51">
        <f t="shared" si="1"/>
        <v>115202</v>
      </c>
    </row>
    <row r="93" spans="1:29" ht="9.9499999999999993" customHeight="1" x14ac:dyDescent="0.3">
      <c r="A93" s="54"/>
      <c r="B93" s="54" t="s">
        <v>656</v>
      </c>
      <c r="C93" s="51"/>
      <c r="D93" s="51"/>
      <c r="E93" s="51">
        <v>266</v>
      </c>
      <c r="F93" s="51"/>
      <c r="G93" s="51"/>
      <c r="H93" s="51">
        <v>4005</v>
      </c>
      <c r="I93" s="51"/>
      <c r="J93" s="51"/>
      <c r="K93" s="51"/>
      <c r="L93" s="51"/>
      <c r="M93" s="51"/>
      <c r="N93" s="51"/>
      <c r="O93" s="51"/>
      <c r="P93" s="51"/>
      <c r="Q93" s="51">
        <v>10</v>
      </c>
      <c r="R93" s="51"/>
      <c r="S93" s="51"/>
      <c r="T93" s="51"/>
      <c r="U93" s="51"/>
      <c r="V93" s="51"/>
      <c r="W93" s="51"/>
      <c r="X93" s="51"/>
      <c r="Y93" s="51"/>
      <c r="Z93" s="51"/>
      <c r="AA93" s="51"/>
      <c r="AB93" s="51"/>
      <c r="AC93" s="51">
        <f t="shared" si="1"/>
        <v>4281</v>
      </c>
    </row>
    <row r="94" spans="1:29" ht="9.9499999999999993" customHeight="1" x14ac:dyDescent="0.3">
      <c r="A94" s="54"/>
      <c r="B94" s="54" t="s">
        <v>657</v>
      </c>
      <c r="C94" s="51"/>
      <c r="D94" s="51"/>
      <c r="E94" s="51">
        <v>626</v>
      </c>
      <c r="F94" s="51"/>
      <c r="G94" s="51"/>
      <c r="H94" s="51">
        <v>9410</v>
      </c>
      <c r="I94" s="51"/>
      <c r="J94" s="51"/>
      <c r="K94" s="51"/>
      <c r="L94" s="51"/>
      <c r="M94" s="51"/>
      <c r="N94" s="51"/>
      <c r="O94" s="51"/>
      <c r="P94" s="51"/>
      <c r="Q94" s="51">
        <v>57</v>
      </c>
      <c r="R94" s="51"/>
      <c r="S94" s="51"/>
      <c r="T94" s="51"/>
      <c r="U94" s="51"/>
      <c r="V94" s="51"/>
      <c r="W94" s="51"/>
      <c r="X94" s="51"/>
      <c r="Y94" s="51"/>
      <c r="Z94" s="51"/>
      <c r="AA94" s="51"/>
      <c r="AB94" s="51"/>
      <c r="AC94" s="51">
        <f t="shared" si="1"/>
        <v>10093</v>
      </c>
    </row>
    <row r="95" spans="1:29" ht="9.9499999999999993" customHeight="1" x14ac:dyDescent="0.3">
      <c r="A95" s="54"/>
      <c r="B95" s="54" t="s">
        <v>658</v>
      </c>
      <c r="C95" s="51"/>
      <c r="D95" s="51"/>
      <c r="E95" s="51">
        <v>2961</v>
      </c>
      <c r="F95" s="51"/>
      <c r="G95" s="51"/>
      <c r="H95" s="51"/>
      <c r="I95" s="51"/>
      <c r="J95" s="51"/>
      <c r="K95" s="51"/>
      <c r="L95" s="51"/>
      <c r="M95" s="51"/>
      <c r="N95" s="51"/>
      <c r="O95" s="51"/>
      <c r="P95" s="51"/>
      <c r="Q95" s="51"/>
      <c r="R95" s="51"/>
      <c r="S95" s="51"/>
      <c r="T95" s="51"/>
      <c r="U95" s="51"/>
      <c r="V95" s="51"/>
      <c r="W95" s="51">
        <v>12690972</v>
      </c>
      <c r="X95" s="51"/>
      <c r="Y95" s="51"/>
      <c r="Z95" s="51"/>
      <c r="AA95" s="51"/>
      <c r="AB95" s="51"/>
      <c r="AC95" s="51">
        <f t="shared" si="1"/>
        <v>12693933</v>
      </c>
    </row>
    <row r="96" spans="1:29" ht="9.9499999999999993" customHeight="1" x14ac:dyDescent="0.3">
      <c r="A96" s="54"/>
      <c r="B96" s="54" t="s">
        <v>659</v>
      </c>
      <c r="C96" s="51"/>
      <c r="D96" s="52"/>
      <c r="E96" s="52"/>
      <c r="F96" s="51"/>
      <c r="G96" s="52"/>
      <c r="H96" s="52"/>
      <c r="I96" s="51"/>
      <c r="J96" s="52"/>
      <c r="K96" s="52"/>
      <c r="L96" s="51"/>
      <c r="M96" s="52"/>
      <c r="N96" s="52"/>
      <c r="O96" s="51"/>
      <c r="P96" s="52"/>
      <c r="Q96" s="52"/>
      <c r="R96" s="51"/>
      <c r="S96" s="52"/>
      <c r="T96" s="52"/>
      <c r="U96" s="51"/>
      <c r="V96" s="52"/>
      <c r="W96" s="52">
        <v>165361</v>
      </c>
      <c r="X96" s="51"/>
      <c r="Y96" s="52"/>
      <c r="Z96" s="52"/>
      <c r="AA96" s="51"/>
      <c r="AB96" s="52"/>
      <c r="AC96" s="52">
        <f t="shared" si="1"/>
        <v>165361</v>
      </c>
    </row>
    <row r="97" spans="1:29" ht="9.9499999999999993" customHeight="1" x14ac:dyDescent="0.3">
      <c r="A97" s="54"/>
      <c r="B97" s="46"/>
      <c r="C97" s="54"/>
      <c r="D97" s="54"/>
      <c r="E97" s="47"/>
      <c r="F97" s="54"/>
      <c r="G97" s="54"/>
      <c r="H97" s="47"/>
      <c r="I97" s="54"/>
      <c r="J97" s="54"/>
      <c r="K97" s="47"/>
      <c r="L97" s="54"/>
      <c r="M97" s="54"/>
      <c r="N97" s="47"/>
      <c r="O97" s="54"/>
      <c r="P97" s="54"/>
      <c r="Q97" s="47"/>
      <c r="R97" s="54"/>
      <c r="S97" s="54"/>
      <c r="T97" s="47"/>
      <c r="U97" s="54"/>
      <c r="V97" s="54"/>
      <c r="W97" s="47"/>
      <c r="X97" s="54"/>
      <c r="Y97" s="54"/>
      <c r="Z97" s="47"/>
      <c r="AA97" s="54"/>
      <c r="AB97" s="54"/>
      <c r="AC97" s="47"/>
    </row>
    <row r="98" spans="1:29" s="38" customFormat="1" ht="9.9499999999999993" customHeight="1" thickBot="1" x14ac:dyDescent="0.35">
      <c r="A98" s="46" t="s">
        <v>725</v>
      </c>
      <c r="B98" s="54"/>
      <c r="C98" s="48"/>
      <c r="D98" s="68" t="s">
        <v>1035</v>
      </c>
      <c r="E98" s="53">
        <f>SUM(E13:E96)</f>
        <v>4426704</v>
      </c>
      <c r="F98" s="48"/>
      <c r="G98" s="68" t="s">
        <v>1035</v>
      </c>
      <c r="H98" s="53">
        <f>SUM(H13:H96)</f>
        <v>17931770</v>
      </c>
      <c r="I98" s="48"/>
      <c r="J98" s="68" t="s">
        <v>1035</v>
      </c>
      <c r="K98" s="53">
        <f>SUM(K13:K96)</f>
        <v>1721251</v>
      </c>
      <c r="L98" s="48"/>
      <c r="M98" s="68" t="s">
        <v>1035</v>
      </c>
      <c r="N98" s="53">
        <f>SUM(N13:N96)</f>
        <v>-15000</v>
      </c>
      <c r="O98" s="48"/>
      <c r="P98" s="68" t="s">
        <v>1035</v>
      </c>
      <c r="Q98" s="53">
        <f>SUM(Q13:Q96)</f>
        <v>135032</v>
      </c>
      <c r="R98" s="48"/>
      <c r="S98" s="68" t="s">
        <v>1035</v>
      </c>
      <c r="T98" s="53">
        <f>SUM(T13:T96)</f>
        <v>639272</v>
      </c>
      <c r="U98" s="48"/>
      <c r="V98" s="68" t="s">
        <v>1035</v>
      </c>
      <c r="W98" s="53">
        <f>SUM(W13:W96)</f>
        <v>14175018</v>
      </c>
      <c r="X98" s="48"/>
      <c r="Y98" s="68" t="s">
        <v>1035</v>
      </c>
      <c r="Z98" s="53">
        <f>SUM(Z13:Z96)</f>
        <v>913685</v>
      </c>
      <c r="AA98" s="48"/>
      <c r="AB98" s="68" t="s">
        <v>1035</v>
      </c>
      <c r="AC98" s="53">
        <f>SUM(AC13:AC96)</f>
        <v>39927732</v>
      </c>
    </row>
    <row r="99" spans="1:29" ht="15.75" thickTop="1" x14ac:dyDescent="0.3">
      <c r="A99" s="54"/>
      <c r="B99" s="46"/>
      <c r="C99" s="54"/>
      <c r="D99" s="54"/>
      <c r="E99" s="47"/>
      <c r="F99" s="54"/>
      <c r="G99" s="54"/>
      <c r="H99" s="47"/>
      <c r="I99" s="54"/>
      <c r="J99" s="54"/>
      <c r="K99" s="47"/>
      <c r="L99" s="54"/>
      <c r="M99" s="54"/>
      <c r="N99" s="47"/>
      <c r="O99" s="54"/>
      <c r="P99" s="54"/>
      <c r="Q99" s="47"/>
      <c r="R99" s="54"/>
      <c r="S99" s="54"/>
      <c r="T99" s="47"/>
      <c r="U99" s="54"/>
      <c r="V99" s="54"/>
      <c r="W99" s="47"/>
      <c r="X99" s="54"/>
      <c r="Y99" s="54"/>
      <c r="Z99" s="47"/>
      <c r="AA99" s="54"/>
      <c r="AB99" s="54"/>
      <c r="AC99" s="47"/>
    </row>
    <row r="100" spans="1:29" s="2" customFormat="1" x14ac:dyDescent="0.3">
      <c r="A100" s="73"/>
      <c r="B100" s="76" t="s">
        <v>856</v>
      </c>
      <c r="C100" s="73"/>
      <c r="D100" s="73"/>
      <c r="E100" s="73">
        <f>+SUM(E98-'Special BS'!K13)</f>
        <v>4426704</v>
      </c>
      <c r="F100" s="73"/>
      <c r="G100" s="73"/>
      <c r="H100" s="73">
        <f>+SUM(H98-'Special BS'!K14)</f>
        <v>17931770</v>
      </c>
      <c r="I100" s="73"/>
      <c r="J100" s="73"/>
      <c r="K100" s="73">
        <f>+SUM(K98-'Special BS'!K15)</f>
        <v>1721251</v>
      </c>
      <c r="L100" s="73"/>
      <c r="M100" s="73"/>
      <c r="N100" s="73" t="e">
        <f>+SUM(N98-'Special BS'!#REF!)</f>
        <v>#REF!</v>
      </c>
      <c r="O100" s="73"/>
      <c r="P100" s="73"/>
      <c r="Q100" s="73" t="e">
        <f>+SUM(Q98-'Special BS'!#REF!)</f>
        <v>#REF!</v>
      </c>
      <c r="R100" s="73"/>
      <c r="S100" s="73"/>
      <c r="T100" s="73" t="e">
        <f>+SUM(T98-'Special BS'!#REF!)</f>
        <v>#REF!</v>
      </c>
      <c r="U100" s="73"/>
      <c r="V100" s="73"/>
      <c r="W100" s="73">
        <f>+SUM(W98-'Special BS'!K20)</f>
        <v>14175018</v>
      </c>
      <c r="X100" s="73"/>
      <c r="Y100" s="73"/>
      <c r="Z100" s="73">
        <f>+SUM(Z98-'Special BS'!K21)</f>
        <v>913685</v>
      </c>
      <c r="AA100" s="73"/>
      <c r="AB100" s="73"/>
      <c r="AC100" s="73">
        <f>+SUM(AC98-'Special BS'!K33)</f>
        <v>39768219</v>
      </c>
    </row>
    <row r="101" spans="1:29" x14ac:dyDescent="0.3">
      <c r="A101" s="54"/>
      <c r="B101" s="46"/>
      <c r="C101" s="54"/>
      <c r="D101" s="54"/>
      <c r="E101" s="47"/>
      <c r="F101" s="54"/>
      <c r="G101" s="54"/>
      <c r="H101" s="47"/>
      <c r="I101" s="54"/>
      <c r="J101" s="54"/>
      <c r="K101" s="47"/>
      <c r="L101" s="54"/>
      <c r="M101" s="54"/>
      <c r="N101" s="47"/>
      <c r="O101" s="54"/>
      <c r="P101" s="54"/>
      <c r="Q101" s="47"/>
      <c r="R101" s="54"/>
      <c r="S101" s="54"/>
      <c r="T101" s="47"/>
      <c r="U101" s="54"/>
      <c r="V101" s="54"/>
      <c r="W101" s="47"/>
      <c r="X101" s="54"/>
      <c r="Y101" s="54"/>
      <c r="Z101" s="47"/>
      <c r="AA101" s="54"/>
      <c r="AB101" s="54"/>
      <c r="AC101" s="47"/>
    </row>
    <row r="102" spans="1:29" x14ac:dyDescent="0.3">
      <c r="A102" s="54"/>
      <c r="B102" s="46"/>
      <c r="C102" s="54"/>
      <c r="D102" s="54"/>
      <c r="E102" s="47"/>
      <c r="F102" s="54"/>
      <c r="G102" s="54"/>
      <c r="H102" s="47"/>
      <c r="I102" s="54"/>
      <c r="J102" s="54"/>
      <c r="K102" s="47"/>
      <c r="L102" s="54"/>
      <c r="M102" s="54"/>
      <c r="N102" s="47"/>
      <c r="O102" s="54"/>
      <c r="P102" s="54"/>
      <c r="Q102" s="47"/>
      <c r="R102" s="54"/>
      <c r="S102" s="54"/>
      <c r="T102" s="47"/>
      <c r="U102" s="54"/>
      <c r="V102" s="54"/>
      <c r="W102" s="47"/>
      <c r="X102" s="54"/>
      <c r="Y102" s="54"/>
      <c r="Z102" s="47"/>
      <c r="AA102" s="54"/>
      <c r="AB102" s="54"/>
      <c r="AC102" s="47"/>
    </row>
    <row r="103" spans="1:29" x14ac:dyDescent="0.3">
      <c r="A103" s="54"/>
      <c r="B103" s="46"/>
      <c r="C103" s="54"/>
      <c r="D103" s="54"/>
      <c r="E103" s="47"/>
      <c r="F103" s="54"/>
      <c r="G103" s="54"/>
      <c r="H103" s="47"/>
      <c r="I103" s="54"/>
      <c r="J103" s="54"/>
      <c r="K103" s="47"/>
      <c r="L103" s="54"/>
      <c r="M103" s="54"/>
      <c r="N103" s="47"/>
      <c r="O103" s="54"/>
      <c r="P103" s="54"/>
      <c r="Q103" s="47"/>
      <c r="R103" s="54"/>
      <c r="S103" s="54"/>
      <c r="T103" s="47"/>
      <c r="U103" s="54"/>
      <c r="V103" s="54"/>
      <c r="W103" s="47"/>
      <c r="X103" s="54"/>
      <c r="Y103" s="54"/>
      <c r="Z103" s="47"/>
      <c r="AA103" s="54"/>
      <c r="AB103" s="54"/>
      <c r="AC103" s="47"/>
    </row>
    <row r="104" spans="1:29" x14ac:dyDescent="0.3">
      <c r="A104" s="54"/>
      <c r="B104" s="46"/>
      <c r="C104" s="54"/>
      <c r="D104" s="54"/>
      <c r="E104" s="47"/>
      <c r="F104" s="54"/>
      <c r="G104" s="54"/>
      <c r="H104" s="47"/>
      <c r="I104" s="54"/>
      <c r="J104" s="54"/>
      <c r="K104" s="47"/>
      <c r="L104" s="54"/>
      <c r="M104" s="54"/>
      <c r="N104" s="47"/>
      <c r="O104" s="54"/>
      <c r="P104" s="54"/>
      <c r="Q104" s="47"/>
      <c r="R104" s="54"/>
      <c r="S104" s="54"/>
      <c r="T104" s="47"/>
      <c r="U104" s="54"/>
      <c r="V104" s="54"/>
      <c r="W104" s="47"/>
      <c r="X104" s="54"/>
      <c r="Y104" s="54"/>
      <c r="Z104" s="47"/>
      <c r="AA104" s="54"/>
      <c r="AB104" s="54"/>
      <c r="AC104" s="47"/>
    </row>
    <row r="105" spans="1:29" x14ac:dyDescent="0.3">
      <c r="A105" s="54"/>
      <c r="B105" s="46"/>
      <c r="C105" s="54"/>
      <c r="D105" s="54"/>
      <c r="E105" s="47"/>
      <c r="F105" s="54"/>
      <c r="G105" s="54"/>
      <c r="H105" s="47"/>
      <c r="I105" s="54"/>
      <c r="J105" s="54"/>
      <c r="K105" s="47"/>
      <c r="L105" s="54"/>
      <c r="M105" s="54"/>
      <c r="N105" s="47"/>
      <c r="O105" s="54"/>
      <c r="P105" s="54"/>
      <c r="Q105" s="47"/>
      <c r="R105" s="54"/>
      <c r="S105" s="54"/>
      <c r="T105" s="47"/>
      <c r="U105" s="54"/>
      <c r="V105" s="54"/>
      <c r="W105" s="47"/>
      <c r="X105" s="54"/>
      <c r="Y105" s="54"/>
      <c r="Z105" s="47"/>
      <c r="AA105" s="54"/>
      <c r="AB105" s="54"/>
      <c r="AC105" s="47"/>
    </row>
    <row r="106" spans="1:29" x14ac:dyDescent="0.3">
      <c r="A106" s="54"/>
      <c r="B106" s="46"/>
      <c r="C106" s="54"/>
      <c r="D106" s="54"/>
      <c r="E106" s="47"/>
      <c r="F106" s="54"/>
      <c r="G106" s="54"/>
      <c r="H106" s="47"/>
      <c r="I106" s="54"/>
      <c r="J106" s="54"/>
      <c r="K106" s="47"/>
      <c r="L106" s="54"/>
      <c r="M106" s="54"/>
      <c r="N106" s="47"/>
      <c r="O106" s="54"/>
      <c r="P106" s="54"/>
      <c r="Q106" s="47"/>
      <c r="R106" s="54"/>
      <c r="S106" s="54"/>
      <c r="T106" s="47"/>
      <c r="U106" s="54"/>
      <c r="V106" s="54"/>
      <c r="W106" s="47"/>
      <c r="X106" s="54"/>
      <c r="Y106" s="54"/>
      <c r="Z106" s="47"/>
      <c r="AA106" s="54"/>
      <c r="AB106" s="54"/>
      <c r="AC106" s="47"/>
    </row>
    <row r="107" spans="1:29" x14ac:dyDescent="0.3">
      <c r="A107" s="54"/>
      <c r="B107" s="46"/>
      <c r="C107" s="54"/>
      <c r="D107" s="54"/>
      <c r="E107" s="47"/>
      <c r="F107" s="54"/>
      <c r="G107" s="54"/>
      <c r="H107" s="47"/>
      <c r="I107" s="54"/>
      <c r="J107" s="54"/>
      <c r="K107" s="47"/>
      <c r="L107" s="54"/>
      <c r="M107" s="54"/>
      <c r="N107" s="47"/>
      <c r="O107" s="54"/>
      <c r="P107" s="54"/>
      <c r="Q107" s="47"/>
      <c r="R107" s="54"/>
      <c r="S107" s="54"/>
      <c r="T107" s="47"/>
      <c r="U107" s="54"/>
      <c r="V107" s="54"/>
      <c r="W107" s="47"/>
      <c r="X107" s="54"/>
      <c r="Y107" s="54"/>
      <c r="Z107" s="47"/>
      <c r="AA107" s="54"/>
      <c r="AB107" s="54"/>
      <c r="AC107" s="47"/>
    </row>
    <row r="108" spans="1:29" x14ac:dyDescent="0.3">
      <c r="A108" s="54"/>
      <c r="B108" s="46"/>
      <c r="C108" s="54"/>
      <c r="D108" s="54"/>
      <c r="E108" s="47"/>
      <c r="F108" s="54"/>
      <c r="G108" s="54"/>
      <c r="H108" s="47"/>
      <c r="I108" s="54"/>
      <c r="J108" s="54"/>
      <c r="K108" s="47"/>
      <c r="L108" s="54"/>
      <c r="M108" s="54"/>
      <c r="N108" s="47"/>
      <c r="O108" s="54"/>
      <c r="P108" s="54"/>
      <c r="Q108" s="47"/>
      <c r="R108" s="54"/>
      <c r="S108" s="54"/>
      <c r="T108" s="47"/>
      <c r="U108" s="54"/>
      <c r="V108" s="54"/>
      <c r="W108" s="47"/>
      <c r="X108" s="54"/>
      <c r="Y108" s="54"/>
      <c r="Z108" s="47"/>
      <c r="AA108" s="54"/>
      <c r="AB108" s="54"/>
      <c r="AC108" s="47"/>
    </row>
    <row r="109" spans="1:29" x14ac:dyDescent="0.3">
      <c r="A109" s="54"/>
      <c r="B109" s="46"/>
      <c r="C109" s="54"/>
      <c r="D109" s="54"/>
      <c r="E109" s="47"/>
      <c r="F109" s="54"/>
      <c r="G109" s="54"/>
      <c r="H109" s="47"/>
      <c r="I109" s="54"/>
      <c r="J109" s="54"/>
      <c r="K109" s="47"/>
      <c r="L109" s="54"/>
      <c r="M109" s="54"/>
      <c r="N109" s="47"/>
      <c r="O109" s="54"/>
      <c r="P109" s="54"/>
      <c r="Q109" s="47"/>
      <c r="R109" s="54"/>
      <c r="S109" s="54"/>
      <c r="T109" s="47"/>
      <c r="U109" s="54"/>
      <c r="V109" s="54"/>
      <c r="W109" s="47"/>
      <c r="X109" s="54"/>
      <c r="Y109" s="54"/>
      <c r="Z109" s="47"/>
      <c r="AA109" s="54"/>
      <c r="AB109" s="54"/>
      <c r="AC109" s="47"/>
    </row>
    <row r="110" spans="1:29" x14ac:dyDescent="0.3">
      <c r="A110" s="54"/>
      <c r="B110" s="46"/>
      <c r="C110" s="54"/>
      <c r="D110" s="54"/>
      <c r="E110" s="47"/>
      <c r="F110" s="54"/>
      <c r="G110" s="54"/>
      <c r="H110" s="47"/>
      <c r="I110" s="54"/>
      <c r="J110" s="54"/>
      <c r="K110" s="47"/>
      <c r="L110" s="54"/>
      <c r="M110" s="54"/>
      <c r="N110" s="47"/>
      <c r="O110" s="54"/>
      <c r="P110" s="54"/>
      <c r="Q110" s="47"/>
      <c r="R110" s="54"/>
      <c r="S110" s="54"/>
      <c r="T110" s="47"/>
      <c r="U110" s="54"/>
      <c r="V110" s="54"/>
      <c r="W110" s="47"/>
      <c r="X110" s="54"/>
      <c r="Y110" s="54"/>
      <c r="Z110" s="47"/>
      <c r="AA110" s="54"/>
      <c r="AB110" s="54"/>
      <c r="AC110" s="47"/>
    </row>
    <row r="111" spans="1:29" x14ac:dyDescent="0.3">
      <c r="A111" s="54"/>
      <c r="B111" s="46"/>
      <c r="C111" s="54"/>
      <c r="D111" s="54"/>
      <c r="E111" s="47"/>
      <c r="F111" s="54"/>
      <c r="G111" s="54"/>
      <c r="H111" s="47"/>
      <c r="I111" s="54"/>
      <c r="J111" s="54"/>
      <c r="K111" s="47"/>
      <c r="L111" s="54"/>
      <c r="M111" s="54"/>
      <c r="N111" s="47"/>
      <c r="O111" s="54"/>
      <c r="P111" s="54"/>
      <c r="Q111" s="47"/>
      <c r="R111" s="54"/>
      <c r="S111" s="54"/>
      <c r="T111" s="47"/>
      <c r="U111" s="54"/>
      <c r="V111" s="54"/>
      <c r="W111" s="47"/>
      <c r="X111" s="54"/>
      <c r="Y111" s="54"/>
      <c r="Z111" s="47"/>
      <c r="AA111" s="54"/>
      <c r="AB111" s="54"/>
      <c r="AC111" s="47"/>
    </row>
    <row r="112" spans="1:29" x14ac:dyDescent="0.3">
      <c r="A112" s="54"/>
      <c r="B112" s="46"/>
      <c r="C112" s="54"/>
      <c r="D112" s="54"/>
      <c r="E112" s="47"/>
      <c r="F112" s="54"/>
      <c r="G112" s="54"/>
      <c r="H112" s="47"/>
      <c r="I112" s="54"/>
      <c r="J112" s="54"/>
      <c r="K112" s="47"/>
      <c r="L112" s="54"/>
      <c r="M112" s="54"/>
      <c r="N112" s="47"/>
      <c r="O112" s="54"/>
      <c r="P112" s="54"/>
      <c r="Q112" s="47"/>
      <c r="R112" s="54"/>
      <c r="S112" s="54"/>
      <c r="T112" s="47"/>
      <c r="U112" s="54"/>
      <c r="V112" s="54"/>
      <c r="W112" s="47"/>
      <c r="X112" s="54"/>
      <c r="Y112" s="54"/>
      <c r="Z112" s="47"/>
      <c r="AA112" s="54"/>
      <c r="AB112" s="54"/>
      <c r="AC112" s="47"/>
    </row>
    <row r="113" spans="1:29" x14ac:dyDescent="0.3">
      <c r="A113" s="54"/>
      <c r="B113" s="46"/>
      <c r="C113" s="54"/>
      <c r="D113" s="54"/>
      <c r="E113" s="47"/>
      <c r="F113" s="54"/>
      <c r="G113" s="54"/>
      <c r="H113" s="47"/>
      <c r="I113" s="54"/>
      <c r="J113" s="54"/>
      <c r="K113" s="47"/>
      <c r="L113" s="54"/>
      <c r="M113" s="54"/>
      <c r="N113" s="47"/>
      <c r="O113" s="54"/>
      <c r="P113" s="54"/>
      <c r="Q113" s="47"/>
      <c r="R113" s="54"/>
      <c r="S113" s="54"/>
      <c r="T113" s="47"/>
      <c r="U113" s="54"/>
      <c r="V113" s="54"/>
      <c r="W113" s="47"/>
      <c r="X113" s="54"/>
      <c r="Y113" s="54"/>
      <c r="Z113" s="47"/>
      <c r="AA113" s="54"/>
      <c r="AB113" s="54"/>
      <c r="AC113" s="47"/>
    </row>
    <row r="114" spans="1:29" x14ac:dyDescent="0.3">
      <c r="A114" s="54"/>
      <c r="B114" s="46"/>
      <c r="C114" s="54"/>
      <c r="D114" s="54"/>
      <c r="E114" s="47"/>
      <c r="F114" s="54"/>
      <c r="G114" s="54"/>
      <c r="H114" s="47"/>
      <c r="I114" s="54"/>
      <c r="J114" s="54"/>
      <c r="K114" s="47"/>
      <c r="L114" s="54"/>
      <c r="M114" s="54"/>
      <c r="N114" s="47"/>
      <c r="O114" s="54"/>
      <c r="P114" s="54"/>
      <c r="Q114" s="47"/>
      <c r="R114" s="54"/>
      <c r="S114" s="54"/>
      <c r="T114" s="47"/>
      <c r="U114" s="54"/>
      <c r="V114" s="54"/>
      <c r="W114" s="47"/>
      <c r="X114" s="54"/>
      <c r="Y114" s="54"/>
      <c r="Z114" s="47"/>
      <c r="AA114" s="54"/>
      <c r="AB114" s="54"/>
      <c r="AC114" s="47"/>
    </row>
  </sheetData>
  <mergeCells count="27">
    <mergeCell ref="Y8:Z8"/>
    <mergeCell ref="Y9:Z9"/>
    <mergeCell ref="D6:Z6"/>
    <mergeCell ref="M8:N8"/>
    <mergeCell ref="J10:K10"/>
    <mergeCell ref="J11:K11"/>
    <mergeCell ref="A1:W1"/>
    <mergeCell ref="A4:W4"/>
    <mergeCell ref="A5:W5"/>
    <mergeCell ref="G11:H11"/>
    <mergeCell ref="D9:E9"/>
    <mergeCell ref="D10:E10"/>
    <mergeCell ref="D11:E11"/>
    <mergeCell ref="AB11:AC11"/>
    <mergeCell ref="AB10:AC10"/>
    <mergeCell ref="P10:Q10"/>
    <mergeCell ref="P11:Q11"/>
    <mergeCell ref="M9:N9"/>
    <mergeCell ref="M10:N10"/>
    <mergeCell ref="M11:N11"/>
    <mergeCell ref="Y10:Z10"/>
    <mergeCell ref="Y11:Z11"/>
    <mergeCell ref="V10:W10"/>
    <mergeCell ref="V11:W11"/>
    <mergeCell ref="S10:T10"/>
    <mergeCell ref="S11:T11"/>
    <mergeCell ref="AB9:AC9"/>
  </mergeCells>
  <phoneticPr fontId="9" type="noConversion"/>
  <printOptions horizontalCentered="1"/>
  <pageMargins left="0.5" right="0.5" top="0.75" bottom="0.875" header="0.5" footer="0.75"/>
  <pageSetup scale="56" orientation="portrait" r:id="rId1"/>
  <headerFooter alignWithMargins="0"/>
  <ignoredErrors>
    <ignoredError sqref="AB11"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tabColor theme="6" tint="0.39997558519241921"/>
  </sheetPr>
  <dimension ref="A1:O32"/>
  <sheetViews>
    <sheetView view="pageBreakPreview" topLeftCell="A23" zoomScaleNormal="100" workbookViewId="0">
      <selection activeCell="H45" sqref="H45"/>
    </sheetView>
  </sheetViews>
  <sheetFormatPr defaultColWidth="9.140625" defaultRowHeight="9.9499999999999993" customHeight="1" x14ac:dyDescent="0.2"/>
  <cols>
    <col min="1" max="3" width="1.5703125" style="3" customWidth="1"/>
    <col min="4" max="4" width="23.140625" style="3" customWidth="1"/>
    <col min="5" max="5" width="1.5703125" style="3" customWidth="1"/>
    <col min="6" max="6" width="15.5703125" style="3" customWidth="1"/>
    <col min="7" max="7" width="1.5703125" style="3" customWidth="1"/>
    <col min="8" max="8" width="15.5703125" style="3" customWidth="1"/>
    <col min="9" max="9" width="1.5703125" style="3" customWidth="1"/>
    <col min="10" max="10" width="15.5703125" style="3" customWidth="1"/>
    <col min="11" max="11" width="1.5703125" style="3" customWidth="1"/>
    <col min="12" max="12" width="15.5703125" style="3" customWidth="1"/>
    <col min="13" max="13" width="2.5703125" style="3" customWidth="1"/>
    <col min="14" max="16384" width="9.140625" style="3"/>
  </cols>
  <sheetData>
    <row r="1" spans="1:15" s="10" customFormat="1" ht="16.5" customHeight="1" thickBot="1" x14ac:dyDescent="0.25">
      <c r="A1" s="1633" t="s">
        <v>1033</v>
      </c>
      <c r="B1" s="1633"/>
      <c r="C1" s="1633"/>
      <c r="D1" s="1633"/>
      <c r="E1" s="1633"/>
      <c r="F1" s="1633"/>
      <c r="G1" s="1633"/>
      <c r="H1" s="1633"/>
      <c r="I1" s="1633"/>
      <c r="J1" s="1633"/>
      <c r="K1" s="1633"/>
      <c r="L1" s="1633"/>
      <c r="M1" s="86"/>
      <c r="N1" s="86"/>
    </row>
    <row r="2" spans="1:15" s="10" customFormat="1" ht="15" customHeight="1" x14ac:dyDescent="0.2">
      <c r="A2" s="43" t="s">
        <v>488</v>
      </c>
      <c r="B2" s="85"/>
      <c r="C2" s="85"/>
      <c r="D2" s="85"/>
      <c r="E2" s="85"/>
      <c r="F2" s="85"/>
      <c r="G2" s="85"/>
      <c r="H2" s="85"/>
      <c r="I2" s="85"/>
      <c r="J2" s="85"/>
      <c r="K2" s="85"/>
      <c r="L2" s="85"/>
      <c r="M2" s="85"/>
      <c r="N2" s="85"/>
    </row>
    <row r="3" spans="1:15" s="10" customFormat="1" ht="15" customHeight="1" x14ac:dyDescent="0.2">
      <c r="A3" s="43" t="s">
        <v>491</v>
      </c>
      <c r="B3" s="85"/>
      <c r="C3" s="85"/>
      <c r="D3" s="85"/>
      <c r="E3" s="85"/>
      <c r="F3" s="85"/>
      <c r="G3" s="85"/>
      <c r="H3" s="85"/>
      <c r="I3" s="85"/>
      <c r="J3" s="85"/>
      <c r="K3" s="85"/>
      <c r="L3" s="85"/>
      <c r="M3" s="85"/>
      <c r="N3" s="85"/>
    </row>
    <row r="4" spans="1:15" s="10" customFormat="1" ht="12.95" customHeight="1" x14ac:dyDescent="0.2">
      <c r="A4" s="1634" t="s">
        <v>202</v>
      </c>
      <c r="B4" s="1634"/>
      <c r="C4" s="1634"/>
      <c r="D4" s="1634"/>
      <c r="E4" s="44"/>
      <c r="F4" s="44"/>
      <c r="G4" s="44"/>
      <c r="H4" s="44"/>
      <c r="I4" s="44"/>
      <c r="J4" s="44"/>
      <c r="K4" s="44"/>
      <c r="L4" s="44"/>
      <c r="M4" s="44"/>
      <c r="N4" s="44"/>
    </row>
    <row r="5" spans="1:15" s="27" customFormat="1" ht="12" customHeight="1" x14ac:dyDescent="0.2">
      <c r="A5" s="89" t="s">
        <v>972</v>
      </c>
      <c r="B5" s="87"/>
      <c r="C5" s="87"/>
      <c r="D5" s="87"/>
      <c r="E5" s="87"/>
      <c r="F5" s="88"/>
      <c r="G5" s="88"/>
      <c r="H5" s="88"/>
      <c r="I5" s="88"/>
      <c r="J5" s="88"/>
    </row>
    <row r="6" spans="1:15" ht="12.6" customHeight="1" x14ac:dyDescent="0.2">
      <c r="A6" s="24"/>
      <c r="B6" s="24"/>
      <c r="C6" s="24"/>
      <c r="D6" s="24"/>
      <c r="E6" s="24"/>
      <c r="F6" s="24"/>
      <c r="G6" s="24"/>
      <c r="H6" s="24"/>
      <c r="I6" s="24"/>
      <c r="J6" s="24"/>
      <c r="K6" s="24"/>
      <c r="L6" s="24"/>
      <c r="M6" s="24"/>
      <c r="N6" s="24"/>
    </row>
    <row r="7" spans="1:15" s="15" customFormat="1" ht="12.6" customHeight="1" x14ac:dyDescent="0.2">
      <c r="A7" s="11"/>
      <c r="B7" s="11"/>
      <c r="C7" s="11"/>
      <c r="D7" s="11"/>
      <c r="E7" s="11"/>
      <c r="F7" s="4" t="s">
        <v>326</v>
      </c>
      <c r="G7" s="11"/>
      <c r="H7" s="4" t="s">
        <v>326</v>
      </c>
      <c r="I7" s="4"/>
      <c r="J7" s="4" t="s">
        <v>437</v>
      </c>
      <c r="K7" s="11"/>
      <c r="L7" s="4" t="s">
        <v>671</v>
      </c>
      <c r="M7" s="11"/>
      <c r="N7" s="11"/>
    </row>
    <row r="8" spans="1:15" s="15" customFormat="1" ht="12.6" customHeight="1" x14ac:dyDescent="0.2">
      <c r="A8" s="11"/>
      <c r="B8" s="11"/>
      <c r="C8" s="11"/>
      <c r="D8" s="11"/>
      <c r="E8" s="11"/>
      <c r="F8" s="4" t="s">
        <v>337</v>
      </c>
      <c r="G8" s="11"/>
      <c r="H8" s="4" t="s">
        <v>338</v>
      </c>
      <c r="I8" s="4"/>
      <c r="J8" s="4" t="s">
        <v>339</v>
      </c>
      <c r="K8" s="11"/>
      <c r="L8" s="4" t="s">
        <v>979</v>
      </c>
      <c r="M8" s="11"/>
      <c r="N8" s="11"/>
    </row>
    <row r="9" spans="1:15" s="15" customFormat="1" ht="12.6" customHeight="1" x14ac:dyDescent="0.2">
      <c r="A9" s="11"/>
      <c r="B9" s="11"/>
      <c r="C9" s="11"/>
      <c r="D9" s="11"/>
      <c r="E9" s="11"/>
      <c r="F9" s="90" t="s">
        <v>236</v>
      </c>
      <c r="G9" s="11"/>
      <c r="H9" s="90" t="s">
        <v>227</v>
      </c>
      <c r="I9" s="4"/>
      <c r="J9" s="90" t="s">
        <v>236</v>
      </c>
      <c r="K9" s="11"/>
      <c r="L9" s="90" t="s">
        <v>980</v>
      </c>
      <c r="M9" s="11"/>
      <c r="N9" s="11"/>
    </row>
    <row r="10" spans="1:15" ht="9.9499999999999993" customHeight="1" x14ac:dyDescent="0.2">
      <c r="A10" s="1631" t="s">
        <v>672</v>
      </c>
      <c r="B10" s="1631"/>
      <c r="C10" s="1631"/>
      <c r="D10" s="1631"/>
      <c r="E10" s="5"/>
      <c r="F10" s="35"/>
      <c r="G10" s="5"/>
      <c r="H10" s="35"/>
      <c r="I10" s="35"/>
      <c r="J10" s="35"/>
      <c r="K10" s="5"/>
      <c r="L10" s="35"/>
      <c r="M10" s="5"/>
      <c r="N10" s="5"/>
    </row>
    <row r="11" spans="1:15" ht="9.9499999999999993" customHeight="1" x14ac:dyDescent="0.2">
      <c r="A11" s="5"/>
      <c r="B11" s="12" t="s">
        <v>673</v>
      </c>
      <c r="C11" s="12"/>
      <c r="D11" s="12"/>
      <c r="E11" s="5"/>
      <c r="F11" s="20">
        <v>0</v>
      </c>
      <c r="G11" s="6"/>
      <c r="H11" s="20">
        <v>0</v>
      </c>
      <c r="I11" s="6"/>
      <c r="J11" s="20">
        <v>1</v>
      </c>
      <c r="K11" s="6"/>
      <c r="L11" s="20">
        <f>SUM(F11:J11)</f>
        <v>1</v>
      </c>
      <c r="M11" s="5"/>
      <c r="N11" s="5"/>
    </row>
    <row r="12" spans="1:15" ht="9.9499999999999993" customHeight="1" x14ac:dyDescent="0.2">
      <c r="A12" s="5"/>
      <c r="B12" s="12" t="s">
        <v>674</v>
      </c>
      <c r="C12" s="12"/>
      <c r="D12" s="12"/>
      <c r="E12" s="6"/>
      <c r="F12" s="7">
        <v>0</v>
      </c>
      <c r="G12" s="7"/>
      <c r="H12" s="7">
        <v>0</v>
      </c>
      <c r="I12" s="7"/>
      <c r="J12" s="7">
        <v>21</v>
      </c>
      <c r="K12" s="7"/>
      <c r="L12" s="6">
        <f>SUM(F12:J12)</f>
        <v>21</v>
      </c>
      <c r="M12" s="6"/>
      <c r="N12" s="5"/>
      <c r="O12" s="14"/>
    </row>
    <row r="13" spans="1:15" ht="9.9499999999999993" hidden="1" customHeight="1" x14ac:dyDescent="0.2">
      <c r="A13" s="5"/>
      <c r="B13" s="12" t="s">
        <v>62</v>
      </c>
      <c r="D13" s="12"/>
      <c r="E13" s="6"/>
      <c r="F13" s="7"/>
      <c r="G13" s="7"/>
      <c r="H13" s="7"/>
      <c r="I13" s="7"/>
      <c r="J13" s="7"/>
      <c r="K13" s="7"/>
      <c r="L13" s="6"/>
      <c r="M13" s="6"/>
      <c r="N13" s="5"/>
      <c r="O13" s="14"/>
    </row>
    <row r="14" spans="1:15" ht="9.9499999999999993" hidden="1" customHeight="1" x14ac:dyDescent="0.2">
      <c r="A14" s="5"/>
      <c r="B14" s="12"/>
      <c r="C14" s="12" t="s">
        <v>676</v>
      </c>
      <c r="D14" s="12"/>
      <c r="E14" s="6"/>
      <c r="F14" s="8">
        <v>0</v>
      </c>
      <c r="G14" s="7"/>
      <c r="H14" s="8">
        <v>0</v>
      </c>
      <c r="I14" s="7"/>
      <c r="J14" s="8"/>
      <c r="K14" s="7"/>
      <c r="L14" s="13">
        <f>SUM(F14:J14)</f>
        <v>0</v>
      </c>
      <c r="M14" s="6"/>
      <c r="N14" s="5"/>
      <c r="O14" s="36"/>
    </row>
    <row r="15" spans="1:15" ht="5.0999999999999996" customHeight="1" x14ac:dyDescent="0.2">
      <c r="A15" s="5"/>
      <c r="B15" s="12"/>
      <c r="C15" s="12"/>
      <c r="D15" s="12"/>
      <c r="E15" s="6"/>
      <c r="F15" s="18"/>
      <c r="G15" s="7"/>
      <c r="H15" s="18"/>
      <c r="I15" s="7"/>
      <c r="J15" s="18"/>
      <c r="K15" s="7"/>
      <c r="L15" s="17"/>
      <c r="M15" s="6"/>
      <c r="N15" s="5"/>
      <c r="O15" s="36"/>
    </row>
    <row r="16" spans="1:15" ht="11.1" customHeight="1" x14ac:dyDescent="0.2">
      <c r="A16" s="9" t="s">
        <v>687</v>
      </c>
      <c r="B16" s="12"/>
      <c r="C16" s="12"/>
      <c r="E16" s="6"/>
      <c r="F16" s="8">
        <f>SUM(F11:F14)</f>
        <v>0</v>
      </c>
      <c r="G16" s="7"/>
      <c r="H16" s="8">
        <f>SUM(H11:H14)</f>
        <v>0</v>
      </c>
      <c r="I16" s="7"/>
      <c r="J16" s="8">
        <f>SUM(J11:J14)</f>
        <v>22</v>
      </c>
      <c r="K16" s="7"/>
      <c r="L16" s="8">
        <f>SUM(L11:L14)</f>
        <v>22</v>
      </c>
      <c r="M16" s="6"/>
      <c r="N16" s="5"/>
    </row>
    <row r="17" spans="1:14" ht="5.0999999999999996" customHeight="1" x14ac:dyDescent="0.2">
      <c r="A17" s="5"/>
      <c r="B17" s="5"/>
      <c r="C17" s="5"/>
      <c r="D17" s="5"/>
      <c r="E17" s="6"/>
      <c r="F17" s="7"/>
      <c r="G17" s="7"/>
      <c r="H17" s="7"/>
      <c r="I17" s="7"/>
      <c r="J17" s="7"/>
      <c r="K17" s="7"/>
      <c r="L17" s="7"/>
      <c r="M17" s="6"/>
      <c r="N17" s="5"/>
    </row>
    <row r="18" spans="1:14" ht="9.9499999999999993" hidden="1" customHeight="1" x14ac:dyDescent="0.2">
      <c r="A18" s="1631" t="s">
        <v>751</v>
      </c>
      <c r="B18" s="1631"/>
      <c r="C18" s="1631"/>
      <c r="D18" s="1631"/>
      <c r="E18" s="6"/>
      <c r="F18" s="7"/>
      <c r="G18" s="7"/>
      <c r="H18" s="7"/>
      <c r="I18" s="7"/>
      <c r="J18" s="7"/>
      <c r="K18" s="7"/>
      <c r="L18" s="7"/>
      <c r="M18" s="6"/>
      <c r="N18" s="5"/>
    </row>
    <row r="19" spans="1:14" ht="9.9499999999999993" hidden="1" customHeight="1" x14ac:dyDescent="0.2">
      <c r="A19" s="5"/>
      <c r="B19" s="5"/>
      <c r="C19" s="5"/>
      <c r="D19" s="19"/>
      <c r="E19" s="6"/>
      <c r="F19" s="8">
        <v>0</v>
      </c>
      <c r="G19" s="7"/>
      <c r="H19" s="8">
        <v>0</v>
      </c>
      <c r="I19" s="7"/>
      <c r="J19" s="8">
        <v>0</v>
      </c>
      <c r="K19" s="7"/>
      <c r="L19" s="13">
        <f>SUM(F19:J19)</f>
        <v>0</v>
      </c>
      <c r="M19" s="6"/>
      <c r="N19" s="5"/>
    </row>
    <row r="20" spans="1:14" ht="9.9499999999999993" hidden="1" customHeight="1" x14ac:dyDescent="0.2">
      <c r="A20" s="5"/>
      <c r="B20" s="5"/>
      <c r="C20" s="5"/>
      <c r="D20" s="19"/>
      <c r="E20" s="6"/>
      <c r="F20" s="7"/>
      <c r="G20" s="7"/>
      <c r="H20" s="7"/>
      <c r="I20" s="7"/>
      <c r="J20" s="7"/>
      <c r="K20" s="7"/>
      <c r="L20" s="7"/>
      <c r="M20" s="6"/>
      <c r="N20" s="5"/>
    </row>
    <row r="21" spans="1:14" ht="9.9499999999999993" hidden="1" customHeight="1" x14ac:dyDescent="0.2">
      <c r="A21" s="5"/>
      <c r="B21" s="5"/>
      <c r="C21" s="5"/>
      <c r="D21" s="9" t="s">
        <v>702</v>
      </c>
      <c r="E21" s="6"/>
      <c r="F21" s="8">
        <f>SUM(F19:F19)</f>
        <v>0</v>
      </c>
      <c r="G21" s="7"/>
      <c r="H21" s="8">
        <f>SUM(H19:H19)</f>
        <v>0</v>
      </c>
      <c r="I21" s="7"/>
      <c r="J21" s="8">
        <f>SUM(J19:J19)</f>
        <v>0</v>
      </c>
      <c r="K21" s="7"/>
      <c r="L21" s="8">
        <f>SUM(L19:L19)</f>
        <v>0</v>
      </c>
      <c r="M21" s="6"/>
      <c r="N21" s="5"/>
    </row>
    <row r="22" spans="1:14" ht="9.9499999999999993" hidden="1" customHeight="1" x14ac:dyDescent="0.2">
      <c r="A22" s="5"/>
      <c r="B22" s="5"/>
      <c r="C22" s="5"/>
      <c r="D22" s="5"/>
      <c r="E22" s="6"/>
      <c r="F22" s="6"/>
      <c r="G22" s="7"/>
      <c r="H22" s="6"/>
      <c r="I22" s="6"/>
      <c r="J22" s="6"/>
      <c r="K22" s="7"/>
      <c r="L22" s="7"/>
      <c r="M22" s="6"/>
      <c r="N22" s="5"/>
    </row>
    <row r="23" spans="1:14" ht="9.9499999999999993" customHeight="1" x14ac:dyDescent="0.2">
      <c r="A23" s="1631" t="s">
        <v>703</v>
      </c>
      <c r="B23" s="1631"/>
      <c r="C23" s="1631"/>
      <c r="D23" s="1631"/>
      <c r="E23" s="6"/>
      <c r="F23" s="6"/>
      <c r="G23" s="7"/>
      <c r="H23" s="6"/>
      <c r="I23" s="6"/>
      <c r="J23" s="6"/>
      <c r="K23" s="7"/>
      <c r="L23" s="7"/>
      <c r="M23" s="6"/>
      <c r="N23" s="5"/>
    </row>
    <row r="24" spans="1:14" ht="9.9499999999999993" customHeight="1" x14ac:dyDescent="0.2">
      <c r="A24" s="5"/>
      <c r="B24" s="5" t="s">
        <v>415</v>
      </c>
      <c r="C24" s="22"/>
      <c r="D24" s="5"/>
      <c r="E24" s="6"/>
      <c r="F24" s="6"/>
      <c r="G24" s="6"/>
      <c r="H24" s="6"/>
      <c r="I24" s="6"/>
      <c r="J24" s="6"/>
      <c r="K24" s="6"/>
      <c r="L24" s="6"/>
      <c r="M24" s="6"/>
      <c r="N24" s="5"/>
    </row>
    <row r="25" spans="1:14" ht="11.1" customHeight="1" thickBot="1" x14ac:dyDescent="0.25">
      <c r="A25" s="5"/>
      <c r="B25" s="5"/>
      <c r="C25" s="12" t="s">
        <v>416</v>
      </c>
      <c r="D25" s="5"/>
      <c r="E25" s="5"/>
      <c r="F25" s="91">
        <v>0</v>
      </c>
      <c r="G25" s="6"/>
      <c r="H25" s="91">
        <v>0</v>
      </c>
      <c r="I25" s="6"/>
      <c r="J25" s="91">
        <v>22</v>
      </c>
      <c r="K25" s="6"/>
      <c r="L25" s="91">
        <f>SUM(F25:J25)</f>
        <v>22</v>
      </c>
      <c r="M25" s="5"/>
      <c r="N25" s="5"/>
    </row>
    <row r="26" spans="1:14" ht="5.0999999999999996" customHeight="1" thickTop="1" x14ac:dyDescent="0.2">
      <c r="A26" s="5"/>
      <c r="B26" s="5"/>
      <c r="C26" s="5"/>
      <c r="D26" s="5"/>
      <c r="E26" s="5"/>
      <c r="F26" s="5"/>
      <c r="G26" s="5"/>
      <c r="H26" s="5"/>
      <c r="I26" s="5"/>
      <c r="J26" s="5"/>
      <c r="K26" s="5"/>
      <c r="L26" s="5"/>
      <c r="M26" s="5"/>
      <c r="N26" s="5"/>
    </row>
    <row r="27" spans="1:14" ht="9.9499999999999993" customHeight="1" x14ac:dyDescent="0.2">
      <c r="A27" s="5"/>
      <c r="B27" s="5"/>
      <c r="C27" s="5"/>
      <c r="D27" s="5"/>
      <c r="E27" s="5"/>
      <c r="F27" s="5"/>
      <c r="G27" s="5"/>
      <c r="H27" s="5"/>
      <c r="I27" s="5"/>
      <c r="J27" s="5"/>
      <c r="K27" s="5"/>
      <c r="L27" s="5"/>
      <c r="M27" s="5"/>
      <c r="N27" s="5"/>
    </row>
    <row r="28" spans="1:14" ht="9.9499999999999993" customHeight="1" x14ac:dyDescent="0.2">
      <c r="A28" s="5"/>
      <c r="B28" s="5"/>
      <c r="C28" s="5"/>
      <c r="D28" s="21" t="s">
        <v>663</v>
      </c>
      <c r="E28" s="5"/>
      <c r="F28" s="23">
        <f>SUM(F16-F21-F25)</f>
        <v>0</v>
      </c>
      <c r="G28" s="23"/>
      <c r="H28" s="23">
        <f>SUM(H16-H21-H25)</f>
        <v>0</v>
      </c>
      <c r="I28" s="23"/>
      <c r="J28" s="23">
        <f>SUM(J16-J21-J25)</f>
        <v>0</v>
      </c>
      <c r="K28" s="23"/>
      <c r="L28" s="84">
        <f>SUM(L16-L21-L25)</f>
        <v>0</v>
      </c>
      <c r="M28" s="5"/>
      <c r="N28" s="5"/>
    </row>
    <row r="29" spans="1:14" ht="9.9499999999999993" customHeight="1" x14ac:dyDescent="0.2">
      <c r="A29" s="5"/>
      <c r="B29" s="5"/>
      <c r="C29" s="5"/>
      <c r="D29" s="5"/>
      <c r="E29" s="5"/>
      <c r="F29" s="5"/>
      <c r="G29" s="5"/>
      <c r="H29" s="5"/>
      <c r="I29" s="5"/>
      <c r="J29" s="5"/>
      <c r="K29" s="5"/>
      <c r="L29" s="5"/>
      <c r="M29" s="5"/>
      <c r="N29" s="5"/>
    </row>
    <row r="30" spans="1:14" ht="9.9499999999999993" customHeight="1" x14ac:dyDescent="0.2">
      <c r="A30" s="5"/>
      <c r="B30" s="5"/>
      <c r="C30" s="5"/>
      <c r="D30" s="5"/>
      <c r="E30" s="5"/>
      <c r="F30" s="5"/>
      <c r="G30" s="5"/>
      <c r="H30" s="5"/>
      <c r="I30" s="5"/>
      <c r="J30" s="5"/>
      <c r="K30" s="5"/>
      <c r="L30" s="5"/>
      <c r="M30" s="5"/>
      <c r="N30" s="5"/>
    </row>
    <row r="31" spans="1:14" ht="9.9499999999999993" customHeight="1" x14ac:dyDescent="0.2">
      <c r="A31" s="5"/>
      <c r="B31" s="5"/>
      <c r="C31" s="5"/>
      <c r="D31" s="5"/>
      <c r="E31" s="5"/>
      <c r="F31" s="5"/>
      <c r="G31" s="5"/>
      <c r="H31" s="5"/>
      <c r="I31" s="5"/>
      <c r="J31" s="5"/>
      <c r="K31" s="5"/>
      <c r="L31" s="5"/>
      <c r="M31" s="5"/>
      <c r="N31" s="5"/>
    </row>
    <row r="32" spans="1:14" ht="9.9499999999999993" customHeight="1" x14ac:dyDescent="0.2">
      <c r="A32" s="5"/>
      <c r="B32" s="5"/>
      <c r="C32" s="5"/>
      <c r="D32" s="5"/>
      <c r="E32" s="5"/>
      <c r="F32" s="5"/>
      <c r="G32" s="5"/>
      <c r="H32" s="5"/>
      <c r="I32" s="5"/>
      <c r="J32" s="5"/>
      <c r="K32" s="5"/>
      <c r="L32" s="5"/>
      <c r="M32" s="5"/>
      <c r="N32" s="5"/>
    </row>
  </sheetData>
  <mergeCells count="5">
    <mergeCell ref="A1:L1"/>
    <mergeCell ref="A10:D10"/>
    <mergeCell ref="A18:D18"/>
    <mergeCell ref="A23:D23"/>
    <mergeCell ref="A4:D4"/>
  </mergeCells>
  <phoneticPr fontId="9" type="noConversion"/>
  <printOptions horizontalCentered="1"/>
  <pageMargins left="0.5" right="0.5" top="0.75" bottom="0.875" header="0.5" footer="0.75"/>
  <pageSetup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tabColor theme="6" tint="0.39997558519241921"/>
  </sheetPr>
  <dimension ref="A1:O33"/>
  <sheetViews>
    <sheetView view="pageBreakPreview" zoomScaleNormal="100" workbookViewId="0">
      <selection activeCell="H45" sqref="H45"/>
    </sheetView>
  </sheetViews>
  <sheetFormatPr defaultColWidth="9.140625" defaultRowHeight="9.9499999999999993" customHeight="1" x14ac:dyDescent="0.2"/>
  <cols>
    <col min="1" max="5" width="1.5703125" style="25" customWidth="1"/>
    <col min="6" max="6" width="19.85546875" style="3" customWidth="1"/>
    <col min="7" max="7" width="1.5703125" style="3" customWidth="1"/>
    <col min="8" max="8" width="15.5703125" style="3" customWidth="1"/>
    <col min="9" max="9" width="1.5703125" style="3" customWidth="1"/>
    <col min="10" max="10" width="15.5703125" style="25" customWidth="1"/>
    <col min="11" max="11" width="1.5703125" style="25" customWidth="1"/>
    <col min="12" max="12" width="15.5703125" style="25" customWidth="1"/>
    <col min="13" max="13" width="1.5703125" style="25" customWidth="1"/>
    <col min="14" max="14" width="15.5703125" style="25" customWidth="1"/>
    <col min="15" max="16384" width="9.140625" style="25"/>
  </cols>
  <sheetData>
    <row r="1" spans="1:15" s="27" customFormat="1" ht="16.5" customHeight="1" thickBot="1" x14ac:dyDescent="0.25">
      <c r="A1" s="1633" t="s">
        <v>1033</v>
      </c>
      <c r="B1" s="1633"/>
      <c r="C1" s="1633"/>
      <c r="D1" s="1633"/>
      <c r="E1" s="1633"/>
      <c r="F1" s="1633"/>
      <c r="G1" s="1633"/>
      <c r="H1" s="1633"/>
      <c r="I1" s="1633"/>
      <c r="J1" s="1633"/>
      <c r="K1" s="1633"/>
      <c r="L1" s="1633"/>
      <c r="M1" s="1633"/>
      <c r="N1" s="1633"/>
      <c r="O1" s="86"/>
    </row>
    <row r="2" spans="1:15" s="27" customFormat="1" ht="15" customHeight="1" x14ac:dyDescent="0.2">
      <c r="A2" s="43" t="s">
        <v>489</v>
      </c>
      <c r="B2" s="85"/>
      <c r="C2" s="85"/>
      <c r="D2" s="85"/>
      <c r="E2" s="85"/>
      <c r="F2" s="85"/>
      <c r="G2" s="85"/>
      <c r="H2" s="85"/>
      <c r="I2" s="85"/>
      <c r="J2" s="85"/>
      <c r="K2" s="85"/>
      <c r="L2" s="85"/>
      <c r="M2" s="85"/>
      <c r="N2" s="85"/>
      <c r="O2" s="85"/>
    </row>
    <row r="3" spans="1:15" s="27" customFormat="1" ht="15" customHeight="1" x14ac:dyDescent="0.2">
      <c r="A3" s="43" t="s">
        <v>491</v>
      </c>
      <c r="B3" s="85"/>
      <c r="C3" s="85"/>
      <c r="D3" s="85"/>
      <c r="E3" s="85"/>
      <c r="F3" s="85"/>
      <c r="G3" s="85"/>
      <c r="H3" s="85"/>
      <c r="I3" s="85"/>
      <c r="J3" s="85"/>
      <c r="K3" s="85"/>
      <c r="L3" s="85"/>
      <c r="M3" s="85"/>
      <c r="N3" s="85"/>
      <c r="O3" s="85"/>
    </row>
    <row r="4" spans="1:15" s="27" customFormat="1" ht="12.95" customHeight="1" x14ac:dyDescent="0.2">
      <c r="A4" s="44" t="s">
        <v>201</v>
      </c>
      <c r="B4" s="44"/>
      <c r="C4" s="44"/>
      <c r="D4" s="44"/>
      <c r="E4" s="44"/>
      <c r="F4" s="44"/>
      <c r="G4" s="44"/>
      <c r="H4" s="44"/>
      <c r="I4" s="44"/>
      <c r="J4" s="44"/>
      <c r="K4" s="44"/>
      <c r="L4" s="44"/>
      <c r="M4" s="44"/>
      <c r="N4" s="44"/>
      <c r="O4" s="44"/>
    </row>
    <row r="5" spans="1:15" s="27" customFormat="1" ht="12" customHeight="1" x14ac:dyDescent="0.2">
      <c r="A5" s="89" t="s">
        <v>972</v>
      </c>
      <c r="B5" s="87"/>
      <c r="C5" s="87"/>
      <c r="D5" s="87"/>
      <c r="E5" s="87"/>
      <c r="F5" s="88"/>
      <c r="G5" s="88"/>
      <c r="H5" s="88"/>
      <c r="I5" s="88"/>
    </row>
    <row r="6" spans="1:15" ht="12.6" customHeight="1" x14ac:dyDescent="0.2">
      <c r="A6" s="24"/>
      <c r="B6" s="24"/>
      <c r="C6" s="24"/>
      <c r="D6" s="24"/>
      <c r="E6" s="24"/>
      <c r="F6" s="24"/>
      <c r="G6" s="24"/>
      <c r="H6" s="24"/>
      <c r="I6" s="24"/>
      <c r="J6" s="24"/>
      <c r="K6" s="24"/>
      <c r="L6" s="24"/>
      <c r="M6" s="24"/>
      <c r="N6" s="24"/>
      <c r="O6" s="24"/>
    </row>
    <row r="7" spans="1:15" s="28" customFormat="1" ht="12.6" customHeight="1" x14ac:dyDescent="0.2">
      <c r="A7" s="29"/>
      <c r="B7" s="29"/>
      <c r="C7" s="29"/>
      <c r="D7" s="29"/>
      <c r="E7" s="29"/>
      <c r="F7" s="11"/>
      <c r="G7" s="11"/>
      <c r="H7" s="4" t="s">
        <v>326</v>
      </c>
      <c r="I7" s="11"/>
      <c r="J7" s="4" t="s">
        <v>326</v>
      </c>
      <c r="K7" s="4"/>
      <c r="L7" s="4" t="s">
        <v>437</v>
      </c>
      <c r="M7" s="11"/>
      <c r="N7" s="4" t="s">
        <v>671</v>
      </c>
      <c r="O7" s="11"/>
    </row>
    <row r="8" spans="1:15" s="28" customFormat="1" ht="12.6" customHeight="1" x14ac:dyDescent="0.2">
      <c r="A8" s="29"/>
      <c r="B8" s="29"/>
      <c r="C8" s="29"/>
      <c r="D8" s="29"/>
      <c r="E8" s="29"/>
      <c r="F8" s="11"/>
      <c r="G8" s="11"/>
      <c r="H8" s="4" t="s">
        <v>337</v>
      </c>
      <c r="I8" s="11"/>
      <c r="J8" s="4" t="s">
        <v>338</v>
      </c>
      <c r="K8" s="4"/>
      <c r="L8" s="4" t="s">
        <v>339</v>
      </c>
      <c r="M8" s="11"/>
      <c r="N8" s="4" t="s">
        <v>979</v>
      </c>
      <c r="O8" s="16"/>
    </row>
    <row r="9" spans="1:15" s="28" customFormat="1" ht="12.6" customHeight="1" x14ac:dyDescent="0.2">
      <c r="A9" s="29"/>
      <c r="B9" s="29"/>
      <c r="C9" s="29"/>
      <c r="D9" s="29"/>
      <c r="E9" s="29"/>
      <c r="F9" s="11"/>
      <c r="G9" s="11"/>
      <c r="H9" s="90" t="s">
        <v>236</v>
      </c>
      <c r="I9" s="11"/>
      <c r="J9" s="90" t="s">
        <v>236</v>
      </c>
      <c r="K9" s="4"/>
      <c r="L9" s="90" t="s">
        <v>236</v>
      </c>
      <c r="M9" s="11"/>
      <c r="N9" s="90" t="s">
        <v>980</v>
      </c>
      <c r="O9" s="16"/>
    </row>
    <row r="10" spans="1:15" ht="9.9499999999999993" customHeight="1" x14ac:dyDescent="0.2">
      <c r="A10" s="9" t="s">
        <v>29</v>
      </c>
      <c r="B10" s="26"/>
      <c r="C10" s="26"/>
      <c r="D10" s="26"/>
      <c r="E10" s="26"/>
      <c r="F10" s="5"/>
      <c r="G10" s="5"/>
      <c r="H10" s="5"/>
      <c r="I10" s="5"/>
      <c r="J10" s="26"/>
      <c r="K10" s="26"/>
      <c r="L10" s="26"/>
      <c r="M10" s="26"/>
      <c r="N10" s="26"/>
    </row>
    <row r="11" spans="1:15" ht="9.9499999999999993" hidden="1" customHeight="1" x14ac:dyDescent="0.2">
      <c r="A11" s="26"/>
      <c r="B11" s="12" t="s">
        <v>422</v>
      </c>
      <c r="C11" s="30"/>
      <c r="D11" s="30"/>
      <c r="E11" s="30"/>
      <c r="F11" s="12"/>
      <c r="G11" s="6"/>
      <c r="H11" s="6"/>
      <c r="I11" s="6"/>
      <c r="J11" s="31"/>
      <c r="K11" s="31"/>
      <c r="L11" s="31"/>
      <c r="M11" s="26"/>
      <c r="N11" s="26"/>
    </row>
    <row r="12" spans="1:15" ht="9.9499999999999993" hidden="1" customHeight="1" x14ac:dyDescent="0.2">
      <c r="A12" s="26"/>
      <c r="B12" s="30"/>
      <c r="C12" s="12" t="s">
        <v>425</v>
      </c>
      <c r="D12" s="12"/>
      <c r="E12" s="12"/>
      <c r="F12" s="12"/>
      <c r="G12" s="6"/>
      <c r="H12" s="6">
        <v>0</v>
      </c>
      <c r="I12" s="6"/>
      <c r="J12" s="31">
        <v>0</v>
      </c>
      <c r="K12" s="31"/>
      <c r="L12" s="31">
        <v>0</v>
      </c>
      <c r="M12" s="31"/>
      <c r="N12" s="6">
        <f>SUM(H12:L12)</f>
        <v>0</v>
      </c>
    </row>
    <row r="13" spans="1:15" ht="9.9499999999999993" customHeight="1" x14ac:dyDescent="0.2">
      <c r="A13" s="26"/>
      <c r="B13" s="12" t="s">
        <v>427</v>
      </c>
      <c r="C13" s="30"/>
      <c r="D13" s="30"/>
      <c r="E13" s="30"/>
      <c r="F13" s="12"/>
      <c r="G13" s="6"/>
      <c r="H13" s="7"/>
      <c r="I13" s="7"/>
      <c r="J13" s="32"/>
      <c r="K13" s="32"/>
      <c r="L13" s="32"/>
      <c r="M13" s="26"/>
      <c r="N13" s="7">
        <f>SUM(H13:L13)</f>
        <v>0</v>
      </c>
    </row>
    <row r="14" spans="1:15" ht="11.1" customHeight="1" x14ac:dyDescent="0.2">
      <c r="A14" s="26"/>
      <c r="B14" s="30"/>
      <c r="C14" s="12" t="s">
        <v>429</v>
      </c>
      <c r="D14" s="12"/>
      <c r="E14" s="12"/>
      <c r="F14" s="12"/>
      <c r="G14" s="6"/>
      <c r="H14" s="92">
        <v>0</v>
      </c>
      <c r="I14" s="7"/>
      <c r="J14" s="93">
        <v>0</v>
      </c>
      <c r="K14" s="32"/>
      <c r="L14" s="93">
        <v>1</v>
      </c>
      <c r="M14" s="26"/>
      <c r="N14" s="92">
        <f>SUM(H14:L14)</f>
        <v>1</v>
      </c>
    </row>
    <row r="15" spans="1:15" ht="9.9499999999999993" hidden="1" customHeight="1" x14ac:dyDescent="0.2">
      <c r="A15" s="26"/>
      <c r="B15" s="30"/>
      <c r="C15" s="12"/>
      <c r="D15" s="12"/>
      <c r="E15" s="12"/>
      <c r="F15" s="12"/>
      <c r="G15" s="6"/>
      <c r="H15" s="7"/>
      <c r="I15" s="7"/>
      <c r="J15" s="32"/>
      <c r="K15" s="32"/>
      <c r="L15" s="32"/>
      <c r="M15" s="26"/>
      <c r="N15" s="7"/>
    </row>
    <row r="16" spans="1:15" ht="9.9499999999999993" hidden="1" customHeight="1" x14ac:dyDescent="0.2">
      <c r="A16" s="9" t="s">
        <v>432</v>
      </c>
      <c r="B16" s="26"/>
      <c r="C16" s="26"/>
      <c r="D16" s="26"/>
      <c r="E16" s="26"/>
      <c r="F16" s="5"/>
      <c r="G16" s="6"/>
      <c r="H16" s="8">
        <f>SUM(H12:H14)</f>
        <v>0</v>
      </c>
      <c r="I16" s="7"/>
      <c r="J16" s="8">
        <f>SUM(J12:J14)</f>
        <v>0</v>
      </c>
      <c r="K16" s="7"/>
      <c r="L16" s="8">
        <f>SUM(L12:L14)</f>
        <v>1</v>
      </c>
      <c r="M16" s="26"/>
      <c r="N16" s="8">
        <f>SUM(N12:N14)</f>
        <v>1</v>
      </c>
    </row>
    <row r="17" spans="1:14" ht="5.0999999999999996" customHeight="1" x14ac:dyDescent="0.2">
      <c r="A17" s="26"/>
      <c r="B17" s="26"/>
      <c r="C17" s="26"/>
      <c r="D17" s="26"/>
      <c r="E17" s="26"/>
      <c r="F17" s="5"/>
      <c r="G17" s="6"/>
      <c r="H17" s="7"/>
      <c r="I17" s="7"/>
      <c r="J17" s="32"/>
      <c r="K17" s="32"/>
      <c r="L17" s="32"/>
      <c r="M17" s="26"/>
      <c r="N17" s="7"/>
    </row>
    <row r="18" spans="1:14" ht="9.9499999999999993" customHeight="1" x14ac:dyDescent="0.2">
      <c r="A18" s="9" t="s">
        <v>4</v>
      </c>
      <c r="B18" s="26"/>
      <c r="C18" s="26"/>
      <c r="D18" s="26"/>
      <c r="E18" s="26"/>
      <c r="F18" s="5"/>
      <c r="G18" s="6"/>
      <c r="H18" s="7"/>
      <c r="I18" s="7"/>
      <c r="J18" s="32"/>
      <c r="K18" s="32"/>
      <c r="L18" s="32"/>
      <c r="M18" s="26"/>
      <c r="N18" s="7"/>
    </row>
    <row r="19" spans="1:14" ht="11.1" customHeight="1" x14ac:dyDescent="0.2">
      <c r="A19" s="26"/>
      <c r="B19" s="12" t="s">
        <v>983</v>
      </c>
      <c r="C19" s="26"/>
      <c r="D19" s="26"/>
      <c r="E19" s="26"/>
      <c r="F19" s="5"/>
      <c r="G19" s="6"/>
      <c r="H19" s="8">
        <v>10</v>
      </c>
      <c r="I19" s="7"/>
      <c r="J19" s="33">
        <v>2</v>
      </c>
      <c r="K19" s="32"/>
      <c r="L19" s="33">
        <v>0</v>
      </c>
      <c r="M19" s="26"/>
      <c r="N19" s="8">
        <f>SUM(H19:L19)</f>
        <v>12</v>
      </c>
    </row>
    <row r="20" spans="1:14" ht="5.0999999999999996" customHeight="1" x14ac:dyDescent="0.2">
      <c r="A20" s="26"/>
      <c r="B20" s="12"/>
      <c r="C20" s="26"/>
      <c r="D20" s="26"/>
      <c r="E20" s="26"/>
      <c r="F20" s="5"/>
      <c r="G20" s="6"/>
      <c r="H20" s="7"/>
      <c r="I20" s="7"/>
      <c r="J20" s="32"/>
      <c r="K20" s="32"/>
      <c r="L20" s="32"/>
      <c r="M20" s="26"/>
      <c r="N20" s="7"/>
    </row>
    <row r="21" spans="1:14" ht="9.9499999999999993" hidden="1" customHeight="1" x14ac:dyDescent="0.2">
      <c r="A21" s="9" t="s">
        <v>435</v>
      </c>
      <c r="B21" s="26"/>
      <c r="C21" s="26"/>
      <c r="D21" s="26"/>
      <c r="E21" s="26"/>
      <c r="F21" s="5"/>
      <c r="G21" s="6"/>
      <c r="H21" s="8">
        <f>SUM(H19)</f>
        <v>10</v>
      </c>
      <c r="I21" s="7"/>
      <c r="J21" s="8">
        <f>SUM(J19)</f>
        <v>2</v>
      </c>
      <c r="K21" s="7"/>
      <c r="L21" s="8">
        <f>SUM(L19)</f>
        <v>0</v>
      </c>
      <c r="M21" s="26"/>
      <c r="N21" s="8">
        <f>SUM(N19)</f>
        <v>12</v>
      </c>
    </row>
    <row r="22" spans="1:14" ht="9.9499999999999993" hidden="1" customHeight="1" x14ac:dyDescent="0.2">
      <c r="A22" s="26"/>
      <c r="B22" s="26"/>
      <c r="C22" s="26"/>
      <c r="D22" s="26"/>
      <c r="E22" s="26"/>
      <c r="F22" s="37"/>
      <c r="G22" s="6"/>
      <c r="H22" s="7"/>
      <c r="I22" s="7"/>
      <c r="J22" s="32"/>
      <c r="K22" s="32"/>
      <c r="L22" s="32"/>
      <c r="M22" s="26"/>
      <c r="N22" s="7"/>
    </row>
    <row r="23" spans="1:14" ht="9.9499999999999993" customHeight="1" x14ac:dyDescent="0.2">
      <c r="A23" s="9" t="s">
        <v>833</v>
      </c>
      <c r="B23" s="26"/>
      <c r="C23" s="26"/>
      <c r="D23" s="26"/>
      <c r="E23" s="26"/>
      <c r="F23" s="5"/>
      <c r="G23" s="6"/>
      <c r="H23" s="7">
        <f>H16-H21</f>
        <v>-10</v>
      </c>
      <c r="I23" s="32"/>
      <c r="J23" s="7">
        <f>J16-J21</f>
        <v>-2</v>
      </c>
      <c r="K23" s="7"/>
      <c r="L23" s="7">
        <f>L16-L21</f>
        <v>1</v>
      </c>
      <c r="M23" s="26"/>
      <c r="N23" s="7">
        <f>SUM(H23:L23)</f>
        <v>-11</v>
      </c>
    </row>
    <row r="24" spans="1:14" ht="5.0999999999999996" customHeight="1" x14ac:dyDescent="0.2">
      <c r="A24" s="26"/>
      <c r="B24" s="26"/>
      <c r="C24" s="26"/>
      <c r="D24" s="26"/>
      <c r="E24" s="26"/>
      <c r="F24" s="12"/>
      <c r="G24" s="6"/>
      <c r="H24" s="7"/>
      <c r="I24" s="7"/>
      <c r="J24" s="32"/>
      <c r="K24" s="32"/>
      <c r="L24" s="32"/>
      <c r="M24" s="26"/>
      <c r="N24" s="7"/>
    </row>
    <row r="25" spans="1:14" ht="11.1" customHeight="1" x14ac:dyDescent="0.2">
      <c r="A25" s="5" t="s">
        <v>51</v>
      </c>
      <c r="B25" s="26"/>
      <c r="C25" s="26"/>
      <c r="D25" s="26"/>
      <c r="E25" s="26"/>
      <c r="F25" s="5"/>
      <c r="G25" s="6"/>
      <c r="H25" s="8">
        <v>10</v>
      </c>
      <c r="I25" s="7"/>
      <c r="J25" s="33">
        <v>2</v>
      </c>
      <c r="K25" s="32"/>
      <c r="L25" s="33">
        <v>21</v>
      </c>
      <c r="M25" s="26"/>
      <c r="N25" s="8">
        <f>SUM(H25:L25)</f>
        <v>33</v>
      </c>
    </row>
    <row r="26" spans="1:14" ht="5.0999999999999996" customHeight="1" x14ac:dyDescent="0.2">
      <c r="A26" s="5"/>
      <c r="B26" s="26"/>
      <c r="C26" s="26"/>
      <c r="D26" s="26"/>
      <c r="E26" s="26"/>
      <c r="F26" s="5"/>
      <c r="G26" s="6"/>
      <c r="H26" s="7"/>
      <c r="I26" s="7"/>
      <c r="J26" s="32"/>
      <c r="K26" s="32"/>
      <c r="L26" s="32"/>
      <c r="M26" s="26"/>
      <c r="N26" s="7"/>
    </row>
    <row r="27" spans="1:14" ht="11.1" customHeight="1" thickBot="1" x14ac:dyDescent="0.25">
      <c r="A27" s="22" t="s">
        <v>52</v>
      </c>
      <c r="B27" s="26"/>
      <c r="C27" s="26"/>
      <c r="D27" s="26"/>
      <c r="E27" s="26"/>
      <c r="F27" s="5"/>
      <c r="G27" s="20"/>
      <c r="H27" s="91">
        <f>H23+H25</f>
        <v>0</v>
      </c>
      <c r="I27" s="20"/>
      <c r="J27" s="91">
        <f>J23+J25</f>
        <v>0</v>
      </c>
      <c r="K27" s="6"/>
      <c r="L27" s="91">
        <f>L23+L25</f>
        <v>22</v>
      </c>
      <c r="M27" s="26"/>
      <c r="N27" s="91">
        <f>SUM(H27:L27)</f>
        <v>22</v>
      </c>
    </row>
    <row r="28" spans="1:14" ht="5.0999999999999996" customHeight="1" thickTop="1" x14ac:dyDescent="0.2">
      <c r="A28" s="26"/>
      <c r="B28" s="26"/>
      <c r="C28" s="26"/>
      <c r="D28" s="26"/>
      <c r="E28" s="26"/>
      <c r="F28" s="5"/>
      <c r="G28" s="5"/>
      <c r="H28" s="5"/>
      <c r="I28" s="5"/>
      <c r="J28" s="26"/>
      <c r="K28" s="26"/>
      <c r="L28" s="26"/>
      <c r="M28" s="26"/>
      <c r="N28" s="5"/>
    </row>
    <row r="29" spans="1:14" ht="9.9499999999999993" customHeight="1" x14ac:dyDescent="0.2">
      <c r="A29" s="26"/>
      <c r="B29" s="26"/>
      <c r="C29" s="26"/>
      <c r="D29" s="26"/>
      <c r="E29" s="26"/>
      <c r="F29" s="5"/>
      <c r="G29" s="5"/>
      <c r="H29" s="5"/>
      <c r="I29" s="5"/>
      <c r="J29" s="26"/>
      <c r="K29" s="26"/>
      <c r="L29" s="26"/>
      <c r="M29" s="26"/>
      <c r="N29" s="5"/>
    </row>
    <row r="30" spans="1:14" ht="9.9499999999999993" customHeight="1" x14ac:dyDescent="0.2">
      <c r="A30" s="34"/>
      <c r="B30" s="34"/>
      <c r="C30" s="34"/>
      <c r="D30" s="34"/>
      <c r="E30" s="34"/>
      <c r="F30" s="39" t="s">
        <v>490</v>
      </c>
      <c r="G30" s="40"/>
      <c r="H30" s="40">
        <f>SUM('x-SONAFF PrivatePurpose'!F25-'x-Changes PrivatePurpose'!H27)</f>
        <v>0</v>
      </c>
      <c r="I30" s="40"/>
      <c r="J30" s="40">
        <f>SUM('x-SONAFF PrivatePurpose'!H25-'x-Changes PrivatePurpose'!J27)</f>
        <v>0</v>
      </c>
      <c r="K30" s="40"/>
      <c r="L30" s="40">
        <f>SUM('x-SONAFF PrivatePurpose'!J25-'x-Changes PrivatePurpose'!L27)</f>
        <v>0</v>
      </c>
      <c r="M30" s="34"/>
      <c r="N30" s="40">
        <f>SUM('x-SONAFF PrivatePurpose'!L25-'x-Changes PrivatePurpose'!N27)</f>
        <v>0</v>
      </c>
    </row>
    <row r="31" spans="1:14" ht="9.9499999999999993" customHeight="1" x14ac:dyDescent="0.2">
      <c r="A31" s="26"/>
      <c r="B31" s="26"/>
      <c r="C31" s="26"/>
      <c r="D31" s="26"/>
      <c r="E31" s="26"/>
      <c r="F31" s="5"/>
      <c r="G31" s="5"/>
      <c r="H31" s="5"/>
      <c r="I31" s="5"/>
      <c r="J31" s="26"/>
      <c r="K31" s="26"/>
      <c r="L31" s="26"/>
      <c r="M31" s="26"/>
      <c r="N31" s="26"/>
    </row>
    <row r="32" spans="1:14" ht="9.9499999999999993" customHeight="1" x14ac:dyDescent="0.2">
      <c r="A32" s="26"/>
      <c r="B32" s="26"/>
      <c r="C32" s="26"/>
      <c r="D32" s="26"/>
      <c r="E32" s="26"/>
      <c r="F32" s="5"/>
      <c r="G32" s="5"/>
      <c r="H32" s="5"/>
      <c r="I32" s="5"/>
      <c r="J32" s="26"/>
      <c r="K32" s="26"/>
      <c r="L32" s="26"/>
      <c r="M32" s="26"/>
      <c r="N32" s="26"/>
    </row>
    <row r="33" spans="1:14" ht="9.9499999999999993" customHeight="1" x14ac:dyDescent="0.2">
      <c r="A33" s="26"/>
      <c r="B33" s="26"/>
      <c r="C33" s="26"/>
      <c r="D33" s="26"/>
      <c r="E33" s="26"/>
      <c r="F33" s="5"/>
      <c r="G33" s="5"/>
      <c r="H33" s="5"/>
      <c r="I33" s="5"/>
      <c r="J33" s="26"/>
      <c r="K33" s="26"/>
      <c r="L33" s="26"/>
      <c r="M33" s="26"/>
      <c r="N33" s="26"/>
    </row>
  </sheetData>
  <mergeCells count="1">
    <mergeCell ref="A1:N1"/>
  </mergeCells>
  <phoneticPr fontId="9" type="noConversion"/>
  <printOptions horizontalCentered="1"/>
  <pageMargins left="0.5" right="0.5" top="0.75" bottom="0.875" header="0.5" footer="0.7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7" tint="0.39997558519241921"/>
    <pageSetUpPr fitToPage="1"/>
  </sheetPr>
  <dimension ref="A1:CK498"/>
  <sheetViews>
    <sheetView zoomScaleNormal="100" zoomScaleSheetLayoutView="100" workbookViewId="0">
      <pane xSplit="1" ySplit="1" topLeftCell="B33" activePane="bottomRight" state="frozen"/>
      <selection activeCell="A116" sqref="A116"/>
      <selection pane="topRight" activeCell="A116" sqref="A116"/>
      <selection pane="bottomLeft" activeCell="A116" sqref="A116"/>
      <selection pane="bottomRight" activeCell="C87" sqref="C87:BW91"/>
    </sheetView>
  </sheetViews>
  <sheetFormatPr defaultColWidth="9.140625" defaultRowHeight="12.75" x14ac:dyDescent="0.2"/>
  <cols>
    <col min="1" max="1" width="43" style="202" customWidth="1"/>
    <col min="2" max="24" width="12.5703125" style="196" customWidth="1"/>
    <col min="25" max="27" width="12.5703125" style="196" hidden="1" customWidth="1"/>
    <col min="28" max="62" width="12.5703125" style="196" customWidth="1"/>
    <col min="63" max="63" width="12.5703125" style="207" customWidth="1"/>
    <col min="64" max="80" width="12.5703125" style="196" customWidth="1"/>
    <col min="81" max="81" width="2.140625" style="197" customWidth="1"/>
    <col min="82" max="85" width="12.5703125" style="196" customWidth="1"/>
    <col min="86" max="86" width="9.140625" style="196"/>
    <col min="87" max="89" width="10.85546875" style="196" customWidth="1"/>
    <col min="90" max="16384" width="9.140625" style="196"/>
  </cols>
  <sheetData>
    <row r="1" spans="1:89" s="192" customFormat="1" ht="64.5" thickBot="1" x14ac:dyDescent="0.25">
      <c r="A1" s="368" t="s">
        <v>1723</v>
      </c>
      <c r="B1" s="235" t="s">
        <v>1055</v>
      </c>
      <c r="C1" s="236" t="s">
        <v>120</v>
      </c>
      <c r="D1" s="237" t="s">
        <v>876</v>
      </c>
      <c r="E1" s="238" t="s">
        <v>1609</v>
      </c>
      <c r="F1" s="238" t="s">
        <v>877</v>
      </c>
      <c r="G1" s="238" t="s">
        <v>879</v>
      </c>
      <c r="H1" s="238" t="s">
        <v>126</v>
      </c>
      <c r="I1" s="238" t="s">
        <v>127</v>
      </c>
      <c r="J1" s="238" t="s">
        <v>880</v>
      </c>
      <c r="K1" s="240" t="s">
        <v>132</v>
      </c>
      <c r="L1" s="240" t="s">
        <v>881</v>
      </c>
      <c r="M1" s="240" t="s">
        <v>125</v>
      </c>
      <c r="N1" s="240" t="s">
        <v>882</v>
      </c>
      <c r="O1" s="240" t="s">
        <v>883</v>
      </c>
      <c r="P1" s="240" t="s">
        <v>885</v>
      </c>
      <c r="Q1" s="240" t="s">
        <v>123</v>
      </c>
      <c r="R1" s="240" t="s">
        <v>1190</v>
      </c>
      <c r="S1" s="240" t="s">
        <v>1501</v>
      </c>
      <c r="T1" s="240" t="s">
        <v>1201</v>
      </c>
      <c r="U1" s="240" t="s">
        <v>1030</v>
      </c>
      <c r="V1" s="552" t="s">
        <v>914</v>
      </c>
      <c r="W1" s="240" t="s">
        <v>858</v>
      </c>
      <c r="X1" s="240" t="s">
        <v>134</v>
      </c>
      <c r="Y1" s="239" t="s">
        <v>905</v>
      </c>
      <c r="Z1" s="239" t="s">
        <v>906</v>
      </c>
      <c r="AA1" s="1209" t="s">
        <v>1323</v>
      </c>
      <c r="AB1" s="1209" t="s">
        <v>1625</v>
      </c>
      <c r="AC1" s="239" t="s">
        <v>1042</v>
      </c>
      <c r="AD1" s="239" t="s">
        <v>1312</v>
      </c>
      <c r="AE1" s="239" t="s">
        <v>1568</v>
      </c>
      <c r="AF1" s="239" t="s">
        <v>908</v>
      </c>
      <c r="AG1" s="1209" t="s">
        <v>1431</v>
      </c>
      <c r="AH1" s="1209" t="s">
        <v>1456</v>
      </c>
      <c r="AI1" s="239" t="s">
        <v>1572</v>
      </c>
      <c r="AJ1" s="1209" t="s">
        <v>1622</v>
      </c>
      <c r="AK1" s="1209" t="s">
        <v>1728</v>
      </c>
      <c r="AL1" s="239" t="s">
        <v>1432</v>
      </c>
      <c r="AM1" s="239" t="s">
        <v>1457</v>
      </c>
      <c r="AN1" s="239" t="s">
        <v>1499</v>
      </c>
      <c r="AO1" s="239" t="s">
        <v>1565</v>
      </c>
      <c r="AP1" s="239" t="s">
        <v>1619</v>
      </c>
      <c r="AQ1" s="239" t="s">
        <v>1732</v>
      </c>
      <c r="AR1" s="239" t="s">
        <v>909</v>
      </c>
      <c r="AS1" s="239" t="s">
        <v>910</v>
      </c>
      <c r="AT1" s="239" t="s">
        <v>165</v>
      </c>
      <c r="AU1" s="239" t="s">
        <v>166</v>
      </c>
      <c r="AV1" s="239" t="s">
        <v>911</v>
      </c>
      <c r="AW1" s="239" t="s">
        <v>912</v>
      </c>
      <c r="AX1" s="239" t="s">
        <v>647</v>
      </c>
      <c r="AY1" s="241" t="s">
        <v>913</v>
      </c>
      <c r="AZ1" s="241" t="s">
        <v>1070</v>
      </c>
      <c r="BA1" s="241" t="s">
        <v>916</v>
      </c>
      <c r="BB1" s="241" t="s">
        <v>917</v>
      </c>
      <c r="BC1" s="241" t="s">
        <v>1412</v>
      </c>
      <c r="BD1" s="385" t="s">
        <v>1687</v>
      </c>
      <c r="BE1" s="385" t="s">
        <v>896</v>
      </c>
      <c r="BF1" s="385" t="s">
        <v>1537</v>
      </c>
      <c r="BG1" s="385" t="s">
        <v>895</v>
      </c>
      <c r="BH1" s="385" t="s">
        <v>1317</v>
      </c>
      <c r="BI1" s="385" t="s">
        <v>898</v>
      </c>
      <c r="BJ1" s="385" t="s">
        <v>1135</v>
      </c>
      <c r="BK1" s="385" t="s">
        <v>904</v>
      </c>
      <c r="BL1" s="385" t="s">
        <v>723</v>
      </c>
      <c r="BM1" s="385" t="s">
        <v>901</v>
      </c>
      <c r="BN1" s="385" t="s">
        <v>1136</v>
      </c>
      <c r="BO1" s="385" t="s">
        <v>902</v>
      </c>
      <c r="BP1" s="385" t="s">
        <v>1098</v>
      </c>
      <c r="BQ1" s="385" t="s">
        <v>1540</v>
      </c>
      <c r="BR1" s="385" t="s">
        <v>1177</v>
      </c>
      <c r="BS1" s="385" t="s">
        <v>1137</v>
      </c>
      <c r="BT1" s="242" t="s">
        <v>918</v>
      </c>
      <c r="BU1" s="242" t="s">
        <v>919</v>
      </c>
      <c r="BV1" s="242" t="s">
        <v>920</v>
      </c>
      <c r="BW1" s="242" t="s">
        <v>921</v>
      </c>
      <c r="BX1" s="242" t="s">
        <v>922</v>
      </c>
      <c r="BY1" s="242" t="s">
        <v>881</v>
      </c>
      <c r="BZ1" s="236" t="s">
        <v>923</v>
      </c>
      <c r="CA1" s="236" t="s">
        <v>1011</v>
      </c>
      <c r="CB1" s="243" t="s">
        <v>924</v>
      </c>
      <c r="CC1" s="191"/>
      <c r="CD1" s="369" t="s">
        <v>771</v>
      </c>
      <c r="CE1" s="370" t="s">
        <v>148</v>
      </c>
      <c r="CF1" s="370" t="s">
        <v>519</v>
      </c>
      <c r="CG1" s="371" t="s">
        <v>760</v>
      </c>
    </row>
    <row r="2" spans="1:89" s="192" customFormat="1" x14ac:dyDescent="0.2">
      <c r="A2" s="193" t="s">
        <v>1047</v>
      </c>
      <c r="B2" s="194"/>
      <c r="C2" s="1049"/>
      <c r="D2" s="194"/>
      <c r="E2" s="194"/>
      <c r="F2" s="194"/>
      <c r="G2" s="194"/>
      <c r="H2" s="194"/>
      <c r="I2" s="194"/>
      <c r="J2" s="194"/>
      <c r="K2" s="194"/>
      <c r="L2" s="194"/>
      <c r="M2" s="194"/>
      <c r="N2" s="194"/>
      <c r="O2" s="194"/>
      <c r="P2" s="194"/>
      <c r="Q2" s="194"/>
      <c r="R2" s="194"/>
      <c r="S2" s="194"/>
      <c r="T2" s="194"/>
      <c r="U2" s="194"/>
      <c r="V2" s="1140"/>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1"/>
      <c r="CD2" s="194"/>
      <c r="CE2" s="194"/>
      <c r="CF2" s="194"/>
      <c r="CG2" s="194"/>
      <c r="CI2" s="1070" t="s">
        <v>1179</v>
      </c>
      <c r="CJ2" s="1070" t="s">
        <v>1180</v>
      </c>
      <c r="CK2" s="1070" t="s">
        <v>1181</v>
      </c>
    </row>
    <row r="3" spans="1:89" x14ac:dyDescent="0.2">
      <c r="A3" s="195" t="s">
        <v>953</v>
      </c>
      <c r="B3" s="196">
        <f t="shared" ref="B3:B18" si="0">SUM(C3:CB3)</f>
        <v>195810</v>
      </c>
      <c r="C3" s="928">
        <v>131086</v>
      </c>
      <c r="D3" s="928">
        <v>837</v>
      </c>
      <c r="E3" s="1396">
        <v>7344</v>
      </c>
      <c r="F3" s="1396">
        <v>3621</v>
      </c>
      <c r="G3" s="1396"/>
      <c r="H3" s="1396"/>
      <c r="I3" s="1396"/>
      <c r="J3" s="1396"/>
      <c r="K3" s="928"/>
      <c r="N3" s="928"/>
      <c r="O3" s="928">
        <v>5709</v>
      </c>
      <c r="P3" s="928"/>
      <c r="Q3" s="928"/>
      <c r="R3" s="928"/>
      <c r="T3" s="1097"/>
      <c r="U3" s="928"/>
      <c r="V3" s="1097"/>
      <c r="W3" s="928"/>
      <c r="X3" s="928"/>
      <c r="Y3" s="928"/>
      <c r="Z3" s="928"/>
      <c r="AA3" s="928"/>
      <c r="AB3" s="928">
        <v>0</v>
      </c>
      <c r="AC3" s="928">
        <v>0</v>
      </c>
      <c r="AD3" s="928">
        <v>0</v>
      </c>
      <c r="AE3" s="928">
        <v>0</v>
      </c>
      <c r="AF3" s="928">
        <v>13</v>
      </c>
      <c r="AG3" s="928">
        <v>0</v>
      </c>
      <c r="AH3" s="928">
        <v>0</v>
      </c>
      <c r="AI3" s="928">
        <v>0</v>
      </c>
      <c r="AJ3" s="928">
        <v>0</v>
      </c>
      <c r="AK3" s="928">
        <v>0</v>
      </c>
      <c r="AL3" s="928">
        <v>0</v>
      </c>
      <c r="AM3" s="928">
        <f>1+9</f>
        <v>10</v>
      </c>
      <c r="AN3" s="928">
        <v>30</v>
      </c>
      <c r="AO3" s="928">
        <v>70</v>
      </c>
      <c r="AP3" s="928">
        <v>4</v>
      </c>
      <c r="AQ3" s="928">
        <v>0</v>
      </c>
      <c r="AR3" s="928">
        <f>15838+1+80</f>
        <v>15919</v>
      </c>
      <c r="AS3" s="928">
        <v>0</v>
      </c>
      <c r="AT3" s="928">
        <v>38374</v>
      </c>
      <c r="AU3" s="928">
        <v>0</v>
      </c>
      <c r="AV3" s="928">
        <v>0</v>
      </c>
      <c r="AW3" s="928">
        <v>579</v>
      </c>
      <c r="AX3" s="928"/>
      <c r="AY3" s="1097"/>
      <c r="AZ3" s="1097"/>
      <c r="BA3" s="1097"/>
      <c r="BB3" s="1097"/>
      <c r="BC3" s="1097"/>
      <c r="BF3" s="1097">
        <v>9436</v>
      </c>
      <c r="BK3" s="1097">
        <v>5</v>
      </c>
      <c r="BL3" s="1097"/>
      <c r="BQ3" s="1097"/>
      <c r="BT3" s="1337">
        <v>1416</v>
      </c>
      <c r="BU3" s="928">
        <v>791</v>
      </c>
      <c r="BV3" s="1337">
        <v>52</v>
      </c>
      <c r="BW3" s="1097">
        <v>390</v>
      </c>
      <c r="BX3" s="1292">
        <v>131</v>
      </c>
      <c r="BY3" s="1210">
        <v>-4</v>
      </c>
      <c r="BZ3" s="928">
        <v>6666</v>
      </c>
      <c r="CA3" s="1097">
        <v>-26669</v>
      </c>
      <c r="CH3" s="434"/>
      <c r="CI3" s="935">
        <v>21228</v>
      </c>
      <c r="CJ3" s="196">
        <v>4389</v>
      </c>
      <c r="CK3" s="196">
        <f>775-1347</f>
        <v>-572</v>
      </c>
    </row>
    <row r="4" spans="1:89" x14ac:dyDescent="0.2">
      <c r="A4" s="195" t="s">
        <v>954</v>
      </c>
      <c r="B4" s="196">
        <f t="shared" si="0"/>
        <v>1027190</v>
      </c>
      <c r="C4" s="928">
        <v>941964</v>
      </c>
      <c r="D4" s="928"/>
      <c r="E4" s="1396">
        <v>214</v>
      </c>
      <c r="F4" s="1396">
        <f>24407+71</f>
        <v>24478</v>
      </c>
      <c r="G4" s="1396"/>
      <c r="H4" s="1396">
        <f>1008</f>
        <v>1008</v>
      </c>
      <c r="I4" s="1396"/>
      <c r="J4" s="1396"/>
      <c r="K4" s="928"/>
      <c r="N4" s="928"/>
      <c r="O4" s="928">
        <v>9748</v>
      </c>
      <c r="P4" s="928"/>
      <c r="Q4" s="928"/>
      <c r="R4" s="928"/>
      <c r="T4" s="1097"/>
      <c r="U4" s="928"/>
      <c r="V4" s="1097"/>
      <c r="W4" s="928"/>
      <c r="X4" s="928"/>
      <c r="Y4" s="928"/>
      <c r="Z4" s="928"/>
      <c r="AA4" s="928"/>
      <c r="AB4" s="928">
        <v>0</v>
      </c>
      <c r="AC4" s="928">
        <v>0</v>
      </c>
      <c r="AD4" s="928">
        <f>57+1</f>
        <v>58</v>
      </c>
      <c r="AE4" s="928">
        <v>177</v>
      </c>
      <c r="AF4" s="928">
        <v>0</v>
      </c>
      <c r="AG4" s="928">
        <v>0</v>
      </c>
      <c r="AH4" s="928">
        <v>0</v>
      </c>
      <c r="AI4" s="928">
        <v>0</v>
      </c>
      <c r="AJ4" s="928">
        <v>0</v>
      </c>
      <c r="AK4" s="928">
        <v>0</v>
      </c>
      <c r="AL4" s="928">
        <v>0</v>
      </c>
      <c r="AM4" s="928">
        <v>22</v>
      </c>
      <c r="AN4" s="928">
        <v>189</v>
      </c>
      <c r="AO4" s="928">
        <v>0</v>
      </c>
      <c r="AP4" s="928">
        <v>23</v>
      </c>
      <c r="AQ4" s="928">
        <v>0</v>
      </c>
      <c r="AR4" s="928">
        <v>0</v>
      </c>
      <c r="AS4" s="928">
        <v>0</v>
      </c>
      <c r="AT4" s="928">
        <v>7374</v>
      </c>
      <c r="AU4" s="928">
        <v>0</v>
      </c>
      <c r="AV4" s="928">
        <v>0</v>
      </c>
      <c r="AW4" s="928">
        <v>11</v>
      </c>
      <c r="AX4" s="928"/>
      <c r="AY4" s="1097"/>
      <c r="AZ4" s="1097"/>
      <c r="BA4" s="1097"/>
      <c r="BB4" s="1097"/>
      <c r="BC4" s="1097"/>
      <c r="BF4" s="1097"/>
      <c r="BK4" s="1097"/>
      <c r="BL4" s="1097"/>
      <c r="BQ4" s="1097"/>
      <c r="BT4" s="1337">
        <v>8449</v>
      </c>
      <c r="BU4" s="1337">
        <v>3778</v>
      </c>
      <c r="BV4" s="1337">
        <v>1569</v>
      </c>
      <c r="BW4" s="1097">
        <v>929</v>
      </c>
      <c r="BX4" s="1292">
        <v>650</v>
      </c>
      <c r="BY4" s="1210">
        <v>-1</v>
      </c>
      <c r="BZ4" s="928">
        <v>30561</v>
      </c>
      <c r="CA4" s="1097">
        <v>-4011</v>
      </c>
      <c r="CH4" s="434"/>
      <c r="CI4" s="935">
        <v>11042</v>
      </c>
      <c r="CJ4" s="196">
        <v>64</v>
      </c>
      <c r="CK4" s="196">
        <v>692</v>
      </c>
    </row>
    <row r="5" spans="1:89" x14ac:dyDescent="0.2">
      <c r="A5" s="195" t="s">
        <v>955</v>
      </c>
      <c r="B5" s="196">
        <f t="shared" si="0"/>
        <v>438995</v>
      </c>
      <c r="C5" s="928">
        <v>69525</v>
      </c>
      <c r="D5" s="928"/>
      <c r="E5" s="1396">
        <v>12093</v>
      </c>
      <c r="F5" s="1396">
        <v>15042</v>
      </c>
      <c r="G5" s="1396"/>
      <c r="H5" s="1389"/>
      <c r="I5" s="1396"/>
      <c r="J5" s="1396"/>
      <c r="K5" s="928">
        <v>8387</v>
      </c>
      <c r="N5" s="928"/>
      <c r="O5" s="928">
        <v>4668</v>
      </c>
      <c r="P5" s="928"/>
      <c r="Q5" s="928"/>
      <c r="R5" s="928"/>
      <c r="T5" s="1097"/>
      <c r="U5" s="928">
        <v>4105</v>
      </c>
      <c r="V5" s="1097"/>
      <c r="W5" s="928">
        <v>46436</v>
      </c>
      <c r="X5" s="928"/>
      <c r="Y5" s="928"/>
      <c r="Z5" s="928"/>
      <c r="AA5" s="928"/>
      <c r="AB5" s="928">
        <v>0</v>
      </c>
      <c r="AC5" s="928">
        <v>0</v>
      </c>
      <c r="AD5" s="928">
        <v>7890</v>
      </c>
      <c r="AE5" s="928">
        <v>1471</v>
      </c>
      <c r="AF5" s="928">
        <v>247820</v>
      </c>
      <c r="AG5" s="928">
        <v>0</v>
      </c>
      <c r="AH5" s="928">
        <v>0</v>
      </c>
      <c r="AI5" s="928">
        <v>0</v>
      </c>
      <c r="AJ5" s="928">
        <v>0</v>
      </c>
      <c r="AK5" s="928">
        <v>0</v>
      </c>
      <c r="AL5" s="928">
        <v>106</v>
      </c>
      <c r="AM5" s="928">
        <v>2</v>
      </c>
      <c r="AN5" s="928">
        <v>2</v>
      </c>
      <c r="AO5" s="928">
        <v>394</v>
      </c>
      <c r="AP5" s="928">
        <v>57</v>
      </c>
      <c r="AQ5" s="928">
        <v>0</v>
      </c>
      <c r="AR5" s="928">
        <f>30624+442+387</f>
        <v>31453</v>
      </c>
      <c r="AS5" s="928">
        <v>0</v>
      </c>
      <c r="AT5" s="928">
        <v>129240</v>
      </c>
      <c r="AU5" s="928">
        <v>0</v>
      </c>
      <c r="AV5" s="928">
        <v>0</v>
      </c>
      <c r="AW5" s="928">
        <v>214</v>
      </c>
      <c r="AX5" s="928"/>
      <c r="AY5" s="1097"/>
      <c r="AZ5" s="1097"/>
      <c r="BA5" s="1097"/>
      <c r="BB5" s="1097"/>
      <c r="BC5" s="1097"/>
      <c r="BF5" s="1097"/>
      <c r="BK5" s="1097"/>
      <c r="BL5" s="1097"/>
      <c r="BQ5" s="1097"/>
      <c r="BT5" s="1337">
        <v>818</v>
      </c>
      <c r="BU5" s="928">
        <v>630</v>
      </c>
      <c r="BV5" s="1337">
        <v>63</v>
      </c>
      <c r="BW5" s="1097">
        <v>196</v>
      </c>
      <c r="BX5" s="1292">
        <v>280</v>
      </c>
      <c r="BY5" s="1210">
        <v>-997</v>
      </c>
      <c r="BZ5" s="928">
        <v>1759</v>
      </c>
      <c r="CA5" s="1097">
        <v>-142659</v>
      </c>
      <c r="CH5" s="434"/>
      <c r="CI5" s="935">
        <v>84810</v>
      </c>
      <c r="CJ5" s="196">
        <v>62576</v>
      </c>
      <c r="CK5" s="196">
        <v>152</v>
      </c>
    </row>
    <row r="6" spans="1:89" x14ac:dyDescent="0.2">
      <c r="A6" s="195" t="s">
        <v>958</v>
      </c>
      <c r="B6" s="196">
        <f t="shared" si="0"/>
        <v>13297</v>
      </c>
      <c r="C6" s="928"/>
      <c r="D6" s="928"/>
      <c r="E6" s="1396"/>
      <c r="F6" s="1396">
        <v>23</v>
      </c>
      <c r="G6" s="1396"/>
      <c r="H6" s="1396"/>
      <c r="I6" s="1396"/>
      <c r="J6" s="1396"/>
      <c r="K6" s="928"/>
      <c r="N6" s="928"/>
      <c r="O6" s="928"/>
      <c r="P6" s="928"/>
      <c r="Q6" s="928"/>
      <c r="R6" s="928"/>
      <c r="T6" s="1097">
        <v>12586</v>
      </c>
      <c r="U6" s="928"/>
      <c r="V6" s="1097"/>
      <c r="W6" s="928"/>
      <c r="X6" s="928"/>
      <c r="Y6" s="928"/>
      <c r="Z6" s="928"/>
      <c r="AA6" s="928"/>
      <c r="AB6" s="928"/>
      <c r="AC6" s="928"/>
      <c r="AD6" s="928"/>
      <c r="AE6" s="928"/>
      <c r="AF6" s="928"/>
      <c r="AG6" s="928"/>
      <c r="AH6" s="928"/>
      <c r="AI6" s="928"/>
      <c r="AJ6" s="928"/>
      <c r="AK6" s="928"/>
      <c r="AL6" s="928"/>
      <c r="AM6" s="928"/>
      <c r="AN6" s="928"/>
      <c r="AO6" s="928"/>
      <c r="AP6" s="928"/>
      <c r="AQ6" s="928"/>
      <c r="AR6" s="928"/>
      <c r="AS6" s="928"/>
      <c r="AT6" s="928"/>
      <c r="AU6" s="928"/>
      <c r="AV6" s="928"/>
      <c r="AW6" s="928"/>
      <c r="AX6" s="928"/>
      <c r="AY6" s="1097"/>
      <c r="AZ6" s="1097"/>
      <c r="BA6" s="1097"/>
      <c r="BB6" s="1097"/>
      <c r="BC6" s="1097"/>
      <c r="BF6" s="1097"/>
      <c r="BK6" s="1097"/>
      <c r="BL6" s="1097"/>
      <c r="BQ6" s="1097"/>
      <c r="BT6" s="1337">
        <v>105</v>
      </c>
      <c r="BU6" s="928">
        <v>26</v>
      </c>
      <c r="BV6" s="1337">
        <v>38</v>
      </c>
      <c r="BW6" s="1097">
        <v>15</v>
      </c>
      <c r="BX6" s="1292">
        <v>498</v>
      </c>
      <c r="BY6" s="1210"/>
      <c r="BZ6" s="928">
        <v>0</v>
      </c>
      <c r="CA6" s="1097">
        <v>6</v>
      </c>
      <c r="CH6" s="434"/>
      <c r="CI6" s="935">
        <v>76</v>
      </c>
    </row>
    <row r="7" spans="1:89" x14ac:dyDescent="0.2">
      <c r="A7" s="195" t="s">
        <v>956</v>
      </c>
      <c r="B7" s="196">
        <f t="shared" si="0"/>
        <v>124759</v>
      </c>
      <c r="C7" s="928">
        <v>68106</v>
      </c>
      <c r="D7" s="928"/>
      <c r="E7" s="1396">
        <v>25295</v>
      </c>
      <c r="F7" s="1396">
        <v>18945</v>
      </c>
      <c r="G7" s="1396"/>
      <c r="H7" s="1396"/>
      <c r="I7" s="1396"/>
      <c r="J7" s="1396"/>
      <c r="K7" s="928"/>
      <c r="N7" s="928"/>
      <c r="O7" s="928">
        <v>9082</v>
      </c>
      <c r="P7" s="928"/>
      <c r="Q7" s="928"/>
      <c r="R7" s="928"/>
      <c r="T7" s="1097"/>
      <c r="U7" s="928"/>
      <c r="V7" s="1097"/>
      <c r="W7" s="928"/>
      <c r="X7" s="928"/>
      <c r="Y7" s="928"/>
      <c r="Z7" s="928"/>
      <c r="AA7" s="928"/>
      <c r="AB7" s="928"/>
      <c r="AC7" s="928"/>
      <c r="AD7" s="928"/>
      <c r="AE7" s="928"/>
      <c r="AF7" s="928"/>
      <c r="AG7" s="928"/>
      <c r="AH7" s="928"/>
      <c r="AI7" s="928"/>
      <c r="AJ7" s="928"/>
      <c r="AK7" s="928"/>
      <c r="AL7" s="928"/>
      <c r="AM7" s="928"/>
      <c r="AN7" s="928"/>
      <c r="AO7" s="928"/>
      <c r="AP7" s="928"/>
      <c r="AQ7" s="928"/>
      <c r="AR7" s="928"/>
      <c r="AS7" s="928"/>
      <c r="AT7" s="928"/>
      <c r="AU7" s="928"/>
      <c r="AV7" s="928"/>
      <c r="AW7" s="928"/>
      <c r="AX7" s="928"/>
      <c r="AY7" s="1097"/>
      <c r="AZ7" s="1097"/>
      <c r="BA7" s="1097"/>
      <c r="BB7" s="1097"/>
      <c r="BC7" s="1097"/>
      <c r="BF7" s="1097"/>
      <c r="BK7" s="1097"/>
      <c r="BL7" s="1097"/>
      <c r="BQ7" s="1097"/>
      <c r="BT7" s="1337">
        <v>794</v>
      </c>
      <c r="BU7" s="928">
        <v>95</v>
      </c>
      <c r="BV7" s="1337">
        <v>50</v>
      </c>
      <c r="BW7" s="1097">
        <v>129</v>
      </c>
      <c r="BX7" s="1292">
        <v>50</v>
      </c>
      <c r="BY7" s="1210"/>
      <c r="BZ7" s="928">
        <v>1725</v>
      </c>
      <c r="CA7" s="1097">
        <v>488</v>
      </c>
      <c r="CH7" s="434"/>
      <c r="CI7" s="935">
        <v>963</v>
      </c>
      <c r="CK7" s="196">
        <v>13</v>
      </c>
    </row>
    <row r="8" spans="1:89" x14ac:dyDescent="0.2">
      <c r="A8" s="195" t="s">
        <v>961</v>
      </c>
      <c r="B8" s="196">
        <f t="shared" si="0"/>
        <v>258340</v>
      </c>
      <c r="C8" s="928">
        <v>150813</v>
      </c>
      <c r="D8" s="928"/>
      <c r="E8" s="1396"/>
      <c r="F8" s="1396">
        <v>197</v>
      </c>
      <c r="G8" s="1396">
        <v>347</v>
      </c>
      <c r="H8" s="1396"/>
      <c r="I8" s="1396"/>
      <c r="J8" s="1396"/>
      <c r="K8" s="928"/>
      <c r="N8" s="928">
        <v>40897</v>
      </c>
      <c r="O8" s="928">
        <v>5380</v>
      </c>
      <c r="P8" s="928"/>
      <c r="Q8" s="928"/>
      <c r="R8" s="928"/>
      <c r="T8" s="1097"/>
      <c r="U8" s="928"/>
      <c r="V8" s="1097"/>
      <c r="W8" s="928"/>
      <c r="X8" s="928"/>
      <c r="Y8" s="928"/>
      <c r="Z8" s="928"/>
      <c r="AA8" s="928"/>
      <c r="AB8" s="928">
        <v>0</v>
      </c>
      <c r="AC8" s="928">
        <v>0</v>
      </c>
      <c r="AD8" s="928">
        <v>862</v>
      </c>
      <c r="AE8" s="928">
        <v>874</v>
      </c>
      <c r="AF8" s="928">
        <v>242</v>
      </c>
      <c r="AG8" s="928">
        <v>0</v>
      </c>
      <c r="AH8" s="928">
        <v>0</v>
      </c>
      <c r="AI8" s="928">
        <v>0</v>
      </c>
      <c r="AJ8" s="928">
        <v>0</v>
      </c>
      <c r="AK8" s="928">
        <v>0</v>
      </c>
      <c r="AL8" s="928">
        <v>0</v>
      </c>
      <c r="AM8" s="928">
        <v>0</v>
      </c>
      <c r="AN8" s="928">
        <v>2</v>
      </c>
      <c r="AO8" s="928">
        <v>27</v>
      </c>
      <c r="AP8" s="928">
        <v>2</v>
      </c>
      <c r="AQ8" s="928">
        <v>0</v>
      </c>
      <c r="AR8" s="928">
        <v>2362</v>
      </c>
      <c r="AS8" s="928">
        <v>0</v>
      </c>
      <c r="AT8" s="928">
        <v>57007</v>
      </c>
      <c r="AU8" s="928">
        <v>0</v>
      </c>
      <c r="AV8" s="928">
        <v>0</v>
      </c>
      <c r="AW8" s="928">
        <v>57</v>
      </c>
      <c r="AX8" s="928"/>
      <c r="AY8" s="1097">
        <v>9</v>
      </c>
      <c r="AZ8" s="1097">
        <v>442</v>
      </c>
      <c r="BA8" s="1097">
        <v>10</v>
      </c>
      <c r="BB8" s="1097">
        <v>16</v>
      </c>
      <c r="BC8" s="1097"/>
      <c r="BF8" s="1097"/>
      <c r="BJ8" s="196">
        <v>18646</v>
      </c>
      <c r="BK8" s="1097"/>
      <c r="BL8" s="1097"/>
      <c r="BQ8" s="1097"/>
      <c r="BT8" s="1337">
        <v>1124</v>
      </c>
      <c r="BU8" s="928">
        <v>1726</v>
      </c>
      <c r="BV8" s="1337">
        <v>168</v>
      </c>
      <c r="BW8" s="1097">
        <v>233</v>
      </c>
      <c r="BX8" s="1292">
        <v>186</v>
      </c>
      <c r="BY8" s="1210">
        <v>-32</v>
      </c>
      <c r="BZ8" s="928">
        <v>2407</v>
      </c>
      <c r="CA8" s="1097">
        <v>-25664</v>
      </c>
      <c r="CH8" s="434"/>
      <c r="CI8" s="935">
        <v>14875</v>
      </c>
      <c r="CJ8" s="196">
        <v>172</v>
      </c>
      <c r="CK8" s="196">
        <f>1816-908</f>
        <v>908</v>
      </c>
    </row>
    <row r="9" spans="1:89" x14ac:dyDescent="0.2">
      <c r="A9" s="195" t="s">
        <v>960</v>
      </c>
      <c r="B9" s="196">
        <f t="shared" si="0"/>
        <v>92716</v>
      </c>
      <c r="C9" s="928"/>
      <c r="D9" s="928"/>
      <c r="E9" s="1396"/>
      <c r="F9" s="1396"/>
      <c r="G9" s="1396"/>
      <c r="H9" s="1396"/>
      <c r="I9" s="1396"/>
      <c r="J9" s="1396"/>
      <c r="K9" s="928"/>
      <c r="N9" s="928">
        <v>36564</v>
      </c>
      <c r="O9" s="928">
        <v>10699</v>
      </c>
      <c r="P9" s="928">
        <v>3</v>
      </c>
      <c r="Q9" s="928"/>
      <c r="R9" s="928"/>
      <c r="T9" s="1097"/>
      <c r="U9" s="928"/>
      <c r="V9" s="1097"/>
      <c r="W9" s="928"/>
      <c r="X9" s="928"/>
      <c r="Y9" s="928"/>
      <c r="Z9" s="928"/>
      <c r="AA9" s="928"/>
      <c r="AB9" s="928">
        <v>0</v>
      </c>
      <c r="AC9" s="928">
        <v>0</v>
      </c>
      <c r="AD9" s="928">
        <v>0</v>
      </c>
      <c r="AE9" s="928">
        <v>0</v>
      </c>
      <c r="AF9" s="928">
        <v>0</v>
      </c>
      <c r="AG9" s="928">
        <v>0</v>
      </c>
      <c r="AH9" s="928">
        <v>0</v>
      </c>
      <c r="AI9" s="928">
        <v>0</v>
      </c>
      <c r="AJ9" s="928">
        <v>0</v>
      </c>
      <c r="AK9" s="928">
        <v>0</v>
      </c>
      <c r="AL9" s="928">
        <v>0</v>
      </c>
      <c r="AM9" s="928">
        <v>0</v>
      </c>
      <c r="AN9" s="928">
        <v>0</v>
      </c>
      <c r="AO9" s="928">
        <v>0</v>
      </c>
      <c r="AP9" s="928">
        <v>0</v>
      </c>
      <c r="AQ9" s="928">
        <v>0</v>
      </c>
      <c r="AR9" s="928">
        <v>0</v>
      </c>
      <c r="AS9" s="928">
        <v>0</v>
      </c>
      <c r="AT9" s="928">
        <v>3523</v>
      </c>
      <c r="AU9" s="928">
        <v>0</v>
      </c>
      <c r="AV9" s="928">
        <v>0</v>
      </c>
      <c r="AW9" s="928">
        <v>0</v>
      </c>
      <c r="AX9" s="928"/>
      <c r="AY9" s="1097"/>
      <c r="AZ9" s="1097"/>
      <c r="BA9" s="1097"/>
      <c r="BB9" s="1097"/>
      <c r="BC9" s="1097"/>
      <c r="BD9" s="1097"/>
      <c r="BF9" s="1097"/>
      <c r="BH9" s="1097">
        <v>30530</v>
      </c>
      <c r="BK9" s="1097"/>
      <c r="BL9" s="1097"/>
      <c r="BQ9" s="1097"/>
      <c r="BR9" s="196">
        <v>630</v>
      </c>
      <c r="BT9" s="1337">
        <v>244</v>
      </c>
      <c r="BU9" s="928">
        <v>1117</v>
      </c>
      <c r="BV9" s="1337">
        <v>24</v>
      </c>
      <c r="BW9" s="1097">
        <v>39</v>
      </c>
      <c r="BX9" s="1292">
        <v>4</v>
      </c>
      <c r="BY9" s="1210">
        <v>-1</v>
      </c>
      <c r="BZ9" s="928">
        <v>517</v>
      </c>
      <c r="CA9" s="1097">
        <v>8823</v>
      </c>
      <c r="CH9" s="434"/>
      <c r="CI9" s="935">
        <v>9217</v>
      </c>
      <c r="CJ9" s="196">
        <v>622</v>
      </c>
    </row>
    <row r="10" spans="1:89" x14ac:dyDescent="0.2">
      <c r="A10" s="195" t="s">
        <v>963</v>
      </c>
      <c r="B10" s="196">
        <f t="shared" si="0"/>
        <v>100428</v>
      </c>
      <c r="C10" s="928">
        <v>37531</v>
      </c>
      <c r="D10" s="928"/>
      <c r="E10" s="1396">
        <v>11680</v>
      </c>
      <c r="F10" s="1396">
        <v>3419</v>
      </c>
      <c r="G10" s="1389">
        <v>12793</v>
      </c>
      <c r="H10" s="1396"/>
      <c r="I10" s="1396">
        <v>9517</v>
      </c>
      <c r="J10" s="1396"/>
      <c r="K10" s="928"/>
      <c r="N10" s="928"/>
      <c r="O10" s="928">
        <v>5450</v>
      </c>
      <c r="P10" s="928"/>
      <c r="Q10" s="928"/>
      <c r="R10" s="928"/>
      <c r="T10" s="1097"/>
      <c r="U10" s="928"/>
      <c r="V10" s="1097">
        <v>1025</v>
      </c>
      <c r="W10" s="928"/>
      <c r="X10" s="928"/>
      <c r="Y10" s="928"/>
      <c r="Z10" s="928"/>
      <c r="AA10" s="928"/>
      <c r="AB10" s="928"/>
      <c r="AC10" s="928"/>
      <c r="AD10" s="928">
        <f>2+1</f>
        <v>3</v>
      </c>
      <c r="AE10" s="928"/>
      <c r="AF10" s="928">
        <v>14323</v>
      </c>
      <c r="AG10" s="928"/>
      <c r="AH10" s="928"/>
      <c r="AI10" s="928"/>
      <c r="AJ10" s="928"/>
      <c r="AK10" s="928"/>
      <c r="AL10" s="928"/>
      <c r="AM10" s="928"/>
      <c r="AN10" s="928"/>
      <c r="AO10" s="928"/>
      <c r="AP10" s="928"/>
      <c r="AQ10" s="928"/>
      <c r="AR10" s="928"/>
      <c r="AS10" s="928"/>
      <c r="AT10" s="928"/>
      <c r="AU10" s="928"/>
      <c r="AV10" s="928"/>
      <c r="AW10" s="928"/>
      <c r="AX10" s="928"/>
      <c r="AY10" s="1097"/>
      <c r="AZ10" s="1097"/>
      <c r="BA10" s="1097"/>
      <c r="BB10" s="1097"/>
      <c r="BC10" s="1097"/>
      <c r="BD10" s="1097"/>
      <c r="BF10" s="1097"/>
      <c r="BH10" s="1097"/>
      <c r="BK10" s="1097"/>
      <c r="BL10" s="1097"/>
      <c r="BQ10" s="1097"/>
      <c r="BS10" s="196">
        <f>3734+1</f>
        <v>3735</v>
      </c>
      <c r="BT10" s="1337">
        <v>244</v>
      </c>
      <c r="BU10" s="928">
        <v>54</v>
      </c>
      <c r="BV10" s="1337">
        <v>23</v>
      </c>
      <c r="BW10" s="1097">
        <v>40</v>
      </c>
      <c r="BX10" s="1292">
        <v>28</v>
      </c>
      <c r="BY10" s="1210"/>
      <c r="BZ10" s="928">
        <v>568</v>
      </c>
      <c r="CA10" s="1097">
        <v>-5</v>
      </c>
      <c r="CH10" s="434"/>
      <c r="CI10" s="935">
        <v>152</v>
      </c>
      <c r="CK10" s="196">
        <v>18</v>
      </c>
    </row>
    <row r="11" spans="1:89" x14ac:dyDescent="0.2">
      <c r="A11" s="195" t="s">
        <v>959</v>
      </c>
      <c r="B11" s="196">
        <f t="shared" si="0"/>
        <v>270173</v>
      </c>
      <c r="C11" s="928">
        <v>54680</v>
      </c>
      <c r="D11" s="928"/>
      <c r="E11" s="1396">
        <f>19120-931</f>
        <v>18189</v>
      </c>
      <c r="F11" s="1396">
        <v>193860</v>
      </c>
      <c r="G11" s="1396">
        <v>527</v>
      </c>
      <c r="H11" s="1396"/>
      <c r="I11" s="1396"/>
      <c r="J11" s="1396"/>
      <c r="K11" s="928"/>
      <c r="N11" s="928"/>
      <c r="O11" s="928">
        <v>677</v>
      </c>
      <c r="P11" s="928"/>
      <c r="Q11" s="928"/>
      <c r="R11" s="928"/>
      <c r="T11" s="1097"/>
      <c r="U11" s="928"/>
      <c r="V11" s="1097"/>
      <c r="W11" s="928"/>
      <c r="X11" s="928"/>
      <c r="Y11" s="928"/>
      <c r="Z11" s="928"/>
      <c r="AA11" s="928"/>
      <c r="AB11" s="928"/>
      <c r="AC11" s="928"/>
      <c r="AD11" s="928"/>
      <c r="AE11" s="928"/>
      <c r="AF11" s="928"/>
      <c r="AG11" s="928"/>
      <c r="AH11" s="928"/>
      <c r="AI11" s="928"/>
      <c r="AJ11" s="928"/>
      <c r="AK11" s="928"/>
      <c r="AL11" s="928"/>
      <c r="AM11" s="928"/>
      <c r="AN11" s="928"/>
      <c r="AO11" s="928"/>
      <c r="AP11" s="928"/>
      <c r="AQ11" s="928"/>
      <c r="AR11" s="928"/>
      <c r="AS11" s="928"/>
      <c r="AT11" s="928"/>
      <c r="AU11" s="928"/>
      <c r="AV11" s="928"/>
      <c r="AW11" s="928"/>
      <c r="AX11" s="928"/>
      <c r="AY11" s="1097"/>
      <c r="AZ11" s="1097"/>
      <c r="BA11" s="1097"/>
      <c r="BB11" s="1097"/>
      <c r="BC11" s="1097"/>
      <c r="BD11" s="1097"/>
      <c r="BF11" s="1097"/>
      <c r="BH11" s="1097"/>
      <c r="BK11" s="1097"/>
      <c r="BL11" s="1097"/>
      <c r="BQ11" s="1097"/>
      <c r="BT11" s="1337">
        <v>371</v>
      </c>
      <c r="BU11" s="928">
        <v>95</v>
      </c>
      <c r="BV11" s="1337">
        <v>36</v>
      </c>
      <c r="BW11" s="1097">
        <v>51</v>
      </c>
      <c r="BX11" s="1292">
        <v>19</v>
      </c>
      <c r="BY11" s="1210"/>
      <c r="BZ11" s="928">
        <v>837</v>
      </c>
      <c r="CA11" s="1097">
        <v>831</v>
      </c>
      <c r="CH11" s="434"/>
      <c r="CI11" s="935">
        <v>1189</v>
      </c>
      <c r="CK11" s="196">
        <v>66</v>
      </c>
    </row>
    <row r="12" spans="1:89" x14ac:dyDescent="0.2">
      <c r="A12" s="195" t="s">
        <v>1191</v>
      </c>
      <c r="B12" s="196">
        <f t="shared" si="0"/>
        <v>129276</v>
      </c>
      <c r="C12" s="928"/>
      <c r="D12" s="928"/>
      <c r="E12" s="1396">
        <v>297</v>
      </c>
      <c r="F12" s="1396">
        <v>554</v>
      </c>
      <c r="G12" s="1396"/>
      <c r="H12" s="1396"/>
      <c r="I12" s="1396"/>
      <c r="J12" s="1396"/>
      <c r="K12" s="928"/>
      <c r="N12" s="928"/>
      <c r="O12" s="928">
        <v>312</v>
      </c>
      <c r="P12" s="928"/>
      <c r="Q12" s="928"/>
      <c r="R12" s="928">
        <v>38310</v>
      </c>
      <c r="S12" s="1097">
        <v>2876</v>
      </c>
      <c r="T12" s="1097"/>
      <c r="U12" s="928"/>
      <c r="V12" s="1097"/>
      <c r="W12" s="928"/>
      <c r="X12" s="928"/>
      <c r="Y12" s="928"/>
      <c r="Z12" s="928"/>
      <c r="AA12" s="928"/>
      <c r="AB12" s="928"/>
      <c r="AC12" s="928"/>
      <c r="AD12" s="928"/>
      <c r="AE12" s="928"/>
      <c r="AF12" s="928"/>
      <c r="AG12" s="928"/>
      <c r="AH12" s="928"/>
      <c r="AI12" s="928"/>
      <c r="AJ12" s="928"/>
      <c r="AK12" s="928"/>
      <c r="AL12" s="928"/>
      <c r="AM12" s="928"/>
      <c r="AN12" s="928"/>
      <c r="AO12" s="928"/>
      <c r="AP12" s="928"/>
      <c r="AQ12" s="928"/>
      <c r="AR12" s="928"/>
      <c r="AS12" s="928"/>
      <c r="AT12" s="928"/>
      <c r="AU12" s="928"/>
      <c r="AV12" s="928"/>
      <c r="AW12" s="928"/>
      <c r="AX12" s="928"/>
      <c r="AY12" s="1097"/>
      <c r="AZ12" s="1097"/>
      <c r="BA12" s="1097"/>
      <c r="BB12" s="1097"/>
      <c r="BC12" s="1097"/>
      <c r="BD12" s="1097"/>
      <c r="BF12" s="1097"/>
      <c r="BH12" s="1097"/>
      <c r="BK12" s="1097"/>
      <c r="BL12" s="1097"/>
      <c r="BQ12" s="1097">
        <v>83997</v>
      </c>
      <c r="BT12" s="1337">
        <v>399</v>
      </c>
      <c r="BU12" s="928">
        <v>0</v>
      </c>
      <c r="BV12" s="1337">
        <v>24</v>
      </c>
      <c r="BW12" s="1097">
        <v>59</v>
      </c>
      <c r="BX12" s="1292">
        <v>3</v>
      </c>
      <c r="BY12" s="1210"/>
      <c r="BZ12" s="928">
        <v>1518</v>
      </c>
      <c r="CA12" s="1097">
        <v>927</v>
      </c>
      <c r="CH12" s="434"/>
      <c r="CI12" s="935"/>
    </row>
    <row r="13" spans="1:89" x14ac:dyDescent="0.2">
      <c r="A13" s="195" t="s">
        <v>1052</v>
      </c>
      <c r="B13" s="196">
        <f t="shared" si="0"/>
        <v>55479</v>
      </c>
      <c r="C13" s="928">
        <v>9821</v>
      </c>
      <c r="D13" s="928"/>
      <c r="E13" s="1389">
        <v>5562</v>
      </c>
      <c r="F13" s="1396"/>
      <c r="G13" s="1396"/>
      <c r="H13" s="1396"/>
      <c r="I13" s="1396"/>
      <c r="J13" s="1389"/>
      <c r="K13" s="928"/>
      <c r="N13" s="928"/>
      <c r="O13" s="928">
        <v>6438</v>
      </c>
      <c r="P13" s="928"/>
      <c r="Q13" s="928"/>
      <c r="R13" s="928"/>
      <c r="S13" s="1097"/>
      <c r="T13" s="1097"/>
      <c r="U13" s="928"/>
      <c r="V13" s="1097"/>
      <c r="W13" s="928"/>
      <c r="X13" s="928">
        <v>30585</v>
      </c>
      <c r="Y13" s="928"/>
      <c r="Z13" s="928"/>
      <c r="AA13" s="928"/>
      <c r="AB13" s="928">
        <v>0</v>
      </c>
      <c r="AC13" s="928">
        <v>0</v>
      </c>
      <c r="AD13" s="928">
        <v>0</v>
      </c>
      <c r="AE13" s="928">
        <v>0</v>
      </c>
      <c r="AF13" s="928">
        <v>0</v>
      </c>
      <c r="AG13" s="928">
        <v>0</v>
      </c>
      <c r="AH13" s="928">
        <v>0</v>
      </c>
      <c r="AI13" s="928">
        <v>0</v>
      </c>
      <c r="AJ13" s="928">
        <v>0</v>
      </c>
      <c r="AK13" s="928">
        <v>0</v>
      </c>
      <c r="AL13" s="928">
        <v>0</v>
      </c>
      <c r="AM13" s="928">
        <v>0</v>
      </c>
      <c r="AN13" s="928">
        <v>0</v>
      </c>
      <c r="AO13" s="928">
        <v>0</v>
      </c>
      <c r="AP13" s="928">
        <v>0</v>
      </c>
      <c r="AQ13" s="928">
        <v>0</v>
      </c>
      <c r="AR13" s="928">
        <v>271</v>
      </c>
      <c r="AS13" s="928">
        <v>0</v>
      </c>
      <c r="AT13" s="928">
        <v>0</v>
      </c>
      <c r="AU13" s="928">
        <v>0</v>
      </c>
      <c r="AV13" s="928">
        <v>0</v>
      </c>
      <c r="AW13" s="928">
        <v>0</v>
      </c>
      <c r="AX13" s="928"/>
      <c r="AY13" s="1097"/>
      <c r="AZ13" s="1097"/>
      <c r="BA13" s="1097"/>
      <c r="BB13" s="1097"/>
      <c r="BC13" s="1097"/>
      <c r="BD13" s="1097"/>
      <c r="BE13" s="196">
        <v>1</v>
      </c>
      <c r="BF13" s="1097"/>
      <c r="BH13" s="1097"/>
      <c r="BK13" s="1097"/>
      <c r="BL13" s="1097">
        <v>4</v>
      </c>
      <c r="BM13" s="1097">
        <v>289</v>
      </c>
      <c r="BP13" s="1455">
        <v>4021</v>
      </c>
      <c r="BQ13" s="1097"/>
      <c r="BT13" s="1337">
        <v>38</v>
      </c>
      <c r="BU13" s="928">
        <v>38</v>
      </c>
      <c r="BV13" s="1337">
        <v>0</v>
      </c>
      <c r="BW13" s="1097">
        <v>8</v>
      </c>
      <c r="BX13" s="1292">
        <v>1</v>
      </c>
      <c r="BY13" s="1210"/>
      <c r="BZ13" s="928">
        <v>131</v>
      </c>
      <c r="CA13" s="1097">
        <v>-1729</v>
      </c>
      <c r="CH13" s="434"/>
      <c r="CI13" s="935">
        <v>125</v>
      </c>
      <c r="CK13" s="196">
        <v>69</v>
      </c>
    </row>
    <row r="14" spans="1:89" x14ac:dyDescent="0.2">
      <c r="A14" s="195" t="s">
        <v>1414</v>
      </c>
      <c r="B14" s="196">
        <f t="shared" si="0"/>
        <v>3619</v>
      </c>
      <c r="C14" s="928">
        <v>3225</v>
      </c>
      <c r="D14" s="928"/>
      <c r="E14" s="1396"/>
      <c r="F14" s="1396">
        <v>280</v>
      </c>
      <c r="G14" s="1396"/>
      <c r="H14" s="1396"/>
      <c r="I14" s="1396"/>
      <c r="J14" s="1396"/>
      <c r="K14" s="928"/>
      <c r="N14" s="928"/>
      <c r="O14" s="928">
        <v>114</v>
      </c>
      <c r="P14" s="928"/>
      <c r="Q14" s="928"/>
      <c r="R14" s="928"/>
      <c r="S14" s="1097"/>
      <c r="T14" s="1097"/>
      <c r="U14" s="928"/>
      <c r="V14" s="1097"/>
      <c r="W14" s="928"/>
      <c r="X14" s="928"/>
      <c r="Y14" s="928"/>
      <c r="Z14" s="928"/>
      <c r="AA14" s="928"/>
      <c r="AB14" s="928"/>
      <c r="AC14" s="928"/>
      <c r="AD14" s="928"/>
      <c r="AE14" s="928"/>
      <c r="AF14" s="928"/>
      <c r="AG14" s="928"/>
      <c r="AH14" s="928"/>
      <c r="AI14" s="928"/>
      <c r="AJ14" s="928"/>
      <c r="AK14" s="928"/>
      <c r="AL14" s="928"/>
      <c r="AM14" s="928"/>
      <c r="AN14" s="928"/>
      <c r="AO14" s="928"/>
      <c r="AP14" s="928"/>
      <c r="AQ14" s="928"/>
      <c r="AR14" s="928"/>
      <c r="AS14" s="928"/>
      <c r="AT14" s="928"/>
      <c r="AU14" s="928"/>
      <c r="AV14" s="928"/>
      <c r="AW14" s="928"/>
      <c r="AX14" s="928"/>
      <c r="AY14" s="1097"/>
      <c r="AZ14" s="1097"/>
      <c r="BA14" s="1097"/>
      <c r="BB14" s="1097"/>
      <c r="BC14" s="1097"/>
      <c r="BD14" s="1097"/>
      <c r="BF14" s="1097"/>
      <c r="BH14" s="1097"/>
      <c r="BK14" s="1097"/>
      <c r="BL14" s="1097"/>
      <c r="BM14" s="1097"/>
      <c r="BP14" s="1097"/>
      <c r="BQ14" s="1097"/>
      <c r="BT14" s="1435"/>
      <c r="BU14" s="928"/>
      <c r="BV14" s="1338"/>
      <c r="BW14" s="1097"/>
      <c r="BX14" s="1292"/>
      <c r="BY14" s="1210"/>
      <c r="BZ14" s="928"/>
      <c r="CA14" s="1097"/>
      <c r="CH14" s="434"/>
      <c r="CI14" s="935"/>
    </row>
    <row r="15" spans="1:89" x14ac:dyDescent="0.2">
      <c r="A15" s="195" t="s">
        <v>88</v>
      </c>
      <c r="B15" s="196">
        <f t="shared" si="0"/>
        <v>-32284</v>
      </c>
      <c r="C15" s="928"/>
      <c r="D15" s="928">
        <v>-3847</v>
      </c>
      <c r="E15" s="1396"/>
      <c r="F15" s="1396"/>
      <c r="G15" s="1396"/>
      <c r="H15" s="1396"/>
      <c r="I15" s="1396"/>
      <c r="J15" s="1396"/>
      <c r="K15" s="928"/>
      <c r="N15" s="928"/>
      <c r="O15" s="928"/>
      <c r="P15" s="928"/>
      <c r="Q15" s="928"/>
      <c r="R15" s="928"/>
      <c r="S15" s="1097"/>
      <c r="T15" s="1097"/>
      <c r="U15" s="928"/>
      <c r="V15" s="1097"/>
      <c r="W15" s="928"/>
      <c r="X15" s="928"/>
      <c r="Y15" s="928"/>
      <c r="Z15" s="928"/>
      <c r="AA15" s="928"/>
      <c r="AB15" s="928">
        <v>0</v>
      </c>
      <c r="AC15" s="928">
        <v>-2266</v>
      </c>
      <c r="AD15" s="928">
        <v>-8334</v>
      </c>
      <c r="AE15" s="928">
        <v>-4233</v>
      </c>
      <c r="AF15" s="928">
        <v>0</v>
      </c>
      <c r="AG15" s="928">
        <v>0</v>
      </c>
      <c r="AH15" s="928">
        <v>0</v>
      </c>
      <c r="AI15" s="928">
        <v>0</v>
      </c>
      <c r="AJ15" s="928">
        <v>0</v>
      </c>
      <c r="AK15" s="928">
        <f>-2287-333</f>
        <v>-2620</v>
      </c>
      <c r="AL15" s="928">
        <v>-450</v>
      </c>
      <c r="AM15" s="928">
        <f>-708-1</f>
        <v>-709</v>
      </c>
      <c r="AN15" s="928">
        <v>-670</v>
      </c>
      <c r="AO15" s="928">
        <v>-879</v>
      </c>
      <c r="AP15" s="928">
        <v>-740</v>
      </c>
      <c r="AQ15" s="928">
        <v>-2480</v>
      </c>
      <c r="AR15" s="928">
        <v>0</v>
      </c>
      <c r="AS15" s="928">
        <v>0</v>
      </c>
      <c r="AT15" s="928">
        <v>0</v>
      </c>
      <c r="AU15" s="928">
        <v>0</v>
      </c>
      <c r="AV15" s="928">
        <v>0</v>
      </c>
      <c r="AW15" s="928">
        <f>-1326-1</f>
        <v>-1327</v>
      </c>
      <c r="AX15" s="928"/>
      <c r="AY15" s="1097"/>
      <c r="AZ15" s="1097"/>
      <c r="BA15" s="1097"/>
      <c r="BB15" s="1097"/>
      <c r="BC15" s="1097"/>
      <c r="BD15" s="1097"/>
      <c r="BF15" s="1097"/>
      <c r="BH15" s="1097"/>
      <c r="BK15" s="1097">
        <v>-687</v>
      </c>
      <c r="BL15" s="1097"/>
      <c r="BM15" s="1097"/>
      <c r="BP15" s="1097"/>
      <c r="BQ15" s="1097"/>
      <c r="BR15" s="1097">
        <v>-3042</v>
      </c>
      <c r="BS15" s="1097"/>
      <c r="BT15" s="1435"/>
      <c r="BU15" s="928"/>
      <c r="BV15" s="1338"/>
      <c r="BW15" s="1097"/>
      <c r="BX15" s="1292"/>
      <c r="BY15" s="1210"/>
      <c r="BZ15" s="928"/>
      <c r="CA15" s="1097"/>
    </row>
    <row r="16" spans="1:89" x14ac:dyDescent="0.2">
      <c r="A16" s="195" t="s">
        <v>93</v>
      </c>
      <c r="B16" s="196">
        <f t="shared" si="0"/>
        <v>2731</v>
      </c>
      <c r="C16" s="928"/>
      <c r="D16" s="928"/>
      <c r="E16" s="1396"/>
      <c r="F16" s="1396"/>
      <c r="G16" s="1396"/>
      <c r="H16" s="1396"/>
      <c r="I16" s="1396"/>
      <c r="J16" s="1396"/>
      <c r="K16" s="928"/>
      <c r="N16" s="928"/>
      <c r="O16" s="928"/>
      <c r="P16" s="928"/>
      <c r="Q16" s="928"/>
      <c r="R16" s="928"/>
      <c r="S16" s="1097"/>
      <c r="T16" s="1097"/>
      <c r="U16" s="928"/>
      <c r="V16" s="1097"/>
      <c r="W16" s="928"/>
      <c r="X16" s="928"/>
      <c r="Y16" s="928"/>
      <c r="Z16" s="928"/>
      <c r="AA16" s="928"/>
      <c r="AB16" s="928">
        <v>0</v>
      </c>
      <c r="AC16" s="928">
        <v>0</v>
      </c>
      <c r="AD16" s="928">
        <v>0</v>
      </c>
      <c r="AE16" s="928">
        <v>1180</v>
      </c>
      <c r="AF16" s="928">
        <v>0</v>
      </c>
      <c r="AG16" s="928">
        <v>0</v>
      </c>
      <c r="AH16" s="928">
        <v>0</v>
      </c>
      <c r="AI16" s="928">
        <v>0</v>
      </c>
      <c r="AJ16" s="928">
        <v>0</v>
      </c>
      <c r="AK16" s="928">
        <v>0</v>
      </c>
      <c r="AL16" s="928">
        <v>0</v>
      </c>
      <c r="AM16" s="928">
        <v>0</v>
      </c>
      <c r="AN16" s="928">
        <v>0</v>
      </c>
      <c r="AO16" s="928">
        <v>0</v>
      </c>
      <c r="AP16" s="928">
        <v>13</v>
      </c>
      <c r="AQ16" s="928">
        <v>1001</v>
      </c>
      <c r="AR16" s="928">
        <v>0</v>
      </c>
      <c r="AS16" s="928">
        <v>0</v>
      </c>
      <c r="AT16" s="928">
        <v>0</v>
      </c>
      <c r="AU16" s="928">
        <v>0</v>
      </c>
      <c r="AV16" s="928">
        <v>0</v>
      </c>
      <c r="AW16" s="928">
        <v>312</v>
      </c>
      <c r="AX16" s="928"/>
      <c r="AY16" s="1097"/>
      <c r="AZ16" s="1097"/>
      <c r="BA16" s="1097"/>
      <c r="BB16" s="1097"/>
      <c r="BC16" s="1097"/>
      <c r="BD16" s="1097"/>
      <c r="BF16" s="1097"/>
      <c r="BH16" s="1097"/>
      <c r="BK16" s="1097">
        <v>225</v>
      </c>
      <c r="BL16" s="1097"/>
      <c r="BM16" s="1097"/>
      <c r="BP16" s="1097"/>
      <c r="BQ16" s="1097"/>
      <c r="BR16" s="1097"/>
      <c r="BS16" s="1097"/>
      <c r="BT16" s="1435"/>
      <c r="BU16" s="928"/>
      <c r="BV16" s="1338"/>
      <c r="BW16" s="1097"/>
      <c r="BX16" s="1292"/>
      <c r="BY16" s="1210"/>
      <c r="BZ16" s="928"/>
      <c r="CA16" s="1097"/>
    </row>
    <row r="17" spans="1:89" x14ac:dyDescent="0.2">
      <c r="A17" s="195" t="s">
        <v>1053</v>
      </c>
      <c r="B17" s="196">
        <f t="shared" si="0"/>
        <v>3824</v>
      </c>
      <c r="C17" s="928"/>
      <c r="D17" s="928">
        <v>3787</v>
      </c>
      <c r="E17" s="1396"/>
      <c r="F17" s="1396"/>
      <c r="G17" s="1396"/>
      <c r="H17" s="1396"/>
      <c r="I17" s="1396"/>
      <c r="J17" s="1396"/>
      <c r="K17" s="928"/>
      <c r="N17" s="928"/>
      <c r="O17" s="928"/>
      <c r="P17" s="928"/>
      <c r="Q17" s="928"/>
      <c r="R17" s="928"/>
      <c r="S17" s="1097"/>
      <c r="T17" s="1097"/>
      <c r="U17" s="928"/>
      <c r="V17" s="1097"/>
      <c r="W17" s="928"/>
      <c r="X17" s="928"/>
      <c r="Y17" s="928"/>
      <c r="Z17" s="928"/>
      <c r="AA17" s="928"/>
      <c r="AB17" s="928"/>
      <c r="AC17" s="928"/>
      <c r="AD17" s="928"/>
      <c r="AE17" s="928"/>
      <c r="AF17" s="928"/>
      <c r="AG17" s="928"/>
      <c r="AH17" s="928"/>
      <c r="AI17" s="928"/>
      <c r="AJ17" s="928"/>
      <c r="AK17" s="928"/>
      <c r="AL17" s="928"/>
      <c r="AM17" s="928"/>
      <c r="AN17" s="928"/>
      <c r="AO17" s="928"/>
      <c r="AP17" s="928"/>
      <c r="AQ17" s="928"/>
      <c r="AR17" s="928"/>
      <c r="AS17" s="928"/>
      <c r="AT17" s="928"/>
      <c r="AU17" s="928"/>
      <c r="AV17" s="928"/>
      <c r="AW17" s="928"/>
      <c r="AX17" s="928"/>
      <c r="AY17" s="1097"/>
      <c r="AZ17" s="1097"/>
      <c r="BA17" s="1097"/>
      <c r="BB17" s="1097"/>
      <c r="BC17" s="1097"/>
      <c r="BD17" s="1097"/>
      <c r="BF17" s="1097"/>
      <c r="BH17" s="1097"/>
      <c r="BK17" s="1097"/>
      <c r="BL17" s="1097">
        <v>37</v>
      </c>
      <c r="BM17" s="1097"/>
      <c r="BP17" s="1097"/>
      <c r="BQ17" s="1097"/>
      <c r="BR17" s="1097"/>
      <c r="BS17" s="1097"/>
      <c r="BT17" s="1435"/>
      <c r="BU17" s="928"/>
      <c r="BV17" s="1338"/>
      <c r="BW17" s="1097"/>
      <c r="BX17" s="1292"/>
      <c r="BY17" s="1210"/>
      <c r="BZ17" s="928"/>
      <c r="CA17" s="1097"/>
    </row>
    <row r="18" spans="1:89" x14ac:dyDescent="0.2">
      <c r="A18" s="195" t="s">
        <v>94</v>
      </c>
      <c r="B18" s="196">
        <f t="shared" si="0"/>
        <v>123404</v>
      </c>
      <c r="C18" s="928">
        <v>2733</v>
      </c>
      <c r="D18" s="928">
        <v>90554</v>
      </c>
      <c r="E18" s="1396">
        <v>25</v>
      </c>
      <c r="F18" s="1396">
        <v>409</v>
      </c>
      <c r="G18" s="1396"/>
      <c r="H18" s="1396">
        <v>3</v>
      </c>
      <c r="I18" s="1396"/>
      <c r="J18" s="1396"/>
      <c r="K18" s="928"/>
      <c r="N18" s="928">
        <v>12</v>
      </c>
      <c r="O18" s="928">
        <v>1</v>
      </c>
      <c r="P18" s="928"/>
      <c r="Q18" s="928"/>
      <c r="R18" s="928"/>
      <c r="S18" s="1097"/>
      <c r="T18" s="1097"/>
      <c r="U18" s="928"/>
      <c r="V18" s="1097"/>
      <c r="W18" s="928">
        <v>23</v>
      </c>
      <c r="X18" s="928"/>
      <c r="Y18" s="928"/>
      <c r="Z18" s="928"/>
      <c r="AA18" s="928"/>
      <c r="AB18" s="928"/>
      <c r="AC18" s="928"/>
      <c r="AD18" s="928"/>
      <c r="AE18" s="928"/>
      <c r="AF18" s="928"/>
      <c r="AG18" s="928"/>
      <c r="AH18" s="928"/>
      <c r="AI18" s="928"/>
      <c r="AJ18" s="928"/>
      <c r="AK18" s="928"/>
      <c r="AL18" s="928"/>
      <c r="AM18" s="928"/>
      <c r="AN18" s="928"/>
      <c r="AO18" s="928"/>
      <c r="AP18" s="928"/>
      <c r="AQ18" s="928"/>
      <c r="AR18" s="928"/>
      <c r="AS18" s="928"/>
      <c r="AT18" s="928"/>
      <c r="AU18" s="928"/>
      <c r="AV18" s="928"/>
      <c r="AW18" s="928"/>
      <c r="AX18" s="928"/>
      <c r="AY18" s="1097"/>
      <c r="AZ18" s="1097"/>
      <c r="BA18" s="1097"/>
      <c r="BB18" s="1097"/>
      <c r="BC18" s="1097"/>
      <c r="BD18" s="1097"/>
      <c r="BF18" s="1097"/>
      <c r="BH18" s="1097"/>
      <c r="BJ18" s="196">
        <v>232</v>
      </c>
      <c r="BK18" s="1097">
        <v>4767</v>
      </c>
      <c r="BL18" s="1097">
        <v>555</v>
      </c>
      <c r="BM18" s="1097"/>
      <c r="BP18" s="1455">
        <v>208</v>
      </c>
      <c r="BQ18" s="1097">
        <v>272</v>
      </c>
      <c r="BR18" s="1097">
        <v>24760</v>
      </c>
      <c r="BS18" s="1097"/>
      <c r="BT18" s="1435"/>
      <c r="BU18" s="928"/>
      <c r="BV18" s="1338"/>
      <c r="BW18" s="1097">
        <v>-1357</v>
      </c>
      <c r="BX18" s="1292">
        <v>212</v>
      </c>
      <c r="BY18" s="1210">
        <v>-5</v>
      </c>
      <c r="BZ18" s="928"/>
      <c r="CA18" s="1097"/>
    </row>
    <row r="19" spans="1:89" x14ac:dyDescent="0.2">
      <c r="A19" s="198" t="s">
        <v>520</v>
      </c>
      <c r="B19" s="199">
        <f>SUM(B3:B18)</f>
        <v>2807757</v>
      </c>
      <c r="C19" s="1358">
        <f>SUM(C3:C18)</f>
        <v>1469484</v>
      </c>
      <c r="D19" s="1358">
        <f t="shared" ref="D19" si="1">SUM(D3:D18)</f>
        <v>91331</v>
      </c>
      <c r="E19" s="1407">
        <f>SUM(E3:E18)</f>
        <v>80699</v>
      </c>
      <c r="F19" s="1407">
        <f>SUM(F3:F18)</f>
        <v>260828</v>
      </c>
      <c r="G19" s="1407">
        <f t="shared" ref="G19:I19" si="2">SUM(G3:G18)</f>
        <v>13667</v>
      </c>
      <c r="H19" s="1407">
        <f t="shared" si="2"/>
        <v>1011</v>
      </c>
      <c r="I19" s="1407">
        <f t="shared" si="2"/>
        <v>9517</v>
      </c>
      <c r="J19" s="1407">
        <f t="shared" ref="J19" si="3">SUM(J3:J18)</f>
        <v>0</v>
      </c>
      <c r="K19" s="1358">
        <f t="shared" ref="K19" si="4">SUM(K3:K18)</f>
        <v>8387</v>
      </c>
      <c r="L19" s="199">
        <f t="shared" ref="L19:BO19" si="5">SUM(L3:L18)</f>
        <v>0</v>
      </c>
      <c r="M19" s="199">
        <f t="shared" si="5"/>
        <v>0</v>
      </c>
      <c r="N19" s="1358">
        <f t="shared" si="5"/>
        <v>77473</v>
      </c>
      <c r="O19" s="1358">
        <f t="shared" ref="O19" si="6">SUM(O3:O18)</f>
        <v>58278</v>
      </c>
      <c r="P19" s="1358">
        <f t="shared" ref="P19" si="7">SUM(P3:P18)</f>
        <v>3</v>
      </c>
      <c r="Q19" s="1358">
        <f t="shared" ref="Q19:S19" si="8">SUM(Q3:Q18)</f>
        <v>0</v>
      </c>
      <c r="R19" s="1358">
        <f t="shared" si="8"/>
        <v>38310</v>
      </c>
      <c r="S19" s="1358">
        <f t="shared" si="8"/>
        <v>2876</v>
      </c>
      <c r="T19" s="1358">
        <f t="shared" ref="T19" si="9">SUM(T3:T18)</f>
        <v>12586</v>
      </c>
      <c r="U19" s="1358">
        <f>SUM(U3:U18)</f>
        <v>4105</v>
      </c>
      <c r="V19" s="1358">
        <f t="shared" ref="V19" si="10">SUM(V3:V18)</f>
        <v>1025</v>
      </c>
      <c r="W19" s="1358">
        <f t="shared" ref="W19" si="11">SUM(W3:W18)</f>
        <v>46459</v>
      </c>
      <c r="X19" s="1358">
        <f t="shared" ref="X19" si="12">SUM(X3:X18)</f>
        <v>30585</v>
      </c>
      <c r="Y19" s="199">
        <f t="shared" si="5"/>
        <v>0</v>
      </c>
      <c r="Z19" s="199">
        <f t="shared" si="5"/>
        <v>0</v>
      </c>
      <c r="AA19" s="1358">
        <f t="shared" si="5"/>
        <v>0</v>
      </c>
      <c r="AB19" s="1358">
        <f t="shared" ref="AB19:AW19" si="13">SUM(AB3:AB18)</f>
        <v>0</v>
      </c>
      <c r="AC19" s="1358">
        <f t="shared" si="13"/>
        <v>-2266</v>
      </c>
      <c r="AD19" s="1358">
        <f t="shared" si="13"/>
        <v>479</v>
      </c>
      <c r="AE19" s="1358">
        <f t="shared" si="13"/>
        <v>-531</v>
      </c>
      <c r="AF19" s="1358">
        <f t="shared" si="13"/>
        <v>262398</v>
      </c>
      <c r="AG19" s="1358">
        <f t="shared" si="13"/>
        <v>0</v>
      </c>
      <c r="AH19" s="1358">
        <f t="shared" si="13"/>
        <v>0</v>
      </c>
      <c r="AI19" s="1358">
        <f t="shared" si="13"/>
        <v>0</v>
      </c>
      <c r="AJ19" s="1358">
        <f t="shared" si="13"/>
        <v>0</v>
      </c>
      <c r="AK19" s="1358">
        <f t="shared" si="13"/>
        <v>-2620</v>
      </c>
      <c r="AL19" s="1358">
        <f t="shared" si="13"/>
        <v>-344</v>
      </c>
      <c r="AM19" s="1358">
        <f t="shared" si="13"/>
        <v>-675</v>
      </c>
      <c r="AN19" s="1358">
        <f t="shared" si="13"/>
        <v>-447</v>
      </c>
      <c r="AO19" s="1358">
        <f t="shared" si="13"/>
        <v>-388</v>
      </c>
      <c r="AP19" s="1358">
        <f t="shared" si="13"/>
        <v>-641</v>
      </c>
      <c r="AQ19" s="1358">
        <f t="shared" si="13"/>
        <v>-1479</v>
      </c>
      <c r="AR19" s="1358">
        <f t="shared" si="13"/>
        <v>50005</v>
      </c>
      <c r="AS19" s="1358">
        <f t="shared" si="13"/>
        <v>0</v>
      </c>
      <c r="AT19" s="1358">
        <f t="shared" si="13"/>
        <v>235518</v>
      </c>
      <c r="AU19" s="1358">
        <f t="shared" si="13"/>
        <v>0</v>
      </c>
      <c r="AV19" s="1358">
        <f t="shared" si="13"/>
        <v>0</v>
      </c>
      <c r="AW19" s="1358">
        <f t="shared" si="13"/>
        <v>-154</v>
      </c>
      <c r="AX19" s="1358">
        <f t="shared" ref="AX19" si="14">SUM(AX3:AX18)</f>
        <v>0</v>
      </c>
      <c r="AY19" s="1358">
        <f t="shared" ref="AY19:BC19" si="15">SUM(AY3:AY18)</f>
        <v>9</v>
      </c>
      <c r="AZ19" s="1358">
        <f t="shared" si="15"/>
        <v>442</v>
      </c>
      <c r="BA19" s="1358">
        <f t="shared" si="15"/>
        <v>10</v>
      </c>
      <c r="BB19" s="1358">
        <f t="shared" si="15"/>
        <v>16</v>
      </c>
      <c r="BC19" s="1358">
        <f t="shared" si="15"/>
        <v>0</v>
      </c>
      <c r="BD19" s="1358">
        <f t="shared" ref="BD19" si="16">SUM(BD3:BD18)</f>
        <v>0</v>
      </c>
      <c r="BE19" s="199">
        <f t="shared" si="5"/>
        <v>1</v>
      </c>
      <c r="BF19" s="1358">
        <f t="shared" ref="BF19" si="17">SUM(BF3:BF18)</f>
        <v>9436</v>
      </c>
      <c r="BG19" s="199">
        <f t="shared" si="5"/>
        <v>0</v>
      </c>
      <c r="BH19" s="1358">
        <f t="shared" ref="BH19" si="18">SUM(BH3:BH18)</f>
        <v>30530</v>
      </c>
      <c r="BI19" s="199">
        <f t="shared" si="5"/>
        <v>0</v>
      </c>
      <c r="BJ19" s="199">
        <f t="shared" ref="BJ19" si="19">SUM(BJ3:BJ18)</f>
        <v>18878</v>
      </c>
      <c r="BK19" s="1358">
        <f t="shared" ref="BK19" si="20">SUM(BK3:BK18)</f>
        <v>4310</v>
      </c>
      <c r="BL19" s="1358">
        <f>SUM(BL3:BL18)</f>
        <v>596</v>
      </c>
      <c r="BM19" s="1359">
        <f t="shared" ref="BM19" si="21">SUM(BM3:BM18)</f>
        <v>289</v>
      </c>
      <c r="BN19" s="199">
        <f t="shared" si="5"/>
        <v>0</v>
      </c>
      <c r="BO19" s="199">
        <f t="shared" si="5"/>
        <v>0</v>
      </c>
      <c r="BP19" s="1358">
        <f t="shared" ref="BP19" si="22">SUM(BP3:BP18)</f>
        <v>4229</v>
      </c>
      <c r="BQ19" s="1358">
        <f t="shared" ref="BQ19" si="23">SUM(BQ3:BQ18)</f>
        <v>84269</v>
      </c>
      <c r="BR19" s="1358">
        <f t="shared" ref="BR19" si="24">SUM(BR3:BR18)</f>
        <v>22348</v>
      </c>
      <c r="BS19" s="1358">
        <f t="shared" ref="BS19" si="25">SUM(BS3:BS18)</f>
        <v>3735</v>
      </c>
      <c r="BT19" s="1358">
        <f t="shared" ref="BT19:BV19" si="26">SUM(BT3:BT18)</f>
        <v>14002</v>
      </c>
      <c r="BU19" s="1358">
        <f>SUM(BU3:BU18)</f>
        <v>8350</v>
      </c>
      <c r="BV19" s="1358">
        <f t="shared" si="26"/>
        <v>2047</v>
      </c>
      <c r="BW19" s="1358">
        <f t="shared" ref="BW19" si="27">SUM(BW3:BW18)</f>
        <v>732</v>
      </c>
      <c r="BX19" s="1530">
        <f>SUM(BX3:BX18)</f>
        <v>2062</v>
      </c>
      <c r="BY19" s="1358">
        <f t="shared" ref="BY19" si="28">SUM(BY3:BY18)</f>
        <v>-1040</v>
      </c>
      <c r="BZ19" s="1358">
        <f t="shared" ref="BZ19" si="29">SUM(BZ3:BZ18)</f>
        <v>46689</v>
      </c>
      <c r="CA19" s="199">
        <f t="shared" ref="CA19:CB19" si="30">SUM(CA3:CA18)</f>
        <v>-189662</v>
      </c>
      <c r="CB19" s="199">
        <f t="shared" si="30"/>
        <v>0</v>
      </c>
      <c r="CD19" s="204">
        <f>SUM(CD3:CD18)</f>
        <v>0</v>
      </c>
      <c r="CE19" s="204">
        <f>SUM(CE3:CE18)</f>
        <v>0</v>
      </c>
      <c r="CF19" s="204">
        <f>SUM(CF3:CF18)</f>
        <v>0</v>
      </c>
      <c r="CG19" s="204">
        <f>SUM(CG3:CG18)</f>
        <v>0</v>
      </c>
      <c r="CI19" s="204">
        <f>SUM(CI3:CI18)</f>
        <v>143677</v>
      </c>
      <c r="CJ19" s="204">
        <f>SUM(CJ3:CJ18)</f>
        <v>67823</v>
      </c>
      <c r="CK19" s="204">
        <f>SUM(CK3:CK18)</f>
        <v>1346</v>
      </c>
    </row>
    <row r="20" spans="1:89" x14ac:dyDescent="0.2">
      <c r="B20" s="197"/>
      <c r="C20" s="928"/>
      <c r="D20" s="1048"/>
      <c r="E20" s="1396"/>
      <c r="F20" s="1389"/>
      <c r="G20" s="1389"/>
      <c r="H20" s="1389"/>
      <c r="I20" s="1389"/>
      <c r="J20" s="1389"/>
      <c r="K20" s="1048"/>
      <c r="L20" s="197"/>
      <c r="M20" s="197"/>
      <c r="N20" s="1048"/>
      <c r="O20" s="1048"/>
      <c r="P20" s="1048"/>
      <c r="Q20" s="1048"/>
      <c r="R20" s="1048"/>
      <c r="S20" s="1139"/>
      <c r="T20" s="1139"/>
      <c r="U20" s="1048"/>
      <c r="V20" s="1301"/>
      <c r="W20" s="1048"/>
      <c r="X20" s="1048"/>
      <c r="Y20" s="1048"/>
      <c r="Z20" s="1048"/>
      <c r="AA20" s="1048"/>
      <c r="AB20" s="1048"/>
      <c r="AC20" s="1048"/>
      <c r="AD20" s="1048"/>
      <c r="AE20" s="1048"/>
      <c r="AF20" s="1048"/>
      <c r="AG20" s="1048"/>
      <c r="AH20" s="1048"/>
      <c r="AI20" s="1048"/>
      <c r="AJ20" s="1048"/>
      <c r="AK20" s="1048"/>
      <c r="AL20" s="1048"/>
      <c r="AM20" s="1048"/>
      <c r="AN20" s="1048"/>
      <c r="AO20" s="1048"/>
      <c r="AP20" s="1048"/>
      <c r="AQ20" s="1048"/>
      <c r="AR20" s="1048"/>
      <c r="AS20" s="1048"/>
      <c r="AT20" s="1048"/>
      <c r="AU20" s="1048"/>
      <c r="AV20" s="1048"/>
      <c r="AW20" s="1048"/>
      <c r="AX20" s="1048"/>
      <c r="AY20" s="1301"/>
      <c r="AZ20" s="1301"/>
      <c r="BA20" s="1301"/>
      <c r="BB20" s="1301"/>
      <c r="BC20" s="1301"/>
      <c r="BD20" s="1139"/>
      <c r="BE20" s="197"/>
      <c r="BF20" s="1139"/>
      <c r="BG20" s="197"/>
      <c r="BH20" s="1139"/>
      <c r="BI20" s="197"/>
      <c r="BJ20" s="197"/>
      <c r="BK20" s="1322"/>
      <c r="BL20" s="1322"/>
      <c r="BM20" s="1139"/>
      <c r="BN20" s="197"/>
      <c r="BO20" s="197"/>
      <c r="BP20" s="1139"/>
      <c r="BQ20" s="1139"/>
      <c r="BR20" s="1139"/>
      <c r="BS20" s="1139"/>
      <c r="BT20" s="1048"/>
      <c r="BU20" s="1048"/>
      <c r="BV20" s="1048"/>
      <c r="BW20" s="1139"/>
      <c r="BX20" s="1531"/>
      <c r="BY20" s="1211"/>
      <c r="BZ20" s="1048"/>
      <c r="CA20" s="1139"/>
      <c r="CB20" s="197"/>
      <c r="CD20" s="197"/>
      <c r="CE20" s="197"/>
      <c r="CF20" s="197"/>
      <c r="CG20" s="197"/>
    </row>
    <row r="21" spans="1:89" s="192" customFormat="1" x14ac:dyDescent="0.2">
      <c r="A21" s="193" t="s">
        <v>925</v>
      </c>
      <c r="B21" s="194"/>
      <c r="C21" s="928"/>
      <c r="D21" s="1049"/>
      <c r="E21" s="1408"/>
      <c r="F21" s="1409"/>
      <c r="G21" s="1409"/>
      <c r="H21" s="1409"/>
      <c r="I21" s="1409"/>
      <c r="J21" s="1409"/>
      <c r="K21" s="1049"/>
      <c r="L21" s="194"/>
      <c r="M21" s="194"/>
      <c r="N21" s="1049"/>
      <c r="O21" s="1049"/>
      <c r="P21" s="1049"/>
      <c r="Q21" s="1049"/>
      <c r="R21" s="1049"/>
      <c r="S21" s="1140"/>
      <c r="T21" s="1140"/>
      <c r="U21" s="1049"/>
      <c r="V21" s="1302"/>
      <c r="W21" s="1049"/>
      <c r="X21" s="1049"/>
      <c r="Y21" s="1049"/>
      <c r="Z21" s="1049"/>
      <c r="AA21" s="1049"/>
      <c r="AB21" s="1049"/>
      <c r="AC21" s="1049"/>
      <c r="AD21" s="1049"/>
      <c r="AE21" s="1049"/>
      <c r="AF21" s="1049"/>
      <c r="AG21" s="1049"/>
      <c r="AH21" s="1049"/>
      <c r="AI21" s="1049"/>
      <c r="AJ21" s="1049"/>
      <c r="AK21" s="1049"/>
      <c r="AL21" s="1049"/>
      <c r="AM21" s="1049"/>
      <c r="AN21" s="1049"/>
      <c r="AO21" s="1049"/>
      <c r="AP21" s="1049"/>
      <c r="AQ21" s="1049"/>
      <c r="AR21" s="1049"/>
      <c r="AS21" s="1049"/>
      <c r="AT21" s="1049"/>
      <c r="AU21" s="1049"/>
      <c r="AV21" s="1049"/>
      <c r="AW21" s="1049"/>
      <c r="AX21" s="1049"/>
      <c r="AY21" s="1302"/>
      <c r="AZ21" s="1302"/>
      <c r="BA21" s="1302"/>
      <c r="BB21" s="1302"/>
      <c r="BC21" s="1302"/>
      <c r="BD21" s="1140"/>
      <c r="BE21" s="194"/>
      <c r="BF21" s="1140"/>
      <c r="BG21" s="194"/>
      <c r="BH21" s="1140"/>
      <c r="BI21" s="194"/>
      <c r="BJ21" s="194"/>
      <c r="BK21" s="1323"/>
      <c r="BL21" s="1323"/>
      <c r="BM21" s="1140"/>
      <c r="BN21" s="194"/>
      <c r="BO21" s="194"/>
      <c r="BP21" s="1140"/>
      <c r="BQ21" s="1140"/>
      <c r="BR21" s="1140"/>
      <c r="BS21" s="1140"/>
      <c r="BT21" s="1049"/>
      <c r="BU21" s="1049"/>
      <c r="BV21" s="1049"/>
      <c r="BW21" s="1140"/>
      <c r="BX21" s="1527"/>
      <c r="BY21" s="1212"/>
      <c r="BZ21" s="1049"/>
      <c r="CA21" s="1140"/>
      <c r="CB21" s="194"/>
      <c r="CC21" s="191"/>
      <c r="CD21" s="194"/>
      <c r="CE21" s="194"/>
      <c r="CF21" s="194"/>
      <c r="CG21" s="194"/>
    </row>
    <row r="22" spans="1:89" x14ac:dyDescent="0.2">
      <c r="A22" s="195" t="s">
        <v>953</v>
      </c>
      <c r="B22" s="196">
        <f t="shared" ref="B22:B33" si="31">SUM(C22:CB22)</f>
        <v>19773</v>
      </c>
      <c r="C22" s="928">
        <v>18437</v>
      </c>
      <c r="D22" s="928"/>
      <c r="E22" s="1396"/>
      <c r="F22" s="1396"/>
      <c r="G22" s="1396"/>
      <c r="H22" s="1396"/>
      <c r="I22" s="1396"/>
      <c r="J22" s="1396"/>
      <c r="K22" s="928"/>
      <c r="N22" s="928"/>
      <c r="O22" s="928">
        <v>1336</v>
      </c>
      <c r="P22" s="928"/>
      <c r="Q22" s="928"/>
      <c r="R22" s="928"/>
      <c r="S22" s="1097"/>
      <c r="T22" s="1097"/>
      <c r="U22" s="928"/>
      <c r="V22" s="1097"/>
      <c r="W22" s="928"/>
      <c r="X22" s="928"/>
      <c r="Y22" s="928"/>
      <c r="Z22" s="928"/>
      <c r="AA22" s="928"/>
      <c r="AB22" s="928"/>
      <c r="AC22" s="928"/>
      <c r="AD22" s="928"/>
      <c r="AE22" s="928"/>
      <c r="AF22" s="928"/>
      <c r="AG22" s="928"/>
      <c r="AH22" s="928"/>
      <c r="AI22" s="928"/>
      <c r="AJ22" s="928"/>
      <c r="AK22" s="928"/>
      <c r="AL22" s="928"/>
      <c r="AM22" s="928"/>
      <c r="AN22" s="928"/>
      <c r="AO22" s="928"/>
      <c r="AP22" s="928"/>
      <c r="AQ22" s="928"/>
      <c r="AR22" s="928"/>
      <c r="AS22" s="928"/>
      <c r="AT22" s="928"/>
      <c r="AU22" s="928"/>
      <c r="AV22" s="928"/>
      <c r="AW22" s="928"/>
      <c r="AX22" s="928"/>
      <c r="AY22" s="1097"/>
      <c r="AZ22" s="1097"/>
      <c r="BA22" s="1097"/>
      <c r="BB22" s="1097"/>
      <c r="BC22" s="1097"/>
      <c r="BD22" s="1097"/>
      <c r="BF22" s="1097"/>
      <c r="BH22" s="1097"/>
      <c r="BK22" s="1097"/>
      <c r="BL22" s="1097"/>
      <c r="BM22" s="1097"/>
      <c r="BP22"/>
      <c r="BQ22" s="1097"/>
      <c r="BR22" s="1097"/>
      <c r="BS22" s="1097"/>
      <c r="BT22" s="1435"/>
      <c r="BU22" s="928"/>
      <c r="BV22" s="1338"/>
      <c r="BW22" s="1097"/>
      <c r="BX22" s="1292"/>
      <c r="BY22" s="1210"/>
      <c r="BZ22" s="928"/>
      <c r="CA22" s="1097"/>
    </row>
    <row r="23" spans="1:89" x14ac:dyDescent="0.2">
      <c r="A23" s="195" t="s">
        <v>954</v>
      </c>
      <c r="B23" s="196">
        <f t="shared" si="31"/>
        <v>41629</v>
      </c>
      <c r="C23" s="928">
        <v>35165</v>
      </c>
      <c r="D23" s="928"/>
      <c r="E23" s="1396"/>
      <c r="F23" s="1396"/>
      <c r="G23" s="1396"/>
      <c r="H23" s="1396"/>
      <c r="I23" s="1396"/>
      <c r="J23" s="1396"/>
      <c r="K23" s="928"/>
      <c r="N23" s="928"/>
      <c r="O23" s="928">
        <v>6464</v>
      </c>
      <c r="P23" s="928"/>
      <c r="Q23" s="928"/>
      <c r="R23" s="928"/>
      <c r="S23" s="1097"/>
      <c r="T23" s="1097"/>
      <c r="U23" s="928"/>
      <c r="V23" s="1097"/>
      <c r="W23" s="928"/>
      <c r="X23" s="928"/>
      <c r="Y23" s="928"/>
      <c r="Z23" s="928"/>
      <c r="AA23" s="928"/>
      <c r="AB23" s="928"/>
      <c r="AC23" s="928"/>
      <c r="AD23" s="928"/>
      <c r="AE23" s="928"/>
      <c r="AF23" s="928"/>
      <c r="AG23" s="928"/>
      <c r="AH23" s="928"/>
      <c r="AI23" s="928"/>
      <c r="AJ23" s="928"/>
      <c r="AK23" s="928"/>
      <c r="AL23" s="928"/>
      <c r="AM23" s="928"/>
      <c r="AN23" s="928"/>
      <c r="AO23" s="928"/>
      <c r="AP23" s="928"/>
      <c r="AQ23" s="928"/>
      <c r="AR23" s="928"/>
      <c r="AS23" s="928"/>
      <c r="AT23" s="928"/>
      <c r="AU23" s="928"/>
      <c r="AV23" s="928"/>
      <c r="AW23" s="928"/>
      <c r="AX23" s="928"/>
      <c r="AY23" s="1097"/>
      <c r="AZ23" s="1097"/>
      <c r="BA23" s="1097"/>
      <c r="BB23" s="1097"/>
      <c r="BC23" s="1097"/>
      <c r="BD23" s="1097"/>
      <c r="BF23" s="1097"/>
      <c r="BH23" s="1097"/>
      <c r="BK23" s="1097"/>
      <c r="BL23" s="1097"/>
      <c r="BM23" s="1097"/>
      <c r="BP23" s="1097"/>
      <c r="BQ23" s="1097"/>
      <c r="BR23" s="1097"/>
      <c r="BS23" s="1097"/>
      <c r="BT23" s="1435"/>
      <c r="BU23" s="928"/>
      <c r="BV23" s="1338"/>
      <c r="BW23" s="1097"/>
      <c r="BX23" s="1292"/>
      <c r="BY23" s="1210"/>
      <c r="BZ23" s="928"/>
      <c r="CA23" s="1097"/>
    </row>
    <row r="24" spans="1:89" x14ac:dyDescent="0.2">
      <c r="A24" s="195" t="s">
        <v>955</v>
      </c>
      <c r="B24" s="196">
        <f t="shared" si="31"/>
        <v>69763</v>
      </c>
      <c r="C24" s="928">
        <v>1071</v>
      </c>
      <c r="D24" s="928"/>
      <c r="E24" s="1396"/>
      <c r="F24" s="1396">
        <v>0</v>
      </c>
      <c r="G24" s="1396"/>
      <c r="H24" s="1396"/>
      <c r="I24" s="1396"/>
      <c r="J24" s="1396"/>
      <c r="K24" s="928"/>
      <c r="N24" s="928"/>
      <c r="O24" s="928">
        <v>0</v>
      </c>
      <c r="P24" s="928"/>
      <c r="Q24" s="928"/>
      <c r="R24" s="928"/>
      <c r="S24" s="1097"/>
      <c r="T24" s="1097"/>
      <c r="U24" s="928">
        <v>5033</v>
      </c>
      <c r="V24" s="1097"/>
      <c r="W24" s="928">
        <v>63659</v>
      </c>
      <c r="X24" s="928"/>
      <c r="Y24" s="928"/>
      <c r="Z24" s="928"/>
      <c r="AA24" s="928"/>
      <c r="AB24" s="928"/>
      <c r="AC24" s="928"/>
      <c r="AD24" s="928"/>
      <c r="AE24" s="928"/>
      <c r="AF24" s="928"/>
      <c r="AG24" s="928"/>
      <c r="AH24" s="928"/>
      <c r="AI24" s="928"/>
      <c r="AJ24" s="928"/>
      <c r="AK24" s="928"/>
      <c r="AL24" s="928"/>
      <c r="AM24" s="928"/>
      <c r="AN24" s="928"/>
      <c r="AO24" s="928"/>
      <c r="AP24" s="928"/>
      <c r="AQ24" s="928"/>
      <c r="AR24" s="928"/>
      <c r="AS24" s="928"/>
      <c r="AT24" s="928"/>
      <c r="AU24" s="928"/>
      <c r="AV24" s="928"/>
      <c r="AW24" s="928"/>
      <c r="AX24" s="928"/>
      <c r="AY24" s="1097"/>
      <c r="AZ24" s="1097"/>
      <c r="BA24" s="1097"/>
      <c r="BB24" s="1097"/>
      <c r="BC24" s="1097"/>
      <c r="BD24" s="1097"/>
      <c r="BF24" s="1097"/>
      <c r="BH24" s="1097"/>
      <c r="BK24" s="1097"/>
      <c r="BL24" s="1097"/>
      <c r="BM24" s="1097"/>
      <c r="BP24" s="1097"/>
      <c r="BQ24" s="1097"/>
      <c r="BR24" s="1097"/>
      <c r="BS24" s="1097"/>
      <c r="BT24" s="1435"/>
      <c r="BU24" s="928"/>
      <c r="BV24" s="1338"/>
      <c r="BW24" s="1097"/>
      <c r="BX24" s="1292"/>
      <c r="BY24" s="1210"/>
      <c r="BZ24" s="928"/>
      <c r="CA24" s="1097"/>
    </row>
    <row r="25" spans="1:89" x14ac:dyDescent="0.2">
      <c r="A25" s="195" t="s">
        <v>958</v>
      </c>
      <c r="B25" s="196">
        <f t="shared" si="31"/>
        <v>11356</v>
      </c>
      <c r="C25" s="928"/>
      <c r="D25" s="928"/>
      <c r="E25" s="1396"/>
      <c r="F25" s="1396"/>
      <c r="G25" s="1396"/>
      <c r="H25" s="1396"/>
      <c r="I25" s="1396"/>
      <c r="J25" s="1396"/>
      <c r="K25" s="928"/>
      <c r="N25" s="928"/>
      <c r="O25" s="928">
        <v>0</v>
      </c>
      <c r="P25" s="928"/>
      <c r="Q25" s="928"/>
      <c r="R25" s="928"/>
      <c r="S25" s="1097"/>
      <c r="T25" s="1097">
        <v>11356</v>
      </c>
      <c r="U25" s="928"/>
      <c r="V25" s="1097"/>
      <c r="W25" s="928"/>
      <c r="X25" s="928"/>
      <c r="Y25" s="928"/>
      <c r="Z25" s="928"/>
      <c r="AA25" s="928"/>
      <c r="AB25" s="928"/>
      <c r="AC25" s="928"/>
      <c r="AD25" s="928"/>
      <c r="AE25" s="928"/>
      <c r="AF25" s="928"/>
      <c r="AG25" s="928"/>
      <c r="AH25" s="928"/>
      <c r="AI25" s="928"/>
      <c r="AJ25" s="928"/>
      <c r="AK25" s="928"/>
      <c r="AL25" s="928"/>
      <c r="AM25" s="928"/>
      <c r="AN25" s="928"/>
      <c r="AO25" s="928"/>
      <c r="AP25" s="928"/>
      <c r="AQ25" s="928"/>
      <c r="AR25" s="928"/>
      <c r="AS25" s="928"/>
      <c r="AT25" s="928"/>
      <c r="AU25" s="928"/>
      <c r="AV25" s="928"/>
      <c r="AW25" s="928"/>
      <c r="AX25" s="928"/>
      <c r="AY25" s="1097"/>
      <c r="AZ25" s="1097"/>
      <c r="BA25" s="1097"/>
      <c r="BB25" s="1097"/>
      <c r="BC25" s="1097"/>
      <c r="BD25" s="1097"/>
      <c r="BF25" s="1097"/>
      <c r="BH25" s="1097"/>
      <c r="BK25" s="1097"/>
      <c r="BL25" s="1097"/>
      <c r="BM25" s="1097"/>
      <c r="BP25" s="1097"/>
      <c r="BQ25" s="1097"/>
      <c r="BR25" s="1097"/>
      <c r="BS25" s="1097"/>
      <c r="BT25" s="1435"/>
      <c r="BU25" s="928"/>
      <c r="BV25" s="1338"/>
      <c r="BW25" s="1097"/>
      <c r="BX25" s="1292"/>
      <c r="BY25" s="1210"/>
      <c r="BZ25" s="928"/>
      <c r="CA25" s="1097"/>
    </row>
    <row r="26" spans="1:89" x14ac:dyDescent="0.2">
      <c r="A26" s="195" t="s">
        <v>956</v>
      </c>
      <c r="B26" s="196">
        <f t="shared" si="31"/>
        <v>11350</v>
      </c>
      <c r="C26" s="928">
        <v>8095</v>
      </c>
      <c r="D26" s="928"/>
      <c r="E26" s="1396"/>
      <c r="F26" s="1396"/>
      <c r="G26" s="1396"/>
      <c r="H26" s="1396"/>
      <c r="I26" s="1396"/>
      <c r="J26" s="1396"/>
      <c r="K26" s="928"/>
      <c r="N26" s="928"/>
      <c r="O26" s="928">
        <v>3255</v>
      </c>
      <c r="P26" s="928"/>
      <c r="Q26" s="928"/>
      <c r="R26" s="928"/>
      <c r="S26" s="1097"/>
      <c r="T26" s="1097"/>
      <c r="U26" s="928"/>
      <c r="V26" s="1097"/>
      <c r="W26" s="928"/>
      <c r="X26" s="928"/>
      <c r="Y26" s="928"/>
      <c r="Z26" s="928"/>
      <c r="AA26" s="928"/>
      <c r="AB26" s="928"/>
      <c r="AC26" s="928"/>
      <c r="AD26" s="928"/>
      <c r="AE26" s="928"/>
      <c r="AF26" s="928"/>
      <c r="AG26" s="928"/>
      <c r="AH26" s="928"/>
      <c r="AI26" s="928"/>
      <c r="AJ26" s="928"/>
      <c r="AK26" s="928"/>
      <c r="AL26" s="928"/>
      <c r="AM26" s="928"/>
      <c r="AN26" s="928"/>
      <c r="AO26" s="928"/>
      <c r="AP26" s="928"/>
      <c r="AQ26" s="928"/>
      <c r="AR26" s="928"/>
      <c r="AS26" s="928"/>
      <c r="AT26" s="928"/>
      <c r="AU26" s="928"/>
      <c r="AV26" s="928"/>
      <c r="AW26" s="928"/>
      <c r="AX26" s="928"/>
      <c r="AY26" s="1097"/>
      <c r="AZ26" s="1097"/>
      <c r="BA26" s="1097"/>
      <c r="BB26" s="1097"/>
      <c r="BC26" s="1097"/>
      <c r="BD26" s="1097"/>
      <c r="BF26" s="1097"/>
      <c r="BH26" s="1097"/>
      <c r="BK26" s="1097"/>
      <c r="BL26" s="1097"/>
      <c r="BM26" s="1097"/>
      <c r="BP26" s="1097"/>
      <c r="BQ26" s="1097"/>
      <c r="BR26" s="1097"/>
      <c r="BS26" s="1097"/>
      <c r="BT26" s="1435"/>
      <c r="BU26" s="928"/>
      <c r="BV26" s="1338"/>
      <c r="BW26" s="1097"/>
      <c r="BX26" s="1292"/>
      <c r="BY26" s="1210"/>
      <c r="BZ26" s="928"/>
      <c r="CA26" s="1097"/>
    </row>
    <row r="27" spans="1:89" x14ac:dyDescent="0.2">
      <c r="A27" s="195" t="s">
        <v>961</v>
      </c>
      <c r="B27" s="196">
        <f t="shared" si="31"/>
        <v>90744</v>
      </c>
      <c r="C27" s="928">
        <v>20140</v>
      </c>
      <c r="D27" s="928"/>
      <c r="E27" s="1396"/>
      <c r="F27" s="1396"/>
      <c r="G27" s="1396"/>
      <c r="H27" s="1396"/>
      <c r="I27" s="1396"/>
      <c r="J27" s="1396"/>
      <c r="K27" s="928"/>
      <c r="N27" s="928">
        <v>40523</v>
      </c>
      <c r="O27" s="928">
        <v>8543</v>
      </c>
      <c r="P27" s="928"/>
      <c r="Q27" s="928"/>
      <c r="R27" s="928"/>
      <c r="S27" s="1097"/>
      <c r="T27" s="1097"/>
      <c r="U27" s="928"/>
      <c r="V27" s="1097"/>
      <c r="W27" s="928"/>
      <c r="X27" s="928"/>
      <c r="Y27" s="928"/>
      <c r="Z27" s="928"/>
      <c r="AA27" s="928"/>
      <c r="AB27" s="928"/>
      <c r="AC27" s="928"/>
      <c r="AD27" s="928"/>
      <c r="AE27" s="928"/>
      <c r="AF27" s="928"/>
      <c r="AG27" s="928"/>
      <c r="AH27" s="928"/>
      <c r="AI27" s="928"/>
      <c r="AJ27" s="928"/>
      <c r="AK27" s="928"/>
      <c r="AL27" s="928"/>
      <c r="AM27" s="928"/>
      <c r="AN27" s="928"/>
      <c r="AO27" s="928"/>
      <c r="AP27" s="928"/>
      <c r="AQ27" s="928"/>
      <c r="AR27" s="928"/>
      <c r="AS27" s="928"/>
      <c r="AT27" s="928"/>
      <c r="AU27" s="928"/>
      <c r="AV27" s="928"/>
      <c r="AW27" s="928"/>
      <c r="AX27" s="928"/>
      <c r="AY27" s="1097"/>
      <c r="AZ27" s="1097">
        <v>380</v>
      </c>
      <c r="BA27" s="1097"/>
      <c r="BB27" s="1097"/>
      <c r="BC27" s="1097"/>
      <c r="BD27" s="1097"/>
      <c r="BF27" s="1097"/>
      <c r="BH27" s="1097"/>
      <c r="BJ27" s="196">
        <v>21158</v>
      </c>
      <c r="BK27" s="1097"/>
      <c r="BL27" s="1097"/>
      <c r="BM27" s="1097"/>
      <c r="BP27" s="1097"/>
      <c r="BQ27" s="1097"/>
      <c r="BR27" s="1097"/>
      <c r="BS27" s="1097"/>
      <c r="BT27" s="1435"/>
      <c r="BU27" s="928"/>
      <c r="BV27" s="1338"/>
      <c r="BW27" s="1097"/>
      <c r="BX27" s="1292"/>
      <c r="BY27" s="1210"/>
      <c r="BZ27" s="928"/>
      <c r="CA27" s="1097"/>
    </row>
    <row r="28" spans="1:89" x14ac:dyDescent="0.2">
      <c r="A28" s="195" t="s">
        <v>960</v>
      </c>
      <c r="B28" s="196">
        <f t="shared" si="31"/>
        <v>0</v>
      </c>
      <c r="C28" s="928"/>
      <c r="D28" s="928"/>
      <c r="E28" s="1396"/>
      <c r="F28" s="1396"/>
      <c r="G28" s="1396"/>
      <c r="H28" s="1396"/>
      <c r="I28" s="1396"/>
      <c r="J28" s="1396"/>
      <c r="K28" s="928"/>
      <c r="N28" s="928"/>
      <c r="O28" s="928">
        <v>0</v>
      </c>
      <c r="P28" s="928"/>
      <c r="Q28" s="928"/>
      <c r="R28" s="928"/>
      <c r="S28" s="1097"/>
      <c r="T28" s="1097"/>
      <c r="U28" s="928"/>
      <c r="V28" s="1097"/>
      <c r="W28" s="928"/>
      <c r="X28" s="928"/>
      <c r="Y28" s="928"/>
      <c r="Z28" s="928"/>
      <c r="AA28" s="928"/>
      <c r="AB28" s="928"/>
      <c r="AC28" s="928"/>
      <c r="AD28" s="928"/>
      <c r="AE28" s="928"/>
      <c r="AF28" s="928"/>
      <c r="AG28" s="928"/>
      <c r="AH28" s="928"/>
      <c r="AI28" s="928"/>
      <c r="AJ28" s="928"/>
      <c r="AK28" s="928"/>
      <c r="AL28" s="928"/>
      <c r="AM28" s="928"/>
      <c r="AN28" s="928"/>
      <c r="AO28" s="928"/>
      <c r="AP28" s="928"/>
      <c r="AQ28" s="928"/>
      <c r="AR28" s="928"/>
      <c r="AS28" s="928"/>
      <c r="AT28" s="928"/>
      <c r="AU28" s="928"/>
      <c r="AV28" s="928"/>
      <c r="AW28" s="928"/>
      <c r="AX28" s="928"/>
      <c r="AY28" s="1097"/>
      <c r="AZ28" s="1097"/>
      <c r="BA28" s="1097"/>
      <c r="BB28" s="1097"/>
      <c r="BC28" s="1097"/>
      <c r="BD28" s="1097"/>
      <c r="BF28" s="1097"/>
      <c r="BH28" s="1097"/>
      <c r="BK28" s="1097"/>
      <c r="BL28" s="1097"/>
      <c r="BM28" s="1097"/>
      <c r="BP28" s="1097"/>
      <c r="BQ28" s="1097"/>
      <c r="BR28" s="1097"/>
      <c r="BS28" s="1097"/>
      <c r="BT28" s="1435"/>
      <c r="BU28" s="928"/>
      <c r="BV28" s="1338"/>
      <c r="BW28" s="1097"/>
      <c r="BX28" s="1292"/>
      <c r="BY28" s="1210"/>
      <c r="BZ28" s="928"/>
      <c r="CA28" s="1097"/>
    </row>
    <row r="29" spans="1:89" x14ac:dyDescent="0.2">
      <c r="A29" s="195" t="s">
        <v>963</v>
      </c>
      <c r="B29" s="196">
        <f t="shared" si="31"/>
        <v>1160</v>
      </c>
      <c r="C29" s="928">
        <v>773</v>
      </c>
      <c r="D29" s="928"/>
      <c r="E29" s="1396"/>
      <c r="F29" s="1396"/>
      <c r="G29" s="1396">
        <v>279</v>
      </c>
      <c r="H29" s="1396"/>
      <c r="I29" s="1396"/>
      <c r="J29" s="1396"/>
      <c r="K29" s="928"/>
      <c r="N29" s="928"/>
      <c r="O29" s="928">
        <v>108</v>
      </c>
      <c r="P29" s="928"/>
      <c r="Q29" s="928"/>
      <c r="R29" s="928"/>
      <c r="S29" s="1097"/>
      <c r="T29" s="1097"/>
      <c r="U29" s="928"/>
      <c r="V29" s="1097"/>
      <c r="W29" s="928"/>
      <c r="X29" s="928"/>
      <c r="Y29" s="928"/>
      <c r="Z29" s="928"/>
      <c r="AA29" s="928"/>
      <c r="AB29" s="928"/>
      <c r="AC29" s="928"/>
      <c r="AD29" s="928"/>
      <c r="AE29" s="928"/>
      <c r="AF29" s="928"/>
      <c r="AG29" s="928"/>
      <c r="AH29" s="928"/>
      <c r="AI29" s="928"/>
      <c r="AJ29" s="928"/>
      <c r="AK29" s="928"/>
      <c r="AL29" s="928"/>
      <c r="AM29" s="928"/>
      <c r="AN29" s="928"/>
      <c r="AO29" s="928"/>
      <c r="AP29" s="928"/>
      <c r="AQ29" s="928"/>
      <c r="AR29" s="928"/>
      <c r="AS29" s="928"/>
      <c r="AT29" s="928"/>
      <c r="AU29" s="928"/>
      <c r="AV29" s="928"/>
      <c r="AW29" s="928"/>
      <c r="AX29" s="928"/>
      <c r="AY29" s="1097"/>
      <c r="AZ29" s="1097"/>
      <c r="BA29" s="1097"/>
      <c r="BB29" s="1097"/>
      <c r="BC29" s="1097"/>
      <c r="BD29" s="1097"/>
      <c r="BF29" s="1097"/>
      <c r="BH29" s="1097"/>
      <c r="BK29" s="1097"/>
      <c r="BL29" s="1097"/>
      <c r="BM29" s="1097"/>
      <c r="BP29" s="1097"/>
      <c r="BQ29" s="1097"/>
      <c r="BR29" s="1097"/>
      <c r="BS29" s="1097"/>
      <c r="BT29" s="1435"/>
      <c r="BU29" s="928"/>
      <c r="BV29" s="1338"/>
      <c r="BW29" s="1097"/>
      <c r="BX29" s="1292"/>
      <c r="BY29" s="1210"/>
      <c r="BZ29" s="928"/>
      <c r="CA29" s="1097"/>
    </row>
    <row r="30" spans="1:89" ht="13.5" customHeight="1" x14ac:dyDescent="0.2">
      <c r="A30" s="195" t="s">
        <v>959</v>
      </c>
      <c r="B30" s="196">
        <f t="shared" si="31"/>
        <v>0</v>
      </c>
      <c r="C30" s="928"/>
      <c r="D30" s="928"/>
      <c r="E30" s="1396"/>
      <c r="F30" s="1396"/>
      <c r="G30" s="1396"/>
      <c r="H30" s="1396"/>
      <c r="I30" s="1396"/>
      <c r="J30" s="1396"/>
      <c r="K30" s="928"/>
      <c r="N30" s="928"/>
      <c r="O30" s="928">
        <v>0</v>
      </c>
      <c r="P30" s="928"/>
      <c r="Q30" s="928"/>
      <c r="R30" s="928"/>
      <c r="S30" s="1097"/>
      <c r="T30" s="1097"/>
      <c r="U30" s="928"/>
      <c r="V30" s="1097"/>
      <c r="W30" s="928"/>
      <c r="X30" s="928"/>
      <c r="Y30" s="928"/>
      <c r="Z30" s="928"/>
      <c r="AA30" s="928"/>
      <c r="AB30" s="928"/>
      <c r="AC30" s="928"/>
      <c r="AD30" s="928"/>
      <c r="AE30" s="928"/>
      <c r="AF30" s="928"/>
      <c r="AG30" s="928"/>
      <c r="AH30" s="928"/>
      <c r="AI30" s="928"/>
      <c r="AJ30" s="928"/>
      <c r="AK30" s="928"/>
      <c r="AL30" s="928"/>
      <c r="AM30" s="928"/>
      <c r="AN30" s="928"/>
      <c r="AO30" s="928"/>
      <c r="AP30" s="928"/>
      <c r="AQ30" s="928"/>
      <c r="AR30" s="928"/>
      <c r="AS30" s="928"/>
      <c r="AT30" s="928"/>
      <c r="AU30" s="928"/>
      <c r="AV30" s="928"/>
      <c r="AW30" s="928"/>
      <c r="AX30" s="928"/>
      <c r="AY30" s="1097"/>
      <c r="AZ30" s="1097"/>
      <c r="BA30" s="1097"/>
      <c r="BB30" s="1097"/>
      <c r="BC30" s="1097"/>
      <c r="BD30" s="1097"/>
      <c r="BF30" s="1097"/>
      <c r="BH30" s="1097"/>
      <c r="BK30" s="1097"/>
      <c r="BL30" s="1097"/>
      <c r="BM30" s="1097"/>
      <c r="BP30" s="1097"/>
      <c r="BQ30" s="1097"/>
      <c r="BR30" s="1097"/>
      <c r="BS30" s="1097"/>
      <c r="BT30" s="1435"/>
      <c r="BU30" s="928"/>
      <c r="BV30" s="1338"/>
      <c r="BW30" s="1097"/>
      <c r="BX30" s="1292"/>
      <c r="BY30" s="1210"/>
      <c r="BZ30" s="928"/>
      <c r="CA30" s="1097"/>
    </row>
    <row r="31" spans="1:89" x14ac:dyDescent="0.2">
      <c r="A31" s="195" t="s">
        <v>1191</v>
      </c>
      <c r="B31" s="196">
        <f t="shared" si="31"/>
        <v>2156</v>
      </c>
      <c r="C31" s="928"/>
      <c r="D31" s="928"/>
      <c r="E31" s="1396"/>
      <c r="F31" s="1396"/>
      <c r="G31" s="1396"/>
      <c r="H31" s="1396"/>
      <c r="I31" s="1396"/>
      <c r="J31" s="1396"/>
      <c r="K31" s="928"/>
      <c r="N31" s="928"/>
      <c r="O31" s="928">
        <v>0</v>
      </c>
      <c r="P31" s="928"/>
      <c r="Q31" s="928"/>
      <c r="R31" s="928"/>
      <c r="S31" s="1097"/>
      <c r="T31" s="1097"/>
      <c r="U31" s="928"/>
      <c r="V31" s="1097"/>
      <c r="W31" s="928"/>
      <c r="X31" s="928"/>
      <c r="Y31" s="928"/>
      <c r="Z31" s="928"/>
      <c r="AA31" s="928"/>
      <c r="AB31" s="928"/>
      <c r="AC31" s="928"/>
      <c r="AD31" s="928"/>
      <c r="AE31" s="928"/>
      <c r="AF31" s="928"/>
      <c r="AG31" s="928"/>
      <c r="AH31" s="928"/>
      <c r="AI31" s="928"/>
      <c r="AJ31" s="928"/>
      <c r="AK31" s="928"/>
      <c r="AL31" s="928"/>
      <c r="AM31" s="928"/>
      <c r="AN31" s="928"/>
      <c r="AO31" s="928"/>
      <c r="AP31" s="928"/>
      <c r="AQ31" s="928"/>
      <c r="AR31" s="928"/>
      <c r="AS31" s="928"/>
      <c r="AT31" s="928"/>
      <c r="AU31" s="928"/>
      <c r="AV31" s="928"/>
      <c r="AW31" s="928"/>
      <c r="AX31" s="928"/>
      <c r="AY31" s="1097"/>
      <c r="AZ31" s="1097"/>
      <c r="BA31" s="1097"/>
      <c r="BB31" s="1097"/>
      <c r="BC31" s="1097"/>
      <c r="BD31" s="1097"/>
      <c r="BF31" s="1097"/>
      <c r="BH31" s="1097"/>
      <c r="BK31" s="1097"/>
      <c r="BL31" s="1097"/>
      <c r="BM31" s="1097"/>
      <c r="BP31" s="1097"/>
      <c r="BQ31" s="1097">
        <v>2156</v>
      </c>
      <c r="BR31" s="1097"/>
      <c r="BS31" s="1097"/>
      <c r="BT31" s="1435"/>
      <c r="BU31" s="928"/>
      <c r="BV31" s="1338"/>
      <c r="BW31" s="1097"/>
      <c r="BX31" s="1292"/>
      <c r="BY31" s="1210"/>
      <c r="BZ31" s="928"/>
      <c r="CA31" s="1097"/>
    </row>
    <row r="32" spans="1:89" x14ac:dyDescent="0.2">
      <c r="A32" s="195" t="s">
        <v>1052</v>
      </c>
      <c r="B32" s="196">
        <f t="shared" si="31"/>
        <v>2677</v>
      </c>
      <c r="C32" s="928"/>
      <c r="D32" s="928"/>
      <c r="E32" s="1396"/>
      <c r="F32" s="1396"/>
      <c r="G32" s="1396"/>
      <c r="H32" s="1396"/>
      <c r="I32" s="1396"/>
      <c r="J32" s="1396"/>
      <c r="K32" s="928"/>
      <c r="N32" s="928"/>
      <c r="O32" s="928">
        <v>0</v>
      </c>
      <c r="P32" s="928"/>
      <c r="Q32" s="928"/>
      <c r="R32" s="928"/>
      <c r="S32" s="1097"/>
      <c r="T32" s="1097"/>
      <c r="U32" s="928"/>
      <c r="V32" s="1097"/>
      <c r="W32" s="928"/>
      <c r="X32" s="928"/>
      <c r="Y32" s="928"/>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8"/>
      <c r="AV32" s="928"/>
      <c r="AW32" s="928"/>
      <c r="AX32" s="928"/>
      <c r="AY32" s="1097"/>
      <c r="AZ32" s="1097"/>
      <c r="BA32" s="1097"/>
      <c r="BB32" s="1097"/>
      <c r="BC32" s="1097"/>
      <c r="BD32" s="1097"/>
      <c r="BE32" s="196">
        <v>20</v>
      </c>
      <c r="BF32" s="1097"/>
      <c r="BH32" s="1097"/>
      <c r="BK32" s="1097"/>
      <c r="BL32" s="1097"/>
      <c r="BM32" s="1097"/>
      <c r="BP32" s="1097">
        <v>2657</v>
      </c>
      <c r="BQ32" s="1097"/>
      <c r="BR32" s="1097"/>
      <c r="BS32" s="1097"/>
      <c r="BT32" s="1435"/>
      <c r="BU32" s="928"/>
      <c r="BV32" s="1338"/>
      <c r="BW32" s="1097"/>
      <c r="BX32" s="1292"/>
      <c r="BY32" s="1210"/>
      <c r="BZ32" s="928"/>
      <c r="CA32" s="1097"/>
    </row>
    <row r="33" spans="1:85" x14ac:dyDescent="0.2">
      <c r="A33" s="195" t="s">
        <v>1414</v>
      </c>
      <c r="B33" s="196">
        <f t="shared" si="31"/>
        <v>704</v>
      </c>
      <c r="C33" s="928"/>
      <c r="D33" s="928"/>
      <c r="E33" s="1396"/>
      <c r="F33" s="1396"/>
      <c r="G33" s="1396"/>
      <c r="H33" s="1396"/>
      <c r="I33" s="1396"/>
      <c r="J33" s="1396"/>
      <c r="K33" s="928"/>
      <c r="N33" s="928"/>
      <c r="O33" s="928">
        <v>704</v>
      </c>
      <c r="P33" s="928"/>
      <c r="Q33" s="928"/>
      <c r="R33" s="928"/>
      <c r="S33" s="1097"/>
      <c r="T33" s="1097"/>
      <c r="U33" s="928"/>
      <c r="V33" s="1097"/>
      <c r="W33" s="928"/>
      <c r="X33" s="928"/>
      <c r="Y33" s="928"/>
      <c r="Z33" s="928"/>
      <c r="AA33" s="928"/>
      <c r="AB33" s="928"/>
      <c r="AC33" s="928"/>
      <c r="AD33" s="928"/>
      <c r="AE33" s="928"/>
      <c r="AF33" s="928"/>
      <c r="AG33" s="928"/>
      <c r="AH33" s="928"/>
      <c r="AI33" s="928"/>
      <c r="AJ33" s="928"/>
      <c r="AK33" s="928"/>
      <c r="AL33" s="928"/>
      <c r="AM33" s="928"/>
      <c r="AN33" s="928"/>
      <c r="AO33" s="928"/>
      <c r="AP33" s="928"/>
      <c r="AQ33" s="928"/>
      <c r="AR33" s="928"/>
      <c r="AS33" s="928"/>
      <c r="AT33" s="928"/>
      <c r="AU33" s="928"/>
      <c r="AV33" s="928"/>
      <c r="AW33" s="928"/>
      <c r="AX33" s="928"/>
      <c r="AY33" s="1097"/>
      <c r="AZ33" s="1097"/>
      <c r="BA33" s="1097"/>
      <c r="BB33" s="1097"/>
      <c r="BC33" s="1097"/>
      <c r="BD33" s="1097"/>
      <c r="BF33" s="1097"/>
      <c r="BH33" s="1097"/>
      <c r="BK33" s="1097"/>
      <c r="BL33" s="1097"/>
      <c r="BM33" s="1097"/>
      <c r="BP33" s="1097"/>
      <c r="BQ33" s="1097"/>
      <c r="BR33" s="1097"/>
      <c r="BS33" s="1097"/>
      <c r="BT33" s="1435"/>
      <c r="BU33" s="928"/>
      <c r="BV33" s="1338"/>
      <c r="BW33" s="1097"/>
      <c r="BX33" s="1292"/>
      <c r="BY33" s="1210"/>
      <c r="BZ33" s="928"/>
      <c r="CA33" s="1097"/>
    </row>
    <row r="34" spans="1:85" s="201" customFormat="1" x14ac:dyDescent="0.2">
      <c r="A34" s="198" t="s">
        <v>926</v>
      </c>
      <c r="B34" s="199">
        <f t="shared" ref="B34:BO34" si="32">SUM(B22:B33)</f>
        <v>251312</v>
      </c>
      <c r="C34" s="1358">
        <f t="shared" ref="C34" si="33">SUM(C22:C33)</f>
        <v>83681</v>
      </c>
      <c r="D34" s="1358">
        <f t="shared" ref="D34:I34" si="34">SUM(D22:D33)</f>
        <v>0</v>
      </c>
      <c r="E34" s="1407">
        <f t="shared" si="34"/>
        <v>0</v>
      </c>
      <c r="F34" s="1407">
        <f t="shared" si="34"/>
        <v>0</v>
      </c>
      <c r="G34" s="1407">
        <f t="shared" si="34"/>
        <v>279</v>
      </c>
      <c r="H34" s="1407">
        <f t="shared" si="34"/>
        <v>0</v>
      </c>
      <c r="I34" s="1407">
        <f t="shared" si="34"/>
        <v>0</v>
      </c>
      <c r="J34" s="1407">
        <f t="shared" ref="J34" si="35">SUM(J22:J33)</f>
        <v>0</v>
      </c>
      <c r="K34" s="1358">
        <f t="shared" ref="K34" si="36">SUM(K22:K33)</f>
        <v>0</v>
      </c>
      <c r="L34" s="199">
        <f t="shared" si="32"/>
        <v>0</v>
      </c>
      <c r="M34" s="199">
        <f t="shared" si="32"/>
        <v>0</v>
      </c>
      <c r="N34" s="1358">
        <f t="shared" si="32"/>
        <v>40523</v>
      </c>
      <c r="O34" s="1358">
        <f t="shared" ref="O34" si="37">SUM(O22:O33)</f>
        <v>20410</v>
      </c>
      <c r="P34" s="1358">
        <f t="shared" ref="P34" si="38">SUM(P22:P33)</f>
        <v>0</v>
      </c>
      <c r="Q34" s="1358">
        <f t="shared" ref="Q34:S34" si="39">SUM(Q22:Q33)</f>
        <v>0</v>
      </c>
      <c r="R34" s="1358">
        <f t="shared" si="39"/>
        <v>0</v>
      </c>
      <c r="S34" s="1358">
        <f t="shared" si="39"/>
        <v>0</v>
      </c>
      <c r="T34" s="1358">
        <f t="shared" ref="T34" si="40">SUM(T22:T33)</f>
        <v>11356</v>
      </c>
      <c r="U34" s="1358">
        <f t="shared" ref="U34" si="41">SUM(U22:U33)</f>
        <v>5033</v>
      </c>
      <c r="V34" s="1358">
        <f t="shared" ref="V34" si="42">SUM(V22:V33)</f>
        <v>0</v>
      </c>
      <c r="W34" s="1358">
        <f t="shared" ref="W34" si="43">SUM(W22:W33)</f>
        <v>63659</v>
      </c>
      <c r="X34" s="1358">
        <f t="shared" ref="X34" si="44">SUM(X22:X33)</f>
        <v>0</v>
      </c>
      <c r="Y34" s="199">
        <f t="shared" si="32"/>
        <v>0</v>
      </c>
      <c r="Z34" s="199">
        <f t="shared" si="32"/>
        <v>0</v>
      </c>
      <c r="AA34" s="1358">
        <f t="shared" si="32"/>
        <v>0</v>
      </c>
      <c r="AB34" s="1358">
        <f t="shared" ref="AB34:AW34" si="45">SUM(AB22:AB33)</f>
        <v>0</v>
      </c>
      <c r="AC34" s="1358">
        <f t="shared" si="45"/>
        <v>0</v>
      </c>
      <c r="AD34" s="1358">
        <f t="shared" si="45"/>
        <v>0</v>
      </c>
      <c r="AE34" s="1358">
        <f t="shared" si="45"/>
        <v>0</v>
      </c>
      <c r="AF34" s="1358">
        <f t="shared" si="45"/>
        <v>0</v>
      </c>
      <c r="AG34" s="1358">
        <f t="shared" si="45"/>
        <v>0</v>
      </c>
      <c r="AH34" s="1358">
        <f t="shared" si="45"/>
        <v>0</v>
      </c>
      <c r="AI34" s="1358">
        <f t="shared" si="45"/>
        <v>0</v>
      </c>
      <c r="AJ34" s="1358">
        <f t="shared" si="45"/>
        <v>0</v>
      </c>
      <c r="AK34" s="1358">
        <f t="shared" si="45"/>
        <v>0</v>
      </c>
      <c r="AL34" s="1358">
        <f t="shared" si="45"/>
        <v>0</v>
      </c>
      <c r="AM34" s="1358">
        <f t="shared" si="45"/>
        <v>0</v>
      </c>
      <c r="AN34" s="1358">
        <f t="shared" si="45"/>
        <v>0</v>
      </c>
      <c r="AO34" s="1358">
        <f t="shared" si="45"/>
        <v>0</v>
      </c>
      <c r="AP34" s="1358">
        <f t="shared" si="45"/>
        <v>0</v>
      </c>
      <c r="AQ34" s="1358">
        <f t="shared" si="45"/>
        <v>0</v>
      </c>
      <c r="AR34" s="1358">
        <f t="shared" si="45"/>
        <v>0</v>
      </c>
      <c r="AS34" s="1358">
        <f t="shared" si="45"/>
        <v>0</v>
      </c>
      <c r="AT34" s="1358">
        <f t="shared" si="45"/>
        <v>0</v>
      </c>
      <c r="AU34" s="1358">
        <f t="shared" si="45"/>
        <v>0</v>
      </c>
      <c r="AV34" s="1358">
        <f t="shared" si="45"/>
        <v>0</v>
      </c>
      <c r="AW34" s="1358">
        <f t="shared" si="45"/>
        <v>0</v>
      </c>
      <c r="AX34" s="1358">
        <f t="shared" ref="AX34" si="46">SUM(AX22:AX33)</f>
        <v>0</v>
      </c>
      <c r="AY34" s="1358">
        <f t="shared" ref="AY34:BC34" si="47">SUM(AY22:AY33)</f>
        <v>0</v>
      </c>
      <c r="AZ34" s="1358">
        <f t="shared" si="47"/>
        <v>380</v>
      </c>
      <c r="BA34" s="1358">
        <f t="shared" si="47"/>
        <v>0</v>
      </c>
      <c r="BB34" s="1358">
        <f t="shared" si="47"/>
        <v>0</v>
      </c>
      <c r="BC34" s="1358">
        <f t="shared" si="47"/>
        <v>0</v>
      </c>
      <c r="BD34" s="1358">
        <f t="shared" ref="BD34" si="48">SUM(BD22:BD33)</f>
        <v>0</v>
      </c>
      <c r="BE34" s="199">
        <f t="shared" si="32"/>
        <v>20</v>
      </c>
      <c r="BF34" s="1358">
        <f t="shared" ref="BF34" si="49">SUM(BF22:BF33)</f>
        <v>0</v>
      </c>
      <c r="BG34" s="199">
        <f t="shared" si="32"/>
        <v>0</v>
      </c>
      <c r="BH34" s="1358">
        <f t="shared" ref="BH34" si="50">SUM(BH22:BH33)</f>
        <v>0</v>
      </c>
      <c r="BI34" s="199">
        <f t="shared" si="32"/>
        <v>0</v>
      </c>
      <c r="BJ34" s="199">
        <f t="shared" ref="BJ34" si="51">SUM(BJ22:BJ33)</f>
        <v>21158</v>
      </c>
      <c r="BK34" s="1358">
        <f t="shared" ref="BK34" si="52">SUM(BK22:BK33)</f>
        <v>0</v>
      </c>
      <c r="BL34" s="1358">
        <f t="shared" ref="BL34" si="53">SUM(BL22:BL33)</f>
        <v>0</v>
      </c>
      <c r="BM34" s="1358">
        <f t="shared" ref="BM34" si="54">SUM(BM22:BM33)</f>
        <v>0</v>
      </c>
      <c r="BN34" s="199">
        <f t="shared" si="32"/>
        <v>0</v>
      </c>
      <c r="BO34" s="199">
        <f t="shared" si="32"/>
        <v>0</v>
      </c>
      <c r="BP34" s="1358">
        <f>SUM(BP23:BP33)</f>
        <v>2657</v>
      </c>
      <c r="BQ34" s="1358">
        <f t="shared" ref="BQ34" si="55">SUM(BQ22:BQ33)</f>
        <v>2156</v>
      </c>
      <c r="BR34" s="1358">
        <f t="shared" ref="BR34" si="56">SUM(BR22:BR33)</f>
        <v>0</v>
      </c>
      <c r="BS34" s="1358">
        <f t="shared" ref="BS34" si="57">SUM(BS22:BS33)</f>
        <v>0</v>
      </c>
      <c r="BT34" s="1358">
        <f t="shared" ref="BT34:BV34" si="58">SUM(BT22:BT33)</f>
        <v>0</v>
      </c>
      <c r="BU34" s="1358">
        <f t="shared" si="58"/>
        <v>0</v>
      </c>
      <c r="BV34" s="1358">
        <f t="shared" si="58"/>
        <v>0</v>
      </c>
      <c r="BW34" s="1358">
        <f t="shared" ref="BW34" si="59">SUM(BW22:BW33)</f>
        <v>0</v>
      </c>
      <c r="BX34" s="1530">
        <f t="shared" ref="BX34" si="60">SUM(BX22:BX33)</f>
        <v>0</v>
      </c>
      <c r="BY34" s="1358">
        <f t="shared" ref="BY34" si="61">SUM(BY22:BY33)</f>
        <v>0</v>
      </c>
      <c r="BZ34" s="1358">
        <f t="shared" ref="BZ34" si="62">SUM(BZ22:BZ33)</f>
        <v>0</v>
      </c>
      <c r="CA34" s="199">
        <f t="shared" ref="CA34:CB34" si="63">SUM(CA22:CA33)</f>
        <v>0</v>
      </c>
      <c r="CB34" s="199">
        <f t="shared" si="63"/>
        <v>0</v>
      </c>
      <c r="CC34" s="200"/>
      <c r="CD34" s="199">
        <f>SUM(CD22:CD32)</f>
        <v>0</v>
      </c>
      <c r="CE34" s="199">
        <f>SUM(CE22:CE32)</f>
        <v>0</v>
      </c>
      <c r="CF34" s="199">
        <f>SUM(CF22:CF32)</f>
        <v>0</v>
      </c>
      <c r="CG34" s="199">
        <f>SUM(CG22:CG32)</f>
        <v>0</v>
      </c>
    </row>
    <row r="35" spans="1:85" x14ac:dyDescent="0.2">
      <c r="B35" s="197"/>
      <c r="C35" s="928"/>
      <c r="D35" s="1048"/>
      <c r="E35" s="1396"/>
      <c r="F35" s="1389"/>
      <c r="G35" s="1389"/>
      <c r="H35" s="1389"/>
      <c r="I35" s="1389"/>
      <c r="J35" s="1389"/>
      <c r="K35" s="1048"/>
      <c r="L35" s="197"/>
      <c r="M35" s="197"/>
      <c r="N35" s="1048"/>
      <c r="O35" s="1048"/>
      <c r="P35" s="1048"/>
      <c r="Q35" s="1048"/>
      <c r="R35" s="1048"/>
      <c r="S35" s="1139"/>
      <c r="T35" s="1139"/>
      <c r="U35" s="1048"/>
      <c r="V35" s="1301"/>
      <c r="W35" s="1048"/>
      <c r="X35" s="1048"/>
      <c r="Y35" s="1048"/>
      <c r="Z35" s="1048"/>
      <c r="AA35" s="1048"/>
      <c r="AB35" s="1048"/>
      <c r="AC35" s="1048"/>
      <c r="AD35" s="1048"/>
      <c r="AE35" s="1048"/>
      <c r="AF35" s="1048"/>
      <c r="AG35" s="1048"/>
      <c r="AH35" s="1048"/>
      <c r="AI35" s="1048"/>
      <c r="AJ35" s="1048"/>
      <c r="AK35" s="1048"/>
      <c r="AL35" s="1048"/>
      <c r="AM35" s="1048"/>
      <c r="AN35" s="1048"/>
      <c r="AO35" s="1048"/>
      <c r="AP35" s="1048"/>
      <c r="AQ35" s="1048"/>
      <c r="AR35" s="1048"/>
      <c r="AS35" s="1048"/>
      <c r="AT35" s="1048"/>
      <c r="AU35" s="1048"/>
      <c r="AV35" s="1048"/>
      <c r="AW35" s="1048"/>
      <c r="AX35" s="1048"/>
      <c r="AY35" s="1301"/>
      <c r="AZ35" s="1301"/>
      <c r="BA35" s="1301"/>
      <c r="BB35" s="1301"/>
      <c r="BC35" s="1301"/>
      <c r="BD35" s="1139"/>
      <c r="BE35" s="197"/>
      <c r="BF35" s="1139"/>
      <c r="BG35" s="197"/>
      <c r="BH35" s="1139"/>
      <c r="BI35" s="197"/>
      <c r="BJ35" s="197"/>
      <c r="BK35" s="1322"/>
      <c r="BL35" s="1322"/>
      <c r="BM35" s="1139"/>
      <c r="BN35" s="197"/>
      <c r="BO35" s="197"/>
      <c r="BP35" s="1139"/>
      <c r="BQ35" s="1139"/>
      <c r="BR35" s="1139"/>
      <c r="BS35" s="1139"/>
      <c r="BT35" s="1048"/>
      <c r="BU35" s="1048"/>
      <c r="BV35" s="1048"/>
      <c r="BW35" s="1139"/>
      <c r="BX35" s="1531"/>
      <c r="BY35" s="1211"/>
      <c r="BZ35" s="1048"/>
      <c r="CA35" s="1139"/>
      <c r="CB35" s="197"/>
      <c r="CD35" s="197"/>
      <c r="CE35" s="197"/>
      <c r="CF35" s="197"/>
      <c r="CG35" s="197"/>
    </row>
    <row r="36" spans="1:85" s="192" customFormat="1" x14ac:dyDescent="0.2">
      <c r="A36" s="193" t="s">
        <v>927</v>
      </c>
      <c r="B36" s="194"/>
      <c r="C36" s="928"/>
      <c r="D36" s="1049"/>
      <c r="E36" s="1408"/>
      <c r="F36" s="1409"/>
      <c r="G36" s="1409"/>
      <c r="H36" s="1409"/>
      <c r="I36" s="1409"/>
      <c r="J36" s="1409"/>
      <c r="K36" s="1049"/>
      <c r="L36" s="194"/>
      <c r="M36" s="194"/>
      <c r="N36" s="1049"/>
      <c r="O36" s="1049"/>
      <c r="P36" s="1049"/>
      <c r="Q36" s="1049"/>
      <c r="R36" s="1049"/>
      <c r="S36" s="1140"/>
      <c r="T36" s="1140"/>
      <c r="U36" s="1049"/>
      <c r="V36" s="1302"/>
      <c r="W36" s="1049"/>
      <c r="X36" s="1049"/>
      <c r="Y36" s="1049"/>
      <c r="Z36" s="1049"/>
      <c r="AA36" s="1049"/>
      <c r="AB36" s="1049"/>
      <c r="AC36" s="1049"/>
      <c r="AD36" s="1049"/>
      <c r="AE36" s="1049"/>
      <c r="AF36" s="1049"/>
      <c r="AG36" s="1049"/>
      <c r="AH36" s="1049"/>
      <c r="AI36" s="1049"/>
      <c r="AJ36" s="1049"/>
      <c r="AK36" s="1049"/>
      <c r="AL36" s="1049"/>
      <c r="AM36" s="1049"/>
      <c r="AN36" s="1049"/>
      <c r="AO36" s="1049"/>
      <c r="AP36" s="1049"/>
      <c r="AQ36" s="1049"/>
      <c r="AR36" s="1049"/>
      <c r="AS36" s="1049"/>
      <c r="AT36" s="1049"/>
      <c r="AU36" s="1049"/>
      <c r="AV36" s="1049"/>
      <c r="AW36" s="1049"/>
      <c r="AX36" s="1049"/>
      <c r="AY36" s="1302"/>
      <c r="AZ36" s="1302"/>
      <c r="BA36" s="1302"/>
      <c r="BB36" s="1302"/>
      <c r="BC36" s="1302"/>
      <c r="BD36" s="1140"/>
      <c r="BE36" s="194"/>
      <c r="BF36" s="1140"/>
      <c r="BG36" s="194"/>
      <c r="BH36" s="1140"/>
      <c r="BI36" s="194"/>
      <c r="BJ36" s="194"/>
      <c r="BK36" s="1323"/>
      <c r="BL36" s="1323"/>
      <c r="BM36" s="1140"/>
      <c r="BN36" s="194"/>
      <c r="BO36" s="194"/>
      <c r="BP36" s="1140"/>
      <c r="BQ36" s="1140"/>
      <c r="BR36" s="1140"/>
      <c r="BS36" s="1140"/>
      <c r="BT36" s="1049"/>
      <c r="BU36" s="1049"/>
      <c r="BV36" s="1049"/>
      <c r="BW36" s="1140"/>
      <c r="BX36" s="1527"/>
      <c r="BY36" s="1212"/>
      <c r="BZ36" s="1049"/>
      <c r="CA36" s="1140"/>
      <c r="CB36" s="194"/>
      <c r="CC36" s="191"/>
      <c r="CD36" s="194"/>
      <c r="CE36" s="194"/>
      <c r="CF36" s="194"/>
      <c r="CG36" s="194"/>
    </row>
    <row r="37" spans="1:85" x14ac:dyDescent="0.2">
      <c r="A37" s="195" t="s">
        <v>953</v>
      </c>
      <c r="B37" s="196">
        <f t="shared" ref="B37:B48" si="64">SUM(C37:CB37)</f>
        <v>15320</v>
      </c>
      <c r="C37" s="928"/>
      <c r="D37" s="928"/>
      <c r="E37" s="1389">
        <v>8175</v>
      </c>
      <c r="F37" s="1396">
        <v>7037</v>
      </c>
      <c r="G37" s="1396"/>
      <c r="H37" s="1396"/>
      <c r="I37" s="1396"/>
      <c r="J37" s="1396"/>
      <c r="K37" s="928"/>
      <c r="N37" s="928"/>
      <c r="O37" s="928">
        <v>108</v>
      </c>
      <c r="P37" s="928"/>
      <c r="Q37" s="928"/>
      <c r="R37" s="928"/>
      <c r="S37" s="1097"/>
      <c r="T37" s="1097"/>
      <c r="U37" s="928"/>
      <c r="V37" s="1097"/>
      <c r="W37" s="928"/>
      <c r="X37" s="928"/>
      <c r="Y37" s="928"/>
      <c r="Z37" s="928"/>
      <c r="AA37" s="928"/>
      <c r="AB37" s="928"/>
      <c r="AC37" s="928"/>
      <c r="AD37" s="928"/>
      <c r="AE37" s="928"/>
      <c r="AF37" s="928"/>
      <c r="AG37" s="928"/>
      <c r="AH37" s="928"/>
      <c r="AI37" s="928"/>
      <c r="AJ37" s="928"/>
      <c r="AK37" s="928"/>
      <c r="AL37" s="928"/>
      <c r="AM37" s="928"/>
      <c r="AN37" s="928"/>
      <c r="AO37" s="928"/>
      <c r="AP37" s="928"/>
      <c r="AQ37" s="928"/>
      <c r="AR37" s="928"/>
      <c r="AS37" s="928"/>
      <c r="AT37" s="928"/>
      <c r="AU37" s="928"/>
      <c r="AV37" s="928"/>
      <c r="AW37" s="928"/>
      <c r="AX37" s="928"/>
      <c r="AY37" s="1097"/>
      <c r="AZ37" s="1097"/>
      <c r="BA37" s="1097"/>
      <c r="BB37" s="1097"/>
      <c r="BC37" s="1097"/>
      <c r="BD37" s="1097"/>
      <c r="BF37" s="1097"/>
      <c r="BH37" s="1097"/>
      <c r="BK37" s="1097"/>
      <c r="BL37" s="1097"/>
      <c r="BM37" s="1097"/>
      <c r="BP37" s="1097"/>
      <c r="BQ37" s="1097"/>
      <c r="BR37" s="1097"/>
      <c r="BS37" s="1097"/>
      <c r="BT37" s="1435"/>
      <c r="BU37" s="928"/>
      <c r="BV37" s="1338"/>
      <c r="BW37" s="1097"/>
      <c r="BX37" s="1292"/>
      <c r="BY37" s="1210"/>
      <c r="BZ37" s="928"/>
      <c r="CA37" s="1097"/>
    </row>
    <row r="38" spans="1:85" x14ac:dyDescent="0.2">
      <c r="A38" s="195" t="s">
        <v>954</v>
      </c>
      <c r="B38" s="196">
        <f t="shared" si="64"/>
        <v>112268</v>
      </c>
      <c r="C38" s="928">
        <v>95005</v>
      </c>
      <c r="D38" s="928"/>
      <c r="E38" s="1396">
        <v>246</v>
      </c>
      <c r="F38" s="1396">
        <f>15760+71</f>
        <v>15831</v>
      </c>
      <c r="G38" s="1396"/>
      <c r="H38" s="1396">
        <v>1071</v>
      </c>
      <c r="I38" s="1396"/>
      <c r="J38" s="1396"/>
      <c r="K38" s="928"/>
      <c r="N38" s="928"/>
      <c r="O38" s="928">
        <v>115</v>
      </c>
      <c r="P38" s="928"/>
      <c r="Q38" s="928"/>
      <c r="R38" s="928"/>
      <c r="S38" s="1097"/>
      <c r="T38" s="1097"/>
      <c r="U38" s="928"/>
      <c r="V38" s="1097"/>
      <c r="W38" s="928"/>
      <c r="X38" s="928"/>
      <c r="Y38" s="928"/>
      <c r="Z38" s="928"/>
      <c r="AA38" s="928"/>
      <c r="AB38" s="928"/>
      <c r="AC38" s="928"/>
      <c r="AD38" s="928"/>
      <c r="AE38" s="928"/>
      <c r="AF38" s="928"/>
      <c r="AG38" s="928"/>
      <c r="AH38" s="928"/>
      <c r="AI38" s="928"/>
      <c r="AJ38" s="928"/>
      <c r="AK38" s="928"/>
      <c r="AL38" s="928"/>
      <c r="AM38" s="928"/>
      <c r="AN38" s="928"/>
      <c r="AO38" s="928"/>
      <c r="AP38" s="928"/>
      <c r="AQ38" s="928"/>
      <c r="AR38" s="928"/>
      <c r="AS38" s="928"/>
      <c r="AT38" s="928"/>
      <c r="AU38" s="928"/>
      <c r="AV38" s="928"/>
      <c r="AW38" s="928"/>
      <c r="AX38" s="928"/>
      <c r="AY38" s="1097"/>
      <c r="AZ38" s="1097"/>
      <c r="BA38" s="1097"/>
      <c r="BB38" s="1097"/>
      <c r="BC38" s="1097"/>
      <c r="BD38" s="1097"/>
      <c r="BF38" s="1097"/>
      <c r="BH38" s="1097"/>
      <c r="BK38" s="1097"/>
      <c r="BL38" s="1097"/>
      <c r="BM38" s="1097"/>
      <c r="BP38" s="1097"/>
      <c r="BQ38" s="1097"/>
      <c r="BR38" s="1097"/>
      <c r="BS38" s="1097"/>
      <c r="BT38" s="1435"/>
      <c r="BU38" s="928"/>
      <c r="BV38" s="1338"/>
      <c r="BW38" s="1097"/>
      <c r="BX38" s="1292"/>
      <c r="BY38" s="1210"/>
      <c r="BZ38" s="928"/>
      <c r="CA38" s="1097"/>
    </row>
    <row r="39" spans="1:85" x14ac:dyDescent="0.2">
      <c r="A39" s="195" t="s">
        <v>955</v>
      </c>
      <c r="B39" s="196">
        <f t="shared" si="64"/>
        <v>13956</v>
      </c>
      <c r="C39" s="928"/>
      <c r="D39" s="928"/>
      <c r="E39" s="1396">
        <v>13956</v>
      </c>
      <c r="F39" s="1396"/>
      <c r="G39" s="1396"/>
      <c r="H39" s="1396"/>
      <c r="I39" s="1396"/>
      <c r="J39" s="1396"/>
      <c r="K39" s="928"/>
      <c r="N39" s="928"/>
      <c r="O39" s="928">
        <v>0</v>
      </c>
      <c r="P39" s="928"/>
      <c r="Q39" s="928"/>
      <c r="R39" s="928"/>
      <c r="S39" s="1097"/>
      <c r="T39" s="1097"/>
      <c r="U39" s="928"/>
      <c r="V39" s="1097"/>
      <c r="W39" s="928"/>
      <c r="X39" s="928"/>
      <c r="Y39" s="928"/>
      <c r="Z39" s="928"/>
      <c r="AA39" s="928"/>
      <c r="AB39" s="928"/>
      <c r="AC39" s="928"/>
      <c r="AD39" s="928"/>
      <c r="AE39" s="928"/>
      <c r="AF39" s="928"/>
      <c r="AG39" s="928"/>
      <c r="AH39" s="928"/>
      <c r="AI39" s="928"/>
      <c r="AJ39" s="928"/>
      <c r="AK39" s="928"/>
      <c r="AL39" s="928"/>
      <c r="AM39" s="928"/>
      <c r="AN39" s="928"/>
      <c r="AO39" s="928"/>
      <c r="AP39" s="928"/>
      <c r="AQ39" s="928"/>
      <c r="AR39" s="928"/>
      <c r="AS39" s="928"/>
      <c r="AT39" s="928"/>
      <c r="AU39" s="928"/>
      <c r="AV39" s="928"/>
      <c r="AW39" s="928"/>
      <c r="AX39" s="928"/>
      <c r="AY39" s="1097"/>
      <c r="AZ39" s="1097"/>
      <c r="BA39" s="1097"/>
      <c r="BB39" s="1097"/>
      <c r="BC39" s="1097"/>
      <c r="BD39" s="1097"/>
      <c r="BF39" s="1097"/>
      <c r="BH39" s="1097"/>
      <c r="BK39" s="1097"/>
      <c r="BL39" s="1097"/>
      <c r="BM39" s="1097"/>
      <c r="BP39" s="1097"/>
      <c r="BQ39" s="1097"/>
      <c r="BR39" s="1097"/>
      <c r="BS39" s="1097"/>
      <c r="BT39" s="1435"/>
      <c r="BU39" s="928"/>
      <c r="BV39" s="1338"/>
      <c r="BW39" s="1097"/>
      <c r="BX39" s="1292"/>
      <c r="BY39" s="1210"/>
      <c r="BZ39" s="928"/>
      <c r="CA39" s="1097"/>
    </row>
    <row r="40" spans="1:85" x14ac:dyDescent="0.2">
      <c r="A40" s="195" t="s">
        <v>958</v>
      </c>
      <c r="B40" s="196">
        <f t="shared" si="64"/>
        <v>23</v>
      </c>
      <c r="C40" s="928"/>
      <c r="D40" s="928"/>
      <c r="E40" s="1396">
        <v>0</v>
      </c>
      <c r="F40" s="1396">
        <v>23</v>
      </c>
      <c r="G40" s="1396"/>
      <c r="H40" s="1396"/>
      <c r="I40" s="1396"/>
      <c r="J40" s="1396"/>
      <c r="K40" s="928"/>
      <c r="N40" s="928"/>
      <c r="O40" s="928">
        <v>0</v>
      </c>
      <c r="P40" s="928"/>
      <c r="Q40" s="928"/>
      <c r="R40" s="928"/>
      <c r="S40" s="1097"/>
      <c r="T40" s="1097"/>
      <c r="U40" s="928"/>
      <c r="V40" s="1097"/>
      <c r="W40" s="928"/>
      <c r="X40" s="928"/>
      <c r="Y40" s="928"/>
      <c r="Z40" s="928"/>
      <c r="AA40" s="928"/>
      <c r="AB40" s="928"/>
      <c r="AC40" s="928"/>
      <c r="AD40" s="928"/>
      <c r="AE40" s="928"/>
      <c r="AF40" s="928"/>
      <c r="AG40" s="928"/>
      <c r="AH40" s="928"/>
      <c r="AI40" s="928"/>
      <c r="AJ40" s="928"/>
      <c r="AK40" s="928"/>
      <c r="AL40" s="928"/>
      <c r="AM40" s="928"/>
      <c r="AN40" s="928"/>
      <c r="AO40" s="928"/>
      <c r="AP40" s="928"/>
      <c r="AQ40" s="928"/>
      <c r="AR40" s="928"/>
      <c r="AS40" s="928"/>
      <c r="AT40" s="928"/>
      <c r="AU40" s="928"/>
      <c r="AV40" s="928"/>
      <c r="AW40" s="928"/>
      <c r="AX40" s="928"/>
      <c r="AY40" s="1097"/>
      <c r="AZ40" s="1097"/>
      <c r="BA40" s="1097"/>
      <c r="BB40" s="1097"/>
      <c r="BC40" s="1097"/>
      <c r="BD40" s="1097"/>
      <c r="BF40" s="1097"/>
      <c r="BH40" s="1097"/>
      <c r="BK40" s="1097"/>
      <c r="BL40" s="1097"/>
      <c r="BM40" s="1097"/>
      <c r="BP40" s="1097"/>
      <c r="BQ40" s="1097"/>
      <c r="BR40" s="1097"/>
      <c r="BS40" s="1097"/>
      <c r="BT40" s="1435"/>
      <c r="BU40" s="928"/>
      <c r="BV40" s="1338"/>
      <c r="BW40" s="1097"/>
      <c r="BX40" s="1292"/>
      <c r="BY40" s="1210"/>
      <c r="BZ40" s="928"/>
      <c r="CA40" s="1097"/>
    </row>
    <row r="41" spans="1:85" x14ac:dyDescent="0.2">
      <c r="A41" s="195" t="s">
        <v>956</v>
      </c>
      <c r="B41" s="196">
        <f t="shared" si="64"/>
        <v>54680</v>
      </c>
      <c r="C41" s="928">
        <v>6124</v>
      </c>
      <c r="D41" s="928"/>
      <c r="E41" s="1396">
        <v>29464</v>
      </c>
      <c r="F41" s="1396">
        <v>18767</v>
      </c>
      <c r="G41" s="1396"/>
      <c r="H41" s="1396"/>
      <c r="I41" s="1396"/>
      <c r="J41" s="1396"/>
      <c r="K41" s="928"/>
      <c r="N41" s="928"/>
      <c r="O41" s="928">
        <v>325</v>
      </c>
      <c r="P41" s="928"/>
      <c r="Q41" s="928"/>
      <c r="R41" s="928"/>
      <c r="S41" s="1097"/>
      <c r="T41" s="1097"/>
      <c r="U41" s="928"/>
      <c r="V41" s="1097"/>
      <c r="W41" s="928"/>
      <c r="X41" s="928"/>
      <c r="Y41" s="928"/>
      <c r="Z41" s="928"/>
      <c r="AA41" s="928"/>
      <c r="AB41" s="928"/>
      <c r="AC41" s="928"/>
      <c r="AD41" s="928"/>
      <c r="AE41" s="928"/>
      <c r="AF41" s="928"/>
      <c r="AG41" s="928"/>
      <c r="AH41" s="928"/>
      <c r="AI41" s="928"/>
      <c r="AJ41" s="928"/>
      <c r="AK41" s="928"/>
      <c r="AL41" s="928"/>
      <c r="AM41" s="928"/>
      <c r="AN41" s="928"/>
      <c r="AO41" s="928"/>
      <c r="AP41" s="928"/>
      <c r="AQ41" s="928"/>
      <c r="AR41" s="928"/>
      <c r="AS41" s="928"/>
      <c r="AT41" s="928"/>
      <c r="AU41" s="928"/>
      <c r="AV41" s="928"/>
      <c r="AW41" s="928"/>
      <c r="AX41" s="928"/>
      <c r="AY41" s="1097"/>
      <c r="AZ41" s="1097"/>
      <c r="BA41" s="1097"/>
      <c r="BB41" s="1097"/>
      <c r="BC41" s="1097"/>
      <c r="BD41" s="1097"/>
      <c r="BF41" s="1097"/>
      <c r="BH41" s="1097"/>
      <c r="BK41" s="1097"/>
      <c r="BL41" s="1097"/>
      <c r="BM41" s="1097"/>
      <c r="BP41" s="1097"/>
      <c r="BQ41" s="1097"/>
      <c r="BR41" s="1097"/>
      <c r="BS41" s="1097"/>
      <c r="BT41" s="1435"/>
      <c r="BU41" s="928"/>
      <c r="BV41" s="1338"/>
      <c r="BW41" s="1097"/>
      <c r="BX41" s="1292"/>
      <c r="BY41" s="1210"/>
      <c r="BZ41" s="928"/>
      <c r="CA41" s="1097"/>
    </row>
    <row r="42" spans="1:85" x14ac:dyDescent="0.2">
      <c r="A42" s="195" t="s">
        <v>961</v>
      </c>
      <c r="B42" s="196">
        <f t="shared" si="64"/>
        <v>2262</v>
      </c>
      <c r="C42" s="928"/>
      <c r="D42" s="928"/>
      <c r="E42" s="1396">
        <v>0</v>
      </c>
      <c r="F42" s="1396">
        <v>351</v>
      </c>
      <c r="G42" s="1396">
        <v>360</v>
      </c>
      <c r="H42" s="1396"/>
      <c r="I42" s="1396"/>
      <c r="J42" s="1396"/>
      <c r="K42" s="928"/>
      <c r="N42" s="928"/>
      <c r="O42" s="928">
        <v>1551</v>
      </c>
      <c r="P42" s="928"/>
      <c r="Q42" s="928"/>
      <c r="R42" s="928"/>
      <c r="S42" s="1097"/>
      <c r="T42" s="1097"/>
      <c r="U42" s="928"/>
      <c r="V42" s="1097"/>
      <c r="W42" s="928"/>
      <c r="X42" s="928"/>
      <c r="Y42" s="928"/>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8"/>
      <c r="AV42" s="928"/>
      <c r="AW42" s="928"/>
      <c r="AX42" s="928"/>
      <c r="AY42" s="1097"/>
      <c r="AZ42" s="1097"/>
      <c r="BA42" s="1097"/>
      <c r="BB42" s="1097"/>
      <c r="BC42" s="1097"/>
      <c r="BD42" s="1097"/>
      <c r="BF42" s="1097"/>
      <c r="BH42" s="1097"/>
      <c r="BK42" s="1097"/>
      <c r="BL42" s="1097"/>
      <c r="BM42" s="1097"/>
      <c r="BP42" s="1097"/>
      <c r="BQ42" s="1097"/>
      <c r="BR42" s="1097"/>
      <c r="BS42" s="1097"/>
      <c r="BT42" s="1435"/>
      <c r="BU42" s="928"/>
      <c r="BV42" s="1338"/>
      <c r="BW42" s="1097"/>
      <c r="BX42" s="1292"/>
      <c r="BY42" s="1210"/>
      <c r="BZ42" s="928"/>
      <c r="CA42" s="1097"/>
    </row>
    <row r="43" spans="1:85" x14ac:dyDescent="0.2">
      <c r="A43" s="195" t="s">
        <v>960</v>
      </c>
      <c r="B43" s="196">
        <f t="shared" si="64"/>
        <v>7950</v>
      </c>
      <c r="C43" s="928"/>
      <c r="D43" s="928"/>
      <c r="E43" s="1396"/>
      <c r="F43" s="1396"/>
      <c r="G43" s="1396"/>
      <c r="H43" s="1396"/>
      <c r="I43" s="1396"/>
      <c r="J43" s="1396"/>
      <c r="K43" s="928"/>
      <c r="N43" s="928">
        <v>7950</v>
      </c>
      <c r="O43" s="928">
        <v>0</v>
      </c>
      <c r="P43" s="928"/>
      <c r="Q43" s="928"/>
      <c r="R43" s="928"/>
      <c r="S43" s="1097"/>
      <c r="T43" s="1097"/>
      <c r="U43" s="928"/>
      <c r="V43" s="1097"/>
      <c r="W43" s="928"/>
      <c r="X43" s="928"/>
      <c r="Y43" s="928"/>
      <c r="Z43" s="928"/>
      <c r="AA43" s="928"/>
      <c r="AB43" s="928"/>
      <c r="AC43" s="928"/>
      <c r="AD43" s="928"/>
      <c r="AE43" s="928"/>
      <c r="AF43" s="928"/>
      <c r="AG43" s="928"/>
      <c r="AH43" s="928"/>
      <c r="AI43" s="928"/>
      <c r="AJ43" s="928"/>
      <c r="AK43" s="928"/>
      <c r="AL43" s="928"/>
      <c r="AM43" s="928"/>
      <c r="AN43" s="928"/>
      <c r="AO43" s="928"/>
      <c r="AP43" s="928"/>
      <c r="AQ43" s="928"/>
      <c r="AR43" s="928"/>
      <c r="AS43" s="928"/>
      <c r="AT43" s="928"/>
      <c r="AU43" s="928"/>
      <c r="AV43" s="928"/>
      <c r="AW43" s="928"/>
      <c r="AX43" s="928"/>
      <c r="AY43" s="1097"/>
      <c r="AZ43" s="1097"/>
      <c r="BA43" s="1097"/>
      <c r="BB43" s="1097"/>
      <c r="BC43" s="1097"/>
      <c r="BD43" s="1097"/>
      <c r="BF43" s="1097"/>
      <c r="BH43" s="1097"/>
      <c r="BK43" s="1097"/>
      <c r="BL43" s="1097"/>
      <c r="BM43" s="1097"/>
      <c r="BP43" s="1097"/>
      <c r="BQ43" s="1097"/>
      <c r="BR43" s="1097"/>
      <c r="BS43" s="1097"/>
      <c r="BT43" s="1435"/>
      <c r="BU43" s="928"/>
      <c r="BV43" s="1338"/>
      <c r="BW43" s="1097"/>
      <c r="BX43" s="1292"/>
      <c r="BY43" s="1210"/>
      <c r="BZ43" s="928"/>
      <c r="CA43" s="1097"/>
    </row>
    <row r="44" spans="1:85" x14ac:dyDescent="0.2">
      <c r="A44" s="195" t="s">
        <v>963</v>
      </c>
      <c r="B44" s="196">
        <f t="shared" si="64"/>
        <v>41105</v>
      </c>
      <c r="C44" s="928"/>
      <c r="D44" s="928"/>
      <c r="E44" s="1396">
        <v>13748</v>
      </c>
      <c r="F44" s="1396">
        <v>3543</v>
      </c>
      <c r="G44" s="1396">
        <v>13496</v>
      </c>
      <c r="H44" s="1396"/>
      <c r="I44" s="1396">
        <v>9595</v>
      </c>
      <c r="J44" s="1396"/>
      <c r="K44" s="928"/>
      <c r="N44" s="928"/>
      <c r="O44" s="928">
        <v>12</v>
      </c>
      <c r="P44" s="928"/>
      <c r="Q44" s="928"/>
      <c r="R44" s="928"/>
      <c r="S44" s="1097"/>
      <c r="T44" s="1097"/>
      <c r="U44" s="928"/>
      <c r="V44" s="1097"/>
      <c r="W44" s="928"/>
      <c r="X44" s="928"/>
      <c r="Y44" s="928"/>
      <c r="Z44" s="928"/>
      <c r="AA44" s="928"/>
      <c r="AB44" s="928"/>
      <c r="AC44" s="928"/>
      <c r="AD44" s="928"/>
      <c r="AE44" s="928"/>
      <c r="AF44" s="928"/>
      <c r="AG44" s="928"/>
      <c r="AH44" s="928"/>
      <c r="AI44" s="928"/>
      <c r="AJ44" s="928"/>
      <c r="AK44" s="928"/>
      <c r="AL44" s="928"/>
      <c r="AM44" s="928"/>
      <c r="AN44" s="928"/>
      <c r="AO44" s="928"/>
      <c r="AP44" s="928"/>
      <c r="AQ44" s="928"/>
      <c r="AR44" s="928"/>
      <c r="AS44" s="928"/>
      <c r="AT44" s="928"/>
      <c r="AU44" s="928"/>
      <c r="AV44" s="928"/>
      <c r="AW44" s="928"/>
      <c r="AX44" s="928"/>
      <c r="AY44" s="1097"/>
      <c r="AZ44" s="1097"/>
      <c r="BA44" s="1097"/>
      <c r="BB44" s="1097"/>
      <c r="BC44" s="1097"/>
      <c r="BD44" s="1097"/>
      <c r="BF44" s="1097"/>
      <c r="BH44" s="1097"/>
      <c r="BK44" s="1097"/>
      <c r="BL44" s="1097"/>
      <c r="BM44" s="1097"/>
      <c r="BP44" s="1097"/>
      <c r="BQ44" s="1097"/>
      <c r="BR44" s="1097"/>
      <c r="BS44" s="1097">
        <f>501+210</f>
        <v>711</v>
      </c>
      <c r="BT44" s="1435"/>
      <c r="BU44" s="928"/>
      <c r="BV44" s="1338"/>
      <c r="BW44" s="1097"/>
      <c r="BX44" s="1292"/>
      <c r="BY44" s="1210"/>
      <c r="BZ44" s="928"/>
      <c r="CA44" s="1097"/>
    </row>
    <row r="45" spans="1:85" x14ac:dyDescent="0.2">
      <c r="A45" s="195" t="s">
        <v>959</v>
      </c>
      <c r="B45" s="196">
        <f t="shared" si="64"/>
        <v>214547</v>
      </c>
      <c r="C45" s="928"/>
      <c r="D45" s="928"/>
      <c r="E45" s="1396">
        <v>20591</v>
      </c>
      <c r="F45" s="1396">
        <v>192862</v>
      </c>
      <c r="G45" s="1396">
        <v>547</v>
      </c>
      <c r="H45" s="1396"/>
      <c r="I45" s="1396"/>
      <c r="J45" s="1396"/>
      <c r="K45" s="928"/>
      <c r="N45" s="928"/>
      <c r="O45" s="928">
        <v>547</v>
      </c>
      <c r="P45" s="928"/>
      <c r="Q45" s="928"/>
      <c r="R45" s="928"/>
      <c r="S45" s="1097"/>
      <c r="T45" s="1097"/>
      <c r="U45" s="928"/>
      <c r="V45" s="1097"/>
      <c r="W45" s="928"/>
      <c r="X45" s="928"/>
      <c r="Y45" s="928"/>
      <c r="Z45" s="928"/>
      <c r="AA45" s="928"/>
      <c r="AB45" s="928"/>
      <c r="AC45" s="928"/>
      <c r="AD45" s="928"/>
      <c r="AE45" s="928"/>
      <c r="AF45" s="928"/>
      <c r="AG45" s="928"/>
      <c r="AH45" s="928"/>
      <c r="AI45" s="928"/>
      <c r="AJ45" s="928"/>
      <c r="AK45" s="928"/>
      <c r="AL45" s="928"/>
      <c r="AM45" s="928"/>
      <c r="AN45" s="928"/>
      <c r="AO45" s="928"/>
      <c r="AP45" s="928"/>
      <c r="AQ45" s="928"/>
      <c r="AR45" s="928"/>
      <c r="AS45" s="928"/>
      <c r="AT45" s="928"/>
      <c r="AU45" s="928"/>
      <c r="AV45" s="928"/>
      <c r="AW45" s="928"/>
      <c r="AX45" s="928"/>
      <c r="AY45" s="1097"/>
      <c r="AZ45" s="1097"/>
      <c r="BA45" s="1097"/>
      <c r="BB45" s="1097"/>
      <c r="BC45" s="1097"/>
      <c r="BD45" s="1097"/>
      <c r="BF45" s="1097"/>
      <c r="BH45" s="1097"/>
      <c r="BK45" s="1097"/>
      <c r="BL45" s="1097"/>
      <c r="BM45" s="1097"/>
      <c r="BP45" s="1097"/>
      <c r="BQ45" s="1097"/>
      <c r="BR45" s="1097"/>
      <c r="BS45" s="1097"/>
      <c r="BT45" s="1435"/>
      <c r="BU45" s="928"/>
      <c r="BV45" s="1338"/>
      <c r="BW45" s="1097"/>
      <c r="BX45" s="1292"/>
      <c r="BY45" s="1210"/>
      <c r="BZ45" s="928"/>
      <c r="CA45" s="1097"/>
    </row>
    <row r="46" spans="1:85" x14ac:dyDescent="0.2">
      <c r="A46" s="195" t="s">
        <v>1191</v>
      </c>
      <c r="B46" s="196">
        <f t="shared" si="64"/>
        <v>1621</v>
      </c>
      <c r="C46" s="928"/>
      <c r="D46" s="928"/>
      <c r="E46" s="1396">
        <v>342</v>
      </c>
      <c r="F46" s="1396">
        <v>550</v>
      </c>
      <c r="G46" s="1396"/>
      <c r="H46" s="1396"/>
      <c r="I46" s="1396"/>
      <c r="J46" s="1396"/>
      <c r="K46" s="928"/>
      <c r="N46" s="928"/>
      <c r="O46" s="928">
        <v>7</v>
      </c>
      <c r="P46" s="928"/>
      <c r="Q46" s="928"/>
      <c r="R46" s="928"/>
      <c r="S46" s="1097"/>
      <c r="T46" s="1097"/>
      <c r="U46" s="928"/>
      <c r="V46" s="1097"/>
      <c r="W46" s="928"/>
      <c r="X46" s="928"/>
      <c r="Y46" s="928"/>
      <c r="Z46" s="928"/>
      <c r="AA46" s="928"/>
      <c r="AB46" s="928"/>
      <c r="AC46" s="928"/>
      <c r="AD46" s="928"/>
      <c r="AE46" s="928"/>
      <c r="AF46" s="928"/>
      <c r="AG46" s="928"/>
      <c r="AH46" s="928"/>
      <c r="AI46" s="928"/>
      <c r="AJ46" s="928"/>
      <c r="AK46" s="928"/>
      <c r="AL46" s="928"/>
      <c r="AM46" s="928"/>
      <c r="AN46" s="928"/>
      <c r="AO46" s="928"/>
      <c r="AP46" s="928"/>
      <c r="AQ46" s="928"/>
      <c r="AR46" s="928"/>
      <c r="AS46" s="928"/>
      <c r="AT46" s="928"/>
      <c r="AU46" s="928"/>
      <c r="AV46" s="928"/>
      <c r="AW46" s="928"/>
      <c r="AX46" s="928"/>
      <c r="AY46" s="1097"/>
      <c r="AZ46" s="1097"/>
      <c r="BA46" s="1097"/>
      <c r="BB46" s="1097"/>
      <c r="BC46" s="1097"/>
      <c r="BD46" s="1097"/>
      <c r="BF46" s="1097"/>
      <c r="BH46" s="1097"/>
      <c r="BK46" s="1097"/>
      <c r="BL46" s="1097"/>
      <c r="BM46" s="1097"/>
      <c r="BP46" s="1097"/>
      <c r="BQ46" s="1097">
        <v>722</v>
      </c>
      <c r="BR46" s="1097"/>
      <c r="BS46" s="1097"/>
      <c r="BT46" s="1435"/>
      <c r="BU46" s="928"/>
      <c r="BV46" s="1338"/>
      <c r="BW46" s="1097"/>
      <c r="BX46" s="1292"/>
      <c r="BY46" s="1210"/>
      <c r="BZ46" s="928"/>
      <c r="CA46" s="1097"/>
    </row>
    <row r="47" spans="1:85" x14ac:dyDescent="0.2">
      <c r="A47" s="195" t="s">
        <v>1052</v>
      </c>
      <c r="B47" s="196">
        <f t="shared" si="64"/>
        <v>8232</v>
      </c>
      <c r="C47" s="928"/>
      <c r="D47" s="928"/>
      <c r="E47" s="1396">
        <v>6416</v>
      </c>
      <c r="F47" s="1396"/>
      <c r="G47" s="1396"/>
      <c r="H47" s="1396"/>
      <c r="I47" s="1396"/>
      <c r="J47" s="1396"/>
      <c r="K47" s="928"/>
      <c r="N47" s="928"/>
      <c r="O47" s="928">
        <v>0</v>
      </c>
      <c r="P47" s="928"/>
      <c r="Q47" s="928"/>
      <c r="R47" s="928"/>
      <c r="S47" s="1097"/>
      <c r="T47" s="1097"/>
      <c r="U47" s="928"/>
      <c r="V47" s="1097"/>
      <c r="W47" s="928"/>
      <c r="X47" s="928"/>
      <c r="Y47" s="928"/>
      <c r="Z47" s="928"/>
      <c r="AA47" s="928"/>
      <c r="AB47" s="928"/>
      <c r="AC47" s="928"/>
      <c r="AD47" s="928"/>
      <c r="AE47" s="928"/>
      <c r="AF47" s="928"/>
      <c r="AG47" s="928"/>
      <c r="AH47" s="928"/>
      <c r="AI47" s="928"/>
      <c r="AJ47" s="928"/>
      <c r="AK47" s="928"/>
      <c r="AL47" s="928"/>
      <c r="AM47" s="928"/>
      <c r="AN47" s="928"/>
      <c r="AO47" s="928"/>
      <c r="AP47" s="928"/>
      <c r="AQ47" s="928"/>
      <c r="AR47" s="928"/>
      <c r="AS47" s="928"/>
      <c r="AT47" s="928"/>
      <c r="AU47" s="928"/>
      <c r="AV47" s="928"/>
      <c r="AW47" s="928"/>
      <c r="AX47" s="928"/>
      <c r="AY47" s="1097"/>
      <c r="AZ47" s="1097"/>
      <c r="BA47" s="1097"/>
      <c r="BB47" s="1097"/>
      <c r="BC47" s="1097"/>
      <c r="BD47" s="1097"/>
      <c r="BF47" s="1097"/>
      <c r="BH47" s="1097"/>
      <c r="BK47" s="1097"/>
      <c r="BL47" s="1097"/>
      <c r="BM47" s="1097"/>
      <c r="BP47" s="1097">
        <v>1816</v>
      </c>
      <c r="BQ47" s="1097"/>
      <c r="BR47" s="1097"/>
      <c r="BS47" s="1097"/>
      <c r="BT47" s="1435"/>
      <c r="BU47" s="928"/>
      <c r="BV47" s="1338"/>
      <c r="BW47" s="1097"/>
      <c r="BX47" s="1292"/>
      <c r="BY47" s="1210"/>
      <c r="BZ47" s="928"/>
      <c r="CA47" s="1097"/>
    </row>
    <row r="48" spans="1:85" x14ac:dyDescent="0.2">
      <c r="A48" s="195" t="s">
        <v>1414</v>
      </c>
      <c r="B48" s="196">
        <f t="shared" si="64"/>
        <v>273</v>
      </c>
      <c r="C48" s="928"/>
      <c r="D48" s="928"/>
      <c r="E48" s="1396">
        <v>0</v>
      </c>
      <c r="F48" s="1396">
        <v>273</v>
      </c>
      <c r="G48" s="1396"/>
      <c r="H48" s="1396"/>
      <c r="I48" s="1396"/>
      <c r="J48" s="1396"/>
      <c r="K48" s="928"/>
      <c r="N48" s="928"/>
      <c r="O48" s="928">
        <v>0</v>
      </c>
      <c r="P48" s="928"/>
      <c r="Q48" s="928"/>
      <c r="R48" s="928"/>
      <c r="S48" s="1097"/>
      <c r="T48" s="1097"/>
      <c r="U48" s="928"/>
      <c r="V48" s="1097"/>
      <c r="W48" s="928"/>
      <c r="X48" s="928"/>
      <c r="Y48" s="928"/>
      <c r="Z48" s="928"/>
      <c r="AA48" s="928"/>
      <c r="AB48" s="928"/>
      <c r="AC48" s="928"/>
      <c r="AD48" s="928"/>
      <c r="AE48" s="928"/>
      <c r="AF48" s="928"/>
      <c r="AG48" s="928"/>
      <c r="AH48" s="928"/>
      <c r="AI48" s="928"/>
      <c r="AJ48" s="928"/>
      <c r="AK48" s="928"/>
      <c r="AL48" s="928"/>
      <c r="AM48" s="928"/>
      <c r="AN48" s="928"/>
      <c r="AO48" s="928"/>
      <c r="AP48" s="928"/>
      <c r="AQ48" s="928"/>
      <c r="AR48" s="928"/>
      <c r="AS48" s="928"/>
      <c r="AT48" s="928"/>
      <c r="AU48" s="928"/>
      <c r="AV48" s="928"/>
      <c r="AW48" s="928"/>
      <c r="AX48" s="928"/>
      <c r="AY48" s="1097"/>
      <c r="AZ48" s="1097"/>
      <c r="BA48" s="1097"/>
      <c r="BB48" s="1097"/>
      <c r="BC48" s="1097"/>
      <c r="BD48" s="1097"/>
      <c r="BF48" s="1097"/>
      <c r="BH48" s="1097"/>
      <c r="BK48" s="1097"/>
      <c r="BL48" s="1097"/>
      <c r="BM48" s="1097"/>
      <c r="BP48" s="1097"/>
      <c r="BQ48" s="1097"/>
      <c r="BR48" s="1097"/>
      <c r="BS48" s="1097"/>
      <c r="BT48" s="1435"/>
      <c r="BU48" s="928"/>
      <c r="BV48" s="1338"/>
      <c r="BW48" s="1097"/>
      <c r="BX48" s="1292"/>
      <c r="BY48" s="1210"/>
      <c r="BZ48" s="928"/>
      <c r="CA48" s="1097"/>
    </row>
    <row r="49" spans="1:85" s="201" customFormat="1" x14ac:dyDescent="0.2">
      <c r="A49" s="198" t="s">
        <v>928</v>
      </c>
      <c r="B49" s="199">
        <f t="shared" ref="B49:BO49" si="65">SUM(B37:B48)</f>
        <v>472237</v>
      </c>
      <c r="C49" s="1358">
        <f t="shared" ref="C49" si="66">SUM(C37:C48)</f>
        <v>101129</v>
      </c>
      <c r="D49" s="1358">
        <f t="shared" ref="D49:I49" si="67">SUM(D37:D48)</f>
        <v>0</v>
      </c>
      <c r="E49" s="1407">
        <f t="shared" si="67"/>
        <v>92938</v>
      </c>
      <c r="F49" s="1407">
        <f t="shared" si="67"/>
        <v>239237</v>
      </c>
      <c r="G49" s="1407">
        <f t="shared" si="67"/>
        <v>14403</v>
      </c>
      <c r="H49" s="1407">
        <f t="shared" si="67"/>
        <v>1071</v>
      </c>
      <c r="I49" s="1407">
        <f t="shared" si="67"/>
        <v>9595</v>
      </c>
      <c r="J49" s="1407">
        <f t="shared" ref="J49" si="68">SUM(J37:J48)</f>
        <v>0</v>
      </c>
      <c r="K49" s="1358">
        <f t="shared" ref="K49" si="69">SUM(K37:K48)</f>
        <v>0</v>
      </c>
      <c r="L49" s="199">
        <f t="shared" si="65"/>
        <v>0</v>
      </c>
      <c r="M49" s="199">
        <f t="shared" si="65"/>
        <v>0</v>
      </c>
      <c r="N49" s="1358">
        <f t="shared" si="65"/>
        <v>7950</v>
      </c>
      <c r="O49" s="1358">
        <f t="shared" ref="O49" si="70">SUM(O37:O48)</f>
        <v>2665</v>
      </c>
      <c r="P49" s="1358">
        <f t="shared" ref="P49" si="71">SUM(P37:P48)</f>
        <v>0</v>
      </c>
      <c r="Q49" s="1358">
        <f t="shared" ref="Q49:S49" si="72">SUM(Q37:Q48)</f>
        <v>0</v>
      </c>
      <c r="R49" s="1358">
        <f t="shared" si="72"/>
        <v>0</v>
      </c>
      <c r="S49" s="1358">
        <f t="shared" si="72"/>
        <v>0</v>
      </c>
      <c r="T49" s="1358">
        <f t="shared" ref="T49" si="73">SUM(T37:T48)</f>
        <v>0</v>
      </c>
      <c r="U49" s="1358">
        <f t="shared" ref="U49" si="74">SUM(U37:U48)</f>
        <v>0</v>
      </c>
      <c r="V49" s="1358">
        <f t="shared" ref="V49" si="75">SUM(V37:V48)</f>
        <v>0</v>
      </c>
      <c r="W49" s="1358">
        <f t="shared" ref="W49" si="76">SUM(W37:W48)</f>
        <v>0</v>
      </c>
      <c r="X49" s="1358">
        <f t="shared" ref="X49" si="77">SUM(X37:X48)</f>
        <v>0</v>
      </c>
      <c r="Y49" s="199">
        <f t="shared" si="65"/>
        <v>0</v>
      </c>
      <c r="Z49" s="199">
        <f t="shared" si="65"/>
        <v>0</v>
      </c>
      <c r="AA49" s="1358">
        <f t="shared" si="65"/>
        <v>0</v>
      </c>
      <c r="AB49" s="1358">
        <f t="shared" ref="AB49:AW49" si="78">SUM(AB37:AB48)</f>
        <v>0</v>
      </c>
      <c r="AC49" s="1358">
        <f t="shared" si="78"/>
        <v>0</v>
      </c>
      <c r="AD49" s="1358">
        <f t="shared" si="78"/>
        <v>0</v>
      </c>
      <c r="AE49" s="1358">
        <f t="shared" si="78"/>
        <v>0</v>
      </c>
      <c r="AF49" s="1358">
        <f t="shared" si="78"/>
        <v>0</v>
      </c>
      <c r="AG49" s="1358">
        <f t="shared" si="78"/>
        <v>0</v>
      </c>
      <c r="AH49" s="1358">
        <f t="shared" si="78"/>
        <v>0</v>
      </c>
      <c r="AI49" s="1358">
        <f t="shared" si="78"/>
        <v>0</v>
      </c>
      <c r="AJ49" s="1358">
        <f t="shared" si="78"/>
        <v>0</v>
      </c>
      <c r="AK49" s="1358">
        <f t="shared" si="78"/>
        <v>0</v>
      </c>
      <c r="AL49" s="1358">
        <f t="shared" si="78"/>
        <v>0</v>
      </c>
      <c r="AM49" s="1358">
        <f t="shared" si="78"/>
        <v>0</v>
      </c>
      <c r="AN49" s="1358">
        <f t="shared" si="78"/>
        <v>0</v>
      </c>
      <c r="AO49" s="1358">
        <f t="shared" si="78"/>
        <v>0</v>
      </c>
      <c r="AP49" s="1358">
        <f t="shared" si="78"/>
        <v>0</v>
      </c>
      <c r="AQ49" s="1358">
        <f t="shared" si="78"/>
        <v>0</v>
      </c>
      <c r="AR49" s="1358">
        <f t="shared" si="78"/>
        <v>0</v>
      </c>
      <c r="AS49" s="1358">
        <f t="shared" si="78"/>
        <v>0</v>
      </c>
      <c r="AT49" s="1358">
        <f t="shared" si="78"/>
        <v>0</v>
      </c>
      <c r="AU49" s="1358">
        <f t="shared" si="78"/>
        <v>0</v>
      </c>
      <c r="AV49" s="1358">
        <f t="shared" si="78"/>
        <v>0</v>
      </c>
      <c r="AW49" s="1358">
        <f t="shared" si="78"/>
        <v>0</v>
      </c>
      <c r="AX49" s="1358">
        <f t="shared" ref="AX49" si="79">SUM(AX37:AX48)</f>
        <v>0</v>
      </c>
      <c r="AY49" s="1358">
        <f t="shared" ref="AY49:BC49" si="80">SUM(AY37:AY48)</f>
        <v>0</v>
      </c>
      <c r="AZ49" s="1358">
        <f t="shared" si="80"/>
        <v>0</v>
      </c>
      <c r="BA49" s="1358">
        <f t="shared" si="80"/>
        <v>0</v>
      </c>
      <c r="BB49" s="1358">
        <f t="shared" si="80"/>
        <v>0</v>
      </c>
      <c r="BC49" s="1358">
        <f t="shared" si="80"/>
        <v>0</v>
      </c>
      <c r="BD49" s="1358">
        <f t="shared" ref="BD49" si="81">SUM(BD37:BD48)</f>
        <v>0</v>
      </c>
      <c r="BE49" s="199">
        <f t="shared" si="65"/>
        <v>0</v>
      </c>
      <c r="BF49" s="1358">
        <f t="shared" ref="BF49" si="82">SUM(BF37:BF48)</f>
        <v>0</v>
      </c>
      <c r="BG49" s="199">
        <f t="shared" si="65"/>
        <v>0</v>
      </c>
      <c r="BH49" s="1358">
        <f t="shared" ref="BH49" si="83">SUM(BH37:BH48)</f>
        <v>0</v>
      </c>
      <c r="BI49" s="199">
        <f t="shared" si="65"/>
        <v>0</v>
      </c>
      <c r="BJ49" s="199">
        <f t="shared" ref="BJ49" si="84">SUM(BJ37:BJ48)</f>
        <v>0</v>
      </c>
      <c r="BK49" s="1358">
        <f t="shared" ref="BK49" si="85">SUM(BK37:BK48)</f>
        <v>0</v>
      </c>
      <c r="BL49" s="1358">
        <f t="shared" ref="BL49" si="86">SUM(BL37:BL48)</f>
        <v>0</v>
      </c>
      <c r="BM49" s="1358">
        <f t="shared" ref="BM49" si="87">SUM(BM37:BM48)</f>
        <v>0</v>
      </c>
      <c r="BN49" s="199">
        <f t="shared" si="65"/>
        <v>0</v>
      </c>
      <c r="BO49" s="199">
        <f t="shared" si="65"/>
        <v>0</v>
      </c>
      <c r="BP49" s="1358">
        <f t="shared" ref="BP49" si="88">SUM(BP37:BP48)</f>
        <v>1816</v>
      </c>
      <c r="BQ49" s="1358">
        <f t="shared" ref="BQ49" si="89">SUM(BQ37:BQ48)</f>
        <v>722</v>
      </c>
      <c r="BR49" s="1358">
        <f t="shared" ref="BR49" si="90">SUM(BR37:BR48)</f>
        <v>0</v>
      </c>
      <c r="BS49" s="1358">
        <f t="shared" ref="BS49" si="91">SUM(BS37:BS48)</f>
        <v>711</v>
      </c>
      <c r="BT49" s="1358">
        <f t="shared" ref="BT49:BV49" si="92">SUM(BT37:BT48)</f>
        <v>0</v>
      </c>
      <c r="BU49" s="1358">
        <f t="shared" si="92"/>
        <v>0</v>
      </c>
      <c r="BV49" s="1358">
        <f t="shared" si="92"/>
        <v>0</v>
      </c>
      <c r="BW49" s="1358">
        <f t="shared" ref="BW49" si="93">SUM(BW37:BW48)</f>
        <v>0</v>
      </c>
      <c r="BX49" s="1530">
        <f t="shared" ref="BX49" si="94">SUM(BX37:BX48)</f>
        <v>0</v>
      </c>
      <c r="BY49" s="1358">
        <f t="shared" ref="BY49" si="95">SUM(BY37:BY48)</f>
        <v>0</v>
      </c>
      <c r="BZ49" s="199">
        <f t="shared" ref="BZ49:CC49" si="96">SUM(BZ37:BZ48)</f>
        <v>0</v>
      </c>
      <c r="CA49" s="199">
        <f t="shared" si="96"/>
        <v>0</v>
      </c>
      <c r="CB49" s="199">
        <f t="shared" si="96"/>
        <v>0</v>
      </c>
      <c r="CC49" s="199">
        <f t="shared" si="96"/>
        <v>0</v>
      </c>
      <c r="CD49" s="199">
        <f>SUM(CD37:CD47)</f>
        <v>0</v>
      </c>
      <c r="CE49" s="199">
        <f>SUM(CE37:CE47)</f>
        <v>0</v>
      </c>
      <c r="CF49" s="199">
        <f>SUM(CF37:CF47)</f>
        <v>0</v>
      </c>
      <c r="CG49" s="199">
        <f>SUM(CG37:CG47)</f>
        <v>0</v>
      </c>
    </row>
    <row r="50" spans="1:85" x14ac:dyDescent="0.2">
      <c r="B50" s="197"/>
      <c r="C50" s="928"/>
      <c r="D50" s="1048"/>
      <c r="E50" s="1396"/>
      <c r="F50" s="1389"/>
      <c r="G50" s="1389"/>
      <c r="H50" s="1389"/>
      <c r="I50" s="1389"/>
      <c r="J50" s="1389"/>
      <c r="K50" s="1048"/>
      <c r="L50" s="197"/>
      <c r="M50" s="197"/>
      <c r="N50" s="1048"/>
      <c r="O50" s="1048"/>
      <c r="P50" s="1048"/>
      <c r="Q50" s="1048"/>
      <c r="R50" s="1048"/>
      <c r="S50" s="1139"/>
      <c r="T50" s="1139"/>
      <c r="U50" s="1048"/>
      <c r="V50" s="1301"/>
      <c r="W50" s="1048"/>
      <c r="X50" s="1048"/>
      <c r="Y50" s="1048"/>
      <c r="Z50" s="1048"/>
      <c r="AA50" s="1048"/>
      <c r="AB50" s="1048"/>
      <c r="AC50" s="1048"/>
      <c r="AD50" s="1048"/>
      <c r="AE50" s="1048"/>
      <c r="AF50" s="1048"/>
      <c r="AG50" s="1048"/>
      <c r="AH50" s="1048"/>
      <c r="AI50" s="1048"/>
      <c r="AJ50" s="1048"/>
      <c r="AK50" s="1048"/>
      <c r="AL50" s="1048"/>
      <c r="AM50" s="1048"/>
      <c r="AN50" s="1048"/>
      <c r="AO50" s="1048"/>
      <c r="AP50" s="1048"/>
      <c r="AQ50" s="1048"/>
      <c r="AR50" s="1048"/>
      <c r="AS50" s="1048"/>
      <c r="AT50" s="1048"/>
      <c r="AU50" s="1048"/>
      <c r="AV50" s="1048"/>
      <c r="AW50" s="1048"/>
      <c r="AX50" s="1048"/>
      <c r="AY50" s="1301"/>
      <c r="AZ50" s="1301"/>
      <c r="BA50" s="1301"/>
      <c r="BB50" s="1301"/>
      <c r="BC50" s="1301"/>
      <c r="BD50" s="1139"/>
      <c r="BE50" s="197"/>
      <c r="BF50" s="1139"/>
      <c r="BG50" s="197"/>
      <c r="BH50" s="1139"/>
      <c r="BI50" s="197"/>
      <c r="BJ50" s="197"/>
      <c r="BK50" s="1322"/>
      <c r="BL50" s="1322"/>
      <c r="BM50" s="1139"/>
      <c r="BN50" s="197"/>
      <c r="BO50" s="197"/>
      <c r="BP50" s="1139"/>
      <c r="BQ50" s="1139"/>
      <c r="BR50" s="1139"/>
      <c r="BS50" s="1139"/>
      <c r="BT50" s="1048"/>
      <c r="BU50" s="1048"/>
      <c r="BV50" s="1048"/>
      <c r="BW50" s="1139"/>
      <c r="BX50" s="1531"/>
      <c r="BY50" s="1211"/>
      <c r="BZ50" s="1048"/>
      <c r="CA50" s="197"/>
      <c r="CB50" s="197"/>
      <c r="CD50" s="197"/>
      <c r="CE50" s="197"/>
      <c r="CF50" s="197"/>
      <c r="CG50" s="197"/>
    </row>
    <row r="51" spans="1:85" s="192" customFormat="1" x14ac:dyDescent="0.2">
      <c r="A51" s="193" t="s">
        <v>929</v>
      </c>
      <c r="B51" s="194"/>
      <c r="C51" s="928"/>
      <c r="D51" s="1049"/>
      <c r="E51" s="1408"/>
      <c r="F51" s="1409"/>
      <c r="G51" s="1409"/>
      <c r="H51" s="1409"/>
      <c r="I51" s="1409"/>
      <c r="J51" s="1409"/>
      <c r="K51" s="1049"/>
      <c r="L51" s="194"/>
      <c r="M51" s="194"/>
      <c r="N51" s="1049"/>
      <c r="O51" s="1049"/>
      <c r="P51" s="1049"/>
      <c r="Q51" s="1049"/>
      <c r="R51" s="1049"/>
      <c r="S51" s="1140"/>
      <c r="T51" s="1140"/>
      <c r="U51" s="1049"/>
      <c r="V51" s="1302"/>
      <c r="W51" s="1049"/>
      <c r="X51" s="1049"/>
      <c r="Y51" s="1049"/>
      <c r="Z51" s="1049"/>
      <c r="AA51" s="1049"/>
      <c r="AB51" s="1049"/>
      <c r="AC51" s="1049"/>
      <c r="AD51" s="1049"/>
      <c r="AE51" s="1049"/>
      <c r="AF51" s="1049"/>
      <c r="AG51" s="1049"/>
      <c r="AH51" s="1049"/>
      <c r="AI51" s="1049"/>
      <c r="AJ51" s="1049"/>
      <c r="AK51" s="1049"/>
      <c r="AL51" s="1049"/>
      <c r="AM51" s="1049"/>
      <c r="AN51" s="1049"/>
      <c r="AO51" s="1049"/>
      <c r="AP51" s="1049"/>
      <c r="AQ51" s="1049"/>
      <c r="AR51" s="1049"/>
      <c r="AS51" s="1049"/>
      <c r="AT51" s="1049"/>
      <c r="AU51" s="1049"/>
      <c r="AV51" s="1049"/>
      <c r="AW51" s="1049"/>
      <c r="AX51" s="1049"/>
      <c r="AY51" s="1302"/>
      <c r="AZ51" s="1302"/>
      <c r="BA51" s="1302"/>
      <c r="BB51" s="1302"/>
      <c r="BC51" s="1302"/>
      <c r="BD51" s="1140"/>
      <c r="BE51" s="194"/>
      <c r="BF51" s="1140"/>
      <c r="BG51" s="194"/>
      <c r="BH51" s="1140"/>
      <c r="BI51" s="194"/>
      <c r="BJ51" s="194"/>
      <c r="BK51" s="1323"/>
      <c r="BL51" s="1323"/>
      <c r="BM51" s="1140"/>
      <c r="BN51" s="194"/>
      <c r="BO51" s="194"/>
      <c r="BP51" s="1140"/>
      <c r="BQ51" s="1140"/>
      <c r="BR51" s="1140"/>
      <c r="BS51" s="1140"/>
      <c r="BT51" s="1049"/>
      <c r="BU51" s="1049"/>
      <c r="BV51" s="1049"/>
      <c r="BW51" s="1140"/>
      <c r="BX51" s="1527"/>
      <c r="BY51" s="1212"/>
      <c r="BZ51" s="1049"/>
      <c r="CA51" s="194"/>
      <c r="CB51" s="194"/>
      <c r="CC51" s="191"/>
      <c r="CD51" s="194"/>
      <c r="CE51" s="194"/>
      <c r="CF51" s="194"/>
      <c r="CG51" s="194"/>
    </row>
    <row r="52" spans="1:85" x14ac:dyDescent="0.2">
      <c r="A52" s="940" t="s">
        <v>953</v>
      </c>
      <c r="B52" s="196">
        <f t="shared" ref="B52:B63" si="97">SUM(C52:CB52)</f>
        <v>1</v>
      </c>
      <c r="C52" s="928"/>
      <c r="D52" s="928"/>
      <c r="E52" s="1396"/>
      <c r="F52" s="1396"/>
      <c r="G52" s="1396"/>
      <c r="H52" s="1396"/>
      <c r="I52" s="1396"/>
      <c r="J52" s="1396"/>
      <c r="K52" s="928"/>
      <c r="N52" s="928"/>
      <c r="O52" s="928"/>
      <c r="P52" s="928"/>
      <c r="Q52" s="928"/>
      <c r="R52" s="928"/>
      <c r="S52" s="1097"/>
      <c r="T52" s="1097"/>
      <c r="U52" s="928"/>
      <c r="V52" s="1097"/>
      <c r="W52" s="928"/>
      <c r="X52" s="928"/>
      <c r="Y52" s="928"/>
      <c r="Z52" s="928"/>
      <c r="AA52" s="928"/>
      <c r="AB52" s="928">
        <v>0</v>
      </c>
      <c r="AC52" s="928">
        <v>0</v>
      </c>
      <c r="AD52" s="928">
        <v>0</v>
      </c>
      <c r="AE52" s="928">
        <v>0</v>
      </c>
      <c r="AF52" s="928">
        <v>0</v>
      </c>
      <c r="AG52" s="928">
        <v>0</v>
      </c>
      <c r="AH52" s="928">
        <v>0</v>
      </c>
      <c r="AI52" s="928">
        <v>0</v>
      </c>
      <c r="AJ52" s="928">
        <v>0</v>
      </c>
      <c r="AK52" s="928">
        <v>0</v>
      </c>
      <c r="AL52" s="928">
        <v>0</v>
      </c>
      <c r="AM52" s="928">
        <v>0</v>
      </c>
      <c r="AN52" s="928">
        <v>0</v>
      </c>
      <c r="AO52" s="928">
        <v>0</v>
      </c>
      <c r="AP52" s="928">
        <v>0</v>
      </c>
      <c r="AQ52" s="928">
        <v>0</v>
      </c>
      <c r="AR52" s="928">
        <f>71+1-19-52</f>
        <v>1</v>
      </c>
      <c r="AS52" s="928">
        <v>0</v>
      </c>
      <c r="AT52" s="928">
        <v>0</v>
      </c>
      <c r="AU52" s="928">
        <v>0</v>
      </c>
      <c r="AV52" s="928">
        <v>0</v>
      </c>
      <c r="AW52" s="928">
        <v>0</v>
      </c>
      <c r="AX52" s="928"/>
      <c r="AY52" s="1097"/>
      <c r="AZ52" s="1097"/>
      <c r="BA52" s="1097"/>
      <c r="BB52" s="1097"/>
      <c r="BC52" s="1097"/>
      <c r="BD52" s="1097"/>
      <c r="BF52" s="1097"/>
      <c r="BH52" s="1097"/>
      <c r="BK52" s="1097"/>
      <c r="BL52" s="1097"/>
      <c r="BM52" s="1097"/>
      <c r="BP52" s="1097"/>
      <c r="BQ52" s="1097"/>
      <c r="BR52" s="1097"/>
      <c r="BS52" s="1097"/>
      <c r="BT52" s="1435"/>
      <c r="BU52" s="928"/>
      <c r="BV52" s="1338"/>
      <c r="BW52" s="1097"/>
      <c r="BX52" s="1292"/>
      <c r="BY52" s="1210"/>
      <c r="BZ52" s="928"/>
      <c r="CA52" s="1097"/>
    </row>
    <row r="53" spans="1:85" x14ac:dyDescent="0.2">
      <c r="A53" s="940" t="s">
        <v>954</v>
      </c>
      <c r="B53" s="196">
        <f t="shared" si="97"/>
        <v>0</v>
      </c>
      <c r="C53" s="928"/>
      <c r="D53" s="928"/>
      <c r="E53" s="1396"/>
      <c r="F53" s="1396"/>
      <c r="G53" s="1396"/>
      <c r="H53" s="1396"/>
      <c r="I53" s="1396"/>
      <c r="J53" s="1396"/>
      <c r="K53" s="928"/>
      <c r="N53" s="928"/>
      <c r="O53" s="928"/>
      <c r="P53" s="928"/>
      <c r="Q53" s="928"/>
      <c r="R53" s="928"/>
      <c r="S53" s="1097"/>
      <c r="T53" s="1097"/>
      <c r="U53" s="928"/>
      <c r="V53" s="1097"/>
      <c r="W53" s="928"/>
      <c r="X53" s="928"/>
      <c r="Y53" s="928"/>
      <c r="Z53" s="928"/>
      <c r="AA53" s="928"/>
      <c r="AB53" s="928"/>
      <c r="AC53" s="928"/>
      <c r="AD53" s="928"/>
      <c r="AE53" s="928"/>
      <c r="AF53" s="928"/>
      <c r="AG53" s="928"/>
      <c r="AH53" s="928"/>
      <c r="AI53" s="928"/>
      <c r="AJ53" s="928"/>
      <c r="AK53" s="928"/>
      <c r="AL53" s="928"/>
      <c r="AM53" s="928"/>
      <c r="AN53" s="928"/>
      <c r="AO53" s="928"/>
      <c r="AP53" s="928"/>
      <c r="AQ53" s="928"/>
      <c r="AR53" s="928"/>
      <c r="AS53" s="928"/>
      <c r="AT53" s="928"/>
      <c r="AU53" s="928"/>
      <c r="AV53" s="928"/>
      <c r="AW53" s="928"/>
      <c r="AX53" s="928"/>
      <c r="AY53" s="1097"/>
      <c r="AZ53" s="1097"/>
      <c r="BA53" s="1097"/>
      <c r="BB53" s="1097"/>
      <c r="BC53" s="1097"/>
      <c r="BD53" s="1097"/>
      <c r="BF53" s="1097"/>
      <c r="BH53" s="1097"/>
      <c r="BK53" s="1097"/>
      <c r="BL53" s="1097"/>
      <c r="BM53" s="1097"/>
      <c r="BP53" s="1097"/>
      <c r="BQ53" s="1097"/>
      <c r="BR53" s="1097"/>
      <c r="BS53" s="1097"/>
      <c r="BT53" s="1435"/>
      <c r="BU53" s="928"/>
      <c r="BV53" s="1338"/>
      <c r="BW53" s="1097"/>
      <c r="BX53" s="1292"/>
      <c r="BY53" s="1210"/>
      <c r="BZ53" s="928"/>
      <c r="CA53" s="1097"/>
    </row>
    <row r="54" spans="1:85" x14ac:dyDescent="0.2">
      <c r="A54" s="940" t="s">
        <v>955</v>
      </c>
      <c r="B54" s="196">
        <f t="shared" si="97"/>
        <v>50779</v>
      </c>
      <c r="C54" s="928"/>
      <c r="D54" s="928"/>
      <c r="E54" s="1396">
        <v>0</v>
      </c>
      <c r="F54" s="1396">
        <v>22583</v>
      </c>
      <c r="G54" s="1396"/>
      <c r="H54" s="1396"/>
      <c r="I54" s="1396"/>
      <c r="J54" s="1396"/>
      <c r="K54" s="928"/>
      <c r="N54" s="928"/>
      <c r="O54" s="928"/>
      <c r="P54" s="928"/>
      <c r="Q54" s="928"/>
      <c r="R54" s="928"/>
      <c r="S54" s="1097"/>
      <c r="T54" s="1097"/>
      <c r="U54" s="928"/>
      <c r="V54" s="1097"/>
      <c r="W54" s="928"/>
      <c r="X54" s="928"/>
      <c r="Y54" s="928"/>
      <c r="Z54" s="928"/>
      <c r="AA54" s="928"/>
      <c r="AB54" s="928">
        <v>0</v>
      </c>
      <c r="AC54" s="928">
        <v>0</v>
      </c>
      <c r="AD54" s="928">
        <v>0</v>
      </c>
      <c r="AE54" s="928">
        <v>0</v>
      </c>
      <c r="AF54" s="928">
        <v>20321</v>
      </c>
      <c r="AG54" s="928">
        <v>0</v>
      </c>
      <c r="AH54" s="928">
        <v>0</v>
      </c>
      <c r="AI54" s="928">
        <v>0</v>
      </c>
      <c r="AJ54" s="928">
        <v>0</v>
      </c>
      <c r="AK54" s="928">
        <v>0</v>
      </c>
      <c r="AL54" s="928">
        <v>0</v>
      </c>
      <c r="AM54" s="928">
        <v>0</v>
      </c>
      <c r="AN54" s="928">
        <v>0</v>
      </c>
      <c r="AO54" s="928">
        <v>0</v>
      </c>
      <c r="AP54" s="928">
        <v>0</v>
      </c>
      <c r="AQ54" s="928">
        <v>0</v>
      </c>
      <c r="AR54" s="928">
        <v>143</v>
      </c>
      <c r="AS54" s="928">
        <v>0</v>
      </c>
      <c r="AT54" s="928">
        <f>6725-1+5198-486-3705+1</f>
        <v>7732</v>
      </c>
      <c r="AU54" s="928">
        <v>0</v>
      </c>
      <c r="AV54" s="928">
        <v>0</v>
      </c>
      <c r="AW54" s="928">
        <v>0</v>
      </c>
      <c r="AX54" s="928"/>
      <c r="AY54" s="1097"/>
      <c r="AZ54" s="1097"/>
      <c r="BA54" s="1097"/>
      <c r="BB54" s="1097"/>
      <c r="BC54" s="1097"/>
      <c r="BD54" s="1097"/>
      <c r="BF54" s="1097"/>
      <c r="BH54" s="1097"/>
      <c r="BK54" s="1097"/>
      <c r="BL54" s="1097"/>
      <c r="BM54" s="1097"/>
      <c r="BP54" s="1097"/>
      <c r="BQ54" s="1097"/>
      <c r="BR54" s="1097"/>
      <c r="BS54" s="1097"/>
      <c r="BT54" s="1435"/>
      <c r="BU54" s="928"/>
      <c r="BV54" s="1338"/>
      <c r="BW54" s="1097"/>
      <c r="BX54" s="1292"/>
      <c r="BY54" s="1210"/>
      <c r="BZ54" s="928"/>
      <c r="CA54" s="1097"/>
    </row>
    <row r="55" spans="1:85" x14ac:dyDescent="0.2">
      <c r="A55" s="940" t="s">
        <v>958</v>
      </c>
      <c r="B55" s="196">
        <f t="shared" si="97"/>
        <v>0</v>
      </c>
      <c r="C55" s="928"/>
      <c r="D55" s="928"/>
      <c r="E55" s="1396"/>
      <c r="F55" s="1396"/>
      <c r="G55" s="1396"/>
      <c r="H55" s="1396"/>
      <c r="I55" s="1396"/>
      <c r="J55" s="1396"/>
      <c r="K55" s="928"/>
      <c r="N55" s="928"/>
      <c r="O55" s="928"/>
      <c r="P55" s="928"/>
      <c r="Q55" s="928"/>
      <c r="R55" s="928"/>
      <c r="S55" s="1097"/>
      <c r="T55" s="1097"/>
      <c r="U55" s="928"/>
      <c r="V55" s="1097"/>
      <c r="W55" s="928"/>
      <c r="X55" s="928"/>
      <c r="Y55" s="928"/>
      <c r="Z55" s="928"/>
      <c r="AA55" s="928"/>
      <c r="AB55" s="928"/>
      <c r="AC55" s="928"/>
      <c r="AD55" s="928"/>
      <c r="AE55" s="928"/>
      <c r="AF55" s="928"/>
      <c r="AG55" s="928"/>
      <c r="AH55" s="928"/>
      <c r="AI55" s="928"/>
      <c r="AJ55" s="928"/>
      <c r="AK55" s="928"/>
      <c r="AL55" s="928"/>
      <c r="AM55" s="928"/>
      <c r="AN55" s="928"/>
      <c r="AO55" s="928"/>
      <c r="AP55" s="928"/>
      <c r="AQ55" s="928"/>
      <c r="AR55" s="928"/>
      <c r="AS55" s="928"/>
      <c r="AT55" s="928"/>
      <c r="AU55" s="928"/>
      <c r="AV55" s="928"/>
      <c r="AW55" s="928"/>
      <c r="AX55" s="928"/>
      <c r="AY55" s="1097"/>
      <c r="AZ55" s="1097"/>
      <c r="BA55" s="1097"/>
      <c r="BB55" s="1097"/>
      <c r="BC55" s="1097"/>
      <c r="BD55" s="1097"/>
      <c r="BF55" s="1097"/>
      <c r="BH55" s="1097"/>
      <c r="BK55" s="1097"/>
      <c r="BL55" s="1097"/>
      <c r="BM55" s="1097"/>
      <c r="BP55" s="1097"/>
      <c r="BQ55" s="1097"/>
      <c r="BR55" s="1097"/>
      <c r="BS55" s="1097"/>
      <c r="BT55" s="1435"/>
      <c r="BU55" s="928"/>
      <c r="BV55" s="1338"/>
      <c r="BW55" s="1097"/>
      <c r="BX55" s="1292"/>
      <c r="BY55" s="1210"/>
      <c r="BZ55" s="928"/>
      <c r="CA55" s="1097"/>
    </row>
    <row r="56" spans="1:85" x14ac:dyDescent="0.2">
      <c r="A56" s="940" t="s">
        <v>956</v>
      </c>
      <c r="B56" s="196">
        <f t="shared" si="97"/>
        <v>0</v>
      </c>
      <c r="C56" s="928"/>
      <c r="D56" s="928"/>
      <c r="E56" s="1396"/>
      <c r="F56" s="1396"/>
      <c r="G56" s="1396"/>
      <c r="H56" s="1396"/>
      <c r="I56" s="1396"/>
      <c r="J56" s="1396"/>
      <c r="K56" s="928"/>
      <c r="N56" s="928"/>
      <c r="O56" s="928"/>
      <c r="P56" s="928"/>
      <c r="Q56" s="928"/>
      <c r="R56" s="928"/>
      <c r="S56" s="1097"/>
      <c r="T56" s="1097"/>
      <c r="U56" s="928"/>
      <c r="V56" s="1097"/>
      <c r="W56" s="928"/>
      <c r="X56" s="928"/>
      <c r="Y56" s="928"/>
      <c r="Z56" s="928"/>
      <c r="AA56" s="928"/>
      <c r="AB56" s="928"/>
      <c r="AC56" s="928"/>
      <c r="AD56" s="928"/>
      <c r="AE56" s="928"/>
      <c r="AF56" s="928"/>
      <c r="AG56" s="928"/>
      <c r="AH56" s="928"/>
      <c r="AI56" s="928"/>
      <c r="AJ56" s="928"/>
      <c r="AK56" s="928"/>
      <c r="AL56" s="928"/>
      <c r="AM56" s="928"/>
      <c r="AN56" s="928"/>
      <c r="AO56" s="928"/>
      <c r="AP56" s="928"/>
      <c r="AQ56" s="928"/>
      <c r="AR56" s="928"/>
      <c r="AS56" s="928"/>
      <c r="AT56" s="928"/>
      <c r="AU56" s="928"/>
      <c r="AV56" s="928"/>
      <c r="AW56" s="928"/>
      <c r="AX56" s="928"/>
      <c r="AY56" s="1097"/>
      <c r="AZ56" s="1097"/>
      <c r="BA56" s="1097"/>
      <c r="BB56" s="1097"/>
      <c r="BC56" s="1097"/>
      <c r="BD56" s="1097"/>
      <c r="BF56" s="1097"/>
      <c r="BH56" s="1097"/>
      <c r="BK56" s="1097"/>
      <c r="BL56" s="1097"/>
      <c r="BM56" s="1097"/>
      <c r="BP56" s="1097"/>
      <c r="BQ56" s="1097"/>
      <c r="BR56" s="1097"/>
      <c r="BS56" s="1097"/>
      <c r="BT56" s="1435"/>
      <c r="BU56" s="928"/>
      <c r="BV56" s="1338"/>
      <c r="BW56" s="1097"/>
      <c r="BX56" s="1292"/>
      <c r="BY56" s="1210"/>
      <c r="BZ56" s="928"/>
      <c r="CA56" s="1097"/>
    </row>
    <row r="57" spans="1:85" x14ac:dyDescent="0.2">
      <c r="A57" s="940" t="s">
        <v>961</v>
      </c>
      <c r="B57" s="196">
        <f t="shared" si="97"/>
        <v>0</v>
      </c>
      <c r="C57" s="928"/>
      <c r="D57" s="928"/>
      <c r="E57" s="1396"/>
      <c r="F57" s="1396"/>
      <c r="G57" s="1396">
        <v>0</v>
      </c>
      <c r="H57" s="1396"/>
      <c r="I57" s="1396"/>
      <c r="J57" s="1396"/>
      <c r="K57" s="928"/>
      <c r="N57" s="928"/>
      <c r="O57" s="928"/>
      <c r="P57" s="928"/>
      <c r="Q57" s="928"/>
      <c r="R57" s="928"/>
      <c r="S57" s="1097"/>
      <c r="T57" s="1097"/>
      <c r="U57" s="928"/>
      <c r="V57" s="1097"/>
      <c r="W57" s="928"/>
      <c r="X57" s="928"/>
      <c r="Y57" s="928"/>
      <c r="Z57" s="928"/>
      <c r="AA57" s="928"/>
      <c r="AB57" s="928">
        <v>0</v>
      </c>
      <c r="AC57" s="928">
        <v>0</v>
      </c>
      <c r="AD57" s="928">
        <v>0</v>
      </c>
      <c r="AE57" s="928">
        <v>0</v>
      </c>
      <c r="AF57" s="928">
        <v>0</v>
      </c>
      <c r="AG57" s="928">
        <v>0</v>
      </c>
      <c r="AH57" s="928">
        <v>0</v>
      </c>
      <c r="AI57" s="928">
        <v>0</v>
      </c>
      <c r="AJ57" s="928">
        <v>0</v>
      </c>
      <c r="AK57" s="928">
        <v>0</v>
      </c>
      <c r="AL57" s="928">
        <v>0</v>
      </c>
      <c r="AM57" s="928">
        <v>0</v>
      </c>
      <c r="AN57" s="928">
        <v>0</v>
      </c>
      <c r="AO57" s="928">
        <v>0</v>
      </c>
      <c r="AP57" s="928">
        <v>0</v>
      </c>
      <c r="AQ57" s="928">
        <v>0</v>
      </c>
      <c r="AR57" s="928">
        <v>0</v>
      </c>
      <c r="AS57" s="928">
        <v>0</v>
      </c>
      <c r="AT57" s="928">
        <f>13400-13400</f>
        <v>0</v>
      </c>
      <c r="AU57" s="928">
        <v>0</v>
      </c>
      <c r="AV57" s="928">
        <v>0</v>
      </c>
      <c r="AW57" s="928">
        <v>0</v>
      </c>
      <c r="AX57" s="928"/>
      <c r="AY57" s="1097"/>
      <c r="AZ57" s="1097"/>
      <c r="BA57" s="1097"/>
      <c r="BB57" s="1097"/>
      <c r="BC57" s="1097"/>
      <c r="BD57" s="1097"/>
      <c r="BF57" s="1097"/>
      <c r="BH57" s="1097"/>
      <c r="BK57" s="1097"/>
      <c r="BL57" s="1097"/>
      <c r="BM57" s="1097"/>
      <c r="BP57" s="1097"/>
      <c r="BQ57" s="1097"/>
      <c r="BR57" s="1097"/>
      <c r="BS57" s="1097"/>
      <c r="BT57" s="1435"/>
      <c r="BU57" s="928"/>
      <c r="BV57" s="1338"/>
      <c r="BW57" s="1097"/>
      <c r="BX57" s="1292"/>
      <c r="BY57" s="1210"/>
      <c r="BZ57" s="928"/>
      <c r="CA57" s="1097"/>
    </row>
    <row r="58" spans="1:85" x14ac:dyDescent="0.2">
      <c r="A58" s="940" t="s">
        <v>960</v>
      </c>
      <c r="B58" s="196">
        <f t="shared" si="97"/>
        <v>0</v>
      </c>
      <c r="C58" s="928"/>
      <c r="D58" s="928"/>
      <c r="E58" s="1396"/>
      <c r="F58" s="1396"/>
      <c r="G58" s="1396"/>
      <c r="H58" s="1396"/>
      <c r="I58" s="1396"/>
      <c r="J58" s="1396"/>
      <c r="K58" s="928"/>
      <c r="N58" s="928"/>
      <c r="O58" s="928"/>
      <c r="P58" s="928"/>
      <c r="Q58" s="928"/>
      <c r="R58" s="928"/>
      <c r="S58" s="1097"/>
      <c r="T58" s="1097"/>
      <c r="U58" s="928"/>
      <c r="V58" s="1097"/>
      <c r="W58" s="928"/>
      <c r="X58" s="928"/>
      <c r="Y58" s="928"/>
      <c r="Z58" s="928"/>
      <c r="AA58" s="928"/>
      <c r="AB58" s="928">
        <v>0</v>
      </c>
      <c r="AC58" s="928">
        <v>0</v>
      </c>
      <c r="AD58" s="928">
        <v>0</v>
      </c>
      <c r="AE58" s="928">
        <v>0</v>
      </c>
      <c r="AF58" s="928">
        <v>0</v>
      </c>
      <c r="AG58" s="928">
        <v>0</v>
      </c>
      <c r="AH58" s="928">
        <v>0</v>
      </c>
      <c r="AI58" s="928">
        <v>0</v>
      </c>
      <c r="AJ58" s="928">
        <v>0</v>
      </c>
      <c r="AK58" s="928">
        <v>0</v>
      </c>
      <c r="AL58" s="928">
        <v>0</v>
      </c>
      <c r="AM58" s="928">
        <v>0</v>
      </c>
      <c r="AN58" s="928">
        <v>0</v>
      </c>
      <c r="AO58" s="928">
        <v>0</v>
      </c>
      <c r="AP58" s="928">
        <v>0</v>
      </c>
      <c r="AQ58" s="928">
        <v>0</v>
      </c>
      <c r="AR58" s="928">
        <v>0</v>
      </c>
      <c r="AS58" s="928">
        <v>0</v>
      </c>
      <c r="AT58" s="928">
        <f>1089-1089</f>
        <v>0</v>
      </c>
      <c r="AU58" s="928">
        <v>0</v>
      </c>
      <c r="AV58" s="928">
        <v>0</v>
      </c>
      <c r="AW58" s="928">
        <v>0</v>
      </c>
      <c r="AX58" s="928"/>
      <c r="AY58" s="1097"/>
      <c r="AZ58" s="1097"/>
      <c r="BA58" s="1097"/>
      <c r="BB58" s="1097"/>
      <c r="BC58" s="1097"/>
      <c r="BD58" s="1097"/>
      <c r="BF58" s="1097"/>
      <c r="BH58" s="1097"/>
      <c r="BK58" s="1097"/>
      <c r="BL58" s="1097"/>
      <c r="BM58" s="1097"/>
      <c r="BP58" s="1097"/>
      <c r="BQ58" s="1097"/>
      <c r="BR58" s="1097"/>
      <c r="BS58" s="1097"/>
      <c r="BT58" s="1435"/>
      <c r="BU58" s="928"/>
      <c r="BV58" s="1338"/>
      <c r="BW58" s="1097"/>
      <c r="BX58" s="1292"/>
      <c r="BY58" s="1210"/>
      <c r="BZ58" s="928"/>
      <c r="CA58" s="1097"/>
    </row>
    <row r="59" spans="1:85" x14ac:dyDescent="0.2">
      <c r="A59" s="940" t="s">
        <v>963</v>
      </c>
      <c r="B59" s="196">
        <f t="shared" si="97"/>
        <v>3025</v>
      </c>
      <c r="C59" s="928"/>
      <c r="D59" s="928"/>
      <c r="E59" s="1396"/>
      <c r="F59" s="1396"/>
      <c r="G59" s="1396">
        <v>0</v>
      </c>
      <c r="H59" s="1396"/>
      <c r="I59" s="1396"/>
      <c r="J59" s="1396"/>
      <c r="K59" s="928"/>
      <c r="N59" s="928"/>
      <c r="O59" s="928"/>
      <c r="P59" s="928"/>
      <c r="Q59" s="928"/>
      <c r="R59" s="928"/>
      <c r="S59" s="1097"/>
      <c r="T59" s="1097"/>
      <c r="U59" s="928"/>
      <c r="V59" s="1097"/>
      <c r="W59" s="928"/>
      <c r="X59" s="928"/>
      <c r="Y59" s="928"/>
      <c r="Z59" s="928"/>
      <c r="AA59" s="928"/>
      <c r="AB59" s="928"/>
      <c r="AC59" s="928"/>
      <c r="AD59" s="928"/>
      <c r="AE59" s="928">
        <v>3025</v>
      </c>
      <c r="AF59" s="928"/>
      <c r="AG59" s="928"/>
      <c r="AH59" s="928"/>
      <c r="AI59" s="928"/>
      <c r="AJ59" s="928"/>
      <c r="AK59" s="928"/>
      <c r="AL59" s="928"/>
      <c r="AM59" s="928"/>
      <c r="AN59" s="928"/>
      <c r="AO59" s="928"/>
      <c r="AP59" s="928"/>
      <c r="AQ59" s="928"/>
      <c r="AR59" s="928"/>
      <c r="AS59" s="928"/>
      <c r="AT59" s="928"/>
      <c r="AU59" s="928"/>
      <c r="AV59" s="928"/>
      <c r="AW59" s="928"/>
      <c r="AX59" s="928"/>
      <c r="AY59" s="1097"/>
      <c r="AZ59" s="1097"/>
      <c r="BA59" s="1097"/>
      <c r="BB59" s="1097"/>
      <c r="BC59" s="1097"/>
      <c r="BD59" s="1097"/>
      <c r="BF59" s="1097"/>
      <c r="BH59" s="1097"/>
      <c r="BK59" s="1097"/>
      <c r="BL59" s="1097"/>
      <c r="BM59" s="1097"/>
      <c r="BP59" s="1097"/>
      <c r="BQ59" s="1097"/>
      <c r="BR59" s="1097"/>
      <c r="BS59" s="1097"/>
      <c r="BT59" s="1435"/>
      <c r="BU59" s="928"/>
      <c r="BV59" s="1338"/>
      <c r="BW59" s="1097"/>
      <c r="BX59" s="1292"/>
      <c r="BY59" s="1210"/>
      <c r="BZ59" s="928"/>
      <c r="CA59" s="1097"/>
    </row>
    <row r="60" spans="1:85" x14ac:dyDescent="0.2">
      <c r="A60" s="940" t="s">
        <v>959</v>
      </c>
      <c r="B60" s="196">
        <f t="shared" si="97"/>
        <v>0</v>
      </c>
      <c r="C60" s="928"/>
      <c r="D60" s="928"/>
      <c r="E60" s="1396"/>
      <c r="F60" s="1396"/>
      <c r="G60" s="1396">
        <v>0</v>
      </c>
      <c r="H60" s="1396"/>
      <c r="I60" s="1396"/>
      <c r="J60" s="1396"/>
      <c r="K60" s="928"/>
      <c r="N60" s="928"/>
      <c r="O60" s="928"/>
      <c r="P60" s="928"/>
      <c r="Q60" s="928"/>
      <c r="R60" s="928"/>
      <c r="S60" s="1097"/>
      <c r="T60" s="1097"/>
      <c r="U60" s="928"/>
      <c r="V60" s="1097"/>
      <c r="W60" s="928"/>
      <c r="X60" s="928"/>
      <c r="Y60" s="928"/>
      <c r="Z60" s="928"/>
      <c r="AA60" s="928"/>
      <c r="AB60" s="928"/>
      <c r="AC60" s="928"/>
      <c r="AD60" s="928"/>
      <c r="AE60" s="928"/>
      <c r="AF60" s="928"/>
      <c r="AG60" s="928"/>
      <c r="AH60" s="928"/>
      <c r="AI60" s="928"/>
      <c r="AJ60" s="928"/>
      <c r="AK60" s="928"/>
      <c r="AL60" s="928"/>
      <c r="AM60" s="928"/>
      <c r="AN60" s="928"/>
      <c r="AO60" s="928"/>
      <c r="AP60" s="928"/>
      <c r="AQ60" s="928"/>
      <c r="AR60" s="928"/>
      <c r="AS60" s="928"/>
      <c r="AT60" s="928"/>
      <c r="AU60" s="928"/>
      <c r="AV60" s="928"/>
      <c r="AW60" s="928"/>
      <c r="AX60" s="928"/>
      <c r="AY60" s="1097"/>
      <c r="AZ60" s="1097"/>
      <c r="BA60" s="1097"/>
      <c r="BB60" s="1097"/>
      <c r="BC60" s="1097"/>
      <c r="BD60" s="1097"/>
      <c r="BF60" s="1097"/>
      <c r="BH60" s="1097"/>
      <c r="BK60" s="1097"/>
      <c r="BL60" s="1097"/>
      <c r="BM60" s="1097"/>
      <c r="BP60" s="1097"/>
      <c r="BQ60" s="1097"/>
      <c r="BR60" s="1097"/>
      <c r="BS60" s="1097"/>
      <c r="BT60" s="1435"/>
      <c r="BU60" s="928"/>
      <c r="BV60" s="1338"/>
      <c r="BW60" s="1097"/>
      <c r="BX60" s="1292"/>
      <c r="BY60" s="1210"/>
      <c r="BZ60" s="928"/>
      <c r="CA60" s="1097"/>
    </row>
    <row r="61" spans="1:85" x14ac:dyDescent="0.2">
      <c r="A61" s="937" t="s">
        <v>1191</v>
      </c>
      <c r="B61" s="196">
        <f t="shared" si="97"/>
        <v>780</v>
      </c>
      <c r="C61" s="928"/>
      <c r="D61" s="928"/>
      <c r="E61" s="1396"/>
      <c r="F61" s="1396"/>
      <c r="G61" s="1396"/>
      <c r="H61" s="1396"/>
      <c r="I61" s="1396"/>
      <c r="J61" s="1396"/>
      <c r="K61" s="928"/>
      <c r="N61" s="928"/>
      <c r="O61" s="928"/>
      <c r="P61" s="928"/>
      <c r="Q61" s="928"/>
      <c r="R61" s="928"/>
      <c r="S61" s="1097"/>
      <c r="T61" s="1097"/>
      <c r="U61" s="928"/>
      <c r="V61" s="1097"/>
      <c r="W61" s="928"/>
      <c r="X61" s="928"/>
      <c r="Y61" s="928"/>
      <c r="Z61" s="928"/>
      <c r="AA61" s="928"/>
      <c r="AB61" s="928"/>
      <c r="AC61" s="928"/>
      <c r="AD61" s="928"/>
      <c r="AE61" s="928"/>
      <c r="AF61" s="928"/>
      <c r="AG61" s="928"/>
      <c r="AH61" s="928"/>
      <c r="AI61" s="928"/>
      <c r="AJ61" s="928"/>
      <c r="AK61" s="928"/>
      <c r="AL61" s="928"/>
      <c r="AM61" s="928"/>
      <c r="AN61" s="928"/>
      <c r="AO61" s="928"/>
      <c r="AP61" s="928"/>
      <c r="AQ61" s="928"/>
      <c r="AR61" s="928"/>
      <c r="AS61" s="928"/>
      <c r="AT61" s="928"/>
      <c r="AU61" s="928"/>
      <c r="AV61" s="928"/>
      <c r="AW61" s="928"/>
      <c r="AX61" s="928"/>
      <c r="AY61" s="1097"/>
      <c r="AZ61" s="1097"/>
      <c r="BA61" s="1097"/>
      <c r="BB61" s="1097"/>
      <c r="BC61" s="1097"/>
      <c r="BD61" s="1097"/>
      <c r="BF61" s="1097"/>
      <c r="BH61" s="1097"/>
      <c r="BK61" s="1097"/>
      <c r="BL61" s="1097"/>
      <c r="BM61" s="1097"/>
      <c r="BP61" s="1097"/>
      <c r="BQ61" s="1097">
        <v>780</v>
      </c>
      <c r="BR61" s="1097"/>
      <c r="BS61" s="1097"/>
      <c r="BT61" s="1435"/>
      <c r="BU61" s="928"/>
      <c r="BV61" s="1338"/>
      <c r="BW61" s="1097"/>
      <c r="BX61" s="1292"/>
      <c r="BY61" s="1210"/>
      <c r="BZ61" s="928"/>
      <c r="CA61" s="1097"/>
    </row>
    <row r="62" spans="1:85" x14ac:dyDescent="0.2">
      <c r="A62" s="940" t="s">
        <v>1052</v>
      </c>
      <c r="B62" s="196">
        <f t="shared" si="97"/>
        <v>0</v>
      </c>
      <c r="C62" s="928"/>
      <c r="D62" s="928"/>
      <c r="E62" s="1396"/>
      <c r="F62" s="1396"/>
      <c r="G62" s="1396"/>
      <c r="H62" s="1396"/>
      <c r="I62" s="1396"/>
      <c r="J62" s="1396"/>
      <c r="K62" s="928"/>
      <c r="N62" s="928"/>
      <c r="O62" s="928"/>
      <c r="P62" s="928"/>
      <c r="Q62" s="928"/>
      <c r="R62" s="928"/>
      <c r="S62" s="1097"/>
      <c r="T62" s="1097"/>
      <c r="U62" s="928"/>
      <c r="V62" s="1097"/>
      <c r="W62" s="928"/>
      <c r="X62" s="928"/>
      <c r="Y62" s="928"/>
      <c r="Z62" s="928"/>
      <c r="AA62" s="928"/>
      <c r="AB62" s="928"/>
      <c r="AC62" s="928"/>
      <c r="AD62" s="928"/>
      <c r="AE62" s="928"/>
      <c r="AF62" s="928"/>
      <c r="AG62" s="928"/>
      <c r="AH62" s="928"/>
      <c r="AI62" s="928"/>
      <c r="AJ62" s="928"/>
      <c r="AK62" s="928"/>
      <c r="AL62" s="928"/>
      <c r="AM62" s="928"/>
      <c r="AN62" s="928"/>
      <c r="AO62" s="928"/>
      <c r="AP62" s="928"/>
      <c r="AQ62" s="928"/>
      <c r="AR62" s="928"/>
      <c r="AS62" s="928"/>
      <c r="AT62" s="928"/>
      <c r="AU62" s="928"/>
      <c r="AV62" s="928"/>
      <c r="AW62" s="928"/>
      <c r="AX62" s="928"/>
      <c r="AY62" s="1097"/>
      <c r="AZ62" s="1097"/>
      <c r="BA62" s="1097"/>
      <c r="BB62" s="1097"/>
      <c r="BC62" s="1097"/>
      <c r="BD62" s="1097"/>
      <c r="BF62" s="1097"/>
      <c r="BH62" s="1097"/>
      <c r="BK62" s="1097"/>
      <c r="BL62" s="1097"/>
      <c r="BM62" s="1097"/>
      <c r="BP62" s="1097"/>
      <c r="BQ62" s="1097"/>
      <c r="BR62" s="1097"/>
      <c r="BS62" s="1097"/>
      <c r="BT62" s="1435"/>
      <c r="BU62" s="928"/>
      <c r="BV62" s="1338"/>
      <c r="BW62" s="1097"/>
      <c r="BX62" s="1292"/>
      <c r="BY62" s="1210"/>
      <c r="BZ62" s="928"/>
      <c r="CA62" s="1097"/>
    </row>
    <row r="63" spans="1:85" x14ac:dyDescent="0.2">
      <c r="A63" s="937" t="s">
        <v>1414</v>
      </c>
      <c r="B63" s="196">
        <f t="shared" si="97"/>
        <v>0</v>
      </c>
      <c r="C63" s="928"/>
      <c r="D63" s="928"/>
      <c r="E63" s="1396"/>
      <c r="F63" s="1396"/>
      <c r="G63" s="1396"/>
      <c r="H63" s="1396"/>
      <c r="I63" s="1396"/>
      <c r="J63" s="1396"/>
      <c r="K63" s="928"/>
      <c r="N63" s="928"/>
      <c r="O63" s="928"/>
      <c r="P63" s="928"/>
      <c r="Q63" s="928"/>
      <c r="R63" s="928"/>
      <c r="S63" s="1097"/>
      <c r="T63" s="1097"/>
      <c r="U63" s="928"/>
      <c r="V63" s="1097"/>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8"/>
      <c r="AT63" s="928"/>
      <c r="AU63" s="928"/>
      <c r="AV63" s="928"/>
      <c r="AW63" s="928"/>
      <c r="AX63" s="928"/>
      <c r="AY63" s="1097"/>
      <c r="AZ63" s="1097"/>
      <c r="BA63" s="1097"/>
      <c r="BB63" s="1097"/>
      <c r="BC63" s="1097"/>
      <c r="BD63" s="1097"/>
      <c r="BF63" s="1097"/>
      <c r="BH63" s="1097"/>
      <c r="BK63" s="1097"/>
      <c r="BL63" s="1097"/>
      <c r="BM63" s="1097"/>
      <c r="BP63" s="1097"/>
      <c r="BQ63" s="1097"/>
      <c r="BR63" s="1097"/>
      <c r="BS63" s="1097"/>
      <c r="BT63" s="1435"/>
      <c r="BU63" s="928"/>
      <c r="BV63" s="1338"/>
      <c r="BW63" s="1097"/>
      <c r="BX63" s="1292"/>
      <c r="BY63" s="1210"/>
      <c r="BZ63" s="928"/>
      <c r="CA63" s="1097"/>
    </row>
    <row r="64" spans="1:85" s="201" customFormat="1" x14ac:dyDescent="0.2">
      <c r="A64" s="198" t="s">
        <v>930</v>
      </c>
      <c r="B64" s="199">
        <f t="shared" ref="B64:BO64" si="98">SUM(B52:B63)</f>
        <v>54585</v>
      </c>
      <c r="C64" s="1358">
        <f t="shared" ref="C64" si="99">SUM(C52:C63)</f>
        <v>0</v>
      </c>
      <c r="D64" s="1358">
        <f t="shared" ref="D64:F64" si="100">SUM(D52:D63)</f>
        <v>0</v>
      </c>
      <c r="E64" s="1407">
        <f t="shared" si="100"/>
        <v>0</v>
      </c>
      <c r="F64" s="1407">
        <f t="shared" si="100"/>
        <v>22583</v>
      </c>
      <c r="G64" s="1407">
        <f t="shared" ref="G64:I64" si="101">SUM(G52:G63)</f>
        <v>0</v>
      </c>
      <c r="H64" s="1407">
        <f t="shared" si="101"/>
        <v>0</v>
      </c>
      <c r="I64" s="1407">
        <f t="shared" si="101"/>
        <v>0</v>
      </c>
      <c r="J64" s="1407">
        <f t="shared" ref="J64" si="102">SUM(J52:J63)</f>
        <v>0</v>
      </c>
      <c r="K64" s="1358">
        <f t="shared" ref="K64" si="103">SUM(K52:K63)</f>
        <v>0</v>
      </c>
      <c r="L64" s="199">
        <f t="shared" si="98"/>
        <v>0</v>
      </c>
      <c r="M64" s="199">
        <f t="shared" si="98"/>
        <v>0</v>
      </c>
      <c r="N64" s="1358">
        <f t="shared" ref="N64" si="104">SUM(N52:N63)</f>
        <v>0</v>
      </c>
      <c r="O64" s="1358">
        <f t="shared" ref="O64" si="105">SUM(O52:O63)</f>
        <v>0</v>
      </c>
      <c r="P64" s="1358">
        <f t="shared" ref="P64" si="106">SUM(P52:P63)</f>
        <v>0</v>
      </c>
      <c r="Q64" s="1358">
        <f t="shared" ref="Q64:S64" si="107">SUM(Q52:Q63)</f>
        <v>0</v>
      </c>
      <c r="R64" s="1358">
        <f t="shared" si="107"/>
        <v>0</v>
      </c>
      <c r="S64" s="1358">
        <f t="shared" si="107"/>
        <v>0</v>
      </c>
      <c r="T64" s="1358">
        <f t="shared" ref="T64" si="108">SUM(T52:T63)</f>
        <v>0</v>
      </c>
      <c r="U64" s="1358">
        <f t="shared" ref="U64" si="109">SUM(U52:U63)</f>
        <v>0</v>
      </c>
      <c r="V64" s="1358">
        <f t="shared" ref="V64" si="110">SUM(V52:V63)</f>
        <v>0</v>
      </c>
      <c r="W64" s="1358">
        <f t="shared" ref="W64" si="111">SUM(W52:W63)</f>
        <v>0</v>
      </c>
      <c r="X64" s="1358">
        <f t="shared" ref="X64" si="112">SUM(X52:X63)</f>
        <v>0</v>
      </c>
      <c r="Y64" s="199">
        <f t="shared" si="98"/>
        <v>0</v>
      </c>
      <c r="Z64" s="199">
        <f t="shared" si="98"/>
        <v>0</v>
      </c>
      <c r="AA64" s="1358">
        <f t="shared" si="98"/>
        <v>0</v>
      </c>
      <c r="AB64" s="1358">
        <f t="shared" ref="AB64:AW64" si="113">SUM(AB52:AB63)</f>
        <v>0</v>
      </c>
      <c r="AC64" s="1358">
        <f t="shared" si="113"/>
        <v>0</v>
      </c>
      <c r="AD64" s="1358">
        <f t="shared" si="113"/>
        <v>0</v>
      </c>
      <c r="AE64" s="1358">
        <f t="shared" si="113"/>
        <v>3025</v>
      </c>
      <c r="AF64" s="1358">
        <f t="shared" si="113"/>
        <v>20321</v>
      </c>
      <c r="AG64" s="1358">
        <f t="shared" si="113"/>
        <v>0</v>
      </c>
      <c r="AH64" s="1358">
        <f t="shared" si="113"/>
        <v>0</v>
      </c>
      <c r="AI64" s="1358">
        <f t="shared" si="113"/>
        <v>0</v>
      </c>
      <c r="AJ64" s="1358">
        <f t="shared" si="113"/>
        <v>0</v>
      </c>
      <c r="AK64" s="1358">
        <f t="shared" si="113"/>
        <v>0</v>
      </c>
      <c r="AL64" s="1358">
        <f t="shared" si="113"/>
        <v>0</v>
      </c>
      <c r="AM64" s="1358">
        <f t="shared" si="113"/>
        <v>0</v>
      </c>
      <c r="AN64" s="1358">
        <f t="shared" si="113"/>
        <v>0</v>
      </c>
      <c r="AO64" s="1358">
        <f t="shared" si="113"/>
        <v>0</v>
      </c>
      <c r="AP64" s="1358">
        <f t="shared" si="113"/>
        <v>0</v>
      </c>
      <c r="AQ64" s="1358"/>
      <c r="AR64" s="1358">
        <f t="shared" si="113"/>
        <v>144</v>
      </c>
      <c r="AS64" s="1358">
        <f t="shared" si="113"/>
        <v>0</v>
      </c>
      <c r="AT64" s="1358">
        <f t="shared" si="113"/>
        <v>7732</v>
      </c>
      <c r="AU64" s="1358">
        <f t="shared" si="113"/>
        <v>0</v>
      </c>
      <c r="AV64" s="1358">
        <f t="shared" si="113"/>
        <v>0</v>
      </c>
      <c r="AW64" s="1358">
        <f t="shared" si="113"/>
        <v>0</v>
      </c>
      <c r="AX64" s="1358">
        <f t="shared" ref="AX64" si="114">SUM(AX52:AX63)</f>
        <v>0</v>
      </c>
      <c r="AY64" s="1358">
        <f t="shared" ref="AY64:BC64" si="115">SUM(AY52:AY63)</f>
        <v>0</v>
      </c>
      <c r="AZ64" s="1358">
        <f t="shared" si="115"/>
        <v>0</v>
      </c>
      <c r="BA64" s="1358">
        <f t="shared" si="115"/>
        <v>0</v>
      </c>
      <c r="BB64" s="1358">
        <f t="shared" si="115"/>
        <v>0</v>
      </c>
      <c r="BC64" s="1358">
        <f t="shared" si="115"/>
        <v>0</v>
      </c>
      <c r="BD64" s="1358">
        <f t="shared" ref="BD64" si="116">SUM(BD52:BD63)</f>
        <v>0</v>
      </c>
      <c r="BE64" s="199">
        <f t="shared" si="98"/>
        <v>0</v>
      </c>
      <c r="BF64" s="1358">
        <f t="shared" ref="BF64" si="117">SUM(BF52:BF63)</f>
        <v>0</v>
      </c>
      <c r="BG64" s="199">
        <f t="shared" si="98"/>
        <v>0</v>
      </c>
      <c r="BH64" s="1358">
        <f t="shared" ref="BH64" si="118">SUM(BH52:BH63)</f>
        <v>0</v>
      </c>
      <c r="BI64" s="199">
        <f t="shared" si="98"/>
        <v>0</v>
      </c>
      <c r="BJ64" s="199">
        <f t="shared" ref="BJ64" si="119">SUM(BJ52:BJ63)</f>
        <v>0</v>
      </c>
      <c r="BK64" s="1358">
        <f t="shared" ref="BK64" si="120">SUM(BK52:BK63)</f>
        <v>0</v>
      </c>
      <c r="BL64" s="1358">
        <f t="shared" ref="BL64" si="121">SUM(BL52:BL63)</f>
        <v>0</v>
      </c>
      <c r="BM64" s="1358">
        <f t="shared" ref="BM64" si="122">SUM(BM52:BM63)</f>
        <v>0</v>
      </c>
      <c r="BN64" s="199">
        <f t="shared" si="98"/>
        <v>0</v>
      </c>
      <c r="BO64" s="199">
        <f t="shared" si="98"/>
        <v>0</v>
      </c>
      <c r="BP64" s="1358">
        <f t="shared" ref="BP64" si="123">SUM(BP52:BP63)</f>
        <v>0</v>
      </c>
      <c r="BQ64" s="1358">
        <f t="shared" ref="BQ64" si="124">SUM(BQ52:BQ63)</f>
        <v>780</v>
      </c>
      <c r="BR64" s="1358">
        <f t="shared" ref="BR64" si="125">SUM(BR52:BR63)</f>
        <v>0</v>
      </c>
      <c r="BS64" s="1358">
        <f t="shared" ref="BS64" si="126">SUM(BS52:BS63)</f>
        <v>0</v>
      </c>
      <c r="BT64" s="1358">
        <f t="shared" ref="BT64:BV64" si="127">SUM(BT52:BT63)</f>
        <v>0</v>
      </c>
      <c r="BU64" s="1358">
        <f t="shared" si="127"/>
        <v>0</v>
      </c>
      <c r="BV64" s="1358">
        <f t="shared" si="127"/>
        <v>0</v>
      </c>
      <c r="BW64" s="1358">
        <f t="shared" ref="BW64" si="128">SUM(BW52:BW63)</f>
        <v>0</v>
      </c>
      <c r="BX64" s="1530">
        <f t="shared" ref="BX64" si="129">SUM(BX52:BX63)</f>
        <v>0</v>
      </c>
      <c r="BY64" s="1358">
        <f t="shared" ref="BY64" si="130">SUM(BY52:BY63)</f>
        <v>0</v>
      </c>
      <c r="BZ64" s="199">
        <f t="shared" ref="BZ64:CB64" si="131">SUM(BZ52:BZ63)</f>
        <v>0</v>
      </c>
      <c r="CA64" s="199">
        <f t="shared" si="131"/>
        <v>0</v>
      </c>
      <c r="CB64" s="199">
        <f t="shared" si="131"/>
        <v>0</v>
      </c>
      <c r="CC64" s="200"/>
      <c r="CD64" s="199">
        <f>SUM(CD52:CD62)</f>
        <v>0</v>
      </c>
      <c r="CE64" s="199">
        <f>SUM(CE52:CE62)</f>
        <v>0</v>
      </c>
      <c r="CF64" s="199">
        <f>SUM(CF52:CF62)</f>
        <v>0</v>
      </c>
      <c r="CG64" s="199">
        <f>SUM(CG52:CG62)</f>
        <v>0</v>
      </c>
    </row>
    <row r="65" spans="1:85" x14ac:dyDescent="0.2">
      <c r="B65" s="197"/>
      <c r="C65" s="928"/>
      <c r="D65" s="1048"/>
      <c r="E65" s="1396"/>
      <c r="F65" s="1389"/>
      <c r="G65" s="1389"/>
      <c r="H65" s="1389"/>
      <c r="I65" s="1389"/>
      <c r="J65" s="1389"/>
      <c r="K65" s="1048"/>
      <c r="L65" s="197"/>
      <c r="M65" s="197"/>
      <c r="N65" s="1048"/>
      <c r="O65" s="1048"/>
      <c r="P65" s="1048"/>
      <c r="Q65" s="1048"/>
      <c r="R65" s="1048"/>
      <c r="S65" s="1139"/>
      <c r="T65" s="1139"/>
      <c r="U65" s="1048"/>
      <c r="V65" s="1301"/>
      <c r="W65" s="1048"/>
      <c r="X65" s="1048"/>
      <c r="Y65" s="1139"/>
      <c r="Z65" s="1139"/>
      <c r="AA65" s="1139"/>
      <c r="AB65" s="1139"/>
      <c r="AC65" s="1139"/>
      <c r="AD65" s="1139"/>
      <c r="AE65" s="1139"/>
      <c r="AF65" s="1048"/>
      <c r="AG65" s="1139"/>
      <c r="AH65" s="1139"/>
      <c r="AI65" s="1139"/>
      <c r="AJ65" s="1139"/>
      <c r="AK65" s="1139"/>
      <c r="AL65" s="1139"/>
      <c r="AM65" s="1139"/>
      <c r="AN65" s="1139"/>
      <c r="AO65" s="1139"/>
      <c r="AP65" s="1139"/>
      <c r="AQ65" s="1139"/>
      <c r="AR65" s="1139"/>
      <c r="AS65" s="1139"/>
      <c r="AT65" s="1139"/>
      <c r="AU65" s="1048"/>
      <c r="AV65" s="1139"/>
      <c r="AW65" s="1048"/>
      <c r="AX65" s="1048"/>
      <c r="AY65" s="1301"/>
      <c r="AZ65" s="1301"/>
      <c r="BA65" s="1301"/>
      <c r="BB65" s="1301"/>
      <c r="BC65" s="1301"/>
      <c r="BD65" s="1139"/>
      <c r="BE65" s="197"/>
      <c r="BF65" s="1139"/>
      <c r="BG65" s="197"/>
      <c r="BH65" s="1139"/>
      <c r="BI65" s="197"/>
      <c r="BJ65" s="197"/>
      <c r="BK65" s="1322"/>
      <c r="BL65" s="1322"/>
      <c r="BM65" s="1139"/>
      <c r="BN65" s="197"/>
      <c r="BO65" s="197"/>
      <c r="BP65" s="1139"/>
      <c r="BQ65" s="1139"/>
      <c r="BR65" s="1139"/>
      <c r="BS65" s="1139"/>
      <c r="BT65" s="1048"/>
      <c r="BU65" s="1048"/>
      <c r="BV65" s="1048"/>
      <c r="BW65" s="1139"/>
      <c r="BX65" s="1531"/>
      <c r="BY65" s="1211"/>
      <c r="BZ65" s="1048"/>
      <c r="CA65" s="197"/>
      <c r="CB65" s="197"/>
      <c r="CD65" s="197"/>
      <c r="CE65" s="197"/>
      <c r="CF65" s="197"/>
      <c r="CG65" s="197"/>
    </row>
    <row r="66" spans="1:85" x14ac:dyDescent="0.2">
      <c r="A66" s="193" t="s">
        <v>931</v>
      </c>
      <c r="C66" s="928"/>
      <c r="D66" s="928"/>
      <c r="E66" s="1396"/>
      <c r="F66" s="1389"/>
      <c r="G66" s="1389"/>
      <c r="H66" s="1389"/>
      <c r="I66" s="1389"/>
      <c r="J66" s="1389"/>
      <c r="K66" s="928"/>
      <c r="N66" s="928"/>
      <c r="O66" s="928"/>
      <c r="P66" s="928"/>
      <c r="Q66" s="928"/>
      <c r="R66" s="928"/>
      <c r="S66" s="1097"/>
      <c r="T66" s="1097"/>
      <c r="U66" s="928"/>
      <c r="V66" s="1251"/>
      <c r="W66" s="928"/>
      <c r="X66" s="928"/>
      <c r="Y66" s="1097"/>
      <c r="Z66" s="1097"/>
      <c r="AA66" s="1097"/>
      <c r="AB66" s="1097"/>
      <c r="AC66" s="1097"/>
      <c r="AD66" s="1097"/>
      <c r="AE66" s="1097"/>
      <c r="AF66" s="928"/>
      <c r="AG66" s="1097"/>
      <c r="AH66" s="1097"/>
      <c r="AI66" s="1097"/>
      <c r="AJ66" s="1097"/>
      <c r="AK66" s="1097"/>
      <c r="AL66" s="1097"/>
      <c r="AM66" s="1097"/>
      <c r="AN66" s="1097"/>
      <c r="AO66" s="1097"/>
      <c r="AP66" s="1097"/>
      <c r="AQ66" s="1097"/>
      <c r="AR66" s="1097"/>
      <c r="AS66" s="1097"/>
      <c r="AT66" s="1097"/>
      <c r="AU66" s="928"/>
      <c r="AV66" s="1097"/>
      <c r="AW66" s="928"/>
      <c r="AX66" s="928"/>
      <c r="AY66" s="1251"/>
      <c r="AZ66" s="1251"/>
      <c r="BA66" s="1251"/>
      <c r="BB66" s="1251"/>
      <c r="BC66" s="1251"/>
      <c r="BD66" s="1097"/>
      <c r="BF66" s="1097"/>
      <c r="BH66" s="1097"/>
      <c r="BK66" s="1102"/>
      <c r="BL66" s="1102"/>
      <c r="BM66" s="1097"/>
      <c r="BP66" s="1097"/>
      <c r="BQ66" s="1097"/>
      <c r="BR66" s="1097"/>
      <c r="BS66" s="1097"/>
      <c r="BT66" s="928"/>
      <c r="BU66" s="928"/>
      <c r="BV66" s="928"/>
      <c r="BW66" s="1097"/>
      <c r="BX66" s="1292"/>
      <c r="BY66" s="1210"/>
      <c r="BZ66" s="928"/>
    </row>
    <row r="67" spans="1:85" s="938" customFormat="1" x14ac:dyDescent="0.2">
      <c r="A67" s="937" t="s">
        <v>869</v>
      </c>
      <c r="C67" s="928"/>
      <c r="D67" s="928"/>
      <c r="E67" s="1396"/>
      <c r="F67" s="1410"/>
      <c r="G67" s="1410"/>
      <c r="H67" s="1410"/>
      <c r="I67" s="1410"/>
      <c r="J67" s="1410"/>
      <c r="K67" s="928"/>
      <c r="N67" s="928"/>
      <c r="O67" s="928"/>
      <c r="P67" s="1141"/>
      <c r="Q67" s="928"/>
      <c r="R67" s="928"/>
      <c r="S67" s="1141"/>
      <c r="T67" s="1141"/>
      <c r="U67" s="1141"/>
      <c r="V67" s="1303"/>
      <c r="W67" s="928"/>
      <c r="X67" s="928"/>
      <c r="Y67" s="1141"/>
      <c r="Z67" s="1141"/>
      <c r="AA67" s="1141"/>
      <c r="AB67" s="1141"/>
      <c r="AC67" s="1141"/>
      <c r="AD67" s="1141"/>
      <c r="AE67" s="1141"/>
      <c r="AF67" s="928"/>
      <c r="AG67" s="1141"/>
      <c r="AH67" s="1141"/>
      <c r="AI67" s="1141"/>
      <c r="AJ67" s="1141"/>
      <c r="AK67" s="1141"/>
      <c r="AL67" s="1141"/>
      <c r="AM67" s="1141"/>
      <c r="AN67" s="1141"/>
      <c r="AO67" s="1141"/>
      <c r="AP67" s="1141"/>
      <c r="AQ67" s="1141"/>
      <c r="AR67" s="1141"/>
      <c r="AS67" s="1097"/>
      <c r="AT67" s="1097"/>
      <c r="AU67" s="928"/>
      <c r="AV67" s="1097"/>
      <c r="AW67" s="928"/>
      <c r="AX67" s="1141"/>
      <c r="AY67" s="1303"/>
      <c r="AZ67" s="1303"/>
      <c r="BA67" s="1303"/>
      <c r="BB67" s="1303"/>
      <c r="BC67" s="1303"/>
      <c r="BD67" s="1141"/>
      <c r="BF67" s="1141"/>
      <c r="BH67" s="1141"/>
      <c r="BK67" s="1102"/>
      <c r="BL67" s="1102"/>
      <c r="BM67" s="1141"/>
      <c r="BP67" s="1141"/>
      <c r="BQ67" s="1097"/>
      <c r="BR67" s="1097"/>
      <c r="BS67" s="1097"/>
      <c r="BT67" s="1141"/>
      <c r="BU67" s="1141"/>
      <c r="BV67" s="1141"/>
      <c r="BW67" s="1141"/>
      <c r="BX67" s="1303"/>
      <c r="BY67" s="1210"/>
      <c r="BZ67" s="928"/>
      <c r="CC67" s="939"/>
      <c r="CD67" s="938">
        <f>SUM(CE67:CG67)</f>
        <v>0</v>
      </c>
    </row>
    <row r="68" spans="1:85" x14ac:dyDescent="0.2">
      <c r="A68" s="941" t="s">
        <v>870</v>
      </c>
      <c r="B68" s="196">
        <f t="shared" ref="B68:B78" si="132">SUM(C68:CB68)</f>
        <v>809895</v>
      </c>
      <c r="C68" s="928">
        <v>462379</v>
      </c>
      <c r="D68" s="928">
        <v>296769</v>
      </c>
      <c r="E68" s="1396"/>
      <c r="F68" s="1396"/>
      <c r="G68" s="1396"/>
      <c r="H68" s="1396"/>
      <c r="I68" s="1396"/>
      <c r="J68" s="1396"/>
      <c r="K68" s="928"/>
      <c r="N68" s="928"/>
      <c r="O68" s="928">
        <v>6207</v>
      </c>
      <c r="P68" s="928"/>
      <c r="Q68" s="928"/>
      <c r="R68" s="928"/>
      <c r="S68" s="1097"/>
      <c r="T68" s="1097"/>
      <c r="U68" s="928"/>
      <c r="V68" s="1097"/>
      <c r="W68" s="928"/>
      <c r="X68" s="928">
        <v>44540</v>
      </c>
      <c r="Y68" s="928"/>
      <c r="Z68" s="928"/>
      <c r="AA68" s="928"/>
      <c r="AB68" s="928"/>
      <c r="AC68" s="928"/>
      <c r="AD68" s="928"/>
      <c r="AE68" s="928"/>
      <c r="AF68" s="928"/>
      <c r="AG68" s="928"/>
      <c r="AH68" s="928"/>
      <c r="AI68" s="928"/>
      <c r="AJ68" s="928"/>
      <c r="AK68" s="928"/>
      <c r="AL68" s="928"/>
      <c r="AM68" s="928"/>
      <c r="AN68" s="928"/>
      <c r="AO68" s="928"/>
      <c r="AP68" s="928"/>
      <c r="AQ68" s="928"/>
      <c r="AR68" s="928"/>
      <c r="AS68" s="928"/>
      <c r="AT68" s="928"/>
      <c r="AU68" s="928"/>
      <c r="AV68" s="928"/>
      <c r="AW68" s="928"/>
      <c r="AX68" s="928"/>
      <c r="AY68" s="1097"/>
      <c r="AZ68" s="1097"/>
      <c r="BA68" s="1097"/>
      <c r="BB68" s="1097"/>
      <c r="BC68" s="1097"/>
      <c r="BD68" s="1097"/>
      <c r="BF68" s="1097"/>
      <c r="BH68" s="1097"/>
      <c r="BK68" s="1097"/>
      <c r="BL68" s="1097"/>
      <c r="BM68" s="1097"/>
      <c r="BP68" s="1097"/>
      <c r="BQ68" s="1097"/>
      <c r="BR68" s="1097"/>
      <c r="BS68" s="1097"/>
      <c r="BT68" s="1435"/>
      <c r="BU68" s="928"/>
      <c r="BV68" s="1338"/>
      <c r="BW68" s="1097"/>
      <c r="BX68" s="1292"/>
      <c r="BY68" s="1210"/>
      <c r="BZ68" s="928"/>
      <c r="CA68" s="1097"/>
    </row>
    <row r="69" spans="1:85" x14ac:dyDescent="0.2">
      <c r="A69" s="941" t="s">
        <v>871</v>
      </c>
      <c r="B69" s="196">
        <f t="shared" si="132"/>
        <v>527129</v>
      </c>
      <c r="C69" s="928">
        <v>401918</v>
      </c>
      <c r="D69" s="928"/>
      <c r="E69" s="1396"/>
      <c r="F69" s="1396"/>
      <c r="G69" s="1396"/>
      <c r="H69" s="1396"/>
      <c r="I69" s="1396"/>
      <c r="J69" s="1396"/>
      <c r="K69" s="928">
        <v>24731</v>
      </c>
      <c r="N69" s="928"/>
      <c r="O69" s="928"/>
      <c r="P69" s="928"/>
      <c r="Q69" s="928"/>
      <c r="R69" s="928">
        <v>50240</v>
      </c>
      <c r="S69" s="1097">
        <v>50240</v>
      </c>
      <c r="T69" s="1097"/>
      <c r="U69" s="928"/>
      <c r="V69" s="1097"/>
      <c r="W69" s="928"/>
      <c r="X69" s="928"/>
      <c r="Y69" s="928"/>
      <c r="Z69" s="928"/>
      <c r="AA69" s="928"/>
      <c r="AB69" s="928"/>
      <c r="AC69" s="928"/>
      <c r="AD69" s="928"/>
      <c r="AE69" s="928"/>
      <c r="AF69" s="928"/>
      <c r="AG69" s="928"/>
      <c r="AH69" s="928"/>
      <c r="AI69" s="928"/>
      <c r="AJ69" s="928"/>
      <c r="AK69" s="928"/>
      <c r="AL69" s="928"/>
      <c r="AM69" s="928"/>
      <c r="AN69" s="928"/>
      <c r="AO69" s="928"/>
      <c r="AP69" s="928"/>
      <c r="AQ69" s="928"/>
      <c r="AR69" s="928"/>
      <c r="AS69" s="928"/>
      <c r="AT69" s="928"/>
      <c r="AU69" s="928"/>
      <c r="AV69" s="928"/>
      <c r="AW69" s="928"/>
      <c r="AX69" s="928"/>
      <c r="AY69" s="1097"/>
      <c r="AZ69" s="1097"/>
      <c r="BA69" s="1097"/>
      <c r="BB69" s="1097"/>
      <c r="BC69" s="1097"/>
      <c r="BD69" s="1097"/>
      <c r="BF69" s="1097"/>
      <c r="BH69" s="1097"/>
      <c r="BK69" s="1097"/>
      <c r="BL69" s="1097"/>
      <c r="BM69" s="1097"/>
      <c r="BP69" s="1097"/>
      <c r="BQ69" s="1097"/>
      <c r="BR69" s="1097"/>
      <c r="BS69" s="1097"/>
      <c r="BT69" s="1435"/>
      <c r="BU69" s="928"/>
      <c r="BV69" s="1338"/>
      <c r="BW69" s="1097"/>
      <c r="BX69" s="1292"/>
      <c r="BY69" s="1210"/>
      <c r="BZ69" s="928"/>
      <c r="CA69" s="1097"/>
    </row>
    <row r="70" spans="1:85" x14ac:dyDescent="0.2">
      <c r="A70" s="941" t="s">
        <v>872</v>
      </c>
      <c r="B70" s="196">
        <f t="shared" si="132"/>
        <v>12425</v>
      </c>
      <c r="C70" s="928">
        <v>12425</v>
      </c>
      <c r="D70" s="928"/>
      <c r="E70" s="1396"/>
      <c r="F70" s="1396"/>
      <c r="G70" s="1396"/>
      <c r="H70" s="1396"/>
      <c r="I70" s="1396"/>
      <c r="J70" s="1396"/>
      <c r="K70" s="928"/>
      <c r="N70" s="928"/>
      <c r="O70" s="928"/>
      <c r="P70" s="928"/>
      <c r="Q70" s="928"/>
      <c r="R70" s="928"/>
      <c r="S70" s="1097"/>
      <c r="T70" s="1097"/>
      <c r="U70" s="928"/>
      <c r="V70" s="1097"/>
      <c r="W70" s="928"/>
      <c r="X70" s="928"/>
      <c r="Y70" s="928"/>
      <c r="Z70" s="928"/>
      <c r="AA70" s="928"/>
      <c r="AB70" s="928"/>
      <c r="AC70" s="928"/>
      <c r="AD70" s="928"/>
      <c r="AE70" s="928"/>
      <c r="AF70" s="928"/>
      <c r="AG70" s="928"/>
      <c r="AH70" s="928"/>
      <c r="AI70" s="928"/>
      <c r="AJ70" s="928"/>
      <c r="AK70" s="928"/>
      <c r="AL70" s="928"/>
      <c r="AM70" s="928"/>
      <c r="AN70" s="928"/>
      <c r="AO70" s="928"/>
      <c r="AP70" s="928"/>
      <c r="AQ70" s="928"/>
      <c r="AR70" s="928"/>
      <c r="AS70" s="928"/>
      <c r="AT70" s="928"/>
      <c r="AU70" s="928"/>
      <c r="AV70" s="928"/>
      <c r="AW70" s="928"/>
      <c r="AX70" s="928"/>
      <c r="AY70" s="1097"/>
      <c r="AZ70" s="1097"/>
      <c r="BA70" s="1097"/>
      <c r="BB70" s="1097"/>
      <c r="BC70" s="1097"/>
      <c r="BD70" s="1097"/>
      <c r="BF70" s="1097"/>
      <c r="BH70" s="1097"/>
      <c r="BK70" s="1097"/>
      <c r="BL70" s="1097"/>
      <c r="BM70" s="1097"/>
      <c r="BP70" s="1097"/>
      <c r="BQ70" s="1097"/>
      <c r="BR70" s="1097"/>
      <c r="BS70" s="1097"/>
      <c r="BT70" s="1435"/>
      <c r="BU70" s="928"/>
      <c r="BV70" s="1338"/>
      <c r="BW70" s="1097"/>
      <c r="BX70" s="1292"/>
      <c r="BY70" s="1210"/>
      <c r="BZ70" s="928"/>
      <c r="CA70" s="1097"/>
    </row>
    <row r="71" spans="1:85" x14ac:dyDescent="0.2">
      <c r="A71" s="941" t="s">
        <v>873</v>
      </c>
      <c r="B71" s="196">
        <f t="shared" si="132"/>
        <v>17486</v>
      </c>
      <c r="C71" s="928">
        <v>15768</v>
      </c>
      <c r="D71" s="928"/>
      <c r="E71" s="1396"/>
      <c r="F71" s="1396"/>
      <c r="G71" s="1396"/>
      <c r="H71" s="1396"/>
      <c r="I71" s="1396"/>
      <c r="J71" s="1396"/>
      <c r="K71" s="928"/>
      <c r="N71" s="928"/>
      <c r="O71" s="928">
        <v>1718</v>
      </c>
      <c r="P71" s="928"/>
      <c r="Q71" s="928"/>
      <c r="R71" s="928"/>
      <c r="S71" s="1097"/>
      <c r="T71" s="1097"/>
      <c r="U71" s="928"/>
      <c r="V71" s="1097"/>
      <c r="W71" s="928"/>
      <c r="X71" s="928"/>
      <c r="Y71" s="928"/>
      <c r="Z71" s="928"/>
      <c r="AA71" s="928"/>
      <c r="AB71" s="928"/>
      <c r="AC71" s="928"/>
      <c r="AD71" s="928"/>
      <c r="AE71" s="928"/>
      <c r="AF71" s="928"/>
      <c r="AG71" s="928"/>
      <c r="AH71" s="928"/>
      <c r="AI71" s="928"/>
      <c r="AJ71" s="928"/>
      <c r="AK71" s="928"/>
      <c r="AL71" s="928"/>
      <c r="AM71" s="928"/>
      <c r="AN71" s="928"/>
      <c r="AO71" s="928"/>
      <c r="AP71" s="928"/>
      <c r="AQ71" s="928"/>
      <c r="AR71" s="928"/>
      <c r="AS71" s="928"/>
      <c r="AT71" s="928"/>
      <c r="AU71" s="928"/>
      <c r="AV71" s="928"/>
      <c r="AW71" s="928"/>
      <c r="AX71" s="928"/>
      <c r="AY71" s="1097"/>
      <c r="AZ71" s="1097"/>
      <c r="BA71" s="1097"/>
      <c r="BB71" s="1097"/>
      <c r="BC71" s="1097"/>
      <c r="BD71" s="1097"/>
      <c r="BF71" s="1097"/>
      <c r="BH71" s="1097"/>
      <c r="BK71" s="1097"/>
      <c r="BL71" s="1097"/>
      <c r="BM71" s="1097"/>
      <c r="BP71" s="1097"/>
      <c r="BQ71" s="1097"/>
      <c r="BR71" s="1097"/>
      <c r="BS71" s="1097"/>
      <c r="BT71" s="1435"/>
      <c r="BU71" s="928"/>
      <c r="BV71" s="1338"/>
      <c r="BW71" s="1097"/>
      <c r="BX71" s="1292"/>
      <c r="BY71" s="1210"/>
      <c r="BZ71" s="928"/>
      <c r="CA71" s="1097"/>
    </row>
    <row r="72" spans="1:85" x14ac:dyDescent="0.2">
      <c r="A72" s="941" t="s">
        <v>874</v>
      </c>
      <c r="B72" s="196">
        <f t="shared" si="132"/>
        <v>113944</v>
      </c>
      <c r="C72" s="928"/>
      <c r="D72" s="928"/>
      <c r="E72" s="1396"/>
      <c r="F72" s="1396"/>
      <c r="G72" s="1396"/>
      <c r="H72" s="1396"/>
      <c r="I72" s="1396"/>
      <c r="J72" s="1396"/>
      <c r="K72" s="928"/>
      <c r="N72" s="928">
        <v>80279</v>
      </c>
      <c r="O72" s="928">
        <v>10725</v>
      </c>
      <c r="P72" s="928">
        <v>22940</v>
      </c>
      <c r="Q72" s="928"/>
      <c r="R72" s="928"/>
      <c r="S72" s="1097"/>
      <c r="T72" s="1097"/>
      <c r="U72" s="928"/>
      <c r="V72" s="1097"/>
      <c r="W72" s="928"/>
      <c r="X72" s="928"/>
      <c r="Y72" s="928"/>
      <c r="Z72" s="928"/>
      <c r="AA72" s="928"/>
      <c r="AB72" s="928"/>
      <c r="AC72" s="928"/>
      <c r="AD72" s="928"/>
      <c r="AE72" s="928"/>
      <c r="AF72" s="928"/>
      <c r="AG72" s="928"/>
      <c r="AH72" s="928"/>
      <c r="AI72" s="928"/>
      <c r="AJ72" s="928"/>
      <c r="AK72" s="928"/>
      <c r="AL72" s="928"/>
      <c r="AM72" s="928"/>
      <c r="AN72" s="928"/>
      <c r="AO72" s="928"/>
      <c r="AP72" s="928"/>
      <c r="AQ72" s="928"/>
      <c r="AR72" s="928"/>
      <c r="AS72" s="928"/>
      <c r="AT72" s="928"/>
      <c r="AU72" s="928"/>
      <c r="AV72" s="928"/>
      <c r="AW72" s="928"/>
      <c r="AX72" s="928"/>
      <c r="AY72" s="1097"/>
      <c r="AZ72" s="1097"/>
      <c r="BA72" s="1097"/>
      <c r="BB72" s="1097"/>
      <c r="BC72" s="1097"/>
      <c r="BD72" s="1097"/>
      <c r="BF72" s="1097"/>
      <c r="BH72" s="1097"/>
      <c r="BK72" s="1097"/>
      <c r="BL72" s="1097"/>
      <c r="BM72" s="1097"/>
      <c r="BP72" s="1097"/>
      <c r="BQ72" s="1097"/>
      <c r="BR72" s="1097"/>
      <c r="BS72" s="1097"/>
      <c r="BT72" s="1435"/>
      <c r="BU72" s="928"/>
      <c r="BV72" s="1338"/>
      <c r="BW72" s="1097"/>
      <c r="BX72" s="1292"/>
      <c r="BY72" s="1210"/>
      <c r="BZ72" s="928"/>
      <c r="CA72" s="1097"/>
    </row>
    <row r="73" spans="1:85" x14ac:dyDescent="0.2">
      <c r="A73" s="940" t="s">
        <v>944</v>
      </c>
      <c r="B73" s="196">
        <f t="shared" si="132"/>
        <v>7326</v>
      </c>
      <c r="C73" s="928">
        <v>3487</v>
      </c>
      <c r="D73" s="928">
        <v>2234</v>
      </c>
      <c r="E73" s="1396"/>
      <c r="F73" s="1396"/>
      <c r="G73" s="1396"/>
      <c r="H73" s="1396"/>
      <c r="I73" s="1396"/>
      <c r="J73" s="1396"/>
      <c r="K73" s="928"/>
      <c r="N73" s="928">
        <v>1248</v>
      </c>
      <c r="O73" s="928"/>
      <c r="P73" s="928">
        <v>357</v>
      </c>
      <c r="Q73" s="928"/>
      <c r="R73" s="928"/>
      <c r="S73" s="1097"/>
      <c r="T73" s="1097"/>
      <c r="U73" s="928"/>
      <c r="V73" s="1097"/>
      <c r="W73" s="928"/>
      <c r="X73" s="928"/>
      <c r="Y73" s="928"/>
      <c r="Z73" s="928"/>
      <c r="AA73" s="928"/>
      <c r="AB73" s="928"/>
      <c r="AC73" s="928"/>
      <c r="AD73" s="928"/>
      <c r="AE73" s="928"/>
      <c r="AF73" s="928"/>
      <c r="AG73" s="928"/>
      <c r="AH73" s="928"/>
      <c r="AI73" s="928"/>
      <c r="AJ73" s="928"/>
      <c r="AK73" s="928"/>
      <c r="AL73" s="928"/>
      <c r="AM73" s="928"/>
      <c r="AN73" s="928"/>
      <c r="AO73" s="928"/>
      <c r="AP73" s="928"/>
      <c r="AQ73" s="928"/>
      <c r="AR73" s="928"/>
      <c r="AS73" s="928"/>
      <c r="AT73" s="928"/>
      <c r="AU73" s="928"/>
      <c r="AV73" s="928"/>
      <c r="AW73" s="928"/>
      <c r="AX73" s="928"/>
      <c r="AY73" s="1097"/>
      <c r="AZ73" s="1097"/>
      <c r="BA73" s="1097"/>
      <c r="BB73" s="1097"/>
      <c r="BC73" s="1097"/>
      <c r="BD73" s="1097"/>
      <c r="BF73" s="1097"/>
      <c r="BH73" s="1097"/>
      <c r="BK73" s="1097"/>
      <c r="BL73" s="1097"/>
      <c r="BM73" s="1097"/>
      <c r="BP73" s="1097"/>
      <c r="BQ73" s="1097"/>
      <c r="BR73" s="1097"/>
      <c r="BS73" s="1097"/>
      <c r="BT73" s="1435"/>
      <c r="BU73" s="928"/>
      <c r="BV73" s="1338"/>
      <c r="BW73" s="1097"/>
      <c r="BX73" s="1292"/>
      <c r="BY73" s="1210">
        <v>0</v>
      </c>
      <c r="BZ73" s="928"/>
      <c r="CA73" s="1097"/>
    </row>
    <row r="74" spans="1:85" x14ac:dyDescent="0.2">
      <c r="A74" s="940" t="s">
        <v>947</v>
      </c>
      <c r="B74" s="196">
        <f t="shared" si="132"/>
        <v>500488</v>
      </c>
      <c r="C74" s="928">
        <v>500488</v>
      </c>
      <c r="D74" s="928"/>
      <c r="E74" s="1396"/>
      <c r="F74" s="1396"/>
      <c r="G74" s="1396"/>
      <c r="H74" s="1396"/>
      <c r="I74" s="1396"/>
      <c r="J74" s="1396"/>
      <c r="K74" s="928"/>
      <c r="N74" s="928"/>
      <c r="O74" s="928"/>
      <c r="P74" s="928"/>
      <c r="Q74" s="928"/>
      <c r="R74" s="928"/>
      <c r="S74" s="1097"/>
      <c r="T74" s="1097"/>
      <c r="U74" s="928"/>
      <c r="V74" s="1097"/>
      <c r="W74" s="928"/>
      <c r="X74" s="928"/>
      <c r="Y74" s="928"/>
      <c r="Z74" s="928"/>
      <c r="AA74" s="928"/>
      <c r="AB74" s="928"/>
      <c r="AC74" s="928"/>
      <c r="AD74" s="928"/>
      <c r="AE74" s="928"/>
      <c r="AF74" s="928"/>
      <c r="AG74" s="928"/>
      <c r="AH74" s="928"/>
      <c r="AI74" s="928"/>
      <c r="AJ74" s="928"/>
      <c r="AK74" s="928"/>
      <c r="AL74" s="928"/>
      <c r="AM74" s="928"/>
      <c r="AN74" s="928"/>
      <c r="AO74" s="928"/>
      <c r="AP74" s="928"/>
      <c r="AQ74" s="928"/>
      <c r="AR74" s="928"/>
      <c r="AS74" s="928"/>
      <c r="AT74" s="928"/>
      <c r="AU74" s="928"/>
      <c r="AV74" s="928"/>
      <c r="AW74" s="928"/>
      <c r="AX74" s="928"/>
      <c r="AY74" s="1097"/>
      <c r="AZ74" s="1097"/>
      <c r="BA74" s="1097"/>
      <c r="BB74" s="1097"/>
      <c r="BC74" s="1097"/>
      <c r="BD74" s="1097"/>
      <c r="BF74" s="1097"/>
      <c r="BH74" s="1097"/>
      <c r="BK74" s="1097"/>
      <c r="BL74" s="1097"/>
      <c r="BM74" s="1097"/>
      <c r="BP74" s="1097"/>
      <c r="BQ74" s="1097"/>
      <c r="BR74" s="1097"/>
      <c r="BS74" s="1097"/>
      <c r="BT74" s="1435"/>
      <c r="BU74" s="928"/>
      <c r="BV74" s="1338"/>
      <c r="BW74" s="1097"/>
      <c r="BX74" s="1292"/>
      <c r="BY74" s="1210"/>
      <c r="BZ74" s="928"/>
      <c r="CA74" s="1097"/>
    </row>
    <row r="75" spans="1:85" x14ac:dyDescent="0.2">
      <c r="A75" s="940" t="s">
        <v>774</v>
      </c>
      <c r="B75" s="196">
        <f t="shared" si="132"/>
        <v>137959</v>
      </c>
      <c r="C75" s="928">
        <v>35484</v>
      </c>
      <c r="D75" s="928">
        <v>5311</v>
      </c>
      <c r="E75" s="1396">
        <v>7958</v>
      </c>
      <c r="F75" s="1396">
        <v>98</v>
      </c>
      <c r="G75" s="1396">
        <v>109</v>
      </c>
      <c r="H75" s="1396">
        <v>283</v>
      </c>
      <c r="I75" s="1396">
        <v>544</v>
      </c>
      <c r="J75" s="1396"/>
      <c r="K75" s="928">
        <v>895</v>
      </c>
      <c r="N75" s="928">
        <v>9101</v>
      </c>
      <c r="O75" s="928">
        <v>6658</v>
      </c>
      <c r="P75" s="928">
        <v>272</v>
      </c>
      <c r="Q75" s="928">
        <v>1705</v>
      </c>
      <c r="R75" s="928">
        <v>62</v>
      </c>
      <c r="S75" s="1097">
        <v>78</v>
      </c>
      <c r="T75" s="1097">
        <v>4</v>
      </c>
      <c r="U75" s="928">
        <v>182</v>
      </c>
      <c r="V75" s="1097">
        <v>811</v>
      </c>
      <c r="W75" s="928">
        <v>3141</v>
      </c>
      <c r="X75" s="928">
        <v>3389</v>
      </c>
      <c r="Y75" s="928"/>
      <c r="Z75" s="928"/>
      <c r="AA75" s="928"/>
      <c r="AB75" s="928">
        <v>423</v>
      </c>
      <c r="AC75" s="928">
        <v>1216</v>
      </c>
      <c r="AD75" s="928">
        <v>12301</v>
      </c>
      <c r="AE75" s="928">
        <v>14525</v>
      </c>
      <c r="AF75" s="928">
        <v>0</v>
      </c>
      <c r="AG75" s="928">
        <v>0</v>
      </c>
      <c r="AH75" s="928">
        <v>0</v>
      </c>
      <c r="AI75" s="928">
        <v>0</v>
      </c>
      <c r="AJ75" s="928">
        <v>0</v>
      </c>
      <c r="AK75" s="928">
        <v>3098</v>
      </c>
      <c r="AL75" s="928">
        <v>152</v>
      </c>
      <c r="AM75" s="928">
        <v>280</v>
      </c>
      <c r="AN75" s="928">
        <v>1306</v>
      </c>
      <c r="AO75" s="928">
        <v>1567</v>
      </c>
      <c r="AP75" s="928">
        <v>248</v>
      </c>
      <c r="AQ75" s="928">
        <v>223</v>
      </c>
      <c r="AR75" s="928">
        <v>0</v>
      </c>
      <c r="AS75" s="928">
        <v>0</v>
      </c>
      <c r="AT75" s="928">
        <v>0</v>
      </c>
      <c r="AU75" s="928">
        <v>17</v>
      </c>
      <c r="AV75" s="928">
        <v>0</v>
      </c>
      <c r="AW75" s="928">
        <v>2376</v>
      </c>
      <c r="AX75" s="928"/>
      <c r="AY75" s="1097">
        <v>21</v>
      </c>
      <c r="AZ75" s="1097">
        <v>301</v>
      </c>
      <c r="BA75" s="1097">
        <v>19</v>
      </c>
      <c r="BB75" s="1097">
        <v>31</v>
      </c>
      <c r="BC75" s="1097">
        <v>78</v>
      </c>
      <c r="BD75" s="1097"/>
      <c r="BE75" s="196">
        <v>7</v>
      </c>
      <c r="BF75" s="1097"/>
      <c r="BH75" s="1097"/>
      <c r="BJ75" s="196">
        <v>262</v>
      </c>
      <c r="BK75" s="1097">
        <v>1659</v>
      </c>
      <c r="BL75" s="1097">
        <v>36</v>
      </c>
      <c r="BM75" s="1097"/>
      <c r="BP75" s="1097">
        <v>133</v>
      </c>
      <c r="BQ75" s="1097">
        <v>5142</v>
      </c>
      <c r="BR75" s="1097">
        <v>1713</v>
      </c>
      <c r="BS75" s="1097">
        <v>128</v>
      </c>
      <c r="BT75" s="1337">
        <v>1884</v>
      </c>
      <c r="BU75" s="928">
        <v>1927</v>
      </c>
      <c r="BV75" s="1337">
        <v>2091</v>
      </c>
      <c r="BW75" s="1097">
        <v>360</v>
      </c>
      <c r="BX75" s="1292">
        <v>8349</v>
      </c>
      <c r="BY75" s="1210">
        <v>1</v>
      </c>
      <c r="BZ75" s="928"/>
      <c r="CA75" s="1097"/>
    </row>
    <row r="76" spans="1:85" x14ac:dyDescent="0.2">
      <c r="A76" s="940" t="s">
        <v>775</v>
      </c>
      <c r="B76" s="196">
        <f t="shared" si="132"/>
        <v>101639</v>
      </c>
      <c r="C76" s="928">
        <v>21379</v>
      </c>
      <c r="D76" s="928">
        <v>430</v>
      </c>
      <c r="E76" s="1396">
        <v>1</v>
      </c>
      <c r="F76" s="1396">
        <v>359</v>
      </c>
      <c r="G76" s="1396">
        <v>1336</v>
      </c>
      <c r="H76" s="1396">
        <v>0</v>
      </c>
      <c r="I76" s="1396">
        <v>255</v>
      </c>
      <c r="J76" s="1396"/>
      <c r="K76" s="928"/>
      <c r="N76" s="928">
        <v>1000</v>
      </c>
      <c r="O76" s="928">
        <v>6422</v>
      </c>
      <c r="P76" s="928">
        <v>12</v>
      </c>
      <c r="Q76" s="928"/>
      <c r="R76" s="928">
        <v>38410</v>
      </c>
      <c r="S76" s="1097">
        <v>2898</v>
      </c>
      <c r="T76" s="1097"/>
      <c r="U76" s="928">
        <v>1</v>
      </c>
      <c r="V76" s="1097">
        <v>502</v>
      </c>
      <c r="W76" s="928">
        <v>36</v>
      </c>
      <c r="X76" s="928"/>
      <c r="Y76" s="928"/>
      <c r="Z76" s="928"/>
      <c r="AA76" s="928"/>
      <c r="AB76" s="928">
        <v>0</v>
      </c>
      <c r="AC76" s="928">
        <v>0</v>
      </c>
      <c r="AD76" s="928">
        <v>42</v>
      </c>
      <c r="AE76" s="928">
        <v>0</v>
      </c>
      <c r="AF76" s="928">
        <v>0</v>
      </c>
      <c r="AG76" s="928">
        <v>0</v>
      </c>
      <c r="AH76" s="928">
        <v>0</v>
      </c>
      <c r="AI76" s="928">
        <v>0</v>
      </c>
      <c r="AJ76" s="928">
        <v>0</v>
      </c>
      <c r="AK76" s="928">
        <v>0</v>
      </c>
      <c r="AL76" s="928">
        <v>0</v>
      </c>
      <c r="AM76" s="928">
        <v>0</v>
      </c>
      <c r="AN76" s="928">
        <v>0</v>
      </c>
      <c r="AO76" s="928">
        <v>0</v>
      </c>
      <c r="AP76" s="928">
        <v>0</v>
      </c>
      <c r="AQ76" s="928">
        <v>0</v>
      </c>
      <c r="AR76" s="928">
        <v>0</v>
      </c>
      <c r="AS76" s="928">
        <v>0</v>
      </c>
      <c r="AT76" s="928">
        <v>0</v>
      </c>
      <c r="AU76" s="928">
        <v>0</v>
      </c>
      <c r="AV76" s="928">
        <v>0</v>
      </c>
      <c r="AW76" s="928">
        <f>550-550</f>
        <v>0</v>
      </c>
      <c r="AX76" s="928"/>
      <c r="AY76" s="1097"/>
      <c r="AZ76" s="1097"/>
      <c r="BA76" s="1097"/>
      <c r="BB76" s="1097"/>
      <c r="BC76" s="1097"/>
      <c r="BD76" s="1097"/>
      <c r="BF76" s="1097">
        <v>15</v>
      </c>
      <c r="BH76" s="1097">
        <v>2631</v>
      </c>
      <c r="BJ76" s="196">
        <v>82</v>
      </c>
      <c r="BK76" s="1097">
        <v>1</v>
      </c>
      <c r="BL76" s="1097"/>
      <c r="BM76" s="1097">
        <v>7</v>
      </c>
      <c r="BP76" s="1097">
        <v>183</v>
      </c>
      <c r="BQ76" s="1097">
        <v>173</v>
      </c>
      <c r="BR76" s="1097"/>
      <c r="BS76" s="1097"/>
      <c r="BT76" s="1337">
        <v>19517</v>
      </c>
      <c r="BU76" s="928">
        <v>-17</v>
      </c>
      <c r="BV76" s="1337">
        <v>380</v>
      </c>
      <c r="BW76" s="1097">
        <f>960+28</f>
        <v>988</v>
      </c>
      <c r="BX76" s="1292">
        <v>4587</v>
      </c>
      <c r="BY76" s="1097">
        <v>9</v>
      </c>
      <c r="BZ76" s="928"/>
      <c r="CA76" s="1097"/>
    </row>
    <row r="77" spans="1:85" x14ac:dyDescent="0.2">
      <c r="A77" s="940" t="s">
        <v>776</v>
      </c>
      <c r="B77" s="196">
        <f t="shared" si="132"/>
        <v>-31135</v>
      </c>
      <c r="C77" s="928"/>
      <c r="D77" s="928">
        <v>-28725</v>
      </c>
      <c r="E77" s="1396"/>
      <c r="F77" s="1396"/>
      <c r="G77" s="1396"/>
      <c r="H77" s="1396"/>
      <c r="I77" s="1396"/>
      <c r="J77" s="1396"/>
      <c r="K77" s="928"/>
      <c r="N77" s="928"/>
      <c r="O77" s="928">
        <v>0</v>
      </c>
      <c r="P77" s="928"/>
      <c r="Q77" s="928"/>
      <c r="R77" s="928"/>
      <c r="S77" s="1097"/>
      <c r="T77" s="1097"/>
      <c r="U77" s="928"/>
      <c r="V77" s="1097"/>
      <c r="W77" s="928"/>
      <c r="X77" s="928"/>
      <c r="Y77" s="928"/>
      <c r="Z77" s="928"/>
      <c r="AA77" s="928"/>
      <c r="AB77" s="928"/>
      <c r="AC77" s="928"/>
      <c r="AD77" s="928"/>
      <c r="AE77" s="928"/>
      <c r="AF77" s="928"/>
      <c r="AG77" s="928"/>
      <c r="AH77" s="928"/>
      <c r="AI77" s="928"/>
      <c r="AJ77" s="928"/>
      <c r="AK77" s="928">
        <v>-2410</v>
      </c>
      <c r="AL77" s="928"/>
      <c r="AM77" s="928"/>
      <c r="AN77" s="928"/>
      <c r="AO77" s="928"/>
      <c r="AP77" s="928"/>
      <c r="AQ77" s="928"/>
      <c r="AR77" s="928"/>
      <c r="AS77" s="928"/>
      <c r="AT77" s="928"/>
      <c r="AU77" s="928"/>
      <c r="AV77" s="928"/>
      <c r="AW77" s="928"/>
      <c r="AX77" s="928"/>
      <c r="AY77" s="1097"/>
      <c r="AZ77" s="1097"/>
      <c r="BA77" s="1097"/>
      <c r="BB77" s="1097"/>
      <c r="BC77" s="1097"/>
      <c r="BD77" s="1097"/>
      <c r="BF77" s="1097"/>
      <c r="BH77" s="1097"/>
      <c r="BK77" s="1097"/>
      <c r="BL77" s="1097"/>
      <c r="BM77" s="1097"/>
      <c r="BP77" s="1097"/>
      <c r="BQ77" s="1097"/>
      <c r="BR77" s="1097"/>
      <c r="BS77" s="1097"/>
      <c r="BT77" s="1337"/>
      <c r="BU77" s="928"/>
      <c r="BV77" s="1337"/>
      <c r="BW77" s="1097"/>
      <c r="BX77" s="1292"/>
      <c r="BY77" s="1097"/>
      <c r="BZ77" s="928"/>
      <c r="CA77" s="1097"/>
    </row>
    <row r="78" spans="1:85" x14ac:dyDescent="0.2">
      <c r="A78" s="940" t="s">
        <v>778</v>
      </c>
      <c r="B78" s="196">
        <f t="shared" si="132"/>
        <v>4293</v>
      </c>
      <c r="C78" s="928">
        <v>-163307</v>
      </c>
      <c r="D78" s="928">
        <v>18160</v>
      </c>
      <c r="E78" s="1396">
        <v>91935</v>
      </c>
      <c r="F78" s="1396">
        <v>-1581</v>
      </c>
      <c r="G78" s="1396">
        <v>-1483</v>
      </c>
      <c r="H78" s="1396"/>
      <c r="I78" s="1396">
        <v>1</v>
      </c>
      <c r="J78" s="1396"/>
      <c r="K78" s="928">
        <v>-14908</v>
      </c>
      <c r="N78" s="928">
        <v>-50964</v>
      </c>
      <c r="O78" s="928">
        <v>311</v>
      </c>
      <c r="P78" s="928">
        <v>-22432</v>
      </c>
      <c r="Q78" s="928">
        <v>-8423</v>
      </c>
      <c r="R78" s="928">
        <v>-50402</v>
      </c>
      <c r="S78" s="1097">
        <v>-50340</v>
      </c>
      <c r="T78" s="1097">
        <v>1058</v>
      </c>
      <c r="U78" s="928"/>
      <c r="V78" s="1097"/>
      <c r="W78" s="928">
        <v>-27503</v>
      </c>
      <c r="X78" s="928">
        <v>-14587</v>
      </c>
      <c r="Y78" s="928"/>
      <c r="Z78" s="928"/>
      <c r="AA78" s="928"/>
      <c r="AB78" s="928">
        <v>-2388</v>
      </c>
      <c r="AC78" s="928">
        <f>-4347-1</f>
        <v>-4348</v>
      </c>
      <c r="AD78" s="928">
        <f>-55062-708-48</f>
        <v>-55818</v>
      </c>
      <c r="AE78" s="928">
        <f>-144338+1545</f>
        <v>-142793</v>
      </c>
      <c r="AF78" s="928">
        <v>239443</v>
      </c>
      <c r="AG78" s="928">
        <v>0</v>
      </c>
      <c r="AH78" s="928">
        <v>0</v>
      </c>
      <c r="AI78" s="928">
        <v>0</v>
      </c>
      <c r="AJ78" s="928">
        <v>0</v>
      </c>
      <c r="AK78" s="928">
        <f>-21292-308-29</f>
        <v>-21629</v>
      </c>
      <c r="AL78" s="928">
        <f>-1529-75</f>
        <v>-1604</v>
      </c>
      <c r="AM78" s="928">
        <f>-6409-22</f>
        <v>-6431</v>
      </c>
      <c r="AN78" s="928">
        <v>-15302</v>
      </c>
      <c r="AO78" s="928">
        <f>-3185-1483-3308</f>
        <v>-7976</v>
      </c>
      <c r="AP78" s="928">
        <v>-5192</v>
      </c>
      <c r="AQ78" s="928">
        <f>-73668-719-1657</f>
        <v>-76044</v>
      </c>
      <c r="AR78" s="928">
        <f>48368+607</f>
        <v>48975</v>
      </c>
      <c r="AS78" s="928">
        <v>0</v>
      </c>
      <c r="AT78" s="928">
        <v>222130</v>
      </c>
      <c r="AU78" s="928">
        <v>-204</v>
      </c>
      <c r="AV78" s="928">
        <v>0</v>
      </c>
      <c r="AW78" s="928">
        <v>-48808</v>
      </c>
      <c r="AX78" s="928"/>
      <c r="AY78" s="1097"/>
      <c r="AZ78" s="1097"/>
      <c r="BA78" s="1097"/>
      <c r="BB78" s="1097"/>
      <c r="BC78" s="1097"/>
      <c r="BD78" s="1097"/>
      <c r="BF78" s="1097">
        <v>9493</v>
      </c>
      <c r="BH78" s="1097">
        <v>27552</v>
      </c>
      <c r="BJ78" s="196">
        <v>-1522</v>
      </c>
      <c r="BK78" s="1097">
        <v>-7436</v>
      </c>
      <c r="BL78" s="1097">
        <v>1605</v>
      </c>
      <c r="BM78" s="1097">
        <v>200</v>
      </c>
      <c r="BP78" s="1097">
        <v>4</v>
      </c>
      <c r="BQ78" s="1097">
        <v>99556</v>
      </c>
      <c r="BR78" s="1097">
        <v>27679</v>
      </c>
      <c r="BS78" s="1097">
        <v>516</v>
      </c>
      <c r="BT78" s="1337">
        <v>-147</v>
      </c>
      <c r="BU78" s="928">
        <v>6920</v>
      </c>
      <c r="BV78" s="1337">
        <v>5920</v>
      </c>
      <c r="BW78" s="1097">
        <v>291</v>
      </c>
      <c r="BX78" s="1292">
        <v>6784</v>
      </c>
      <c r="BY78" s="1210">
        <v>-668</v>
      </c>
      <c r="BZ78" s="928"/>
      <c r="CA78" s="1097"/>
    </row>
    <row r="79" spans="1:85" x14ac:dyDescent="0.2">
      <c r="A79" s="198" t="s">
        <v>932</v>
      </c>
      <c r="B79" s="204">
        <f>SUM(B68:B78)</f>
        <v>2201449</v>
      </c>
      <c r="C79" s="204">
        <f>SUM(C68:C78)</f>
        <v>1290021</v>
      </c>
      <c r="D79" s="204">
        <f t="shared" ref="D79:I79" si="133">SUM(D68:D78)</f>
        <v>294179</v>
      </c>
      <c r="E79" s="1143">
        <f t="shared" si="133"/>
        <v>99894</v>
      </c>
      <c r="F79" s="1143">
        <f>SUM(F68:F78)</f>
        <v>-1124</v>
      </c>
      <c r="G79" s="1143">
        <f t="shared" si="133"/>
        <v>-38</v>
      </c>
      <c r="H79" s="1143">
        <f t="shared" si="133"/>
        <v>283</v>
      </c>
      <c r="I79" s="1143">
        <f t="shared" si="133"/>
        <v>800</v>
      </c>
      <c r="J79" s="204">
        <f t="shared" ref="J79" si="134">SUM(J68:J78)</f>
        <v>0</v>
      </c>
      <c r="K79" s="204">
        <f t="shared" ref="K79:CB79" si="135">SUM(K68:K78)</f>
        <v>10718</v>
      </c>
      <c r="L79" s="204">
        <f t="shared" si="135"/>
        <v>0</v>
      </c>
      <c r="M79" s="204">
        <f t="shared" si="135"/>
        <v>0</v>
      </c>
      <c r="N79" s="1143">
        <f>SUM(N68:N78)</f>
        <v>40664</v>
      </c>
      <c r="O79" s="204">
        <f t="shared" si="135"/>
        <v>32041</v>
      </c>
      <c r="P79" s="204">
        <f t="shared" si="135"/>
        <v>1149</v>
      </c>
      <c r="Q79" s="204">
        <f t="shared" si="135"/>
        <v>-6718</v>
      </c>
      <c r="R79" s="204">
        <f t="shared" si="135"/>
        <v>38310</v>
      </c>
      <c r="S79" s="204">
        <f>SUM(S68:S78)</f>
        <v>2876</v>
      </c>
      <c r="T79" s="204">
        <f t="shared" si="135"/>
        <v>1062</v>
      </c>
      <c r="U79" s="204">
        <f>SUM(U68:U78)</f>
        <v>183</v>
      </c>
      <c r="V79" s="1143">
        <f>SUM(V68:V78)</f>
        <v>1313</v>
      </c>
      <c r="W79" s="204">
        <f t="shared" si="135"/>
        <v>-24326</v>
      </c>
      <c r="X79" s="204">
        <f t="shared" si="135"/>
        <v>33342</v>
      </c>
      <c r="Y79" s="204">
        <f t="shared" si="135"/>
        <v>0</v>
      </c>
      <c r="Z79" s="204">
        <f t="shared" si="135"/>
        <v>0</v>
      </c>
      <c r="AA79" s="204">
        <f t="shared" si="135"/>
        <v>0</v>
      </c>
      <c r="AB79" s="204">
        <f>SUM(AB68:AB78)</f>
        <v>-1965</v>
      </c>
      <c r="AC79" s="204">
        <f t="shared" si="135"/>
        <v>-3132</v>
      </c>
      <c r="AD79" s="204">
        <f>SUM(AD68:AD78)</f>
        <v>-43475</v>
      </c>
      <c r="AE79" s="204">
        <f>SUM(AE68:AE78)</f>
        <v>-128268</v>
      </c>
      <c r="AF79" s="204">
        <f>SUM(AF68:AF78)</f>
        <v>239443</v>
      </c>
      <c r="AG79" s="204">
        <f t="shared" si="135"/>
        <v>0</v>
      </c>
      <c r="AH79" s="204">
        <f t="shared" ref="AH79:AN79" si="136">SUM(AH68:AH78)</f>
        <v>0</v>
      </c>
      <c r="AI79" s="204">
        <f t="shared" si="136"/>
        <v>0</v>
      </c>
      <c r="AJ79" s="204">
        <f t="shared" si="136"/>
        <v>0</v>
      </c>
      <c r="AK79" s="204">
        <f t="shared" si="136"/>
        <v>-20941</v>
      </c>
      <c r="AL79" s="204">
        <f t="shared" si="136"/>
        <v>-1452</v>
      </c>
      <c r="AM79" s="204">
        <f t="shared" si="136"/>
        <v>-6151</v>
      </c>
      <c r="AN79" s="204">
        <f t="shared" si="136"/>
        <v>-13996</v>
      </c>
      <c r="AO79" s="204">
        <f t="shared" ref="AO79:AP79" si="137">SUM(AO68:AO78)</f>
        <v>-6409</v>
      </c>
      <c r="AP79" s="204">
        <f t="shared" si="137"/>
        <v>-4944</v>
      </c>
      <c r="AQ79" s="204">
        <f t="shared" ref="AQ79" si="138">SUM(AQ68:AQ78)</f>
        <v>-75821</v>
      </c>
      <c r="AR79" s="204">
        <f t="shared" si="135"/>
        <v>48975</v>
      </c>
      <c r="AS79" s="204">
        <f t="shared" si="135"/>
        <v>0</v>
      </c>
      <c r="AT79" s="204">
        <f t="shared" si="135"/>
        <v>222130</v>
      </c>
      <c r="AU79" s="204">
        <f t="shared" si="135"/>
        <v>-187</v>
      </c>
      <c r="AV79" s="204">
        <f t="shared" si="135"/>
        <v>0</v>
      </c>
      <c r="AW79" s="204">
        <f t="shared" si="135"/>
        <v>-46432</v>
      </c>
      <c r="AX79" s="204">
        <f>SUM(AX68:AX78)</f>
        <v>0</v>
      </c>
      <c r="AY79" s="204">
        <f t="shared" si="135"/>
        <v>21</v>
      </c>
      <c r="AZ79" s="204">
        <f t="shared" si="135"/>
        <v>301</v>
      </c>
      <c r="BA79" s="204">
        <f t="shared" si="135"/>
        <v>19</v>
      </c>
      <c r="BB79" s="204">
        <f t="shared" si="135"/>
        <v>31</v>
      </c>
      <c r="BC79" s="204">
        <f>SUM(BC68:BC78)</f>
        <v>78</v>
      </c>
      <c r="BD79" s="204">
        <f t="shared" ref="BD79:BO79" si="139">SUM(BD68:BD78)</f>
        <v>0</v>
      </c>
      <c r="BE79" s="204">
        <f>SUM(BE68:BE78)</f>
        <v>7</v>
      </c>
      <c r="BF79" s="204">
        <f>SUM(BF68:BF78)</f>
        <v>9508</v>
      </c>
      <c r="BG79" s="204">
        <f>SUM(BG68:BG78)</f>
        <v>0</v>
      </c>
      <c r="BH79" s="204">
        <f t="shared" si="139"/>
        <v>30183</v>
      </c>
      <c r="BI79" s="204">
        <f>SUM(BI68:BI78)</f>
        <v>0</v>
      </c>
      <c r="BJ79" s="204">
        <f t="shared" si="139"/>
        <v>-1178</v>
      </c>
      <c r="BK79" s="204">
        <f t="shared" si="139"/>
        <v>-5776</v>
      </c>
      <c r="BL79" s="1143">
        <f t="shared" ref="BL79" si="140">SUM(BL68:BL78)</f>
        <v>1641</v>
      </c>
      <c r="BM79" s="204">
        <f t="shared" si="139"/>
        <v>207</v>
      </c>
      <c r="BN79" s="204">
        <f>SUM(BN68:BN78)</f>
        <v>0</v>
      </c>
      <c r="BO79" s="204">
        <f t="shared" si="139"/>
        <v>0</v>
      </c>
      <c r="BP79" s="204">
        <f>SUM(BP68:BP78)</f>
        <v>320</v>
      </c>
      <c r="BQ79" s="204">
        <f>SUM(BQ68:BQ78)</f>
        <v>104871</v>
      </c>
      <c r="BR79" s="204">
        <f>SUM(BR68:BR78)</f>
        <v>29392</v>
      </c>
      <c r="BS79" s="204">
        <f>SUM(BS68:BS78)</f>
        <v>644</v>
      </c>
      <c r="BT79" s="204">
        <f t="shared" si="135"/>
        <v>21254</v>
      </c>
      <c r="BU79" s="204">
        <f t="shared" si="135"/>
        <v>8830</v>
      </c>
      <c r="BV79" s="204">
        <f t="shared" si="135"/>
        <v>8391</v>
      </c>
      <c r="BW79" s="204">
        <f t="shared" si="135"/>
        <v>1639</v>
      </c>
      <c r="BX79" s="204">
        <f t="shared" si="135"/>
        <v>19720</v>
      </c>
      <c r="BY79" s="204">
        <f t="shared" si="135"/>
        <v>-658</v>
      </c>
      <c r="BZ79" s="204">
        <f t="shared" si="135"/>
        <v>0</v>
      </c>
      <c r="CA79" s="204">
        <f t="shared" si="135"/>
        <v>0</v>
      </c>
      <c r="CB79" s="204">
        <f t="shared" si="135"/>
        <v>0</v>
      </c>
      <c r="CD79" s="204">
        <f>SUM(CD68:CD78)</f>
        <v>0</v>
      </c>
      <c r="CE79" s="204">
        <f>SUM(CE68:CE78)</f>
        <v>0</v>
      </c>
      <c r="CF79" s="204">
        <f>SUM(CF68:CF78)</f>
        <v>0</v>
      </c>
      <c r="CG79" s="204">
        <f>SUM(CG68:CG78)</f>
        <v>0</v>
      </c>
    </row>
    <row r="80" spans="1:85" x14ac:dyDescent="0.2">
      <c r="E80" s="1097"/>
      <c r="F80" s="1097"/>
      <c r="G80" s="1097"/>
      <c r="H80" s="1097"/>
      <c r="I80" s="1097"/>
      <c r="N80" s="1097"/>
      <c r="V80" s="1097"/>
      <c r="BK80" s="196"/>
      <c r="BL80" s="1097"/>
    </row>
    <row r="81" spans="1:85" x14ac:dyDescent="0.2">
      <c r="A81" s="193" t="s">
        <v>833</v>
      </c>
      <c r="B81" s="197">
        <f t="shared" ref="B81:BD81" si="141">-B19+B34+B49+B64+B79</f>
        <v>171826</v>
      </c>
      <c r="C81" s="197">
        <f t="shared" si="141"/>
        <v>5347</v>
      </c>
      <c r="D81" s="197">
        <f>-D19+D34+D49+D64+D79</f>
        <v>202848</v>
      </c>
      <c r="E81" s="197">
        <f t="shared" ref="E81" si="142">-E19+E34+E49+E64+E79</f>
        <v>112133</v>
      </c>
      <c r="F81" s="1139">
        <f>-F19+F34+F49+F64+F79</f>
        <v>-132</v>
      </c>
      <c r="G81" s="1139">
        <f>-G19+G34+G49+G64+G79</f>
        <v>977</v>
      </c>
      <c r="H81" s="1139">
        <f t="shared" ref="H81" si="143">-H19+H34+H49+H64+H79</f>
        <v>343</v>
      </c>
      <c r="I81" s="1139">
        <f>-I19+I34+I49+I64+I79</f>
        <v>878</v>
      </c>
      <c r="J81" s="197">
        <f t="shared" si="141"/>
        <v>0</v>
      </c>
      <c r="K81" s="197">
        <f t="shared" si="141"/>
        <v>2331</v>
      </c>
      <c r="L81" s="197">
        <f t="shared" si="141"/>
        <v>0</v>
      </c>
      <c r="M81" s="197">
        <f t="shared" si="141"/>
        <v>0</v>
      </c>
      <c r="N81" s="1139">
        <f t="shared" si="141"/>
        <v>11664</v>
      </c>
      <c r="O81" s="197">
        <f t="shared" si="141"/>
        <v>-3162</v>
      </c>
      <c r="P81" s="197">
        <f t="shared" si="141"/>
        <v>1146</v>
      </c>
      <c r="Q81" s="197">
        <f>-Q19+Q34+Q49+Q64+Q79</f>
        <v>-6718</v>
      </c>
      <c r="R81" s="197">
        <f t="shared" si="141"/>
        <v>0</v>
      </c>
      <c r="S81" s="197">
        <f>-S19+S34+S49+S64+S79</f>
        <v>0</v>
      </c>
      <c r="T81" s="197">
        <f t="shared" si="141"/>
        <v>-168</v>
      </c>
      <c r="U81" s="197">
        <f>-U19+U34+U49+U64+U79</f>
        <v>1111</v>
      </c>
      <c r="V81" s="1139">
        <f>-V19+V34+V49+V64+V79</f>
        <v>288</v>
      </c>
      <c r="W81" s="197">
        <f t="shared" si="141"/>
        <v>-7126</v>
      </c>
      <c r="X81" s="197">
        <f>-X19+X34+X49+X64+X79</f>
        <v>2757</v>
      </c>
      <c r="Y81" s="197">
        <f t="shared" si="141"/>
        <v>0</v>
      </c>
      <c r="Z81" s="197">
        <f t="shared" si="141"/>
        <v>0</v>
      </c>
      <c r="AA81" s="197">
        <f t="shared" si="141"/>
        <v>0</v>
      </c>
      <c r="AB81" s="197">
        <f t="shared" ref="AB81:AJ81" si="144">-AB19+AB34+AB49+AB64+AB79</f>
        <v>-1965</v>
      </c>
      <c r="AC81" s="197">
        <f t="shared" si="144"/>
        <v>-866</v>
      </c>
      <c r="AD81" s="197">
        <f t="shared" si="144"/>
        <v>-43954</v>
      </c>
      <c r="AE81" s="197">
        <f t="shared" ref="AE81" si="145">-AE19+AE34+AE49+AE64+AE79</f>
        <v>-124712</v>
      </c>
      <c r="AF81" s="197">
        <f t="shared" si="144"/>
        <v>-2634</v>
      </c>
      <c r="AG81" s="197">
        <f t="shared" si="144"/>
        <v>0</v>
      </c>
      <c r="AH81" s="197">
        <f t="shared" si="144"/>
        <v>0</v>
      </c>
      <c r="AI81" s="197">
        <f t="shared" si="144"/>
        <v>0</v>
      </c>
      <c r="AJ81" s="197">
        <f t="shared" si="144"/>
        <v>0</v>
      </c>
      <c r="AK81" s="197">
        <f t="shared" ref="AK81:AP81" si="146">-AK19+AK34+AK49+AK64+AK79</f>
        <v>-18321</v>
      </c>
      <c r="AL81" s="197">
        <f t="shared" si="146"/>
        <v>-1108</v>
      </c>
      <c r="AM81" s="197">
        <f t="shared" si="146"/>
        <v>-5476</v>
      </c>
      <c r="AN81" s="197">
        <f t="shared" si="146"/>
        <v>-13549</v>
      </c>
      <c r="AO81" s="197">
        <f t="shared" si="146"/>
        <v>-6021</v>
      </c>
      <c r="AP81" s="197">
        <f t="shared" si="146"/>
        <v>-4303</v>
      </c>
      <c r="AQ81" s="197">
        <f t="shared" ref="AQ81" si="147">-AQ19+AQ34+AQ49+AQ64+AQ79</f>
        <v>-74342</v>
      </c>
      <c r="AR81" s="197">
        <f t="shared" si="141"/>
        <v>-886</v>
      </c>
      <c r="AS81" s="197">
        <f t="shared" si="141"/>
        <v>0</v>
      </c>
      <c r="AT81" s="197">
        <f t="shared" si="141"/>
        <v>-5656</v>
      </c>
      <c r="AU81" s="197">
        <f t="shared" si="141"/>
        <v>-187</v>
      </c>
      <c r="AV81" s="197">
        <f t="shared" si="141"/>
        <v>0</v>
      </c>
      <c r="AW81" s="197">
        <f>-AW19+AW34+AW49+AW64+AW79</f>
        <v>-46278</v>
      </c>
      <c r="AX81" s="197">
        <f>-AX19+AX34+AX49+AX64+AX79</f>
        <v>0</v>
      </c>
      <c r="AY81" s="197">
        <f t="shared" si="141"/>
        <v>12</v>
      </c>
      <c r="AZ81" s="197">
        <f t="shared" si="141"/>
        <v>239</v>
      </c>
      <c r="BA81" s="197">
        <f t="shared" si="141"/>
        <v>9</v>
      </c>
      <c r="BB81" s="197">
        <f t="shared" si="141"/>
        <v>15</v>
      </c>
      <c r="BC81" s="197">
        <f>-BC19+BC34+BC49+BC64+BC79</f>
        <v>78</v>
      </c>
      <c r="BD81" s="197">
        <f t="shared" si="141"/>
        <v>0</v>
      </c>
      <c r="BE81" s="197">
        <f>-BE19+BE34+BE49+BE64+BE79</f>
        <v>26</v>
      </c>
      <c r="BF81" s="197">
        <f>-BF19+BF34+BF49+BF64+BF79</f>
        <v>72</v>
      </c>
      <c r="BG81" s="197">
        <f>-BG19+BG34+BG49+BG64+BG79</f>
        <v>0</v>
      </c>
      <c r="BH81" s="197">
        <f t="shared" ref="BH81:BO81" si="148">-BH19+BH34+BH49+BH64+BH79</f>
        <v>-347</v>
      </c>
      <c r="BI81" s="197">
        <f>-BI19+BI34+BI49+BI64+BI79</f>
        <v>0</v>
      </c>
      <c r="BJ81" s="197">
        <f t="shared" si="148"/>
        <v>1102</v>
      </c>
      <c r="BK81" s="197">
        <f t="shared" si="148"/>
        <v>-10086</v>
      </c>
      <c r="BL81" s="1139">
        <f t="shared" si="148"/>
        <v>1045</v>
      </c>
      <c r="BM81" s="197">
        <f t="shared" si="148"/>
        <v>-82</v>
      </c>
      <c r="BN81" s="197">
        <f>-BN19+BN34+BN49+BN64+BN79</f>
        <v>0</v>
      </c>
      <c r="BO81" s="197">
        <f t="shared" si="148"/>
        <v>0</v>
      </c>
      <c r="BP81" s="197">
        <f>-BP19+BP34+BP49+BP64+BP79</f>
        <v>564</v>
      </c>
      <c r="BQ81" s="197">
        <f>-BQ19+BQ34+BQ49+BQ64+BQ79</f>
        <v>24260</v>
      </c>
      <c r="BR81" s="197">
        <f>-BR19+BR34+BR49+BR64+BR79</f>
        <v>7044</v>
      </c>
      <c r="BS81" s="197">
        <f>-BS19+BS34+BS49+BS64+BS79</f>
        <v>-2380</v>
      </c>
      <c r="BT81" s="197">
        <f t="shared" ref="BT81:CA81" si="149">-BT19+BT34+BT49+BT64+BT79</f>
        <v>7252</v>
      </c>
      <c r="BU81" s="197">
        <f t="shared" si="149"/>
        <v>480</v>
      </c>
      <c r="BV81" s="197">
        <f t="shared" si="149"/>
        <v>6344</v>
      </c>
      <c r="BW81" s="197">
        <f t="shared" si="149"/>
        <v>907</v>
      </c>
      <c r="BX81" s="197">
        <f t="shared" si="149"/>
        <v>17658</v>
      </c>
      <c r="BY81" s="197">
        <f>-BY19+BY34+BY49+BY64+BY79</f>
        <v>382</v>
      </c>
      <c r="BZ81" s="197">
        <f t="shared" si="149"/>
        <v>-46689</v>
      </c>
      <c r="CA81" s="197">
        <f t="shared" si="149"/>
        <v>189662</v>
      </c>
      <c r="CB81" s="197"/>
      <c r="CD81" s="197">
        <f>-CD19+CD34+CD49+CD64+CD79</f>
        <v>0</v>
      </c>
      <c r="CE81" s="197">
        <f>-CE19+CE34+CE49+CE64+CE79</f>
        <v>0</v>
      </c>
      <c r="CF81" s="197">
        <f>-CF19+CF34+CF49+CF64+CF79</f>
        <v>0</v>
      </c>
      <c r="CG81" s="197">
        <f>-CG19+CG34+CG49+CG64+CG79</f>
        <v>0</v>
      </c>
    </row>
    <row r="82" spans="1:85" x14ac:dyDescent="0.2">
      <c r="A82" s="193"/>
      <c r="E82" s="1097"/>
      <c r="F82" s="1097"/>
      <c r="G82" s="1097"/>
      <c r="H82" s="1097"/>
      <c r="I82" s="1097"/>
      <c r="N82" s="1097"/>
      <c r="V82" s="1097"/>
      <c r="BK82" s="196"/>
      <c r="BL82" s="1097"/>
    </row>
    <row r="83" spans="1:85" x14ac:dyDescent="0.2">
      <c r="A83" s="193" t="s">
        <v>933</v>
      </c>
      <c r="B83" s="205">
        <f>SUM(C83:CB83)</f>
        <v>2743037</v>
      </c>
      <c r="C83" s="205">
        <v>680118</v>
      </c>
      <c r="D83" s="205">
        <v>3032313</v>
      </c>
      <c r="E83" s="1146">
        <v>-61</v>
      </c>
      <c r="F83" s="929">
        <v>-340</v>
      </c>
      <c r="G83" s="929">
        <v>9863</v>
      </c>
      <c r="H83" s="929">
        <v>4677</v>
      </c>
      <c r="I83" s="929">
        <v>29717</v>
      </c>
      <c r="J83" s="929">
        <v>-25692</v>
      </c>
      <c r="K83" s="205">
        <v>14329</v>
      </c>
      <c r="L83" s="205">
        <v>0</v>
      </c>
      <c r="M83" s="205">
        <v>0</v>
      </c>
      <c r="N83" s="1146">
        <v>148817</v>
      </c>
      <c r="O83" s="205">
        <v>129846</v>
      </c>
      <c r="P83" s="205">
        <v>1128</v>
      </c>
      <c r="Q83" s="205">
        <v>28099</v>
      </c>
      <c r="R83" s="205">
        <v>0</v>
      </c>
      <c r="S83" s="205">
        <v>0</v>
      </c>
      <c r="T83" s="205">
        <v>65</v>
      </c>
      <c r="U83" s="205">
        <v>2833</v>
      </c>
      <c r="V83" s="1146">
        <v>11988</v>
      </c>
      <c r="W83" s="205">
        <v>55420</v>
      </c>
      <c r="X83" s="205">
        <v>55831</v>
      </c>
      <c r="Y83" s="205">
        <v>0</v>
      </c>
      <c r="Z83" s="205">
        <v>0</v>
      </c>
      <c r="AA83" s="205">
        <v>0</v>
      </c>
      <c r="AB83" s="205">
        <v>-672237</v>
      </c>
      <c r="AC83" s="205">
        <v>-514366</v>
      </c>
      <c r="AD83" s="205">
        <v>-598009</v>
      </c>
      <c r="AE83" s="205">
        <v>-47269</v>
      </c>
      <c r="AF83" s="205">
        <v>-2125</v>
      </c>
      <c r="AG83" s="205">
        <v>0</v>
      </c>
      <c r="AH83" s="205">
        <v>0</v>
      </c>
      <c r="AI83" s="205">
        <v>0</v>
      </c>
      <c r="AJ83" s="205">
        <v>0</v>
      </c>
      <c r="AK83" s="205">
        <v>-962231</v>
      </c>
      <c r="AL83" s="205">
        <v>-30194</v>
      </c>
      <c r="AM83" s="205">
        <v>-52972</v>
      </c>
      <c r="AN83" s="205">
        <v>-45715</v>
      </c>
      <c r="AO83" s="205">
        <v>-62596</v>
      </c>
      <c r="AP83" s="205">
        <v>-44340</v>
      </c>
      <c r="AQ83" s="205">
        <v>0</v>
      </c>
      <c r="AR83" s="205">
        <v>-110</v>
      </c>
      <c r="AS83" s="205">
        <v>-25805</v>
      </c>
      <c r="AT83" s="205">
        <v>-62940</v>
      </c>
      <c r="AU83" s="205">
        <v>-104913</v>
      </c>
      <c r="AV83" s="205">
        <v>0</v>
      </c>
      <c r="AW83" s="205">
        <v>-490395</v>
      </c>
      <c r="AX83" s="205">
        <v>-28800</v>
      </c>
      <c r="AY83" s="205">
        <v>358</v>
      </c>
      <c r="AZ83" s="205">
        <v>5174</v>
      </c>
      <c r="BA83" s="205">
        <v>320</v>
      </c>
      <c r="BB83" s="205">
        <v>528</v>
      </c>
      <c r="BC83" s="205">
        <v>1289</v>
      </c>
      <c r="BD83" s="205">
        <v>776</v>
      </c>
      <c r="BE83" s="205">
        <v>267</v>
      </c>
      <c r="BF83" s="205">
        <v>66</v>
      </c>
      <c r="BG83" s="205">
        <v>7</v>
      </c>
      <c r="BH83" s="205">
        <v>11243</v>
      </c>
      <c r="BI83" s="205">
        <v>29</v>
      </c>
      <c r="BJ83" s="205">
        <v>29317</v>
      </c>
      <c r="BK83" s="205">
        <v>-79525</v>
      </c>
      <c r="BL83" s="1146">
        <v>-12478</v>
      </c>
      <c r="BM83" s="205">
        <v>2668</v>
      </c>
      <c r="BN83" s="205">
        <v>0</v>
      </c>
      <c r="BO83" s="205">
        <v>0</v>
      </c>
      <c r="BP83" s="205">
        <v>5130</v>
      </c>
      <c r="BQ83" s="205">
        <v>121832</v>
      </c>
      <c r="BR83" s="205">
        <v>-539231</v>
      </c>
      <c r="BS83" s="205">
        <v>4832</v>
      </c>
      <c r="BT83" s="1146">
        <v>15856</v>
      </c>
      <c r="BU83" s="1146">
        <v>867</v>
      </c>
      <c r="BV83" s="1146">
        <v>-3561</v>
      </c>
      <c r="BW83" s="205">
        <v>-29885</v>
      </c>
      <c r="BX83" s="205">
        <v>190846</v>
      </c>
      <c r="BY83" s="205">
        <v>-21388</v>
      </c>
      <c r="BZ83" s="205">
        <v>-2874386</v>
      </c>
      <c r="CA83" s="205">
        <v>5478152</v>
      </c>
      <c r="CB83" s="205">
        <v>0</v>
      </c>
      <c r="CD83" s="205">
        <v>2092511</v>
      </c>
      <c r="CE83" s="205">
        <v>2092511</v>
      </c>
      <c r="CF83" s="205">
        <v>2092511</v>
      </c>
      <c r="CG83" s="205">
        <v>2092511</v>
      </c>
    </row>
    <row r="84" spans="1:85" ht="4.5" customHeight="1" x14ac:dyDescent="0.2">
      <c r="A84" s="193"/>
      <c r="B84" s="197"/>
      <c r="C84" s="197"/>
      <c r="D84" s="197"/>
      <c r="E84" s="1139"/>
      <c r="F84" s="1048"/>
      <c r="G84" s="1048"/>
      <c r="H84" s="1048"/>
      <c r="I84" s="1048"/>
      <c r="J84" s="1048"/>
      <c r="K84" s="197"/>
      <c r="L84" s="197"/>
      <c r="M84" s="197"/>
      <c r="N84" s="1139"/>
      <c r="O84" s="197"/>
      <c r="P84" s="197"/>
      <c r="Q84" s="197"/>
      <c r="R84" s="197"/>
      <c r="S84" s="197"/>
      <c r="T84" s="197"/>
      <c r="U84" s="197"/>
      <c r="V84" s="1139"/>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139"/>
      <c r="BM84" s="197"/>
      <c r="BN84" s="197"/>
      <c r="BO84" s="197"/>
      <c r="BP84" s="197"/>
      <c r="BQ84" s="197"/>
      <c r="BR84" s="197"/>
      <c r="BS84" s="197"/>
      <c r="BT84" s="197"/>
      <c r="BU84" s="197"/>
      <c r="BV84" s="197"/>
      <c r="BW84" s="197"/>
      <c r="BX84" s="197"/>
      <c r="BY84" s="197"/>
      <c r="BZ84" s="197"/>
      <c r="CA84" s="197"/>
      <c r="CB84" s="197"/>
      <c r="CD84" s="197"/>
      <c r="CE84" s="197"/>
      <c r="CF84" s="197"/>
      <c r="CG84" s="197"/>
    </row>
    <row r="85" spans="1:85" x14ac:dyDescent="0.2">
      <c r="A85" s="202" t="s">
        <v>1552</v>
      </c>
      <c r="B85" s="196">
        <f t="shared" ref="B85" si="150">SUM(C85:CB85)</f>
        <v>0</v>
      </c>
      <c r="C85" s="197"/>
      <c r="D85" s="197"/>
      <c r="E85" s="1139"/>
      <c r="F85" s="1048"/>
      <c r="G85" s="1048"/>
      <c r="H85" s="1048"/>
      <c r="I85" s="1048"/>
      <c r="J85" s="1048"/>
      <c r="K85" s="197"/>
      <c r="L85" s="197"/>
      <c r="M85" s="197"/>
      <c r="N85" s="1139"/>
      <c r="O85" s="197"/>
      <c r="P85" s="197"/>
      <c r="Q85" s="197"/>
      <c r="R85" s="197"/>
      <c r="S85" s="197"/>
      <c r="T85" s="197"/>
      <c r="U85" s="197"/>
      <c r="V85" s="1139"/>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139"/>
      <c r="BM85" s="197"/>
      <c r="BN85" s="197"/>
      <c r="BO85" s="197"/>
      <c r="BP85" s="197"/>
      <c r="BQ85" s="197"/>
      <c r="BR85" s="197"/>
      <c r="BS85" s="197"/>
      <c r="BT85" s="197"/>
      <c r="BU85" s="197"/>
      <c r="BV85" s="197"/>
      <c r="BW85" s="197"/>
      <c r="BX85" s="197"/>
      <c r="BY85" s="197"/>
      <c r="BZ85" s="197"/>
      <c r="CA85" s="197"/>
      <c r="CB85" s="197"/>
      <c r="CD85" s="197"/>
      <c r="CE85" s="197"/>
      <c r="CF85" s="197"/>
      <c r="CG85" s="197"/>
    </row>
    <row r="86" spans="1:85" ht="4.5" customHeight="1" x14ac:dyDescent="0.2">
      <c r="B86" s="197"/>
      <c r="C86" s="197"/>
      <c r="D86" s="197"/>
      <c r="E86" s="1139"/>
      <c r="F86" s="1048"/>
      <c r="G86" s="1048"/>
      <c r="H86" s="1048"/>
      <c r="I86" s="1048"/>
      <c r="J86" s="1048"/>
      <c r="K86" s="197"/>
      <c r="L86" s="197"/>
      <c r="M86" s="197"/>
      <c r="N86" s="1139"/>
      <c r="O86" s="197"/>
      <c r="P86" s="197"/>
      <c r="Q86" s="197"/>
      <c r="R86" s="197"/>
      <c r="S86" s="197"/>
      <c r="T86" s="197"/>
      <c r="U86" s="197"/>
      <c r="V86" s="1139"/>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97"/>
      <c r="BJ86" s="197"/>
      <c r="BK86" s="197"/>
      <c r="BL86" s="1139"/>
      <c r="BM86" s="197"/>
      <c r="BN86" s="197"/>
      <c r="BO86" s="197"/>
      <c r="BP86" s="197"/>
      <c r="BQ86" s="197"/>
      <c r="BR86" s="197"/>
      <c r="BS86" s="197"/>
      <c r="BT86" s="197"/>
      <c r="BU86" s="197"/>
      <c r="BV86" s="197"/>
      <c r="BW86" s="197"/>
      <c r="BX86" s="197"/>
      <c r="BY86" s="197"/>
      <c r="BZ86" s="197"/>
      <c r="CA86" s="197"/>
      <c r="CB86" s="197"/>
      <c r="CD86" s="197"/>
      <c r="CE86" s="197"/>
      <c r="CF86" s="197"/>
      <c r="CG86" s="197"/>
    </row>
    <row r="87" spans="1:85" x14ac:dyDescent="0.2">
      <c r="A87" s="202" t="s">
        <v>1715</v>
      </c>
      <c r="B87" s="196">
        <f t="shared" ref="B87" si="151">SUM(C87:CB87)</f>
        <v>0</v>
      </c>
      <c r="C87" s="197"/>
      <c r="D87" s="197"/>
      <c r="E87" s="1139"/>
      <c r="F87" s="1048"/>
      <c r="G87" s="1048"/>
      <c r="H87" s="1048"/>
      <c r="I87" s="1048"/>
      <c r="J87" s="1048"/>
      <c r="K87" s="197"/>
      <c r="L87" s="197"/>
      <c r="M87" s="197"/>
      <c r="N87" s="1139"/>
      <c r="O87" s="197"/>
      <c r="P87" s="197"/>
      <c r="Q87" s="197"/>
      <c r="R87" s="197"/>
      <c r="S87" s="197"/>
      <c r="T87" s="197"/>
      <c r="U87" s="197"/>
      <c r="V87" s="1139"/>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139"/>
      <c r="BM87" s="197"/>
      <c r="BN87" s="197"/>
      <c r="BO87" s="197"/>
      <c r="BP87" s="197"/>
      <c r="BQ87" s="197"/>
      <c r="BR87" s="197"/>
      <c r="BS87" s="197"/>
      <c r="BT87" s="197"/>
      <c r="BU87" s="197"/>
      <c r="BV87" s="197"/>
      <c r="BW87" s="197"/>
      <c r="BX87" s="197"/>
      <c r="BY87" s="197"/>
      <c r="BZ87" s="197"/>
      <c r="CA87" s="197"/>
      <c r="CB87" s="197"/>
      <c r="CD87" s="197"/>
      <c r="CE87" s="197"/>
      <c r="CF87" s="197"/>
      <c r="CG87" s="197"/>
    </row>
    <row r="88" spans="1:85" ht="4.5" customHeight="1" x14ac:dyDescent="0.2">
      <c r="B88" s="197"/>
      <c r="C88" s="197"/>
      <c r="D88" s="197"/>
      <c r="E88" s="1139"/>
      <c r="F88" s="1048"/>
      <c r="G88" s="1048"/>
      <c r="H88" s="1048"/>
      <c r="I88" s="1048"/>
      <c r="J88" s="1048"/>
      <c r="K88" s="197"/>
      <c r="L88" s="197"/>
      <c r="M88" s="197"/>
      <c r="N88" s="1139"/>
      <c r="O88" s="197"/>
      <c r="P88" s="197"/>
      <c r="Q88" s="197"/>
      <c r="R88" s="197"/>
      <c r="S88" s="197"/>
      <c r="T88" s="197"/>
      <c r="U88" s="197"/>
      <c r="V88" s="1139"/>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139"/>
      <c r="BM88" s="197"/>
      <c r="BN88" s="197"/>
      <c r="BO88" s="197"/>
      <c r="BP88" s="197"/>
      <c r="BQ88" s="197"/>
      <c r="BR88" s="197"/>
      <c r="BS88" s="197"/>
      <c r="BT88" s="197"/>
      <c r="BU88" s="197"/>
      <c r="BV88" s="197"/>
      <c r="BW88" s="197"/>
      <c r="BX88" s="197"/>
      <c r="BY88" s="197"/>
      <c r="BZ88" s="197"/>
      <c r="CA88" s="197"/>
      <c r="CB88" s="197"/>
      <c r="CD88" s="197"/>
      <c r="CE88" s="197"/>
      <c r="CF88" s="197"/>
      <c r="CG88" s="197"/>
    </row>
    <row r="89" spans="1:85" x14ac:dyDescent="0.2">
      <c r="A89" s="202" t="s">
        <v>1716</v>
      </c>
      <c r="B89" s="196">
        <f t="shared" ref="B89" si="152">SUM(C89:CB89)</f>
        <v>-776</v>
      </c>
      <c r="C89" s="197"/>
      <c r="D89" s="197"/>
      <c r="E89" s="1139"/>
      <c r="F89" s="1048"/>
      <c r="G89" s="1048"/>
      <c r="H89" s="1048"/>
      <c r="I89" s="1048"/>
      <c r="J89" s="1048"/>
      <c r="K89" s="197"/>
      <c r="L89" s="197"/>
      <c r="M89" s="197"/>
      <c r="N89" s="1139"/>
      <c r="O89" s="197"/>
      <c r="P89" s="197"/>
      <c r="Q89" s="197"/>
      <c r="R89" s="197"/>
      <c r="S89" s="197"/>
      <c r="T89" s="197"/>
      <c r="U89" s="197"/>
      <c r="V89" s="1139"/>
      <c r="W89" s="197"/>
      <c r="X89" s="197"/>
      <c r="Y89" s="197"/>
      <c r="Z89" s="197"/>
      <c r="AA89" s="197"/>
      <c r="AB89" s="197"/>
      <c r="AC89" s="197"/>
      <c r="AD89" s="197"/>
      <c r="AE89" s="197"/>
      <c r="AF89" s="197"/>
      <c r="AG89" s="197"/>
      <c r="AH89" s="197"/>
      <c r="AI89" s="197"/>
      <c r="AJ89" s="197"/>
      <c r="AK89" s="197"/>
      <c r="AL89" s="197"/>
      <c r="AM89" s="197"/>
      <c r="AN89" s="197"/>
      <c r="AO89" s="197"/>
      <c r="AP89" s="197"/>
      <c r="AQ89" s="197"/>
      <c r="AR89" s="197"/>
      <c r="AS89" s="197"/>
      <c r="AT89" s="197"/>
      <c r="AU89" s="197"/>
      <c r="AV89" s="197"/>
      <c r="AW89" s="197"/>
      <c r="AX89" s="197"/>
      <c r="AY89" s="197"/>
      <c r="AZ89" s="197"/>
      <c r="BA89" s="197"/>
      <c r="BB89" s="197"/>
      <c r="BC89" s="197"/>
      <c r="BD89" s="197">
        <v>-776</v>
      </c>
      <c r="BE89" s="197"/>
      <c r="BF89" s="197"/>
      <c r="BG89" s="197"/>
      <c r="BH89" s="197"/>
      <c r="BI89" s="197"/>
      <c r="BJ89" s="197"/>
      <c r="BK89" s="197"/>
      <c r="BL89" s="1139"/>
      <c r="BM89" s="197"/>
      <c r="BN89" s="197"/>
      <c r="BO89" s="197"/>
      <c r="BP89" s="197"/>
      <c r="BQ89" s="197"/>
      <c r="BR89" s="197"/>
      <c r="BS89" s="197"/>
      <c r="BT89" s="197"/>
      <c r="BU89" s="197"/>
      <c r="BV89" s="197"/>
      <c r="BW89" s="197"/>
      <c r="BX89" s="197"/>
      <c r="BY89" s="197"/>
      <c r="BZ89" s="197"/>
      <c r="CA89" s="197"/>
      <c r="CB89" s="197"/>
      <c r="CD89" s="197"/>
      <c r="CE89" s="197"/>
      <c r="CF89" s="197"/>
      <c r="CG89" s="197"/>
    </row>
    <row r="90" spans="1:85" ht="4.5" customHeight="1" x14ac:dyDescent="0.2">
      <c r="B90" s="197"/>
      <c r="C90" s="197"/>
      <c r="D90" s="197"/>
      <c r="E90" s="1139"/>
      <c r="F90" s="1048"/>
      <c r="G90" s="1048"/>
      <c r="H90" s="1048"/>
      <c r="I90" s="1048"/>
      <c r="J90" s="1048"/>
      <c r="K90" s="197"/>
      <c r="L90" s="197"/>
      <c r="M90" s="197"/>
      <c r="N90" s="1139"/>
      <c r="O90" s="197"/>
      <c r="P90" s="197"/>
      <c r="Q90" s="197"/>
      <c r="R90" s="197"/>
      <c r="S90" s="197"/>
      <c r="T90" s="197"/>
      <c r="U90" s="197"/>
      <c r="V90" s="1139"/>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139"/>
      <c r="BM90" s="197"/>
      <c r="BN90" s="197"/>
      <c r="BO90" s="197"/>
      <c r="BP90" s="197"/>
      <c r="BQ90" s="197"/>
      <c r="BR90" s="197"/>
      <c r="BS90" s="197"/>
      <c r="BT90" s="197"/>
      <c r="BU90" s="197"/>
      <c r="BV90" s="197"/>
      <c r="BW90" s="197"/>
      <c r="BX90" s="197"/>
      <c r="BY90" s="197"/>
      <c r="BZ90" s="197"/>
      <c r="CA90" s="197"/>
      <c r="CB90" s="197"/>
      <c r="CD90" s="197"/>
      <c r="CE90" s="197"/>
      <c r="CF90" s="197"/>
      <c r="CG90" s="197"/>
    </row>
    <row r="91" spans="1:85" x14ac:dyDescent="0.2">
      <c r="A91" s="202" t="s">
        <v>1717</v>
      </c>
      <c r="B91" s="196">
        <f t="shared" ref="B91" si="153">SUM(C91:CB91)</f>
        <v>0</v>
      </c>
      <c r="C91" s="197"/>
      <c r="D91" s="197"/>
      <c r="E91" s="1139"/>
      <c r="F91" s="1048"/>
      <c r="G91" s="1048"/>
      <c r="H91" s="1048"/>
      <c r="I91" s="1048"/>
      <c r="J91" s="1048"/>
      <c r="K91" s="197"/>
      <c r="L91" s="197"/>
      <c r="M91" s="197"/>
      <c r="N91" s="1139"/>
      <c r="O91" s="197"/>
      <c r="P91" s="197"/>
      <c r="Q91" s="197"/>
      <c r="R91" s="197"/>
      <c r="S91" s="197"/>
      <c r="T91" s="197"/>
      <c r="U91" s="197"/>
      <c r="V91" s="1139"/>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139"/>
      <c r="BM91" s="197"/>
      <c r="BN91" s="197"/>
      <c r="BO91" s="197"/>
      <c r="BP91" s="197"/>
      <c r="BQ91" s="197"/>
      <c r="BR91" s="197"/>
      <c r="BS91" s="197"/>
      <c r="BT91" s="197"/>
      <c r="BU91" s="197"/>
      <c r="BV91" s="197"/>
      <c r="BW91" s="197"/>
      <c r="BX91" s="197"/>
      <c r="BY91" s="197"/>
      <c r="BZ91" s="197"/>
      <c r="CA91" s="197"/>
      <c r="CB91" s="197"/>
      <c r="CD91" s="197"/>
      <c r="CE91" s="197"/>
      <c r="CF91" s="197"/>
      <c r="CG91" s="197"/>
    </row>
    <row r="92" spans="1:85" ht="4.5" customHeight="1" x14ac:dyDescent="0.2">
      <c r="B92" s="197"/>
      <c r="C92" s="197"/>
      <c r="D92" s="197"/>
      <c r="E92" s="1139"/>
      <c r="F92" s="1048"/>
      <c r="G92" s="1048"/>
      <c r="H92" s="1048"/>
      <c r="I92" s="1048"/>
      <c r="J92" s="1048"/>
      <c r="K92" s="197"/>
      <c r="L92" s="197"/>
      <c r="M92" s="197"/>
      <c r="N92" s="1139"/>
      <c r="O92" s="197"/>
      <c r="P92" s="197"/>
      <c r="Q92" s="197"/>
      <c r="R92" s="197"/>
      <c r="S92" s="197"/>
      <c r="T92" s="197"/>
      <c r="U92" s="197"/>
      <c r="V92" s="1139"/>
      <c r="W92" s="197"/>
      <c r="X92" s="197"/>
      <c r="Y92" s="197"/>
      <c r="Z92" s="197"/>
      <c r="AA92" s="197"/>
      <c r="AB92" s="197"/>
      <c r="AC92" s="197"/>
      <c r="AD92" s="197"/>
      <c r="AE92" s="197"/>
      <c r="AF92" s="197"/>
      <c r="AG92" s="197"/>
      <c r="AH92" s="197"/>
      <c r="AI92" s="197"/>
      <c r="AJ92" s="197"/>
      <c r="AK92" s="197"/>
      <c r="AL92" s="197"/>
      <c r="AM92" s="197"/>
      <c r="AN92" s="197"/>
      <c r="AO92" s="197"/>
      <c r="AP92" s="197"/>
      <c r="AQ92" s="197"/>
      <c r="AR92" s="197"/>
      <c r="AS92" s="197"/>
      <c r="AT92" s="197"/>
      <c r="AU92" s="197"/>
      <c r="AV92" s="197"/>
      <c r="AW92" s="197"/>
      <c r="AX92" s="197"/>
      <c r="AY92" s="197"/>
      <c r="AZ92" s="197"/>
      <c r="BA92" s="197"/>
      <c r="BB92" s="197"/>
      <c r="BC92" s="197"/>
      <c r="BD92" s="197"/>
      <c r="BE92" s="197"/>
      <c r="BF92" s="197"/>
      <c r="BG92" s="197"/>
      <c r="BH92" s="197"/>
      <c r="BI92" s="197"/>
      <c r="BJ92" s="197"/>
      <c r="BK92" s="197"/>
      <c r="BL92" s="1139"/>
      <c r="BM92" s="197"/>
      <c r="BN92" s="197"/>
      <c r="BO92" s="197"/>
      <c r="BP92" s="197"/>
      <c r="BQ92" s="197"/>
      <c r="BR92" s="197"/>
      <c r="BS92" s="197"/>
      <c r="BT92" s="197"/>
      <c r="BU92" s="197"/>
      <c r="BV92" s="197"/>
      <c r="BW92" s="197"/>
      <c r="BX92" s="197"/>
      <c r="BY92" s="197"/>
      <c r="BZ92" s="197"/>
      <c r="CA92" s="197"/>
      <c r="CB92" s="197"/>
      <c r="CD92" s="197"/>
      <c r="CE92" s="197"/>
      <c r="CF92" s="197"/>
      <c r="CG92" s="197"/>
    </row>
    <row r="93" spans="1:85" x14ac:dyDescent="0.2">
      <c r="A93" s="195" t="s">
        <v>1718</v>
      </c>
      <c r="B93" s="197">
        <f>SUM(C93:CB93)</f>
        <v>2742261</v>
      </c>
      <c r="C93" s="197">
        <f t="shared" ref="C93:BO93" si="154">SUM(C83:C92)</f>
        <v>680118</v>
      </c>
      <c r="D93" s="197">
        <f>SUM(D83:D92)</f>
        <v>3032313</v>
      </c>
      <c r="E93" s="197">
        <f t="shared" ref="E93:I93" si="155">SUM(E83:E92)</f>
        <v>-61</v>
      </c>
      <c r="F93" s="197">
        <f>SUM(F83:F92)</f>
        <v>-340</v>
      </c>
      <c r="G93" s="197">
        <f t="shared" si="155"/>
        <v>9863</v>
      </c>
      <c r="H93" s="197">
        <f t="shared" si="155"/>
        <v>4677</v>
      </c>
      <c r="I93" s="197">
        <f t="shared" si="155"/>
        <v>29717</v>
      </c>
      <c r="J93" s="197">
        <f t="shared" si="154"/>
        <v>-25692</v>
      </c>
      <c r="K93" s="197">
        <f t="shared" si="154"/>
        <v>14329</v>
      </c>
      <c r="L93" s="197">
        <f t="shared" si="154"/>
        <v>0</v>
      </c>
      <c r="M93" s="197">
        <f t="shared" si="154"/>
        <v>0</v>
      </c>
      <c r="N93" s="197">
        <f t="shared" si="154"/>
        <v>148817</v>
      </c>
      <c r="O93" s="197">
        <f t="shared" si="154"/>
        <v>129846</v>
      </c>
      <c r="P93" s="197">
        <f t="shared" si="154"/>
        <v>1128</v>
      </c>
      <c r="Q93" s="197">
        <f t="shared" si="154"/>
        <v>28099</v>
      </c>
      <c r="R93" s="197">
        <f t="shared" si="154"/>
        <v>0</v>
      </c>
      <c r="S93" s="197">
        <f t="shared" si="154"/>
        <v>0</v>
      </c>
      <c r="T93" s="197">
        <f t="shared" si="154"/>
        <v>65</v>
      </c>
      <c r="U93" s="197">
        <f t="shared" si="154"/>
        <v>2833</v>
      </c>
      <c r="V93" s="197">
        <f t="shared" si="154"/>
        <v>11988</v>
      </c>
      <c r="W93" s="197">
        <f t="shared" si="154"/>
        <v>55420</v>
      </c>
      <c r="X93" s="197">
        <f t="shared" si="154"/>
        <v>55831</v>
      </c>
      <c r="Y93" s="197">
        <f t="shared" si="154"/>
        <v>0</v>
      </c>
      <c r="Z93" s="197">
        <f t="shared" si="154"/>
        <v>0</v>
      </c>
      <c r="AA93" s="197">
        <f t="shared" si="154"/>
        <v>0</v>
      </c>
      <c r="AB93" s="197">
        <f t="shared" si="154"/>
        <v>-672237</v>
      </c>
      <c r="AC93" s="197">
        <f t="shared" si="154"/>
        <v>-514366</v>
      </c>
      <c r="AD93" s="197">
        <f t="shared" si="154"/>
        <v>-598009</v>
      </c>
      <c r="AE93" s="197">
        <f t="shared" si="154"/>
        <v>-47269</v>
      </c>
      <c r="AF93" s="197">
        <f t="shared" si="154"/>
        <v>-2125</v>
      </c>
      <c r="AG93" s="197">
        <f t="shared" si="154"/>
        <v>0</v>
      </c>
      <c r="AH93" s="197">
        <f t="shared" ref="AH93" si="156">SUM(AH83:AH92)</f>
        <v>0</v>
      </c>
      <c r="AI93" s="197">
        <f t="shared" ref="AI93" si="157">SUM(AI83:AI92)</f>
        <v>0</v>
      </c>
      <c r="AJ93" s="197">
        <f t="shared" ref="AJ93" si="158">SUM(AJ83:AJ92)</f>
        <v>0</v>
      </c>
      <c r="AK93" s="197">
        <v>-962231</v>
      </c>
      <c r="AL93" s="197">
        <f t="shared" si="154"/>
        <v>-30194</v>
      </c>
      <c r="AM93" s="197">
        <f t="shared" si="154"/>
        <v>-52972</v>
      </c>
      <c r="AN93" s="197">
        <f t="shared" si="154"/>
        <v>-45715</v>
      </c>
      <c r="AO93" s="197">
        <f t="shared" si="154"/>
        <v>-62596</v>
      </c>
      <c r="AP93" s="197">
        <f t="shared" si="154"/>
        <v>-44340</v>
      </c>
      <c r="AQ93" s="197">
        <f t="shared" si="154"/>
        <v>0</v>
      </c>
      <c r="AR93" s="197">
        <f t="shared" si="154"/>
        <v>-110</v>
      </c>
      <c r="AS93" s="197">
        <f t="shared" si="154"/>
        <v>-25805</v>
      </c>
      <c r="AT93" s="197">
        <f t="shared" si="154"/>
        <v>-62940</v>
      </c>
      <c r="AU93" s="197">
        <f t="shared" si="154"/>
        <v>-104913</v>
      </c>
      <c r="AV93" s="197">
        <f t="shared" si="154"/>
        <v>0</v>
      </c>
      <c r="AW93" s="197">
        <f t="shared" si="154"/>
        <v>-490395</v>
      </c>
      <c r="AX93" s="197">
        <f t="shared" si="154"/>
        <v>-28800</v>
      </c>
      <c r="AY93" s="197">
        <f t="shared" si="154"/>
        <v>358</v>
      </c>
      <c r="AZ93" s="197">
        <f t="shared" si="154"/>
        <v>5174</v>
      </c>
      <c r="BA93" s="197">
        <f t="shared" si="154"/>
        <v>320</v>
      </c>
      <c r="BB93" s="197">
        <f t="shared" si="154"/>
        <v>528</v>
      </c>
      <c r="BC93" s="197">
        <f t="shared" si="154"/>
        <v>1289</v>
      </c>
      <c r="BD93" s="197">
        <f t="shared" si="154"/>
        <v>0</v>
      </c>
      <c r="BE93" s="197">
        <f t="shared" si="154"/>
        <v>267</v>
      </c>
      <c r="BF93" s="197">
        <f t="shared" si="154"/>
        <v>66</v>
      </c>
      <c r="BG93" s="197">
        <f t="shared" si="154"/>
        <v>7</v>
      </c>
      <c r="BH93" s="197">
        <f t="shared" si="154"/>
        <v>11243</v>
      </c>
      <c r="BI93" s="197">
        <f t="shared" si="154"/>
        <v>29</v>
      </c>
      <c r="BJ93" s="197">
        <f t="shared" si="154"/>
        <v>29317</v>
      </c>
      <c r="BK93" s="197">
        <f t="shared" si="154"/>
        <v>-79525</v>
      </c>
      <c r="BL93" s="1139">
        <f t="shared" si="154"/>
        <v>-12478</v>
      </c>
      <c r="BM93" s="197">
        <f t="shared" si="154"/>
        <v>2668</v>
      </c>
      <c r="BN93" s="197">
        <f t="shared" si="154"/>
        <v>0</v>
      </c>
      <c r="BO93" s="197">
        <f t="shared" si="154"/>
        <v>0</v>
      </c>
      <c r="BP93" s="197">
        <f t="shared" ref="BP93:CA93" si="159">SUM(BP83:BP92)</f>
        <v>5130</v>
      </c>
      <c r="BQ93" s="197">
        <f t="shared" si="159"/>
        <v>121832</v>
      </c>
      <c r="BR93" s="197">
        <f t="shared" si="159"/>
        <v>-539231</v>
      </c>
      <c r="BS93" s="197">
        <f t="shared" si="159"/>
        <v>4832</v>
      </c>
      <c r="BT93" s="197">
        <f t="shared" si="159"/>
        <v>15856</v>
      </c>
      <c r="BU93" s="197">
        <f t="shared" si="159"/>
        <v>867</v>
      </c>
      <c r="BV93" s="197">
        <f t="shared" si="159"/>
        <v>-3561</v>
      </c>
      <c r="BW93" s="197">
        <f t="shared" si="159"/>
        <v>-29885</v>
      </c>
      <c r="BX93" s="197">
        <f t="shared" si="159"/>
        <v>190846</v>
      </c>
      <c r="BY93" s="197">
        <f t="shared" si="159"/>
        <v>-21388</v>
      </c>
      <c r="BZ93" s="197">
        <f t="shared" si="159"/>
        <v>-2874386</v>
      </c>
      <c r="CA93" s="197">
        <f t="shared" si="159"/>
        <v>5478152</v>
      </c>
      <c r="CB93" s="197"/>
      <c r="CD93" s="197"/>
      <c r="CE93" s="197"/>
      <c r="CF93" s="197"/>
      <c r="CG93" s="197"/>
    </row>
    <row r="94" spans="1:85" ht="4.5" customHeight="1" x14ac:dyDescent="0.2">
      <c r="A94" s="193"/>
      <c r="BK94" s="196"/>
    </row>
    <row r="95" spans="1:85" ht="13.5" thickBot="1" x14ac:dyDescent="0.25">
      <c r="A95" s="193" t="s">
        <v>834</v>
      </c>
      <c r="B95" s="1487">
        <f>+B93+B81</f>
        <v>2914087</v>
      </c>
      <c r="C95" s="1487">
        <f t="shared" ref="C95:BO95" si="160">+C93+C81</f>
        <v>685465</v>
      </c>
      <c r="D95" s="1487">
        <f>+D93+D81</f>
        <v>3235161</v>
      </c>
      <c r="E95" s="1487">
        <f t="shared" ref="E95:I95" si="161">+E93+E81</f>
        <v>112072</v>
      </c>
      <c r="F95" s="1487">
        <f>+F93+F81</f>
        <v>-472</v>
      </c>
      <c r="G95" s="1487">
        <f t="shared" si="161"/>
        <v>10840</v>
      </c>
      <c r="H95" s="1487">
        <f t="shared" si="161"/>
        <v>5020</v>
      </c>
      <c r="I95" s="1487">
        <f t="shared" si="161"/>
        <v>30595</v>
      </c>
      <c r="J95" s="1487">
        <f t="shared" si="160"/>
        <v>-25692</v>
      </c>
      <c r="K95" s="1487">
        <f t="shared" si="160"/>
        <v>16660</v>
      </c>
      <c r="L95" s="1487">
        <f t="shared" si="160"/>
        <v>0</v>
      </c>
      <c r="M95" s="1487">
        <f t="shared" si="160"/>
        <v>0</v>
      </c>
      <c r="N95" s="1487">
        <f t="shared" si="160"/>
        <v>160481</v>
      </c>
      <c r="O95" s="1487">
        <f t="shared" si="160"/>
        <v>126684</v>
      </c>
      <c r="P95" s="1487">
        <f t="shared" si="160"/>
        <v>2274</v>
      </c>
      <c r="Q95" s="1487">
        <f t="shared" si="160"/>
        <v>21381</v>
      </c>
      <c r="R95" s="1487">
        <f t="shared" si="160"/>
        <v>0</v>
      </c>
      <c r="S95" s="1487">
        <f t="shared" si="160"/>
        <v>0</v>
      </c>
      <c r="T95" s="1487">
        <f t="shared" si="160"/>
        <v>-103</v>
      </c>
      <c r="U95" s="1487">
        <f t="shared" si="160"/>
        <v>3944</v>
      </c>
      <c r="V95" s="1487">
        <f t="shared" si="160"/>
        <v>12276</v>
      </c>
      <c r="W95" s="1487">
        <f t="shared" si="160"/>
        <v>48294</v>
      </c>
      <c r="X95" s="1487">
        <f t="shared" si="160"/>
        <v>58588</v>
      </c>
      <c r="Y95" s="1487">
        <f t="shared" si="160"/>
        <v>0</v>
      </c>
      <c r="Z95" s="1487">
        <f t="shared" si="160"/>
        <v>0</v>
      </c>
      <c r="AA95" s="1487">
        <f t="shared" si="160"/>
        <v>0</v>
      </c>
      <c r="AB95" s="1487">
        <f t="shared" si="160"/>
        <v>-674202</v>
      </c>
      <c r="AC95" s="1487">
        <f t="shared" si="160"/>
        <v>-515232</v>
      </c>
      <c r="AD95" s="1487">
        <f t="shared" si="160"/>
        <v>-641963</v>
      </c>
      <c r="AE95" s="1487">
        <f t="shared" si="160"/>
        <v>-171981</v>
      </c>
      <c r="AF95" s="1487">
        <f t="shared" si="160"/>
        <v>-4759</v>
      </c>
      <c r="AG95" s="1487">
        <f t="shared" si="160"/>
        <v>0</v>
      </c>
      <c r="AH95" s="1487">
        <f t="shared" si="160"/>
        <v>0</v>
      </c>
      <c r="AI95" s="1487">
        <f t="shared" si="160"/>
        <v>0</v>
      </c>
      <c r="AJ95" s="1487">
        <f t="shared" si="160"/>
        <v>0</v>
      </c>
      <c r="AK95" s="1487">
        <f t="shared" si="160"/>
        <v>-980552</v>
      </c>
      <c r="AL95" s="1487">
        <f t="shared" si="160"/>
        <v>-31302</v>
      </c>
      <c r="AM95" s="1487">
        <f t="shared" si="160"/>
        <v>-58448</v>
      </c>
      <c r="AN95" s="1487">
        <f t="shared" si="160"/>
        <v>-59264</v>
      </c>
      <c r="AO95" s="1487">
        <f t="shared" si="160"/>
        <v>-68617</v>
      </c>
      <c r="AP95" s="1487">
        <f t="shared" si="160"/>
        <v>-48643</v>
      </c>
      <c r="AQ95" s="1487">
        <f t="shared" ref="AQ95" si="162">+AQ93+AQ81</f>
        <v>-74342</v>
      </c>
      <c r="AR95" s="1487">
        <f t="shared" si="160"/>
        <v>-996</v>
      </c>
      <c r="AS95" s="1487">
        <f t="shared" si="160"/>
        <v>-25805</v>
      </c>
      <c r="AT95" s="1487">
        <f t="shared" si="160"/>
        <v>-68596</v>
      </c>
      <c r="AU95" s="1487">
        <f t="shared" si="160"/>
        <v>-105100</v>
      </c>
      <c r="AV95" s="1487">
        <f t="shared" si="160"/>
        <v>0</v>
      </c>
      <c r="AW95" s="1487">
        <f t="shared" si="160"/>
        <v>-536673</v>
      </c>
      <c r="AX95" s="1487">
        <f t="shared" si="160"/>
        <v>-28800</v>
      </c>
      <c r="AY95" s="1487">
        <f t="shared" si="160"/>
        <v>370</v>
      </c>
      <c r="AZ95" s="1487">
        <f t="shared" si="160"/>
        <v>5413</v>
      </c>
      <c r="BA95" s="1487">
        <f t="shared" si="160"/>
        <v>329</v>
      </c>
      <c r="BB95" s="1487">
        <f t="shared" si="160"/>
        <v>543</v>
      </c>
      <c r="BC95" s="1487">
        <f t="shared" si="160"/>
        <v>1367</v>
      </c>
      <c r="BD95" s="1487">
        <f t="shared" si="160"/>
        <v>0</v>
      </c>
      <c r="BE95" s="1487">
        <f t="shared" si="160"/>
        <v>293</v>
      </c>
      <c r="BF95" s="1487">
        <f t="shared" si="160"/>
        <v>138</v>
      </c>
      <c r="BG95" s="1487">
        <f t="shared" si="160"/>
        <v>7</v>
      </c>
      <c r="BH95" s="1487">
        <f t="shared" si="160"/>
        <v>10896</v>
      </c>
      <c r="BI95" s="1487">
        <f t="shared" si="160"/>
        <v>29</v>
      </c>
      <c r="BJ95" s="1487">
        <f t="shared" si="160"/>
        <v>30419</v>
      </c>
      <c r="BK95" s="1487">
        <f t="shared" si="160"/>
        <v>-89611</v>
      </c>
      <c r="BL95" s="1487">
        <f t="shared" si="160"/>
        <v>-11433</v>
      </c>
      <c r="BM95" s="1487">
        <f t="shared" si="160"/>
        <v>2586</v>
      </c>
      <c r="BN95" s="1487">
        <f t="shared" si="160"/>
        <v>0</v>
      </c>
      <c r="BO95" s="1487">
        <f t="shared" si="160"/>
        <v>0</v>
      </c>
      <c r="BP95" s="1487">
        <f t="shared" ref="BP95:CA95" si="163">+BP93+BP81</f>
        <v>5694</v>
      </c>
      <c r="BQ95" s="1487">
        <f t="shared" si="163"/>
        <v>146092</v>
      </c>
      <c r="BR95" s="1487">
        <f t="shared" si="163"/>
        <v>-532187</v>
      </c>
      <c r="BS95" s="1487">
        <f t="shared" si="163"/>
        <v>2452</v>
      </c>
      <c r="BT95" s="1487">
        <f t="shared" si="163"/>
        <v>23108</v>
      </c>
      <c r="BU95" s="1487">
        <f t="shared" si="163"/>
        <v>1347</v>
      </c>
      <c r="BV95" s="1487">
        <f t="shared" si="163"/>
        <v>2783</v>
      </c>
      <c r="BW95" s="1487">
        <f t="shared" si="163"/>
        <v>-28978</v>
      </c>
      <c r="BX95" s="1487">
        <f t="shared" si="163"/>
        <v>208504</v>
      </c>
      <c r="BY95" s="1487">
        <f t="shared" si="163"/>
        <v>-21006</v>
      </c>
      <c r="BZ95" s="1487">
        <f t="shared" si="163"/>
        <v>-2921075</v>
      </c>
      <c r="CA95" s="1487">
        <f t="shared" si="163"/>
        <v>5667814</v>
      </c>
      <c r="CB95" s="206">
        <f>+CB81+CB83</f>
        <v>0</v>
      </c>
      <c r="CD95" s="206">
        <f>+CD81+CD83</f>
        <v>2092511</v>
      </c>
      <c r="CE95" s="206">
        <f>+CE81+CE83</f>
        <v>2092511</v>
      </c>
      <c r="CF95" s="206">
        <f>+CF81+CF83</f>
        <v>2092511</v>
      </c>
      <c r="CG95" s="206">
        <f>+CG81+CG83</f>
        <v>2092511</v>
      </c>
    </row>
    <row r="96" spans="1:85" ht="13.5" thickTop="1" x14ac:dyDescent="0.2">
      <c r="E96" s="1097"/>
      <c r="F96" s="1097"/>
      <c r="G96" s="1097"/>
      <c r="H96" s="1097"/>
      <c r="I96" s="1097"/>
      <c r="BK96" s="196"/>
    </row>
    <row r="97" spans="1:87" s="770" customFormat="1" x14ac:dyDescent="0.2">
      <c r="A97" s="763" t="s">
        <v>370</v>
      </c>
      <c r="B97" s="770">
        <f>SUM(C97:CB97)</f>
        <v>0</v>
      </c>
      <c r="C97" s="770">
        <f>+C78-SORECGFws!C61-SORECGFws!C62</f>
        <v>0</v>
      </c>
      <c r="D97" s="770">
        <f>+D78-[1]SORECGFws!D61-[1]SORECGFws!D62</f>
        <v>0</v>
      </c>
      <c r="E97" s="770">
        <f>+E78-SORECGFws!E61-SORECGFws!E62</f>
        <v>0</v>
      </c>
      <c r="F97" s="770">
        <f>+F78-SORECGFws!F61-SORECGFws!F62</f>
        <v>0</v>
      </c>
      <c r="G97" s="770">
        <f>+G78-SORECGFws!G61-SORECGFws!G62</f>
        <v>0</v>
      </c>
      <c r="H97" s="770">
        <f>+H78-SORECGFws!H61-SORECGFws!H62</f>
        <v>0</v>
      </c>
      <c r="I97" s="770">
        <f>+I78-SORECGFws!I61-SORECGFws!I62</f>
        <v>0</v>
      </c>
      <c r="J97" s="770">
        <f>+J78-SORECGFws!J61-SORECGFws!J62</f>
        <v>0</v>
      </c>
      <c r="K97" s="770">
        <f>+K78-SORECGFws!K61-SORECGFws!K62</f>
        <v>0</v>
      </c>
      <c r="L97" s="770">
        <f>+L78-SORECGFws!L61-SORECGFws!L62</f>
        <v>0</v>
      </c>
      <c r="M97" s="770">
        <f>+M78-SORECGFws!M61-SORECGFws!M62</f>
        <v>0</v>
      </c>
      <c r="N97" s="770">
        <f>+N78-SORECGFws!N61-SORECGFws!N62</f>
        <v>0</v>
      </c>
      <c r="O97" s="770">
        <f>+O78-SORECGFws!O61-SORECGFws!O62</f>
        <v>0</v>
      </c>
      <c r="P97" s="770">
        <f>+P78-SORECGFws!P61-SORECGFws!P62</f>
        <v>0</v>
      </c>
      <c r="Q97" s="770">
        <f>+Q78-SORECGFws!Q61-SORECGFws!Q62</f>
        <v>0</v>
      </c>
      <c r="R97" s="770">
        <f>+R78-SORECGFws!R61-SORECGFws!R62</f>
        <v>0</v>
      </c>
      <c r="S97" s="770">
        <f>+S78-SORECGFws!S61-SORECGFws!S62</f>
        <v>0</v>
      </c>
      <c r="T97" s="770">
        <f>+T78-SORECGFws!T61-SORECGFws!T62</f>
        <v>0</v>
      </c>
      <c r="U97" s="770">
        <f>+U78-SORECGFws!U61-SORECGFws!U62</f>
        <v>0</v>
      </c>
      <c r="V97" s="770">
        <f>+V78-SORECGFws!V61-SORECGFws!V62</f>
        <v>0</v>
      </c>
      <c r="W97" s="770">
        <f>+W78-SORECGFws!W61-SORECGFws!W62</f>
        <v>0</v>
      </c>
      <c r="X97" s="770">
        <f>+X78-SORECGFws!X61-SORECGFws!X62</f>
        <v>0</v>
      </c>
      <c r="Y97" s="770">
        <f>+Y78-SORECGFws!Y61-SORECGFws!Y62</f>
        <v>0</v>
      </c>
      <c r="Z97" s="770">
        <f>+Z78-SORECGFws!Z61-SORECGFws!Z62</f>
        <v>0</v>
      </c>
      <c r="AA97" s="770">
        <f>+AA78-SORECGFws!AA61-SORECGFws!AA62</f>
        <v>0</v>
      </c>
      <c r="AB97" s="770">
        <f>+AB78-SORECGFws!AB61-SORECGFws!AB62</f>
        <v>0</v>
      </c>
      <c r="AC97" s="770">
        <f>+AC78-SORECGFws!AC61-SORECGFws!AC62</f>
        <v>0</v>
      </c>
      <c r="AD97" s="770">
        <f>+AD78-SORECGFws!AD61-SORECGFws!AD62</f>
        <v>0</v>
      </c>
      <c r="AE97" s="770">
        <f>+AE78-SORECGFws!AE61-SORECGFws!AE62</f>
        <v>0</v>
      </c>
      <c r="AF97" s="770">
        <f>+AF78-SORECGFws!AF61-SORECGFws!AF62</f>
        <v>0</v>
      </c>
      <c r="AG97" s="770">
        <f>+AG78-SORECGFws!AG61-SORECGFws!AG62</f>
        <v>0</v>
      </c>
      <c r="AH97" s="770">
        <f>+AH78-SORECGFws!AH61-SORECGFws!AH62</f>
        <v>0</v>
      </c>
      <c r="AI97" s="770">
        <f>+AI78-SORECGFws!AI61-SORECGFws!AI62</f>
        <v>0</v>
      </c>
      <c r="AJ97" s="770">
        <f>+AJ78-SORECGFws!AJ61-SORECGFws!AJ62</f>
        <v>0</v>
      </c>
      <c r="AK97" s="770">
        <f>+AK78-SORECGFws!AK61-SORECGFws!AK62</f>
        <v>0</v>
      </c>
      <c r="AL97" s="770">
        <f>+AL78-SORECGFws!AL61-SORECGFws!AL62</f>
        <v>0</v>
      </c>
      <c r="AM97" s="770">
        <f>+AM78-SORECGFws!AM61-SORECGFws!AM62</f>
        <v>0</v>
      </c>
      <c r="AN97" s="770">
        <f>+AN78-SORECGFws!AN61-SORECGFws!AN62</f>
        <v>0</v>
      </c>
      <c r="AO97" s="770">
        <f>+AO78-SORECGFws!AO61-SORECGFws!AO62</f>
        <v>0</v>
      </c>
      <c r="AP97" s="770">
        <f>+AP78-SORECGFws!AP61-SORECGFws!AP62</f>
        <v>0</v>
      </c>
      <c r="AQ97" s="770">
        <f>+AQ78-SORECGFws!AQ61-SORECGFws!AQ62</f>
        <v>0</v>
      </c>
      <c r="AR97" s="770">
        <f>+AR78-SORECGFws!AR61-SORECGFws!AR62</f>
        <v>0</v>
      </c>
      <c r="AS97" s="770">
        <f>+AS78-SORECGFws!AS61-SORECGFws!AS62</f>
        <v>0</v>
      </c>
      <c r="AT97" s="770">
        <f>+AT78-SORECGFws!AT61-SORECGFws!AT62</f>
        <v>0</v>
      </c>
      <c r="AU97" s="770">
        <f>+AU78-SORECGFws!AU61-SORECGFws!AU62</f>
        <v>0</v>
      </c>
      <c r="AV97" s="770">
        <f>+AV78-SORECGFws!AV61-SORECGFws!AV62</f>
        <v>0</v>
      </c>
      <c r="AW97" s="770">
        <f>+AW78-SORECGFws!AW61-SORECGFws!AW62</f>
        <v>0</v>
      </c>
      <c r="AX97" s="770">
        <f>+AX78-SORECGFws!AX61-SORECGFws!AX62</f>
        <v>0</v>
      </c>
      <c r="AY97" s="770">
        <f>+AY78-SORECGFws!AY61-SORECGFws!AY62</f>
        <v>0</v>
      </c>
      <c r="AZ97" s="770">
        <f>+AZ78-SORECGFws!AZ61-SORECGFws!AZ62</f>
        <v>0</v>
      </c>
      <c r="BA97" s="770">
        <f>+BA78-SORECGFws!BA61-SORECGFws!BA62</f>
        <v>0</v>
      </c>
      <c r="BB97" s="770">
        <f>+BB78-SORECGFws!BB61-SORECGFws!BB62</f>
        <v>0</v>
      </c>
      <c r="BC97" s="770">
        <f>+BC78-SORECGFws!BC61-SORECGFws!BC62</f>
        <v>0</v>
      </c>
      <c r="BD97" s="770">
        <f>+BD78-SORECGFws!BD61-SORECGFws!BD62</f>
        <v>0</v>
      </c>
      <c r="BE97" s="770">
        <f>+BE78-SORECGFws!BE61-SORECGFws!BE62</f>
        <v>0</v>
      </c>
      <c r="BF97" s="770">
        <f>+BF78-SORECGFws!BF61-SORECGFws!BF62</f>
        <v>0</v>
      </c>
      <c r="BG97" s="770">
        <f>+BG78-SORECGFws!BG61-SORECGFws!BG62</f>
        <v>0</v>
      </c>
      <c r="BH97" s="770">
        <f>+BH78-SORECGFws!BH61-SORECGFws!BH62</f>
        <v>0</v>
      </c>
      <c r="BI97" s="770">
        <f>+BI78-SORECGFws!BI61-SORECGFws!BI62</f>
        <v>0</v>
      </c>
      <c r="BJ97" s="770">
        <f>+BJ78-SORECGFws!BJ61-SORECGFws!BJ62</f>
        <v>0</v>
      </c>
      <c r="BK97" s="770">
        <f>+BK78-SORECGFws!BK61-SORECGFws!BK62</f>
        <v>0</v>
      </c>
      <c r="BL97" s="770">
        <f>+BL78-SORECGFws!BL61-SORECGFws!BL62</f>
        <v>0</v>
      </c>
      <c r="BM97" s="770">
        <f>+BM78-SORECGFws!BM61-SORECGFws!BM62</f>
        <v>0</v>
      </c>
      <c r="BN97" s="770">
        <f>+BN78-SORECGFws!BN61-SORECGFws!BN62</f>
        <v>0</v>
      </c>
      <c r="BO97" s="770">
        <f>+BO78-SORECGFws!BO61-SORECGFws!BO62</f>
        <v>0</v>
      </c>
      <c r="BP97" s="770">
        <f>+BP78-SORECGFws!BP61-SORECGFws!BP62</f>
        <v>0</v>
      </c>
      <c r="BQ97" s="770">
        <f>+BQ78-SORECGFws!BQ61-SORECGFws!BQ62</f>
        <v>0</v>
      </c>
      <c r="BR97" s="770">
        <f>+BR78-SORECGFws!BR61-SORECGFws!BR62</f>
        <v>0</v>
      </c>
      <c r="BS97" s="770">
        <f>+BS78-SORECGFws!BS61-SORECGFws!BS62</f>
        <v>0</v>
      </c>
      <c r="BT97" s="770">
        <f>+BT78-'ISF-SOREC'!C45</f>
        <v>0</v>
      </c>
      <c r="BU97" s="770">
        <f>+BU78-'ISF-SOREC'!E45</f>
        <v>0</v>
      </c>
      <c r="BV97" s="770">
        <f>+BV78-'ISF-SOREC'!G45</f>
        <v>0</v>
      </c>
      <c r="BW97" s="770">
        <f>+BW78-'ISF-SOREC'!I45</f>
        <v>0</v>
      </c>
      <c r="BX97" s="770">
        <f>+BX78-'ISF-SOREC'!K45</f>
        <v>0</v>
      </c>
      <c r="BY97" s="770">
        <f>+BY78-'ISF-SOREC'!M45</f>
        <v>0</v>
      </c>
      <c r="CC97" s="771"/>
    </row>
    <row r="98" spans="1:87" x14ac:dyDescent="0.2">
      <c r="C98" s="196">
        <v>301076</v>
      </c>
      <c r="D98" s="196">
        <v>1647097</v>
      </c>
      <c r="E98" s="196">
        <v>1</v>
      </c>
      <c r="F98" s="196">
        <v>1</v>
      </c>
      <c r="G98" s="196">
        <v>-1166</v>
      </c>
      <c r="H98" s="196">
        <v>2357</v>
      </c>
      <c r="I98" s="196">
        <v>-15</v>
      </c>
      <c r="J98" s="196">
        <v>-39168</v>
      </c>
      <c r="K98" s="196">
        <v>8843</v>
      </c>
      <c r="L98" s="196">
        <v>0</v>
      </c>
      <c r="M98" s="196">
        <v>0</v>
      </c>
      <c r="N98" s="196">
        <v>96388</v>
      </c>
      <c r="O98" s="196">
        <v>30343</v>
      </c>
      <c r="P98" s="196">
        <v>5523</v>
      </c>
      <c r="Q98" s="196">
        <v>55427</v>
      </c>
      <c r="R98" s="196">
        <v>0</v>
      </c>
      <c r="S98" s="196">
        <v>0</v>
      </c>
      <c r="T98" s="196">
        <v>122</v>
      </c>
      <c r="U98" s="196">
        <v>1917</v>
      </c>
      <c r="V98" s="196">
        <v>12504</v>
      </c>
      <c r="W98" s="196">
        <v>21764</v>
      </c>
      <c r="X98" s="196">
        <v>11131</v>
      </c>
      <c r="Y98" s="196">
        <v>0</v>
      </c>
      <c r="Z98" s="196">
        <v>-94133</v>
      </c>
      <c r="AA98" s="196">
        <v>-101133</v>
      </c>
      <c r="AB98" s="196">
        <v>-437059</v>
      </c>
      <c r="AC98" s="196">
        <v>-235896</v>
      </c>
      <c r="AD98" s="196">
        <v>-235895</v>
      </c>
      <c r="AF98" s="196">
        <v>-5503</v>
      </c>
      <c r="AG98" s="196">
        <v>-10904</v>
      </c>
      <c r="AH98" s="196">
        <v>-21059</v>
      </c>
      <c r="AI98" s="196">
        <v>-4367</v>
      </c>
      <c r="AJ98" s="196">
        <v>-4366</v>
      </c>
      <c r="AK98" s="196">
        <v>-4365</v>
      </c>
      <c r="AR98" s="196">
        <v>-58581</v>
      </c>
      <c r="AS98" s="196">
        <v>2483</v>
      </c>
      <c r="AT98" s="196">
        <v>9181</v>
      </c>
      <c r="AU98" s="196">
        <v>208</v>
      </c>
      <c r="AV98" s="196">
        <v>-252808</v>
      </c>
      <c r="AW98" s="196">
        <v>-15615</v>
      </c>
      <c r="AX98" s="196">
        <v>405</v>
      </c>
      <c r="AY98" s="196">
        <v>3219</v>
      </c>
      <c r="AZ98" s="196">
        <v>314</v>
      </c>
      <c r="BA98" s="196">
        <v>515</v>
      </c>
      <c r="BB98" s="196">
        <v>-2043</v>
      </c>
      <c r="BD98" s="196">
        <v>110</v>
      </c>
      <c r="BE98" s="196">
        <v>682</v>
      </c>
      <c r="BF98" s="196">
        <v>7</v>
      </c>
      <c r="BG98" s="196">
        <v>0</v>
      </c>
      <c r="BH98" s="196">
        <v>9</v>
      </c>
      <c r="BI98" s="196">
        <v>7225</v>
      </c>
      <c r="BJ98" s="196">
        <v>8929</v>
      </c>
      <c r="BK98" s="196">
        <v>-20079</v>
      </c>
      <c r="BL98" s="196">
        <v>432</v>
      </c>
      <c r="BM98" s="196">
        <v>0</v>
      </c>
      <c r="BN98" s="196">
        <v>0</v>
      </c>
      <c r="BO98" s="196">
        <v>1050</v>
      </c>
      <c r="BP98" s="196">
        <v>19586</v>
      </c>
      <c r="BQ98" s="196">
        <v>-497972</v>
      </c>
      <c r="BR98" s="196">
        <v>933</v>
      </c>
      <c r="BS98" s="196">
        <v>-15101</v>
      </c>
      <c r="BT98" s="196">
        <v>0</v>
      </c>
      <c r="BU98" s="196">
        <v>12912</v>
      </c>
      <c r="BV98" s="196">
        <v>-21599</v>
      </c>
      <c r="BW98" s="196">
        <v>102804</v>
      </c>
      <c r="BX98" s="196">
        <v>-11307</v>
      </c>
      <c r="BY98" s="196">
        <v>-1910926</v>
      </c>
      <c r="BZ98" s="196">
        <v>4280767</v>
      </c>
      <c r="CA98" s="196">
        <v>0</v>
      </c>
      <c r="CB98" s="196">
        <f>+CB95-SONPws!CB114</f>
        <v>0</v>
      </c>
    </row>
    <row r="99" spans="1:87" x14ac:dyDescent="0.2">
      <c r="BK99" s="196"/>
    </row>
    <row r="100" spans="1:87" x14ac:dyDescent="0.2">
      <c r="B100" s="197">
        <f>SUM(C100:CB100)</f>
        <v>2881452</v>
      </c>
      <c r="C100" s="196">
        <v>215526</v>
      </c>
      <c r="D100" s="196">
        <v>1413787</v>
      </c>
      <c r="F100" s="196">
        <v>72521</v>
      </c>
      <c r="G100" s="196">
        <v>19467</v>
      </c>
      <c r="H100" s="196">
        <v>3391</v>
      </c>
      <c r="I100" s="196">
        <v>9</v>
      </c>
      <c r="J100" s="196">
        <v>-44038</v>
      </c>
      <c r="K100" s="196">
        <v>13818</v>
      </c>
      <c r="L100" s="196">
        <v>0</v>
      </c>
      <c r="M100" s="196">
        <v>0</v>
      </c>
      <c r="N100" s="196">
        <v>83904</v>
      </c>
      <c r="O100" s="196">
        <v>63421</v>
      </c>
      <c r="P100" s="196">
        <v>1864</v>
      </c>
      <c r="Q100" s="196">
        <v>69264</v>
      </c>
      <c r="R100" s="196">
        <v>2</v>
      </c>
      <c r="S100" s="196">
        <v>0</v>
      </c>
      <c r="T100" s="196">
        <v>0</v>
      </c>
      <c r="U100" s="196">
        <v>3622</v>
      </c>
      <c r="V100" s="196">
        <v>10885</v>
      </c>
      <c r="W100" s="196">
        <v>32116</v>
      </c>
      <c r="X100" s="196">
        <v>10027</v>
      </c>
      <c r="Y100" s="196">
        <v>19553</v>
      </c>
      <c r="Z100" s="196">
        <v>-57672</v>
      </c>
      <c r="AA100" s="196">
        <v>-90932</v>
      </c>
      <c r="AB100" s="196">
        <v>-351921</v>
      </c>
      <c r="AC100" s="196">
        <v>-24418</v>
      </c>
      <c r="AD100" s="196">
        <v>-24417</v>
      </c>
      <c r="AF100" s="196">
        <v>779937</v>
      </c>
      <c r="AG100" s="196">
        <v>-11</v>
      </c>
      <c r="AR100" s="196">
        <v>506290</v>
      </c>
      <c r="AS100" s="196">
        <v>-25788</v>
      </c>
      <c r="AT100" s="196">
        <v>453287</v>
      </c>
      <c r="AU100" s="196">
        <v>17639</v>
      </c>
      <c r="AV100" s="196">
        <v>17208</v>
      </c>
      <c r="AW100" s="196">
        <v>-199061</v>
      </c>
      <c r="AX100" s="196">
        <v>10307</v>
      </c>
      <c r="AY100" s="196">
        <v>402</v>
      </c>
      <c r="AZ100" s="196">
        <v>2836</v>
      </c>
      <c r="BA100" s="196">
        <v>315</v>
      </c>
      <c r="BB100" s="196">
        <v>520</v>
      </c>
      <c r="BD100" s="196">
        <v>-177754</v>
      </c>
      <c r="BE100" s="196">
        <v>66</v>
      </c>
      <c r="BF100" s="196">
        <v>0</v>
      </c>
      <c r="BG100" s="196">
        <v>7</v>
      </c>
      <c r="BH100" s="196">
        <v>394</v>
      </c>
      <c r="BI100" s="196">
        <v>6</v>
      </c>
      <c r="BJ100" s="196">
        <v>3699</v>
      </c>
      <c r="BK100" s="196">
        <v>6471</v>
      </c>
      <c r="BL100" s="196">
        <v>-18917</v>
      </c>
      <c r="BM100" s="196">
        <v>590</v>
      </c>
      <c r="BN100" s="196">
        <v>4960</v>
      </c>
      <c r="BO100" s="196">
        <v>965</v>
      </c>
      <c r="BP100" s="196">
        <v>358</v>
      </c>
      <c r="BQ100" s="196">
        <v>6475</v>
      </c>
      <c r="BR100" s="196">
        <v>-266483</v>
      </c>
      <c r="BS100" s="196">
        <v>397</v>
      </c>
      <c r="BT100" s="196">
        <v>3584</v>
      </c>
      <c r="BU100" s="196">
        <v>5446</v>
      </c>
      <c r="BV100" s="196">
        <v>6534</v>
      </c>
      <c r="BW100" s="196">
        <v>1439</v>
      </c>
      <c r="BX100" s="196">
        <v>94807</v>
      </c>
      <c r="BY100" s="196">
        <v>-4792</v>
      </c>
      <c r="BZ100" s="196">
        <v>-1364115</v>
      </c>
      <c r="CA100" s="196">
        <v>1573655</v>
      </c>
    </row>
    <row r="101" spans="1:87" x14ac:dyDescent="0.2">
      <c r="B101" s="205">
        <f>SUM(C101:CB101)</f>
        <v>140804</v>
      </c>
      <c r="C101" s="196">
        <v>-19074</v>
      </c>
      <c r="D101" s="196">
        <v>0</v>
      </c>
      <c r="F101" s="196">
        <v>-72521</v>
      </c>
      <c r="G101" s="196">
        <v>-19471</v>
      </c>
      <c r="H101" s="196">
        <v>-783</v>
      </c>
      <c r="I101" s="196">
        <v>-9</v>
      </c>
      <c r="J101" s="196">
        <v>0</v>
      </c>
      <c r="K101" s="196">
        <v>-729</v>
      </c>
      <c r="L101" s="196">
        <v>0</v>
      </c>
      <c r="M101" s="196">
        <v>0</v>
      </c>
      <c r="N101" s="196">
        <v>-1261</v>
      </c>
      <c r="O101" s="196">
        <v>-35299</v>
      </c>
      <c r="P101" s="196">
        <v>0</v>
      </c>
      <c r="Q101" s="196">
        <v>-2434</v>
      </c>
      <c r="R101" s="196">
        <v>0</v>
      </c>
      <c r="S101" s="196">
        <v>0</v>
      </c>
      <c r="T101" s="196">
        <v>0</v>
      </c>
      <c r="U101" s="196">
        <v>-2626</v>
      </c>
      <c r="V101" s="196">
        <v>-184</v>
      </c>
      <c r="W101" s="196">
        <v>-2854</v>
      </c>
      <c r="X101" s="196">
        <v>-851</v>
      </c>
      <c r="Y101" s="196">
        <v>-19522</v>
      </c>
      <c r="Z101" s="196">
        <v>-35355</v>
      </c>
      <c r="AA101" s="196">
        <v>-7508</v>
      </c>
      <c r="AB101" s="196">
        <v>0</v>
      </c>
      <c r="AC101" s="196">
        <v>0</v>
      </c>
      <c r="AD101" s="196">
        <v>1</v>
      </c>
      <c r="AF101" s="196">
        <v>-798066</v>
      </c>
      <c r="AG101" s="196">
        <v>0</v>
      </c>
      <c r="AR101" s="196">
        <v>-512206</v>
      </c>
      <c r="AS101" s="196">
        <v>-3</v>
      </c>
      <c r="AT101" s="196">
        <v>-459429</v>
      </c>
      <c r="AU101" s="196">
        <v>-111388</v>
      </c>
      <c r="AV101" s="196">
        <v>-17001</v>
      </c>
      <c r="AW101" s="196">
        <v>561</v>
      </c>
      <c r="AX101" s="196">
        <v>-9020</v>
      </c>
      <c r="AY101" s="196">
        <v>0</v>
      </c>
      <c r="AZ101" s="196">
        <v>-32</v>
      </c>
      <c r="BA101" s="196">
        <v>0</v>
      </c>
      <c r="BB101" s="196">
        <v>0</v>
      </c>
      <c r="BD101" s="196">
        <v>0</v>
      </c>
      <c r="BE101" s="196">
        <v>0</v>
      </c>
      <c r="BF101" s="196">
        <v>0</v>
      </c>
      <c r="BG101" s="196">
        <v>0</v>
      </c>
      <c r="BH101" s="196">
        <v>0</v>
      </c>
      <c r="BI101" s="196">
        <v>0</v>
      </c>
      <c r="BJ101" s="196">
        <v>0</v>
      </c>
      <c r="BK101" s="196">
        <v>0</v>
      </c>
      <c r="BL101" s="196">
        <v>0</v>
      </c>
      <c r="BM101" s="196">
        <v>0</v>
      </c>
      <c r="BN101" s="196">
        <v>0</v>
      </c>
      <c r="BO101" s="196">
        <v>0</v>
      </c>
      <c r="BP101" s="196">
        <v>0</v>
      </c>
      <c r="BQ101" s="196">
        <v>0</v>
      </c>
      <c r="BR101" s="196">
        <v>0</v>
      </c>
      <c r="BS101" s="196">
        <v>0</v>
      </c>
      <c r="BT101" s="196">
        <v>0</v>
      </c>
      <c r="BU101" s="196">
        <v>0</v>
      </c>
      <c r="BV101" s="196">
        <v>0</v>
      </c>
      <c r="BW101" s="196">
        <v>0</v>
      </c>
      <c r="BX101" s="196">
        <v>0</v>
      </c>
      <c r="BY101" s="196">
        <v>0</v>
      </c>
      <c r="BZ101" s="196">
        <v>0</v>
      </c>
      <c r="CA101" s="196">
        <v>2267868</v>
      </c>
    </row>
    <row r="102" spans="1:87" x14ac:dyDescent="0.2">
      <c r="B102" s="777">
        <f>SUM(B100:B101)</f>
        <v>3022256</v>
      </c>
      <c r="C102" s="777">
        <f>SUM(C100:C101)</f>
        <v>196452</v>
      </c>
      <c r="D102" s="777">
        <f t="shared" ref="D102:I102" si="164">SUM(D100:D101)</f>
        <v>1413787</v>
      </c>
      <c r="E102" s="777">
        <f t="shared" si="164"/>
        <v>0</v>
      </c>
      <c r="F102" s="777">
        <f t="shared" si="164"/>
        <v>0</v>
      </c>
      <c r="G102" s="777">
        <f t="shared" si="164"/>
        <v>-4</v>
      </c>
      <c r="H102" s="777">
        <f t="shared" si="164"/>
        <v>2608</v>
      </c>
      <c r="I102" s="777">
        <f t="shared" si="164"/>
        <v>0</v>
      </c>
      <c r="J102" s="777">
        <f t="shared" ref="J102:BB102" si="165">SUM(J100:J101)</f>
        <v>-44038</v>
      </c>
      <c r="K102" s="777">
        <f t="shared" si="165"/>
        <v>13089</v>
      </c>
      <c r="L102" s="777">
        <f t="shared" si="165"/>
        <v>0</v>
      </c>
      <c r="M102" s="777">
        <f t="shared" si="165"/>
        <v>0</v>
      </c>
      <c r="N102" s="777">
        <f t="shared" si="165"/>
        <v>82643</v>
      </c>
      <c r="O102" s="777">
        <f t="shared" si="165"/>
        <v>28122</v>
      </c>
      <c r="P102" s="777">
        <f t="shared" si="165"/>
        <v>1864</v>
      </c>
      <c r="Q102" s="777">
        <f t="shared" si="165"/>
        <v>66830</v>
      </c>
      <c r="R102" s="777">
        <f t="shared" si="165"/>
        <v>2</v>
      </c>
      <c r="S102" s="777">
        <f>SUM(S100:S101)</f>
        <v>0</v>
      </c>
      <c r="T102" s="777">
        <f t="shared" si="165"/>
        <v>0</v>
      </c>
      <c r="U102" s="777">
        <f t="shared" si="165"/>
        <v>996</v>
      </c>
      <c r="V102" s="777">
        <f>SUM(V100:V101)</f>
        <v>10701</v>
      </c>
      <c r="W102" s="777">
        <f t="shared" si="165"/>
        <v>29262</v>
      </c>
      <c r="X102" s="777">
        <f t="shared" si="165"/>
        <v>9176</v>
      </c>
      <c r="Y102" s="777">
        <f t="shared" si="165"/>
        <v>31</v>
      </c>
      <c r="Z102" s="777">
        <f t="shared" si="165"/>
        <v>-93027</v>
      </c>
      <c r="AA102" s="777">
        <f t="shared" si="165"/>
        <v>-98440</v>
      </c>
      <c r="AB102" s="777">
        <f t="shared" si="165"/>
        <v>-351921</v>
      </c>
      <c r="AC102" s="777">
        <f t="shared" si="165"/>
        <v>-24418</v>
      </c>
      <c r="AD102" s="777">
        <f>SUM(AD100:AD101)</f>
        <v>-24416</v>
      </c>
      <c r="AE102" s="777"/>
      <c r="AF102" s="777">
        <f t="shared" si="165"/>
        <v>-18129</v>
      </c>
      <c r="AG102" s="777">
        <f t="shared" si="165"/>
        <v>-11</v>
      </c>
      <c r="AH102" s="777">
        <f>SUM(AH100:AH101)</f>
        <v>0</v>
      </c>
      <c r="AI102" s="777">
        <f>SUM(AI100:AI101)</f>
        <v>0</v>
      </c>
      <c r="AJ102" s="777">
        <f>SUM(AJ100:AJ101)</f>
        <v>0</v>
      </c>
      <c r="AK102" s="777"/>
      <c r="AL102" s="777"/>
      <c r="AM102" s="777"/>
      <c r="AN102" s="777"/>
      <c r="AO102" s="777"/>
      <c r="AP102" s="777"/>
      <c r="AQ102" s="777"/>
      <c r="AR102" s="777">
        <f t="shared" si="165"/>
        <v>-5916</v>
      </c>
      <c r="AS102" s="777">
        <f t="shared" si="165"/>
        <v>-25791</v>
      </c>
      <c r="AT102" s="777">
        <f t="shared" si="165"/>
        <v>-6142</v>
      </c>
      <c r="AU102" s="777">
        <f t="shared" si="165"/>
        <v>-93749</v>
      </c>
      <c r="AV102" s="777">
        <f t="shared" si="165"/>
        <v>207</v>
      </c>
      <c r="AW102" s="777">
        <f t="shared" si="165"/>
        <v>-198500</v>
      </c>
      <c r="AX102" s="777">
        <f t="shared" si="165"/>
        <v>1287</v>
      </c>
      <c r="AY102" s="777">
        <f t="shared" si="165"/>
        <v>402</v>
      </c>
      <c r="AZ102" s="777">
        <f t="shared" si="165"/>
        <v>2804</v>
      </c>
      <c r="BA102" s="777">
        <f t="shared" si="165"/>
        <v>315</v>
      </c>
      <c r="BB102" s="777">
        <f t="shared" si="165"/>
        <v>520</v>
      </c>
      <c r="BC102" s="777"/>
      <c r="BD102" s="777">
        <f t="shared" ref="BD102:CA102" si="166">SUM(BD100:BD101)</f>
        <v>-177754</v>
      </c>
      <c r="BE102" s="777">
        <f t="shared" si="166"/>
        <v>66</v>
      </c>
      <c r="BF102" s="777">
        <f t="shared" si="166"/>
        <v>0</v>
      </c>
      <c r="BG102" s="777">
        <f t="shared" si="166"/>
        <v>7</v>
      </c>
      <c r="BH102" s="777">
        <f t="shared" si="166"/>
        <v>394</v>
      </c>
      <c r="BI102" s="777">
        <f t="shared" si="166"/>
        <v>6</v>
      </c>
      <c r="BJ102" s="777">
        <f t="shared" si="166"/>
        <v>3699</v>
      </c>
      <c r="BK102" s="777">
        <f t="shared" si="166"/>
        <v>6471</v>
      </c>
      <c r="BL102" s="777">
        <f t="shared" si="166"/>
        <v>-18917</v>
      </c>
      <c r="BM102" s="777">
        <f t="shared" si="166"/>
        <v>590</v>
      </c>
      <c r="BN102" s="777">
        <f t="shared" si="166"/>
        <v>4960</v>
      </c>
      <c r="BO102" s="777">
        <f t="shared" si="166"/>
        <v>965</v>
      </c>
      <c r="BP102" s="777">
        <f t="shared" si="166"/>
        <v>358</v>
      </c>
      <c r="BQ102" s="777">
        <f t="shared" si="166"/>
        <v>6475</v>
      </c>
      <c r="BR102" s="777">
        <f t="shared" si="166"/>
        <v>-266483</v>
      </c>
      <c r="BS102" s="777">
        <f t="shared" si="166"/>
        <v>397</v>
      </c>
      <c r="BT102" s="777">
        <f t="shared" si="166"/>
        <v>3584</v>
      </c>
      <c r="BU102" s="777">
        <f t="shared" si="166"/>
        <v>5446</v>
      </c>
      <c r="BV102" s="777">
        <f t="shared" si="166"/>
        <v>6534</v>
      </c>
      <c r="BW102" s="777">
        <f t="shared" si="166"/>
        <v>1439</v>
      </c>
      <c r="BX102" s="777">
        <f t="shared" si="166"/>
        <v>94807</v>
      </c>
      <c r="BY102" s="777">
        <f t="shared" si="166"/>
        <v>-4792</v>
      </c>
      <c r="BZ102" s="777">
        <f t="shared" si="166"/>
        <v>-1364115</v>
      </c>
      <c r="CA102" s="777">
        <f t="shared" si="166"/>
        <v>3841523</v>
      </c>
    </row>
    <row r="103" spans="1:87" x14ac:dyDescent="0.2">
      <c r="BK103" s="196"/>
    </row>
    <row r="104" spans="1:87" x14ac:dyDescent="0.2">
      <c r="C104" s="196">
        <f>+C98-C83</f>
        <v>-379042</v>
      </c>
      <c r="D104" s="196">
        <f t="shared" ref="D104:I104" si="167">+D98-D83</f>
        <v>-1385216</v>
      </c>
      <c r="E104" s="196">
        <f t="shared" si="167"/>
        <v>62</v>
      </c>
      <c r="F104" s="196">
        <f t="shared" si="167"/>
        <v>341</v>
      </c>
      <c r="G104" s="196">
        <f t="shared" si="167"/>
        <v>-11029</v>
      </c>
      <c r="H104" s="196">
        <f t="shared" si="167"/>
        <v>-2320</v>
      </c>
      <c r="I104" s="196">
        <f t="shared" si="167"/>
        <v>-29732</v>
      </c>
      <c r="J104" s="196">
        <f t="shared" ref="J104:AF104" si="168">+J98-J83</f>
        <v>-13476</v>
      </c>
      <c r="K104" s="196">
        <f t="shared" si="168"/>
        <v>-5486</v>
      </c>
      <c r="L104" s="196">
        <f t="shared" si="168"/>
        <v>0</v>
      </c>
      <c r="M104" s="196">
        <f t="shared" si="168"/>
        <v>0</v>
      </c>
      <c r="N104" s="196">
        <f t="shared" si="168"/>
        <v>-52429</v>
      </c>
      <c r="O104" s="196">
        <f t="shared" si="168"/>
        <v>-99503</v>
      </c>
      <c r="P104" s="196">
        <f t="shared" si="168"/>
        <v>4395</v>
      </c>
      <c r="Q104" s="196">
        <f t="shared" si="168"/>
        <v>27328</v>
      </c>
      <c r="R104" s="196">
        <f t="shared" si="168"/>
        <v>0</v>
      </c>
      <c r="S104" s="196">
        <f>+S98-S83</f>
        <v>0</v>
      </c>
      <c r="T104" s="196">
        <f t="shared" si="168"/>
        <v>57</v>
      </c>
      <c r="U104" s="196">
        <f t="shared" si="168"/>
        <v>-916</v>
      </c>
      <c r="V104" s="196">
        <f t="shared" si="168"/>
        <v>516</v>
      </c>
      <c r="W104" s="196">
        <f t="shared" si="168"/>
        <v>-33656</v>
      </c>
      <c r="X104" s="196">
        <f t="shared" si="168"/>
        <v>-44700</v>
      </c>
      <c r="Y104" s="196">
        <f t="shared" si="168"/>
        <v>0</v>
      </c>
      <c r="Z104" s="196">
        <f t="shared" si="168"/>
        <v>-94133</v>
      </c>
      <c r="AA104" s="196">
        <f t="shared" si="168"/>
        <v>-101133</v>
      </c>
      <c r="AB104" s="196">
        <f t="shared" si="168"/>
        <v>235178</v>
      </c>
      <c r="AC104" s="196">
        <f t="shared" si="168"/>
        <v>278470</v>
      </c>
      <c r="AD104" s="196">
        <f>+AD98-AD83</f>
        <v>362114</v>
      </c>
      <c r="AF104" s="196">
        <f t="shared" si="168"/>
        <v>-3378</v>
      </c>
      <c r="BK104" s="196"/>
    </row>
    <row r="105" spans="1:87" x14ac:dyDescent="0.2">
      <c r="A105" s="193" t="s">
        <v>95</v>
      </c>
      <c r="B105" s="209" t="s">
        <v>725</v>
      </c>
      <c r="BK105" s="196"/>
    </row>
    <row r="106" spans="1:87" x14ac:dyDescent="0.2">
      <c r="A106" s="196"/>
      <c r="B106" s="209" t="s">
        <v>505</v>
      </c>
      <c r="BK106" s="196"/>
    </row>
    <row r="107" spans="1:87" ht="13.5" thickBot="1" x14ac:dyDescent="0.25">
      <c r="B107" s="210" t="s">
        <v>767</v>
      </c>
      <c r="C107" s="210" t="s">
        <v>148</v>
      </c>
      <c r="D107" s="210" t="s">
        <v>519</v>
      </c>
      <c r="E107" s="210" t="s">
        <v>211</v>
      </c>
      <c r="F107" s="210" t="s">
        <v>211</v>
      </c>
      <c r="G107" s="210" t="s">
        <v>645</v>
      </c>
      <c r="H107" s="210" t="s">
        <v>760</v>
      </c>
      <c r="BK107" s="196"/>
      <c r="BR107" s="210"/>
      <c r="BS107" s="934"/>
      <c r="BX107" s="1097"/>
    </row>
    <row r="108" spans="1:87" x14ac:dyDescent="0.2">
      <c r="A108" s="193" t="s">
        <v>1047</v>
      </c>
      <c r="H108" s="197"/>
      <c r="BK108" s="196"/>
    </row>
    <row r="109" spans="1:87" ht="15" x14ac:dyDescent="0.25">
      <c r="A109" s="195" t="s">
        <v>769</v>
      </c>
      <c r="B109" s="196">
        <f>SUM(C109:BY109)</f>
        <v>171412</v>
      </c>
      <c r="C109" s="196">
        <f>+SORECPF!C27-SORECPF!C35-SORECPF!C36-SORECPF!C34*0</f>
        <v>169866</v>
      </c>
      <c r="H109" s="197"/>
      <c r="P109" s="928"/>
      <c r="BK109" s="196"/>
      <c r="BT109" s="1252">
        <v>487</v>
      </c>
      <c r="BU109" s="1252">
        <v>911</v>
      </c>
      <c r="BV109" s="1252">
        <v>28</v>
      </c>
      <c r="BW109" s="1097">
        <v>105</v>
      </c>
      <c r="BX109" s="1097">
        <v>18</v>
      </c>
      <c r="BY109" s="1097">
        <v>-3</v>
      </c>
      <c r="BZ109" s="196">
        <f>SUM(BT109:BY109)</f>
        <v>1546</v>
      </c>
      <c r="CD109" s="1082">
        <v>-249</v>
      </c>
      <c r="CE109" s="1083">
        <v>-20</v>
      </c>
      <c r="CF109" s="196">
        <v>-57</v>
      </c>
      <c r="CG109" s="196">
        <v>50</v>
      </c>
      <c r="CH109" s="196">
        <v>-42</v>
      </c>
      <c r="CI109" s="196">
        <v>38</v>
      </c>
    </row>
    <row r="110" spans="1:87" ht="15" x14ac:dyDescent="0.25">
      <c r="A110" s="195" t="s">
        <v>770</v>
      </c>
      <c r="B110" s="196">
        <f>SUM(C110:BY110)</f>
        <v>9889</v>
      </c>
      <c r="H110" s="197">
        <f>'Nonmajor Ent SOREC'!G25-'Nonmajor Ent SOREC'!G33-'Nonmajor Ent SOREC'!G34</f>
        <v>9709</v>
      </c>
      <c r="P110" s="928"/>
      <c r="BK110" s="196"/>
      <c r="BT110" s="1252">
        <v>68</v>
      </c>
      <c r="BU110" s="1384">
        <v>87</v>
      </c>
      <c r="BV110" s="1252">
        <v>10</v>
      </c>
      <c r="BW110" s="1097">
        <v>11</v>
      </c>
      <c r="BX110" s="1097">
        <v>4</v>
      </c>
      <c r="BY110" s="1097"/>
      <c r="BZ110" s="196">
        <f t="shared" ref="BZ110:BZ113" si="169">SUM(BT110:BY110)</f>
        <v>180</v>
      </c>
      <c r="CB110" s="196">
        <v>-1</v>
      </c>
      <c r="CD110" s="1082">
        <v>-38</v>
      </c>
      <c r="CE110" s="1083">
        <v>-15</v>
      </c>
      <c r="CF110" s="196">
        <v>-11</v>
      </c>
      <c r="CG110" s="196">
        <v>7</v>
      </c>
      <c r="CH110" s="196">
        <v>-109</v>
      </c>
      <c r="CI110" s="196">
        <v>4</v>
      </c>
    </row>
    <row r="111" spans="1:87" ht="15" x14ac:dyDescent="0.25">
      <c r="A111" s="195" t="s">
        <v>96</v>
      </c>
      <c r="B111" s="196">
        <f>SUM(C111:BY111)</f>
        <v>144185</v>
      </c>
      <c r="D111" s="196">
        <f>SORECPF!E27-SORECPF!E35-SORECPF!E36-SORECPF!E34</f>
        <v>142479</v>
      </c>
      <c r="H111" s="197"/>
      <c r="P111" s="928"/>
      <c r="BK111" s="196"/>
      <c r="BT111" s="1252">
        <v>614</v>
      </c>
      <c r="BU111" s="1385">
        <v>696</v>
      </c>
      <c r="BV111" s="1252">
        <v>83</v>
      </c>
      <c r="BW111" s="1097">
        <v>90</v>
      </c>
      <c r="BX111" s="1097">
        <v>224</v>
      </c>
      <c r="BY111" s="1097">
        <v>-1</v>
      </c>
      <c r="BZ111" s="196">
        <f t="shared" si="169"/>
        <v>1706</v>
      </c>
      <c r="CD111" s="1082">
        <v>-288</v>
      </c>
      <c r="CE111" s="1083">
        <v>-45</v>
      </c>
      <c r="CF111" s="196">
        <v>-75</v>
      </c>
      <c r="CG111" s="196">
        <v>34</v>
      </c>
      <c r="CH111" s="196">
        <v>-1118</v>
      </c>
    </row>
    <row r="112" spans="1:87" ht="15" x14ac:dyDescent="0.25">
      <c r="A112" s="195" t="s">
        <v>210</v>
      </c>
      <c r="B112" s="196">
        <f>SUM(C112:BY112)</f>
        <v>2901</v>
      </c>
      <c r="F112" s="196">
        <f>'Nonmajor Ent SOREC'!E25-'Nonmajor Ent SOREC'!E34</f>
        <v>2894</v>
      </c>
      <c r="H112" s="197"/>
      <c r="P112" s="928"/>
      <c r="BK112" s="196"/>
      <c r="BT112" s="1252">
        <v>5</v>
      </c>
      <c r="BU112" s="1385">
        <v>0</v>
      </c>
      <c r="BV112" s="1252"/>
      <c r="BW112" s="1097">
        <v>1</v>
      </c>
      <c r="BX112" s="1097">
        <v>1</v>
      </c>
      <c r="BY112" s="1097"/>
      <c r="BZ112" s="196">
        <f t="shared" si="169"/>
        <v>7</v>
      </c>
      <c r="CD112" s="1082">
        <v>-3</v>
      </c>
      <c r="CE112" s="1083"/>
      <c r="CF112" s="196">
        <v>-1</v>
      </c>
      <c r="CG112" s="196">
        <v>1</v>
      </c>
      <c r="CH112" s="196">
        <v>-2</v>
      </c>
    </row>
    <row r="113" spans="1:86" ht="15" x14ac:dyDescent="0.25">
      <c r="A113" s="195" t="s">
        <v>969</v>
      </c>
      <c r="B113" s="196">
        <f>SUM(C113:BY113)</f>
        <v>50322</v>
      </c>
      <c r="G113" s="196">
        <f>+'Nonmajor Ent SOREC'!C25-'Nonmajor Ent SOREC'!C33-'Nonmajor Ent SOREC'!C34</f>
        <v>49739</v>
      </c>
      <c r="H113" s="197"/>
      <c r="P113" s="928"/>
      <c r="BK113" s="196"/>
      <c r="BT113" s="1252">
        <v>310</v>
      </c>
      <c r="BU113" s="1385">
        <v>124</v>
      </c>
      <c r="BV113" s="1252">
        <v>3</v>
      </c>
      <c r="BW113" s="1097">
        <v>140</v>
      </c>
      <c r="BX113" s="1097">
        <v>6</v>
      </c>
      <c r="BY113" s="1097"/>
      <c r="BZ113" s="196">
        <f t="shared" si="169"/>
        <v>583</v>
      </c>
      <c r="CD113" s="1082">
        <v>-131</v>
      </c>
      <c r="CE113" s="1083">
        <v>-6</v>
      </c>
      <c r="CF113" s="196">
        <v>-10</v>
      </c>
      <c r="CG113" s="196">
        <v>49</v>
      </c>
      <c r="CH113" s="196">
        <v>-10</v>
      </c>
    </row>
    <row r="114" spans="1:86" x14ac:dyDescent="0.2">
      <c r="A114" s="208" t="s">
        <v>935</v>
      </c>
      <c r="B114" s="204">
        <f>SUM(B109:B113)</f>
        <v>378709</v>
      </c>
      <c r="C114" s="204">
        <f>SUM(C109:C113)</f>
        <v>169866</v>
      </c>
      <c r="D114" s="204">
        <f>SUM(D110:D113)</f>
        <v>142479</v>
      </c>
      <c r="E114" s="204">
        <f>SUM(E110:E113)</f>
        <v>0</v>
      </c>
      <c r="F114" s="204">
        <f>SUM(F110:F113)</f>
        <v>2894</v>
      </c>
      <c r="G114" s="204">
        <f>SUM(G110:G113)</f>
        <v>49739</v>
      </c>
      <c r="H114" s="204">
        <f>SUM(H110:H113)</f>
        <v>9709</v>
      </c>
      <c r="P114" s="928"/>
      <c r="BK114" s="196"/>
      <c r="BR114" s="204"/>
      <c r="BS114" s="204"/>
      <c r="BT114" s="1386">
        <f t="shared" ref="BT114:BY114" si="170">SUM(BT109:BT113)</f>
        <v>1484</v>
      </c>
      <c r="BU114" s="1386">
        <f t="shared" si="170"/>
        <v>1818</v>
      </c>
      <c r="BV114" s="1386">
        <f t="shared" si="170"/>
        <v>124</v>
      </c>
      <c r="BW114" s="1386">
        <f t="shared" si="170"/>
        <v>347</v>
      </c>
      <c r="BX114" s="1386">
        <f t="shared" si="170"/>
        <v>253</v>
      </c>
      <c r="BY114" s="1386">
        <f t="shared" si="170"/>
        <v>-4</v>
      </c>
      <c r="BZ114" s="204">
        <f>SUM(BZ109:BZ113)</f>
        <v>4022</v>
      </c>
    </row>
    <row r="115" spans="1:86" x14ac:dyDescent="0.2">
      <c r="A115" s="198"/>
      <c r="B115" s="197"/>
      <c r="H115" s="197"/>
      <c r="BK115" s="196"/>
    </row>
    <row r="116" spans="1:86" x14ac:dyDescent="0.2">
      <c r="A116" s="208" t="s">
        <v>925</v>
      </c>
      <c r="B116" s="197"/>
      <c r="H116" s="197"/>
      <c r="BK116" s="196"/>
    </row>
    <row r="117" spans="1:86" x14ac:dyDescent="0.2">
      <c r="A117" s="195" t="s">
        <v>769</v>
      </c>
      <c r="B117" s="196">
        <f>SUM(C117:H117)</f>
        <v>150292</v>
      </c>
      <c r="C117" s="196">
        <f>SORECPF!C16</f>
        <v>150292</v>
      </c>
      <c r="H117" s="197"/>
      <c r="BK117" s="196"/>
      <c r="BT117" s="1097"/>
      <c r="BU117" s="1097"/>
      <c r="BV117" s="1097"/>
      <c r="BW117">
        <v>50</v>
      </c>
      <c r="BX117" s="196">
        <v>-42</v>
      </c>
      <c r="BY117" s="196">
        <v>38</v>
      </c>
    </row>
    <row r="118" spans="1:86" ht="15" x14ac:dyDescent="0.2">
      <c r="A118" s="195" t="s">
        <v>770</v>
      </c>
      <c r="B118" s="196">
        <f>SUM(C118:H118)</f>
        <v>7534</v>
      </c>
      <c r="H118" s="197">
        <f>'Nonmajor Ent SOREC'!G12</f>
        <v>7534</v>
      </c>
      <c r="BK118" s="196"/>
      <c r="BT118" s="1097"/>
      <c r="BU118" s="1436"/>
      <c r="BV118" s="1097"/>
      <c r="BW118" s="434">
        <v>7</v>
      </c>
      <c r="BX118" s="196">
        <v>-109</v>
      </c>
      <c r="BY118" s="196">
        <v>4</v>
      </c>
    </row>
    <row r="119" spans="1:86" ht="15" x14ac:dyDescent="0.2">
      <c r="A119" s="195" t="s">
        <v>96</v>
      </c>
      <c r="B119" s="196">
        <f>SUM(C119:H119)</f>
        <v>152527</v>
      </c>
      <c r="D119" s="196">
        <f>SORECPF!E14</f>
        <v>152527</v>
      </c>
      <c r="H119" s="197"/>
      <c r="BK119" s="196"/>
      <c r="BT119" s="1097"/>
      <c r="BU119" s="1437"/>
      <c r="BV119" s="1097"/>
      <c r="BW119" s="434">
        <v>34</v>
      </c>
      <c r="BX119" s="196">
        <v>-1118</v>
      </c>
    </row>
    <row r="120" spans="1:86" ht="15" x14ac:dyDescent="0.2">
      <c r="A120" s="195" t="s">
        <v>210</v>
      </c>
      <c r="B120" s="196">
        <f>SUM(C120:H120)</f>
        <v>2310</v>
      </c>
      <c r="E120" s="196">
        <f>+'Nonmajor Ent SOREC'!D14</f>
        <v>0</v>
      </c>
      <c r="F120" s="196">
        <f>+'Nonmajor Ent SOREC'!E14</f>
        <v>2310</v>
      </c>
      <c r="H120" s="197"/>
      <c r="BK120" s="196"/>
      <c r="BT120" s="1097"/>
      <c r="BU120" s="1437"/>
      <c r="BV120" s="1097"/>
      <c r="BW120" s="1213">
        <v>1</v>
      </c>
      <c r="BX120" s="196">
        <v>-2</v>
      </c>
    </row>
    <row r="121" spans="1:86" ht="15" x14ac:dyDescent="0.2">
      <c r="A121" s="195" t="s">
        <v>969</v>
      </c>
      <c r="B121" s="196">
        <f>SUM(C121:H121)</f>
        <v>45911</v>
      </c>
      <c r="G121" s="196">
        <f>+'Nonmajor Ent SOREC'!C12</f>
        <v>45911</v>
      </c>
      <c r="H121" s="197"/>
      <c r="BK121" s="196"/>
      <c r="BT121" s="1097"/>
      <c r="BU121" s="1437"/>
      <c r="BV121" s="1097"/>
      <c r="BW121" s="434">
        <v>49</v>
      </c>
      <c r="BX121" s="196">
        <v>-10</v>
      </c>
    </row>
    <row r="122" spans="1:86" ht="15" x14ac:dyDescent="0.2">
      <c r="A122" s="208" t="s">
        <v>936</v>
      </c>
      <c r="B122" s="204">
        <f>SUM(B117:B121)</f>
        <v>358574</v>
      </c>
      <c r="C122" s="204">
        <f>SUM(C117:C121)</f>
        <v>150292</v>
      </c>
      <c r="D122" s="204">
        <f>SUM(D118:D121)</f>
        <v>152527</v>
      </c>
      <c r="E122" s="204">
        <f>SUM(E118:E121)</f>
        <v>0</v>
      </c>
      <c r="F122" s="204">
        <f>SUM(F118:F121)</f>
        <v>2310</v>
      </c>
      <c r="G122" s="204">
        <f>SUM(G118:G121)</f>
        <v>45911</v>
      </c>
      <c r="H122" s="204">
        <f>SUM(H118:H121)</f>
        <v>7534</v>
      </c>
      <c r="BK122" s="196"/>
      <c r="BR122" s="204"/>
      <c r="BS122" s="197"/>
      <c r="BU122" s="1215"/>
      <c r="BV122" s="1215"/>
      <c r="BW122" s="434"/>
    </row>
    <row r="123" spans="1:86" ht="15" x14ac:dyDescent="0.2">
      <c r="A123" s="198"/>
      <c r="B123" s="197"/>
      <c r="H123" s="197"/>
      <c r="BK123" s="196"/>
      <c r="BU123" s="1215"/>
      <c r="BV123" s="1215"/>
      <c r="BW123" s="434"/>
    </row>
    <row r="124" spans="1:86" ht="15" x14ac:dyDescent="0.2">
      <c r="A124" s="208" t="s">
        <v>927</v>
      </c>
      <c r="B124" s="197"/>
      <c r="H124" s="197"/>
      <c r="BK124" s="196"/>
      <c r="BU124" s="1214"/>
      <c r="BV124" s="1214"/>
    </row>
    <row r="125" spans="1:86" x14ac:dyDescent="0.2">
      <c r="A125" s="195" t="s">
        <v>769</v>
      </c>
      <c r="B125" s="196">
        <f>SUM(C125:G125)</f>
        <v>36</v>
      </c>
      <c r="C125" s="196">
        <v>36</v>
      </c>
      <c r="D125" s="196">
        <f>[1]SORECPF!E43</f>
        <v>0</v>
      </c>
      <c r="H125" s="197"/>
      <c r="BK125" s="196"/>
    </row>
    <row r="126" spans="1:86" x14ac:dyDescent="0.2">
      <c r="A126" s="195" t="s">
        <v>770</v>
      </c>
      <c r="B126" s="196">
        <f>SUM(C126:G126)</f>
        <v>0</v>
      </c>
      <c r="H126" s="197"/>
      <c r="BK126" s="196"/>
      <c r="BT126" s="196">
        <v>-1</v>
      </c>
    </row>
    <row r="127" spans="1:86" x14ac:dyDescent="0.2">
      <c r="A127" s="195" t="s">
        <v>96</v>
      </c>
      <c r="B127" s="196">
        <f>SUM(C127:G127)</f>
        <v>0</v>
      </c>
      <c r="H127" s="197"/>
      <c r="BK127" s="196"/>
    </row>
    <row r="128" spans="1:86" x14ac:dyDescent="0.2">
      <c r="A128" s="195" t="s">
        <v>210</v>
      </c>
      <c r="B128" s="196">
        <f>SUM(C128:G128)</f>
        <v>0</v>
      </c>
      <c r="H128" s="197"/>
      <c r="BK128" s="196"/>
      <c r="CC128" s="196"/>
    </row>
    <row r="129" spans="1:81" x14ac:dyDescent="0.2">
      <c r="A129" s="195" t="s">
        <v>969</v>
      </c>
      <c r="B129" s="196">
        <f>SUM(C129:G129)</f>
        <v>0</v>
      </c>
      <c r="H129" s="197"/>
      <c r="BK129" s="196"/>
      <c r="CC129" s="196"/>
    </row>
    <row r="130" spans="1:81" x14ac:dyDescent="0.2">
      <c r="A130" s="208" t="s">
        <v>937</v>
      </c>
      <c r="B130" s="204">
        <f t="shared" ref="B130:H130" si="171">SUM(B125:B129)</f>
        <v>36</v>
      </c>
      <c r="C130" s="204">
        <f t="shared" si="171"/>
        <v>36</v>
      </c>
      <c r="D130" s="204">
        <f t="shared" si="171"/>
        <v>0</v>
      </c>
      <c r="E130" s="204">
        <f t="shared" ref="E130" si="172">SUM(E125:E129)</f>
        <v>0</v>
      </c>
      <c r="F130" s="204">
        <f t="shared" si="171"/>
        <v>0</v>
      </c>
      <c r="G130" s="204">
        <f t="shared" si="171"/>
        <v>0</v>
      </c>
      <c r="H130" s="204">
        <f t="shared" si="171"/>
        <v>0</v>
      </c>
      <c r="BK130" s="196"/>
      <c r="BR130" s="204"/>
      <c r="BS130" s="197"/>
      <c r="CC130" s="196"/>
    </row>
    <row r="131" spans="1:81" x14ac:dyDescent="0.2">
      <c r="A131" s="198"/>
      <c r="B131" s="197"/>
      <c r="H131" s="197"/>
      <c r="BK131" s="196"/>
      <c r="CC131" s="196"/>
    </row>
    <row r="132" spans="1:81" x14ac:dyDescent="0.2">
      <c r="A132" s="208" t="s">
        <v>929</v>
      </c>
      <c r="B132" s="197"/>
      <c r="H132" s="197"/>
      <c r="BK132" s="196"/>
      <c r="CC132" s="196"/>
    </row>
    <row r="133" spans="1:81" x14ac:dyDescent="0.2">
      <c r="A133" s="195" t="s">
        <v>769</v>
      </c>
      <c r="B133" s="196">
        <f>SUM(C133:G133)</f>
        <v>53849</v>
      </c>
      <c r="C133" s="196">
        <f>SORECPF!C43</f>
        <v>53849</v>
      </c>
      <c r="G133" s="196">
        <f>'Nonmajor Ent SOREC'!C41</f>
        <v>0</v>
      </c>
      <c r="H133" s="197"/>
      <c r="BK133" s="196"/>
      <c r="CC133" s="196"/>
    </row>
    <row r="134" spans="1:81" x14ac:dyDescent="0.2">
      <c r="A134" s="195" t="s">
        <v>770</v>
      </c>
      <c r="B134" s="196">
        <f>SUM(C134:G134)</f>
        <v>0</v>
      </c>
      <c r="H134" s="197"/>
      <c r="BK134" s="196"/>
      <c r="CC134" s="196"/>
    </row>
    <row r="135" spans="1:81" x14ac:dyDescent="0.2">
      <c r="A135" s="195" t="s">
        <v>96</v>
      </c>
      <c r="B135" s="196">
        <f>SUM(C135:G135)</f>
        <v>0</v>
      </c>
      <c r="H135" s="197"/>
      <c r="BK135" s="196"/>
      <c r="CC135" s="196"/>
    </row>
    <row r="136" spans="1:81" x14ac:dyDescent="0.2">
      <c r="A136" s="195" t="s">
        <v>210</v>
      </c>
      <c r="B136" s="196">
        <f>SUM(C136:G136)</f>
        <v>0</v>
      </c>
      <c r="H136" s="197"/>
      <c r="BK136" s="196"/>
      <c r="CC136" s="196"/>
    </row>
    <row r="137" spans="1:81" x14ac:dyDescent="0.2">
      <c r="A137" s="195" t="s">
        <v>969</v>
      </c>
      <c r="B137" s="196">
        <f>SUM(C137:G137)</f>
        <v>0</v>
      </c>
      <c r="H137" s="197"/>
      <c r="BK137" s="196"/>
      <c r="CC137" s="196"/>
    </row>
    <row r="138" spans="1:81" x14ac:dyDescent="0.2">
      <c r="A138" s="208" t="s">
        <v>938</v>
      </c>
      <c r="B138" s="204">
        <f t="shared" ref="B138:H138" si="173">SUM(B133:B137)</f>
        <v>53849</v>
      </c>
      <c r="C138" s="204">
        <f t="shared" si="173"/>
        <v>53849</v>
      </c>
      <c r="D138" s="204">
        <f t="shared" si="173"/>
        <v>0</v>
      </c>
      <c r="E138" s="204">
        <f t="shared" ref="E138" si="174">SUM(E133:E137)</f>
        <v>0</v>
      </c>
      <c r="F138" s="204">
        <f t="shared" si="173"/>
        <v>0</v>
      </c>
      <c r="G138" s="204">
        <f t="shared" si="173"/>
        <v>0</v>
      </c>
      <c r="H138" s="204">
        <f t="shared" si="173"/>
        <v>0</v>
      </c>
      <c r="BK138" s="196"/>
      <c r="BR138" s="204"/>
      <c r="BS138" s="197"/>
      <c r="CC138" s="196"/>
    </row>
    <row r="139" spans="1:81" x14ac:dyDescent="0.2">
      <c r="A139" s="198"/>
      <c r="B139" s="197"/>
      <c r="H139" s="197"/>
      <c r="BK139" s="196"/>
      <c r="CC139" s="196"/>
    </row>
    <row r="140" spans="1:81" x14ac:dyDescent="0.2">
      <c r="A140" s="193" t="s">
        <v>931</v>
      </c>
      <c r="B140" s="197"/>
      <c r="H140" s="197"/>
      <c r="BK140" s="196"/>
      <c r="CC140" s="196"/>
    </row>
    <row r="141" spans="1:81" x14ac:dyDescent="0.2">
      <c r="A141" s="195" t="s">
        <v>869</v>
      </c>
      <c r="B141" s="197"/>
      <c r="H141" s="197"/>
      <c r="BK141" s="196"/>
      <c r="CC141" s="196"/>
    </row>
    <row r="142" spans="1:81" x14ac:dyDescent="0.2">
      <c r="A142" s="203" t="s">
        <v>870</v>
      </c>
      <c r="B142" s="196">
        <f t="shared" ref="B142:B148" si="175">SUM(C142:G142)</f>
        <v>0</v>
      </c>
      <c r="H142" s="197"/>
      <c r="BK142" s="196"/>
      <c r="CC142" s="196"/>
    </row>
    <row r="143" spans="1:81" x14ac:dyDescent="0.2">
      <c r="A143" s="203" t="s">
        <v>871</v>
      </c>
      <c r="B143" s="196">
        <f t="shared" si="175"/>
        <v>0</v>
      </c>
      <c r="H143" s="197"/>
      <c r="BK143" s="196"/>
      <c r="CC143" s="196"/>
    </row>
    <row r="144" spans="1:81" x14ac:dyDescent="0.2">
      <c r="A144" s="203" t="s">
        <v>872</v>
      </c>
      <c r="B144" s="196">
        <f t="shared" si="175"/>
        <v>0</v>
      </c>
      <c r="H144" s="197"/>
      <c r="BK144" s="196"/>
      <c r="CC144" s="196"/>
    </row>
    <row r="145" spans="1:81" x14ac:dyDescent="0.2">
      <c r="A145" s="203" t="s">
        <v>873</v>
      </c>
      <c r="B145" s="196">
        <f t="shared" si="175"/>
        <v>0</v>
      </c>
      <c r="H145" s="197"/>
      <c r="BK145" s="196"/>
      <c r="CC145" s="196"/>
    </row>
    <row r="146" spans="1:81" x14ac:dyDescent="0.2">
      <c r="A146" s="203" t="s">
        <v>874</v>
      </c>
      <c r="B146" s="196">
        <f t="shared" si="175"/>
        <v>0</v>
      </c>
      <c r="H146" s="197"/>
      <c r="BK146" s="196"/>
      <c r="CC146" s="196"/>
    </row>
    <row r="147" spans="1:81" x14ac:dyDescent="0.2">
      <c r="A147" s="195" t="s">
        <v>944</v>
      </c>
      <c r="B147" s="196">
        <f t="shared" si="175"/>
        <v>0</v>
      </c>
      <c r="H147" s="197"/>
      <c r="BK147" s="196"/>
      <c r="CC147" s="196"/>
    </row>
    <row r="148" spans="1:81" x14ac:dyDescent="0.2">
      <c r="A148" s="195" t="s">
        <v>947</v>
      </c>
      <c r="B148" s="196">
        <f t="shared" si="175"/>
        <v>0</v>
      </c>
      <c r="H148" s="197"/>
      <c r="BK148" s="196"/>
      <c r="CC148" s="196"/>
    </row>
    <row r="149" spans="1:81" x14ac:dyDescent="0.2">
      <c r="A149" s="195" t="s">
        <v>774</v>
      </c>
      <c r="B149" s="196">
        <f>SUM(C149:H149)</f>
        <v>35322</v>
      </c>
      <c r="C149" s="196">
        <f>SORECPF!C32</f>
        <v>32576</v>
      </c>
      <c r="D149" s="196">
        <f>SORECPF!E32</f>
        <v>442</v>
      </c>
      <c r="E149" s="196">
        <f>+'Nonmajor Ent SOREC'!D30</f>
        <v>0</v>
      </c>
      <c r="F149" s="196">
        <f>+'Nonmajor Ent SOREC'!E30</f>
        <v>45</v>
      </c>
      <c r="G149" s="196">
        <f>+'Nonmajor Ent SOREC'!C30</f>
        <v>1679</v>
      </c>
      <c r="H149" s="196">
        <f>+'Nonmajor Ent SOREC'!G30</f>
        <v>580</v>
      </c>
      <c r="AF149" s="197"/>
      <c r="BK149" s="196"/>
      <c r="CC149" s="196"/>
    </row>
    <row r="150" spans="1:81" x14ac:dyDescent="0.2">
      <c r="A150" s="195" t="s">
        <v>775</v>
      </c>
      <c r="B150" s="196">
        <f>SUM(C150:H150)</f>
        <v>1639</v>
      </c>
      <c r="C150" s="196">
        <f>SORECPF!C33+SORECPF!C34-C125</f>
        <v>1191</v>
      </c>
      <c r="D150" s="196">
        <f>SORECPF!E33</f>
        <v>435</v>
      </c>
      <c r="E150" s="196">
        <f>+'Nonmajor Ent SOREC'!D31+'Nonmajor Ent SOREC'!D32</f>
        <v>0</v>
      </c>
      <c r="F150" s="196">
        <f>+'Nonmajor Ent SOREC'!E31+'Nonmajor Ent SOREC'!E32</f>
        <v>1</v>
      </c>
      <c r="G150" s="196">
        <f>+'Nonmajor Ent SOREC'!C31</f>
        <v>10</v>
      </c>
      <c r="H150" s="196">
        <f>'Nonmajor Ent SOREC'!G31</f>
        <v>2</v>
      </c>
      <c r="AF150" s="197"/>
      <c r="BK150" s="196"/>
      <c r="CC150" s="196"/>
    </row>
    <row r="151" spans="1:81" x14ac:dyDescent="0.2">
      <c r="A151" s="195" t="s">
        <v>776</v>
      </c>
      <c r="B151" s="196">
        <f>SUM(C151:H151)</f>
        <v>31135</v>
      </c>
      <c r="D151" s="196">
        <f>SORECPF!E52</f>
        <v>31135</v>
      </c>
      <c r="AF151" s="197"/>
      <c r="BK151" s="196"/>
      <c r="CC151" s="196"/>
    </row>
    <row r="152" spans="1:81" x14ac:dyDescent="0.2">
      <c r="A152" s="195" t="s">
        <v>778</v>
      </c>
      <c r="B152" s="196">
        <f>SUM(C152:H152)</f>
        <v>-5400</v>
      </c>
      <c r="C152" s="197">
        <f>SORECPF!C49</f>
        <v>-770</v>
      </c>
      <c r="D152" s="197">
        <f>SORECPF!E46+SORECPF!E47</f>
        <v>-5108</v>
      </c>
      <c r="E152" s="196">
        <f>+'Nonmajor Ent SOREC'!D48</f>
        <v>0</v>
      </c>
      <c r="F152" s="196">
        <f>+'Nonmajor Ent SOREC'!E48</f>
        <v>6</v>
      </c>
      <c r="G152" s="197">
        <f>+'Nonmajor Ent SOREC'!C48</f>
        <v>-775</v>
      </c>
      <c r="H152" s="197">
        <f>+'Nonmajor Ent SOREC'!G48</f>
        <v>1247</v>
      </c>
      <c r="AF152" s="197"/>
      <c r="BK152" s="196"/>
      <c r="BR152" s="197"/>
      <c r="BS152" s="197"/>
      <c r="CC152" s="196"/>
    </row>
    <row r="153" spans="1:81" x14ac:dyDescent="0.2">
      <c r="A153" s="198" t="s">
        <v>932</v>
      </c>
      <c r="B153" s="204">
        <f t="shared" ref="B153:H153" si="176">SUM(B141:B152)</f>
        <v>62696</v>
      </c>
      <c r="C153" s="204">
        <f t="shared" si="176"/>
        <v>32997</v>
      </c>
      <c r="D153" s="204">
        <f t="shared" si="176"/>
        <v>26904</v>
      </c>
      <c r="E153" s="204">
        <f t="shared" ref="E153" si="177">SUM(E141:E152)</f>
        <v>0</v>
      </c>
      <c r="F153" s="204">
        <f t="shared" si="176"/>
        <v>52</v>
      </c>
      <c r="G153" s="204">
        <f t="shared" si="176"/>
        <v>914</v>
      </c>
      <c r="H153" s="204">
        <f t="shared" si="176"/>
        <v>1829</v>
      </c>
      <c r="AF153" s="197"/>
      <c r="BK153" s="196"/>
      <c r="BR153" s="197"/>
      <c r="BS153" s="197"/>
      <c r="CC153" s="196"/>
    </row>
    <row r="154" spans="1:81" x14ac:dyDescent="0.2">
      <c r="A154" s="198"/>
      <c r="B154" s="197"/>
      <c r="C154" s="202"/>
      <c r="D154" s="202"/>
      <c r="E154" s="202"/>
      <c r="F154" s="202"/>
      <c r="G154" s="202"/>
      <c r="H154" s="197"/>
      <c r="AF154" s="197"/>
      <c r="BK154" s="196"/>
      <c r="BR154" s="202"/>
      <c r="BS154" s="202"/>
      <c r="CC154" s="196"/>
    </row>
    <row r="155" spans="1:81" x14ac:dyDescent="0.2">
      <c r="A155" s="193" t="s">
        <v>833</v>
      </c>
      <c r="B155" s="197">
        <f t="shared" ref="B155:H155" si="178">-B114+B122+B130+B138+B153</f>
        <v>96446</v>
      </c>
      <c r="C155" s="197">
        <f t="shared" si="178"/>
        <v>67308</v>
      </c>
      <c r="D155" s="197">
        <f t="shared" si="178"/>
        <v>36952</v>
      </c>
      <c r="E155" s="197">
        <f t="shared" ref="E155" si="179">-E114+E122+E130+E138+E153</f>
        <v>0</v>
      </c>
      <c r="F155" s="197">
        <f t="shared" si="178"/>
        <v>-532</v>
      </c>
      <c r="G155" s="197">
        <f t="shared" si="178"/>
        <v>-2914</v>
      </c>
      <c r="H155" s="197">
        <f t="shared" si="178"/>
        <v>-346</v>
      </c>
      <c r="AF155" s="197"/>
      <c r="BK155" s="196"/>
      <c r="BR155" s="197"/>
      <c r="BS155" s="197"/>
      <c r="CC155" s="196"/>
    </row>
    <row r="156" spans="1:81" x14ac:dyDescent="0.2">
      <c r="A156" s="193"/>
      <c r="B156" s="197"/>
      <c r="C156" s="197"/>
      <c r="D156" s="197"/>
      <c r="E156" s="197"/>
      <c r="F156" s="197"/>
      <c r="G156" s="197"/>
      <c r="H156" s="197"/>
      <c r="AF156" s="197"/>
      <c r="BK156" s="196"/>
      <c r="BR156" s="197"/>
      <c r="BS156" s="197"/>
      <c r="CC156" s="196"/>
    </row>
    <row r="157" spans="1:81" x14ac:dyDescent="0.2">
      <c r="A157" s="193" t="s">
        <v>933</v>
      </c>
      <c r="B157" s="205">
        <f>SUM(C157:CB157)</f>
        <v>450613</v>
      </c>
      <c r="C157" s="205">
        <f>SORECPF!C56</f>
        <v>522239</v>
      </c>
      <c r="D157" s="205">
        <f>SORECPF!E56</f>
        <v>-84824</v>
      </c>
      <c r="E157" s="205">
        <f>'Nonmajor Ent SOREC'!D52</f>
        <v>0</v>
      </c>
      <c r="F157" s="205">
        <f>'Nonmajor Ent SOREC'!E52</f>
        <v>4449</v>
      </c>
      <c r="G157" s="205">
        <f>'Nonmajor Ent SOREC'!C52</f>
        <v>-10081</v>
      </c>
      <c r="H157" s="205">
        <f>'Nonmajor Ent SOREC'!G52</f>
        <v>18830</v>
      </c>
      <c r="AF157" s="197"/>
      <c r="BK157" s="196"/>
      <c r="BR157" s="197"/>
      <c r="BS157" s="197"/>
      <c r="CC157" s="196"/>
    </row>
    <row r="158" spans="1:81" x14ac:dyDescent="0.2">
      <c r="A158" s="198"/>
      <c r="B158" s="197"/>
      <c r="C158" s="197"/>
      <c r="D158" s="197"/>
      <c r="E158" s="197"/>
      <c r="F158" s="197"/>
      <c r="G158" s="197"/>
      <c r="H158" s="197"/>
      <c r="AF158" s="197"/>
      <c r="BK158" s="196"/>
      <c r="BR158" s="197"/>
      <c r="BS158" s="197"/>
      <c r="CC158" s="196"/>
    </row>
    <row r="159" spans="1:81" ht="13.5" thickBot="1" x14ac:dyDescent="0.25">
      <c r="A159" s="193" t="s">
        <v>1028</v>
      </c>
      <c r="B159" s="206">
        <f t="shared" ref="B159:H159" si="180">+B155+B157</f>
        <v>547059</v>
      </c>
      <c r="C159" s="206">
        <f t="shared" si="180"/>
        <v>589547</v>
      </c>
      <c r="D159" s="206">
        <f t="shared" si="180"/>
        <v>-47872</v>
      </c>
      <c r="E159" s="206">
        <f t="shared" ref="E159" si="181">+E155+E157</f>
        <v>0</v>
      </c>
      <c r="F159" s="206">
        <f t="shared" si="180"/>
        <v>3917</v>
      </c>
      <c r="G159" s="206">
        <f t="shared" si="180"/>
        <v>-12995</v>
      </c>
      <c r="H159" s="206">
        <f t="shared" si="180"/>
        <v>18484</v>
      </c>
      <c r="AF159" s="197"/>
      <c r="BK159" s="196"/>
      <c r="BR159" s="197"/>
      <c r="BS159" s="197"/>
      <c r="CC159" s="196"/>
    </row>
    <row r="160" spans="1:81" ht="13.5" thickTop="1" x14ac:dyDescent="0.2">
      <c r="A160" s="193"/>
      <c r="B160" s="197"/>
      <c r="C160" s="197"/>
      <c r="D160" s="197"/>
      <c r="E160" s="197"/>
      <c r="F160" s="197"/>
      <c r="G160" s="197"/>
      <c r="H160" s="197"/>
      <c r="K160" s="196">
        <v>357670</v>
      </c>
      <c r="AF160" s="197"/>
      <c r="BK160" s="196"/>
      <c r="BR160" s="197"/>
      <c r="BS160" s="197"/>
      <c r="CC160" s="196"/>
    </row>
    <row r="161" spans="1:85" x14ac:dyDescent="0.2">
      <c r="A161" s="193" t="s">
        <v>1026</v>
      </c>
      <c r="B161" s="196">
        <f>SUM(C161:AF161)</f>
        <v>-15202</v>
      </c>
      <c r="C161" s="197">
        <f>-9557*0-10617-BZ109</f>
        <v>-12163</v>
      </c>
      <c r="D161" s="197">
        <f>4119*0+3191-BZ111</f>
        <v>1485</v>
      </c>
      <c r="E161" s="197"/>
      <c r="F161" s="197">
        <f>-225*0-230-BZ112</f>
        <v>-237</v>
      </c>
      <c r="G161" s="197">
        <f>-2606*0-2815-BZ113</f>
        <v>-3398</v>
      </c>
      <c r="H161" s="197">
        <f>-550*0-709-BZ110</f>
        <v>-889</v>
      </c>
      <c r="I161" s="196" t="s">
        <v>1421</v>
      </c>
      <c r="AF161" s="197"/>
      <c r="BK161" s="196"/>
      <c r="BR161" s="197"/>
      <c r="BS161" s="197"/>
    </row>
    <row r="162" spans="1:85" x14ac:dyDescent="0.2">
      <c r="A162" s="193"/>
      <c r="B162" s="197"/>
      <c r="C162" s="197"/>
      <c r="D162" s="197"/>
      <c r="E162" s="197"/>
      <c r="F162" s="197"/>
      <c r="G162" s="197"/>
      <c r="H162" s="197"/>
      <c r="AF162" s="197"/>
      <c r="BK162" s="196"/>
      <c r="BR162" s="197"/>
      <c r="BS162" s="197"/>
    </row>
    <row r="163" spans="1:85" ht="13.5" thickBot="1" x14ac:dyDescent="0.25">
      <c r="A163" s="193" t="s">
        <v>1027</v>
      </c>
      <c r="B163" s="206">
        <f>SUM(C163:CB163)</f>
        <v>535879</v>
      </c>
      <c r="C163" s="206">
        <f t="shared" ref="C163:H163" si="182">+C159+C161</f>
        <v>577384</v>
      </c>
      <c r="D163" s="206">
        <f t="shared" si="182"/>
        <v>-46387</v>
      </c>
      <c r="E163" s="206">
        <f t="shared" si="182"/>
        <v>0</v>
      </c>
      <c r="F163" s="206">
        <f t="shared" si="182"/>
        <v>3680</v>
      </c>
      <c r="G163" s="206">
        <f t="shared" si="182"/>
        <v>-16393</v>
      </c>
      <c r="H163" s="206">
        <f t="shared" si="182"/>
        <v>17595</v>
      </c>
      <c r="AF163" s="197"/>
      <c r="BK163" s="196"/>
      <c r="BR163" s="197"/>
      <c r="BS163" s="197"/>
    </row>
    <row r="164" spans="1:85" ht="13.5" thickTop="1" x14ac:dyDescent="0.2">
      <c r="A164" s="198"/>
      <c r="B164" s="197"/>
      <c r="C164" s="196" t="s">
        <v>148</v>
      </c>
      <c r="D164" s="196" t="s">
        <v>519</v>
      </c>
      <c r="E164" s="196" t="s">
        <v>211</v>
      </c>
      <c r="F164" s="196" t="s">
        <v>211</v>
      </c>
      <c r="G164" s="196" t="s">
        <v>645</v>
      </c>
      <c r="H164" s="196" t="s">
        <v>760</v>
      </c>
      <c r="BK164" s="196"/>
    </row>
    <row r="165" spans="1:85" x14ac:dyDescent="0.2">
      <c r="BK165" s="196"/>
    </row>
    <row r="166" spans="1:85" s="192" customFormat="1" ht="64.5" hidden="1" thickBot="1" x14ac:dyDescent="0.25">
      <c r="A166" s="936" t="s">
        <v>875</v>
      </c>
      <c r="B166" s="235" t="s">
        <v>1055</v>
      </c>
      <c r="C166" s="236" t="s">
        <v>120</v>
      </c>
      <c r="D166" s="237" t="s">
        <v>876</v>
      </c>
      <c r="E166" s="238" t="s">
        <v>877</v>
      </c>
      <c r="F166" s="238" t="s">
        <v>877</v>
      </c>
      <c r="G166" s="238" t="s">
        <v>879</v>
      </c>
      <c r="H166" s="238" t="s">
        <v>126</v>
      </c>
      <c r="I166" s="238" t="s">
        <v>127</v>
      </c>
      <c r="J166" s="238" t="s">
        <v>880</v>
      </c>
      <c r="K166" s="240" t="s">
        <v>132</v>
      </c>
      <c r="L166" s="240" t="s">
        <v>881</v>
      </c>
      <c r="M166" s="240" t="s">
        <v>125</v>
      </c>
      <c r="N166" s="240" t="s">
        <v>882</v>
      </c>
      <c r="O166" s="240" t="s">
        <v>883</v>
      </c>
      <c r="P166" s="240" t="s">
        <v>885</v>
      </c>
      <c r="Q166" s="240" t="s">
        <v>123</v>
      </c>
      <c r="R166" s="240" t="s">
        <v>886</v>
      </c>
      <c r="S166" s="240" t="s">
        <v>884</v>
      </c>
      <c r="T166" s="240" t="s">
        <v>893</v>
      </c>
      <c r="U166" s="240" t="s">
        <v>1030</v>
      </c>
      <c r="V166" s="241" t="s">
        <v>914</v>
      </c>
      <c r="W166" s="240" t="s">
        <v>858</v>
      </c>
      <c r="X166" s="240" t="s">
        <v>134</v>
      </c>
      <c r="Y166" s="239" t="s">
        <v>905</v>
      </c>
      <c r="Z166" s="239" t="s">
        <v>906</v>
      </c>
      <c r="AA166" s="239" t="s">
        <v>907</v>
      </c>
      <c r="AB166" s="239" t="s">
        <v>878</v>
      </c>
      <c r="AC166" s="239"/>
      <c r="AD166" s="239"/>
      <c r="AE166" s="239"/>
      <c r="AF166" s="239" t="s">
        <v>908</v>
      </c>
      <c r="AG166" s="239"/>
      <c r="AH166" s="239"/>
      <c r="AI166" s="239"/>
      <c r="AJ166" s="239"/>
      <c r="AK166" s="239"/>
      <c r="AL166" s="239"/>
      <c r="AM166" s="239"/>
      <c r="AN166" s="239"/>
      <c r="AO166" s="239"/>
      <c r="AP166" s="239"/>
      <c r="AQ166" s="239"/>
      <c r="AR166" s="239" t="s">
        <v>909</v>
      </c>
      <c r="AS166" s="239" t="s">
        <v>910</v>
      </c>
      <c r="AT166" s="239" t="s">
        <v>165</v>
      </c>
      <c r="AU166" s="239" t="s">
        <v>166</v>
      </c>
      <c r="AV166" s="239" t="s">
        <v>911</v>
      </c>
      <c r="AW166" s="239" t="s">
        <v>912</v>
      </c>
      <c r="AX166" s="239" t="s">
        <v>647</v>
      </c>
      <c r="AY166" s="241" t="s">
        <v>913</v>
      </c>
      <c r="AZ166" s="241" t="s">
        <v>915</v>
      </c>
      <c r="BA166" s="241" t="s">
        <v>916</v>
      </c>
      <c r="BB166" s="241" t="s">
        <v>917</v>
      </c>
      <c r="BC166" s="241"/>
      <c r="BD166" s="385" t="s">
        <v>894</v>
      </c>
      <c r="BE166" s="385" t="s">
        <v>896</v>
      </c>
      <c r="BF166" s="385" t="s">
        <v>903</v>
      </c>
      <c r="BG166" s="385" t="s">
        <v>895</v>
      </c>
      <c r="BH166" s="385" t="s">
        <v>897</v>
      </c>
      <c r="BI166" s="385" t="s">
        <v>898</v>
      </c>
      <c r="BJ166" s="385" t="s">
        <v>899</v>
      </c>
      <c r="BK166" s="385" t="s">
        <v>904</v>
      </c>
      <c r="BL166" s="385" t="s">
        <v>723</v>
      </c>
      <c r="BM166" s="385" t="s">
        <v>901</v>
      </c>
      <c r="BN166" s="385"/>
      <c r="BO166" s="385" t="s">
        <v>902</v>
      </c>
      <c r="BP166" s="385" t="s">
        <v>900</v>
      </c>
      <c r="BQ166" s="239"/>
      <c r="BR166" s="239"/>
      <c r="BS166" s="239"/>
      <c r="BT166" s="242" t="s">
        <v>918</v>
      </c>
      <c r="BU166" s="242" t="s">
        <v>919</v>
      </c>
      <c r="BV166" s="242" t="s">
        <v>920</v>
      </c>
      <c r="BW166" s="242" t="s">
        <v>921</v>
      </c>
      <c r="BX166" s="242" t="s">
        <v>922</v>
      </c>
      <c r="BY166" s="242"/>
      <c r="BZ166" s="236" t="s">
        <v>923</v>
      </c>
      <c r="CA166" s="236" t="s">
        <v>1011</v>
      </c>
      <c r="CB166" s="243" t="s">
        <v>924</v>
      </c>
      <c r="CC166" s="191"/>
      <c r="CD166" s="369" t="s">
        <v>771</v>
      </c>
      <c r="CE166" s="370" t="s">
        <v>148</v>
      </c>
      <c r="CF166" s="370" t="s">
        <v>519</v>
      </c>
      <c r="CG166" s="371" t="s">
        <v>760</v>
      </c>
    </row>
    <row r="167" spans="1:85" s="192" customFormat="1" hidden="1" x14ac:dyDescent="0.2">
      <c r="A167" s="193" t="s">
        <v>1047</v>
      </c>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c r="AK167" s="194"/>
      <c r="AL167" s="194"/>
      <c r="AM167" s="194"/>
      <c r="AN167" s="194"/>
      <c r="AO167" s="194"/>
      <c r="AP167" s="194"/>
      <c r="AQ167" s="194"/>
      <c r="AR167" s="194"/>
      <c r="AS167" s="194"/>
      <c r="AT167" s="194"/>
      <c r="AU167" s="194"/>
      <c r="AV167" s="194"/>
      <c r="AW167" s="194"/>
      <c r="AX167" s="194"/>
      <c r="AY167" s="194"/>
      <c r="AZ167" s="194"/>
      <c r="BA167" s="194"/>
      <c r="BB167" s="194"/>
      <c r="BC167" s="194"/>
      <c r="BD167" s="194"/>
      <c r="BE167" s="194"/>
      <c r="BF167" s="194"/>
      <c r="BG167" s="194"/>
      <c r="BH167" s="194"/>
      <c r="BI167" s="194"/>
      <c r="BJ167" s="194"/>
      <c r="BK167" s="194"/>
      <c r="BL167" s="194"/>
      <c r="BM167" s="194"/>
      <c r="BN167" s="194"/>
      <c r="BO167" s="194"/>
      <c r="BP167" s="194"/>
      <c r="BQ167" s="194"/>
      <c r="BR167" s="194"/>
      <c r="BS167" s="194"/>
      <c r="BT167" s="194"/>
      <c r="BU167" s="194"/>
      <c r="BV167" s="194"/>
      <c r="BW167" s="194"/>
      <c r="BX167" s="194"/>
      <c r="BY167" s="194"/>
      <c r="BZ167" s="194"/>
      <c r="CA167" s="194"/>
      <c r="CB167" s="194"/>
      <c r="CC167" s="191"/>
      <c r="CD167" s="194"/>
      <c r="CE167" s="194"/>
      <c r="CF167" s="194"/>
      <c r="CG167" s="194"/>
    </row>
    <row r="168" spans="1:85" hidden="1" x14ac:dyDescent="0.2">
      <c r="A168" s="195" t="s">
        <v>953</v>
      </c>
      <c r="B168" s="196">
        <f t="shared" ref="B168:B181" si="183">SUM(C168:CB168)</f>
        <v>118173</v>
      </c>
      <c r="C168" s="196">
        <v>80290</v>
      </c>
      <c r="D168" s="196">
        <v>1807</v>
      </c>
      <c r="E168" s="196">
        <v>1076</v>
      </c>
      <c r="F168" s="196">
        <v>1076</v>
      </c>
      <c r="G168" s="196">
        <v>285</v>
      </c>
      <c r="M168" s="196">
        <v>2</v>
      </c>
      <c r="N168" s="196">
        <v>1953</v>
      </c>
      <c r="O168" s="196">
        <v>5331</v>
      </c>
      <c r="X168" s="196">
        <v>2</v>
      </c>
      <c r="Y168" s="196">
        <v>-3</v>
      </c>
      <c r="Z168" s="196">
        <v>59</v>
      </c>
      <c r="AA168" s="196">
        <v>14</v>
      </c>
      <c r="AB168" s="196">
        <v>77</v>
      </c>
      <c r="AR168" s="196">
        <v>2545</v>
      </c>
      <c r="AS168" s="196">
        <v>-41</v>
      </c>
      <c r="AT168" s="196">
        <v>237</v>
      </c>
      <c r="AU168" s="196">
        <v>13</v>
      </c>
      <c r="AW168" s="196">
        <v>25</v>
      </c>
      <c r="BK168" s="196"/>
      <c r="BT168" s="196">
        <v>1280</v>
      </c>
      <c r="BU168" s="196">
        <v>110</v>
      </c>
      <c r="BV168" s="196">
        <v>113</v>
      </c>
      <c r="BW168" s="196">
        <f>57+78</f>
        <v>135</v>
      </c>
      <c r="BX168" s="196">
        <f>-12+54</f>
        <v>42</v>
      </c>
      <c r="BZ168" s="196">
        <v>-4802</v>
      </c>
      <c r="CA168" s="196">
        <f>22207+4340</f>
        <v>26547</v>
      </c>
      <c r="CD168" s="196">
        <f>SUM(CE168:CG168)</f>
        <v>0</v>
      </c>
    </row>
    <row r="169" spans="1:85" hidden="1" x14ac:dyDescent="0.2">
      <c r="A169" s="195" t="s">
        <v>954</v>
      </c>
      <c r="B169" s="196">
        <f t="shared" si="183"/>
        <v>550247</v>
      </c>
      <c r="C169" s="196">
        <v>500272</v>
      </c>
      <c r="E169" s="196">
        <v>9921</v>
      </c>
      <c r="F169" s="196">
        <v>9921</v>
      </c>
      <c r="G169" s="196">
        <v>87</v>
      </c>
      <c r="H169" s="196">
        <v>1199</v>
      </c>
      <c r="O169" s="196">
        <v>393</v>
      </c>
      <c r="AR169" s="196">
        <v>254</v>
      </c>
      <c r="AT169" s="196">
        <v>352</v>
      </c>
      <c r="BK169" s="196"/>
      <c r="BT169" s="196">
        <v>5072</v>
      </c>
      <c r="BU169" s="196">
        <v>673</v>
      </c>
      <c r="BV169" s="196">
        <v>2313</v>
      </c>
      <c r="BW169" s="196">
        <f>210+288</f>
        <v>498</v>
      </c>
      <c r="BX169" s="196">
        <f>19+238</f>
        <v>257</v>
      </c>
      <c r="BZ169" s="196">
        <v>11282</v>
      </c>
      <c r="CA169" s="196">
        <v>7753</v>
      </c>
      <c r="CD169" s="196">
        <f t="shared" ref="CD169:CD181" si="184">SUM(CE169:CG169)</f>
        <v>0</v>
      </c>
    </row>
    <row r="170" spans="1:85" hidden="1" x14ac:dyDescent="0.2">
      <c r="A170" s="195" t="s">
        <v>955</v>
      </c>
      <c r="B170" s="196">
        <f t="shared" si="183"/>
        <v>231517</v>
      </c>
      <c r="C170" s="196">
        <v>42469</v>
      </c>
      <c r="E170" s="196">
        <v>16892</v>
      </c>
      <c r="F170" s="196">
        <v>16892</v>
      </c>
      <c r="G170" s="196">
        <v>33</v>
      </c>
      <c r="K170" s="196">
        <v>2051</v>
      </c>
      <c r="L170" s="196">
        <v>15022</v>
      </c>
      <c r="O170" s="196">
        <v>45</v>
      </c>
      <c r="U170" s="196">
        <v>1490</v>
      </c>
      <c r="W170" s="196">
        <v>27663</v>
      </c>
      <c r="AF170" s="196">
        <v>10657</v>
      </c>
      <c r="AR170" s="196">
        <v>11168</v>
      </c>
      <c r="AT170" s="196">
        <v>33889</v>
      </c>
      <c r="AU170" s="196">
        <v>187</v>
      </c>
      <c r="BK170" s="196"/>
      <c r="BT170" s="196">
        <v>942</v>
      </c>
      <c r="BU170" s="196">
        <v>265</v>
      </c>
      <c r="BV170" s="196">
        <v>351</v>
      </c>
      <c r="BW170" s="196">
        <f>40+55</f>
        <v>95</v>
      </c>
      <c r="BX170" s="196">
        <f>24+147</f>
        <v>171</v>
      </c>
      <c r="BZ170" s="196">
        <v>1962</v>
      </c>
      <c r="CA170" s="196">
        <f>60775-11502</f>
        <v>49273</v>
      </c>
      <c r="CD170" s="196">
        <f t="shared" si="184"/>
        <v>0</v>
      </c>
    </row>
    <row r="171" spans="1:85" hidden="1" x14ac:dyDescent="0.2">
      <c r="A171" s="195" t="s">
        <v>958</v>
      </c>
      <c r="B171" s="196">
        <f t="shared" si="183"/>
        <v>3259</v>
      </c>
      <c r="C171" s="196">
        <v>3138</v>
      </c>
      <c r="E171" s="196">
        <v>166</v>
      </c>
      <c r="F171" s="196">
        <v>166</v>
      </c>
      <c r="BK171" s="196"/>
      <c r="CA171" s="196">
        <v>-211</v>
      </c>
      <c r="CD171" s="196">
        <f t="shared" si="184"/>
        <v>0</v>
      </c>
    </row>
    <row r="172" spans="1:85" hidden="1" x14ac:dyDescent="0.2">
      <c r="A172" s="195" t="s">
        <v>956</v>
      </c>
      <c r="B172" s="196">
        <f t="shared" si="183"/>
        <v>124576</v>
      </c>
      <c r="C172" s="196">
        <v>73094</v>
      </c>
      <c r="E172" s="196">
        <v>20530</v>
      </c>
      <c r="F172" s="196">
        <v>20530</v>
      </c>
      <c r="G172" s="196">
        <v>917</v>
      </c>
      <c r="O172" s="196">
        <v>32</v>
      </c>
      <c r="AF172" s="196">
        <v>4</v>
      </c>
      <c r="BK172" s="196"/>
      <c r="BT172" s="196">
        <v>282</v>
      </c>
      <c r="BU172" s="196">
        <v>41</v>
      </c>
      <c r="BV172" s="196">
        <v>51</v>
      </c>
      <c r="BW172" s="196">
        <f>13+17</f>
        <v>30</v>
      </c>
      <c r="BX172" s="196">
        <f>3+31</f>
        <v>34</v>
      </c>
      <c r="BZ172" s="196">
        <v>175</v>
      </c>
      <c r="CA172" s="196">
        <v>8856</v>
      </c>
      <c r="CD172" s="196">
        <f t="shared" si="184"/>
        <v>0</v>
      </c>
    </row>
    <row r="173" spans="1:85" hidden="1" x14ac:dyDescent="0.2">
      <c r="A173" s="195" t="s">
        <v>961</v>
      </c>
      <c r="B173" s="196">
        <f t="shared" si="183"/>
        <v>143719</v>
      </c>
      <c r="C173" s="196">
        <v>73730</v>
      </c>
      <c r="E173" s="196">
        <v>1865</v>
      </c>
      <c r="F173" s="196">
        <v>1865</v>
      </c>
      <c r="G173" s="196">
        <v>1180</v>
      </c>
      <c r="N173" s="196">
        <v>40262</v>
      </c>
      <c r="O173" s="196">
        <v>3560</v>
      </c>
      <c r="Q173" s="196">
        <v>575</v>
      </c>
      <c r="AA173" s="196">
        <v>44</v>
      </c>
      <c r="AF173" s="196">
        <v>232</v>
      </c>
      <c r="AR173" s="196">
        <v>107</v>
      </c>
      <c r="AT173" s="196">
        <v>316</v>
      </c>
      <c r="AY173" s="196">
        <v>1</v>
      </c>
      <c r="AZ173" s="196">
        <v>521</v>
      </c>
      <c r="BJ173" s="196">
        <v>1286</v>
      </c>
      <c r="BK173" s="196"/>
      <c r="BT173" s="196">
        <v>1732</v>
      </c>
      <c r="BU173" s="196">
        <v>268</v>
      </c>
      <c r="BV173" s="196">
        <v>424</v>
      </c>
      <c r="BW173" s="196">
        <f>78+106</f>
        <v>184</v>
      </c>
      <c r="BX173" s="196">
        <f>7+36</f>
        <v>43</v>
      </c>
      <c r="BZ173" s="196">
        <v>2795</v>
      </c>
      <c r="CA173" s="196">
        <v>12729</v>
      </c>
      <c r="CD173" s="196">
        <f t="shared" si="184"/>
        <v>0</v>
      </c>
    </row>
    <row r="174" spans="1:85" hidden="1" x14ac:dyDescent="0.2">
      <c r="A174" s="195" t="s">
        <v>960</v>
      </c>
      <c r="B174" s="196">
        <f t="shared" si="183"/>
        <v>26437</v>
      </c>
      <c r="N174" s="196">
        <v>19458</v>
      </c>
      <c r="P174" s="196">
        <v>612</v>
      </c>
      <c r="R174" s="196">
        <v>1170</v>
      </c>
      <c r="AF174" s="196">
        <v>3</v>
      </c>
      <c r="BA174" s="196">
        <v>10</v>
      </c>
      <c r="BK174" s="196"/>
      <c r="BT174" s="196">
        <v>200</v>
      </c>
      <c r="BU174" s="196">
        <v>219</v>
      </c>
      <c r="BV174" s="196">
        <v>25</v>
      </c>
      <c r="BW174" s="196">
        <f>7+9</f>
        <v>16</v>
      </c>
      <c r="BX174" s="196">
        <v>1</v>
      </c>
      <c r="BZ174" s="196">
        <v>344</v>
      </c>
      <c r="CA174" s="196">
        <v>4379</v>
      </c>
      <c r="CD174" s="196">
        <f t="shared" si="184"/>
        <v>0</v>
      </c>
    </row>
    <row r="175" spans="1:85" hidden="1" x14ac:dyDescent="0.2">
      <c r="A175" s="195" t="s">
        <v>963</v>
      </c>
      <c r="B175" s="196">
        <f t="shared" si="183"/>
        <v>37916</v>
      </c>
      <c r="E175" s="196">
        <v>1375</v>
      </c>
      <c r="F175" s="196">
        <v>1375</v>
      </c>
      <c r="G175" s="196">
        <v>4108</v>
      </c>
      <c r="I175" s="196">
        <v>9956</v>
      </c>
      <c r="S175" s="196">
        <v>17942</v>
      </c>
      <c r="V175" s="196">
        <v>249</v>
      </c>
      <c r="AR175" s="196">
        <v>305</v>
      </c>
      <c r="BF175" s="196">
        <v>39</v>
      </c>
      <c r="BH175" s="196">
        <v>49</v>
      </c>
      <c r="BK175" s="196"/>
      <c r="BO175" s="196">
        <v>19</v>
      </c>
      <c r="BT175" s="196">
        <v>384</v>
      </c>
      <c r="BU175" s="196">
        <v>185</v>
      </c>
      <c r="BV175" s="196">
        <v>35</v>
      </c>
      <c r="BW175" s="196">
        <v>40</v>
      </c>
      <c r="BX175" s="196">
        <v>24</v>
      </c>
      <c r="BZ175" s="196">
        <v>1185</v>
      </c>
      <c r="CA175" s="196">
        <v>646</v>
      </c>
      <c r="CD175" s="196">
        <f t="shared" si="184"/>
        <v>0</v>
      </c>
    </row>
    <row r="176" spans="1:85" hidden="1" x14ac:dyDescent="0.2">
      <c r="A176" s="195" t="s">
        <v>959</v>
      </c>
      <c r="B176" s="196">
        <f t="shared" si="183"/>
        <v>275641</v>
      </c>
      <c r="C176" s="196">
        <v>38403</v>
      </c>
      <c r="E176" s="196">
        <v>117698</v>
      </c>
      <c r="F176" s="196">
        <v>117698</v>
      </c>
      <c r="G176" s="196">
        <v>191</v>
      </c>
      <c r="O176" s="196">
        <v>530</v>
      </c>
      <c r="AF176" s="196">
        <v>1</v>
      </c>
      <c r="AT176" s="196">
        <v>357</v>
      </c>
      <c r="BK176" s="196">
        <v>2</v>
      </c>
      <c r="BT176" s="196">
        <v>145</v>
      </c>
      <c r="BU176" s="196">
        <v>37</v>
      </c>
      <c r="BV176" s="196">
        <v>37</v>
      </c>
      <c r="BW176" s="196">
        <v>14</v>
      </c>
      <c r="BX176" s="196">
        <v>7</v>
      </c>
      <c r="BZ176" s="196">
        <v>-4</v>
      </c>
      <c r="CA176" s="196">
        <v>525</v>
      </c>
      <c r="CD176" s="196">
        <f t="shared" si="184"/>
        <v>0</v>
      </c>
    </row>
    <row r="177" spans="1:85" hidden="1" x14ac:dyDescent="0.2">
      <c r="A177" s="195" t="s">
        <v>1052</v>
      </c>
      <c r="B177" s="196">
        <f t="shared" si="183"/>
        <v>106959</v>
      </c>
      <c r="C177" s="196">
        <v>2607</v>
      </c>
      <c r="E177" s="196">
        <v>195</v>
      </c>
      <c r="F177" s="196">
        <v>195</v>
      </c>
      <c r="J177" s="196">
        <v>21804</v>
      </c>
      <c r="L177" s="196">
        <v>433</v>
      </c>
      <c r="N177" s="196">
        <v>912</v>
      </c>
      <c r="O177" s="196">
        <v>10653</v>
      </c>
      <c r="X177" s="196">
        <v>11815</v>
      </c>
      <c r="AR177" s="196">
        <v>35</v>
      </c>
      <c r="BD177" s="196">
        <v>56425</v>
      </c>
      <c r="BK177" s="196"/>
      <c r="BL177" s="196">
        <v>2</v>
      </c>
      <c r="BM177" s="196">
        <v>1800</v>
      </c>
      <c r="BT177" s="196">
        <v>48</v>
      </c>
      <c r="BU177" s="196">
        <v>4</v>
      </c>
      <c r="BV177" s="196">
        <v>4</v>
      </c>
      <c r="BW177" s="196">
        <v>6</v>
      </c>
      <c r="BZ177" s="196">
        <v>-99</v>
      </c>
      <c r="CA177" s="196">
        <v>120</v>
      </c>
      <c r="CD177" s="196">
        <f t="shared" si="184"/>
        <v>0</v>
      </c>
    </row>
    <row r="178" spans="1:85" hidden="1" x14ac:dyDescent="0.2">
      <c r="A178" s="195" t="s">
        <v>88</v>
      </c>
      <c r="B178" s="196">
        <f t="shared" si="183"/>
        <v>-8058</v>
      </c>
      <c r="D178" s="196">
        <v>-5207</v>
      </c>
      <c r="Z178" s="196">
        <v>-525</v>
      </c>
      <c r="AA178" s="196">
        <v>-847</v>
      </c>
      <c r="AB178" s="196">
        <v>-363</v>
      </c>
      <c r="AU178" s="196">
        <v>-315</v>
      </c>
      <c r="AW178" s="196">
        <v>-328</v>
      </c>
      <c r="BD178" s="196">
        <v>-26</v>
      </c>
      <c r="BK178" s="196">
        <v>55</v>
      </c>
      <c r="BL178" s="196">
        <v>-502</v>
      </c>
      <c r="CD178" s="196">
        <f t="shared" si="184"/>
        <v>0</v>
      </c>
    </row>
    <row r="179" spans="1:85" hidden="1" x14ac:dyDescent="0.2">
      <c r="A179" s="195" t="s">
        <v>93</v>
      </c>
      <c r="B179" s="196">
        <f t="shared" si="183"/>
        <v>-2290</v>
      </c>
      <c r="D179" s="196">
        <v>-63</v>
      </c>
      <c r="Z179" s="196">
        <v>29</v>
      </c>
      <c r="AA179" s="196">
        <v>174</v>
      </c>
      <c r="AB179" s="196">
        <v>-2629</v>
      </c>
      <c r="AU179" s="196">
        <v>214</v>
      </c>
      <c r="AW179" s="196">
        <v>202</v>
      </c>
      <c r="BD179" s="196">
        <v>1153</v>
      </c>
      <c r="BK179" s="196">
        <v>-49</v>
      </c>
      <c r="BL179" s="196">
        <v>-1321</v>
      </c>
      <c r="CD179" s="196">
        <f t="shared" si="184"/>
        <v>0</v>
      </c>
    </row>
    <row r="180" spans="1:85" hidden="1" x14ac:dyDescent="0.2">
      <c r="A180" s="195" t="s">
        <v>1053</v>
      </c>
      <c r="B180" s="196">
        <f t="shared" si="183"/>
        <v>5036</v>
      </c>
      <c r="D180" s="196">
        <v>5060</v>
      </c>
      <c r="Z180" s="196">
        <v>-1</v>
      </c>
      <c r="BK180" s="196">
        <v>-23</v>
      </c>
      <c r="CD180" s="196">
        <f t="shared" si="184"/>
        <v>0</v>
      </c>
    </row>
    <row r="181" spans="1:85" hidden="1" x14ac:dyDescent="0.2">
      <c r="A181" s="195" t="s">
        <v>94</v>
      </c>
      <c r="B181" s="196">
        <f t="shared" si="183"/>
        <v>78291</v>
      </c>
      <c r="D181" s="196">
        <v>62364</v>
      </c>
      <c r="J181" s="196">
        <v>2802</v>
      </c>
      <c r="BD181" s="196">
        <v>10422</v>
      </c>
      <c r="BK181" s="196">
        <v>344</v>
      </c>
      <c r="BL181" s="196">
        <v>1094</v>
      </c>
      <c r="BZ181" s="196">
        <v>1265</v>
      </c>
      <c r="CD181" s="196">
        <f t="shared" si="184"/>
        <v>0</v>
      </c>
    </row>
    <row r="182" spans="1:85" s="201" customFormat="1" hidden="1" x14ac:dyDescent="0.2">
      <c r="A182" s="198" t="s">
        <v>520</v>
      </c>
      <c r="B182" s="199">
        <f t="shared" ref="B182:AA182" si="185">SUM(B168:B181)</f>
        <v>1691423</v>
      </c>
      <c r="C182" s="199">
        <f t="shared" si="185"/>
        <v>814003</v>
      </c>
      <c r="D182" s="199">
        <f t="shared" si="185"/>
        <v>63961</v>
      </c>
      <c r="E182" s="199">
        <f>SUM(E168:E181)</f>
        <v>169718</v>
      </c>
      <c r="F182" s="199">
        <f>SUM(F168:F181)</f>
        <v>169718</v>
      </c>
      <c r="G182" s="199">
        <f t="shared" si="185"/>
        <v>6801</v>
      </c>
      <c r="H182" s="199">
        <f t="shared" si="185"/>
        <v>1199</v>
      </c>
      <c r="I182" s="199">
        <f t="shared" si="185"/>
        <v>9956</v>
      </c>
      <c r="J182" s="199">
        <f t="shared" si="185"/>
        <v>24606</v>
      </c>
      <c r="K182" s="199">
        <f t="shared" si="185"/>
        <v>2051</v>
      </c>
      <c r="L182" s="199">
        <f t="shared" si="185"/>
        <v>15455</v>
      </c>
      <c r="M182" s="199">
        <f t="shared" si="185"/>
        <v>2</v>
      </c>
      <c r="N182" s="199">
        <f t="shared" si="185"/>
        <v>62585</v>
      </c>
      <c r="O182" s="199">
        <f t="shared" si="185"/>
        <v>20544</v>
      </c>
      <c r="P182" s="199">
        <f t="shared" si="185"/>
        <v>612</v>
      </c>
      <c r="Q182" s="199">
        <f>SUM(Q168:Q181)</f>
        <v>575</v>
      </c>
      <c r="R182" s="199">
        <f t="shared" si="185"/>
        <v>1170</v>
      </c>
      <c r="S182" s="199">
        <f>SUM(S168:S181)</f>
        <v>17942</v>
      </c>
      <c r="T182" s="199">
        <f t="shared" si="185"/>
        <v>0</v>
      </c>
      <c r="U182" s="199">
        <f>SUM(U168:U181)</f>
        <v>1490</v>
      </c>
      <c r="V182" s="199">
        <f>SUM(V168:V181)</f>
        <v>249</v>
      </c>
      <c r="W182" s="199">
        <f t="shared" si="185"/>
        <v>27663</v>
      </c>
      <c r="X182" s="199">
        <f>SUM(X168:X181)</f>
        <v>11817</v>
      </c>
      <c r="Y182" s="199">
        <f t="shared" si="185"/>
        <v>-3</v>
      </c>
      <c r="Z182" s="199">
        <f t="shared" si="185"/>
        <v>-438</v>
      </c>
      <c r="AA182" s="199">
        <f t="shared" si="185"/>
        <v>-615</v>
      </c>
      <c r="AB182" s="199">
        <f>SUM(AB168:AB181)</f>
        <v>-2915</v>
      </c>
      <c r="AC182" s="199"/>
      <c r="AD182" s="199"/>
      <c r="AE182" s="199"/>
      <c r="AF182" s="199">
        <f>SUM(AF168:AF181)</f>
        <v>10897</v>
      </c>
      <c r="AG182" s="199"/>
      <c r="AH182" s="199"/>
      <c r="AI182" s="199"/>
      <c r="AJ182" s="199"/>
      <c r="AK182" s="199"/>
      <c r="AL182" s="199"/>
      <c r="AM182" s="199"/>
      <c r="AN182" s="199"/>
      <c r="AO182" s="199"/>
      <c r="AP182" s="199"/>
      <c r="AQ182" s="199"/>
      <c r="AR182" s="199">
        <f t="shared" ref="AR182:BZ182" si="186">SUM(AR168:AR181)</f>
        <v>14414</v>
      </c>
      <c r="AS182" s="199">
        <f t="shared" si="186"/>
        <v>-41</v>
      </c>
      <c r="AT182" s="199">
        <f t="shared" si="186"/>
        <v>35151</v>
      </c>
      <c r="AU182" s="199">
        <f t="shared" si="186"/>
        <v>99</v>
      </c>
      <c r="AV182" s="199">
        <f t="shared" si="186"/>
        <v>0</v>
      </c>
      <c r="AW182" s="199">
        <f>SUM(AW168:AW181)</f>
        <v>-101</v>
      </c>
      <c r="AX182" s="199"/>
      <c r="AY182" s="199">
        <f t="shared" si="186"/>
        <v>1</v>
      </c>
      <c r="AZ182" s="199">
        <f t="shared" si="186"/>
        <v>521</v>
      </c>
      <c r="BA182" s="199">
        <f t="shared" si="186"/>
        <v>10</v>
      </c>
      <c r="BB182" s="199">
        <f t="shared" si="186"/>
        <v>0</v>
      </c>
      <c r="BC182" s="199"/>
      <c r="BD182" s="199">
        <f t="shared" si="186"/>
        <v>67974</v>
      </c>
      <c r="BE182" s="199">
        <f>SUM(BE168:BE181)</f>
        <v>0</v>
      </c>
      <c r="BF182" s="199">
        <f>SUM(BF168:BF181)</f>
        <v>39</v>
      </c>
      <c r="BG182" s="199">
        <f>SUM(BG168:BG181)</f>
        <v>0</v>
      </c>
      <c r="BH182" s="199">
        <f t="shared" si="186"/>
        <v>49</v>
      </c>
      <c r="BI182" s="199">
        <f>SUM(BI168:BI181)</f>
        <v>0</v>
      </c>
      <c r="BJ182" s="199">
        <f t="shared" si="186"/>
        <v>1286</v>
      </c>
      <c r="BK182" s="199">
        <f>SUM(BK168:BK181)</f>
        <v>329</v>
      </c>
      <c r="BL182" s="199">
        <f t="shared" si="186"/>
        <v>-727</v>
      </c>
      <c r="BM182" s="199">
        <f t="shared" si="186"/>
        <v>1800</v>
      </c>
      <c r="BN182" s="199"/>
      <c r="BO182" s="199">
        <f t="shared" si="186"/>
        <v>19</v>
      </c>
      <c r="BP182" s="199">
        <f>SUM(BP168:BP181)</f>
        <v>0</v>
      </c>
      <c r="BQ182" s="199"/>
      <c r="BR182" s="199"/>
      <c r="BS182" s="199"/>
      <c r="BT182" s="199">
        <f t="shared" si="186"/>
        <v>10085</v>
      </c>
      <c r="BU182" s="199">
        <f t="shared" si="186"/>
        <v>1802</v>
      </c>
      <c r="BV182" s="199">
        <f t="shared" si="186"/>
        <v>3353</v>
      </c>
      <c r="BW182" s="199">
        <f t="shared" si="186"/>
        <v>1018</v>
      </c>
      <c r="BX182" s="199">
        <f t="shared" si="186"/>
        <v>579</v>
      </c>
      <c r="BY182" s="199"/>
      <c r="BZ182" s="199">
        <f t="shared" si="186"/>
        <v>14103</v>
      </c>
      <c r="CA182" s="199">
        <f>SUM(CA168:CA181)</f>
        <v>110617</v>
      </c>
      <c r="CB182" s="199">
        <f>SUM(CB168:CB181)</f>
        <v>0</v>
      </c>
      <c r="CC182" s="200"/>
      <c r="CD182" s="199">
        <f>SUM(CD168:CD181)</f>
        <v>0</v>
      </c>
      <c r="CE182" s="199">
        <f>SUM(CE168:CE181)</f>
        <v>0</v>
      </c>
      <c r="CF182" s="199">
        <f>SUM(CF168:CF181)</f>
        <v>0</v>
      </c>
      <c r="CG182" s="199">
        <f>SUM(CG168:CG181)</f>
        <v>0</v>
      </c>
    </row>
    <row r="183" spans="1:85" hidden="1" x14ac:dyDescent="0.2">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c r="BM183" s="197"/>
      <c r="BN183" s="197"/>
      <c r="BO183" s="197"/>
      <c r="BP183" s="197"/>
      <c r="BQ183" s="197"/>
      <c r="BR183" s="197"/>
      <c r="BS183" s="197"/>
      <c r="BT183" s="197"/>
      <c r="BU183" s="197"/>
      <c r="BV183" s="197"/>
      <c r="BW183" s="197"/>
      <c r="BX183" s="197"/>
      <c r="BY183" s="197"/>
      <c r="BZ183" s="197"/>
      <c r="CA183" s="197"/>
      <c r="CB183" s="197"/>
      <c r="CD183" s="197"/>
      <c r="CE183" s="197"/>
      <c r="CF183" s="197"/>
      <c r="CG183" s="197"/>
    </row>
    <row r="184" spans="1:85" s="192" customFormat="1" hidden="1" x14ac:dyDescent="0.2">
      <c r="A184" s="193" t="s">
        <v>925</v>
      </c>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c r="AK184" s="194"/>
      <c r="AL184" s="194"/>
      <c r="AM184" s="194"/>
      <c r="AN184" s="194"/>
      <c r="AO184" s="194"/>
      <c r="AP184" s="194"/>
      <c r="AQ184" s="194"/>
      <c r="AR184" s="194"/>
      <c r="AS184" s="194"/>
      <c r="AT184" s="194"/>
      <c r="AU184" s="194"/>
      <c r="AV184" s="194"/>
      <c r="AW184" s="194"/>
      <c r="AX184" s="194"/>
      <c r="AY184" s="194"/>
      <c r="AZ184" s="194"/>
      <c r="BA184" s="194"/>
      <c r="BB184" s="194"/>
      <c r="BC184" s="194"/>
      <c r="BD184" s="194"/>
      <c r="BE184" s="194"/>
      <c r="BF184" s="194"/>
      <c r="BG184" s="194"/>
      <c r="BH184" s="194"/>
      <c r="BI184" s="194"/>
      <c r="BJ184" s="194"/>
      <c r="BK184" s="194"/>
      <c r="BL184" s="194"/>
      <c r="BM184" s="194"/>
      <c r="BN184" s="194"/>
      <c r="BO184" s="194"/>
      <c r="BP184" s="194"/>
      <c r="BQ184" s="194"/>
      <c r="BR184" s="194"/>
      <c r="BS184" s="194"/>
      <c r="BT184" s="194"/>
      <c r="BU184" s="194"/>
      <c r="BV184" s="194"/>
      <c r="BW184" s="194"/>
      <c r="BX184" s="194"/>
      <c r="BY184" s="194"/>
      <c r="BZ184" s="194"/>
      <c r="CA184" s="194"/>
      <c r="CB184" s="194"/>
      <c r="CC184" s="191"/>
      <c r="CD184" s="194"/>
      <c r="CE184" s="194"/>
      <c r="CF184" s="194"/>
      <c r="CG184" s="194"/>
    </row>
    <row r="185" spans="1:85" hidden="1" x14ac:dyDescent="0.2">
      <c r="A185" s="195" t="s">
        <v>953</v>
      </c>
      <c r="B185" s="196">
        <f t="shared" ref="B185:B194" si="187">SUM(C185:CB185)</f>
        <v>21564</v>
      </c>
      <c r="C185" s="196">
        <v>18259</v>
      </c>
      <c r="E185" s="196">
        <v>-1</v>
      </c>
      <c r="F185" s="196">
        <v>-1</v>
      </c>
      <c r="O185" s="196">
        <v>3307</v>
      </c>
      <c r="BK185" s="196"/>
      <c r="CD185" s="196">
        <f t="shared" ref="CD185:CD194" si="188">SUM(CE185:CG185)</f>
        <v>0</v>
      </c>
    </row>
    <row r="186" spans="1:85" hidden="1" x14ac:dyDescent="0.2">
      <c r="A186" s="195" t="s">
        <v>954</v>
      </c>
      <c r="B186" s="196">
        <f t="shared" si="187"/>
        <v>10157</v>
      </c>
      <c r="C186" s="196">
        <v>10093</v>
      </c>
      <c r="O186" s="196">
        <v>64</v>
      </c>
      <c r="BK186" s="196"/>
      <c r="CD186" s="196">
        <f t="shared" si="188"/>
        <v>0</v>
      </c>
    </row>
    <row r="187" spans="1:85" hidden="1" x14ac:dyDescent="0.2">
      <c r="A187" s="195" t="s">
        <v>955</v>
      </c>
      <c r="B187" s="196">
        <f t="shared" si="187"/>
        <v>53723</v>
      </c>
      <c r="C187" s="196">
        <v>1890</v>
      </c>
      <c r="L187" s="196">
        <v>10901</v>
      </c>
      <c r="U187" s="196">
        <v>1804</v>
      </c>
      <c r="W187" s="196">
        <v>39128</v>
      </c>
      <c r="BK187" s="196"/>
      <c r="CD187" s="196">
        <f t="shared" si="188"/>
        <v>0</v>
      </c>
    </row>
    <row r="188" spans="1:85" hidden="1" x14ac:dyDescent="0.2">
      <c r="A188" s="195" t="s">
        <v>958</v>
      </c>
      <c r="B188" s="196">
        <f t="shared" si="187"/>
        <v>397</v>
      </c>
      <c r="C188" s="196">
        <v>397</v>
      </c>
      <c r="BK188" s="196"/>
      <c r="CD188" s="196">
        <f t="shared" si="188"/>
        <v>0</v>
      </c>
    </row>
    <row r="189" spans="1:85" hidden="1" x14ac:dyDescent="0.2">
      <c r="A189" s="195" t="s">
        <v>956</v>
      </c>
      <c r="B189" s="196">
        <f t="shared" si="187"/>
        <v>31789</v>
      </c>
      <c r="C189" s="196">
        <v>31401</v>
      </c>
      <c r="E189" s="196">
        <v>194</v>
      </c>
      <c r="F189" s="196">
        <v>194</v>
      </c>
      <c r="BK189" s="196"/>
      <c r="CD189" s="196">
        <f t="shared" si="188"/>
        <v>0</v>
      </c>
    </row>
    <row r="190" spans="1:85" hidden="1" x14ac:dyDescent="0.2">
      <c r="A190" s="195" t="s">
        <v>961</v>
      </c>
      <c r="B190" s="196">
        <f t="shared" si="187"/>
        <v>33791</v>
      </c>
      <c r="C190" s="196">
        <v>15421</v>
      </c>
      <c r="N190" s="196">
        <v>16485</v>
      </c>
      <c r="O190" s="196">
        <v>1350</v>
      </c>
      <c r="AZ190" s="196">
        <v>515</v>
      </c>
      <c r="BJ190" s="196">
        <v>20</v>
      </c>
      <c r="BK190" s="196"/>
      <c r="CD190" s="196">
        <f t="shared" si="188"/>
        <v>0</v>
      </c>
    </row>
    <row r="191" spans="1:85" hidden="1" x14ac:dyDescent="0.2">
      <c r="A191" s="195" t="s">
        <v>960</v>
      </c>
      <c r="B191" s="196">
        <f t="shared" si="187"/>
        <v>1262</v>
      </c>
      <c r="R191" s="196">
        <v>1262</v>
      </c>
      <c r="BK191" s="196"/>
      <c r="CD191" s="196">
        <f t="shared" si="188"/>
        <v>0</v>
      </c>
    </row>
    <row r="192" spans="1:85" hidden="1" x14ac:dyDescent="0.2">
      <c r="A192" s="195" t="s">
        <v>963</v>
      </c>
      <c r="B192" s="196">
        <f t="shared" si="187"/>
        <v>20724</v>
      </c>
      <c r="G192" s="196">
        <v>349</v>
      </c>
      <c r="S192" s="196">
        <v>20336</v>
      </c>
      <c r="BF192" s="196">
        <v>39</v>
      </c>
      <c r="BK192" s="196"/>
      <c r="CD192" s="196">
        <f t="shared" si="188"/>
        <v>0</v>
      </c>
    </row>
    <row r="193" spans="1:85" hidden="1" x14ac:dyDescent="0.2">
      <c r="A193" s="195" t="s">
        <v>959</v>
      </c>
      <c r="B193" s="196">
        <f t="shared" si="187"/>
        <v>71</v>
      </c>
      <c r="E193" s="196">
        <v>-1</v>
      </c>
      <c r="F193" s="196">
        <v>-1</v>
      </c>
      <c r="O193" s="196">
        <v>73</v>
      </c>
      <c r="BK193" s="196"/>
      <c r="CD193" s="196">
        <f t="shared" si="188"/>
        <v>0</v>
      </c>
    </row>
    <row r="194" spans="1:85" hidden="1" x14ac:dyDescent="0.2">
      <c r="A194" s="195" t="s">
        <v>1052</v>
      </c>
      <c r="B194" s="196">
        <f t="shared" si="187"/>
        <v>2582</v>
      </c>
      <c r="N194" s="196">
        <v>4</v>
      </c>
      <c r="O194" s="196">
        <v>2578</v>
      </c>
      <c r="BK194" s="196"/>
      <c r="CD194" s="196">
        <f t="shared" si="188"/>
        <v>0</v>
      </c>
    </row>
    <row r="195" spans="1:85" s="201" customFormat="1" hidden="1" x14ac:dyDescent="0.2">
      <c r="A195" s="198" t="s">
        <v>926</v>
      </c>
      <c r="B195" s="199">
        <f t="shared" ref="B195:AA195" si="189">SUM(B185:B194)</f>
        <v>176060</v>
      </c>
      <c r="C195" s="199">
        <f t="shared" si="189"/>
        <v>77461</v>
      </c>
      <c r="D195" s="199">
        <f t="shared" si="189"/>
        <v>0</v>
      </c>
      <c r="E195" s="199">
        <f>SUM(E185:E194)</f>
        <v>192</v>
      </c>
      <c r="F195" s="199">
        <f>SUM(F185:F194)</f>
        <v>192</v>
      </c>
      <c r="G195" s="199">
        <f t="shared" si="189"/>
        <v>349</v>
      </c>
      <c r="H195" s="199">
        <f t="shared" si="189"/>
        <v>0</v>
      </c>
      <c r="I195" s="199">
        <f t="shared" si="189"/>
        <v>0</v>
      </c>
      <c r="J195" s="199">
        <f t="shared" si="189"/>
        <v>0</v>
      </c>
      <c r="K195" s="199">
        <f t="shared" si="189"/>
        <v>0</v>
      </c>
      <c r="L195" s="199">
        <f t="shared" si="189"/>
        <v>10901</v>
      </c>
      <c r="M195" s="199">
        <f t="shared" si="189"/>
        <v>0</v>
      </c>
      <c r="N195" s="199">
        <f t="shared" si="189"/>
        <v>16489</v>
      </c>
      <c r="O195" s="199">
        <f t="shared" si="189"/>
        <v>7372</v>
      </c>
      <c r="P195" s="199">
        <f t="shared" si="189"/>
        <v>0</v>
      </c>
      <c r="Q195" s="199">
        <f>SUM(Q185:Q194)</f>
        <v>0</v>
      </c>
      <c r="R195" s="199">
        <f t="shared" si="189"/>
        <v>1262</v>
      </c>
      <c r="S195" s="199">
        <f>SUM(S185:S194)</f>
        <v>20336</v>
      </c>
      <c r="T195" s="199">
        <f t="shared" si="189"/>
        <v>0</v>
      </c>
      <c r="U195" s="199">
        <f>SUM(U185:U194)</f>
        <v>1804</v>
      </c>
      <c r="V195" s="199">
        <f>SUM(V185:V194)</f>
        <v>0</v>
      </c>
      <c r="W195" s="199">
        <f t="shared" si="189"/>
        <v>39128</v>
      </c>
      <c r="X195" s="199">
        <f>SUM(X185:X194)</f>
        <v>0</v>
      </c>
      <c r="Y195" s="199">
        <f t="shared" si="189"/>
        <v>0</v>
      </c>
      <c r="Z195" s="199">
        <f t="shared" si="189"/>
        <v>0</v>
      </c>
      <c r="AA195" s="199">
        <f t="shared" si="189"/>
        <v>0</v>
      </c>
      <c r="AB195" s="199">
        <f>SUM(AB185:AB194)</f>
        <v>0</v>
      </c>
      <c r="AC195" s="199"/>
      <c r="AD195" s="199"/>
      <c r="AE195" s="199"/>
      <c r="AF195" s="199">
        <f>SUM(AF185:AF194)</f>
        <v>0</v>
      </c>
      <c r="AG195" s="199"/>
      <c r="AH195" s="199"/>
      <c r="AI195" s="199"/>
      <c r="AJ195" s="199"/>
      <c r="AK195" s="199"/>
      <c r="AL195" s="199"/>
      <c r="AM195" s="199"/>
      <c r="AN195" s="199"/>
      <c r="AO195" s="199"/>
      <c r="AP195" s="199"/>
      <c r="AQ195" s="199"/>
      <c r="AR195" s="199">
        <f t="shared" ref="AR195:BZ195" si="190">SUM(AR185:AR194)</f>
        <v>0</v>
      </c>
      <c r="AS195" s="199">
        <f t="shared" si="190"/>
        <v>0</v>
      </c>
      <c r="AT195" s="199">
        <f t="shared" si="190"/>
        <v>0</v>
      </c>
      <c r="AU195" s="199">
        <f t="shared" si="190"/>
        <v>0</v>
      </c>
      <c r="AV195" s="199">
        <f t="shared" si="190"/>
        <v>0</v>
      </c>
      <c r="AW195" s="199">
        <f>SUM(AW185:AW194)</f>
        <v>0</v>
      </c>
      <c r="AX195" s="199"/>
      <c r="AY195" s="199">
        <f t="shared" si="190"/>
        <v>0</v>
      </c>
      <c r="AZ195" s="199">
        <f t="shared" si="190"/>
        <v>515</v>
      </c>
      <c r="BA195" s="199">
        <f t="shared" si="190"/>
        <v>0</v>
      </c>
      <c r="BB195" s="199">
        <f t="shared" si="190"/>
        <v>0</v>
      </c>
      <c r="BC195" s="199"/>
      <c r="BD195" s="199">
        <f t="shared" si="190"/>
        <v>0</v>
      </c>
      <c r="BE195" s="199">
        <f>SUM(BE185:BE194)</f>
        <v>0</v>
      </c>
      <c r="BF195" s="199">
        <f>SUM(BF185:BF194)</f>
        <v>39</v>
      </c>
      <c r="BG195" s="199">
        <f>SUM(BG185:BG194)</f>
        <v>0</v>
      </c>
      <c r="BH195" s="199">
        <f t="shared" si="190"/>
        <v>0</v>
      </c>
      <c r="BI195" s="199">
        <f>SUM(BI185:BI194)</f>
        <v>0</v>
      </c>
      <c r="BJ195" s="199">
        <f t="shared" si="190"/>
        <v>20</v>
      </c>
      <c r="BK195" s="199">
        <f>SUM(BK185:BK194)</f>
        <v>0</v>
      </c>
      <c r="BL195" s="199">
        <f t="shared" si="190"/>
        <v>0</v>
      </c>
      <c r="BM195" s="199">
        <f t="shared" si="190"/>
        <v>0</v>
      </c>
      <c r="BN195" s="199"/>
      <c r="BO195" s="199">
        <f t="shared" si="190"/>
        <v>0</v>
      </c>
      <c r="BP195" s="199">
        <f>SUM(BP185:BP194)</f>
        <v>0</v>
      </c>
      <c r="BQ195" s="199"/>
      <c r="BR195" s="199"/>
      <c r="BS195" s="199"/>
      <c r="BT195" s="199">
        <f t="shared" si="190"/>
        <v>0</v>
      </c>
      <c r="BU195" s="199">
        <f t="shared" si="190"/>
        <v>0</v>
      </c>
      <c r="BV195" s="199">
        <f t="shared" si="190"/>
        <v>0</v>
      </c>
      <c r="BW195" s="199">
        <f t="shared" si="190"/>
        <v>0</v>
      </c>
      <c r="BX195" s="199">
        <f t="shared" si="190"/>
        <v>0</v>
      </c>
      <c r="BY195" s="199"/>
      <c r="BZ195" s="199">
        <f t="shared" si="190"/>
        <v>0</v>
      </c>
      <c r="CA195" s="199">
        <f>SUM(CA185:CA194)</f>
        <v>0</v>
      </c>
      <c r="CB195" s="199">
        <f>SUM(CB185:CB194)</f>
        <v>0</v>
      </c>
      <c r="CC195" s="200"/>
      <c r="CD195" s="199">
        <f>SUM(CD185:CD194)</f>
        <v>0</v>
      </c>
      <c r="CE195" s="199">
        <f>SUM(CE185:CE194)</f>
        <v>0</v>
      </c>
      <c r="CF195" s="199">
        <f>SUM(CF185:CF194)</f>
        <v>0</v>
      </c>
      <c r="CG195" s="199">
        <f>SUM(CG185:CG194)</f>
        <v>0</v>
      </c>
    </row>
    <row r="196" spans="1:85" hidden="1" x14ac:dyDescent="0.2">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7"/>
      <c r="AI196" s="197"/>
      <c r="AJ196" s="197"/>
      <c r="AK196" s="197"/>
      <c r="AL196" s="197"/>
      <c r="AM196" s="197"/>
      <c r="AN196" s="197"/>
      <c r="AO196" s="197"/>
      <c r="AP196" s="197"/>
      <c r="AQ196" s="197"/>
      <c r="AR196" s="197"/>
      <c r="AS196" s="197"/>
      <c r="AT196" s="197"/>
      <c r="AU196" s="197"/>
      <c r="AV196" s="197"/>
      <c r="AW196" s="197"/>
      <c r="AX196" s="197"/>
      <c r="AY196" s="197"/>
      <c r="AZ196" s="197"/>
      <c r="BA196" s="197"/>
      <c r="BB196" s="197"/>
      <c r="BC196" s="197"/>
      <c r="BD196" s="197"/>
      <c r="BE196" s="197"/>
      <c r="BF196" s="197"/>
      <c r="BG196" s="197"/>
      <c r="BH196" s="197"/>
      <c r="BI196" s="197"/>
      <c r="BJ196" s="197"/>
      <c r="BK196" s="197"/>
      <c r="BL196" s="197"/>
      <c r="BM196" s="197"/>
      <c r="BN196" s="197"/>
      <c r="BO196" s="197"/>
      <c r="BP196" s="197"/>
      <c r="BQ196" s="197"/>
      <c r="BR196" s="197"/>
      <c r="BS196" s="197"/>
      <c r="BT196" s="197"/>
      <c r="BU196" s="197"/>
      <c r="BV196" s="197"/>
      <c r="BW196" s="197"/>
      <c r="BX196" s="197"/>
      <c r="BY196" s="197"/>
      <c r="BZ196" s="197"/>
      <c r="CA196" s="197"/>
      <c r="CB196" s="197"/>
      <c r="CD196" s="197"/>
      <c r="CE196" s="197"/>
      <c r="CF196" s="197"/>
      <c r="CG196" s="197"/>
    </row>
    <row r="197" spans="1:85" s="192" customFormat="1" hidden="1" x14ac:dyDescent="0.2">
      <c r="A197" s="193" t="s">
        <v>927</v>
      </c>
      <c r="B197" s="194"/>
      <c r="C197" s="194"/>
      <c r="D197" s="194"/>
      <c r="E197" s="194"/>
      <c r="F197" s="194"/>
      <c r="G197" s="194"/>
      <c r="H197" s="194"/>
      <c r="I197" s="194"/>
      <c r="J197" s="194"/>
      <c r="K197" s="194"/>
      <c r="L197" s="194"/>
      <c r="M197" s="194"/>
      <c r="N197" s="194"/>
      <c r="O197" s="194"/>
      <c r="P197" s="194"/>
      <c r="Q197" s="194"/>
      <c r="R197" s="194"/>
      <c r="S197" s="194"/>
      <c r="T197" s="194"/>
      <c r="U197" s="194"/>
      <c r="V197" s="194"/>
      <c r="W197" s="194"/>
      <c r="X197" s="194"/>
      <c r="Y197" s="194"/>
      <c r="Z197" s="194"/>
      <c r="AA197" s="194"/>
      <c r="AB197" s="194"/>
      <c r="AC197" s="194"/>
      <c r="AD197" s="194"/>
      <c r="AE197" s="194"/>
      <c r="AF197" s="194"/>
      <c r="AG197" s="194"/>
      <c r="AH197" s="194"/>
      <c r="AI197" s="194"/>
      <c r="AJ197" s="194"/>
      <c r="AK197" s="194"/>
      <c r="AL197" s="194"/>
      <c r="AM197" s="194"/>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4"/>
      <c r="BQ197" s="194"/>
      <c r="BR197" s="194"/>
      <c r="BS197" s="194"/>
      <c r="BT197" s="194"/>
      <c r="BU197" s="194"/>
      <c r="BV197" s="194"/>
      <c r="BW197" s="194"/>
      <c r="BX197" s="194"/>
      <c r="BY197" s="194"/>
      <c r="BZ197" s="194"/>
      <c r="CA197" s="194"/>
      <c r="CB197" s="194"/>
      <c r="CC197" s="191"/>
      <c r="CD197" s="194"/>
      <c r="CE197" s="194"/>
      <c r="CF197" s="194"/>
      <c r="CG197" s="194"/>
    </row>
    <row r="198" spans="1:85" hidden="1" x14ac:dyDescent="0.2">
      <c r="A198" s="195" t="s">
        <v>953</v>
      </c>
      <c r="B198" s="196">
        <f t="shared" ref="B198:B207" si="191">SUM(C198:CB198)</f>
        <v>1281</v>
      </c>
      <c r="E198" s="196">
        <v>478</v>
      </c>
      <c r="F198" s="196">
        <v>478</v>
      </c>
      <c r="G198" s="196">
        <v>325</v>
      </c>
      <c r="BK198" s="196"/>
      <c r="CD198" s="196">
        <f t="shared" ref="CD198:CD207" si="192">SUM(CE198:CG198)</f>
        <v>0</v>
      </c>
    </row>
    <row r="199" spans="1:85" hidden="1" x14ac:dyDescent="0.2">
      <c r="A199" s="195" t="s">
        <v>954</v>
      </c>
      <c r="B199" s="196">
        <f t="shared" si="191"/>
        <v>21182</v>
      </c>
      <c r="E199" s="196">
        <v>10387</v>
      </c>
      <c r="F199" s="196">
        <v>10387</v>
      </c>
      <c r="G199" s="196">
        <v>87</v>
      </c>
      <c r="O199" s="196">
        <v>321</v>
      </c>
      <c r="BK199" s="196"/>
      <c r="CD199" s="196">
        <f t="shared" si="192"/>
        <v>0</v>
      </c>
    </row>
    <row r="200" spans="1:85" hidden="1" x14ac:dyDescent="0.2">
      <c r="A200" s="195" t="s">
        <v>955</v>
      </c>
      <c r="B200" s="196">
        <f t="shared" si="191"/>
        <v>29657</v>
      </c>
      <c r="E200" s="196">
        <v>14797</v>
      </c>
      <c r="F200" s="196">
        <v>14797</v>
      </c>
      <c r="O200" s="196">
        <v>63</v>
      </c>
      <c r="BK200" s="196"/>
      <c r="CD200" s="196">
        <f t="shared" si="192"/>
        <v>0</v>
      </c>
    </row>
    <row r="201" spans="1:85" hidden="1" x14ac:dyDescent="0.2">
      <c r="A201" s="195" t="s">
        <v>958</v>
      </c>
      <c r="B201" s="196">
        <f t="shared" si="191"/>
        <v>292</v>
      </c>
      <c r="E201" s="196">
        <v>146</v>
      </c>
      <c r="F201" s="196">
        <v>146</v>
      </c>
      <c r="BK201" s="196"/>
      <c r="CD201" s="196">
        <f t="shared" si="192"/>
        <v>0</v>
      </c>
    </row>
    <row r="202" spans="1:85" hidden="1" x14ac:dyDescent="0.2">
      <c r="A202" s="195" t="s">
        <v>956</v>
      </c>
      <c r="B202" s="196">
        <f t="shared" si="191"/>
        <v>40634</v>
      </c>
      <c r="E202" s="196">
        <v>19849</v>
      </c>
      <c r="F202" s="196">
        <v>19849</v>
      </c>
      <c r="G202" s="196">
        <v>936</v>
      </c>
      <c r="BK202" s="196"/>
      <c r="CD202" s="196">
        <f t="shared" si="192"/>
        <v>0</v>
      </c>
    </row>
    <row r="203" spans="1:85" hidden="1" x14ac:dyDescent="0.2">
      <c r="A203" s="195" t="s">
        <v>961</v>
      </c>
      <c r="B203" s="196">
        <f t="shared" si="191"/>
        <v>5991</v>
      </c>
      <c r="E203" s="196">
        <v>1684</v>
      </c>
      <c r="F203" s="196">
        <v>1684</v>
      </c>
      <c r="G203" s="196">
        <v>1305</v>
      </c>
      <c r="O203" s="196">
        <v>9</v>
      </c>
      <c r="BJ203" s="196">
        <v>1309</v>
      </c>
      <c r="BK203" s="196"/>
      <c r="CD203" s="196">
        <f t="shared" si="192"/>
        <v>0</v>
      </c>
    </row>
    <row r="204" spans="1:85" hidden="1" x14ac:dyDescent="0.2">
      <c r="A204" s="195" t="s">
        <v>960</v>
      </c>
      <c r="B204" s="196">
        <f t="shared" si="191"/>
        <v>20782</v>
      </c>
      <c r="N204" s="196">
        <v>20782</v>
      </c>
      <c r="BK204" s="196"/>
      <c r="CD204" s="196">
        <f t="shared" si="192"/>
        <v>0</v>
      </c>
    </row>
    <row r="205" spans="1:85" hidden="1" x14ac:dyDescent="0.2">
      <c r="A205" s="195" t="s">
        <v>963</v>
      </c>
      <c r="B205" s="196">
        <f t="shared" si="191"/>
        <v>17576</v>
      </c>
      <c r="E205" s="196">
        <v>1222</v>
      </c>
      <c r="F205" s="196">
        <v>1222</v>
      </c>
      <c r="G205" s="196">
        <v>5166</v>
      </c>
      <c r="I205" s="196">
        <v>9956</v>
      </c>
      <c r="BF205" s="196">
        <v>10</v>
      </c>
      <c r="BK205" s="196"/>
      <c r="CD205" s="196">
        <f t="shared" si="192"/>
        <v>0</v>
      </c>
    </row>
    <row r="206" spans="1:85" hidden="1" x14ac:dyDescent="0.2">
      <c r="A206" s="195" t="s">
        <v>959</v>
      </c>
      <c r="B206" s="196">
        <f t="shared" si="191"/>
        <v>236904</v>
      </c>
      <c r="E206" s="196">
        <v>118380</v>
      </c>
      <c r="F206" s="196">
        <v>118380</v>
      </c>
      <c r="G206" s="196">
        <v>144</v>
      </c>
      <c r="BK206" s="196"/>
      <c r="CD206" s="196">
        <f t="shared" si="192"/>
        <v>0</v>
      </c>
    </row>
    <row r="207" spans="1:85" hidden="1" x14ac:dyDescent="0.2">
      <c r="A207" s="195" t="s">
        <v>1052</v>
      </c>
      <c r="B207" s="196">
        <f t="shared" si="191"/>
        <v>9802</v>
      </c>
      <c r="E207" s="196">
        <v>270</v>
      </c>
      <c r="F207" s="196">
        <v>270</v>
      </c>
      <c r="J207" s="196">
        <v>6317</v>
      </c>
      <c r="O207" s="196">
        <v>445</v>
      </c>
      <c r="BK207" s="196"/>
      <c r="BM207" s="196">
        <v>2500</v>
      </c>
      <c r="CD207" s="196">
        <f t="shared" si="192"/>
        <v>0</v>
      </c>
    </row>
    <row r="208" spans="1:85" s="201" customFormat="1" hidden="1" x14ac:dyDescent="0.2">
      <c r="A208" s="198" t="s">
        <v>928</v>
      </c>
      <c r="B208" s="199">
        <f t="shared" ref="B208:AA208" si="193">SUM(B198:B207)</f>
        <v>384101</v>
      </c>
      <c r="C208" s="199">
        <f t="shared" si="193"/>
        <v>0</v>
      </c>
      <c r="D208" s="199">
        <f t="shared" si="193"/>
        <v>0</v>
      </c>
      <c r="E208" s="199">
        <f>SUM(E198:E207)</f>
        <v>167213</v>
      </c>
      <c r="F208" s="199">
        <f>SUM(F198:F207)</f>
        <v>167213</v>
      </c>
      <c r="G208" s="199">
        <f t="shared" si="193"/>
        <v>7963</v>
      </c>
      <c r="H208" s="199">
        <f t="shared" si="193"/>
        <v>0</v>
      </c>
      <c r="I208" s="199">
        <f t="shared" si="193"/>
        <v>9956</v>
      </c>
      <c r="J208" s="199">
        <f t="shared" si="193"/>
        <v>6317</v>
      </c>
      <c r="K208" s="199">
        <f t="shared" si="193"/>
        <v>0</v>
      </c>
      <c r="L208" s="199">
        <f t="shared" si="193"/>
        <v>0</v>
      </c>
      <c r="M208" s="199">
        <f t="shared" si="193"/>
        <v>0</v>
      </c>
      <c r="N208" s="199">
        <f t="shared" si="193"/>
        <v>20782</v>
      </c>
      <c r="O208" s="199">
        <f t="shared" si="193"/>
        <v>838</v>
      </c>
      <c r="P208" s="199">
        <f t="shared" si="193"/>
        <v>0</v>
      </c>
      <c r="Q208" s="199">
        <f>SUM(Q198:Q207)</f>
        <v>0</v>
      </c>
      <c r="R208" s="199">
        <f t="shared" si="193"/>
        <v>0</v>
      </c>
      <c r="S208" s="199">
        <f>SUM(S198:S207)</f>
        <v>0</v>
      </c>
      <c r="T208" s="199">
        <f t="shared" si="193"/>
        <v>0</v>
      </c>
      <c r="U208" s="199">
        <f>SUM(U198:U207)</f>
        <v>0</v>
      </c>
      <c r="V208" s="199">
        <f>SUM(V198:V207)</f>
        <v>0</v>
      </c>
      <c r="W208" s="199">
        <f t="shared" si="193"/>
        <v>0</v>
      </c>
      <c r="X208" s="199">
        <f>SUM(X198:X207)</f>
        <v>0</v>
      </c>
      <c r="Y208" s="199">
        <f t="shared" si="193"/>
        <v>0</v>
      </c>
      <c r="Z208" s="199">
        <f t="shared" si="193"/>
        <v>0</v>
      </c>
      <c r="AA208" s="199">
        <f t="shared" si="193"/>
        <v>0</v>
      </c>
      <c r="AB208" s="199">
        <f>SUM(AB198:AB207)</f>
        <v>0</v>
      </c>
      <c r="AC208" s="199"/>
      <c r="AD208" s="199"/>
      <c r="AE208" s="199"/>
      <c r="AF208" s="199">
        <f>SUM(AF198:AF207)</f>
        <v>0</v>
      </c>
      <c r="AG208" s="199"/>
      <c r="AH208" s="199"/>
      <c r="AI208" s="199"/>
      <c r="AJ208" s="199"/>
      <c r="AK208" s="199"/>
      <c r="AL208" s="199"/>
      <c r="AM208" s="199"/>
      <c r="AN208" s="199"/>
      <c r="AO208" s="199"/>
      <c r="AP208" s="199"/>
      <c r="AQ208" s="199"/>
      <c r="AR208" s="199">
        <f t="shared" ref="AR208:BZ208" si="194">SUM(AR198:AR207)</f>
        <v>0</v>
      </c>
      <c r="AS208" s="199">
        <f t="shared" si="194"/>
        <v>0</v>
      </c>
      <c r="AT208" s="199">
        <f t="shared" si="194"/>
        <v>0</v>
      </c>
      <c r="AU208" s="199">
        <f t="shared" si="194"/>
        <v>0</v>
      </c>
      <c r="AV208" s="199">
        <f t="shared" si="194"/>
        <v>0</v>
      </c>
      <c r="AW208" s="199">
        <f>SUM(AW198:AW207)</f>
        <v>0</v>
      </c>
      <c r="AX208" s="199"/>
      <c r="AY208" s="199">
        <f t="shared" si="194"/>
        <v>0</v>
      </c>
      <c r="AZ208" s="199">
        <f t="shared" si="194"/>
        <v>0</v>
      </c>
      <c r="BA208" s="199">
        <f t="shared" si="194"/>
        <v>0</v>
      </c>
      <c r="BB208" s="199">
        <f t="shared" si="194"/>
        <v>0</v>
      </c>
      <c r="BC208" s="199"/>
      <c r="BD208" s="199">
        <f t="shared" si="194"/>
        <v>0</v>
      </c>
      <c r="BE208" s="199">
        <f>SUM(BE198:BE207)</f>
        <v>0</v>
      </c>
      <c r="BF208" s="199">
        <f>SUM(BF198:BF207)</f>
        <v>10</v>
      </c>
      <c r="BG208" s="199">
        <f>SUM(BG198:BG207)</f>
        <v>0</v>
      </c>
      <c r="BH208" s="199">
        <f t="shared" si="194"/>
        <v>0</v>
      </c>
      <c r="BI208" s="199">
        <f>SUM(BI198:BI207)</f>
        <v>0</v>
      </c>
      <c r="BJ208" s="199">
        <f t="shared" si="194"/>
        <v>1309</v>
      </c>
      <c r="BK208" s="199">
        <f>SUM(BK198:BK207)</f>
        <v>0</v>
      </c>
      <c r="BL208" s="199">
        <f t="shared" si="194"/>
        <v>0</v>
      </c>
      <c r="BM208" s="199">
        <f t="shared" si="194"/>
        <v>2500</v>
      </c>
      <c r="BN208" s="199"/>
      <c r="BO208" s="199">
        <f t="shared" si="194"/>
        <v>0</v>
      </c>
      <c r="BP208" s="199">
        <f>SUM(BP198:BP207)</f>
        <v>0</v>
      </c>
      <c r="BQ208" s="199"/>
      <c r="BR208" s="199"/>
      <c r="BS208" s="199"/>
      <c r="BT208" s="199">
        <f t="shared" si="194"/>
        <v>0</v>
      </c>
      <c r="BU208" s="199">
        <f t="shared" si="194"/>
        <v>0</v>
      </c>
      <c r="BV208" s="199">
        <f t="shared" si="194"/>
        <v>0</v>
      </c>
      <c r="BW208" s="199">
        <f t="shared" si="194"/>
        <v>0</v>
      </c>
      <c r="BX208" s="199">
        <f t="shared" si="194"/>
        <v>0</v>
      </c>
      <c r="BY208" s="199"/>
      <c r="BZ208" s="199">
        <f t="shared" si="194"/>
        <v>0</v>
      </c>
      <c r="CA208" s="199">
        <f>SUM(CA198:CA207)</f>
        <v>0</v>
      </c>
      <c r="CB208" s="199">
        <f>SUM(CB198:CB207)</f>
        <v>0</v>
      </c>
      <c r="CC208" s="200"/>
      <c r="CD208" s="199">
        <f>SUM(CD198:CD207)</f>
        <v>0</v>
      </c>
      <c r="CE208" s="199">
        <f>SUM(CE198:CE207)</f>
        <v>0</v>
      </c>
      <c r="CF208" s="199">
        <f>SUM(CF198:CF207)</f>
        <v>0</v>
      </c>
      <c r="CG208" s="199">
        <f>SUM(CG198:CG207)</f>
        <v>0</v>
      </c>
    </row>
    <row r="209" spans="1:85" hidden="1" x14ac:dyDescent="0.2">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7"/>
      <c r="AI209" s="197"/>
      <c r="AJ209" s="197"/>
      <c r="AK209" s="197"/>
      <c r="AL209" s="197"/>
      <c r="AM209" s="197"/>
      <c r="AN209" s="197"/>
      <c r="AO209" s="197"/>
      <c r="AP209" s="197"/>
      <c r="AQ209" s="197"/>
      <c r="AR209" s="197"/>
      <c r="AS209" s="197"/>
      <c r="AT209" s="197"/>
      <c r="AU209" s="197"/>
      <c r="AV209" s="197"/>
      <c r="AW209" s="197"/>
      <c r="AX209" s="197"/>
      <c r="AY209" s="197"/>
      <c r="AZ209" s="197"/>
      <c r="BA209" s="197"/>
      <c r="BB209" s="197"/>
      <c r="BC209" s="197"/>
      <c r="BD209" s="197"/>
      <c r="BE209" s="197"/>
      <c r="BF209" s="197"/>
      <c r="BG209" s="197"/>
      <c r="BH209" s="197"/>
      <c r="BI209" s="197"/>
      <c r="BJ209" s="197"/>
      <c r="BK209" s="197"/>
      <c r="BL209" s="197"/>
      <c r="BM209" s="197"/>
      <c r="BN209" s="197"/>
      <c r="BO209" s="197"/>
      <c r="BP209" s="197"/>
      <c r="BQ209" s="197"/>
      <c r="BR209" s="197"/>
      <c r="BS209" s="197"/>
      <c r="BT209" s="197"/>
      <c r="BU209" s="197"/>
      <c r="BV209" s="197"/>
      <c r="BW209" s="197"/>
      <c r="BX209" s="197"/>
      <c r="BY209" s="197"/>
      <c r="BZ209" s="197"/>
      <c r="CA209" s="197"/>
      <c r="CB209" s="197"/>
      <c r="CD209" s="197"/>
      <c r="CE209" s="197"/>
      <c r="CF209" s="197"/>
      <c r="CG209" s="197"/>
    </row>
    <row r="210" spans="1:85" s="192" customFormat="1" hidden="1" x14ac:dyDescent="0.2">
      <c r="A210" s="193" t="s">
        <v>929</v>
      </c>
      <c r="B210" s="194"/>
      <c r="C210" s="194"/>
      <c r="D210" s="194"/>
      <c r="E210" s="194"/>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AW210" s="194"/>
      <c r="AX210" s="194"/>
      <c r="AY210" s="194"/>
      <c r="AZ210" s="194"/>
      <c r="BA210" s="194"/>
      <c r="BB210" s="194"/>
      <c r="BC210" s="194"/>
      <c r="BD210" s="194"/>
      <c r="BE210" s="194"/>
      <c r="BF210" s="194"/>
      <c r="BG210" s="194"/>
      <c r="BH210" s="194"/>
      <c r="BI210" s="194"/>
      <c r="BJ210" s="194"/>
      <c r="BK210" s="194"/>
      <c r="BL210" s="194"/>
      <c r="BM210" s="194"/>
      <c r="BN210" s="194"/>
      <c r="BO210" s="194"/>
      <c r="BP210" s="194"/>
      <c r="BQ210" s="194"/>
      <c r="BR210" s="194"/>
      <c r="BS210" s="194"/>
      <c r="BT210" s="194"/>
      <c r="BU210" s="194"/>
      <c r="BV210" s="194"/>
      <c r="BW210" s="194"/>
      <c r="BX210" s="194"/>
      <c r="BY210" s="194"/>
      <c r="BZ210" s="194"/>
      <c r="CA210" s="194"/>
      <c r="CB210" s="194"/>
      <c r="CC210" s="191"/>
      <c r="CD210" s="194"/>
      <c r="CE210" s="194"/>
      <c r="CF210" s="194"/>
      <c r="CG210" s="194"/>
    </row>
    <row r="211" spans="1:85" hidden="1" x14ac:dyDescent="0.2">
      <c r="A211" s="195" t="s">
        <v>953</v>
      </c>
      <c r="B211" s="196">
        <f t="shared" ref="B211:B220" si="195">SUM(C211:CB211)</f>
        <v>504</v>
      </c>
      <c r="AF211" s="196">
        <v>-471</v>
      </c>
      <c r="AR211" s="196">
        <v>-89</v>
      </c>
      <c r="AT211" s="196">
        <v>-255</v>
      </c>
      <c r="BK211" s="196"/>
      <c r="BX211" s="196">
        <v>1319</v>
      </c>
      <c r="CD211" s="196">
        <f t="shared" ref="CD211:CD220" si="196">SUM(CE211:CG211)</f>
        <v>0</v>
      </c>
    </row>
    <row r="212" spans="1:85" hidden="1" x14ac:dyDescent="0.2">
      <c r="A212" s="195" t="s">
        <v>954</v>
      </c>
      <c r="B212" s="196">
        <f t="shared" si="195"/>
        <v>10648</v>
      </c>
      <c r="E212" s="196">
        <v>4506</v>
      </c>
      <c r="F212" s="196">
        <v>4506</v>
      </c>
      <c r="AT212" s="196">
        <v>1636</v>
      </c>
      <c r="BK212" s="196"/>
      <c r="CD212" s="196">
        <f t="shared" si="196"/>
        <v>0</v>
      </c>
    </row>
    <row r="213" spans="1:85" hidden="1" x14ac:dyDescent="0.2">
      <c r="A213" s="195" t="s">
        <v>955</v>
      </c>
      <c r="B213" s="196">
        <f t="shared" si="195"/>
        <v>18353</v>
      </c>
      <c r="E213" s="196">
        <v>632</v>
      </c>
      <c r="F213" s="196">
        <v>632</v>
      </c>
      <c r="G213" s="196">
        <v>385</v>
      </c>
      <c r="AF213" s="196">
        <v>8114</v>
      </c>
      <c r="AR213" s="196">
        <v>5616</v>
      </c>
      <c r="AT213" s="196">
        <v>771</v>
      </c>
      <c r="AU213" s="196">
        <v>2203</v>
      </c>
      <c r="BK213" s="196"/>
      <c r="CD213" s="196">
        <f t="shared" si="196"/>
        <v>0</v>
      </c>
    </row>
    <row r="214" spans="1:85" hidden="1" x14ac:dyDescent="0.2">
      <c r="A214" s="195" t="s">
        <v>958</v>
      </c>
      <c r="B214" s="196">
        <f t="shared" si="195"/>
        <v>0</v>
      </c>
      <c r="BK214" s="196"/>
      <c r="CD214" s="196">
        <f t="shared" si="196"/>
        <v>0</v>
      </c>
    </row>
    <row r="215" spans="1:85" hidden="1" x14ac:dyDescent="0.2">
      <c r="A215" s="195" t="s">
        <v>956</v>
      </c>
      <c r="B215" s="196">
        <f t="shared" si="195"/>
        <v>1545</v>
      </c>
      <c r="E215" s="196">
        <v>696</v>
      </c>
      <c r="F215" s="196">
        <v>696</v>
      </c>
      <c r="G215" s="196">
        <v>153</v>
      </c>
      <c r="BK215" s="196"/>
      <c r="CD215" s="196">
        <f t="shared" si="196"/>
        <v>0</v>
      </c>
    </row>
    <row r="216" spans="1:85" hidden="1" x14ac:dyDescent="0.2">
      <c r="A216" s="195" t="s">
        <v>961</v>
      </c>
      <c r="B216" s="196">
        <f t="shared" si="195"/>
        <v>0</v>
      </c>
      <c r="BK216" s="196"/>
      <c r="CD216" s="196">
        <f t="shared" si="196"/>
        <v>0</v>
      </c>
    </row>
    <row r="217" spans="1:85" hidden="1" x14ac:dyDescent="0.2">
      <c r="A217" s="195" t="s">
        <v>960</v>
      </c>
      <c r="B217" s="196">
        <f t="shared" si="195"/>
        <v>-2</v>
      </c>
      <c r="AF217" s="196">
        <v>16</v>
      </c>
      <c r="AT217" s="196">
        <v>-18</v>
      </c>
      <c r="BK217" s="196"/>
      <c r="CD217" s="196">
        <f t="shared" si="196"/>
        <v>0</v>
      </c>
    </row>
    <row r="218" spans="1:85" hidden="1" x14ac:dyDescent="0.2">
      <c r="A218" s="195" t="s">
        <v>963</v>
      </c>
      <c r="B218" s="196">
        <f t="shared" si="195"/>
        <v>2517</v>
      </c>
      <c r="G218" s="196">
        <v>420</v>
      </c>
      <c r="AR218" s="196">
        <v>2097</v>
      </c>
      <c r="BK218" s="196"/>
      <c r="CD218" s="196">
        <f t="shared" si="196"/>
        <v>0</v>
      </c>
    </row>
    <row r="219" spans="1:85" hidden="1" x14ac:dyDescent="0.2">
      <c r="A219" s="195" t="s">
        <v>959</v>
      </c>
      <c r="B219" s="196">
        <f t="shared" si="195"/>
        <v>426</v>
      </c>
      <c r="E219" s="196">
        <v>213</v>
      </c>
      <c r="F219" s="196">
        <v>213</v>
      </c>
      <c r="BK219" s="196"/>
      <c r="CD219" s="196">
        <f t="shared" si="196"/>
        <v>0</v>
      </c>
    </row>
    <row r="220" spans="1:85" hidden="1" x14ac:dyDescent="0.2">
      <c r="A220" s="195" t="s">
        <v>1052</v>
      </c>
      <c r="B220" s="196">
        <f t="shared" si="195"/>
        <v>62917</v>
      </c>
      <c r="Z220" s="196">
        <v>524</v>
      </c>
      <c r="BD220" s="196">
        <v>62393</v>
      </c>
      <c r="BK220" s="196"/>
      <c r="CD220" s="196">
        <f t="shared" si="196"/>
        <v>0</v>
      </c>
    </row>
    <row r="221" spans="1:85" s="201" customFormat="1" hidden="1" x14ac:dyDescent="0.2">
      <c r="A221" s="198" t="s">
        <v>930</v>
      </c>
      <c r="B221" s="199">
        <f t="shared" ref="B221:AA221" si="197">SUM(B211:B220)</f>
        <v>96908</v>
      </c>
      <c r="C221" s="199">
        <f t="shared" si="197"/>
        <v>0</v>
      </c>
      <c r="D221" s="199">
        <f t="shared" si="197"/>
        <v>0</v>
      </c>
      <c r="E221" s="199">
        <f>SUM(E211:E220)</f>
        <v>6047</v>
      </c>
      <c r="F221" s="199">
        <f>SUM(F211:F220)</f>
        <v>6047</v>
      </c>
      <c r="G221" s="199">
        <f t="shared" si="197"/>
        <v>958</v>
      </c>
      <c r="H221" s="199">
        <f t="shared" si="197"/>
        <v>0</v>
      </c>
      <c r="I221" s="199">
        <f t="shared" si="197"/>
        <v>0</v>
      </c>
      <c r="J221" s="199">
        <f t="shared" si="197"/>
        <v>0</v>
      </c>
      <c r="K221" s="199">
        <f t="shared" si="197"/>
        <v>0</v>
      </c>
      <c r="L221" s="199">
        <f t="shared" si="197"/>
        <v>0</v>
      </c>
      <c r="M221" s="199">
        <f t="shared" si="197"/>
        <v>0</v>
      </c>
      <c r="N221" s="199">
        <f t="shared" si="197"/>
        <v>0</v>
      </c>
      <c r="O221" s="199">
        <f t="shared" si="197"/>
        <v>0</v>
      </c>
      <c r="P221" s="199">
        <f t="shared" si="197"/>
        <v>0</v>
      </c>
      <c r="Q221" s="199">
        <f>SUM(Q211:Q220)</f>
        <v>0</v>
      </c>
      <c r="R221" s="199">
        <f t="shared" si="197"/>
        <v>0</v>
      </c>
      <c r="S221" s="199">
        <f>SUM(S211:S220)</f>
        <v>0</v>
      </c>
      <c r="T221" s="199">
        <f t="shared" si="197"/>
        <v>0</v>
      </c>
      <c r="U221" s="199">
        <f>SUM(U211:U220)</f>
        <v>0</v>
      </c>
      <c r="V221" s="199">
        <f>SUM(V211:V220)</f>
        <v>0</v>
      </c>
      <c r="W221" s="199">
        <f t="shared" si="197"/>
        <v>0</v>
      </c>
      <c r="X221" s="199">
        <f>SUM(X211:X220)</f>
        <v>0</v>
      </c>
      <c r="Y221" s="199">
        <f t="shared" si="197"/>
        <v>0</v>
      </c>
      <c r="Z221" s="199">
        <f t="shared" si="197"/>
        <v>524</v>
      </c>
      <c r="AA221" s="199">
        <f t="shared" si="197"/>
        <v>0</v>
      </c>
      <c r="AB221" s="199">
        <f>SUM(AB211:AB220)</f>
        <v>0</v>
      </c>
      <c r="AC221" s="199"/>
      <c r="AD221" s="199"/>
      <c r="AE221" s="199"/>
      <c r="AF221" s="199">
        <f>SUM(AF211:AF220)</f>
        <v>7659</v>
      </c>
      <c r="AG221" s="199"/>
      <c r="AH221" s="199"/>
      <c r="AI221" s="199"/>
      <c r="AJ221" s="199"/>
      <c r="AK221" s="199"/>
      <c r="AL221" s="199"/>
      <c r="AM221" s="199"/>
      <c r="AN221" s="199"/>
      <c r="AO221" s="199"/>
      <c r="AP221" s="199"/>
      <c r="AQ221" s="199"/>
      <c r="AR221" s="199">
        <f t="shared" ref="AR221:BZ221" si="198">SUM(AR211:AR220)</f>
        <v>7624</v>
      </c>
      <c r="AS221" s="199">
        <f t="shared" si="198"/>
        <v>0</v>
      </c>
      <c r="AT221" s="199">
        <f t="shared" si="198"/>
        <v>2134</v>
      </c>
      <c r="AU221" s="199">
        <f t="shared" si="198"/>
        <v>2203</v>
      </c>
      <c r="AV221" s="199">
        <f t="shared" si="198"/>
        <v>0</v>
      </c>
      <c r="AW221" s="199">
        <f>SUM(AW211:AW220)</f>
        <v>0</v>
      </c>
      <c r="AX221" s="199"/>
      <c r="AY221" s="199">
        <f t="shared" si="198"/>
        <v>0</v>
      </c>
      <c r="AZ221" s="199">
        <f t="shared" si="198"/>
        <v>0</v>
      </c>
      <c r="BA221" s="199">
        <f t="shared" si="198"/>
        <v>0</v>
      </c>
      <c r="BB221" s="199">
        <f t="shared" si="198"/>
        <v>0</v>
      </c>
      <c r="BC221" s="199"/>
      <c r="BD221" s="199">
        <f t="shared" si="198"/>
        <v>62393</v>
      </c>
      <c r="BE221" s="199">
        <f>SUM(BE211:BE220)</f>
        <v>0</v>
      </c>
      <c r="BF221" s="199">
        <f>SUM(BF211:BF220)</f>
        <v>0</v>
      </c>
      <c r="BG221" s="199">
        <f>SUM(BG211:BG220)</f>
        <v>0</v>
      </c>
      <c r="BH221" s="199">
        <f t="shared" si="198"/>
        <v>0</v>
      </c>
      <c r="BI221" s="199">
        <f>SUM(BI211:BI220)</f>
        <v>0</v>
      </c>
      <c r="BJ221" s="199">
        <f t="shared" si="198"/>
        <v>0</v>
      </c>
      <c r="BK221" s="199">
        <f>SUM(BK211:BK220)</f>
        <v>0</v>
      </c>
      <c r="BL221" s="199">
        <f t="shared" si="198"/>
        <v>0</v>
      </c>
      <c r="BM221" s="199">
        <f t="shared" si="198"/>
        <v>0</v>
      </c>
      <c r="BN221" s="199"/>
      <c r="BO221" s="199">
        <f t="shared" si="198"/>
        <v>0</v>
      </c>
      <c r="BP221" s="199">
        <f>SUM(BP211:BP220)</f>
        <v>0</v>
      </c>
      <c r="BQ221" s="199"/>
      <c r="BR221" s="199"/>
      <c r="BS221" s="199"/>
      <c r="BT221" s="199">
        <f t="shared" si="198"/>
        <v>0</v>
      </c>
      <c r="BU221" s="199">
        <f t="shared" si="198"/>
        <v>0</v>
      </c>
      <c r="BV221" s="199">
        <f t="shared" si="198"/>
        <v>0</v>
      </c>
      <c r="BW221" s="199">
        <f t="shared" si="198"/>
        <v>0</v>
      </c>
      <c r="BX221" s="199">
        <f t="shared" si="198"/>
        <v>1319</v>
      </c>
      <c r="BY221" s="199"/>
      <c r="BZ221" s="199">
        <f t="shared" si="198"/>
        <v>0</v>
      </c>
      <c r="CA221" s="199">
        <f>SUM(CA211:CA220)</f>
        <v>0</v>
      </c>
      <c r="CB221" s="199">
        <f>SUM(CB211:CB220)</f>
        <v>0</v>
      </c>
      <c r="CC221" s="200"/>
      <c r="CD221" s="199">
        <f>SUM(CD211:CD220)</f>
        <v>0</v>
      </c>
      <c r="CE221" s="199">
        <f>SUM(CE211:CE220)</f>
        <v>0</v>
      </c>
      <c r="CF221" s="199">
        <f>SUM(CF211:CF220)</f>
        <v>0</v>
      </c>
      <c r="CG221" s="199">
        <f>SUM(CG211:CG220)</f>
        <v>0</v>
      </c>
    </row>
    <row r="222" spans="1:85" hidden="1" x14ac:dyDescent="0.2">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7"/>
      <c r="AI222" s="197"/>
      <c r="AJ222" s="197"/>
      <c r="AK222" s="197"/>
      <c r="AL222" s="197"/>
      <c r="AM222" s="197"/>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7"/>
      <c r="BQ222" s="197"/>
      <c r="BR222" s="197"/>
      <c r="BS222" s="197"/>
      <c r="BT222" s="197"/>
      <c r="BU222" s="197"/>
      <c r="BV222" s="197"/>
      <c r="BW222" s="197"/>
      <c r="BX222" s="197"/>
      <c r="BY222" s="197"/>
      <c r="BZ222" s="197"/>
      <c r="CA222" s="197"/>
      <c r="CB222" s="197"/>
      <c r="CD222" s="197"/>
      <c r="CE222" s="197"/>
      <c r="CF222" s="197"/>
      <c r="CG222" s="197"/>
    </row>
    <row r="223" spans="1:85" hidden="1" x14ac:dyDescent="0.2">
      <c r="A223" s="193" t="s">
        <v>931</v>
      </c>
      <c r="BK223" s="196"/>
    </row>
    <row r="224" spans="1:85" hidden="1" x14ac:dyDescent="0.2">
      <c r="A224" s="195" t="s">
        <v>869</v>
      </c>
      <c r="BK224" s="196"/>
      <c r="CD224" s="196">
        <f t="shared" ref="CD224:CD234" si="199">SUM(CE224:CG224)</f>
        <v>0</v>
      </c>
    </row>
    <row r="225" spans="1:85" hidden="1" x14ac:dyDescent="0.2">
      <c r="A225" s="203" t="s">
        <v>870</v>
      </c>
      <c r="B225" s="196">
        <f t="shared" ref="B225:B234" si="200">SUM(C225:CB225)</f>
        <v>406579</v>
      </c>
      <c r="C225" s="196">
        <v>247973</v>
      </c>
      <c r="D225" s="196">
        <v>148389</v>
      </c>
      <c r="X225" s="196">
        <v>10217</v>
      </c>
      <c r="BK225" s="196"/>
      <c r="CD225" s="196">
        <f t="shared" si="199"/>
        <v>0</v>
      </c>
    </row>
    <row r="226" spans="1:85" hidden="1" x14ac:dyDescent="0.2">
      <c r="A226" s="203" t="s">
        <v>871</v>
      </c>
      <c r="B226" s="196">
        <f t="shared" si="200"/>
        <v>223475</v>
      </c>
      <c r="C226" s="196">
        <v>188741</v>
      </c>
      <c r="K226" s="196">
        <v>11077</v>
      </c>
      <c r="Q226" s="196">
        <v>23657</v>
      </c>
      <c r="BK226" s="196"/>
      <c r="CD226" s="196">
        <f t="shared" si="199"/>
        <v>0</v>
      </c>
    </row>
    <row r="227" spans="1:85" hidden="1" x14ac:dyDescent="0.2">
      <c r="A227" s="203" t="s">
        <v>872</v>
      </c>
      <c r="B227" s="196">
        <f t="shared" si="200"/>
        <v>5921</v>
      </c>
      <c r="C227" s="196">
        <v>5921</v>
      </c>
      <c r="BK227" s="196"/>
      <c r="CD227" s="196">
        <f t="shared" si="199"/>
        <v>0</v>
      </c>
    </row>
    <row r="228" spans="1:85" hidden="1" x14ac:dyDescent="0.2">
      <c r="A228" s="203" t="s">
        <v>873</v>
      </c>
      <c r="B228" s="196">
        <f t="shared" si="200"/>
        <v>35913</v>
      </c>
      <c r="C228" s="196">
        <v>35913</v>
      </c>
      <c r="BK228" s="196"/>
      <c r="CD228" s="196">
        <f t="shared" si="199"/>
        <v>0</v>
      </c>
    </row>
    <row r="229" spans="1:85" hidden="1" x14ac:dyDescent="0.2">
      <c r="A229" s="203" t="s">
        <v>874</v>
      </c>
      <c r="B229" s="196">
        <f t="shared" si="200"/>
        <v>59734</v>
      </c>
      <c r="N229" s="196">
        <v>46460</v>
      </c>
      <c r="P229" s="196">
        <v>13274</v>
      </c>
      <c r="BK229" s="196"/>
      <c r="CD229" s="196">
        <f t="shared" si="199"/>
        <v>0</v>
      </c>
    </row>
    <row r="230" spans="1:85" hidden="1" x14ac:dyDescent="0.2">
      <c r="A230" s="195" t="s">
        <v>944</v>
      </c>
      <c r="B230" s="196">
        <f t="shared" si="200"/>
        <v>3885</v>
      </c>
      <c r="C230" s="196">
        <v>2336</v>
      </c>
      <c r="D230" s="196">
        <v>1393</v>
      </c>
      <c r="N230" s="196">
        <v>121</v>
      </c>
      <c r="P230" s="196">
        <v>35</v>
      </c>
      <c r="BK230" s="196"/>
      <c r="CD230" s="196">
        <f t="shared" si="199"/>
        <v>0</v>
      </c>
    </row>
    <row r="231" spans="1:85" hidden="1" x14ac:dyDescent="0.2">
      <c r="A231" s="195" t="s">
        <v>947</v>
      </c>
      <c r="B231" s="196">
        <f t="shared" si="200"/>
        <v>293114</v>
      </c>
      <c r="C231" s="196">
        <v>292726</v>
      </c>
      <c r="T231" s="196">
        <v>388</v>
      </c>
      <c r="BK231" s="196"/>
      <c r="CD231" s="196">
        <f t="shared" si="199"/>
        <v>0</v>
      </c>
    </row>
    <row r="232" spans="1:85" hidden="1" x14ac:dyDescent="0.2">
      <c r="A232" s="195" t="s">
        <v>774</v>
      </c>
      <c r="B232" s="196">
        <f t="shared" si="200"/>
        <v>6077</v>
      </c>
      <c r="C232" s="196">
        <v>1853</v>
      </c>
      <c r="D232" s="196">
        <v>843</v>
      </c>
      <c r="E232" s="196">
        <v>8</v>
      </c>
      <c r="F232" s="196">
        <v>8</v>
      </c>
      <c r="G232" s="196">
        <v>155</v>
      </c>
      <c r="H232" s="196">
        <v>16</v>
      </c>
      <c r="J232" s="196">
        <v>47</v>
      </c>
      <c r="K232" s="196">
        <v>46</v>
      </c>
      <c r="L232" s="196">
        <v>1</v>
      </c>
      <c r="M232" s="196">
        <v>23</v>
      </c>
      <c r="N232" s="196">
        <v>159</v>
      </c>
      <c r="O232" s="196">
        <v>308</v>
      </c>
      <c r="P232" s="196">
        <v>90</v>
      </c>
      <c r="Q232" s="196">
        <v>144</v>
      </c>
      <c r="R232" s="196">
        <v>9</v>
      </c>
      <c r="S232" s="196">
        <v>6</v>
      </c>
      <c r="T232" s="196">
        <v>6</v>
      </c>
      <c r="U232" s="196">
        <v>3</v>
      </c>
      <c r="V232" s="196">
        <v>106</v>
      </c>
      <c r="W232" s="196">
        <v>165</v>
      </c>
      <c r="X232" s="196">
        <v>46</v>
      </c>
      <c r="Y232" s="196">
        <v>1</v>
      </c>
      <c r="Z232" s="196">
        <v>17</v>
      </c>
      <c r="AA232" s="196">
        <v>58</v>
      </c>
      <c r="AB232" s="196">
        <v>552</v>
      </c>
      <c r="AU232" s="196">
        <v>121</v>
      </c>
      <c r="AV232" s="196">
        <v>2</v>
      </c>
      <c r="AW232" s="196">
        <v>200</v>
      </c>
      <c r="AY232" s="196">
        <v>2</v>
      </c>
      <c r="AZ232" s="196">
        <v>10</v>
      </c>
      <c r="BA232" s="196">
        <v>2</v>
      </c>
      <c r="BB232" s="196">
        <v>2</v>
      </c>
      <c r="BD232" s="196">
        <v>1</v>
      </c>
      <c r="BJ232" s="196">
        <v>493</v>
      </c>
      <c r="BK232" s="196">
        <v>22</v>
      </c>
      <c r="BT232" s="196">
        <v>129</v>
      </c>
      <c r="BU232" s="196">
        <v>113</v>
      </c>
      <c r="BV232" s="196">
        <v>123</v>
      </c>
      <c r="BW232" s="196">
        <v>43</v>
      </c>
      <c r="BX232" s="196">
        <v>144</v>
      </c>
      <c r="CD232" s="196">
        <f t="shared" si="199"/>
        <v>0</v>
      </c>
    </row>
    <row r="233" spans="1:85" hidden="1" x14ac:dyDescent="0.2">
      <c r="A233" s="195" t="s">
        <v>775</v>
      </c>
      <c r="B233" s="196">
        <f t="shared" si="200"/>
        <v>25163</v>
      </c>
      <c r="C233" s="196">
        <v>10267</v>
      </c>
      <c r="D233" s="196">
        <v>384</v>
      </c>
      <c r="H233" s="196">
        <v>3769</v>
      </c>
      <c r="N233" s="196">
        <v>1031</v>
      </c>
      <c r="O233" s="196">
        <v>4633</v>
      </c>
      <c r="P233" s="196">
        <v>1</v>
      </c>
      <c r="R233" s="196">
        <v>7</v>
      </c>
      <c r="S233" s="196">
        <v>1067</v>
      </c>
      <c r="V233" s="196">
        <v>147</v>
      </c>
      <c r="W233" s="196">
        <v>98</v>
      </c>
      <c r="X233" s="196">
        <v>16</v>
      </c>
      <c r="Y233" s="196">
        <v>48</v>
      </c>
      <c r="AZ233" s="196">
        <v>1</v>
      </c>
      <c r="BH233" s="196">
        <v>353</v>
      </c>
      <c r="BK233" s="196"/>
      <c r="BL233" s="196">
        <v>1661</v>
      </c>
      <c r="BO233" s="196">
        <v>75</v>
      </c>
      <c r="BT233" s="196">
        <v>493</v>
      </c>
      <c r="BU233" s="196">
        <v>224</v>
      </c>
      <c r="BV233" s="196">
        <v>372</v>
      </c>
      <c r="BW233" s="196">
        <v>286</v>
      </c>
      <c r="BX233" s="196">
        <f>230+1149*0</f>
        <v>230</v>
      </c>
      <c r="CD233" s="196">
        <f t="shared" si="199"/>
        <v>0</v>
      </c>
    </row>
    <row r="234" spans="1:85" hidden="1" x14ac:dyDescent="0.2">
      <c r="A234" s="195" t="s">
        <v>778</v>
      </c>
      <c r="B234" s="196">
        <f t="shared" si="200"/>
        <v>77248</v>
      </c>
      <c r="C234" s="196">
        <v>-17674</v>
      </c>
      <c r="D234" s="196">
        <v>57109</v>
      </c>
      <c r="E234" s="196">
        <v>4630</v>
      </c>
      <c r="F234" s="196">
        <v>4630</v>
      </c>
      <c r="G234" s="196">
        <v>-2907</v>
      </c>
      <c r="H234" s="196">
        <v>-954</v>
      </c>
      <c r="J234" s="196">
        <v>-4670</v>
      </c>
      <c r="K234" s="196">
        <v>-7420</v>
      </c>
      <c r="L234" s="196">
        <v>4576</v>
      </c>
      <c r="N234" s="196">
        <v>-20811</v>
      </c>
      <c r="O234" s="196">
        <v>-938</v>
      </c>
      <c r="P234" s="196">
        <v>-11345</v>
      </c>
      <c r="Q234" s="196">
        <v>-27543</v>
      </c>
      <c r="R234" s="196">
        <v>-191</v>
      </c>
      <c r="S234" s="196">
        <v>-2749</v>
      </c>
      <c r="T234" s="196">
        <v>-50</v>
      </c>
      <c r="U234" s="196">
        <v>-33355</v>
      </c>
      <c r="W234" s="196">
        <v>-11063</v>
      </c>
      <c r="X234" s="196">
        <v>-977</v>
      </c>
      <c r="Z234" s="196">
        <v>-1930</v>
      </c>
      <c r="AA234" s="196">
        <v>-989</v>
      </c>
      <c r="AB234" s="196">
        <v>-59268</v>
      </c>
      <c r="AF234" s="196">
        <v>70977</v>
      </c>
      <c r="AR234" s="196">
        <v>69635</v>
      </c>
      <c r="AT234" s="196">
        <v>71064</v>
      </c>
      <c r="AU234" s="196">
        <v>4064</v>
      </c>
      <c r="AV234" s="196">
        <v>-502</v>
      </c>
      <c r="AW234" s="196">
        <v>-11268</v>
      </c>
      <c r="AZ234" s="196">
        <v>96</v>
      </c>
      <c r="BK234" s="196">
        <v>1172</v>
      </c>
      <c r="BT234" s="196">
        <v>4005</v>
      </c>
      <c r="BU234" s="196">
        <v>-102</v>
      </c>
      <c r="BV234" s="196">
        <v>64</v>
      </c>
      <c r="BW234" s="196">
        <v>1185</v>
      </c>
      <c r="BX234" s="196">
        <v>747</v>
      </c>
      <c r="CD234" s="196">
        <f t="shared" si="199"/>
        <v>0</v>
      </c>
    </row>
    <row r="235" spans="1:85" hidden="1" x14ac:dyDescent="0.2">
      <c r="A235" s="198" t="s">
        <v>932</v>
      </c>
      <c r="B235" s="204">
        <f t="shared" ref="B235:AA235" si="201">SUM(B225:B234)</f>
        <v>1137109</v>
      </c>
      <c r="C235" s="204">
        <f t="shared" si="201"/>
        <v>768056</v>
      </c>
      <c r="D235" s="204">
        <f t="shared" si="201"/>
        <v>208118</v>
      </c>
      <c r="E235" s="204">
        <f>SUM(E225:E234)</f>
        <v>4638</v>
      </c>
      <c r="F235" s="204">
        <f>SUM(F225:F234)</f>
        <v>4638</v>
      </c>
      <c r="G235" s="204">
        <f t="shared" si="201"/>
        <v>-2752</v>
      </c>
      <c r="H235" s="204">
        <f t="shared" si="201"/>
        <v>2831</v>
      </c>
      <c r="I235" s="204">
        <f t="shared" si="201"/>
        <v>0</v>
      </c>
      <c r="J235" s="204">
        <f t="shared" si="201"/>
        <v>-4623</v>
      </c>
      <c r="K235" s="204">
        <f t="shared" si="201"/>
        <v>3703</v>
      </c>
      <c r="L235" s="204">
        <f t="shared" si="201"/>
        <v>4577</v>
      </c>
      <c r="M235" s="204">
        <f t="shared" si="201"/>
        <v>23</v>
      </c>
      <c r="N235" s="204">
        <f t="shared" si="201"/>
        <v>26960</v>
      </c>
      <c r="O235" s="204">
        <f t="shared" si="201"/>
        <v>4003</v>
      </c>
      <c r="P235" s="204">
        <f t="shared" si="201"/>
        <v>2055</v>
      </c>
      <c r="Q235" s="204">
        <f>SUM(Q225:Q234)</f>
        <v>-3742</v>
      </c>
      <c r="R235" s="204">
        <f t="shared" si="201"/>
        <v>-175</v>
      </c>
      <c r="S235" s="204">
        <f>SUM(S225:S234)</f>
        <v>-1676</v>
      </c>
      <c r="T235" s="204">
        <f t="shared" si="201"/>
        <v>344</v>
      </c>
      <c r="U235" s="204">
        <f>SUM(U225:U234)</f>
        <v>-33352</v>
      </c>
      <c r="V235" s="204">
        <f>SUM(V225:V234)</f>
        <v>253</v>
      </c>
      <c r="W235" s="204">
        <f t="shared" si="201"/>
        <v>-10800</v>
      </c>
      <c r="X235" s="204">
        <f>SUM(X225:X234)</f>
        <v>9302</v>
      </c>
      <c r="Y235" s="204">
        <f t="shared" si="201"/>
        <v>49</v>
      </c>
      <c r="Z235" s="204">
        <f t="shared" si="201"/>
        <v>-1913</v>
      </c>
      <c r="AA235" s="204">
        <f t="shared" si="201"/>
        <v>-931</v>
      </c>
      <c r="AB235" s="204">
        <f>SUM(AB225:AB234)</f>
        <v>-58716</v>
      </c>
      <c r="AC235" s="204"/>
      <c r="AD235" s="204"/>
      <c r="AE235" s="204"/>
      <c r="AF235" s="204">
        <f>SUM(AF225:AF234)</f>
        <v>70977</v>
      </c>
      <c r="AG235" s="204"/>
      <c r="AH235" s="204"/>
      <c r="AI235" s="204"/>
      <c r="AJ235" s="204"/>
      <c r="AK235" s="204"/>
      <c r="AL235" s="204"/>
      <c r="AM235" s="204"/>
      <c r="AN235" s="204"/>
      <c r="AO235" s="204"/>
      <c r="AP235" s="204"/>
      <c r="AQ235" s="204"/>
      <c r="AR235" s="204">
        <f t="shared" ref="AR235:BZ235" si="202">SUM(AR225:AR234)</f>
        <v>69635</v>
      </c>
      <c r="AS235" s="204">
        <f t="shared" si="202"/>
        <v>0</v>
      </c>
      <c r="AT235" s="204">
        <f t="shared" si="202"/>
        <v>71064</v>
      </c>
      <c r="AU235" s="204">
        <f t="shared" si="202"/>
        <v>4185</v>
      </c>
      <c r="AV235" s="204">
        <f t="shared" si="202"/>
        <v>-500</v>
      </c>
      <c r="AW235" s="204">
        <f>SUM(AW225:AW234)</f>
        <v>-11068</v>
      </c>
      <c r="AX235" s="204"/>
      <c r="AY235" s="204">
        <f t="shared" si="202"/>
        <v>2</v>
      </c>
      <c r="AZ235" s="204">
        <f t="shared" si="202"/>
        <v>107</v>
      </c>
      <c r="BA235" s="204">
        <f t="shared" si="202"/>
        <v>2</v>
      </c>
      <c r="BB235" s="204">
        <f t="shared" si="202"/>
        <v>2</v>
      </c>
      <c r="BC235" s="204"/>
      <c r="BD235" s="204">
        <f t="shared" si="202"/>
        <v>1</v>
      </c>
      <c r="BE235" s="204">
        <f>SUM(BE225:BE234)</f>
        <v>0</v>
      </c>
      <c r="BF235" s="204">
        <f>SUM(BF225:BF234)</f>
        <v>0</v>
      </c>
      <c r="BG235" s="204">
        <f>SUM(BG225:BG234)</f>
        <v>0</v>
      </c>
      <c r="BH235" s="204">
        <f t="shared" si="202"/>
        <v>353</v>
      </c>
      <c r="BI235" s="204">
        <f>SUM(BI225:BI234)</f>
        <v>0</v>
      </c>
      <c r="BJ235" s="204">
        <f t="shared" si="202"/>
        <v>493</v>
      </c>
      <c r="BK235" s="204">
        <f>SUM(BK225:BK234)</f>
        <v>1194</v>
      </c>
      <c r="BL235" s="204">
        <f t="shared" si="202"/>
        <v>1661</v>
      </c>
      <c r="BM235" s="204">
        <f t="shared" si="202"/>
        <v>0</v>
      </c>
      <c r="BN235" s="204"/>
      <c r="BO235" s="204">
        <f t="shared" si="202"/>
        <v>75</v>
      </c>
      <c r="BP235" s="204">
        <f>SUM(BP225:BP234)</f>
        <v>0</v>
      </c>
      <c r="BQ235" s="204"/>
      <c r="BR235" s="204"/>
      <c r="BS235" s="204"/>
      <c r="BT235" s="204">
        <f t="shared" si="202"/>
        <v>4627</v>
      </c>
      <c r="BU235" s="204">
        <f t="shared" si="202"/>
        <v>235</v>
      </c>
      <c r="BV235" s="204">
        <f t="shared" si="202"/>
        <v>559</v>
      </c>
      <c r="BW235" s="204">
        <f t="shared" si="202"/>
        <v>1514</v>
      </c>
      <c r="BX235" s="204">
        <f t="shared" si="202"/>
        <v>1121</v>
      </c>
      <c r="BY235" s="204"/>
      <c r="BZ235" s="204">
        <f t="shared" si="202"/>
        <v>0</v>
      </c>
      <c r="CA235" s="204">
        <f>SUM(CA225:CA234)</f>
        <v>0</v>
      </c>
      <c r="CB235" s="204">
        <f>SUM(CB225:CB234)</f>
        <v>0</v>
      </c>
      <c r="CD235" s="204">
        <f>SUM(CD225:CD234)</f>
        <v>0</v>
      </c>
      <c r="CE235" s="204">
        <f>SUM(CE225:CE234)</f>
        <v>0</v>
      </c>
      <c r="CF235" s="204">
        <f>SUM(CF225:CF234)</f>
        <v>0</v>
      </c>
      <c r="CG235" s="204">
        <f>SUM(CG225:CG234)</f>
        <v>0</v>
      </c>
    </row>
    <row r="236" spans="1:85" hidden="1" x14ac:dyDescent="0.2">
      <c r="BK236" s="196"/>
    </row>
    <row r="237" spans="1:85" hidden="1" x14ac:dyDescent="0.2">
      <c r="A237" s="193" t="s">
        <v>833</v>
      </c>
      <c r="B237" s="197">
        <f t="shared" ref="B237:BO237" si="203">-B182+B195+B208+B221+B235</f>
        <v>102755</v>
      </c>
      <c r="C237" s="197">
        <f t="shared" si="203"/>
        <v>31514</v>
      </c>
      <c r="D237" s="197">
        <f t="shared" si="203"/>
        <v>144157</v>
      </c>
      <c r="E237" s="197">
        <f>-E182+E195+E208+E221+E235</f>
        <v>8372</v>
      </c>
      <c r="F237" s="197">
        <f>-F182+F195+F208+F221+F235</f>
        <v>8372</v>
      </c>
      <c r="G237" s="197">
        <f t="shared" si="203"/>
        <v>-283</v>
      </c>
      <c r="H237" s="197">
        <f t="shared" si="203"/>
        <v>1632</v>
      </c>
      <c r="I237" s="197">
        <f t="shared" si="203"/>
        <v>0</v>
      </c>
      <c r="J237" s="197">
        <f t="shared" si="203"/>
        <v>-22912</v>
      </c>
      <c r="K237" s="197">
        <f t="shared" si="203"/>
        <v>1652</v>
      </c>
      <c r="L237" s="197">
        <f t="shared" si="203"/>
        <v>23</v>
      </c>
      <c r="M237" s="197">
        <f t="shared" si="203"/>
        <v>21</v>
      </c>
      <c r="N237" s="197">
        <f t="shared" si="203"/>
        <v>1646</v>
      </c>
      <c r="O237" s="197">
        <f t="shared" si="203"/>
        <v>-8331</v>
      </c>
      <c r="P237" s="197">
        <f t="shared" si="203"/>
        <v>1443</v>
      </c>
      <c r="Q237" s="197">
        <f>-Q182+Q195+Q208+Q221+Q235</f>
        <v>-4317</v>
      </c>
      <c r="R237" s="197">
        <f t="shared" si="203"/>
        <v>-83</v>
      </c>
      <c r="S237" s="197">
        <f>-S182+S195+S208+S221+S235</f>
        <v>718</v>
      </c>
      <c r="T237" s="197">
        <f t="shared" si="203"/>
        <v>344</v>
      </c>
      <c r="U237" s="197">
        <f>-U182+U195+U208+U221+U235</f>
        <v>-33038</v>
      </c>
      <c r="V237" s="197">
        <f>-V182+V195+V208+V221+V235</f>
        <v>4</v>
      </c>
      <c r="W237" s="197">
        <f t="shared" si="203"/>
        <v>665</v>
      </c>
      <c r="X237" s="197">
        <f>-X182+X195+X208+X221+X235</f>
        <v>-2515</v>
      </c>
      <c r="Y237" s="197">
        <f t="shared" si="203"/>
        <v>52</v>
      </c>
      <c r="Z237" s="197">
        <f t="shared" si="203"/>
        <v>-951</v>
      </c>
      <c r="AA237" s="197">
        <f t="shared" si="203"/>
        <v>-316</v>
      </c>
      <c r="AB237" s="197">
        <f>-AB182+AB195+AB208+AB221+AB235</f>
        <v>-55801</v>
      </c>
      <c r="AC237" s="197"/>
      <c r="AD237" s="197"/>
      <c r="AE237" s="197"/>
      <c r="AF237" s="197">
        <f>-AF182+AF195+AF208+AF221+AF235</f>
        <v>67739</v>
      </c>
      <c r="AG237" s="197"/>
      <c r="AH237" s="197"/>
      <c r="AI237" s="197"/>
      <c r="AJ237" s="197"/>
      <c r="AK237" s="197"/>
      <c r="AL237" s="197"/>
      <c r="AM237" s="197"/>
      <c r="AN237" s="197"/>
      <c r="AO237" s="197"/>
      <c r="AP237" s="197"/>
      <c r="AQ237" s="197"/>
      <c r="AR237" s="197">
        <f t="shared" si="203"/>
        <v>62845</v>
      </c>
      <c r="AS237" s="197">
        <f t="shared" si="203"/>
        <v>41</v>
      </c>
      <c r="AT237" s="197">
        <f t="shared" si="203"/>
        <v>38047</v>
      </c>
      <c r="AU237" s="197">
        <f t="shared" si="203"/>
        <v>6289</v>
      </c>
      <c r="AV237" s="197">
        <f t="shared" si="203"/>
        <v>-500</v>
      </c>
      <c r="AW237" s="197">
        <f>-AW182+AW195+AW208+AW221+AW235</f>
        <v>-10967</v>
      </c>
      <c r="AX237" s="197"/>
      <c r="AY237" s="197">
        <f t="shared" si="203"/>
        <v>1</v>
      </c>
      <c r="AZ237" s="197">
        <f t="shared" si="203"/>
        <v>101</v>
      </c>
      <c r="BA237" s="197">
        <f t="shared" si="203"/>
        <v>-8</v>
      </c>
      <c r="BB237" s="197">
        <f t="shared" si="203"/>
        <v>2</v>
      </c>
      <c r="BC237" s="197"/>
      <c r="BD237" s="197">
        <f t="shared" si="203"/>
        <v>-5580</v>
      </c>
      <c r="BE237" s="197"/>
      <c r="BF237" s="197">
        <f>-BF182+BF195+BF208+BF221+BF235</f>
        <v>10</v>
      </c>
      <c r="BG237" s="197">
        <f>-BG182+BG195+BG208+BG221+BG235</f>
        <v>0</v>
      </c>
      <c r="BH237" s="197">
        <f t="shared" si="203"/>
        <v>304</v>
      </c>
      <c r="BI237" s="197">
        <f>-BI182+BI195+BI208+BI221+BI235</f>
        <v>0</v>
      </c>
      <c r="BJ237" s="197">
        <f t="shared" si="203"/>
        <v>536</v>
      </c>
      <c r="BK237" s="197">
        <f>-BK182+BK195+BK208+BK221+BK235</f>
        <v>865</v>
      </c>
      <c r="BL237" s="197">
        <f t="shared" si="203"/>
        <v>2388</v>
      </c>
      <c r="BM237" s="197">
        <f t="shared" si="203"/>
        <v>700</v>
      </c>
      <c r="BN237" s="197"/>
      <c r="BO237" s="197">
        <f t="shared" si="203"/>
        <v>56</v>
      </c>
      <c r="BP237" s="197">
        <f>-BP182+BP195+BP208+BP221+BP235</f>
        <v>0</v>
      </c>
      <c r="BQ237" s="197"/>
      <c r="BR237" s="197"/>
      <c r="BS237" s="197"/>
      <c r="BT237" s="197">
        <f t="shared" ref="BT237:CB237" si="204">-BT182+BT195+BT208+BT221+BT235</f>
        <v>-5458</v>
      </c>
      <c r="BU237" s="197">
        <f t="shared" si="204"/>
        <v>-1567</v>
      </c>
      <c r="BV237" s="197">
        <f t="shared" si="204"/>
        <v>-2794</v>
      </c>
      <c r="BW237" s="197">
        <f t="shared" si="204"/>
        <v>496</v>
      </c>
      <c r="BX237" s="197">
        <f t="shared" si="204"/>
        <v>1861</v>
      </c>
      <c r="BY237" s="197"/>
      <c r="BZ237" s="197">
        <f t="shared" si="204"/>
        <v>-14103</v>
      </c>
      <c r="CA237" s="197">
        <f t="shared" si="204"/>
        <v>-110617</v>
      </c>
      <c r="CB237" s="197">
        <f t="shared" si="204"/>
        <v>0</v>
      </c>
      <c r="CD237" s="197">
        <f>-CD182+CD195+CD208+CD221+CD235</f>
        <v>0</v>
      </c>
      <c r="CE237" s="197">
        <f>-CE182+CE195+CE208+CE221+CE235</f>
        <v>0</v>
      </c>
      <c r="CF237" s="197">
        <f>-CF182+CF195+CF208+CF221+CF235</f>
        <v>0</v>
      </c>
      <c r="CG237" s="197">
        <f>-CG182+CG195+CG208+CG221+CG235</f>
        <v>0</v>
      </c>
    </row>
    <row r="238" spans="1:85" hidden="1" x14ac:dyDescent="0.2">
      <c r="A238" s="193"/>
      <c r="BK238" s="196"/>
    </row>
    <row r="239" spans="1:85" hidden="1" x14ac:dyDescent="0.2">
      <c r="A239" s="193" t="s">
        <v>933</v>
      </c>
      <c r="B239" s="205">
        <f>SUM(C239:CB239)</f>
        <v>2793554</v>
      </c>
      <c r="C239" s="205">
        <v>231205</v>
      </c>
      <c r="D239" s="205">
        <v>721113</v>
      </c>
      <c r="E239" s="205">
        <v>52249</v>
      </c>
      <c r="F239" s="205">
        <v>52249</v>
      </c>
      <c r="G239" s="205">
        <v>18301</v>
      </c>
      <c r="H239" s="205">
        <v>3888</v>
      </c>
      <c r="I239" s="205">
        <v>9</v>
      </c>
      <c r="J239" s="205">
        <v>-26446</v>
      </c>
      <c r="K239" s="205">
        <v>11706</v>
      </c>
      <c r="L239" s="205">
        <v>73</v>
      </c>
      <c r="M239" s="205">
        <v>4749</v>
      </c>
      <c r="N239" s="205">
        <v>26920</v>
      </c>
      <c r="O239" s="205">
        <v>55578</v>
      </c>
      <c r="P239" s="205">
        <v>18080</v>
      </c>
      <c r="Q239" s="205">
        <v>37122</v>
      </c>
      <c r="R239" s="205">
        <v>2036</v>
      </c>
      <c r="S239" s="205">
        <v>140</v>
      </c>
      <c r="T239" s="205">
        <v>-6986</v>
      </c>
      <c r="U239" s="205">
        <v>36886</v>
      </c>
      <c r="V239" s="205">
        <v>11617</v>
      </c>
      <c r="W239" s="205">
        <v>37226</v>
      </c>
      <c r="X239" s="205">
        <v>7077</v>
      </c>
      <c r="Y239" s="205">
        <v>19566</v>
      </c>
      <c r="Z239" s="205">
        <v>-55259</v>
      </c>
      <c r="AA239" s="205">
        <v>-84408</v>
      </c>
      <c r="AB239" s="205">
        <v>-44358</v>
      </c>
      <c r="AC239" s="205"/>
      <c r="AD239" s="205"/>
      <c r="AE239" s="205"/>
      <c r="AF239" s="205">
        <v>399859</v>
      </c>
      <c r="AG239" s="205"/>
      <c r="AH239" s="205"/>
      <c r="AI239" s="205"/>
      <c r="AJ239" s="205"/>
      <c r="AK239" s="205"/>
      <c r="AL239" s="205"/>
      <c r="AM239" s="205"/>
      <c r="AN239" s="205"/>
      <c r="AO239" s="205"/>
      <c r="AP239" s="205"/>
      <c r="AQ239" s="205"/>
      <c r="AR239" s="205">
        <v>214284</v>
      </c>
      <c r="AS239" s="205">
        <v>-25827</v>
      </c>
      <c r="AT239" s="205">
        <v>337338</v>
      </c>
      <c r="AU239" s="205">
        <v>20622</v>
      </c>
      <c r="AV239" s="205">
        <v>17706</v>
      </c>
      <c r="AW239" s="205">
        <v>-129441</v>
      </c>
      <c r="AX239" s="205">
        <v>17707</v>
      </c>
      <c r="AY239" s="205">
        <v>396</v>
      </c>
      <c r="AZ239" s="205">
        <v>2297</v>
      </c>
      <c r="BA239" s="205">
        <v>322</v>
      </c>
      <c r="BB239" s="205">
        <v>514</v>
      </c>
      <c r="BC239" s="205"/>
      <c r="BD239" s="205">
        <v>-179717</v>
      </c>
      <c r="BE239" s="205">
        <v>0</v>
      </c>
      <c r="BF239" s="205">
        <v>0</v>
      </c>
      <c r="BG239" s="205">
        <v>0</v>
      </c>
      <c r="BH239" s="205">
        <v>29</v>
      </c>
      <c r="BI239" s="205">
        <v>0</v>
      </c>
      <c r="BJ239" s="205">
        <v>3330</v>
      </c>
      <c r="BK239" s="205">
        <v>5124</v>
      </c>
      <c r="BL239" s="205">
        <v>-22684</v>
      </c>
      <c r="BM239" s="205">
        <v>0</v>
      </c>
      <c r="BN239" s="205"/>
      <c r="BO239" s="205">
        <v>0</v>
      </c>
      <c r="BP239" s="205">
        <v>0</v>
      </c>
      <c r="BQ239" s="205"/>
      <c r="BR239" s="205"/>
      <c r="BS239" s="205"/>
      <c r="BT239" s="205">
        <v>19125</v>
      </c>
      <c r="BU239" s="205">
        <v>6405</v>
      </c>
      <c r="BV239" s="205">
        <v>3276</v>
      </c>
      <c r="BW239" s="205">
        <v>3232</v>
      </c>
      <c r="BX239" s="205">
        <v>84197</v>
      </c>
      <c r="BY239" s="205"/>
      <c r="BZ239" s="205">
        <v>-1207950</v>
      </c>
      <c r="CA239" s="205">
        <v>2092511</v>
      </c>
      <c r="CB239" s="205">
        <v>566</v>
      </c>
      <c r="CD239" s="205">
        <v>2092511</v>
      </c>
      <c r="CE239" s="205">
        <v>2092511</v>
      </c>
      <c r="CF239" s="205">
        <v>2092511</v>
      </c>
      <c r="CG239" s="205">
        <v>2092511</v>
      </c>
    </row>
    <row r="240" spans="1:85" hidden="1" x14ac:dyDescent="0.2">
      <c r="A240" s="193"/>
      <c r="BK240" s="196"/>
    </row>
    <row r="241" spans="1:85" ht="13.5" hidden="1" thickBot="1" x14ac:dyDescent="0.25">
      <c r="A241" s="193" t="s">
        <v>834</v>
      </c>
      <c r="B241" s="206">
        <f>+B237+B239</f>
        <v>2896309</v>
      </c>
      <c r="C241" s="206">
        <f>+C237+C239</f>
        <v>262719</v>
      </c>
      <c r="D241" s="206">
        <f>+D237+D239</f>
        <v>865270</v>
      </c>
      <c r="E241" s="206">
        <f>+E237+E239</f>
        <v>60621</v>
      </c>
      <c r="F241" s="206">
        <f>+F237+F239</f>
        <v>60621</v>
      </c>
      <c r="G241" s="206">
        <f t="shared" ref="G241:CA241" si="205">+G237+G239</f>
        <v>18018</v>
      </c>
      <c r="H241" s="206">
        <f t="shared" si="205"/>
        <v>5520</v>
      </c>
      <c r="I241" s="206">
        <f t="shared" si="205"/>
        <v>9</v>
      </c>
      <c r="J241" s="206">
        <f t="shared" si="205"/>
        <v>-49358</v>
      </c>
      <c r="K241" s="206">
        <f t="shared" si="205"/>
        <v>13358</v>
      </c>
      <c r="L241" s="206">
        <f t="shared" si="205"/>
        <v>96</v>
      </c>
      <c r="M241" s="206">
        <f t="shared" si="205"/>
        <v>4770</v>
      </c>
      <c r="N241" s="206">
        <f t="shared" si="205"/>
        <v>28566</v>
      </c>
      <c r="O241" s="206">
        <f t="shared" si="205"/>
        <v>47247</v>
      </c>
      <c r="P241" s="206">
        <f t="shared" si="205"/>
        <v>19523</v>
      </c>
      <c r="Q241" s="206">
        <f>+Q237+Q239</f>
        <v>32805</v>
      </c>
      <c r="R241" s="206">
        <f t="shared" si="205"/>
        <v>1953</v>
      </c>
      <c r="S241" s="206">
        <f>+S237+S239</f>
        <v>858</v>
      </c>
      <c r="T241" s="206">
        <f t="shared" si="205"/>
        <v>-6642</v>
      </c>
      <c r="U241" s="206">
        <f>+U237+U239</f>
        <v>3848</v>
      </c>
      <c r="V241" s="206">
        <f>+V237+V239</f>
        <v>11621</v>
      </c>
      <c r="W241" s="206">
        <f t="shared" si="205"/>
        <v>37891</v>
      </c>
      <c r="X241" s="206">
        <f>+X237+X239</f>
        <v>4562</v>
      </c>
      <c r="Y241" s="206">
        <f t="shared" si="205"/>
        <v>19618</v>
      </c>
      <c r="Z241" s="206">
        <f t="shared" si="205"/>
        <v>-56210</v>
      </c>
      <c r="AA241" s="206">
        <f t="shared" si="205"/>
        <v>-84724</v>
      </c>
      <c r="AB241" s="206">
        <f>+AB237+AB239</f>
        <v>-100159</v>
      </c>
      <c r="AC241" s="206"/>
      <c r="AD241" s="206"/>
      <c r="AE241" s="206"/>
      <c r="AF241" s="206">
        <f>+AF237+AF239</f>
        <v>467598</v>
      </c>
      <c r="AG241" s="206"/>
      <c r="AH241" s="206"/>
      <c r="AI241" s="206"/>
      <c r="AJ241" s="206"/>
      <c r="AK241" s="206"/>
      <c r="AL241" s="206"/>
      <c r="AM241" s="206"/>
      <c r="AN241" s="206"/>
      <c r="AO241" s="206"/>
      <c r="AP241" s="206"/>
      <c r="AQ241" s="206"/>
      <c r="AR241" s="206">
        <f t="shared" si="205"/>
        <v>277129</v>
      </c>
      <c r="AS241" s="206">
        <f t="shared" si="205"/>
        <v>-25786</v>
      </c>
      <c r="AT241" s="206">
        <f t="shared" si="205"/>
        <v>375385</v>
      </c>
      <c r="AU241" s="206">
        <f t="shared" si="205"/>
        <v>26911</v>
      </c>
      <c r="AV241" s="206">
        <f t="shared" si="205"/>
        <v>17206</v>
      </c>
      <c r="AW241" s="206">
        <f>+AW237+AW239</f>
        <v>-140408</v>
      </c>
      <c r="AX241" s="206">
        <f>+AX237+AX239</f>
        <v>17707</v>
      </c>
      <c r="AY241" s="206">
        <f t="shared" si="205"/>
        <v>397</v>
      </c>
      <c r="AZ241" s="206">
        <f t="shared" si="205"/>
        <v>2398</v>
      </c>
      <c r="BA241" s="206">
        <f t="shared" si="205"/>
        <v>314</v>
      </c>
      <c r="BB241" s="206">
        <f t="shared" si="205"/>
        <v>516</v>
      </c>
      <c r="BC241" s="206"/>
      <c r="BD241" s="206">
        <f t="shared" si="205"/>
        <v>-185297</v>
      </c>
      <c r="BE241" s="206">
        <f>+BE237+BE239</f>
        <v>0</v>
      </c>
      <c r="BF241" s="206">
        <f>+BF237+BF239</f>
        <v>10</v>
      </c>
      <c r="BG241" s="206">
        <f>+BG237+BG239</f>
        <v>0</v>
      </c>
      <c r="BH241" s="206">
        <f t="shared" si="205"/>
        <v>333</v>
      </c>
      <c r="BI241" s="206">
        <f>+BI237+BI239</f>
        <v>0</v>
      </c>
      <c r="BJ241" s="206">
        <f t="shared" si="205"/>
        <v>3866</v>
      </c>
      <c r="BK241" s="206">
        <f>+BK237+BK239</f>
        <v>5989</v>
      </c>
      <c r="BL241" s="206">
        <f t="shared" si="205"/>
        <v>-20296</v>
      </c>
      <c r="BM241" s="206">
        <f t="shared" si="205"/>
        <v>700</v>
      </c>
      <c r="BN241" s="206"/>
      <c r="BO241" s="206">
        <f t="shared" si="205"/>
        <v>56</v>
      </c>
      <c r="BP241" s="206">
        <f>+BP237+BP239</f>
        <v>0</v>
      </c>
      <c r="BQ241" s="206"/>
      <c r="BR241" s="206"/>
      <c r="BS241" s="206"/>
      <c r="BT241" s="206">
        <f t="shared" si="205"/>
        <v>13667</v>
      </c>
      <c r="BU241" s="206">
        <f t="shared" si="205"/>
        <v>4838</v>
      </c>
      <c r="BV241" s="206">
        <f t="shared" si="205"/>
        <v>482</v>
      </c>
      <c r="BW241" s="206">
        <f t="shared" si="205"/>
        <v>3728</v>
      </c>
      <c r="BX241" s="206">
        <f t="shared" si="205"/>
        <v>86058</v>
      </c>
      <c r="BY241" s="206"/>
      <c r="BZ241" s="206">
        <f t="shared" si="205"/>
        <v>-1222053</v>
      </c>
      <c r="CA241" s="206">
        <f t="shared" si="205"/>
        <v>1981894</v>
      </c>
      <c r="CB241" s="206">
        <f>+CB237+CB239</f>
        <v>566</v>
      </c>
      <c r="CD241" s="206">
        <f>+CD237+CD239</f>
        <v>2092511</v>
      </c>
      <c r="CE241" s="206">
        <f>+CE237+CE239</f>
        <v>2092511</v>
      </c>
      <c r="CF241" s="206">
        <f>+CF237+CF239</f>
        <v>2092511</v>
      </c>
      <c r="CG241" s="206">
        <f>+CG237+CG239</f>
        <v>2092511</v>
      </c>
    </row>
    <row r="242" spans="1:85" hidden="1" x14ac:dyDescent="0.2">
      <c r="BK242" s="196"/>
    </row>
    <row r="243" spans="1:85" hidden="1" x14ac:dyDescent="0.2">
      <c r="BK243" s="196"/>
    </row>
    <row r="244" spans="1:85" hidden="1" x14ac:dyDescent="0.2">
      <c r="A244" s="198"/>
      <c r="B244" s="197"/>
      <c r="BK244" s="196"/>
    </row>
    <row r="245" spans="1:85" hidden="1" x14ac:dyDescent="0.2">
      <c r="A245" s="198"/>
      <c r="B245" s="197"/>
      <c r="BK245" s="196"/>
    </row>
    <row r="246" spans="1:85" hidden="1" x14ac:dyDescent="0.2">
      <c r="A246" s="198"/>
      <c r="B246" s="197"/>
      <c r="BK246" s="196"/>
    </row>
    <row r="247" spans="1:85" hidden="1" x14ac:dyDescent="0.2">
      <c r="BK247" s="196"/>
    </row>
    <row r="248" spans="1:85" s="192" customFormat="1" ht="64.5" hidden="1" thickBot="1" x14ac:dyDescent="0.25">
      <c r="A248" s="936" t="s">
        <v>934</v>
      </c>
      <c r="B248" s="235" t="s">
        <v>1055</v>
      </c>
      <c r="C248" s="236" t="s">
        <v>120</v>
      </c>
      <c r="D248" s="237" t="s">
        <v>876</v>
      </c>
      <c r="E248" s="238" t="s">
        <v>877</v>
      </c>
      <c r="F248" s="238" t="s">
        <v>877</v>
      </c>
      <c r="G248" s="238" t="s">
        <v>879</v>
      </c>
      <c r="H248" s="238" t="s">
        <v>126</v>
      </c>
      <c r="I248" s="238" t="s">
        <v>127</v>
      </c>
      <c r="J248" s="238" t="s">
        <v>880</v>
      </c>
      <c r="K248" s="240" t="s">
        <v>132</v>
      </c>
      <c r="L248" s="240" t="s">
        <v>881</v>
      </c>
      <c r="M248" s="240" t="s">
        <v>125</v>
      </c>
      <c r="N248" s="240" t="s">
        <v>882</v>
      </c>
      <c r="O248" s="240" t="s">
        <v>883</v>
      </c>
      <c r="P248" s="240" t="s">
        <v>885</v>
      </c>
      <c r="Q248" s="240" t="s">
        <v>123</v>
      </c>
      <c r="R248" s="240" t="s">
        <v>886</v>
      </c>
      <c r="S248" s="240" t="s">
        <v>884</v>
      </c>
      <c r="T248" s="240" t="s">
        <v>893</v>
      </c>
      <c r="U248" s="240" t="s">
        <v>1030</v>
      </c>
      <c r="V248" s="241" t="s">
        <v>914</v>
      </c>
      <c r="W248" s="240" t="s">
        <v>858</v>
      </c>
      <c r="X248" s="240" t="s">
        <v>134</v>
      </c>
      <c r="Y248" s="239" t="s">
        <v>905</v>
      </c>
      <c r="Z248" s="239" t="s">
        <v>906</v>
      </c>
      <c r="AA248" s="239" t="s">
        <v>907</v>
      </c>
      <c r="AB248" s="239" t="s">
        <v>878</v>
      </c>
      <c r="AC248" s="239"/>
      <c r="AD248" s="239"/>
      <c r="AE248" s="239"/>
      <c r="AF248" s="239" t="s">
        <v>908</v>
      </c>
      <c r="AG248" s="239"/>
      <c r="AH248" s="239"/>
      <c r="AI248" s="239"/>
      <c r="AJ248" s="239"/>
      <c r="AK248" s="239"/>
      <c r="AL248" s="239"/>
      <c r="AM248" s="239"/>
      <c r="AN248" s="239"/>
      <c r="AO248" s="239"/>
      <c r="AP248" s="239"/>
      <c r="AQ248" s="239"/>
      <c r="AR248" s="239" t="s">
        <v>909</v>
      </c>
      <c r="AS248" s="239" t="s">
        <v>910</v>
      </c>
      <c r="AT248" s="239" t="s">
        <v>165</v>
      </c>
      <c r="AU248" s="239" t="s">
        <v>166</v>
      </c>
      <c r="AV248" s="239" t="s">
        <v>911</v>
      </c>
      <c r="AW248" s="239" t="s">
        <v>912</v>
      </c>
      <c r="AX248" s="239" t="s">
        <v>647</v>
      </c>
      <c r="AY248" s="241" t="s">
        <v>913</v>
      </c>
      <c r="AZ248" s="241" t="s">
        <v>915</v>
      </c>
      <c r="BA248" s="241" t="s">
        <v>916</v>
      </c>
      <c r="BB248" s="241" t="s">
        <v>917</v>
      </c>
      <c r="BC248" s="241"/>
      <c r="BD248" s="385" t="s">
        <v>894</v>
      </c>
      <c r="BE248" s="385" t="s">
        <v>896</v>
      </c>
      <c r="BF248" s="385" t="s">
        <v>903</v>
      </c>
      <c r="BG248" s="385" t="s">
        <v>895</v>
      </c>
      <c r="BH248" s="385" t="s">
        <v>897</v>
      </c>
      <c r="BI248" s="385" t="s">
        <v>898</v>
      </c>
      <c r="BJ248" s="385" t="s">
        <v>899</v>
      </c>
      <c r="BK248" s="385" t="s">
        <v>904</v>
      </c>
      <c r="BL248" s="385" t="s">
        <v>723</v>
      </c>
      <c r="BM248" s="385" t="s">
        <v>901</v>
      </c>
      <c r="BN248" s="385"/>
      <c r="BO248" s="385" t="s">
        <v>902</v>
      </c>
      <c r="BP248" s="385" t="s">
        <v>900</v>
      </c>
      <c r="BQ248" s="239"/>
      <c r="BR248" s="239"/>
      <c r="BS248" s="239"/>
      <c r="BT248" s="242" t="s">
        <v>918</v>
      </c>
      <c r="BU248" s="242" t="s">
        <v>919</v>
      </c>
      <c r="BV248" s="242" t="s">
        <v>920</v>
      </c>
      <c r="BW248" s="242" t="s">
        <v>921</v>
      </c>
      <c r="BX248" s="242" t="s">
        <v>922</v>
      </c>
      <c r="BY248" s="242"/>
      <c r="BZ248" s="236" t="s">
        <v>923</v>
      </c>
      <c r="CA248" s="236" t="s">
        <v>1011</v>
      </c>
      <c r="CB248" s="243" t="s">
        <v>924</v>
      </c>
      <c r="CC248" s="191"/>
      <c r="CD248" s="369" t="s">
        <v>771</v>
      </c>
      <c r="CE248" s="370" t="s">
        <v>148</v>
      </c>
      <c r="CF248" s="370" t="s">
        <v>519</v>
      </c>
      <c r="CG248" s="371" t="s">
        <v>760</v>
      </c>
    </row>
    <row r="249" spans="1:85" s="192" customFormat="1" hidden="1" x14ac:dyDescent="0.2">
      <c r="A249" s="193" t="s">
        <v>1047</v>
      </c>
      <c r="B249" s="194"/>
      <c r="C249" s="194"/>
      <c r="D249" s="194"/>
      <c r="E249" s="194"/>
      <c r="F249" s="194"/>
      <c r="G249" s="194"/>
      <c r="H249" s="194"/>
      <c r="I249" s="194"/>
      <c r="J249" s="194"/>
      <c r="K249" s="194"/>
      <c r="L249" s="194"/>
      <c r="M249" s="194"/>
      <c r="N249" s="194"/>
      <c r="O249" s="194"/>
      <c r="P249" s="194"/>
      <c r="Q249" s="194"/>
      <c r="R249" s="194"/>
      <c r="S249" s="194"/>
      <c r="T249" s="194"/>
      <c r="U249" s="194"/>
      <c r="V249" s="194"/>
      <c r="W249" s="194"/>
      <c r="X249" s="194"/>
      <c r="Y249" s="194"/>
      <c r="Z249" s="194"/>
      <c r="AA249" s="194"/>
      <c r="AB249" s="194"/>
      <c r="AC249" s="194"/>
      <c r="AD249" s="194"/>
      <c r="AE249" s="194"/>
      <c r="AF249" s="194"/>
      <c r="AG249" s="194"/>
      <c r="AH249" s="194"/>
      <c r="AI249" s="194"/>
      <c r="AJ249" s="194"/>
      <c r="AK249" s="194"/>
      <c r="AL249" s="194"/>
      <c r="AM249" s="194"/>
      <c r="AN249" s="194"/>
      <c r="AO249" s="194"/>
      <c r="AP249" s="194"/>
      <c r="AQ249" s="194"/>
      <c r="AR249" s="194"/>
      <c r="AS249" s="194"/>
      <c r="AT249" s="194"/>
      <c r="AU249" s="194"/>
      <c r="AV249" s="194"/>
      <c r="AW249" s="194"/>
      <c r="AX249" s="194"/>
      <c r="AY249" s="194"/>
      <c r="AZ249" s="194"/>
      <c r="BA249" s="194"/>
      <c r="BB249" s="194"/>
      <c r="BC249" s="194"/>
      <c r="BD249" s="194"/>
      <c r="BE249" s="194"/>
      <c r="BF249" s="194"/>
      <c r="BG249" s="194"/>
      <c r="BH249" s="194"/>
      <c r="BI249" s="194"/>
      <c r="BJ249" s="194"/>
      <c r="BK249" s="194"/>
      <c r="BL249" s="194"/>
      <c r="BM249" s="194"/>
      <c r="BN249" s="194"/>
      <c r="BO249" s="194"/>
      <c r="BP249" s="194"/>
      <c r="BQ249" s="194"/>
      <c r="BR249" s="194"/>
      <c r="BS249" s="194"/>
      <c r="BT249" s="194"/>
      <c r="BU249" s="194"/>
      <c r="BV249" s="194"/>
      <c r="BW249" s="194"/>
      <c r="BX249" s="194"/>
      <c r="BY249" s="194"/>
      <c r="BZ249" s="194"/>
      <c r="CA249" s="194"/>
      <c r="CB249" s="194"/>
      <c r="CC249" s="191"/>
      <c r="CD249" s="194"/>
      <c r="CE249" s="194"/>
      <c r="CF249" s="194"/>
      <c r="CG249" s="194"/>
    </row>
    <row r="250" spans="1:85" hidden="1" x14ac:dyDescent="0.2">
      <c r="A250" s="195" t="s">
        <v>953</v>
      </c>
      <c r="B250" s="196">
        <f t="shared" ref="B250:B264" si="206">SUM(C250:CB250)</f>
        <v>77527</v>
      </c>
      <c r="C250" s="196">
        <f t="shared" ref="C250:AA250" si="207">C3-C168</f>
        <v>50796</v>
      </c>
      <c r="D250" s="196">
        <f t="shared" si="207"/>
        <v>-970</v>
      </c>
      <c r="E250" s="196">
        <f t="shared" ref="E250" si="208">E3-E168</f>
        <v>6268</v>
      </c>
      <c r="F250" s="196">
        <f t="shared" si="207"/>
        <v>2545</v>
      </c>
      <c r="G250" s="196">
        <f t="shared" si="207"/>
        <v>-285</v>
      </c>
      <c r="H250" s="196">
        <f t="shared" si="207"/>
        <v>0</v>
      </c>
      <c r="I250" s="196">
        <f t="shared" si="207"/>
        <v>0</v>
      </c>
      <c r="J250" s="196">
        <f t="shared" si="207"/>
        <v>0</v>
      </c>
      <c r="K250" s="196">
        <f t="shared" si="207"/>
        <v>0</v>
      </c>
      <c r="L250" s="196">
        <f t="shared" si="207"/>
        <v>0</v>
      </c>
      <c r="M250" s="196">
        <f t="shared" si="207"/>
        <v>-2</v>
      </c>
      <c r="N250" s="196">
        <f t="shared" si="207"/>
        <v>-1953</v>
      </c>
      <c r="O250" s="196">
        <f t="shared" si="207"/>
        <v>378</v>
      </c>
      <c r="P250" s="196">
        <f t="shared" si="207"/>
        <v>0</v>
      </c>
      <c r="Q250" s="196">
        <f>Q3-Q168</f>
        <v>0</v>
      </c>
      <c r="R250" s="196">
        <f t="shared" si="207"/>
        <v>0</v>
      </c>
      <c r="S250" s="196">
        <f>S3-S168</f>
        <v>0</v>
      </c>
      <c r="T250" s="196">
        <f t="shared" si="207"/>
        <v>0</v>
      </c>
      <c r="U250" s="196">
        <f t="shared" ref="U250:V253" si="209">U3-U168</f>
        <v>0</v>
      </c>
      <c r="V250" s="196">
        <f t="shared" si="209"/>
        <v>0</v>
      </c>
      <c r="W250" s="196">
        <f t="shared" si="207"/>
        <v>0</v>
      </c>
      <c r="X250" s="196">
        <f>X3-X168</f>
        <v>-2</v>
      </c>
      <c r="Y250" s="196">
        <f t="shared" si="207"/>
        <v>3</v>
      </c>
      <c r="Z250" s="196">
        <f t="shared" si="207"/>
        <v>-59</v>
      </c>
      <c r="AA250" s="196">
        <f t="shared" si="207"/>
        <v>-14</v>
      </c>
      <c r="AB250" s="196">
        <f>AB3-AB168</f>
        <v>-77</v>
      </c>
      <c r="AF250" s="196">
        <f>AF3-AF168</f>
        <v>13</v>
      </c>
      <c r="AR250" s="196">
        <f t="shared" ref="AR250:AW253" si="210">AR3-AR168</f>
        <v>13374</v>
      </c>
      <c r="AS250" s="196">
        <f t="shared" si="210"/>
        <v>41</v>
      </c>
      <c r="AT250" s="196">
        <f t="shared" si="210"/>
        <v>38137</v>
      </c>
      <c r="AU250" s="196">
        <f t="shared" si="210"/>
        <v>-13</v>
      </c>
      <c r="AV250" s="196">
        <f t="shared" si="210"/>
        <v>0</v>
      </c>
      <c r="AW250" s="196">
        <f t="shared" si="210"/>
        <v>554</v>
      </c>
      <c r="AY250" s="196">
        <f t="shared" ref="AY250:BX250" si="211">AY3-AY168</f>
        <v>0</v>
      </c>
      <c r="AZ250" s="196">
        <f t="shared" si="211"/>
        <v>0</v>
      </c>
      <c r="BA250" s="196">
        <f t="shared" si="211"/>
        <v>0</v>
      </c>
      <c r="BB250" s="196">
        <f t="shared" si="211"/>
        <v>0</v>
      </c>
      <c r="BD250" s="196">
        <f t="shared" si="211"/>
        <v>0</v>
      </c>
      <c r="BE250" s="196">
        <f t="shared" ref="BE250:BG253" si="212">BE3-BE168</f>
        <v>0</v>
      </c>
      <c r="BF250" s="196">
        <f t="shared" si="212"/>
        <v>9436</v>
      </c>
      <c r="BG250" s="196">
        <f t="shared" si="212"/>
        <v>0</v>
      </c>
      <c r="BH250" s="196">
        <f t="shared" si="211"/>
        <v>0</v>
      </c>
      <c r="BI250" s="196">
        <f>BI3-BI168</f>
        <v>0</v>
      </c>
      <c r="BJ250" s="196">
        <f t="shared" si="211"/>
        <v>0</v>
      </c>
      <c r="BK250" s="196">
        <f>BK3-BK168</f>
        <v>5</v>
      </c>
      <c r="BL250" s="196">
        <f t="shared" si="211"/>
        <v>0</v>
      </c>
      <c r="BM250" s="196">
        <f t="shared" si="211"/>
        <v>0</v>
      </c>
      <c r="BO250" s="196">
        <f t="shared" si="211"/>
        <v>0</v>
      </c>
      <c r="BP250" s="196">
        <f>BP3-BP168</f>
        <v>0</v>
      </c>
      <c r="BT250" s="196">
        <f t="shared" si="211"/>
        <v>136</v>
      </c>
      <c r="BU250" s="196">
        <f t="shared" si="211"/>
        <v>681</v>
      </c>
      <c r="BV250" s="196">
        <f t="shared" si="211"/>
        <v>-61</v>
      </c>
      <c r="BW250" s="196">
        <f t="shared" si="211"/>
        <v>255</v>
      </c>
      <c r="BX250" s="196">
        <f t="shared" si="211"/>
        <v>89</v>
      </c>
      <c r="BZ250" s="196">
        <f t="shared" ref="BZ250:CB253" si="213">BZ3-BZ168</f>
        <v>11468</v>
      </c>
      <c r="CA250" s="196">
        <f t="shared" si="213"/>
        <v>-53216</v>
      </c>
      <c r="CB250" s="196">
        <f t="shared" si="213"/>
        <v>0</v>
      </c>
      <c r="CD250" s="196">
        <f t="shared" ref="CD250:CG253" si="214">CD3-CD168</f>
        <v>0</v>
      </c>
      <c r="CE250" s="196">
        <f t="shared" si="214"/>
        <v>0</v>
      </c>
      <c r="CF250" s="196">
        <f t="shared" si="214"/>
        <v>0</v>
      </c>
      <c r="CG250" s="196">
        <f t="shared" si="214"/>
        <v>0</v>
      </c>
    </row>
    <row r="251" spans="1:85" hidden="1" x14ac:dyDescent="0.2">
      <c r="A251" s="195" t="s">
        <v>954</v>
      </c>
      <c r="B251" s="196">
        <f t="shared" si="206"/>
        <v>476475</v>
      </c>
      <c r="C251" s="196">
        <f t="shared" ref="C251:AA251" si="215">C4-C169</f>
        <v>441692</v>
      </c>
      <c r="D251" s="196">
        <f t="shared" si="215"/>
        <v>0</v>
      </c>
      <c r="E251" s="196">
        <f t="shared" ref="E251" si="216">E4-E169</f>
        <v>-9707</v>
      </c>
      <c r="F251" s="196">
        <f t="shared" si="215"/>
        <v>14557</v>
      </c>
      <c r="G251" s="196">
        <f t="shared" si="215"/>
        <v>-87</v>
      </c>
      <c r="H251" s="196">
        <f t="shared" si="215"/>
        <v>-191</v>
      </c>
      <c r="I251" s="196">
        <f t="shared" si="215"/>
        <v>0</v>
      </c>
      <c r="J251" s="196">
        <f t="shared" si="215"/>
        <v>0</v>
      </c>
      <c r="K251" s="196">
        <f t="shared" si="215"/>
        <v>0</v>
      </c>
      <c r="L251" s="196">
        <f t="shared" si="215"/>
        <v>0</v>
      </c>
      <c r="M251" s="196">
        <f t="shared" si="215"/>
        <v>0</v>
      </c>
      <c r="N251" s="196">
        <f t="shared" si="215"/>
        <v>0</v>
      </c>
      <c r="O251" s="196">
        <f t="shared" si="215"/>
        <v>9355</v>
      </c>
      <c r="P251" s="196">
        <f t="shared" si="215"/>
        <v>0</v>
      </c>
      <c r="Q251" s="196">
        <f>Q4-Q169</f>
        <v>0</v>
      </c>
      <c r="R251" s="196">
        <f t="shared" si="215"/>
        <v>0</v>
      </c>
      <c r="S251" s="196">
        <f>S4-S169</f>
        <v>0</v>
      </c>
      <c r="T251" s="196">
        <f t="shared" si="215"/>
        <v>0</v>
      </c>
      <c r="U251" s="196">
        <f t="shared" si="209"/>
        <v>0</v>
      </c>
      <c r="V251" s="196">
        <f t="shared" si="209"/>
        <v>0</v>
      </c>
      <c r="W251" s="196">
        <f t="shared" si="215"/>
        <v>0</v>
      </c>
      <c r="X251" s="196">
        <f>X4-X169</f>
        <v>0</v>
      </c>
      <c r="Y251" s="196">
        <f t="shared" si="215"/>
        <v>0</v>
      </c>
      <c r="Z251" s="196">
        <f t="shared" si="215"/>
        <v>0</v>
      </c>
      <c r="AA251" s="196">
        <f t="shared" si="215"/>
        <v>0</v>
      </c>
      <c r="AB251" s="196">
        <f>AB4-AB169</f>
        <v>0</v>
      </c>
      <c r="AF251" s="196">
        <f>AF4-AF169</f>
        <v>0</v>
      </c>
      <c r="AR251" s="196">
        <f t="shared" si="210"/>
        <v>-254</v>
      </c>
      <c r="AS251" s="196">
        <f t="shared" si="210"/>
        <v>0</v>
      </c>
      <c r="AT251" s="196">
        <f t="shared" si="210"/>
        <v>7022</v>
      </c>
      <c r="AU251" s="196">
        <f t="shared" si="210"/>
        <v>0</v>
      </c>
      <c r="AV251" s="196">
        <f t="shared" si="210"/>
        <v>0</v>
      </c>
      <c r="AW251" s="196">
        <f t="shared" si="210"/>
        <v>11</v>
      </c>
      <c r="AY251" s="196">
        <f t="shared" ref="AY251:BX251" si="217">AY4-AY169</f>
        <v>0</v>
      </c>
      <c r="AZ251" s="196">
        <f t="shared" si="217"/>
        <v>0</v>
      </c>
      <c r="BA251" s="196">
        <f t="shared" si="217"/>
        <v>0</v>
      </c>
      <c r="BB251" s="196">
        <f t="shared" si="217"/>
        <v>0</v>
      </c>
      <c r="BD251" s="196">
        <f t="shared" si="217"/>
        <v>0</v>
      </c>
      <c r="BE251" s="196">
        <f t="shared" si="212"/>
        <v>0</v>
      </c>
      <c r="BF251" s="196">
        <f t="shared" si="212"/>
        <v>0</v>
      </c>
      <c r="BG251" s="196">
        <f t="shared" si="212"/>
        <v>0</v>
      </c>
      <c r="BH251" s="196">
        <f t="shared" si="217"/>
        <v>0</v>
      </c>
      <c r="BI251" s="196">
        <f>BI4-BI169</f>
        <v>0</v>
      </c>
      <c r="BJ251" s="196">
        <f t="shared" si="217"/>
        <v>0</v>
      </c>
      <c r="BK251" s="196">
        <f>BK4-BK169</f>
        <v>0</v>
      </c>
      <c r="BL251" s="196">
        <f t="shared" si="217"/>
        <v>0</v>
      </c>
      <c r="BM251" s="196">
        <f t="shared" si="217"/>
        <v>0</v>
      </c>
      <c r="BO251" s="196">
        <f t="shared" si="217"/>
        <v>0</v>
      </c>
      <c r="BP251" s="196">
        <f>BP4-BP169</f>
        <v>0</v>
      </c>
      <c r="BT251" s="196">
        <f t="shared" si="217"/>
        <v>3377</v>
      </c>
      <c r="BU251" s="196">
        <f t="shared" si="217"/>
        <v>3105</v>
      </c>
      <c r="BV251" s="196">
        <f t="shared" si="217"/>
        <v>-744</v>
      </c>
      <c r="BW251" s="196">
        <f t="shared" si="217"/>
        <v>431</v>
      </c>
      <c r="BX251" s="196">
        <f t="shared" si="217"/>
        <v>393</v>
      </c>
      <c r="BZ251" s="196">
        <f t="shared" si="213"/>
        <v>19279</v>
      </c>
      <c r="CA251" s="196">
        <f t="shared" si="213"/>
        <v>-11764</v>
      </c>
      <c r="CB251" s="196">
        <f t="shared" si="213"/>
        <v>0</v>
      </c>
      <c r="CD251" s="196">
        <f t="shared" si="214"/>
        <v>0</v>
      </c>
      <c r="CE251" s="196">
        <f t="shared" si="214"/>
        <v>0</v>
      </c>
      <c r="CF251" s="196">
        <f t="shared" si="214"/>
        <v>0</v>
      </c>
      <c r="CG251" s="196">
        <f t="shared" si="214"/>
        <v>0</v>
      </c>
    </row>
    <row r="252" spans="1:85" hidden="1" x14ac:dyDescent="0.2">
      <c r="A252" s="195" t="s">
        <v>955</v>
      </c>
      <c r="B252" s="196">
        <f t="shared" si="206"/>
        <v>198553</v>
      </c>
      <c r="C252" s="196">
        <f t="shared" ref="C252:AA252" si="218">C5-C170</f>
        <v>27056</v>
      </c>
      <c r="D252" s="196">
        <f t="shared" si="218"/>
        <v>0</v>
      </c>
      <c r="E252" s="196">
        <f t="shared" ref="E252" si="219">E5-E170</f>
        <v>-4799</v>
      </c>
      <c r="F252" s="196">
        <f t="shared" si="218"/>
        <v>-1850</v>
      </c>
      <c r="G252" s="196">
        <f t="shared" si="218"/>
        <v>-33</v>
      </c>
      <c r="H252" s="196">
        <f t="shared" si="218"/>
        <v>0</v>
      </c>
      <c r="I252" s="196">
        <f t="shared" si="218"/>
        <v>0</v>
      </c>
      <c r="J252" s="196">
        <f t="shared" si="218"/>
        <v>0</v>
      </c>
      <c r="K252" s="196">
        <f t="shared" si="218"/>
        <v>6336</v>
      </c>
      <c r="L252" s="196">
        <f t="shared" si="218"/>
        <v>-15022</v>
      </c>
      <c r="M252" s="196">
        <f t="shared" si="218"/>
        <v>0</v>
      </c>
      <c r="N252" s="196">
        <f t="shared" si="218"/>
        <v>0</v>
      </c>
      <c r="O252" s="196">
        <f t="shared" si="218"/>
        <v>4623</v>
      </c>
      <c r="P252" s="196">
        <f t="shared" si="218"/>
        <v>0</v>
      </c>
      <c r="Q252" s="196">
        <f>Q5-Q170</f>
        <v>0</v>
      </c>
      <c r="R252" s="196">
        <f t="shared" si="218"/>
        <v>0</v>
      </c>
      <c r="S252" s="196">
        <f>S5-S170</f>
        <v>0</v>
      </c>
      <c r="T252" s="196">
        <f t="shared" si="218"/>
        <v>0</v>
      </c>
      <c r="U252" s="196">
        <f t="shared" si="209"/>
        <v>2615</v>
      </c>
      <c r="V252" s="196">
        <f t="shared" si="209"/>
        <v>0</v>
      </c>
      <c r="W252" s="196">
        <f t="shared" si="218"/>
        <v>18773</v>
      </c>
      <c r="X252" s="196">
        <f>X5-X170</f>
        <v>0</v>
      </c>
      <c r="Y252" s="196">
        <f t="shared" si="218"/>
        <v>0</v>
      </c>
      <c r="Z252" s="196">
        <f t="shared" si="218"/>
        <v>0</v>
      </c>
      <c r="AA252" s="196">
        <f t="shared" si="218"/>
        <v>0</v>
      </c>
      <c r="AB252" s="196">
        <f>AB5-AB170</f>
        <v>0</v>
      </c>
      <c r="AF252" s="196">
        <f>AF5-AF170</f>
        <v>237163</v>
      </c>
      <c r="AR252" s="196">
        <f t="shared" si="210"/>
        <v>20285</v>
      </c>
      <c r="AS252" s="196">
        <f t="shared" si="210"/>
        <v>0</v>
      </c>
      <c r="AT252" s="196">
        <f t="shared" si="210"/>
        <v>95351</v>
      </c>
      <c r="AU252" s="196">
        <f t="shared" si="210"/>
        <v>-187</v>
      </c>
      <c r="AV252" s="196">
        <f t="shared" si="210"/>
        <v>0</v>
      </c>
      <c r="AW252" s="196">
        <f t="shared" si="210"/>
        <v>214</v>
      </c>
      <c r="AY252" s="196">
        <f t="shared" ref="AY252:BX252" si="220">AY5-AY170</f>
        <v>0</v>
      </c>
      <c r="AZ252" s="196">
        <f t="shared" si="220"/>
        <v>0</v>
      </c>
      <c r="BA252" s="196">
        <f t="shared" si="220"/>
        <v>0</v>
      </c>
      <c r="BB252" s="196">
        <f t="shared" si="220"/>
        <v>0</v>
      </c>
      <c r="BD252" s="196">
        <f t="shared" si="220"/>
        <v>0</v>
      </c>
      <c r="BE252" s="196">
        <f t="shared" si="212"/>
        <v>0</v>
      </c>
      <c r="BF252" s="196">
        <f t="shared" si="212"/>
        <v>0</v>
      </c>
      <c r="BG252" s="196">
        <f t="shared" si="212"/>
        <v>0</v>
      </c>
      <c r="BH252" s="196">
        <f t="shared" si="220"/>
        <v>0</v>
      </c>
      <c r="BI252" s="196">
        <f>BI5-BI170</f>
        <v>0</v>
      </c>
      <c r="BJ252" s="196">
        <f t="shared" si="220"/>
        <v>0</v>
      </c>
      <c r="BK252" s="196">
        <f>BK5-BK170</f>
        <v>0</v>
      </c>
      <c r="BL252" s="196">
        <f t="shared" si="220"/>
        <v>0</v>
      </c>
      <c r="BM252" s="196">
        <f t="shared" si="220"/>
        <v>0</v>
      </c>
      <c r="BO252" s="196">
        <f t="shared" si="220"/>
        <v>0</v>
      </c>
      <c r="BP252" s="196">
        <f>BP5-BP170</f>
        <v>0</v>
      </c>
      <c r="BT252" s="196">
        <f t="shared" si="220"/>
        <v>-124</v>
      </c>
      <c r="BU252" s="196">
        <f t="shared" si="220"/>
        <v>365</v>
      </c>
      <c r="BV252" s="196">
        <f t="shared" si="220"/>
        <v>-288</v>
      </c>
      <c r="BW252" s="196">
        <f t="shared" si="220"/>
        <v>101</v>
      </c>
      <c r="BX252" s="196">
        <f t="shared" si="220"/>
        <v>109</v>
      </c>
      <c r="BZ252" s="196">
        <f t="shared" si="213"/>
        <v>-203</v>
      </c>
      <c r="CA252" s="196">
        <f t="shared" si="213"/>
        <v>-191932</v>
      </c>
      <c r="CB252" s="196">
        <f t="shared" si="213"/>
        <v>0</v>
      </c>
      <c r="CD252" s="196">
        <f t="shared" si="214"/>
        <v>0</v>
      </c>
      <c r="CE252" s="196">
        <f t="shared" si="214"/>
        <v>0</v>
      </c>
      <c r="CF252" s="196">
        <f t="shared" si="214"/>
        <v>0</v>
      </c>
      <c r="CG252" s="196">
        <f t="shared" si="214"/>
        <v>0</v>
      </c>
    </row>
    <row r="253" spans="1:85" hidden="1" x14ac:dyDescent="0.2">
      <c r="A253" s="195" t="s">
        <v>958</v>
      </c>
      <c r="B253" s="196">
        <f t="shared" si="206"/>
        <v>9590</v>
      </c>
      <c r="C253" s="196">
        <f t="shared" ref="C253:AA253" si="221">C6-C171</f>
        <v>-3138</v>
      </c>
      <c r="D253" s="196">
        <f t="shared" si="221"/>
        <v>0</v>
      </c>
      <c r="E253" s="196">
        <f t="shared" ref="E253" si="222">E6-E171</f>
        <v>-166</v>
      </c>
      <c r="F253" s="196">
        <f t="shared" si="221"/>
        <v>-143</v>
      </c>
      <c r="G253" s="196">
        <f t="shared" si="221"/>
        <v>0</v>
      </c>
      <c r="H253" s="196">
        <f t="shared" si="221"/>
        <v>0</v>
      </c>
      <c r="I253" s="196">
        <f t="shared" si="221"/>
        <v>0</v>
      </c>
      <c r="J253" s="196">
        <f t="shared" si="221"/>
        <v>0</v>
      </c>
      <c r="K253" s="196">
        <f t="shared" si="221"/>
        <v>0</v>
      </c>
      <c r="L253" s="196">
        <f t="shared" si="221"/>
        <v>0</v>
      </c>
      <c r="M253" s="196">
        <f t="shared" si="221"/>
        <v>0</v>
      </c>
      <c r="N253" s="196">
        <f t="shared" si="221"/>
        <v>0</v>
      </c>
      <c r="O253" s="196">
        <f t="shared" si="221"/>
        <v>0</v>
      </c>
      <c r="P253" s="196">
        <f t="shared" si="221"/>
        <v>0</v>
      </c>
      <c r="Q253" s="196">
        <f>Q6-Q171</f>
        <v>0</v>
      </c>
      <c r="R253" s="196">
        <f t="shared" si="221"/>
        <v>0</v>
      </c>
      <c r="S253" s="196">
        <f>S6-S171</f>
        <v>0</v>
      </c>
      <c r="T253" s="196">
        <f t="shared" si="221"/>
        <v>12586</v>
      </c>
      <c r="U253" s="196">
        <f t="shared" si="209"/>
        <v>0</v>
      </c>
      <c r="V253" s="196">
        <f t="shared" si="209"/>
        <v>0</v>
      </c>
      <c r="W253" s="196">
        <f t="shared" si="221"/>
        <v>0</v>
      </c>
      <c r="X253" s="196">
        <f>X6-X171</f>
        <v>0</v>
      </c>
      <c r="Y253" s="196">
        <f t="shared" si="221"/>
        <v>0</v>
      </c>
      <c r="Z253" s="196">
        <f t="shared" si="221"/>
        <v>0</v>
      </c>
      <c r="AA253" s="196">
        <f t="shared" si="221"/>
        <v>0</v>
      </c>
      <c r="AB253" s="196">
        <f>AB6-AB171</f>
        <v>0</v>
      </c>
      <c r="AF253" s="196">
        <f>AF6-AF171</f>
        <v>0</v>
      </c>
      <c r="AR253" s="196">
        <f t="shared" si="210"/>
        <v>0</v>
      </c>
      <c r="AS253" s="196">
        <f t="shared" si="210"/>
        <v>0</v>
      </c>
      <c r="AT253" s="196">
        <f t="shared" si="210"/>
        <v>0</v>
      </c>
      <c r="AU253" s="196">
        <f t="shared" si="210"/>
        <v>0</v>
      </c>
      <c r="AV253" s="196">
        <f t="shared" si="210"/>
        <v>0</v>
      </c>
      <c r="AW253" s="196">
        <f t="shared" si="210"/>
        <v>0</v>
      </c>
      <c r="AY253" s="196">
        <f t="shared" ref="AY253:BW253" si="223">AY6-AY171</f>
        <v>0</v>
      </c>
      <c r="AZ253" s="196">
        <f t="shared" si="223"/>
        <v>0</v>
      </c>
      <c r="BA253" s="196">
        <f t="shared" si="223"/>
        <v>0</v>
      </c>
      <c r="BB253" s="196">
        <f t="shared" si="223"/>
        <v>0</v>
      </c>
      <c r="BD253" s="196">
        <f t="shared" si="223"/>
        <v>0</v>
      </c>
      <c r="BE253" s="196">
        <f t="shared" si="212"/>
        <v>0</v>
      </c>
      <c r="BF253" s="196">
        <f t="shared" si="212"/>
        <v>0</v>
      </c>
      <c r="BG253" s="196">
        <f t="shared" si="212"/>
        <v>0</v>
      </c>
      <c r="BH253" s="196">
        <f t="shared" si="223"/>
        <v>0</v>
      </c>
      <c r="BI253" s="196">
        <f>BI6-BI171</f>
        <v>0</v>
      </c>
      <c r="BJ253" s="196">
        <f t="shared" si="223"/>
        <v>0</v>
      </c>
      <c r="BK253" s="196">
        <f>BK6-BK171</f>
        <v>0</v>
      </c>
      <c r="BL253" s="196">
        <f t="shared" si="223"/>
        <v>0</v>
      </c>
      <c r="BM253" s="196">
        <f t="shared" si="223"/>
        <v>0</v>
      </c>
      <c r="BO253" s="196">
        <f t="shared" si="223"/>
        <v>0</v>
      </c>
      <c r="BP253" s="196">
        <f>BP6-BP171</f>
        <v>0</v>
      </c>
      <c r="BT253" s="196">
        <f t="shared" si="223"/>
        <v>105</v>
      </c>
      <c r="BU253" s="196">
        <f t="shared" si="223"/>
        <v>26</v>
      </c>
      <c r="BV253" s="196">
        <f t="shared" si="223"/>
        <v>38</v>
      </c>
      <c r="BW253" s="196">
        <f t="shared" si="223"/>
        <v>15</v>
      </c>
      <c r="BX253" s="196">
        <f>BX7-BX171</f>
        <v>50</v>
      </c>
      <c r="BZ253" s="196">
        <f t="shared" si="213"/>
        <v>0</v>
      </c>
      <c r="CA253" s="196">
        <f t="shared" si="213"/>
        <v>217</v>
      </c>
      <c r="CB253" s="196">
        <f t="shared" si="213"/>
        <v>0</v>
      </c>
      <c r="CD253" s="196">
        <f t="shared" si="214"/>
        <v>0</v>
      </c>
      <c r="CE253" s="196">
        <f t="shared" si="214"/>
        <v>0</v>
      </c>
      <c r="CF253" s="196">
        <f t="shared" si="214"/>
        <v>0</v>
      </c>
      <c r="CG253" s="196">
        <f t="shared" si="214"/>
        <v>0</v>
      </c>
    </row>
    <row r="254" spans="1:85" hidden="1" x14ac:dyDescent="0.2">
      <c r="A254" s="195" t="s">
        <v>956</v>
      </c>
      <c r="B254" s="196">
        <f t="shared" si="206"/>
        <v>112704</v>
      </c>
      <c r="C254" s="196">
        <f t="shared" ref="C254:AA254" si="224">C8-C173</f>
        <v>77083</v>
      </c>
      <c r="D254" s="196">
        <f t="shared" si="224"/>
        <v>0</v>
      </c>
      <c r="E254" s="196">
        <f t="shared" ref="E254" si="225">E8-E173</f>
        <v>-1865</v>
      </c>
      <c r="F254" s="196">
        <f t="shared" si="224"/>
        <v>-1668</v>
      </c>
      <c r="G254" s="196">
        <f t="shared" si="224"/>
        <v>-833</v>
      </c>
      <c r="H254" s="196">
        <f t="shared" si="224"/>
        <v>0</v>
      </c>
      <c r="I254" s="196">
        <f t="shared" si="224"/>
        <v>0</v>
      </c>
      <c r="J254" s="196">
        <f t="shared" si="224"/>
        <v>0</v>
      </c>
      <c r="K254" s="196">
        <f t="shared" si="224"/>
        <v>0</v>
      </c>
      <c r="L254" s="196">
        <f t="shared" si="224"/>
        <v>0</v>
      </c>
      <c r="M254" s="196">
        <f t="shared" si="224"/>
        <v>0</v>
      </c>
      <c r="N254" s="196">
        <f t="shared" si="224"/>
        <v>635</v>
      </c>
      <c r="O254" s="196">
        <f t="shared" si="224"/>
        <v>1820</v>
      </c>
      <c r="P254" s="196">
        <f t="shared" si="224"/>
        <v>0</v>
      </c>
      <c r="Q254" s="196">
        <f>Q8-Q173</f>
        <v>-575</v>
      </c>
      <c r="R254" s="196">
        <f t="shared" si="224"/>
        <v>0</v>
      </c>
      <c r="S254" s="196">
        <f>S8-S173</f>
        <v>0</v>
      </c>
      <c r="T254" s="196">
        <f t="shared" si="224"/>
        <v>0</v>
      </c>
      <c r="U254" s="196">
        <f t="shared" ref="U254:V257" si="226">U8-U173</f>
        <v>0</v>
      </c>
      <c r="V254" s="196">
        <f t="shared" si="226"/>
        <v>0</v>
      </c>
      <c r="W254" s="196">
        <f t="shared" si="224"/>
        <v>0</v>
      </c>
      <c r="X254" s="196">
        <f>X8-X173</f>
        <v>0</v>
      </c>
      <c r="Y254" s="196">
        <f t="shared" si="224"/>
        <v>0</v>
      </c>
      <c r="Z254" s="196">
        <f t="shared" si="224"/>
        <v>0</v>
      </c>
      <c r="AA254" s="196">
        <f t="shared" si="224"/>
        <v>-44</v>
      </c>
      <c r="AB254" s="196">
        <f>AB8-AB173</f>
        <v>0</v>
      </c>
      <c r="AF254" s="196">
        <f>AF8-AF173</f>
        <v>10</v>
      </c>
      <c r="AR254" s="196">
        <f t="shared" ref="AR254:AW257" si="227">AR8-AR173</f>
        <v>2255</v>
      </c>
      <c r="AS254" s="196">
        <f t="shared" si="227"/>
        <v>0</v>
      </c>
      <c r="AT254" s="196">
        <f t="shared" si="227"/>
        <v>56691</v>
      </c>
      <c r="AU254" s="196">
        <f t="shared" si="227"/>
        <v>0</v>
      </c>
      <c r="AV254" s="196">
        <f t="shared" si="227"/>
        <v>0</v>
      </c>
      <c r="AW254" s="196">
        <f t="shared" si="227"/>
        <v>57</v>
      </c>
      <c r="AY254" s="196">
        <f t="shared" ref="AY254:BW254" si="228">AY8-AY173</f>
        <v>8</v>
      </c>
      <c r="AZ254" s="196">
        <f t="shared" si="228"/>
        <v>-79</v>
      </c>
      <c r="BA254" s="196">
        <f t="shared" si="228"/>
        <v>10</v>
      </c>
      <c r="BB254" s="196">
        <f t="shared" si="228"/>
        <v>16</v>
      </c>
      <c r="BD254" s="196">
        <f t="shared" si="228"/>
        <v>0</v>
      </c>
      <c r="BE254" s="196">
        <f t="shared" ref="BE254:BG257" si="229">BE8-BE173</f>
        <v>0</v>
      </c>
      <c r="BF254" s="196">
        <f t="shared" si="229"/>
        <v>0</v>
      </c>
      <c r="BG254" s="196">
        <f t="shared" si="229"/>
        <v>0</v>
      </c>
      <c r="BH254" s="196">
        <f t="shared" si="228"/>
        <v>0</v>
      </c>
      <c r="BI254" s="196">
        <f>BI8-BI173</f>
        <v>0</v>
      </c>
      <c r="BJ254" s="196">
        <f t="shared" si="228"/>
        <v>17360</v>
      </c>
      <c r="BK254" s="196">
        <f>BK8-BK173</f>
        <v>0</v>
      </c>
      <c r="BL254" s="196">
        <f t="shared" si="228"/>
        <v>0</v>
      </c>
      <c r="BM254" s="196">
        <f t="shared" si="228"/>
        <v>0</v>
      </c>
      <c r="BO254" s="196">
        <f t="shared" si="228"/>
        <v>0</v>
      </c>
      <c r="BP254" s="196">
        <f>BP8-BP173</f>
        <v>0</v>
      </c>
      <c r="BT254" s="196">
        <f t="shared" si="228"/>
        <v>-608</v>
      </c>
      <c r="BU254" s="196">
        <f t="shared" si="228"/>
        <v>1458</v>
      </c>
      <c r="BV254" s="196">
        <f t="shared" si="228"/>
        <v>-256</v>
      </c>
      <c r="BW254" s="196">
        <f t="shared" si="228"/>
        <v>49</v>
      </c>
      <c r="BX254" s="196">
        <f>BX9-BX173</f>
        <v>-39</v>
      </c>
      <c r="BZ254" s="196">
        <f t="shared" ref="BZ254:CB257" si="230">BZ8-BZ173</f>
        <v>-388</v>
      </c>
      <c r="CA254" s="196">
        <f t="shared" si="230"/>
        <v>-38393</v>
      </c>
      <c r="CB254" s="196">
        <f t="shared" si="230"/>
        <v>0</v>
      </c>
      <c r="CD254" s="196">
        <f t="shared" ref="CD254:CG257" si="231">CD8-CD173</f>
        <v>0</v>
      </c>
      <c r="CE254" s="196">
        <f t="shared" si="231"/>
        <v>0</v>
      </c>
      <c r="CF254" s="196">
        <f t="shared" si="231"/>
        <v>0</v>
      </c>
      <c r="CG254" s="196">
        <f t="shared" si="231"/>
        <v>0</v>
      </c>
    </row>
    <row r="255" spans="1:85" hidden="1" x14ac:dyDescent="0.2">
      <c r="A255" s="195" t="s">
        <v>961</v>
      </c>
      <c r="B255" s="196">
        <f t="shared" si="206"/>
        <v>65674</v>
      </c>
      <c r="C255" s="196">
        <f t="shared" ref="C255:AA255" si="232">C9-C174</f>
        <v>0</v>
      </c>
      <c r="D255" s="196">
        <f t="shared" si="232"/>
        <v>0</v>
      </c>
      <c r="E255" s="196">
        <f t="shared" ref="E255" si="233">E9-E174</f>
        <v>0</v>
      </c>
      <c r="F255" s="196">
        <f t="shared" si="232"/>
        <v>0</v>
      </c>
      <c r="G255" s="196">
        <f t="shared" si="232"/>
        <v>0</v>
      </c>
      <c r="H255" s="196">
        <f t="shared" si="232"/>
        <v>0</v>
      </c>
      <c r="I255" s="196">
        <f t="shared" si="232"/>
        <v>0</v>
      </c>
      <c r="J255" s="196">
        <f t="shared" si="232"/>
        <v>0</v>
      </c>
      <c r="K255" s="196">
        <f t="shared" si="232"/>
        <v>0</v>
      </c>
      <c r="L255" s="196">
        <f t="shared" si="232"/>
        <v>0</v>
      </c>
      <c r="M255" s="196">
        <f t="shared" si="232"/>
        <v>0</v>
      </c>
      <c r="N255" s="196">
        <f t="shared" si="232"/>
        <v>17106</v>
      </c>
      <c r="O255" s="196">
        <f t="shared" si="232"/>
        <v>10699</v>
      </c>
      <c r="P255" s="196">
        <f t="shared" si="232"/>
        <v>-609</v>
      </c>
      <c r="Q255" s="196">
        <f>Q9-Q174</f>
        <v>0</v>
      </c>
      <c r="R255" s="196">
        <f t="shared" si="232"/>
        <v>-1170</v>
      </c>
      <c r="S255" s="196">
        <f>S9-S174</f>
        <v>0</v>
      </c>
      <c r="T255" s="196">
        <f t="shared" si="232"/>
        <v>0</v>
      </c>
      <c r="U255" s="196">
        <f t="shared" si="226"/>
        <v>0</v>
      </c>
      <c r="V255" s="196">
        <f t="shared" si="226"/>
        <v>0</v>
      </c>
      <c r="W255" s="196">
        <f t="shared" si="232"/>
        <v>0</v>
      </c>
      <c r="X255" s="196">
        <f>X9-X174</f>
        <v>0</v>
      </c>
      <c r="Y255" s="196">
        <f t="shared" si="232"/>
        <v>0</v>
      </c>
      <c r="Z255" s="196">
        <f t="shared" si="232"/>
        <v>0</v>
      </c>
      <c r="AA255" s="196">
        <f t="shared" si="232"/>
        <v>0</v>
      </c>
      <c r="AB255" s="196">
        <f>AB9-AB174</f>
        <v>0</v>
      </c>
      <c r="AF255" s="196">
        <f>AF9-AF174</f>
        <v>-3</v>
      </c>
      <c r="AR255" s="196">
        <f t="shared" si="227"/>
        <v>0</v>
      </c>
      <c r="AS255" s="196">
        <f t="shared" si="227"/>
        <v>0</v>
      </c>
      <c r="AT255" s="196">
        <f t="shared" si="227"/>
        <v>3523</v>
      </c>
      <c r="AU255" s="196">
        <f t="shared" si="227"/>
        <v>0</v>
      </c>
      <c r="AV255" s="196">
        <f t="shared" si="227"/>
        <v>0</v>
      </c>
      <c r="AW255" s="196">
        <f t="shared" si="227"/>
        <v>0</v>
      </c>
      <c r="AY255" s="196">
        <f t="shared" ref="AY255:BW255" si="234">AY9-AY174</f>
        <v>0</v>
      </c>
      <c r="AZ255" s="196">
        <f t="shared" si="234"/>
        <v>0</v>
      </c>
      <c r="BA255" s="196">
        <f t="shared" si="234"/>
        <v>-10</v>
      </c>
      <c r="BB255" s="196">
        <f t="shared" si="234"/>
        <v>0</v>
      </c>
      <c r="BD255" s="196">
        <f t="shared" si="234"/>
        <v>0</v>
      </c>
      <c r="BE255" s="196">
        <f t="shared" si="229"/>
        <v>0</v>
      </c>
      <c r="BF255" s="196">
        <f t="shared" si="229"/>
        <v>0</v>
      </c>
      <c r="BG255" s="196">
        <f t="shared" si="229"/>
        <v>0</v>
      </c>
      <c r="BH255" s="196">
        <f t="shared" si="234"/>
        <v>30530</v>
      </c>
      <c r="BI255" s="196">
        <f>BI9-BI174</f>
        <v>0</v>
      </c>
      <c r="BJ255" s="196">
        <f t="shared" si="234"/>
        <v>0</v>
      </c>
      <c r="BK255" s="196">
        <f>BK9-BK174</f>
        <v>0</v>
      </c>
      <c r="BL255" s="196">
        <f t="shared" si="234"/>
        <v>0</v>
      </c>
      <c r="BM255" s="196">
        <f t="shared" si="234"/>
        <v>0</v>
      </c>
      <c r="BO255" s="196">
        <f t="shared" si="234"/>
        <v>0</v>
      </c>
      <c r="BP255" s="196">
        <f>BP9-BP174</f>
        <v>0</v>
      </c>
      <c r="BT255" s="196">
        <f t="shared" si="234"/>
        <v>44</v>
      </c>
      <c r="BU255" s="196">
        <f t="shared" si="234"/>
        <v>898</v>
      </c>
      <c r="BV255" s="196">
        <f t="shared" si="234"/>
        <v>-1</v>
      </c>
      <c r="BW255" s="196">
        <f t="shared" si="234"/>
        <v>23</v>
      </c>
      <c r="BX255" s="196">
        <f>BX10-BX174</f>
        <v>27</v>
      </c>
      <c r="BZ255" s="196">
        <f t="shared" si="230"/>
        <v>173</v>
      </c>
      <c r="CA255" s="196">
        <f t="shared" si="230"/>
        <v>4444</v>
      </c>
      <c r="CB255" s="196">
        <f t="shared" si="230"/>
        <v>0</v>
      </c>
      <c r="CD255" s="196">
        <f t="shared" si="231"/>
        <v>0</v>
      </c>
      <c r="CE255" s="196">
        <f t="shared" si="231"/>
        <v>0</v>
      </c>
      <c r="CF255" s="196">
        <f t="shared" si="231"/>
        <v>0</v>
      </c>
      <c r="CG255" s="196">
        <f t="shared" si="231"/>
        <v>0</v>
      </c>
    </row>
    <row r="256" spans="1:85" hidden="1" x14ac:dyDescent="0.2">
      <c r="A256" s="195" t="s">
        <v>960</v>
      </c>
      <c r="B256" s="196">
        <f t="shared" si="206"/>
        <v>58765</v>
      </c>
      <c r="C256" s="196">
        <f t="shared" ref="C256:AA256" si="235">C10-C175</f>
        <v>37531</v>
      </c>
      <c r="D256" s="196">
        <f t="shared" si="235"/>
        <v>0</v>
      </c>
      <c r="E256" s="196">
        <f t="shared" ref="E256" si="236">E10-E175</f>
        <v>10305</v>
      </c>
      <c r="F256" s="196">
        <f t="shared" si="235"/>
        <v>2044</v>
      </c>
      <c r="G256" s="196">
        <f t="shared" si="235"/>
        <v>8685</v>
      </c>
      <c r="H256" s="196">
        <f t="shared" si="235"/>
        <v>0</v>
      </c>
      <c r="I256" s="196">
        <f t="shared" si="235"/>
        <v>-439</v>
      </c>
      <c r="J256" s="196">
        <f t="shared" si="235"/>
        <v>0</v>
      </c>
      <c r="K256" s="196">
        <f t="shared" si="235"/>
        <v>0</v>
      </c>
      <c r="L256" s="196">
        <f t="shared" si="235"/>
        <v>0</v>
      </c>
      <c r="M256" s="196">
        <f t="shared" si="235"/>
        <v>0</v>
      </c>
      <c r="N256" s="196">
        <f t="shared" si="235"/>
        <v>0</v>
      </c>
      <c r="O256" s="196">
        <f t="shared" si="235"/>
        <v>5450</v>
      </c>
      <c r="P256" s="196">
        <f t="shared" si="235"/>
        <v>0</v>
      </c>
      <c r="Q256" s="196">
        <f>Q10-Q175</f>
        <v>0</v>
      </c>
      <c r="R256" s="196">
        <f t="shared" si="235"/>
        <v>0</v>
      </c>
      <c r="S256" s="196">
        <f>S10-S175</f>
        <v>-17942</v>
      </c>
      <c r="T256" s="196">
        <f t="shared" si="235"/>
        <v>0</v>
      </c>
      <c r="U256" s="196">
        <f t="shared" si="226"/>
        <v>0</v>
      </c>
      <c r="V256" s="196">
        <f t="shared" si="226"/>
        <v>776</v>
      </c>
      <c r="W256" s="196">
        <f t="shared" si="235"/>
        <v>0</v>
      </c>
      <c r="X256" s="196">
        <f>X10-X175</f>
        <v>0</v>
      </c>
      <c r="Y256" s="196">
        <f t="shared" si="235"/>
        <v>0</v>
      </c>
      <c r="Z256" s="196">
        <f t="shared" si="235"/>
        <v>0</v>
      </c>
      <c r="AA256" s="196">
        <f t="shared" si="235"/>
        <v>0</v>
      </c>
      <c r="AB256" s="196">
        <f>AB10-AB175</f>
        <v>0</v>
      </c>
      <c r="AF256" s="196">
        <f>AF10-AF175</f>
        <v>14323</v>
      </c>
      <c r="AR256" s="196">
        <f t="shared" si="227"/>
        <v>-305</v>
      </c>
      <c r="AS256" s="196">
        <f t="shared" si="227"/>
        <v>0</v>
      </c>
      <c r="AT256" s="196">
        <f t="shared" si="227"/>
        <v>0</v>
      </c>
      <c r="AU256" s="196">
        <f t="shared" si="227"/>
        <v>0</v>
      </c>
      <c r="AV256" s="196">
        <f t="shared" si="227"/>
        <v>0</v>
      </c>
      <c r="AW256" s="196">
        <f t="shared" si="227"/>
        <v>0</v>
      </c>
      <c r="AY256" s="196">
        <f t="shared" ref="AY256:BW256" si="237">AY10-AY175</f>
        <v>0</v>
      </c>
      <c r="AZ256" s="196">
        <f t="shared" si="237"/>
        <v>0</v>
      </c>
      <c r="BA256" s="196">
        <f t="shared" si="237"/>
        <v>0</v>
      </c>
      <c r="BB256" s="196">
        <f t="shared" si="237"/>
        <v>0</v>
      </c>
      <c r="BD256" s="196">
        <f t="shared" si="237"/>
        <v>0</v>
      </c>
      <c r="BE256" s="196">
        <f t="shared" si="229"/>
        <v>0</v>
      </c>
      <c r="BF256" s="196">
        <f t="shared" si="229"/>
        <v>-39</v>
      </c>
      <c r="BG256" s="196">
        <f t="shared" si="229"/>
        <v>0</v>
      </c>
      <c r="BH256" s="196">
        <f t="shared" si="237"/>
        <v>-49</v>
      </c>
      <c r="BI256" s="196">
        <f>BI10-BI175</f>
        <v>0</v>
      </c>
      <c r="BJ256" s="196">
        <f t="shared" si="237"/>
        <v>0</v>
      </c>
      <c r="BK256" s="196">
        <f>BK10-BK175</f>
        <v>0</v>
      </c>
      <c r="BL256" s="196">
        <f t="shared" si="237"/>
        <v>0</v>
      </c>
      <c r="BM256" s="196">
        <f t="shared" si="237"/>
        <v>0</v>
      </c>
      <c r="BO256" s="196">
        <f t="shared" si="237"/>
        <v>-19</v>
      </c>
      <c r="BP256" s="196">
        <f>BP10-BP175</f>
        <v>0</v>
      </c>
      <c r="BT256" s="196">
        <f t="shared" si="237"/>
        <v>-140</v>
      </c>
      <c r="BU256" s="196">
        <f t="shared" si="237"/>
        <v>-131</v>
      </c>
      <c r="BV256" s="196">
        <f t="shared" si="237"/>
        <v>-12</v>
      </c>
      <c r="BW256" s="196">
        <f t="shared" si="237"/>
        <v>0</v>
      </c>
      <c r="BX256" s="196">
        <f>BX11-BX175</f>
        <v>-5</v>
      </c>
      <c r="BZ256" s="196">
        <f t="shared" si="230"/>
        <v>-617</v>
      </c>
      <c r="CA256" s="196">
        <f t="shared" si="230"/>
        <v>-651</v>
      </c>
      <c r="CB256" s="196">
        <f t="shared" si="230"/>
        <v>0</v>
      </c>
      <c r="CD256" s="196">
        <f t="shared" si="231"/>
        <v>0</v>
      </c>
      <c r="CE256" s="196">
        <f t="shared" si="231"/>
        <v>0</v>
      </c>
      <c r="CF256" s="196">
        <f t="shared" si="231"/>
        <v>0</v>
      </c>
      <c r="CG256" s="196">
        <f t="shared" si="231"/>
        <v>0</v>
      </c>
    </row>
    <row r="257" spans="1:85" hidden="1" x14ac:dyDescent="0.2">
      <c r="A257" s="195" t="s">
        <v>963</v>
      </c>
      <c r="B257" s="196">
        <f t="shared" si="206"/>
        <v>-5486</v>
      </c>
      <c r="C257" s="196">
        <f t="shared" ref="C257:AA257" si="238">C11-C176</f>
        <v>16277</v>
      </c>
      <c r="D257" s="196">
        <f t="shared" si="238"/>
        <v>0</v>
      </c>
      <c r="E257" s="196">
        <f t="shared" ref="E257" si="239">E11-E176</f>
        <v>-99509</v>
      </c>
      <c r="F257" s="196">
        <f t="shared" si="238"/>
        <v>76162</v>
      </c>
      <c r="G257" s="196">
        <f t="shared" si="238"/>
        <v>336</v>
      </c>
      <c r="H257" s="196">
        <f t="shared" si="238"/>
        <v>0</v>
      </c>
      <c r="I257" s="196">
        <f t="shared" si="238"/>
        <v>0</v>
      </c>
      <c r="J257" s="196">
        <f t="shared" si="238"/>
        <v>0</v>
      </c>
      <c r="K257" s="196">
        <f t="shared" si="238"/>
        <v>0</v>
      </c>
      <c r="L257" s="196">
        <f t="shared" si="238"/>
        <v>0</v>
      </c>
      <c r="M257" s="196">
        <f t="shared" si="238"/>
        <v>0</v>
      </c>
      <c r="N257" s="196">
        <f t="shared" si="238"/>
        <v>0</v>
      </c>
      <c r="O257" s="196">
        <f t="shared" si="238"/>
        <v>147</v>
      </c>
      <c r="P257" s="196">
        <f t="shared" si="238"/>
        <v>0</v>
      </c>
      <c r="Q257" s="196">
        <f>Q11-Q176</f>
        <v>0</v>
      </c>
      <c r="R257" s="196">
        <f t="shared" si="238"/>
        <v>0</v>
      </c>
      <c r="S257" s="196">
        <f>S11-S176</f>
        <v>0</v>
      </c>
      <c r="T257" s="196">
        <f t="shared" si="238"/>
        <v>0</v>
      </c>
      <c r="U257" s="196">
        <f t="shared" si="226"/>
        <v>0</v>
      </c>
      <c r="V257" s="196">
        <f t="shared" si="226"/>
        <v>0</v>
      </c>
      <c r="W257" s="196">
        <f t="shared" si="238"/>
        <v>0</v>
      </c>
      <c r="X257" s="196">
        <f>X11-X176</f>
        <v>0</v>
      </c>
      <c r="Y257" s="196">
        <f t="shared" si="238"/>
        <v>0</v>
      </c>
      <c r="Z257" s="196">
        <f t="shared" si="238"/>
        <v>0</v>
      </c>
      <c r="AA257" s="196">
        <f t="shared" si="238"/>
        <v>0</v>
      </c>
      <c r="AB257" s="196">
        <f>AB11-AB176</f>
        <v>0</v>
      </c>
      <c r="AF257" s="196">
        <f>AF11-AF176</f>
        <v>-1</v>
      </c>
      <c r="AR257" s="196">
        <f t="shared" si="227"/>
        <v>0</v>
      </c>
      <c r="AS257" s="196">
        <f t="shared" si="227"/>
        <v>0</v>
      </c>
      <c r="AT257" s="196">
        <f t="shared" si="227"/>
        <v>-357</v>
      </c>
      <c r="AU257" s="196">
        <f t="shared" si="227"/>
        <v>0</v>
      </c>
      <c r="AV257" s="196">
        <f t="shared" si="227"/>
        <v>0</v>
      </c>
      <c r="AW257" s="196">
        <f t="shared" si="227"/>
        <v>0</v>
      </c>
      <c r="AY257" s="196">
        <f t="shared" ref="AY257:BW257" si="240">AY11-AY176</f>
        <v>0</v>
      </c>
      <c r="AZ257" s="196">
        <f t="shared" si="240"/>
        <v>0</v>
      </c>
      <c r="BA257" s="196">
        <f t="shared" si="240"/>
        <v>0</v>
      </c>
      <c r="BB257" s="196">
        <f t="shared" si="240"/>
        <v>0</v>
      </c>
      <c r="BD257" s="196">
        <f t="shared" si="240"/>
        <v>0</v>
      </c>
      <c r="BE257" s="196">
        <f t="shared" si="229"/>
        <v>0</v>
      </c>
      <c r="BF257" s="196">
        <f t="shared" si="229"/>
        <v>0</v>
      </c>
      <c r="BG257" s="196">
        <f t="shared" si="229"/>
        <v>0</v>
      </c>
      <c r="BH257" s="196">
        <f t="shared" si="240"/>
        <v>0</v>
      </c>
      <c r="BI257" s="196">
        <f>BI11-BI176</f>
        <v>0</v>
      </c>
      <c r="BJ257" s="196">
        <f t="shared" si="240"/>
        <v>0</v>
      </c>
      <c r="BK257" s="196">
        <f>BK11-BK176</f>
        <v>-2</v>
      </c>
      <c r="BL257" s="196">
        <f t="shared" si="240"/>
        <v>0</v>
      </c>
      <c r="BM257" s="196">
        <f t="shared" si="240"/>
        <v>0</v>
      </c>
      <c r="BO257" s="196">
        <f t="shared" si="240"/>
        <v>0</v>
      </c>
      <c r="BP257" s="196">
        <f>BP11-BP176</f>
        <v>0</v>
      </c>
      <c r="BT257" s="196">
        <f t="shared" si="240"/>
        <v>226</v>
      </c>
      <c r="BU257" s="196">
        <f t="shared" si="240"/>
        <v>58</v>
      </c>
      <c r="BV257" s="196">
        <f t="shared" si="240"/>
        <v>-1</v>
      </c>
      <c r="BW257" s="196">
        <f t="shared" si="240"/>
        <v>37</v>
      </c>
      <c r="BX257" s="196">
        <f>BX13-BX176</f>
        <v>-6</v>
      </c>
      <c r="BZ257" s="196">
        <f t="shared" si="230"/>
        <v>841</v>
      </c>
      <c r="CA257" s="196">
        <f t="shared" si="230"/>
        <v>306</v>
      </c>
      <c r="CB257" s="196">
        <f t="shared" si="230"/>
        <v>0</v>
      </c>
      <c r="CD257" s="196">
        <f t="shared" si="231"/>
        <v>0</v>
      </c>
      <c r="CE257" s="196">
        <f t="shared" si="231"/>
        <v>0</v>
      </c>
      <c r="CF257" s="196">
        <f t="shared" si="231"/>
        <v>0</v>
      </c>
      <c r="CG257" s="196">
        <f t="shared" si="231"/>
        <v>0</v>
      </c>
    </row>
    <row r="258" spans="1:85" hidden="1" x14ac:dyDescent="0.2">
      <c r="A258" s="195" t="s">
        <v>959</v>
      </c>
      <c r="B258" s="196" t="e">
        <f t="shared" si="206"/>
        <v>#REF!</v>
      </c>
      <c r="C258" s="196">
        <f t="shared" ref="C258:AA258" si="241">C13-C177</f>
        <v>7214</v>
      </c>
      <c r="D258" s="196">
        <f t="shared" si="241"/>
        <v>0</v>
      </c>
      <c r="E258" s="196">
        <f t="shared" ref="E258" si="242">E13-E177</f>
        <v>5367</v>
      </c>
      <c r="F258" s="196">
        <f t="shared" si="241"/>
        <v>-195</v>
      </c>
      <c r="G258" s="196">
        <f t="shared" si="241"/>
        <v>0</v>
      </c>
      <c r="H258" s="196">
        <f t="shared" si="241"/>
        <v>0</v>
      </c>
      <c r="I258" s="196">
        <f t="shared" si="241"/>
        <v>0</v>
      </c>
      <c r="J258" s="196">
        <f t="shared" si="241"/>
        <v>-21804</v>
      </c>
      <c r="K258" s="196">
        <f t="shared" si="241"/>
        <v>0</v>
      </c>
      <c r="L258" s="196">
        <f t="shared" si="241"/>
        <v>-433</v>
      </c>
      <c r="M258" s="196">
        <f t="shared" si="241"/>
        <v>0</v>
      </c>
      <c r="N258" s="196">
        <f t="shared" si="241"/>
        <v>-912</v>
      </c>
      <c r="O258" s="196">
        <f t="shared" si="241"/>
        <v>-4215</v>
      </c>
      <c r="P258" s="196">
        <f t="shared" si="241"/>
        <v>0</v>
      </c>
      <c r="Q258" s="196">
        <f>Q13-Q177</f>
        <v>0</v>
      </c>
      <c r="R258" s="196">
        <f t="shared" si="241"/>
        <v>0</v>
      </c>
      <c r="S258" s="196">
        <f>S13-S177</f>
        <v>0</v>
      </c>
      <c r="T258" s="196">
        <f t="shared" si="241"/>
        <v>0</v>
      </c>
      <c r="U258" s="196">
        <f>U13-U177</f>
        <v>0</v>
      </c>
      <c r="V258" s="196">
        <f>V13-V177</f>
        <v>0</v>
      </c>
      <c r="W258" s="196">
        <f t="shared" si="241"/>
        <v>0</v>
      </c>
      <c r="X258" s="196">
        <f>X13-X177</f>
        <v>18770</v>
      </c>
      <c r="Y258" s="196">
        <f t="shared" si="241"/>
        <v>0</v>
      </c>
      <c r="Z258" s="196">
        <f t="shared" si="241"/>
        <v>0</v>
      </c>
      <c r="AA258" s="196">
        <f t="shared" si="241"/>
        <v>0</v>
      </c>
      <c r="AB258" s="196">
        <f>AB13-AB177</f>
        <v>0</v>
      </c>
      <c r="AF258" s="196">
        <f>AF13-AF177</f>
        <v>0</v>
      </c>
      <c r="AR258" s="196">
        <f t="shared" ref="AR258:AW258" si="243">AR13-AR177</f>
        <v>236</v>
      </c>
      <c r="AS258" s="196">
        <f t="shared" si="243"/>
        <v>0</v>
      </c>
      <c r="AT258" s="196">
        <f t="shared" si="243"/>
        <v>0</v>
      </c>
      <c r="AU258" s="196">
        <f t="shared" si="243"/>
        <v>0</v>
      </c>
      <c r="AV258" s="196">
        <f t="shared" si="243"/>
        <v>0</v>
      </c>
      <c r="AW258" s="196">
        <f t="shared" si="243"/>
        <v>0</v>
      </c>
      <c r="AY258" s="196">
        <f t="shared" ref="AY258:BW258" si="244">AY13-AY177</f>
        <v>0</v>
      </c>
      <c r="AZ258" s="196">
        <f t="shared" si="244"/>
        <v>0</v>
      </c>
      <c r="BA258" s="196">
        <f t="shared" si="244"/>
        <v>0</v>
      </c>
      <c r="BB258" s="196">
        <f t="shared" si="244"/>
        <v>0</v>
      </c>
      <c r="BD258" s="196">
        <f t="shared" si="244"/>
        <v>-56425</v>
      </c>
      <c r="BE258" s="196">
        <f>BE13-BE177</f>
        <v>1</v>
      </c>
      <c r="BF258" s="196">
        <f>BF13-BF177</f>
        <v>0</v>
      </c>
      <c r="BG258" s="196">
        <f>BG13-BG177</f>
        <v>0</v>
      </c>
      <c r="BH258" s="196">
        <f t="shared" si="244"/>
        <v>0</v>
      </c>
      <c r="BI258" s="196">
        <f>BI13-BI177</f>
        <v>0</v>
      </c>
      <c r="BJ258" s="196">
        <f t="shared" si="244"/>
        <v>0</v>
      </c>
      <c r="BK258" s="196">
        <f>BK13-BK177</f>
        <v>0</v>
      </c>
      <c r="BL258" s="196">
        <f t="shared" si="244"/>
        <v>2</v>
      </c>
      <c r="BM258" s="196">
        <f t="shared" si="244"/>
        <v>-1511</v>
      </c>
      <c r="BO258" s="196">
        <f t="shared" si="244"/>
        <v>0</v>
      </c>
      <c r="BP258" s="196">
        <f>BP13-BP177</f>
        <v>4021</v>
      </c>
      <c r="BT258" s="196">
        <f t="shared" si="244"/>
        <v>-10</v>
      </c>
      <c r="BU258" s="196">
        <f t="shared" si="244"/>
        <v>34</v>
      </c>
      <c r="BV258" s="196">
        <f t="shared" si="244"/>
        <v>-4</v>
      </c>
      <c r="BW258" s="196">
        <f t="shared" si="244"/>
        <v>2</v>
      </c>
      <c r="BX258" s="196">
        <f>BX15-BX177</f>
        <v>0</v>
      </c>
      <c r="BZ258" s="196" t="e">
        <f>#REF!-BZ177</f>
        <v>#REF!</v>
      </c>
      <c r="CA258" s="196">
        <f>CA13-CA177</f>
        <v>-1849</v>
      </c>
      <c r="CB258" s="196">
        <f>CB13-CB177</f>
        <v>0</v>
      </c>
      <c r="CD258" s="196">
        <f>CD13-CD177</f>
        <v>0</v>
      </c>
      <c r="CE258" s="196">
        <f>CE13-CE177</f>
        <v>0</v>
      </c>
      <c r="CF258" s="196">
        <f>CF13-CF177</f>
        <v>0</v>
      </c>
      <c r="CG258" s="196">
        <f>CG13-CG177</f>
        <v>0</v>
      </c>
    </row>
    <row r="259" spans="1:85" hidden="1" x14ac:dyDescent="0.2">
      <c r="A259" s="195" t="s">
        <v>1052</v>
      </c>
      <c r="B259" s="196" t="e">
        <f t="shared" si="206"/>
        <v>#REF!</v>
      </c>
      <c r="C259" s="196">
        <f t="shared" ref="C259:AA259" si="245">C15-C178</f>
        <v>0</v>
      </c>
      <c r="D259" s="196">
        <f t="shared" si="245"/>
        <v>1360</v>
      </c>
      <c r="E259" s="196">
        <f t="shared" ref="E259" si="246">E15-E178</f>
        <v>0</v>
      </c>
      <c r="F259" s="196">
        <f t="shared" si="245"/>
        <v>0</v>
      </c>
      <c r="G259" s="196">
        <f t="shared" si="245"/>
        <v>0</v>
      </c>
      <c r="H259" s="196">
        <f t="shared" si="245"/>
        <v>0</v>
      </c>
      <c r="I259" s="196">
        <f t="shared" si="245"/>
        <v>0</v>
      </c>
      <c r="J259" s="196">
        <f t="shared" si="245"/>
        <v>0</v>
      </c>
      <c r="K259" s="196">
        <f t="shared" si="245"/>
        <v>0</v>
      </c>
      <c r="L259" s="196">
        <f t="shared" si="245"/>
        <v>0</v>
      </c>
      <c r="M259" s="196">
        <f t="shared" si="245"/>
        <v>0</v>
      </c>
      <c r="N259" s="196">
        <f t="shared" si="245"/>
        <v>0</v>
      </c>
      <c r="O259" s="196">
        <f t="shared" si="245"/>
        <v>0</v>
      </c>
      <c r="P259" s="196">
        <f t="shared" si="245"/>
        <v>0</v>
      </c>
      <c r="Q259" s="196">
        <f t="shared" ref="Q259:Q264" si="247">Q15-Q178</f>
        <v>0</v>
      </c>
      <c r="R259" s="196">
        <f t="shared" si="245"/>
        <v>0</v>
      </c>
      <c r="S259" s="196">
        <f t="shared" ref="S259:S264" si="248">S15-S178</f>
        <v>0</v>
      </c>
      <c r="T259" s="196">
        <f t="shared" si="245"/>
        <v>0</v>
      </c>
      <c r="U259" s="196">
        <f t="shared" ref="U259:V264" si="249">U15-U178</f>
        <v>0</v>
      </c>
      <c r="V259" s="196">
        <f t="shared" si="249"/>
        <v>0</v>
      </c>
      <c r="W259" s="196">
        <f t="shared" si="245"/>
        <v>0</v>
      </c>
      <c r="X259" s="196">
        <f t="shared" ref="X259:X264" si="250">X15-X178</f>
        <v>0</v>
      </c>
      <c r="Y259" s="196">
        <f t="shared" si="245"/>
        <v>0</v>
      </c>
      <c r="Z259" s="196">
        <f t="shared" si="245"/>
        <v>525</v>
      </c>
      <c r="AA259" s="196">
        <f t="shared" si="245"/>
        <v>847</v>
      </c>
      <c r="AB259" s="196">
        <f t="shared" ref="AB259:AB264" si="251">AB15-AB178</f>
        <v>363</v>
      </c>
      <c r="AF259" s="196">
        <f t="shared" ref="AF259:AF264" si="252">AF15-AF178</f>
        <v>0</v>
      </c>
      <c r="AR259" s="196">
        <f t="shared" ref="AR259:AW264" si="253">AR15-AR178</f>
        <v>0</v>
      </c>
      <c r="AS259" s="196">
        <f t="shared" si="253"/>
        <v>0</v>
      </c>
      <c r="AT259" s="196">
        <f t="shared" si="253"/>
        <v>0</v>
      </c>
      <c r="AU259" s="196">
        <f t="shared" si="253"/>
        <v>315</v>
      </c>
      <c r="AV259" s="196">
        <f t="shared" si="253"/>
        <v>0</v>
      </c>
      <c r="AW259" s="196">
        <f t="shared" si="253"/>
        <v>-999</v>
      </c>
      <c r="AY259" s="196">
        <f t="shared" ref="AY259:BW259" si="254">AY15-AY178</f>
        <v>0</v>
      </c>
      <c r="AZ259" s="196">
        <f t="shared" si="254"/>
        <v>0</v>
      </c>
      <c r="BA259" s="196">
        <f t="shared" si="254"/>
        <v>0</v>
      </c>
      <c r="BB259" s="196">
        <f t="shared" si="254"/>
        <v>0</v>
      </c>
      <c r="BD259" s="196">
        <f t="shared" si="254"/>
        <v>26</v>
      </c>
      <c r="BE259" s="196">
        <f t="shared" ref="BE259:BG264" si="255">BE15-BE178</f>
        <v>0</v>
      </c>
      <c r="BF259" s="196">
        <f t="shared" si="255"/>
        <v>0</v>
      </c>
      <c r="BG259" s="196">
        <f t="shared" si="255"/>
        <v>0</v>
      </c>
      <c r="BH259" s="196">
        <f t="shared" si="254"/>
        <v>0</v>
      </c>
      <c r="BI259" s="196">
        <f t="shared" ref="BI259:BI264" si="256">BI15-BI178</f>
        <v>0</v>
      </c>
      <c r="BJ259" s="196">
        <f t="shared" si="254"/>
        <v>0</v>
      </c>
      <c r="BK259" s="196">
        <f t="shared" ref="BK259:BK264" si="257">BK15-BK178</f>
        <v>-742</v>
      </c>
      <c r="BL259" s="196">
        <f t="shared" si="254"/>
        <v>502</v>
      </c>
      <c r="BM259" s="196">
        <f t="shared" si="254"/>
        <v>0</v>
      </c>
      <c r="BO259" s="196">
        <f t="shared" si="254"/>
        <v>0</v>
      </c>
      <c r="BP259" s="196">
        <f t="shared" ref="BP259:BP264" si="258">BP15-BP178</f>
        <v>0</v>
      </c>
      <c r="BT259" s="196">
        <f t="shared" si="254"/>
        <v>0</v>
      </c>
      <c r="BU259" s="196">
        <f t="shared" si="254"/>
        <v>0</v>
      </c>
      <c r="BV259" s="196">
        <f t="shared" si="254"/>
        <v>0</v>
      </c>
      <c r="BW259" s="196">
        <f t="shared" si="254"/>
        <v>0</v>
      </c>
      <c r="BX259" s="196">
        <f t="shared" ref="BX259:BX264" si="259">BX15-BX178</f>
        <v>0</v>
      </c>
      <c r="BZ259" s="196">
        <f t="shared" ref="BZ259:BZ264" si="260">BZ15-BZ178</f>
        <v>0</v>
      </c>
      <c r="CA259" s="196" t="e">
        <f>#REF!-CA178</f>
        <v>#REF!</v>
      </c>
      <c r="CB259" s="196">
        <f t="shared" ref="CB259:CB264" si="261">CB15-CB178</f>
        <v>0</v>
      </c>
      <c r="CD259" s="196">
        <f t="shared" ref="CD259:CG264" si="262">CD15-CD178</f>
        <v>0</v>
      </c>
      <c r="CE259" s="196">
        <f t="shared" si="262"/>
        <v>0</v>
      </c>
      <c r="CF259" s="196">
        <f t="shared" si="262"/>
        <v>0</v>
      </c>
      <c r="CG259" s="196">
        <f t="shared" si="262"/>
        <v>0</v>
      </c>
    </row>
    <row r="260" spans="1:85" hidden="1" x14ac:dyDescent="0.2">
      <c r="A260" s="195" t="s">
        <v>86</v>
      </c>
      <c r="B260" s="196" t="e">
        <f t="shared" si="206"/>
        <v>#REF!</v>
      </c>
      <c r="C260" s="196">
        <f t="shared" ref="C260:AA260" si="263">C16-C179</f>
        <v>0</v>
      </c>
      <c r="D260" s="196">
        <f t="shared" si="263"/>
        <v>63</v>
      </c>
      <c r="E260" s="196">
        <f t="shared" ref="E260" si="264">E16-E179</f>
        <v>0</v>
      </c>
      <c r="F260" s="196">
        <f t="shared" si="263"/>
        <v>0</v>
      </c>
      <c r="G260" s="196">
        <f t="shared" si="263"/>
        <v>0</v>
      </c>
      <c r="H260" s="196">
        <f t="shared" si="263"/>
        <v>0</v>
      </c>
      <c r="I260" s="196">
        <f t="shared" si="263"/>
        <v>0</v>
      </c>
      <c r="J260" s="196">
        <f t="shared" si="263"/>
        <v>0</v>
      </c>
      <c r="K260" s="196">
        <f t="shared" si="263"/>
        <v>0</v>
      </c>
      <c r="L260" s="196">
        <f t="shared" si="263"/>
        <v>0</v>
      </c>
      <c r="M260" s="196">
        <f t="shared" si="263"/>
        <v>0</v>
      </c>
      <c r="N260" s="196">
        <f t="shared" si="263"/>
        <v>0</v>
      </c>
      <c r="O260" s="196">
        <f t="shared" si="263"/>
        <v>0</v>
      </c>
      <c r="P260" s="196">
        <f t="shared" si="263"/>
        <v>0</v>
      </c>
      <c r="Q260" s="196">
        <f t="shared" si="247"/>
        <v>0</v>
      </c>
      <c r="R260" s="196">
        <f t="shared" si="263"/>
        <v>0</v>
      </c>
      <c r="S260" s="196">
        <f t="shared" si="248"/>
        <v>0</v>
      </c>
      <c r="T260" s="196">
        <f t="shared" si="263"/>
        <v>0</v>
      </c>
      <c r="U260" s="196">
        <f t="shared" si="249"/>
        <v>0</v>
      </c>
      <c r="V260" s="196">
        <f t="shared" si="249"/>
        <v>0</v>
      </c>
      <c r="W260" s="196">
        <f t="shared" si="263"/>
        <v>0</v>
      </c>
      <c r="X260" s="196">
        <f t="shared" si="250"/>
        <v>0</v>
      </c>
      <c r="Y260" s="196">
        <f t="shared" si="263"/>
        <v>0</v>
      </c>
      <c r="Z260" s="196">
        <f t="shared" si="263"/>
        <v>-29</v>
      </c>
      <c r="AA260" s="196">
        <f t="shared" si="263"/>
        <v>-174</v>
      </c>
      <c r="AB260" s="196">
        <f t="shared" si="251"/>
        <v>2629</v>
      </c>
      <c r="AF260" s="196">
        <f t="shared" si="252"/>
        <v>0</v>
      </c>
      <c r="AR260" s="196">
        <f t="shared" si="253"/>
        <v>0</v>
      </c>
      <c r="AS260" s="196">
        <f t="shared" si="253"/>
        <v>0</v>
      </c>
      <c r="AT260" s="196">
        <f t="shared" si="253"/>
        <v>0</v>
      </c>
      <c r="AU260" s="196">
        <f t="shared" si="253"/>
        <v>-214</v>
      </c>
      <c r="AV260" s="196">
        <f t="shared" si="253"/>
        <v>0</v>
      </c>
      <c r="AW260" s="196">
        <f t="shared" si="253"/>
        <v>110</v>
      </c>
      <c r="AY260" s="196">
        <f t="shared" ref="AY260:BW260" si="265">AY16-AY179</f>
        <v>0</v>
      </c>
      <c r="AZ260" s="196">
        <f t="shared" si="265"/>
        <v>0</v>
      </c>
      <c r="BA260" s="196">
        <f t="shared" si="265"/>
        <v>0</v>
      </c>
      <c r="BB260" s="196">
        <f t="shared" si="265"/>
        <v>0</v>
      </c>
      <c r="BD260" s="196">
        <f t="shared" si="265"/>
        <v>-1153</v>
      </c>
      <c r="BE260" s="196">
        <f t="shared" si="255"/>
        <v>0</v>
      </c>
      <c r="BF260" s="196">
        <f t="shared" si="255"/>
        <v>0</v>
      </c>
      <c r="BG260" s="196">
        <f t="shared" si="255"/>
        <v>0</v>
      </c>
      <c r="BH260" s="196">
        <f t="shared" si="265"/>
        <v>0</v>
      </c>
      <c r="BI260" s="196">
        <f t="shared" si="256"/>
        <v>0</v>
      </c>
      <c r="BJ260" s="196">
        <f t="shared" si="265"/>
        <v>0</v>
      </c>
      <c r="BK260" s="196">
        <f t="shared" si="257"/>
        <v>274</v>
      </c>
      <c r="BL260" s="196">
        <f t="shared" si="265"/>
        <v>1321</v>
      </c>
      <c r="BM260" s="196">
        <f t="shared" si="265"/>
        <v>0</v>
      </c>
      <c r="BO260" s="196">
        <f t="shared" si="265"/>
        <v>0</v>
      </c>
      <c r="BP260" s="196">
        <f t="shared" si="258"/>
        <v>0</v>
      </c>
      <c r="BT260" s="196">
        <f t="shared" si="265"/>
        <v>0</v>
      </c>
      <c r="BU260" s="196">
        <f t="shared" si="265"/>
        <v>0</v>
      </c>
      <c r="BV260" s="196">
        <f t="shared" si="265"/>
        <v>0</v>
      </c>
      <c r="BW260" s="196">
        <f t="shared" si="265"/>
        <v>0</v>
      </c>
      <c r="BX260" s="196">
        <f t="shared" si="259"/>
        <v>0</v>
      </c>
      <c r="BZ260" s="196">
        <f t="shared" si="260"/>
        <v>0</v>
      </c>
      <c r="CA260" s="196" t="e">
        <f>#REF!-CA179</f>
        <v>#REF!</v>
      </c>
      <c r="CB260" s="196">
        <f t="shared" si="261"/>
        <v>0</v>
      </c>
      <c r="CD260" s="196">
        <f t="shared" si="262"/>
        <v>0</v>
      </c>
      <c r="CE260" s="196">
        <f t="shared" si="262"/>
        <v>0</v>
      </c>
      <c r="CF260" s="196">
        <f t="shared" si="262"/>
        <v>0</v>
      </c>
      <c r="CG260" s="196">
        <f t="shared" si="262"/>
        <v>0</v>
      </c>
    </row>
    <row r="261" spans="1:85" hidden="1" x14ac:dyDescent="0.2">
      <c r="A261" s="195" t="s">
        <v>88</v>
      </c>
      <c r="B261" s="196">
        <f t="shared" si="206"/>
        <v>-1212</v>
      </c>
      <c r="C261" s="196">
        <f t="shared" ref="C261:AA261" si="266">C17-C180</f>
        <v>0</v>
      </c>
      <c r="D261" s="196">
        <f t="shared" si="266"/>
        <v>-1273</v>
      </c>
      <c r="E261" s="196">
        <f t="shared" ref="E261" si="267">E17-E180</f>
        <v>0</v>
      </c>
      <c r="F261" s="196">
        <f t="shared" si="266"/>
        <v>0</v>
      </c>
      <c r="G261" s="196">
        <f t="shared" si="266"/>
        <v>0</v>
      </c>
      <c r="H261" s="196">
        <f t="shared" si="266"/>
        <v>0</v>
      </c>
      <c r="I261" s="196">
        <f t="shared" si="266"/>
        <v>0</v>
      </c>
      <c r="J261" s="196">
        <f t="shared" si="266"/>
        <v>0</v>
      </c>
      <c r="K261" s="196">
        <f t="shared" si="266"/>
        <v>0</v>
      </c>
      <c r="L261" s="196">
        <f t="shared" si="266"/>
        <v>0</v>
      </c>
      <c r="M261" s="196">
        <f t="shared" si="266"/>
        <v>0</v>
      </c>
      <c r="N261" s="196">
        <f t="shared" si="266"/>
        <v>0</v>
      </c>
      <c r="O261" s="196">
        <f t="shared" si="266"/>
        <v>0</v>
      </c>
      <c r="P261" s="196">
        <f t="shared" si="266"/>
        <v>0</v>
      </c>
      <c r="Q261" s="196">
        <f t="shared" si="247"/>
        <v>0</v>
      </c>
      <c r="R261" s="196">
        <f t="shared" si="266"/>
        <v>0</v>
      </c>
      <c r="S261" s="196">
        <f t="shared" si="248"/>
        <v>0</v>
      </c>
      <c r="T261" s="196">
        <f t="shared" si="266"/>
        <v>0</v>
      </c>
      <c r="U261" s="196">
        <f t="shared" si="249"/>
        <v>0</v>
      </c>
      <c r="V261" s="196">
        <f t="shared" si="249"/>
        <v>0</v>
      </c>
      <c r="W261" s="196">
        <f t="shared" si="266"/>
        <v>0</v>
      </c>
      <c r="X261" s="196">
        <f t="shared" si="250"/>
        <v>0</v>
      </c>
      <c r="Y261" s="196">
        <f t="shared" si="266"/>
        <v>0</v>
      </c>
      <c r="Z261" s="196">
        <f t="shared" si="266"/>
        <v>1</v>
      </c>
      <c r="AA261" s="196">
        <f t="shared" si="266"/>
        <v>0</v>
      </c>
      <c r="AB261" s="196">
        <f t="shared" si="251"/>
        <v>0</v>
      </c>
      <c r="AF261" s="196">
        <f t="shared" si="252"/>
        <v>0</v>
      </c>
      <c r="AR261" s="196">
        <f t="shared" si="253"/>
        <v>0</v>
      </c>
      <c r="AS261" s="196">
        <f t="shared" si="253"/>
        <v>0</v>
      </c>
      <c r="AT261" s="196">
        <f t="shared" si="253"/>
        <v>0</v>
      </c>
      <c r="AU261" s="196">
        <f t="shared" si="253"/>
        <v>0</v>
      </c>
      <c r="AV261" s="196">
        <f t="shared" si="253"/>
        <v>0</v>
      </c>
      <c r="AW261" s="196">
        <f t="shared" si="253"/>
        <v>0</v>
      </c>
      <c r="AY261" s="196">
        <f t="shared" ref="AY261:BW261" si="268">AY17-AY180</f>
        <v>0</v>
      </c>
      <c r="AZ261" s="196">
        <f t="shared" si="268"/>
        <v>0</v>
      </c>
      <c r="BA261" s="196">
        <f t="shared" si="268"/>
        <v>0</v>
      </c>
      <c r="BB261" s="196">
        <f t="shared" si="268"/>
        <v>0</v>
      </c>
      <c r="BD261" s="196">
        <f t="shared" si="268"/>
        <v>0</v>
      </c>
      <c r="BE261" s="196">
        <f t="shared" si="255"/>
        <v>0</v>
      </c>
      <c r="BF261" s="196">
        <f t="shared" si="255"/>
        <v>0</v>
      </c>
      <c r="BG261" s="196">
        <f t="shared" si="255"/>
        <v>0</v>
      </c>
      <c r="BH261" s="196">
        <f t="shared" si="268"/>
        <v>0</v>
      </c>
      <c r="BI261" s="196">
        <f t="shared" si="256"/>
        <v>0</v>
      </c>
      <c r="BJ261" s="196">
        <f t="shared" si="268"/>
        <v>0</v>
      </c>
      <c r="BK261" s="196">
        <f t="shared" si="257"/>
        <v>23</v>
      </c>
      <c r="BL261" s="196">
        <f t="shared" si="268"/>
        <v>37</v>
      </c>
      <c r="BM261" s="196">
        <f t="shared" si="268"/>
        <v>0</v>
      </c>
      <c r="BO261" s="196">
        <f t="shared" si="268"/>
        <v>0</v>
      </c>
      <c r="BP261" s="196">
        <f t="shared" si="258"/>
        <v>0</v>
      </c>
      <c r="BT261" s="196">
        <f t="shared" si="268"/>
        <v>0</v>
      </c>
      <c r="BU261" s="196">
        <f t="shared" si="268"/>
        <v>0</v>
      </c>
      <c r="BV261" s="196">
        <f t="shared" si="268"/>
        <v>0</v>
      </c>
      <c r="BW261" s="196">
        <f t="shared" si="268"/>
        <v>0</v>
      </c>
      <c r="BX261" s="196">
        <f t="shared" si="259"/>
        <v>0</v>
      </c>
      <c r="BZ261" s="196">
        <f t="shared" si="260"/>
        <v>0</v>
      </c>
      <c r="CA261" s="196">
        <f>CA15-CA180</f>
        <v>0</v>
      </c>
      <c r="CB261" s="196">
        <f t="shared" si="261"/>
        <v>0</v>
      </c>
      <c r="CD261" s="196">
        <f t="shared" si="262"/>
        <v>0</v>
      </c>
      <c r="CE261" s="196">
        <f t="shared" si="262"/>
        <v>0</v>
      </c>
      <c r="CF261" s="196">
        <f t="shared" si="262"/>
        <v>0</v>
      </c>
      <c r="CG261" s="196">
        <f t="shared" si="262"/>
        <v>0</v>
      </c>
    </row>
    <row r="262" spans="1:85" hidden="1" x14ac:dyDescent="0.2">
      <c r="A262" s="195" t="s">
        <v>93</v>
      </c>
      <c r="B262" s="196">
        <f t="shared" si="206"/>
        <v>20086</v>
      </c>
      <c r="C262" s="196">
        <f t="shared" ref="C262:AA262" si="269">C18-C181</f>
        <v>2733</v>
      </c>
      <c r="D262" s="196">
        <f t="shared" si="269"/>
        <v>28190</v>
      </c>
      <c r="E262" s="196">
        <f t="shared" ref="E262" si="270">E18-E181</f>
        <v>25</v>
      </c>
      <c r="F262" s="196">
        <f t="shared" si="269"/>
        <v>409</v>
      </c>
      <c r="G262" s="196">
        <f t="shared" si="269"/>
        <v>0</v>
      </c>
      <c r="H262" s="196">
        <f t="shared" si="269"/>
        <v>3</v>
      </c>
      <c r="I262" s="196">
        <f t="shared" si="269"/>
        <v>0</v>
      </c>
      <c r="J262" s="196">
        <f t="shared" si="269"/>
        <v>-2802</v>
      </c>
      <c r="K262" s="196">
        <f t="shared" si="269"/>
        <v>0</v>
      </c>
      <c r="L262" s="196">
        <f t="shared" si="269"/>
        <v>0</v>
      </c>
      <c r="M262" s="196">
        <f t="shared" si="269"/>
        <v>0</v>
      </c>
      <c r="N262" s="196">
        <f t="shared" si="269"/>
        <v>12</v>
      </c>
      <c r="O262" s="196">
        <f t="shared" si="269"/>
        <v>1</v>
      </c>
      <c r="P262" s="196">
        <f t="shared" si="269"/>
        <v>0</v>
      </c>
      <c r="Q262" s="196">
        <f t="shared" si="247"/>
        <v>0</v>
      </c>
      <c r="R262" s="196">
        <f t="shared" si="269"/>
        <v>0</v>
      </c>
      <c r="S262" s="196">
        <f t="shared" si="248"/>
        <v>0</v>
      </c>
      <c r="T262" s="196">
        <f t="shared" si="269"/>
        <v>0</v>
      </c>
      <c r="U262" s="196">
        <f t="shared" si="249"/>
        <v>0</v>
      </c>
      <c r="V262" s="196">
        <f t="shared" si="249"/>
        <v>0</v>
      </c>
      <c r="W262" s="196">
        <f t="shared" si="269"/>
        <v>23</v>
      </c>
      <c r="X262" s="196">
        <f t="shared" si="250"/>
        <v>0</v>
      </c>
      <c r="Y262" s="196">
        <f t="shared" si="269"/>
        <v>0</v>
      </c>
      <c r="Z262" s="196">
        <f t="shared" si="269"/>
        <v>0</v>
      </c>
      <c r="AA262" s="196">
        <f t="shared" si="269"/>
        <v>0</v>
      </c>
      <c r="AB262" s="196">
        <f t="shared" si="251"/>
        <v>0</v>
      </c>
      <c r="AF262" s="196">
        <f t="shared" si="252"/>
        <v>0</v>
      </c>
      <c r="AR262" s="196">
        <f t="shared" si="253"/>
        <v>0</v>
      </c>
      <c r="AS262" s="196">
        <f t="shared" si="253"/>
        <v>0</v>
      </c>
      <c r="AT262" s="196">
        <f t="shared" si="253"/>
        <v>0</v>
      </c>
      <c r="AU262" s="196">
        <f t="shared" si="253"/>
        <v>0</v>
      </c>
      <c r="AV262" s="196">
        <f t="shared" si="253"/>
        <v>0</v>
      </c>
      <c r="AW262" s="196">
        <f t="shared" si="253"/>
        <v>0</v>
      </c>
      <c r="AY262" s="196">
        <f t="shared" ref="AY262:BW262" si="271">AY18-AY181</f>
        <v>0</v>
      </c>
      <c r="AZ262" s="196">
        <f t="shared" si="271"/>
        <v>0</v>
      </c>
      <c r="BA262" s="196">
        <f t="shared" si="271"/>
        <v>0</v>
      </c>
      <c r="BB262" s="196">
        <f t="shared" si="271"/>
        <v>0</v>
      </c>
      <c r="BD262" s="196">
        <f t="shared" si="271"/>
        <v>-10422</v>
      </c>
      <c r="BE262" s="196">
        <f t="shared" si="255"/>
        <v>0</v>
      </c>
      <c r="BF262" s="196">
        <f t="shared" si="255"/>
        <v>0</v>
      </c>
      <c r="BG262" s="196">
        <f t="shared" si="255"/>
        <v>0</v>
      </c>
      <c r="BH262" s="196">
        <f t="shared" si="271"/>
        <v>0</v>
      </c>
      <c r="BI262" s="196">
        <f t="shared" si="256"/>
        <v>0</v>
      </c>
      <c r="BJ262" s="196">
        <f t="shared" si="271"/>
        <v>232</v>
      </c>
      <c r="BK262" s="196">
        <f t="shared" si="257"/>
        <v>4423</v>
      </c>
      <c r="BL262" s="196">
        <f t="shared" si="271"/>
        <v>-539</v>
      </c>
      <c r="BM262" s="196">
        <f t="shared" si="271"/>
        <v>0</v>
      </c>
      <c r="BO262" s="196">
        <f t="shared" si="271"/>
        <v>0</v>
      </c>
      <c r="BP262" s="196">
        <f t="shared" si="258"/>
        <v>208</v>
      </c>
      <c r="BT262" s="196">
        <f t="shared" si="271"/>
        <v>0</v>
      </c>
      <c r="BU262" s="196">
        <f t="shared" si="271"/>
        <v>0</v>
      </c>
      <c r="BV262" s="196">
        <f t="shared" si="271"/>
        <v>0</v>
      </c>
      <c r="BW262" s="196">
        <f t="shared" si="271"/>
        <v>-1357</v>
      </c>
      <c r="BX262" s="196">
        <f t="shared" si="259"/>
        <v>212</v>
      </c>
      <c r="BZ262" s="196">
        <f t="shared" si="260"/>
        <v>-1265</v>
      </c>
      <c r="CA262" s="196">
        <f>CA16-CA181</f>
        <v>0</v>
      </c>
      <c r="CB262" s="196">
        <f t="shared" si="261"/>
        <v>0</v>
      </c>
      <c r="CD262" s="196">
        <f t="shared" si="262"/>
        <v>0</v>
      </c>
      <c r="CE262" s="196">
        <f t="shared" si="262"/>
        <v>0</v>
      </c>
      <c r="CF262" s="196">
        <f t="shared" si="262"/>
        <v>0</v>
      </c>
      <c r="CG262" s="196">
        <f t="shared" si="262"/>
        <v>0</v>
      </c>
    </row>
    <row r="263" spans="1:85" hidden="1" x14ac:dyDescent="0.2">
      <c r="A263" s="195" t="s">
        <v>1053</v>
      </c>
      <c r="B263" s="196">
        <f t="shared" si="206"/>
        <v>1015934</v>
      </c>
      <c r="C263" s="196">
        <f t="shared" ref="C263:AA263" si="272">C19-C182</f>
        <v>655481</v>
      </c>
      <c r="D263" s="196">
        <f t="shared" si="272"/>
        <v>27370</v>
      </c>
      <c r="E263" s="196">
        <f t="shared" ref="E263" si="273">E19-E182</f>
        <v>-89019</v>
      </c>
      <c r="F263" s="196">
        <f t="shared" si="272"/>
        <v>91110</v>
      </c>
      <c r="G263" s="196">
        <f t="shared" si="272"/>
        <v>6866</v>
      </c>
      <c r="H263" s="196">
        <f t="shared" si="272"/>
        <v>-188</v>
      </c>
      <c r="I263" s="196">
        <f t="shared" si="272"/>
        <v>-439</v>
      </c>
      <c r="J263" s="196">
        <f t="shared" si="272"/>
        <v>-24606</v>
      </c>
      <c r="K263" s="196">
        <f t="shared" si="272"/>
        <v>6336</v>
      </c>
      <c r="L263" s="196">
        <f t="shared" si="272"/>
        <v>-15455</v>
      </c>
      <c r="M263" s="196">
        <f t="shared" si="272"/>
        <v>-2</v>
      </c>
      <c r="N263" s="196">
        <f t="shared" si="272"/>
        <v>14888</v>
      </c>
      <c r="O263" s="196">
        <f t="shared" si="272"/>
        <v>37734</v>
      </c>
      <c r="P263" s="196">
        <f t="shared" si="272"/>
        <v>-609</v>
      </c>
      <c r="Q263" s="196">
        <f t="shared" si="247"/>
        <v>-575</v>
      </c>
      <c r="R263" s="196">
        <f t="shared" si="272"/>
        <v>37140</v>
      </c>
      <c r="S263" s="196">
        <f t="shared" si="248"/>
        <v>-15066</v>
      </c>
      <c r="T263" s="196">
        <f t="shared" si="272"/>
        <v>12586</v>
      </c>
      <c r="U263" s="196">
        <f t="shared" si="249"/>
        <v>2615</v>
      </c>
      <c r="V263" s="196">
        <f t="shared" si="249"/>
        <v>776</v>
      </c>
      <c r="W263" s="196">
        <f t="shared" si="272"/>
        <v>18796</v>
      </c>
      <c r="X263" s="196">
        <f t="shared" si="250"/>
        <v>18768</v>
      </c>
      <c r="Y263" s="196">
        <f t="shared" si="272"/>
        <v>3</v>
      </c>
      <c r="Z263" s="196">
        <f t="shared" si="272"/>
        <v>438</v>
      </c>
      <c r="AA263" s="196">
        <f t="shared" si="272"/>
        <v>615</v>
      </c>
      <c r="AB263" s="196">
        <f t="shared" si="251"/>
        <v>2915</v>
      </c>
      <c r="AF263" s="196">
        <f t="shared" si="252"/>
        <v>251501</v>
      </c>
      <c r="AR263" s="196">
        <f t="shared" si="253"/>
        <v>35591</v>
      </c>
      <c r="AS263" s="196">
        <f t="shared" si="253"/>
        <v>41</v>
      </c>
      <c r="AT263" s="196">
        <f t="shared" si="253"/>
        <v>200367</v>
      </c>
      <c r="AU263" s="196">
        <f t="shared" si="253"/>
        <v>-99</v>
      </c>
      <c r="AV263" s="196">
        <f t="shared" si="253"/>
        <v>0</v>
      </c>
      <c r="AW263" s="196">
        <f t="shared" si="253"/>
        <v>-53</v>
      </c>
      <c r="AY263" s="196">
        <f t="shared" ref="AY263:BW263" si="274">AY19-AY182</f>
        <v>8</v>
      </c>
      <c r="AZ263" s="196">
        <f t="shared" si="274"/>
        <v>-79</v>
      </c>
      <c r="BA263" s="196">
        <f t="shared" si="274"/>
        <v>0</v>
      </c>
      <c r="BB263" s="196">
        <f t="shared" si="274"/>
        <v>16</v>
      </c>
      <c r="BD263" s="196">
        <f t="shared" si="274"/>
        <v>-67974</v>
      </c>
      <c r="BE263" s="196">
        <f t="shared" si="255"/>
        <v>1</v>
      </c>
      <c r="BF263" s="196">
        <f t="shared" si="255"/>
        <v>9397</v>
      </c>
      <c r="BG263" s="196">
        <f t="shared" si="255"/>
        <v>0</v>
      </c>
      <c r="BH263" s="196">
        <f t="shared" si="274"/>
        <v>30481</v>
      </c>
      <c r="BI263" s="196">
        <f t="shared" si="256"/>
        <v>0</v>
      </c>
      <c r="BJ263" s="196">
        <f t="shared" si="274"/>
        <v>17592</v>
      </c>
      <c r="BK263" s="196">
        <f t="shared" si="257"/>
        <v>3981</v>
      </c>
      <c r="BL263" s="196">
        <f t="shared" si="274"/>
        <v>1323</v>
      </c>
      <c r="BM263" s="196">
        <f t="shared" si="274"/>
        <v>-1511</v>
      </c>
      <c r="BO263" s="196">
        <f t="shared" si="274"/>
        <v>-19</v>
      </c>
      <c r="BP263" s="196">
        <f t="shared" si="258"/>
        <v>4229</v>
      </c>
      <c r="BT263" s="196">
        <f t="shared" si="274"/>
        <v>3917</v>
      </c>
      <c r="BU263" s="196">
        <f t="shared" si="274"/>
        <v>6548</v>
      </c>
      <c r="BV263" s="196">
        <f t="shared" si="274"/>
        <v>-1306</v>
      </c>
      <c r="BW263" s="196">
        <f t="shared" si="274"/>
        <v>-286</v>
      </c>
      <c r="BX263" s="196">
        <f t="shared" si="259"/>
        <v>1483</v>
      </c>
      <c r="BZ263" s="196">
        <f t="shared" si="260"/>
        <v>32586</v>
      </c>
      <c r="CA263" s="196">
        <f>CA19-CA182</f>
        <v>-300279</v>
      </c>
      <c r="CB263" s="196">
        <f t="shared" si="261"/>
        <v>0</v>
      </c>
      <c r="CD263" s="196">
        <f t="shared" si="262"/>
        <v>0</v>
      </c>
      <c r="CE263" s="196">
        <f t="shared" si="262"/>
        <v>0</v>
      </c>
      <c r="CF263" s="196">
        <f t="shared" si="262"/>
        <v>0</v>
      </c>
      <c r="CG263" s="196">
        <f t="shared" si="262"/>
        <v>0</v>
      </c>
    </row>
    <row r="264" spans="1:85" hidden="1" x14ac:dyDescent="0.2">
      <c r="A264" s="195" t="s">
        <v>94</v>
      </c>
      <c r="B264" s="196">
        <f t="shared" si="206"/>
        <v>0</v>
      </c>
      <c r="C264" s="196">
        <f t="shared" ref="C264:AA264" si="275">C20-C183</f>
        <v>0</v>
      </c>
      <c r="D264" s="196">
        <f t="shared" si="275"/>
        <v>0</v>
      </c>
      <c r="E264" s="196">
        <f t="shared" ref="E264" si="276">E20-E183</f>
        <v>0</v>
      </c>
      <c r="F264" s="196">
        <f t="shared" si="275"/>
        <v>0</v>
      </c>
      <c r="G264" s="196">
        <f t="shared" si="275"/>
        <v>0</v>
      </c>
      <c r="H264" s="196">
        <f t="shared" si="275"/>
        <v>0</v>
      </c>
      <c r="I264" s="196">
        <f t="shared" si="275"/>
        <v>0</v>
      </c>
      <c r="J264" s="196">
        <f t="shared" si="275"/>
        <v>0</v>
      </c>
      <c r="K264" s="196">
        <f t="shared" si="275"/>
        <v>0</v>
      </c>
      <c r="L264" s="196">
        <f t="shared" si="275"/>
        <v>0</v>
      </c>
      <c r="M264" s="196">
        <f t="shared" si="275"/>
        <v>0</v>
      </c>
      <c r="N264" s="196">
        <f t="shared" si="275"/>
        <v>0</v>
      </c>
      <c r="O264" s="196">
        <f t="shared" si="275"/>
        <v>0</v>
      </c>
      <c r="P264" s="196">
        <f t="shared" si="275"/>
        <v>0</v>
      </c>
      <c r="Q264" s="196">
        <f t="shared" si="247"/>
        <v>0</v>
      </c>
      <c r="R264" s="196">
        <f t="shared" si="275"/>
        <v>0</v>
      </c>
      <c r="S264" s="196">
        <f t="shared" si="248"/>
        <v>0</v>
      </c>
      <c r="T264" s="196">
        <f t="shared" si="275"/>
        <v>0</v>
      </c>
      <c r="U264" s="196">
        <f t="shared" si="249"/>
        <v>0</v>
      </c>
      <c r="V264" s="196">
        <f t="shared" si="249"/>
        <v>0</v>
      </c>
      <c r="W264" s="196">
        <f t="shared" si="275"/>
        <v>0</v>
      </c>
      <c r="X264" s="196">
        <f t="shared" si="250"/>
        <v>0</v>
      </c>
      <c r="Y264" s="196">
        <f t="shared" si="275"/>
        <v>0</v>
      </c>
      <c r="Z264" s="196">
        <f t="shared" si="275"/>
        <v>0</v>
      </c>
      <c r="AA264" s="196">
        <f t="shared" si="275"/>
        <v>0</v>
      </c>
      <c r="AB264" s="196">
        <f t="shared" si="251"/>
        <v>0</v>
      </c>
      <c r="AF264" s="196">
        <f t="shared" si="252"/>
        <v>0</v>
      </c>
      <c r="AR264" s="196">
        <f t="shared" si="253"/>
        <v>0</v>
      </c>
      <c r="AS264" s="196">
        <f t="shared" si="253"/>
        <v>0</v>
      </c>
      <c r="AT264" s="196">
        <f t="shared" si="253"/>
        <v>0</v>
      </c>
      <c r="AU264" s="196">
        <f t="shared" si="253"/>
        <v>0</v>
      </c>
      <c r="AV264" s="196">
        <f t="shared" si="253"/>
        <v>0</v>
      </c>
      <c r="AW264" s="196">
        <f t="shared" si="253"/>
        <v>0</v>
      </c>
      <c r="AY264" s="196">
        <f t="shared" ref="AY264:BW264" si="277">AY20-AY183</f>
        <v>0</v>
      </c>
      <c r="AZ264" s="196">
        <f t="shared" si="277"/>
        <v>0</v>
      </c>
      <c r="BA264" s="196">
        <f t="shared" si="277"/>
        <v>0</v>
      </c>
      <c r="BB264" s="196">
        <f t="shared" si="277"/>
        <v>0</v>
      </c>
      <c r="BD264" s="196">
        <f t="shared" si="277"/>
        <v>0</v>
      </c>
      <c r="BE264" s="196">
        <f t="shared" si="255"/>
        <v>0</v>
      </c>
      <c r="BF264" s="196">
        <f t="shared" si="255"/>
        <v>0</v>
      </c>
      <c r="BG264" s="196">
        <f t="shared" si="255"/>
        <v>0</v>
      </c>
      <c r="BH264" s="196">
        <f t="shared" si="277"/>
        <v>0</v>
      </c>
      <c r="BI264" s="196">
        <f t="shared" si="256"/>
        <v>0</v>
      </c>
      <c r="BJ264" s="196">
        <f t="shared" si="277"/>
        <v>0</v>
      </c>
      <c r="BK264" s="196">
        <f t="shared" si="257"/>
        <v>0</v>
      </c>
      <c r="BL264" s="196">
        <f t="shared" si="277"/>
        <v>0</v>
      </c>
      <c r="BM264" s="196">
        <f t="shared" si="277"/>
        <v>0</v>
      </c>
      <c r="BO264" s="196">
        <f t="shared" si="277"/>
        <v>0</v>
      </c>
      <c r="BP264" s="196">
        <f t="shared" si="258"/>
        <v>0</v>
      </c>
      <c r="BT264" s="196">
        <f t="shared" si="277"/>
        <v>0</v>
      </c>
      <c r="BU264" s="196">
        <f t="shared" si="277"/>
        <v>0</v>
      </c>
      <c r="BV264" s="196">
        <f t="shared" si="277"/>
        <v>0</v>
      </c>
      <c r="BW264" s="196">
        <f t="shared" si="277"/>
        <v>0</v>
      </c>
      <c r="BX264" s="196">
        <f t="shared" si="259"/>
        <v>0</v>
      </c>
      <c r="BZ264" s="196">
        <f t="shared" si="260"/>
        <v>0</v>
      </c>
      <c r="CA264" s="196">
        <f>CA20-CA183</f>
        <v>0</v>
      </c>
      <c r="CB264" s="196">
        <f t="shared" si="261"/>
        <v>0</v>
      </c>
      <c r="CD264" s="196">
        <f t="shared" si="262"/>
        <v>0</v>
      </c>
      <c r="CE264" s="196">
        <f t="shared" si="262"/>
        <v>0</v>
      </c>
      <c r="CF264" s="196">
        <f t="shared" si="262"/>
        <v>0</v>
      </c>
      <c r="CG264" s="196">
        <f t="shared" si="262"/>
        <v>0</v>
      </c>
    </row>
    <row r="265" spans="1:85" s="201" customFormat="1" hidden="1" x14ac:dyDescent="0.2">
      <c r="A265" s="198" t="s">
        <v>520</v>
      </c>
      <c r="B265" s="199" t="e">
        <f t="shared" ref="B265:BZ265" si="278">SUM(B250:B264)</f>
        <v>#REF!</v>
      </c>
      <c r="C265" s="199">
        <f t="shared" si="278"/>
        <v>1312725</v>
      </c>
      <c r="D265" s="199">
        <f t="shared" si="278"/>
        <v>54740</v>
      </c>
      <c r="E265" s="199">
        <f>SUM(E250:E264)</f>
        <v>-183100</v>
      </c>
      <c r="F265" s="199">
        <f>SUM(F250:F264)</f>
        <v>182971</v>
      </c>
      <c r="G265" s="199">
        <f t="shared" si="278"/>
        <v>14649</v>
      </c>
      <c r="H265" s="199">
        <f t="shared" si="278"/>
        <v>-376</v>
      </c>
      <c r="I265" s="199">
        <f t="shared" si="278"/>
        <v>-878</v>
      </c>
      <c r="J265" s="199">
        <f t="shared" si="278"/>
        <v>-49212</v>
      </c>
      <c r="K265" s="199">
        <f t="shared" si="278"/>
        <v>12672</v>
      </c>
      <c r="L265" s="199">
        <f t="shared" si="278"/>
        <v>-30910</v>
      </c>
      <c r="M265" s="199">
        <f t="shared" si="278"/>
        <v>-4</v>
      </c>
      <c r="N265" s="199">
        <f t="shared" si="278"/>
        <v>29776</v>
      </c>
      <c r="O265" s="199">
        <f t="shared" si="278"/>
        <v>65992</v>
      </c>
      <c r="P265" s="199">
        <f t="shared" si="278"/>
        <v>-1218</v>
      </c>
      <c r="Q265" s="199">
        <f>SUM(Q250:Q264)</f>
        <v>-1150</v>
      </c>
      <c r="R265" s="199">
        <f t="shared" si="278"/>
        <v>35970</v>
      </c>
      <c r="S265" s="199">
        <f>SUM(S250:S264)</f>
        <v>-33008</v>
      </c>
      <c r="T265" s="199">
        <f t="shared" si="278"/>
        <v>25172</v>
      </c>
      <c r="U265" s="199">
        <f>SUM(U250:U264)</f>
        <v>5230</v>
      </c>
      <c r="V265" s="199">
        <f>SUM(V250:V264)</f>
        <v>1552</v>
      </c>
      <c r="W265" s="199">
        <f t="shared" si="278"/>
        <v>37592</v>
      </c>
      <c r="X265" s="199">
        <f>SUM(X250:X264)</f>
        <v>37536</v>
      </c>
      <c r="Y265" s="199">
        <f t="shared" si="278"/>
        <v>6</v>
      </c>
      <c r="Z265" s="199">
        <f t="shared" si="278"/>
        <v>876</v>
      </c>
      <c r="AA265" s="199">
        <f t="shared" si="278"/>
        <v>1230</v>
      </c>
      <c r="AB265" s="199">
        <f>SUM(AB250:AB264)</f>
        <v>5830</v>
      </c>
      <c r="AC265" s="199"/>
      <c r="AD265" s="199"/>
      <c r="AE265" s="199"/>
      <c r="AF265" s="199">
        <f>SUM(AF250:AF264)</f>
        <v>503006</v>
      </c>
      <c r="AG265" s="199"/>
      <c r="AH265" s="199"/>
      <c r="AI265" s="199"/>
      <c r="AJ265" s="199"/>
      <c r="AK265" s="199"/>
      <c r="AL265" s="199"/>
      <c r="AM265" s="199"/>
      <c r="AN265" s="199"/>
      <c r="AO265" s="199"/>
      <c r="AP265" s="199"/>
      <c r="AQ265" s="199"/>
      <c r="AR265" s="199">
        <f t="shared" si="278"/>
        <v>71182</v>
      </c>
      <c r="AS265" s="199">
        <f t="shared" si="278"/>
        <v>82</v>
      </c>
      <c r="AT265" s="199">
        <f t="shared" si="278"/>
        <v>400734</v>
      </c>
      <c r="AU265" s="199">
        <f t="shared" si="278"/>
        <v>-198</v>
      </c>
      <c r="AV265" s="199">
        <f t="shared" si="278"/>
        <v>0</v>
      </c>
      <c r="AW265" s="199">
        <f>SUM(AW250:AW264)</f>
        <v>-106</v>
      </c>
      <c r="AX265" s="199"/>
      <c r="AY265" s="199">
        <f t="shared" si="278"/>
        <v>16</v>
      </c>
      <c r="AZ265" s="199">
        <f t="shared" si="278"/>
        <v>-158</v>
      </c>
      <c r="BA265" s="199">
        <f t="shared" si="278"/>
        <v>0</v>
      </c>
      <c r="BB265" s="199">
        <f t="shared" si="278"/>
        <v>32</v>
      </c>
      <c r="BC265" s="199"/>
      <c r="BD265" s="199">
        <f t="shared" ref="BD265:BO265" si="279">SUM(BD250:BD264)</f>
        <v>-135948</v>
      </c>
      <c r="BE265" s="199">
        <f>SUM(BE250:BE264)</f>
        <v>2</v>
      </c>
      <c r="BF265" s="199">
        <f>SUM(BF250:BF264)</f>
        <v>18794</v>
      </c>
      <c r="BG265" s="199">
        <f>SUM(BG250:BG264)</f>
        <v>0</v>
      </c>
      <c r="BH265" s="199">
        <f t="shared" si="279"/>
        <v>60962</v>
      </c>
      <c r="BI265" s="199">
        <f>SUM(BI250:BI264)</f>
        <v>0</v>
      </c>
      <c r="BJ265" s="199">
        <f t="shared" si="279"/>
        <v>35184</v>
      </c>
      <c r="BK265" s="199">
        <f>SUM(BK250:BK264)</f>
        <v>7962</v>
      </c>
      <c r="BL265" s="199">
        <f t="shared" si="279"/>
        <v>2646</v>
      </c>
      <c r="BM265" s="199">
        <f t="shared" si="279"/>
        <v>-3022</v>
      </c>
      <c r="BN265" s="199"/>
      <c r="BO265" s="199">
        <f t="shared" si="279"/>
        <v>-38</v>
      </c>
      <c r="BP265" s="199">
        <f>SUM(BP250:BP264)</f>
        <v>8458</v>
      </c>
      <c r="BQ265" s="199"/>
      <c r="BR265" s="199"/>
      <c r="BS265" s="199"/>
      <c r="BT265" s="199">
        <f t="shared" si="278"/>
        <v>6923</v>
      </c>
      <c r="BU265" s="199">
        <f t="shared" si="278"/>
        <v>13042</v>
      </c>
      <c r="BV265" s="199">
        <f t="shared" si="278"/>
        <v>-2635</v>
      </c>
      <c r="BW265" s="199">
        <f t="shared" si="278"/>
        <v>-730</v>
      </c>
      <c r="BX265" s="199">
        <f t="shared" si="278"/>
        <v>2313</v>
      </c>
      <c r="BY265" s="199"/>
      <c r="BZ265" s="199" t="e">
        <f t="shared" si="278"/>
        <v>#REF!</v>
      </c>
      <c r="CA265" s="199" t="e">
        <f>SUM(CA250:CA264)</f>
        <v>#REF!</v>
      </c>
      <c r="CB265" s="199">
        <f>SUM(CB250:CB264)</f>
        <v>0</v>
      </c>
      <c r="CC265" s="200"/>
      <c r="CD265" s="199">
        <f>SUM(CD250:CD264)</f>
        <v>0</v>
      </c>
      <c r="CE265" s="199">
        <f>SUM(CE250:CE264)</f>
        <v>0</v>
      </c>
      <c r="CF265" s="199">
        <f>SUM(CF250:CF264)</f>
        <v>0</v>
      </c>
      <c r="CG265" s="199">
        <f>SUM(CG250:CG264)</f>
        <v>0</v>
      </c>
    </row>
    <row r="266" spans="1:85" hidden="1" x14ac:dyDescent="0.2">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c r="AF266" s="197"/>
      <c r="AG266" s="197"/>
      <c r="AH266" s="197"/>
      <c r="AI266" s="197"/>
      <c r="AJ266" s="197"/>
      <c r="AK266" s="197"/>
      <c r="AL266" s="197"/>
      <c r="AM266" s="197"/>
      <c r="AN266" s="197"/>
      <c r="AO266" s="197"/>
      <c r="AP266" s="197"/>
      <c r="AQ266" s="197"/>
      <c r="AR266" s="197"/>
      <c r="AS266" s="197"/>
      <c r="AT266" s="197"/>
      <c r="AU266" s="197"/>
      <c r="AV266" s="197"/>
      <c r="AW266" s="197"/>
      <c r="AX266" s="197"/>
      <c r="AY266" s="197"/>
      <c r="AZ266" s="197"/>
      <c r="BA266" s="197"/>
      <c r="BB266" s="197"/>
      <c r="BC266" s="197"/>
      <c r="BD266" s="197"/>
      <c r="BE266" s="197"/>
      <c r="BF266" s="197"/>
      <c r="BG266" s="197"/>
      <c r="BH266" s="197"/>
      <c r="BI266" s="197"/>
      <c r="BJ266" s="197"/>
      <c r="BK266" s="197"/>
      <c r="BL266" s="197"/>
      <c r="BM266" s="197"/>
      <c r="BN266" s="197"/>
      <c r="BO266" s="197"/>
      <c r="BP266" s="197"/>
      <c r="BQ266" s="197"/>
      <c r="BR266" s="197"/>
      <c r="BS266" s="197"/>
      <c r="BT266" s="197"/>
      <c r="BU266" s="197"/>
      <c r="BV266" s="197"/>
      <c r="BW266" s="197"/>
      <c r="BX266" s="197"/>
      <c r="BY266" s="197"/>
      <c r="BZ266" s="197"/>
      <c r="CA266" s="197"/>
      <c r="CB266" s="197"/>
      <c r="CD266" s="197"/>
      <c r="CE266" s="197"/>
      <c r="CF266" s="197"/>
      <c r="CG266" s="197"/>
    </row>
    <row r="267" spans="1:85" s="192" customFormat="1" hidden="1" x14ac:dyDescent="0.2">
      <c r="A267" s="193" t="s">
        <v>925</v>
      </c>
      <c r="B267" s="194"/>
      <c r="C267" s="194"/>
      <c r="D267" s="194"/>
      <c r="E267" s="194"/>
      <c r="F267" s="194"/>
      <c r="G267" s="194"/>
      <c r="H267" s="194"/>
      <c r="I267" s="194"/>
      <c r="J267" s="194"/>
      <c r="K267" s="194"/>
      <c r="L267" s="194"/>
      <c r="M267" s="194"/>
      <c r="N267" s="194"/>
      <c r="O267" s="194"/>
      <c r="P267" s="194"/>
      <c r="Q267" s="194"/>
      <c r="R267" s="194"/>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4"/>
      <c r="BQ267" s="194"/>
      <c r="BR267" s="194"/>
      <c r="BS267" s="194"/>
      <c r="BT267" s="194"/>
      <c r="BU267" s="194"/>
      <c r="BV267" s="194"/>
      <c r="BW267" s="194"/>
      <c r="BX267" s="194"/>
      <c r="BY267" s="194"/>
      <c r="BZ267" s="194"/>
      <c r="CA267" s="194"/>
      <c r="CB267" s="194"/>
      <c r="CC267" s="191"/>
      <c r="CD267" s="194"/>
      <c r="CE267" s="194"/>
      <c r="CF267" s="194"/>
      <c r="CG267" s="194"/>
    </row>
    <row r="268" spans="1:85" hidden="1" x14ac:dyDescent="0.2">
      <c r="A268" s="195" t="s">
        <v>953</v>
      </c>
      <c r="B268" s="196">
        <f t="shared" ref="B268:B277" si="280">SUM(C268:CB268)</f>
        <v>-1791</v>
      </c>
      <c r="C268" s="196">
        <f t="shared" ref="C268:AA268" si="281">+C22-C185</f>
        <v>178</v>
      </c>
      <c r="D268" s="196">
        <f t="shared" si="281"/>
        <v>0</v>
      </c>
      <c r="E268" s="196">
        <f t="shared" ref="E268" si="282">+E22-E185</f>
        <v>1</v>
      </c>
      <c r="F268" s="196">
        <f t="shared" si="281"/>
        <v>1</v>
      </c>
      <c r="G268" s="196">
        <f t="shared" si="281"/>
        <v>0</v>
      </c>
      <c r="H268" s="196">
        <f t="shared" si="281"/>
        <v>0</v>
      </c>
      <c r="I268" s="196">
        <f t="shared" si="281"/>
        <v>0</v>
      </c>
      <c r="J268" s="196">
        <f t="shared" si="281"/>
        <v>0</v>
      </c>
      <c r="K268" s="196">
        <f t="shared" si="281"/>
        <v>0</v>
      </c>
      <c r="L268" s="196">
        <f t="shared" si="281"/>
        <v>0</v>
      </c>
      <c r="M268" s="196">
        <f t="shared" si="281"/>
        <v>0</v>
      </c>
      <c r="N268" s="196">
        <f t="shared" si="281"/>
        <v>0</v>
      </c>
      <c r="O268" s="196">
        <f t="shared" si="281"/>
        <v>-1971</v>
      </c>
      <c r="P268" s="196">
        <f t="shared" si="281"/>
        <v>0</v>
      </c>
      <c r="Q268" s="196">
        <f>+Q22-Q185</f>
        <v>0</v>
      </c>
      <c r="R268" s="196">
        <f t="shared" si="281"/>
        <v>0</v>
      </c>
      <c r="S268" s="196">
        <f t="shared" ref="S268:S276" si="283">+S22-S185</f>
        <v>0</v>
      </c>
      <c r="T268" s="196">
        <f t="shared" si="281"/>
        <v>0</v>
      </c>
      <c r="U268" s="196">
        <f t="shared" ref="U268:V276" si="284">+U22-U185</f>
        <v>0</v>
      </c>
      <c r="V268" s="196">
        <f t="shared" si="284"/>
        <v>0</v>
      </c>
      <c r="W268" s="196">
        <f t="shared" si="281"/>
        <v>0</v>
      </c>
      <c r="X268" s="196">
        <f t="shared" ref="X268:X276" si="285">+X22-X185</f>
        <v>0</v>
      </c>
      <c r="Y268" s="196">
        <f t="shared" si="281"/>
        <v>0</v>
      </c>
      <c r="Z268" s="196">
        <f t="shared" si="281"/>
        <v>0</v>
      </c>
      <c r="AA268" s="196">
        <f t="shared" si="281"/>
        <v>0</v>
      </c>
      <c r="AB268" s="196">
        <f t="shared" ref="AB268:AB276" si="286">+AB22-AB185</f>
        <v>0</v>
      </c>
      <c r="AF268" s="196">
        <f t="shared" ref="AF268:AF276" si="287">+AF22-AF185</f>
        <v>0</v>
      </c>
      <c r="AR268" s="196">
        <f t="shared" ref="AR268:AW276" si="288">+AR22-AR185</f>
        <v>0</v>
      </c>
      <c r="AS268" s="196">
        <f t="shared" si="288"/>
        <v>0</v>
      </c>
      <c r="AT268" s="196">
        <f t="shared" si="288"/>
        <v>0</v>
      </c>
      <c r="AU268" s="196">
        <f t="shared" si="288"/>
        <v>0</v>
      </c>
      <c r="AV268" s="196">
        <f t="shared" si="288"/>
        <v>0</v>
      </c>
      <c r="AW268" s="196">
        <f t="shared" si="288"/>
        <v>0</v>
      </c>
      <c r="AY268" s="196">
        <f t="shared" ref="AY268:BX268" si="289">+AY22-AY185</f>
        <v>0</v>
      </c>
      <c r="AZ268" s="196">
        <f t="shared" si="289"/>
        <v>0</v>
      </c>
      <c r="BA268" s="196">
        <f t="shared" si="289"/>
        <v>0</v>
      </c>
      <c r="BB268" s="196">
        <f t="shared" si="289"/>
        <v>0</v>
      </c>
      <c r="BD268" s="196">
        <f t="shared" si="289"/>
        <v>0</v>
      </c>
      <c r="BE268" s="196">
        <f t="shared" ref="BE268:BG276" si="290">+BE22-BE185</f>
        <v>0</v>
      </c>
      <c r="BF268" s="196">
        <f t="shared" si="290"/>
        <v>0</v>
      </c>
      <c r="BG268" s="196">
        <f t="shared" si="290"/>
        <v>0</v>
      </c>
      <c r="BH268" s="196">
        <f t="shared" si="289"/>
        <v>0</v>
      </c>
      <c r="BI268" s="196">
        <f t="shared" ref="BI268:BI276" si="291">+BI22-BI185</f>
        <v>0</v>
      </c>
      <c r="BJ268" s="196">
        <f t="shared" si="289"/>
        <v>0</v>
      </c>
      <c r="BK268" s="196">
        <f t="shared" ref="BK268:BK276" si="292">+BK22-BK185</f>
        <v>0</v>
      </c>
      <c r="BL268" s="196">
        <f t="shared" si="289"/>
        <v>0</v>
      </c>
      <c r="BM268" s="196">
        <f t="shared" si="289"/>
        <v>0</v>
      </c>
      <c r="BO268" s="196">
        <f t="shared" si="289"/>
        <v>0</v>
      </c>
      <c r="BP268" s="196">
        <f t="shared" ref="BP268:BP276" si="293">+BP22-BP185</f>
        <v>0</v>
      </c>
      <c r="BT268" s="196">
        <f t="shared" si="289"/>
        <v>0</v>
      </c>
      <c r="BU268" s="196">
        <f t="shared" si="289"/>
        <v>0</v>
      </c>
      <c r="BV268" s="196">
        <f t="shared" si="289"/>
        <v>0</v>
      </c>
      <c r="BW268" s="196">
        <f t="shared" si="289"/>
        <v>0</v>
      </c>
      <c r="BX268" s="196">
        <f t="shared" si="289"/>
        <v>0</v>
      </c>
      <c r="BZ268" s="196">
        <f t="shared" ref="BZ268:CB276" si="294">+BZ22-BZ185</f>
        <v>0</v>
      </c>
      <c r="CA268" s="196">
        <f t="shared" si="294"/>
        <v>0</v>
      </c>
      <c r="CB268" s="196">
        <f t="shared" si="294"/>
        <v>0</v>
      </c>
      <c r="CD268" s="196">
        <f t="shared" ref="CD268:CG276" si="295">CD22-CD187</f>
        <v>0</v>
      </c>
      <c r="CE268" s="196">
        <f t="shared" si="295"/>
        <v>0</v>
      </c>
      <c r="CF268" s="196">
        <f t="shared" si="295"/>
        <v>0</v>
      </c>
      <c r="CG268" s="196">
        <f t="shared" si="295"/>
        <v>0</v>
      </c>
    </row>
    <row r="269" spans="1:85" hidden="1" x14ac:dyDescent="0.2">
      <c r="A269" s="195" t="s">
        <v>954</v>
      </c>
      <c r="B269" s="196">
        <f t="shared" si="280"/>
        <v>95131</v>
      </c>
      <c r="C269" s="196">
        <f t="shared" ref="C269:T269" si="296">+C23-C186</f>
        <v>25072</v>
      </c>
      <c r="D269" s="196">
        <f t="shared" si="296"/>
        <v>0</v>
      </c>
      <c r="E269" s="196">
        <f t="shared" ref="E269" si="297">+E23-E186</f>
        <v>0</v>
      </c>
      <c r="F269" s="196">
        <f t="shared" si="296"/>
        <v>0</v>
      </c>
      <c r="G269" s="196">
        <f t="shared" si="296"/>
        <v>0</v>
      </c>
      <c r="H269" s="196">
        <f t="shared" si="296"/>
        <v>0</v>
      </c>
      <c r="I269" s="196">
        <f t="shared" si="296"/>
        <v>0</v>
      </c>
      <c r="J269" s="196">
        <f t="shared" si="296"/>
        <v>0</v>
      </c>
      <c r="K269" s="196">
        <f t="shared" si="296"/>
        <v>0</v>
      </c>
      <c r="L269" s="196">
        <f t="shared" si="296"/>
        <v>0</v>
      </c>
      <c r="M269" s="196">
        <f t="shared" si="296"/>
        <v>0</v>
      </c>
      <c r="N269" s="196">
        <f t="shared" si="296"/>
        <v>0</v>
      </c>
      <c r="O269" s="196">
        <f t="shared" si="296"/>
        <v>6400</v>
      </c>
      <c r="P269" s="196">
        <f t="shared" si="296"/>
        <v>0</v>
      </c>
      <c r="Q269" s="196">
        <f>+W24-Q186</f>
        <v>63659</v>
      </c>
      <c r="R269" s="196">
        <f t="shared" si="296"/>
        <v>0</v>
      </c>
      <c r="S269" s="196">
        <f t="shared" si="283"/>
        <v>0</v>
      </c>
      <c r="T269" s="196">
        <f t="shared" si="296"/>
        <v>0</v>
      </c>
      <c r="U269" s="196">
        <f t="shared" si="284"/>
        <v>0</v>
      </c>
      <c r="V269" s="196">
        <f t="shared" si="284"/>
        <v>0</v>
      </c>
      <c r="W269" s="196">
        <f t="shared" ref="W269:W276" si="298">+W23-W186</f>
        <v>0</v>
      </c>
      <c r="X269" s="196">
        <f t="shared" si="285"/>
        <v>0</v>
      </c>
      <c r="Y269" s="196">
        <f t="shared" ref="Y269:AA276" si="299">+Y23-Y186</f>
        <v>0</v>
      </c>
      <c r="Z269" s="196">
        <f t="shared" si="299"/>
        <v>0</v>
      </c>
      <c r="AA269" s="196">
        <f t="shared" si="299"/>
        <v>0</v>
      </c>
      <c r="AB269" s="196">
        <f t="shared" si="286"/>
        <v>0</v>
      </c>
      <c r="AF269" s="196">
        <f t="shared" si="287"/>
        <v>0</v>
      </c>
      <c r="AR269" s="196">
        <f t="shared" si="288"/>
        <v>0</v>
      </c>
      <c r="AS269" s="196">
        <f t="shared" si="288"/>
        <v>0</v>
      </c>
      <c r="AT269" s="196">
        <f t="shared" si="288"/>
        <v>0</v>
      </c>
      <c r="AU269" s="196">
        <f t="shared" si="288"/>
        <v>0</v>
      </c>
      <c r="AV269" s="196">
        <f t="shared" si="288"/>
        <v>0</v>
      </c>
      <c r="AW269" s="196">
        <f t="shared" si="288"/>
        <v>0</v>
      </c>
      <c r="AY269" s="196">
        <f t="shared" ref="AY269:BX269" si="300">+AY23-AY186</f>
        <v>0</v>
      </c>
      <c r="AZ269" s="196">
        <f t="shared" si="300"/>
        <v>0</v>
      </c>
      <c r="BA269" s="196">
        <f t="shared" si="300"/>
        <v>0</v>
      </c>
      <c r="BB269" s="196">
        <f t="shared" si="300"/>
        <v>0</v>
      </c>
      <c r="BD269" s="196">
        <f t="shared" si="300"/>
        <v>0</v>
      </c>
      <c r="BE269" s="196">
        <f t="shared" si="290"/>
        <v>0</v>
      </c>
      <c r="BF269" s="196">
        <f t="shared" si="290"/>
        <v>0</v>
      </c>
      <c r="BG269" s="196">
        <f t="shared" si="290"/>
        <v>0</v>
      </c>
      <c r="BH269" s="196">
        <f t="shared" si="300"/>
        <v>0</v>
      </c>
      <c r="BI269" s="196">
        <f t="shared" si="291"/>
        <v>0</v>
      </c>
      <c r="BJ269" s="196">
        <f t="shared" si="300"/>
        <v>0</v>
      </c>
      <c r="BK269" s="196">
        <f t="shared" si="292"/>
        <v>0</v>
      </c>
      <c r="BL269" s="196">
        <f t="shared" si="300"/>
        <v>0</v>
      </c>
      <c r="BM269" s="196">
        <f t="shared" si="300"/>
        <v>0</v>
      </c>
      <c r="BO269" s="196">
        <f t="shared" si="300"/>
        <v>0</v>
      </c>
      <c r="BP269" s="196">
        <f t="shared" si="293"/>
        <v>0</v>
      </c>
      <c r="BT269" s="196">
        <f t="shared" si="300"/>
        <v>0</v>
      </c>
      <c r="BU269" s="196">
        <f t="shared" si="300"/>
        <v>0</v>
      </c>
      <c r="BV269" s="196">
        <f t="shared" si="300"/>
        <v>0</v>
      </c>
      <c r="BW269" s="196">
        <f t="shared" si="300"/>
        <v>0</v>
      </c>
      <c r="BX269" s="196">
        <f t="shared" si="300"/>
        <v>0</v>
      </c>
      <c r="BZ269" s="196">
        <f t="shared" si="294"/>
        <v>0</v>
      </c>
      <c r="CA269" s="196">
        <f t="shared" si="294"/>
        <v>0</v>
      </c>
      <c r="CB269" s="196">
        <f t="shared" si="294"/>
        <v>0</v>
      </c>
      <c r="CD269" s="196">
        <f t="shared" si="295"/>
        <v>0</v>
      </c>
      <c r="CE269" s="196">
        <f t="shared" si="295"/>
        <v>0</v>
      </c>
      <c r="CF269" s="196">
        <f t="shared" si="295"/>
        <v>0</v>
      </c>
      <c r="CG269" s="196">
        <f t="shared" si="295"/>
        <v>0</v>
      </c>
    </row>
    <row r="270" spans="1:85" hidden="1" x14ac:dyDescent="0.2">
      <c r="A270" s="195" t="s">
        <v>955</v>
      </c>
      <c r="B270" s="196">
        <f t="shared" si="280"/>
        <v>16040</v>
      </c>
      <c r="C270" s="196">
        <f t="shared" ref="C270:T270" si="301">+C24-C187</f>
        <v>-819</v>
      </c>
      <c r="D270" s="196">
        <f t="shared" si="301"/>
        <v>0</v>
      </c>
      <c r="E270" s="196">
        <f t="shared" ref="E270" si="302">+E24-E187</f>
        <v>0</v>
      </c>
      <c r="F270" s="196">
        <f t="shared" si="301"/>
        <v>0</v>
      </c>
      <c r="G270" s="196">
        <f t="shared" si="301"/>
        <v>0</v>
      </c>
      <c r="H270" s="196">
        <f t="shared" si="301"/>
        <v>0</v>
      </c>
      <c r="I270" s="196">
        <f t="shared" si="301"/>
        <v>0</v>
      </c>
      <c r="J270" s="196">
        <f t="shared" si="301"/>
        <v>0</v>
      </c>
      <c r="K270" s="196">
        <f t="shared" si="301"/>
        <v>0</v>
      </c>
      <c r="L270" s="196">
        <f t="shared" si="301"/>
        <v>-10901</v>
      </c>
      <c r="M270" s="196">
        <f t="shared" si="301"/>
        <v>0</v>
      </c>
      <c r="N270" s="196">
        <f t="shared" si="301"/>
        <v>0</v>
      </c>
      <c r="O270" s="196">
        <f t="shared" si="301"/>
        <v>0</v>
      </c>
      <c r="P270" s="196">
        <f t="shared" si="301"/>
        <v>0</v>
      </c>
      <c r="Q270" s="196">
        <f t="shared" ref="Q270:Q276" si="303">+Q24-Q187</f>
        <v>0</v>
      </c>
      <c r="R270" s="196">
        <f t="shared" si="301"/>
        <v>0</v>
      </c>
      <c r="S270" s="196">
        <f t="shared" si="283"/>
        <v>0</v>
      </c>
      <c r="T270" s="196">
        <f t="shared" si="301"/>
        <v>0</v>
      </c>
      <c r="U270" s="196">
        <f t="shared" si="284"/>
        <v>3229</v>
      </c>
      <c r="V270" s="196">
        <f t="shared" si="284"/>
        <v>0</v>
      </c>
      <c r="W270" s="196">
        <f t="shared" si="298"/>
        <v>24531</v>
      </c>
      <c r="X270" s="196">
        <f t="shared" si="285"/>
        <v>0</v>
      </c>
      <c r="Y270" s="196">
        <f t="shared" si="299"/>
        <v>0</v>
      </c>
      <c r="Z270" s="196">
        <f t="shared" si="299"/>
        <v>0</v>
      </c>
      <c r="AA270" s="196">
        <f t="shared" si="299"/>
        <v>0</v>
      </c>
      <c r="AB270" s="196">
        <f t="shared" si="286"/>
        <v>0</v>
      </c>
      <c r="AF270" s="196">
        <f t="shared" si="287"/>
        <v>0</v>
      </c>
      <c r="AR270" s="196">
        <f t="shared" si="288"/>
        <v>0</v>
      </c>
      <c r="AS270" s="196">
        <f t="shared" si="288"/>
        <v>0</v>
      </c>
      <c r="AT270" s="196">
        <f t="shared" si="288"/>
        <v>0</v>
      </c>
      <c r="AU270" s="196">
        <f t="shared" si="288"/>
        <v>0</v>
      </c>
      <c r="AV270" s="196">
        <f t="shared" si="288"/>
        <v>0</v>
      </c>
      <c r="AW270" s="196">
        <f t="shared" si="288"/>
        <v>0</v>
      </c>
      <c r="AY270" s="196">
        <f t="shared" ref="AY270:BX270" si="304">+AY24-AY187</f>
        <v>0</v>
      </c>
      <c r="AZ270" s="196">
        <f t="shared" si="304"/>
        <v>0</v>
      </c>
      <c r="BA270" s="196">
        <f t="shared" si="304"/>
        <v>0</v>
      </c>
      <c r="BB270" s="196">
        <f t="shared" si="304"/>
        <v>0</v>
      </c>
      <c r="BD270" s="196">
        <f t="shared" si="304"/>
        <v>0</v>
      </c>
      <c r="BE270" s="196">
        <f t="shared" si="290"/>
        <v>0</v>
      </c>
      <c r="BF270" s="196">
        <f t="shared" si="290"/>
        <v>0</v>
      </c>
      <c r="BG270" s="196">
        <f t="shared" si="290"/>
        <v>0</v>
      </c>
      <c r="BH270" s="196">
        <f t="shared" si="304"/>
        <v>0</v>
      </c>
      <c r="BI270" s="196">
        <f t="shared" si="291"/>
        <v>0</v>
      </c>
      <c r="BJ270" s="196">
        <f t="shared" si="304"/>
        <v>0</v>
      </c>
      <c r="BK270" s="196">
        <f t="shared" si="292"/>
        <v>0</v>
      </c>
      <c r="BL270" s="196">
        <f t="shared" si="304"/>
        <v>0</v>
      </c>
      <c r="BM270" s="196">
        <f t="shared" si="304"/>
        <v>0</v>
      </c>
      <c r="BO270" s="196">
        <f t="shared" si="304"/>
        <v>0</v>
      </c>
      <c r="BP270" s="196">
        <f t="shared" si="293"/>
        <v>0</v>
      </c>
      <c r="BT270" s="196">
        <f t="shared" si="304"/>
        <v>0</v>
      </c>
      <c r="BU270" s="196">
        <f t="shared" si="304"/>
        <v>0</v>
      </c>
      <c r="BV270" s="196">
        <f t="shared" si="304"/>
        <v>0</v>
      </c>
      <c r="BW270" s="196">
        <f t="shared" si="304"/>
        <v>0</v>
      </c>
      <c r="BX270" s="196">
        <f t="shared" si="304"/>
        <v>0</v>
      </c>
      <c r="BZ270" s="196">
        <f t="shared" si="294"/>
        <v>0</v>
      </c>
      <c r="CA270" s="196">
        <f t="shared" si="294"/>
        <v>0</v>
      </c>
      <c r="CB270" s="196">
        <f t="shared" si="294"/>
        <v>0</v>
      </c>
      <c r="CD270" s="196">
        <f t="shared" si="295"/>
        <v>0</v>
      </c>
      <c r="CE270" s="196">
        <f t="shared" si="295"/>
        <v>0</v>
      </c>
      <c r="CF270" s="196">
        <f t="shared" si="295"/>
        <v>0</v>
      </c>
      <c r="CG270" s="196">
        <f t="shared" si="295"/>
        <v>0</v>
      </c>
    </row>
    <row r="271" spans="1:85" hidden="1" x14ac:dyDescent="0.2">
      <c r="A271" s="195" t="s">
        <v>958</v>
      </c>
      <c r="B271" s="196">
        <f t="shared" si="280"/>
        <v>10959</v>
      </c>
      <c r="C271" s="196">
        <f t="shared" ref="C271:T271" si="305">+C25-C188</f>
        <v>-397</v>
      </c>
      <c r="D271" s="196">
        <f t="shared" si="305"/>
        <v>0</v>
      </c>
      <c r="E271" s="196">
        <f t="shared" ref="E271" si="306">+E25-E188</f>
        <v>0</v>
      </c>
      <c r="F271" s="196">
        <f t="shared" si="305"/>
        <v>0</v>
      </c>
      <c r="G271" s="196">
        <f t="shared" si="305"/>
        <v>0</v>
      </c>
      <c r="H271" s="196">
        <f t="shared" si="305"/>
        <v>0</v>
      </c>
      <c r="I271" s="196">
        <f t="shared" si="305"/>
        <v>0</v>
      </c>
      <c r="J271" s="196">
        <f t="shared" si="305"/>
        <v>0</v>
      </c>
      <c r="K271" s="196">
        <f t="shared" si="305"/>
        <v>0</v>
      </c>
      <c r="L271" s="196">
        <f t="shared" si="305"/>
        <v>0</v>
      </c>
      <c r="M271" s="196">
        <f t="shared" si="305"/>
        <v>0</v>
      </c>
      <c r="N271" s="196">
        <f t="shared" si="305"/>
        <v>0</v>
      </c>
      <c r="O271" s="196">
        <f t="shared" si="305"/>
        <v>0</v>
      </c>
      <c r="P271" s="196">
        <f t="shared" si="305"/>
        <v>0</v>
      </c>
      <c r="Q271" s="196">
        <f t="shared" si="303"/>
        <v>0</v>
      </c>
      <c r="R271" s="196">
        <f t="shared" si="305"/>
        <v>0</v>
      </c>
      <c r="S271" s="196">
        <f t="shared" si="283"/>
        <v>0</v>
      </c>
      <c r="T271" s="196">
        <f t="shared" si="305"/>
        <v>11356</v>
      </c>
      <c r="U271" s="196">
        <f t="shared" si="284"/>
        <v>0</v>
      </c>
      <c r="V271" s="196">
        <f t="shared" si="284"/>
        <v>0</v>
      </c>
      <c r="W271" s="196">
        <f t="shared" si="298"/>
        <v>0</v>
      </c>
      <c r="X271" s="196">
        <f t="shared" si="285"/>
        <v>0</v>
      </c>
      <c r="Y271" s="196">
        <f t="shared" si="299"/>
        <v>0</v>
      </c>
      <c r="Z271" s="196">
        <f t="shared" si="299"/>
        <v>0</v>
      </c>
      <c r="AA271" s="196">
        <f t="shared" si="299"/>
        <v>0</v>
      </c>
      <c r="AB271" s="196">
        <f t="shared" si="286"/>
        <v>0</v>
      </c>
      <c r="AF271" s="196">
        <f t="shared" si="287"/>
        <v>0</v>
      </c>
      <c r="AR271" s="196">
        <f t="shared" si="288"/>
        <v>0</v>
      </c>
      <c r="AS271" s="196">
        <f t="shared" si="288"/>
        <v>0</v>
      </c>
      <c r="AT271" s="196">
        <f t="shared" si="288"/>
        <v>0</v>
      </c>
      <c r="AU271" s="196">
        <f t="shared" si="288"/>
        <v>0</v>
      </c>
      <c r="AV271" s="196">
        <f t="shared" si="288"/>
        <v>0</v>
      </c>
      <c r="AW271" s="196">
        <f t="shared" si="288"/>
        <v>0</v>
      </c>
      <c r="AY271" s="196">
        <f t="shared" ref="AY271:BX271" si="307">+AY25-AY188</f>
        <v>0</v>
      </c>
      <c r="AZ271" s="196">
        <f t="shared" si="307"/>
        <v>0</v>
      </c>
      <c r="BA271" s="196">
        <f t="shared" si="307"/>
        <v>0</v>
      </c>
      <c r="BB271" s="196">
        <f t="shared" si="307"/>
        <v>0</v>
      </c>
      <c r="BD271" s="196">
        <f t="shared" si="307"/>
        <v>0</v>
      </c>
      <c r="BE271" s="196">
        <f t="shared" si="290"/>
        <v>0</v>
      </c>
      <c r="BF271" s="196">
        <f t="shared" si="290"/>
        <v>0</v>
      </c>
      <c r="BG271" s="196">
        <f t="shared" si="290"/>
        <v>0</v>
      </c>
      <c r="BH271" s="196">
        <f t="shared" si="307"/>
        <v>0</v>
      </c>
      <c r="BI271" s="196">
        <f t="shared" si="291"/>
        <v>0</v>
      </c>
      <c r="BJ271" s="196">
        <f t="shared" si="307"/>
        <v>0</v>
      </c>
      <c r="BK271" s="196">
        <f t="shared" si="292"/>
        <v>0</v>
      </c>
      <c r="BL271" s="196">
        <f t="shared" si="307"/>
        <v>0</v>
      </c>
      <c r="BM271" s="196">
        <f t="shared" si="307"/>
        <v>0</v>
      </c>
      <c r="BO271" s="196">
        <f t="shared" si="307"/>
        <v>0</v>
      </c>
      <c r="BP271" s="196">
        <f t="shared" si="293"/>
        <v>0</v>
      </c>
      <c r="BT271" s="196">
        <f t="shared" si="307"/>
        <v>0</v>
      </c>
      <c r="BU271" s="196">
        <f t="shared" si="307"/>
        <v>0</v>
      </c>
      <c r="BV271" s="196">
        <f t="shared" si="307"/>
        <v>0</v>
      </c>
      <c r="BW271" s="196">
        <f t="shared" si="307"/>
        <v>0</v>
      </c>
      <c r="BX271" s="196">
        <f t="shared" si="307"/>
        <v>0</v>
      </c>
      <c r="BZ271" s="196">
        <f t="shared" si="294"/>
        <v>0</v>
      </c>
      <c r="CA271" s="196">
        <f t="shared" si="294"/>
        <v>0</v>
      </c>
      <c r="CB271" s="196">
        <f t="shared" si="294"/>
        <v>0</v>
      </c>
      <c r="CD271" s="196">
        <f t="shared" si="295"/>
        <v>0</v>
      </c>
      <c r="CE271" s="196">
        <f t="shared" si="295"/>
        <v>0</v>
      </c>
      <c r="CF271" s="196">
        <f t="shared" si="295"/>
        <v>0</v>
      </c>
      <c r="CG271" s="196">
        <f t="shared" si="295"/>
        <v>0</v>
      </c>
    </row>
    <row r="272" spans="1:85" hidden="1" x14ac:dyDescent="0.2">
      <c r="A272" s="195" t="s">
        <v>956</v>
      </c>
      <c r="B272" s="196">
        <f t="shared" si="280"/>
        <v>-20439</v>
      </c>
      <c r="C272" s="196">
        <f t="shared" ref="C272:T272" si="308">+C26-C189</f>
        <v>-23306</v>
      </c>
      <c r="D272" s="196">
        <f t="shared" si="308"/>
        <v>0</v>
      </c>
      <c r="E272" s="196">
        <f t="shared" ref="E272" si="309">+E26-E189</f>
        <v>-194</v>
      </c>
      <c r="F272" s="196">
        <f t="shared" si="308"/>
        <v>-194</v>
      </c>
      <c r="G272" s="196">
        <f t="shared" si="308"/>
        <v>0</v>
      </c>
      <c r="H272" s="196">
        <f t="shared" si="308"/>
        <v>0</v>
      </c>
      <c r="I272" s="196">
        <f t="shared" si="308"/>
        <v>0</v>
      </c>
      <c r="J272" s="196">
        <f t="shared" si="308"/>
        <v>0</v>
      </c>
      <c r="K272" s="196">
        <f t="shared" si="308"/>
        <v>0</v>
      </c>
      <c r="L272" s="196">
        <f t="shared" si="308"/>
        <v>0</v>
      </c>
      <c r="M272" s="196">
        <f t="shared" si="308"/>
        <v>0</v>
      </c>
      <c r="N272" s="196">
        <f t="shared" si="308"/>
        <v>0</v>
      </c>
      <c r="O272" s="196">
        <f t="shared" si="308"/>
        <v>3255</v>
      </c>
      <c r="P272" s="196">
        <f t="shared" si="308"/>
        <v>0</v>
      </c>
      <c r="Q272" s="196">
        <f t="shared" si="303"/>
        <v>0</v>
      </c>
      <c r="R272" s="196">
        <f t="shared" si="308"/>
        <v>0</v>
      </c>
      <c r="S272" s="196">
        <f t="shared" si="283"/>
        <v>0</v>
      </c>
      <c r="T272" s="196">
        <f t="shared" si="308"/>
        <v>0</v>
      </c>
      <c r="U272" s="196">
        <f t="shared" si="284"/>
        <v>0</v>
      </c>
      <c r="V272" s="196">
        <f t="shared" si="284"/>
        <v>0</v>
      </c>
      <c r="W272" s="196">
        <f t="shared" si="298"/>
        <v>0</v>
      </c>
      <c r="X272" s="196">
        <f t="shared" si="285"/>
        <v>0</v>
      </c>
      <c r="Y272" s="196">
        <f t="shared" si="299"/>
        <v>0</v>
      </c>
      <c r="Z272" s="196">
        <f t="shared" si="299"/>
        <v>0</v>
      </c>
      <c r="AA272" s="196">
        <f t="shared" si="299"/>
        <v>0</v>
      </c>
      <c r="AB272" s="196">
        <f t="shared" si="286"/>
        <v>0</v>
      </c>
      <c r="AF272" s="196">
        <f t="shared" si="287"/>
        <v>0</v>
      </c>
      <c r="AR272" s="196">
        <f t="shared" si="288"/>
        <v>0</v>
      </c>
      <c r="AS272" s="196">
        <f t="shared" si="288"/>
        <v>0</v>
      </c>
      <c r="AT272" s="196">
        <f t="shared" si="288"/>
        <v>0</v>
      </c>
      <c r="AU272" s="196">
        <f t="shared" si="288"/>
        <v>0</v>
      </c>
      <c r="AV272" s="196">
        <f t="shared" si="288"/>
        <v>0</v>
      </c>
      <c r="AW272" s="196">
        <f t="shared" si="288"/>
        <v>0</v>
      </c>
      <c r="AY272" s="196">
        <f t="shared" ref="AY272:BX272" si="310">+AY26-AY189</f>
        <v>0</v>
      </c>
      <c r="AZ272" s="196">
        <f t="shared" si="310"/>
        <v>0</v>
      </c>
      <c r="BA272" s="196">
        <f t="shared" si="310"/>
        <v>0</v>
      </c>
      <c r="BB272" s="196">
        <f t="shared" si="310"/>
        <v>0</v>
      </c>
      <c r="BD272" s="196">
        <f t="shared" si="310"/>
        <v>0</v>
      </c>
      <c r="BE272" s="196">
        <f t="shared" si="290"/>
        <v>0</v>
      </c>
      <c r="BF272" s="196">
        <f t="shared" si="290"/>
        <v>0</v>
      </c>
      <c r="BG272" s="196">
        <f t="shared" si="290"/>
        <v>0</v>
      </c>
      <c r="BH272" s="196">
        <f t="shared" si="310"/>
        <v>0</v>
      </c>
      <c r="BI272" s="196">
        <f t="shared" si="291"/>
        <v>0</v>
      </c>
      <c r="BJ272" s="196">
        <f t="shared" si="310"/>
        <v>0</v>
      </c>
      <c r="BK272" s="196">
        <f t="shared" si="292"/>
        <v>0</v>
      </c>
      <c r="BL272" s="196">
        <f t="shared" si="310"/>
        <v>0</v>
      </c>
      <c r="BM272" s="196">
        <f t="shared" si="310"/>
        <v>0</v>
      </c>
      <c r="BO272" s="196">
        <f t="shared" si="310"/>
        <v>0</v>
      </c>
      <c r="BP272" s="196">
        <f t="shared" si="293"/>
        <v>0</v>
      </c>
      <c r="BT272" s="196">
        <f t="shared" si="310"/>
        <v>0</v>
      </c>
      <c r="BU272" s="196">
        <f t="shared" si="310"/>
        <v>0</v>
      </c>
      <c r="BV272" s="196">
        <f t="shared" si="310"/>
        <v>0</v>
      </c>
      <c r="BW272" s="196">
        <f t="shared" si="310"/>
        <v>0</v>
      </c>
      <c r="BX272" s="196">
        <f t="shared" si="310"/>
        <v>0</v>
      </c>
      <c r="BZ272" s="196">
        <f t="shared" si="294"/>
        <v>0</v>
      </c>
      <c r="CA272" s="196">
        <f t="shared" si="294"/>
        <v>0</v>
      </c>
      <c r="CB272" s="196">
        <f t="shared" si="294"/>
        <v>0</v>
      </c>
      <c r="CD272" s="196">
        <f t="shared" si="295"/>
        <v>0</v>
      </c>
      <c r="CE272" s="196">
        <f t="shared" si="295"/>
        <v>0</v>
      </c>
      <c r="CF272" s="196">
        <f t="shared" si="295"/>
        <v>0</v>
      </c>
      <c r="CG272" s="196">
        <f t="shared" si="295"/>
        <v>0</v>
      </c>
    </row>
    <row r="273" spans="1:85" hidden="1" x14ac:dyDescent="0.2">
      <c r="A273" s="195" t="s">
        <v>961</v>
      </c>
      <c r="B273" s="196" t="e">
        <f t="shared" si="280"/>
        <v>#REF!</v>
      </c>
      <c r="C273" s="196">
        <f t="shared" ref="C273:T273" si="311">+C27-C190</f>
        <v>4719</v>
      </c>
      <c r="D273" s="196">
        <f t="shared" si="311"/>
        <v>0</v>
      </c>
      <c r="E273" s="196">
        <f t="shared" ref="E273" si="312">+E27-E190</f>
        <v>0</v>
      </c>
      <c r="F273" s="196">
        <f t="shared" si="311"/>
        <v>0</v>
      </c>
      <c r="G273" s="196">
        <f t="shared" si="311"/>
        <v>0</v>
      </c>
      <c r="H273" s="196">
        <f t="shared" si="311"/>
        <v>0</v>
      </c>
      <c r="I273" s="196">
        <f t="shared" si="311"/>
        <v>0</v>
      </c>
      <c r="J273" s="196">
        <f t="shared" si="311"/>
        <v>0</v>
      </c>
      <c r="K273" s="196">
        <f t="shared" si="311"/>
        <v>0</v>
      </c>
      <c r="L273" s="196">
        <f t="shared" si="311"/>
        <v>0</v>
      </c>
      <c r="M273" s="196">
        <f t="shared" si="311"/>
        <v>0</v>
      </c>
      <c r="N273" s="196" t="e">
        <f>+#REF!-N190</f>
        <v>#REF!</v>
      </c>
      <c r="O273" s="196">
        <f t="shared" si="311"/>
        <v>7193</v>
      </c>
      <c r="P273" s="196">
        <f t="shared" si="311"/>
        <v>0</v>
      </c>
      <c r="Q273" s="196">
        <f t="shared" si="303"/>
        <v>0</v>
      </c>
      <c r="R273" s="196">
        <f t="shared" si="311"/>
        <v>0</v>
      </c>
      <c r="S273" s="196">
        <f t="shared" si="283"/>
        <v>0</v>
      </c>
      <c r="T273" s="196">
        <f t="shared" si="311"/>
        <v>0</v>
      </c>
      <c r="U273" s="196">
        <f t="shared" si="284"/>
        <v>0</v>
      </c>
      <c r="V273" s="196">
        <f t="shared" si="284"/>
        <v>0</v>
      </c>
      <c r="W273" s="196">
        <f t="shared" si="298"/>
        <v>0</v>
      </c>
      <c r="X273" s="196">
        <f t="shared" si="285"/>
        <v>0</v>
      </c>
      <c r="Y273" s="196">
        <f t="shared" si="299"/>
        <v>0</v>
      </c>
      <c r="Z273" s="196">
        <f t="shared" si="299"/>
        <v>0</v>
      </c>
      <c r="AA273" s="196">
        <f t="shared" si="299"/>
        <v>0</v>
      </c>
      <c r="AB273" s="196">
        <f t="shared" si="286"/>
        <v>0</v>
      </c>
      <c r="AF273" s="196">
        <f t="shared" si="287"/>
        <v>0</v>
      </c>
      <c r="AR273" s="196">
        <f t="shared" si="288"/>
        <v>0</v>
      </c>
      <c r="AS273" s="196">
        <f t="shared" si="288"/>
        <v>0</v>
      </c>
      <c r="AT273" s="196">
        <f t="shared" si="288"/>
        <v>0</v>
      </c>
      <c r="AU273" s="196">
        <f t="shared" si="288"/>
        <v>0</v>
      </c>
      <c r="AV273" s="196">
        <f t="shared" si="288"/>
        <v>0</v>
      </c>
      <c r="AW273" s="196">
        <f t="shared" si="288"/>
        <v>0</v>
      </c>
      <c r="AY273" s="196">
        <f t="shared" ref="AY273:BX273" si="313">+AY27-AY190</f>
        <v>0</v>
      </c>
      <c r="AZ273" s="196">
        <f t="shared" si="313"/>
        <v>-135</v>
      </c>
      <c r="BA273" s="196">
        <f t="shared" si="313"/>
        <v>0</v>
      </c>
      <c r="BB273" s="196">
        <f t="shared" si="313"/>
        <v>0</v>
      </c>
      <c r="BD273" s="196">
        <f t="shared" si="313"/>
        <v>0</v>
      </c>
      <c r="BE273" s="196">
        <f t="shared" si="290"/>
        <v>0</v>
      </c>
      <c r="BF273" s="196">
        <f t="shared" si="290"/>
        <v>0</v>
      </c>
      <c r="BG273" s="196">
        <f t="shared" si="290"/>
        <v>0</v>
      </c>
      <c r="BH273" s="196">
        <f t="shared" si="313"/>
        <v>0</v>
      </c>
      <c r="BI273" s="196">
        <f t="shared" si="291"/>
        <v>0</v>
      </c>
      <c r="BJ273" s="196">
        <f t="shared" si="313"/>
        <v>21138</v>
      </c>
      <c r="BK273" s="196">
        <f t="shared" si="292"/>
        <v>0</v>
      </c>
      <c r="BL273" s="196">
        <f t="shared" si="313"/>
        <v>0</v>
      </c>
      <c r="BM273" s="196">
        <f t="shared" si="313"/>
        <v>0</v>
      </c>
      <c r="BO273" s="196">
        <f t="shared" si="313"/>
        <v>0</v>
      </c>
      <c r="BP273" s="196">
        <f t="shared" si="293"/>
        <v>0</v>
      </c>
      <c r="BT273" s="196">
        <f t="shared" si="313"/>
        <v>0</v>
      </c>
      <c r="BU273" s="196">
        <f t="shared" si="313"/>
        <v>0</v>
      </c>
      <c r="BV273" s="196">
        <f t="shared" si="313"/>
        <v>0</v>
      </c>
      <c r="BW273" s="196">
        <f t="shared" si="313"/>
        <v>0</v>
      </c>
      <c r="BX273" s="196">
        <f t="shared" si="313"/>
        <v>0</v>
      </c>
      <c r="BZ273" s="196">
        <f t="shared" si="294"/>
        <v>0</v>
      </c>
      <c r="CA273" s="196">
        <f t="shared" si="294"/>
        <v>0</v>
      </c>
      <c r="CB273" s="196">
        <f t="shared" si="294"/>
        <v>0</v>
      </c>
      <c r="CD273" s="196">
        <f t="shared" si="295"/>
        <v>0</v>
      </c>
      <c r="CE273" s="196">
        <f t="shared" si="295"/>
        <v>0</v>
      </c>
      <c r="CF273" s="196">
        <f t="shared" si="295"/>
        <v>0</v>
      </c>
      <c r="CG273" s="196">
        <f t="shared" si="295"/>
        <v>0</v>
      </c>
    </row>
    <row r="274" spans="1:85" hidden="1" x14ac:dyDescent="0.2">
      <c r="A274" s="195" t="s">
        <v>960</v>
      </c>
      <c r="B274" s="196">
        <f t="shared" si="280"/>
        <v>39261</v>
      </c>
      <c r="C274" s="196">
        <f t="shared" ref="C274:T274" si="314">+C28-C191</f>
        <v>0</v>
      </c>
      <c r="D274" s="196">
        <f t="shared" si="314"/>
        <v>0</v>
      </c>
      <c r="E274" s="196">
        <f t="shared" ref="E274" si="315">+E28-E191</f>
        <v>0</v>
      </c>
      <c r="F274" s="196">
        <f t="shared" si="314"/>
        <v>0</v>
      </c>
      <c r="G274" s="196">
        <f t="shared" si="314"/>
        <v>0</v>
      </c>
      <c r="H274" s="196">
        <f t="shared" si="314"/>
        <v>0</v>
      </c>
      <c r="I274" s="196">
        <f t="shared" si="314"/>
        <v>0</v>
      </c>
      <c r="J274" s="196">
        <f t="shared" si="314"/>
        <v>0</v>
      </c>
      <c r="K274" s="196">
        <f t="shared" si="314"/>
        <v>0</v>
      </c>
      <c r="L274" s="196">
        <f t="shared" si="314"/>
        <v>0</v>
      </c>
      <c r="M274" s="196">
        <f t="shared" si="314"/>
        <v>0</v>
      </c>
      <c r="N274" s="196">
        <f>+N27-N191</f>
        <v>40523</v>
      </c>
      <c r="O274" s="196">
        <f t="shared" si="314"/>
        <v>0</v>
      </c>
      <c r="P274" s="196">
        <f t="shared" si="314"/>
        <v>0</v>
      </c>
      <c r="Q274" s="196">
        <f t="shared" si="303"/>
        <v>0</v>
      </c>
      <c r="R274" s="196">
        <f t="shared" si="314"/>
        <v>-1262</v>
      </c>
      <c r="S274" s="196">
        <f t="shared" si="283"/>
        <v>0</v>
      </c>
      <c r="T274" s="196">
        <f t="shared" si="314"/>
        <v>0</v>
      </c>
      <c r="U274" s="196">
        <f t="shared" si="284"/>
        <v>0</v>
      </c>
      <c r="V274" s="196">
        <f t="shared" si="284"/>
        <v>0</v>
      </c>
      <c r="W274" s="196">
        <f t="shared" si="298"/>
        <v>0</v>
      </c>
      <c r="X274" s="196">
        <f t="shared" si="285"/>
        <v>0</v>
      </c>
      <c r="Y274" s="196">
        <f t="shared" si="299"/>
        <v>0</v>
      </c>
      <c r="Z274" s="196">
        <f t="shared" si="299"/>
        <v>0</v>
      </c>
      <c r="AA274" s="196">
        <f t="shared" si="299"/>
        <v>0</v>
      </c>
      <c r="AB274" s="196">
        <f t="shared" si="286"/>
        <v>0</v>
      </c>
      <c r="AF274" s="196">
        <f t="shared" si="287"/>
        <v>0</v>
      </c>
      <c r="AR274" s="196">
        <f t="shared" si="288"/>
        <v>0</v>
      </c>
      <c r="AS274" s="196">
        <f t="shared" si="288"/>
        <v>0</v>
      </c>
      <c r="AT274" s="196">
        <f t="shared" si="288"/>
        <v>0</v>
      </c>
      <c r="AU274" s="196">
        <f t="shared" si="288"/>
        <v>0</v>
      </c>
      <c r="AV274" s="196">
        <f t="shared" si="288"/>
        <v>0</v>
      </c>
      <c r="AW274" s="196">
        <f t="shared" si="288"/>
        <v>0</v>
      </c>
      <c r="AY274" s="196">
        <f t="shared" ref="AY274:BX274" si="316">+AY28-AY191</f>
        <v>0</v>
      </c>
      <c r="AZ274" s="196">
        <f t="shared" si="316"/>
        <v>0</v>
      </c>
      <c r="BA274" s="196">
        <f t="shared" si="316"/>
        <v>0</v>
      </c>
      <c r="BB274" s="196">
        <f t="shared" si="316"/>
        <v>0</v>
      </c>
      <c r="BD274" s="196">
        <f t="shared" si="316"/>
        <v>0</v>
      </c>
      <c r="BE274" s="196">
        <f t="shared" si="290"/>
        <v>0</v>
      </c>
      <c r="BF274" s="196">
        <f t="shared" si="290"/>
        <v>0</v>
      </c>
      <c r="BG274" s="196">
        <f t="shared" si="290"/>
        <v>0</v>
      </c>
      <c r="BH274" s="196">
        <f t="shared" si="316"/>
        <v>0</v>
      </c>
      <c r="BI274" s="196">
        <f t="shared" si="291"/>
        <v>0</v>
      </c>
      <c r="BJ274" s="196">
        <f t="shared" si="316"/>
        <v>0</v>
      </c>
      <c r="BK274" s="196">
        <f t="shared" si="292"/>
        <v>0</v>
      </c>
      <c r="BL274" s="196">
        <f t="shared" si="316"/>
        <v>0</v>
      </c>
      <c r="BM274" s="196">
        <f t="shared" si="316"/>
        <v>0</v>
      </c>
      <c r="BO274" s="196">
        <f t="shared" si="316"/>
        <v>0</v>
      </c>
      <c r="BP274" s="196">
        <f t="shared" si="293"/>
        <v>0</v>
      </c>
      <c r="BT274" s="196">
        <f t="shared" si="316"/>
        <v>0</v>
      </c>
      <c r="BU274" s="196">
        <f t="shared" si="316"/>
        <v>0</v>
      </c>
      <c r="BV274" s="196">
        <f t="shared" si="316"/>
        <v>0</v>
      </c>
      <c r="BW274" s="196">
        <f t="shared" si="316"/>
        <v>0</v>
      </c>
      <c r="BX274" s="196">
        <f t="shared" si="316"/>
        <v>0</v>
      </c>
      <c r="BZ274" s="196">
        <f t="shared" si="294"/>
        <v>0</v>
      </c>
      <c r="CA274" s="196">
        <f t="shared" si="294"/>
        <v>0</v>
      </c>
      <c r="CB274" s="196">
        <f t="shared" si="294"/>
        <v>0</v>
      </c>
      <c r="CD274" s="196">
        <f t="shared" si="295"/>
        <v>0</v>
      </c>
      <c r="CE274" s="196">
        <f t="shared" si="295"/>
        <v>0</v>
      </c>
      <c r="CF274" s="196">
        <f t="shared" si="295"/>
        <v>0</v>
      </c>
      <c r="CG274" s="196">
        <f t="shared" si="295"/>
        <v>0</v>
      </c>
    </row>
    <row r="275" spans="1:85" hidden="1" x14ac:dyDescent="0.2">
      <c r="A275" s="195" t="s">
        <v>963</v>
      </c>
      <c r="B275" s="196">
        <f t="shared" si="280"/>
        <v>-19564</v>
      </c>
      <c r="C275" s="196">
        <f t="shared" ref="C275:T275" si="317">+C29-C192</f>
        <v>773</v>
      </c>
      <c r="D275" s="196">
        <f t="shared" si="317"/>
        <v>0</v>
      </c>
      <c r="E275" s="196">
        <f t="shared" ref="E275" si="318">+E29-E192</f>
        <v>0</v>
      </c>
      <c r="F275" s="196">
        <f t="shared" si="317"/>
        <v>0</v>
      </c>
      <c r="G275" s="196">
        <f t="shared" si="317"/>
        <v>-70</v>
      </c>
      <c r="H275" s="196">
        <f t="shared" si="317"/>
        <v>0</v>
      </c>
      <c r="I275" s="196">
        <f t="shared" si="317"/>
        <v>0</v>
      </c>
      <c r="J275" s="196">
        <f t="shared" si="317"/>
        <v>0</v>
      </c>
      <c r="K275" s="196">
        <f t="shared" si="317"/>
        <v>0</v>
      </c>
      <c r="L275" s="196">
        <f t="shared" si="317"/>
        <v>0</v>
      </c>
      <c r="M275" s="196">
        <f t="shared" si="317"/>
        <v>0</v>
      </c>
      <c r="N275" s="196">
        <f t="shared" si="317"/>
        <v>0</v>
      </c>
      <c r="O275" s="196">
        <f t="shared" si="317"/>
        <v>108</v>
      </c>
      <c r="P275" s="196">
        <f t="shared" si="317"/>
        <v>0</v>
      </c>
      <c r="Q275" s="196">
        <f t="shared" si="303"/>
        <v>0</v>
      </c>
      <c r="R275" s="196">
        <f t="shared" si="317"/>
        <v>0</v>
      </c>
      <c r="S275" s="196">
        <f t="shared" si="283"/>
        <v>-20336</v>
      </c>
      <c r="T275" s="196">
        <f t="shared" si="317"/>
        <v>0</v>
      </c>
      <c r="U275" s="196">
        <f t="shared" si="284"/>
        <v>0</v>
      </c>
      <c r="V275" s="196">
        <f t="shared" si="284"/>
        <v>0</v>
      </c>
      <c r="W275" s="196">
        <f t="shared" si="298"/>
        <v>0</v>
      </c>
      <c r="X275" s="196">
        <f t="shared" si="285"/>
        <v>0</v>
      </c>
      <c r="Y275" s="196">
        <f t="shared" si="299"/>
        <v>0</v>
      </c>
      <c r="Z275" s="196">
        <f t="shared" si="299"/>
        <v>0</v>
      </c>
      <c r="AA275" s="196">
        <f t="shared" si="299"/>
        <v>0</v>
      </c>
      <c r="AB275" s="196">
        <f t="shared" si="286"/>
        <v>0</v>
      </c>
      <c r="AF275" s="196">
        <f t="shared" si="287"/>
        <v>0</v>
      </c>
      <c r="AR275" s="196">
        <f t="shared" si="288"/>
        <v>0</v>
      </c>
      <c r="AS275" s="196">
        <f t="shared" si="288"/>
        <v>0</v>
      </c>
      <c r="AT275" s="196">
        <f t="shared" si="288"/>
        <v>0</v>
      </c>
      <c r="AU275" s="196">
        <f t="shared" si="288"/>
        <v>0</v>
      </c>
      <c r="AV275" s="196">
        <f t="shared" si="288"/>
        <v>0</v>
      </c>
      <c r="AW275" s="196">
        <f t="shared" si="288"/>
        <v>0</v>
      </c>
      <c r="AY275" s="196">
        <f t="shared" ref="AY275:BX275" si="319">+AY29-AY192</f>
        <v>0</v>
      </c>
      <c r="AZ275" s="196">
        <f t="shared" si="319"/>
        <v>0</v>
      </c>
      <c r="BA275" s="196">
        <f t="shared" si="319"/>
        <v>0</v>
      </c>
      <c r="BB275" s="196">
        <f t="shared" si="319"/>
        <v>0</v>
      </c>
      <c r="BD275" s="196">
        <f t="shared" si="319"/>
        <v>0</v>
      </c>
      <c r="BE275" s="196">
        <f t="shared" si="290"/>
        <v>0</v>
      </c>
      <c r="BF275" s="196">
        <f t="shared" si="290"/>
        <v>-39</v>
      </c>
      <c r="BG275" s="196">
        <f t="shared" si="290"/>
        <v>0</v>
      </c>
      <c r="BH275" s="196">
        <f t="shared" si="319"/>
        <v>0</v>
      </c>
      <c r="BI275" s="196">
        <f t="shared" si="291"/>
        <v>0</v>
      </c>
      <c r="BJ275" s="196">
        <f t="shared" si="319"/>
        <v>0</v>
      </c>
      <c r="BK275" s="196">
        <f t="shared" si="292"/>
        <v>0</v>
      </c>
      <c r="BL275" s="196">
        <f t="shared" si="319"/>
        <v>0</v>
      </c>
      <c r="BM275" s="196">
        <f t="shared" si="319"/>
        <v>0</v>
      </c>
      <c r="BO275" s="196">
        <f t="shared" si="319"/>
        <v>0</v>
      </c>
      <c r="BP275" s="196">
        <f t="shared" si="293"/>
        <v>0</v>
      </c>
      <c r="BT275" s="196">
        <f t="shared" si="319"/>
        <v>0</v>
      </c>
      <c r="BU275" s="196">
        <f t="shared" si="319"/>
        <v>0</v>
      </c>
      <c r="BV275" s="196">
        <f t="shared" si="319"/>
        <v>0</v>
      </c>
      <c r="BW275" s="196">
        <f t="shared" si="319"/>
        <v>0</v>
      </c>
      <c r="BX275" s="196">
        <f t="shared" si="319"/>
        <v>0</v>
      </c>
      <c r="BZ275" s="196">
        <f t="shared" si="294"/>
        <v>0</v>
      </c>
      <c r="CA275" s="196">
        <f t="shared" si="294"/>
        <v>0</v>
      </c>
      <c r="CB275" s="196">
        <f t="shared" si="294"/>
        <v>0</v>
      </c>
      <c r="CD275" s="196">
        <f t="shared" si="295"/>
        <v>0</v>
      </c>
      <c r="CE275" s="196">
        <f t="shared" si="295"/>
        <v>0</v>
      </c>
      <c r="CF275" s="196">
        <f t="shared" si="295"/>
        <v>0</v>
      </c>
      <c r="CG275" s="196">
        <f t="shared" si="295"/>
        <v>0</v>
      </c>
    </row>
    <row r="276" spans="1:85" hidden="1" x14ac:dyDescent="0.2">
      <c r="A276" s="195" t="s">
        <v>959</v>
      </c>
      <c r="B276" s="196">
        <f t="shared" si="280"/>
        <v>-71</v>
      </c>
      <c r="C276" s="196">
        <f t="shared" ref="C276:T276" si="320">+C30-C193</f>
        <v>0</v>
      </c>
      <c r="D276" s="196">
        <f t="shared" si="320"/>
        <v>0</v>
      </c>
      <c r="E276" s="196">
        <f t="shared" ref="E276" si="321">+E30-E193</f>
        <v>1</v>
      </c>
      <c r="F276" s="196">
        <f t="shared" si="320"/>
        <v>1</v>
      </c>
      <c r="G276" s="196">
        <f t="shared" si="320"/>
        <v>0</v>
      </c>
      <c r="H276" s="196">
        <f t="shared" si="320"/>
        <v>0</v>
      </c>
      <c r="I276" s="196">
        <f t="shared" si="320"/>
        <v>0</v>
      </c>
      <c r="J276" s="196">
        <f t="shared" si="320"/>
        <v>0</v>
      </c>
      <c r="K276" s="196">
        <f t="shared" si="320"/>
        <v>0</v>
      </c>
      <c r="L276" s="196">
        <f t="shared" si="320"/>
        <v>0</v>
      </c>
      <c r="M276" s="196">
        <f t="shared" si="320"/>
        <v>0</v>
      </c>
      <c r="N276" s="196">
        <f t="shared" si="320"/>
        <v>0</v>
      </c>
      <c r="O276" s="196">
        <f t="shared" si="320"/>
        <v>-73</v>
      </c>
      <c r="P276" s="196">
        <f t="shared" si="320"/>
        <v>0</v>
      </c>
      <c r="Q276" s="196">
        <f t="shared" si="303"/>
        <v>0</v>
      </c>
      <c r="R276" s="196">
        <f t="shared" si="320"/>
        <v>0</v>
      </c>
      <c r="S276" s="196">
        <f t="shared" si="283"/>
        <v>0</v>
      </c>
      <c r="T276" s="196">
        <f t="shared" si="320"/>
        <v>0</v>
      </c>
      <c r="U276" s="196">
        <f t="shared" si="284"/>
        <v>0</v>
      </c>
      <c r="V276" s="196">
        <f t="shared" si="284"/>
        <v>0</v>
      </c>
      <c r="W276" s="196">
        <f t="shared" si="298"/>
        <v>0</v>
      </c>
      <c r="X276" s="196">
        <f t="shared" si="285"/>
        <v>0</v>
      </c>
      <c r="Y276" s="196">
        <f t="shared" si="299"/>
        <v>0</v>
      </c>
      <c r="Z276" s="196">
        <f t="shared" si="299"/>
        <v>0</v>
      </c>
      <c r="AA276" s="196">
        <f t="shared" si="299"/>
        <v>0</v>
      </c>
      <c r="AB276" s="196">
        <f t="shared" si="286"/>
        <v>0</v>
      </c>
      <c r="AF276" s="196">
        <f t="shared" si="287"/>
        <v>0</v>
      </c>
      <c r="AR276" s="196">
        <f t="shared" si="288"/>
        <v>0</v>
      </c>
      <c r="AS276" s="196">
        <f t="shared" si="288"/>
        <v>0</v>
      </c>
      <c r="AT276" s="196">
        <f t="shared" si="288"/>
        <v>0</v>
      </c>
      <c r="AU276" s="196">
        <f t="shared" si="288"/>
        <v>0</v>
      </c>
      <c r="AV276" s="196">
        <f t="shared" si="288"/>
        <v>0</v>
      </c>
      <c r="AW276" s="196">
        <f t="shared" si="288"/>
        <v>0</v>
      </c>
      <c r="AY276" s="196">
        <f t="shared" ref="AY276:BX276" si="322">+AY30-AY193</f>
        <v>0</v>
      </c>
      <c r="AZ276" s="196">
        <f t="shared" si="322"/>
        <v>0</v>
      </c>
      <c r="BA276" s="196">
        <f t="shared" si="322"/>
        <v>0</v>
      </c>
      <c r="BB276" s="196">
        <f t="shared" si="322"/>
        <v>0</v>
      </c>
      <c r="BD276" s="196">
        <f t="shared" si="322"/>
        <v>0</v>
      </c>
      <c r="BE276" s="196">
        <f t="shared" si="290"/>
        <v>0</v>
      </c>
      <c r="BF276" s="196">
        <f t="shared" si="290"/>
        <v>0</v>
      </c>
      <c r="BG276" s="196">
        <f t="shared" si="290"/>
        <v>0</v>
      </c>
      <c r="BH276" s="196">
        <f t="shared" si="322"/>
        <v>0</v>
      </c>
      <c r="BI276" s="196">
        <f t="shared" si="291"/>
        <v>0</v>
      </c>
      <c r="BJ276" s="196">
        <f t="shared" si="322"/>
        <v>0</v>
      </c>
      <c r="BK276" s="196">
        <f t="shared" si="292"/>
        <v>0</v>
      </c>
      <c r="BL276" s="196">
        <f t="shared" si="322"/>
        <v>0</v>
      </c>
      <c r="BM276" s="196">
        <f t="shared" si="322"/>
        <v>0</v>
      </c>
      <c r="BO276" s="196">
        <f t="shared" si="322"/>
        <v>0</v>
      </c>
      <c r="BP276" s="196">
        <f t="shared" si="293"/>
        <v>0</v>
      </c>
      <c r="BT276" s="196">
        <f t="shared" si="322"/>
        <v>0</v>
      </c>
      <c r="BU276" s="196">
        <f t="shared" si="322"/>
        <v>0</v>
      </c>
      <c r="BV276" s="196">
        <f t="shared" si="322"/>
        <v>0</v>
      </c>
      <c r="BW276" s="196">
        <f t="shared" si="322"/>
        <v>0</v>
      </c>
      <c r="BX276" s="196">
        <f t="shared" si="322"/>
        <v>0</v>
      </c>
      <c r="BZ276" s="196">
        <f t="shared" si="294"/>
        <v>0</v>
      </c>
      <c r="CA276" s="196">
        <f t="shared" si="294"/>
        <v>0</v>
      </c>
      <c r="CB276" s="196">
        <f t="shared" si="294"/>
        <v>0</v>
      </c>
      <c r="CD276" s="196">
        <f t="shared" si="295"/>
        <v>0</v>
      </c>
      <c r="CE276" s="196">
        <f t="shared" si="295"/>
        <v>0</v>
      </c>
      <c r="CF276" s="196">
        <f t="shared" si="295"/>
        <v>0</v>
      </c>
      <c r="CG276" s="196">
        <f t="shared" si="295"/>
        <v>0</v>
      </c>
    </row>
    <row r="277" spans="1:85" hidden="1" x14ac:dyDescent="0.2">
      <c r="A277" s="195" t="s">
        <v>1052</v>
      </c>
      <c r="B277" s="196">
        <f t="shared" si="280"/>
        <v>95</v>
      </c>
      <c r="C277" s="196">
        <f t="shared" ref="C277:T277" si="323">+C32-C194</f>
        <v>0</v>
      </c>
      <c r="D277" s="196">
        <f t="shared" si="323"/>
        <v>0</v>
      </c>
      <c r="E277" s="196">
        <f t="shared" ref="E277" si="324">+E32-E194</f>
        <v>0</v>
      </c>
      <c r="F277" s="196">
        <f t="shared" si="323"/>
        <v>0</v>
      </c>
      <c r="G277" s="196">
        <f t="shared" si="323"/>
        <v>0</v>
      </c>
      <c r="H277" s="196">
        <f t="shared" si="323"/>
        <v>0</v>
      </c>
      <c r="I277" s="196">
        <f t="shared" si="323"/>
        <v>0</v>
      </c>
      <c r="J277" s="196">
        <f t="shared" si="323"/>
        <v>0</v>
      </c>
      <c r="K277" s="196">
        <f t="shared" si="323"/>
        <v>0</v>
      </c>
      <c r="L277" s="196">
        <f t="shared" si="323"/>
        <v>0</v>
      </c>
      <c r="M277" s="196">
        <f t="shared" si="323"/>
        <v>0</v>
      </c>
      <c r="N277" s="196">
        <f t="shared" si="323"/>
        <v>-4</v>
      </c>
      <c r="O277" s="196">
        <f t="shared" si="323"/>
        <v>-2578</v>
      </c>
      <c r="P277" s="196">
        <f t="shared" si="323"/>
        <v>0</v>
      </c>
      <c r="Q277" s="196">
        <f>+Q32-Q194</f>
        <v>0</v>
      </c>
      <c r="R277" s="196">
        <f t="shared" si="323"/>
        <v>0</v>
      </c>
      <c r="S277" s="196">
        <f>+S32-S194</f>
        <v>0</v>
      </c>
      <c r="T277" s="196">
        <f t="shared" si="323"/>
        <v>0</v>
      </c>
      <c r="U277" s="196">
        <f t="shared" ref="U277:AB277" si="325">+U32-U194</f>
        <v>0</v>
      </c>
      <c r="V277" s="196">
        <f>+V32-V194</f>
        <v>0</v>
      </c>
      <c r="W277" s="196">
        <f t="shared" si="325"/>
        <v>0</v>
      </c>
      <c r="X277" s="196">
        <f t="shared" si="325"/>
        <v>0</v>
      </c>
      <c r="Y277" s="196">
        <f t="shared" si="325"/>
        <v>0</v>
      </c>
      <c r="Z277" s="196">
        <f t="shared" si="325"/>
        <v>0</v>
      </c>
      <c r="AA277" s="196">
        <f t="shared" si="325"/>
        <v>0</v>
      </c>
      <c r="AB277" s="196">
        <f t="shared" si="325"/>
        <v>0</v>
      </c>
      <c r="AF277" s="196">
        <f>+AF32-AF194</f>
        <v>0</v>
      </c>
      <c r="AR277" s="196">
        <f t="shared" ref="AR277:AW277" si="326">+AR32-AR194</f>
        <v>0</v>
      </c>
      <c r="AS277" s="196">
        <f t="shared" si="326"/>
        <v>0</v>
      </c>
      <c r="AT277" s="196">
        <f t="shared" si="326"/>
        <v>0</v>
      </c>
      <c r="AU277" s="196">
        <f t="shared" si="326"/>
        <v>0</v>
      </c>
      <c r="AV277" s="196">
        <f t="shared" si="326"/>
        <v>0</v>
      </c>
      <c r="AW277" s="196">
        <f t="shared" si="326"/>
        <v>0</v>
      </c>
      <c r="AY277" s="196">
        <f t="shared" ref="AY277:BX277" si="327">+AY32-AY194</f>
        <v>0</v>
      </c>
      <c r="AZ277" s="196">
        <f t="shared" si="327"/>
        <v>0</v>
      </c>
      <c r="BA277" s="196">
        <f t="shared" si="327"/>
        <v>0</v>
      </c>
      <c r="BB277" s="196">
        <f t="shared" si="327"/>
        <v>0</v>
      </c>
      <c r="BD277" s="196">
        <f t="shared" si="327"/>
        <v>0</v>
      </c>
      <c r="BE277" s="196">
        <f>+BE32-BE194</f>
        <v>20</v>
      </c>
      <c r="BF277" s="196">
        <f>+BF32-BF194</f>
        <v>0</v>
      </c>
      <c r="BG277" s="196">
        <f>+BG32-BG194</f>
        <v>0</v>
      </c>
      <c r="BH277" s="196">
        <f t="shared" si="327"/>
        <v>0</v>
      </c>
      <c r="BI277" s="196">
        <f>+BI32-BI194</f>
        <v>0</v>
      </c>
      <c r="BJ277" s="196">
        <f t="shared" si="327"/>
        <v>0</v>
      </c>
      <c r="BK277" s="196">
        <f>+BK32-BK194</f>
        <v>0</v>
      </c>
      <c r="BL277" s="196">
        <f t="shared" si="327"/>
        <v>0</v>
      </c>
      <c r="BM277" s="196">
        <f t="shared" si="327"/>
        <v>0</v>
      </c>
      <c r="BO277" s="196">
        <f t="shared" si="327"/>
        <v>0</v>
      </c>
      <c r="BP277" s="196">
        <f>+BP32-BP194</f>
        <v>2657</v>
      </c>
      <c r="BT277" s="196">
        <f t="shared" si="327"/>
        <v>0</v>
      </c>
      <c r="BU277" s="196">
        <f t="shared" si="327"/>
        <v>0</v>
      </c>
      <c r="BV277" s="196">
        <f t="shared" si="327"/>
        <v>0</v>
      </c>
      <c r="BW277" s="196">
        <f t="shared" si="327"/>
        <v>0</v>
      </c>
      <c r="BX277" s="196">
        <f t="shared" si="327"/>
        <v>0</v>
      </c>
      <c r="BZ277" s="196">
        <f>+BZ32-BZ194</f>
        <v>0</v>
      </c>
      <c r="CA277" s="196">
        <f>+CA32-CA194</f>
        <v>0</v>
      </c>
      <c r="CB277" s="196">
        <f>+CB32-CB194</f>
        <v>0</v>
      </c>
      <c r="CD277" s="196">
        <f>CD32-CD196</f>
        <v>0</v>
      </c>
      <c r="CE277" s="196">
        <f>CE32-CE196</f>
        <v>0</v>
      </c>
      <c r="CF277" s="196">
        <f>CF32-CF196</f>
        <v>0</v>
      </c>
      <c r="CG277" s="196">
        <f>CG32-CG196</f>
        <v>0</v>
      </c>
    </row>
    <row r="278" spans="1:85" s="201" customFormat="1" hidden="1" x14ac:dyDescent="0.2">
      <c r="A278" s="198" t="s">
        <v>926</v>
      </c>
      <c r="B278" s="199" t="e">
        <f t="shared" ref="B278:BZ278" si="328">SUM(B268:B277)</f>
        <v>#REF!</v>
      </c>
      <c r="C278" s="199">
        <f t="shared" si="328"/>
        <v>6220</v>
      </c>
      <c r="D278" s="199">
        <f t="shared" si="328"/>
        <v>0</v>
      </c>
      <c r="E278" s="199">
        <f>SUM(E268:E277)</f>
        <v>-192</v>
      </c>
      <c r="F278" s="199">
        <f>SUM(F268:F277)</f>
        <v>-192</v>
      </c>
      <c r="G278" s="199">
        <f t="shared" si="328"/>
        <v>-70</v>
      </c>
      <c r="H278" s="199">
        <f t="shared" si="328"/>
        <v>0</v>
      </c>
      <c r="I278" s="199">
        <f t="shared" si="328"/>
        <v>0</v>
      </c>
      <c r="J278" s="199">
        <f t="shared" si="328"/>
        <v>0</v>
      </c>
      <c r="K278" s="199">
        <f t="shared" si="328"/>
        <v>0</v>
      </c>
      <c r="L278" s="199">
        <f t="shared" si="328"/>
        <v>-10901</v>
      </c>
      <c r="M278" s="199">
        <f t="shared" si="328"/>
        <v>0</v>
      </c>
      <c r="N278" s="199" t="e">
        <f t="shared" si="328"/>
        <v>#REF!</v>
      </c>
      <c r="O278" s="199">
        <f t="shared" si="328"/>
        <v>12334</v>
      </c>
      <c r="P278" s="199">
        <f t="shared" si="328"/>
        <v>0</v>
      </c>
      <c r="Q278" s="199">
        <f>SUM(Q268:Q277)</f>
        <v>63659</v>
      </c>
      <c r="R278" s="199">
        <f t="shared" si="328"/>
        <v>-1262</v>
      </c>
      <c r="S278" s="199">
        <f>SUM(S268:S277)</f>
        <v>-20336</v>
      </c>
      <c r="T278" s="199">
        <f t="shared" si="328"/>
        <v>11356</v>
      </c>
      <c r="U278" s="199">
        <f>SUM(U268:U277)</f>
        <v>3229</v>
      </c>
      <c r="V278" s="199">
        <f>SUM(V268:V277)</f>
        <v>0</v>
      </c>
      <c r="W278" s="199">
        <f t="shared" si="328"/>
        <v>24531</v>
      </c>
      <c r="X278" s="199">
        <f>SUM(X268:X277)</f>
        <v>0</v>
      </c>
      <c r="Y278" s="199">
        <f t="shared" si="328"/>
        <v>0</v>
      </c>
      <c r="Z278" s="199">
        <f t="shared" si="328"/>
        <v>0</v>
      </c>
      <c r="AA278" s="199">
        <f t="shared" si="328"/>
        <v>0</v>
      </c>
      <c r="AB278" s="199">
        <f>SUM(AB268:AB277)</f>
        <v>0</v>
      </c>
      <c r="AC278" s="199"/>
      <c r="AD278" s="199"/>
      <c r="AE278" s="199"/>
      <c r="AF278" s="199">
        <f>SUM(AF268:AF277)</f>
        <v>0</v>
      </c>
      <c r="AG278" s="199"/>
      <c r="AH278" s="199"/>
      <c r="AI278" s="199"/>
      <c r="AJ278" s="199"/>
      <c r="AK278" s="199"/>
      <c r="AL278" s="199"/>
      <c r="AM278" s="199"/>
      <c r="AN278" s="199"/>
      <c r="AO278" s="199"/>
      <c r="AP278" s="199"/>
      <c r="AQ278" s="199"/>
      <c r="AR278" s="199">
        <f t="shared" si="328"/>
        <v>0</v>
      </c>
      <c r="AS278" s="199">
        <f t="shared" si="328"/>
        <v>0</v>
      </c>
      <c r="AT278" s="199">
        <f t="shared" si="328"/>
        <v>0</v>
      </c>
      <c r="AU278" s="199">
        <f t="shared" si="328"/>
        <v>0</v>
      </c>
      <c r="AV278" s="199">
        <f t="shared" si="328"/>
        <v>0</v>
      </c>
      <c r="AW278" s="199">
        <f>SUM(AW268:AW277)</f>
        <v>0</v>
      </c>
      <c r="AX278" s="199"/>
      <c r="AY278" s="199">
        <f t="shared" si="328"/>
        <v>0</v>
      </c>
      <c r="AZ278" s="199">
        <f t="shared" si="328"/>
        <v>-135</v>
      </c>
      <c r="BA278" s="199">
        <f t="shared" si="328"/>
        <v>0</v>
      </c>
      <c r="BB278" s="199">
        <f t="shared" si="328"/>
        <v>0</v>
      </c>
      <c r="BC278" s="199"/>
      <c r="BD278" s="199">
        <f t="shared" ref="BD278:BO278" si="329">SUM(BD268:BD277)</f>
        <v>0</v>
      </c>
      <c r="BE278" s="199">
        <f>SUM(BE268:BE277)</f>
        <v>20</v>
      </c>
      <c r="BF278" s="199">
        <f>SUM(BF268:BF277)</f>
        <v>-39</v>
      </c>
      <c r="BG278" s="199">
        <f>SUM(BG268:BG277)</f>
        <v>0</v>
      </c>
      <c r="BH278" s="199">
        <f t="shared" si="329"/>
        <v>0</v>
      </c>
      <c r="BI278" s="199">
        <f>SUM(BI268:BI277)</f>
        <v>0</v>
      </c>
      <c r="BJ278" s="199">
        <f t="shared" si="329"/>
        <v>21138</v>
      </c>
      <c r="BK278" s="199">
        <f>SUM(BK268:BK277)</f>
        <v>0</v>
      </c>
      <c r="BL278" s="199">
        <f t="shared" si="329"/>
        <v>0</v>
      </c>
      <c r="BM278" s="199">
        <f t="shared" si="329"/>
        <v>0</v>
      </c>
      <c r="BN278" s="199"/>
      <c r="BO278" s="199">
        <f t="shared" si="329"/>
        <v>0</v>
      </c>
      <c r="BP278" s="199">
        <f>SUM(BP268:BP277)</f>
        <v>2657</v>
      </c>
      <c r="BQ278" s="199"/>
      <c r="BR278" s="199"/>
      <c r="BS278" s="199"/>
      <c r="BT278" s="199">
        <f t="shared" si="328"/>
        <v>0</v>
      </c>
      <c r="BU278" s="199">
        <f t="shared" si="328"/>
        <v>0</v>
      </c>
      <c r="BV278" s="199">
        <f t="shared" si="328"/>
        <v>0</v>
      </c>
      <c r="BW278" s="199">
        <f t="shared" si="328"/>
        <v>0</v>
      </c>
      <c r="BX278" s="199">
        <f t="shared" si="328"/>
        <v>0</v>
      </c>
      <c r="BY278" s="199"/>
      <c r="BZ278" s="199">
        <f t="shared" si="328"/>
        <v>0</v>
      </c>
      <c r="CA278" s="199">
        <f>SUM(CA268:CA277)</f>
        <v>0</v>
      </c>
      <c r="CB278" s="199">
        <f>SUM(CB268:CB277)</f>
        <v>0</v>
      </c>
      <c r="CC278" s="200"/>
      <c r="CD278" s="199">
        <f>SUM(CD268:CD277)</f>
        <v>0</v>
      </c>
      <c r="CE278" s="199">
        <f>SUM(CE268:CE277)</f>
        <v>0</v>
      </c>
      <c r="CF278" s="199">
        <f>SUM(CF268:CF277)</f>
        <v>0</v>
      </c>
      <c r="CG278" s="199">
        <f>SUM(CG268:CG277)</f>
        <v>0</v>
      </c>
    </row>
    <row r="279" spans="1:85" hidden="1" x14ac:dyDescent="0.2">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7"/>
      <c r="AI279" s="197"/>
      <c r="AJ279" s="197"/>
      <c r="AK279" s="197"/>
      <c r="AL279" s="197"/>
      <c r="AM279" s="197"/>
      <c r="AN279" s="197"/>
      <c r="AO279" s="197"/>
      <c r="AP279" s="197"/>
      <c r="AQ279" s="197"/>
      <c r="AR279" s="197"/>
      <c r="AS279" s="197"/>
      <c r="AT279" s="197"/>
      <c r="AU279" s="197"/>
      <c r="AV279" s="197"/>
      <c r="AW279" s="197"/>
      <c r="AX279" s="197"/>
      <c r="AY279" s="197"/>
      <c r="AZ279" s="197"/>
      <c r="BA279" s="197"/>
      <c r="BB279" s="197"/>
      <c r="BC279" s="197"/>
      <c r="BD279" s="197"/>
      <c r="BE279" s="197"/>
      <c r="BF279" s="197"/>
      <c r="BG279" s="197"/>
      <c r="BH279" s="197"/>
      <c r="BI279" s="197"/>
      <c r="BJ279" s="197"/>
      <c r="BK279" s="197"/>
      <c r="BL279" s="197"/>
      <c r="BM279" s="197"/>
      <c r="BN279" s="197"/>
      <c r="BO279" s="197"/>
      <c r="BP279" s="197"/>
      <c r="BQ279" s="197"/>
      <c r="BR279" s="197"/>
      <c r="BS279" s="197"/>
      <c r="BT279" s="197"/>
      <c r="BU279" s="197"/>
      <c r="BV279" s="197"/>
      <c r="BW279" s="197"/>
      <c r="BX279" s="197"/>
      <c r="BY279" s="197"/>
      <c r="BZ279" s="197"/>
      <c r="CA279" s="197"/>
      <c r="CB279" s="197"/>
      <c r="CD279" s="197"/>
      <c r="CE279" s="197"/>
      <c r="CF279" s="197"/>
      <c r="CG279" s="197"/>
    </row>
    <row r="280" spans="1:85" s="192" customFormat="1" hidden="1" x14ac:dyDescent="0.2">
      <c r="A280" s="193" t="s">
        <v>927</v>
      </c>
      <c r="B280" s="194"/>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AW280" s="194"/>
      <c r="AX280" s="194"/>
      <c r="AY280" s="194"/>
      <c r="AZ280" s="194"/>
      <c r="BA280" s="194"/>
      <c r="BB280" s="194"/>
      <c r="BC280" s="194"/>
      <c r="BD280" s="194"/>
      <c r="BE280" s="194"/>
      <c r="BF280" s="194"/>
      <c r="BG280" s="194"/>
      <c r="BH280" s="194"/>
      <c r="BI280" s="194"/>
      <c r="BJ280" s="194"/>
      <c r="BK280" s="194"/>
      <c r="BL280" s="194"/>
      <c r="BM280" s="194"/>
      <c r="BN280" s="194"/>
      <c r="BO280" s="194"/>
      <c r="BP280" s="194"/>
      <c r="BQ280" s="194"/>
      <c r="BR280" s="194"/>
      <c r="BS280" s="194"/>
      <c r="BT280" s="194"/>
      <c r="BU280" s="194"/>
      <c r="BV280" s="194"/>
      <c r="BW280" s="194"/>
      <c r="BX280" s="194"/>
      <c r="BY280" s="194"/>
      <c r="BZ280" s="194"/>
      <c r="CA280" s="194"/>
      <c r="CB280" s="194"/>
      <c r="CC280" s="191"/>
      <c r="CD280" s="194"/>
      <c r="CE280" s="194"/>
      <c r="CF280" s="194"/>
      <c r="CG280" s="194"/>
    </row>
    <row r="281" spans="1:85" hidden="1" x14ac:dyDescent="0.2">
      <c r="A281" s="195" t="s">
        <v>953</v>
      </c>
      <c r="B281" s="196">
        <f t="shared" ref="B281:B291" si="330">SUM(C281:CB281)</f>
        <v>14039</v>
      </c>
      <c r="C281" s="196">
        <f t="shared" ref="C281:AA281" si="331">+C37-C198</f>
        <v>0</v>
      </c>
      <c r="D281" s="196">
        <f t="shared" si="331"/>
        <v>0</v>
      </c>
      <c r="E281" s="196">
        <f t="shared" ref="E281" si="332">+E37-E198</f>
        <v>7697</v>
      </c>
      <c r="F281" s="196">
        <f t="shared" si="331"/>
        <v>6559</v>
      </c>
      <c r="G281" s="196">
        <f t="shared" si="331"/>
        <v>-325</v>
      </c>
      <c r="H281" s="196">
        <f t="shared" si="331"/>
        <v>0</v>
      </c>
      <c r="I281" s="196">
        <f t="shared" si="331"/>
        <v>0</v>
      </c>
      <c r="J281" s="196">
        <f t="shared" si="331"/>
        <v>0</v>
      </c>
      <c r="K281" s="196">
        <f t="shared" si="331"/>
        <v>0</v>
      </c>
      <c r="L281" s="196">
        <f t="shared" si="331"/>
        <v>0</v>
      </c>
      <c r="M281" s="196">
        <f t="shared" si="331"/>
        <v>0</v>
      </c>
      <c r="N281" s="196">
        <f t="shared" si="331"/>
        <v>0</v>
      </c>
      <c r="O281" s="196">
        <f t="shared" si="331"/>
        <v>108</v>
      </c>
      <c r="P281" s="196">
        <f t="shared" si="331"/>
        <v>0</v>
      </c>
      <c r="Q281" s="196">
        <f t="shared" ref="Q281:Q289" si="333">+Q37-Q198</f>
        <v>0</v>
      </c>
      <c r="R281" s="196">
        <f t="shared" si="331"/>
        <v>0</v>
      </c>
      <c r="S281" s="196">
        <f t="shared" ref="S281:S289" si="334">+S37-S198</f>
        <v>0</v>
      </c>
      <c r="T281" s="196">
        <f t="shared" si="331"/>
        <v>0</v>
      </c>
      <c r="U281" s="196">
        <f t="shared" ref="U281:V289" si="335">+U37-U198</f>
        <v>0</v>
      </c>
      <c r="V281" s="196">
        <f t="shared" si="335"/>
        <v>0</v>
      </c>
      <c r="W281" s="196">
        <f t="shared" si="331"/>
        <v>0</v>
      </c>
      <c r="X281" s="196">
        <f t="shared" ref="X281:X289" si="336">+X37-X198</f>
        <v>0</v>
      </c>
      <c r="Y281" s="196">
        <f t="shared" si="331"/>
        <v>0</v>
      </c>
      <c r="Z281" s="196">
        <f t="shared" si="331"/>
        <v>0</v>
      </c>
      <c r="AA281" s="196">
        <f t="shared" si="331"/>
        <v>0</v>
      </c>
      <c r="AB281" s="196">
        <f t="shared" ref="AB281:AB289" si="337">+AB37-AB198</f>
        <v>0</v>
      </c>
      <c r="AF281" s="196">
        <f t="shared" ref="AF281:AF289" si="338">+AF37-AF198</f>
        <v>0</v>
      </c>
      <c r="AR281" s="196">
        <f t="shared" ref="AR281:AW289" si="339">+AR37-AR198</f>
        <v>0</v>
      </c>
      <c r="AS281" s="196">
        <f t="shared" si="339"/>
        <v>0</v>
      </c>
      <c r="AT281" s="196">
        <f t="shared" si="339"/>
        <v>0</v>
      </c>
      <c r="AU281" s="196">
        <f t="shared" si="339"/>
        <v>0</v>
      </c>
      <c r="AV281" s="196">
        <f t="shared" si="339"/>
        <v>0</v>
      </c>
      <c r="AW281" s="196">
        <f t="shared" si="339"/>
        <v>0</v>
      </c>
      <c r="AY281" s="196">
        <f t="shared" ref="AY281:BX281" si="340">+AY37-AY198</f>
        <v>0</v>
      </c>
      <c r="AZ281" s="196">
        <f t="shared" si="340"/>
        <v>0</v>
      </c>
      <c r="BA281" s="196">
        <f t="shared" si="340"/>
        <v>0</v>
      </c>
      <c r="BB281" s="196">
        <f t="shared" si="340"/>
        <v>0</v>
      </c>
      <c r="BD281" s="196">
        <f t="shared" si="340"/>
        <v>0</v>
      </c>
      <c r="BE281" s="196">
        <f t="shared" ref="BE281:BG289" si="341">+BE37-BE198</f>
        <v>0</v>
      </c>
      <c r="BF281" s="196">
        <f t="shared" si="341"/>
        <v>0</v>
      </c>
      <c r="BG281" s="196">
        <f t="shared" si="341"/>
        <v>0</v>
      </c>
      <c r="BH281" s="196">
        <f t="shared" si="340"/>
        <v>0</v>
      </c>
      <c r="BI281" s="196">
        <f t="shared" ref="BI281:BI289" si="342">+BI37-BI198</f>
        <v>0</v>
      </c>
      <c r="BJ281" s="196">
        <f t="shared" si="340"/>
        <v>0</v>
      </c>
      <c r="BK281" s="196">
        <f t="shared" ref="BK281:BK289" si="343">+BK37-BK198</f>
        <v>0</v>
      </c>
      <c r="BL281" s="196">
        <f t="shared" si="340"/>
        <v>0</v>
      </c>
      <c r="BM281" s="196">
        <f t="shared" si="340"/>
        <v>0</v>
      </c>
      <c r="BO281" s="196">
        <f t="shared" si="340"/>
        <v>0</v>
      </c>
      <c r="BP281" s="196">
        <f t="shared" ref="BP281:BP289" si="344">+BP37-BP198</f>
        <v>0</v>
      </c>
      <c r="BT281" s="196">
        <f t="shared" si="340"/>
        <v>0</v>
      </c>
      <c r="BU281" s="196">
        <f t="shared" si="340"/>
        <v>0</v>
      </c>
      <c r="BV281" s="196">
        <f t="shared" si="340"/>
        <v>0</v>
      </c>
      <c r="BW281" s="196">
        <f t="shared" si="340"/>
        <v>0</v>
      </c>
      <c r="BX281" s="196">
        <f t="shared" si="340"/>
        <v>0</v>
      </c>
      <c r="BZ281" s="196">
        <f t="shared" ref="BZ281:CB289" si="345">+BZ37-BZ198</f>
        <v>0</v>
      </c>
      <c r="CA281" s="196">
        <f t="shared" si="345"/>
        <v>0</v>
      </c>
      <c r="CB281" s="196">
        <f t="shared" si="345"/>
        <v>0</v>
      </c>
      <c r="CD281" s="196">
        <f t="shared" ref="CD281:CG284" si="346">CD37-CD200</f>
        <v>0</v>
      </c>
      <c r="CE281" s="196">
        <f t="shared" si="346"/>
        <v>0</v>
      </c>
      <c r="CF281" s="196">
        <f t="shared" si="346"/>
        <v>0</v>
      </c>
      <c r="CG281" s="196">
        <f t="shared" si="346"/>
        <v>0</v>
      </c>
    </row>
    <row r="282" spans="1:85" hidden="1" x14ac:dyDescent="0.2">
      <c r="A282" s="195" t="s">
        <v>954</v>
      </c>
      <c r="B282" s="196">
        <f t="shared" si="330"/>
        <v>91086</v>
      </c>
      <c r="C282" s="196">
        <f t="shared" ref="C282:AA282" si="347">+C38-C199</f>
        <v>95005</v>
      </c>
      <c r="D282" s="196">
        <f t="shared" si="347"/>
        <v>0</v>
      </c>
      <c r="E282" s="196">
        <f t="shared" ref="E282" si="348">+E38-E199</f>
        <v>-10141</v>
      </c>
      <c r="F282" s="196">
        <f t="shared" si="347"/>
        <v>5444</v>
      </c>
      <c r="G282" s="196">
        <f t="shared" si="347"/>
        <v>-87</v>
      </c>
      <c r="H282" s="196">
        <f t="shared" si="347"/>
        <v>1071</v>
      </c>
      <c r="I282" s="196">
        <f t="shared" si="347"/>
        <v>0</v>
      </c>
      <c r="J282" s="196">
        <f t="shared" si="347"/>
        <v>0</v>
      </c>
      <c r="K282" s="196">
        <f t="shared" si="347"/>
        <v>0</v>
      </c>
      <c r="L282" s="196">
        <f t="shared" si="347"/>
        <v>0</v>
      </c>
      <c r="M282" s="196">
        <f t="shared" si="347"/>
        <v>0</v>
      </c>
      <c r="N282" s="196">
        <f t="shared" si="347"/>
        <v>0</v>
      </c>
      <c r="O282" s="196">
        <f t="shared" si="347"/>
        <v>-206</v>
      </c>
      <c r="P282" s="196">
        <f t="shared" si="347"/>
        <v>0</v>
      </c>
      <c r="Q282" s="196">
        <f t="shared" si="333"/>
        <v>0</v>
      </c>
      <c r="R282" s="196">
        <f t="shared" si="347"/>
        <v>0</v>
      </c>
      <c r="S282" s="196">
        <f t="shared" si="334"/>
        <v>0</v>
      </c>
      <c r="T282" s="196">
        <f t="shared" si="347"/>
        <v>0</v>
      </c>
      <c r="U282" s="196">
        <f t="shared" si="335"/>
        <v>0</v>
      </c>
      <c r="V282" s="196">
        <f t="shared" si="335"/>
        <v>0</v>
      </c>
      <c r="W282" s="196">
        <f t="shared" si="347"/>
        <v>0</v>
      </c>
      <c r="X282" s="196">
        <f t="shared" si="336"/>
        <v>0</v>
      </c>
      <c r="Y282" s="196">
        <f t="shared" si="347"/>
        <v>0</v>
      </c>
      <c r="Z282" s="196">
        <f t="shared" si="347"/>
        <v>0</v>
      </c>
      <c r="AA282" s="196">
        <f t="shared" si="347"/>
        <v>0</v>
      </c>
      <c r="AB282" s="196">
        <f t="shared" si="337"/>
        <v>0</v>
      </c>
      <c r="AF282" s="196">
        <f t="shared" si="338"/>
        <v>0</v>
      </c>
      <c r="AR282" s="196">
        <f t="shared" si="339"/>
        <v>0</v>
      </c>
      <c r="AS282" s="196">
        <f t="shared" si="339"/>
        <v>0</v>
      </c>
      <c r="AT282" s="196">
        <f t="shared" si="339"/>
        <v>0</v>
      </c>
      <c r="AU282" s="196">
        <f t="shared" si="339"/>
        <v>0</v>
      </c>
      <c r="AV282" s="196">
        <f t="shared" si="339"/>
        <v>0</v>
      </c>
      <c r="AW282" s="196">
        <f t="shared" si="339"/>
        <v>0</v>
      </c>
      <c r="AY282" s="196">
        <f t="shared" ref="AY282:BX282" si="349">+AY38-AY199</f>
        <v>0</v>
      </c>
      <c r="AZ282" s="196">
        <f t="shared" si="349"/>
        <v>0</v>
      </c>
      <c r="BA282" s="196">
        <f t="shared" si="349"/>
        <v>0</v>
      </c>
      <c r="BB282" s="196">
        <f t="shared" si="349"/>
        <v>0</v>
      </c>
      <c r="BD282" s="196">
        <f t="shared" si="349"/>
        <v>0</v>
      </c>
      <c r="BE282" s="196">
        <f t="shared" si="341"/>
        <v>0</v>
      </c>
      <c r="BF282" s="196">
        <f t="shared" si="341"/>
        <v>0</v>
      </c>
      <c r="BG282" s="196">
        <f t="shared" si="341"/>
        <v>0</v>
      </c>
      <c r="BH282" s="196">
        <f t="shared" si="349"/>
        <v>0</v>
      </c>
      <c r="BI282" s="196">
        <f t="shared" si="342"/>
        <v>0</v>
      </c>
      <c r="BJ282" s="196">
        <f t="shared" si="349"/>
        <v>0</v>
      </c>
      <c r="BK282" s="196">
        <f t="shared" si="343"/>
        <v>0</v>
      </c>
      <c r="BL282" s="196">
        <f t="shared" si="349"/>
        <v>0</v>
      </c>
      <c r="BM282" s="196">
        <f t="shared" si="349"/>
        <v>0</v>
      </c>
      <c r="BO282" s="196">
        <f t="shared" si="349"/>
        <v>0</v>
      </c>
      <c r="BP282" s="196">
        <f t="shared" si="344"/>
        <v>0</v>
      </c>
      <c r="BT282" s="196">
        <f t="shared" si="349"/>
        <v>0</v>
      </c>
      <c r="BU282" s="196">
        <f t="shared" si="349"/>
        <v>0</v>
      </c>
      <c r="BV282" s="196">
        <f t="shared" si="349"/>
        <v>0</v>
      </c>
      <c r="BW282" s="196">
        <f t="shared" si="349"/>
        <v>0</v>
      </c>
      <c r="BX282" s="196">
        <f t="shared" si="349"/>
        <v>0</v>
      </c>
      <c r="BZ282" s="196">
        <f t="shared" si="345"/>
        <v>0</v>
      </c>
      <c r="CA282" s="196">
        <f t="shared" si="345"/>
        <v>0</v>
      </c>
      <c r="CB282" s="196">
        <f t="shared" si="345"/>
        <v>0</v>
      </c>
      <c r="CD282" s="196">
        <f t="shared" si="346"/>
        <v>0</v>
      </c>
      <c r="CE282" s="196">
        <f t="shared" si="346"/>
        <v>0</v>
      </c>
      <c r="CF282" s="196">
        <f t="shared" si="346"/>
        <v>0</v>
      </c>
      <c r="CG282" s="196">
        <f t="shared" si="346"/>
        <v>0</v>
      </c>
    </row>
    <row r="283" spans="1:85" hidden="1" x14ac:dyDescent="0.2">
      <c r="A283" s="195" t="s">
        <v>955</v>
      </c>
      <c r="B283" s="196">
        <f t="shared" si="330"/>
        <v>-15701</v>
      </c>
      <c r="C283" s="196">
        <f t="shared" ref="C283:AA283" si="350">+C39-C200</f>
        <v>0</v>
      </c>
      <c r="D283" s="196">
        <f t="shared" si="350"/>
        <v>0</v>
      </c>
      <c r="E283" s="196">
        <f t="shared" ref="E283" si="351">+E39-E200</f>
        <v>-841</v>
      </c>
      <c r="F283" s="196">
        <f t="shared" si="350"/>
        <v>-14797</v>
      </c>
      <c r="G283" s="196">
        <f t="shared" si="350"/>
        <v>0</v>
      </c>
      <c r="H283" s="196">
        <f t="shared" si="350"/>
        <v>0</v>
      </c>
      <c r="I283" s="196">
        <f t="shared" si="350"/>
        <v>0</v>
      </c>
      <c r="J283" s="196">
        <f t="shared" si="350"/>
        <v>0</v>
      </c>
      <c r="K283" s="196">
        <f t="shared" si="350"/>
        <v>0</v>
      </c>
      <c r="L283" s="196">
        <f t="shared" si="350"/>
        <v>0</v>
      </c>
      <c r="M283" s="196">
        <f t="shared" si="350"/>
        <v>0</v>
      </c>
      <c r="N283" s="196">
        <f t="shared" si="350"/>
        <v>0</v>
      </c>
      <c r="O283" s="196">
        <f t="shared" si="350"/>
        <v>-63</v>
      </c>
      <c r="P283" s="196">
        <f t="shared" si="350"/>
        <v>0</v>
      </c>
      <c r="Q283" s="196">
        <f t="shared" si="333"/>
        <v>0</v>
      </c>
      <c r="R283" s="196">
        <f t="shared" si="350"/>
        <v>0</v>
      </c>
      <c r="S283" s="196">
        <f t="shared" si="334"/>
        <v>0</v>
      </c>
      <c r="T283" s="196">
        <f t="shared" si="350"/>
        <v>0</v>
      </c>
      <c r="U283" s="196">
        <f t="shared" si="335"/>
        <v>0</v>
      </c>
      <c r="V283" s="196">
        <f t="shared" si="335"/>
        <v>0</v>
      </c>
      <c r="W283" s="196">
        <f t="shared" si="350"/>
        <v>0</v>
      </c>
      <c r="X283" s="196">
        <f t="shared" si="336"/>
        <v>0</v>
      </c>
      <c r="Y283" s="196">
        <f t="shared" si="350"/>
        <v>0</v>
      </c>
      <c r="Z283" s="196">
        <f t="shared" si="350"/>
        <v>0</v>
      </c>
      <c r="AA283" s="196">
        <f t="shared" si="350"/>
        <v>0</v>
      </c>
      <c r="AB283" s="196">
        <f t="shared" si="337"/>
        <v>0</v>
      </c>
      <c r="AF283" s="196">
        <f t="shared" si="338"/>
        <v>0</v>
      </c>
      <c r="AR283" s="196">
        <f t="shared" si="339"/>
        <v>0</v>
      </c>
      <c r="AS283" s="196">
        <f t="shared" si="339"/>
        <v>0</v>
      </c>
      <c r="AT283" s="196">
        <f t="shared" si="339"/>
        <v>0</v>
      </c>
      <c r="AU283" s="196">
        <f t="shared" si="339"/>
        <v>0</v>
      </c>
      <c r="AV283" s="196">
        <f t="shared" si="339"/>
        <v>0</v>
      </c>
      <c r="AW283" s="196">
        <f t="shared" si="339"/>
        <v>0</v>
      </c>
      <c r="AY283" s="196">
        <f t="shared" ref="AY283:BX283" si="352">+AY39-AY200</f>
        <v>0</v>
      </c>
      <c r="AZ283" s="196">
        <f t="shared" si="352"/>
        <v>0</v>
      </c>
      <c r="BA283" s="196">
        <f t="shared" si="352"/>
        <v>0</v>
      </c>
      <c r="BB283" s="196">
        <f t="shared" si="352"/>
        <v>0</v>
      </c>
      <c r="BD283" s="196">
        <f t="shared" si="352"/>
        <v>0</v>
      </c>
      <c r="BE283" s="196">
        <f t="shared" si="341"/>
        <v>0</v>
      </c>
      <c r="BF283" s="196">
        <f t="shared" si="341"/>
        <v>0</v>
      </c>
      <c r="BG283" s="196">
        <f t="shared" si="341"/>
        <v>0</v>
      </c>
      <c r="BH283" s="196">
        <f t="shared" si="352"/>
        <v>0</v>
      </c>
      <c r="BI283" s="196">
        <f t="shared" si="342"/>
        <v>0</v>
      </c>
      <c r="BJ283" s="196">
        <f t="shared" si="352"/>
        <v>0</v>
      </c>
      <c r="BK283" s="196">
        <f t="shared" si="343"/>
        <v>0</v>
      </c>
      <c r="BL283" s="196">
        <f t="shared" si="352"/>
        <v>0</v>
      </c>
      <c r="BM283" s="196">
        <f t="shared" si="352"/>
        <v>0</v>
      </c>
      <c r="BO283" s="196">
        <f t="shared" si="352"/>
        <v>0</v>
      </c>
      <c r="BP283" s="196">
        <f t="shared" si="344"/>
        <v>0</v>
      </c>
      <c r="BT283" s="196">
        <f t="shared" si="352"/>
        <v>0</v>
      </c>
      <c r="BU283" s="196">
        <f t="shared" si="352"/>
        <v>0</v>
      </c>
      <c r="BV283" s="196">
        <f t="shared" si="352"/>
        <v>0</v>
      </c>
      <c r="BW283" s="196">
        <f t="shared" si="352"/>
        <v>0</v>
      </c>
      <c r="BX283" s="196">
        <f t="shared" si="352"/>
        <v>0</v>
      </c>
      <c r="BZ283" s="196">
        <f t="shared" si="345"/>
        <v>0</v>
      </c>
      <c r="CA283" s="196">
        <f t="shared" si="345"/>
        <v>0</v>
      </c>
      <c r="CB283" s="196">
        <f t="shared" si="345"/>
        <v>0</v>
      </c>
      <c r="CD283" s="196">
        <f t="shared" si="346"/>
        <v>0</v>
      </c>
      <c r="CE283" s="196">
        <f t="shared" si="346"/>
        <v>0</v>
      </c>
      <c r="CF283" s="196">
        <f t="shared" si="346"/>
        <v>0</v>
      </c>
      <c r="CG283" s="196">
        <f t="shared" si="346"/>
        <v>0</v>
      </c>
    </row>
    <row r="284" spans="1:85" hidden="1" x14ac:dyDescent="0.2">
      <c r="A284" s="195" t="s">
        <v>958</v>
      </c>
      <c r="B284" s="196">
        <f t="shared" si="330"/>
        <v>-269</v>
      </c>
      <c r="C284" s="196">
        <f t="shared" ref="C284:AA284" si="353">+C40-C201</f>
        <v>0</v>
      </c>
      <c r="D284" s="196">
        <f t="shared" si="353"/>
        <v>0</v>
      </c>
      <c r="E284" s="196">
        <f t="shared" ref="E284" si="354">+E40-E201</f>
        <v>-146</v>
      </c>
      <c r="F284" s="196">
        <f t="shared" si="353"/>
        <v>-123</v>
      </c>
      <c r="G284" s="196">
        <f t="shared" si="353"/>
        <v>0</v>
      </c>
      <c r="H284" s="196">
        <f t="shared" si="353"/>
        <v>0</v>
      </c>
      <c r="I284" s="196">
        <f t="shared" si="353"/>
        <v>0</v>
      </c>
      <c r="J284" s="196">
        <f t="shared" si="353"/>
        <v>0</v>
      </c>
      <c r="K284" s="196">
        <f t="shared" si="353"/>
        <v>0</v>
      </c>
      <c r="L284" s="196">
        <f t="shared" si="353"/>
        <v>0</v>
      </c>
      <c r="M284" s="196">
        <f t="shared" si="353"/>
        <v>0</v>
      </c>
      <c r="N284" s="196">
        <f t="shared" si="353"/>
        <v>0</v>
      </c>
      <c r="O284" s="196">
        <f t="shared" si="353"/>
        <v>0</v>
      </c>
      <c r="P284" s="196">
        <f t="shared" si="353"/>
        <v>0</v>
      </c>
      <c r="Q284" s="196">
        <f t="shared" si="333"/>
        <v>0</v>
      </c>
      <c r="R284" s="196">
        <f t="shared" si="353"/>
        <v>0</v>
      </c>
      <c r="S284" s="196">
        <f t="shared" si="334"/>
        <v>0</v>
      </c>
      <c r="T284" s="196">
        <f t="shared" si="353"/>
        <v>0</v>
      </c>
      <c r="U284" s="196">
        <f t="shared" si="335"/>
        <v>0</v>
      </c>
      <c r="V284" s="196">
        <f t="shared" si="335"/>
        <v>0</v>
      </c>
      <c r="W284" s="196">
        <f t="shared" si="353"/>
        <v>0</v>
      </c>
      <c r="X284" s="196">
        <f t="shared" si="336"/>
        <v>0</v>
      </c>
      <c r="Y284" s="196">
        <f t="shared" si="353"/>
        <v>0</v>
      </c>
      <c r="Z284" s="196">
        <f t="shared" si="353"/>
        <v>0</v>
      </c>
      <c r="AA284" s="196">
        <f t="shared" si="353"/>
        <v>0</v>
      </c>
      <c r="AB284" s="196">
        <f t="shared" si="337"/>
        <v>0</v>
      </c>
      <c r="AF284" s="196">
        <f t="shared" si="338"/>
        <v>0</v>
      </c>
      <c r="AR284" s="196">
        <f t="shared" si="339"/>
        <v>0</v>
      </c>
      <c r="AS284" s="196">
        <f t="shared" si="339"/>
        <v>0</v>
      </c>
      <c r="AT284" s="196">
        <f t="shared" si="339"/>
        <v>0</v>
      </c>
      <c r="AU284" s="196">
        <f t="shared" si="339"/>
        <v>0</v>
      </c>
      <c r="AV284" s="196">
        <f t="shared" si="339"/>
        <v>0</v>
      </c>
      <c r="AW284" s="196">
        <f t="shared" si="339"/>
        <v>0</v>
      </c>
      <c r="AY284" s="196">
        <f t="shared" ref="AY284:BX284" si="355">+AY40-AY201</f>
        <v>0</v>
      </c>
      <c r="AZ284" s="196">
        <f t="shared" si="355"/>
        <v>0</v>
      </c>
      <c r="BA284" s="196">
        <f t="shared" si="355"/>
        <v>0</v>
      </c>
      <c r="BB284" s="196">
        <f t="shared" si="355"/>
        <v>0</v>
      </c>
      <c r="BD284" s="196">
        <f t="shared" si="355"/>
        <v>0</v>
      </c>
      <c r="BE284" s="196">
        <f t="shared" si="341"/>
        <v>0</v>
      </c>
      <c r="BF284" s="196">
        <f t="shared" si="341"/>
        <v>0</v>
      </c>
      <c r="BG284" s="196">
        <f t="shared" si="341"/>
        <v>0</v>
      </c>
      <c r="BH284" s="196">
        <f t="shared" si="355"/>
        <v>0</v>
      </c>
      <c r="BI284" s="196">
        <f t="shared" si="342"/>
        <v>0</v>
      </c>
      <c r="BJ284" s="196">
        <f t="shared" si="355"/>
        <v>0</v>
      </c>
      <c r="BK284" s="196">
        <f t="shared" si="343"/>
        <v>0</v>
      </c>
      <c r="BL284" s="196">
        <f t="shared" si="355"/>
        <v>0</v>
      </c>
      <c r="BM284" s="196">
        <f t="shared" si="355"/>
        <v>0</v>
      </c>
      <c r="BO284" s="196">
        <f t="shared" si="355"/>
        <v>0</v>
      </c>
      <c r="BP284" s="196">
        <f t="shared" si="344"/>
        <v>0</v>
      </c>
      <c r="BT284" s="196">
        <f t="shared" si="355"/>
        <v>0</v>
      </c>
      <c r="BU284" s="196">
        <f t="shared" si="355"/>
        <v>0</v>
      </c>
      <c r="BV284" s="196">
        <f t="shared" si="355"/>
        <v>0</v>
      </c>
      <c r="BW284" s="196">
        <f t="shared" si="355"/>
        <v>0</v>
      </c>
      <c r="BX284" s="196">
        <f t="shared" si="355"/>
        <v>0</v>
      </c>
      <c r="BZ284" s="196">
        <f t="shared" si="345"/>
        <v>0</v>
      </c>
      <c r="CA284" s="196">
        <f t="shared" si="345"/>
        <v>0</v>
      </c>
      <c r="CB284" s="196">
        <f t="shared" si="345"/>
        <v>0</v>
      </c>
      <c r="CD284" s="196">
        <f t="shared" si="346"/>
        <v>0</v>
      </c>
      <c r="CE284" s="196">
        <f t="shared" si="346"/>
        <v>0</v>
      </c>
      <c r="CF284" s="196">
        <f t="shared" si="346"/>
        <v>0</v>
      </c>
      <c r="CG284" s="196">
        <f t="shared" si="346"/>
        <v>0</v>
      </c>
    </row>
    <row r="285" spans="1:85" hidden="1" x14ac:dyDescent="0.2">
      <c r="A285" s="195" t="s">
        <v>957</v>
      </c>
      <c r="B285" s="196">
        <f t="shared" si="330"/>
        <v>14046</v>
      </c>
      <c r="C285" s="196">
        <f t="shared" ref="C285:AA285" si="356">+C41-C202</f>
        <v>6124</v>
      </c>
      <c r="D285" s="196">
        <f t="shared" si="356"/>
        <v>0</v>
      </c>
      <c r="E285" s="196">
        <f t="shared" ref="E285" si="357">+E41-E202</f>
        <v>9615</v>
      </c>
      <c r="F285" s="196">
        <f t="shared" si="356"/>
        <v>-1082</v>
      </c>
      <c r="G285" s="196">
        <f t="shared" si="356"/>
        <v>-936</v>
      </c>
      <c r="H285" s="196">
        <f t="shared" si="356"/>
        <v>0</v>
      </c>
      <c r="I285" s="196">
        <f t="shared" si="356"/>
        <v>0</v>
      </c>
      <c r="J285" s="196">
        <f t="shared" si="356"/>
        <v>0</v>
      </c>
      <c r="K285" s="196">
        <f t="shared" si="356"/>
        <v>0</v>
      </c>
      <c r="L285" s="196">
        <f t="shared" si="356"/>
        <v>0</v>
      </c>
      <c r="M285" s="196">
        <f t="shared" si="356"/>
        <v>0</v>
      </c>
      <c r="N285" s="196">
        <f t="shared" si="356"/>
        <v>0</v>
      </c>
      <c r="O285" s="196">
        <f t="shared" si="356"/>
        <v>325</v>
      </c>
      <c r="P285" s="196">
        <f t="shared" si="356"/>
        <v>0</v>
      </c>
      <c r="Q285" s="196">
        <f t="shared" si="333"/>
        <v>0</v>
      </c>
      <c r="R285" s="196">
        <f t="shared" si="356"/>
        <v>0</v>
      </c>
      <c r="S285" s="196">
        <f t="shared" si="334"/>
        <v>0</v>
      </c>
      <c r="T285" s="196">
        <f t="shared" si="356"/>
        <v>0</v>
      </c>
      <c r="U285" s="196">
        <f t="shared" si="335"/>
        <v>0</v>
      </c>
      <c r="V285" s="196">
        <f t="shared" si="335"/>
        <v>0</v>
      </c>
      <c r="W285" s="196">
        <f t="shared" si="356"/>
        <v>0</v>
      </c>
      <c r="X285" s="196">
        <f t="shared" si="336"/>
        <v>0</v>
      </c>
      <c r="Y285" s="196">
        <f t="shared" si="356"/>
        <v>0</v>
      </c>
      <c r="Z285" s="196">
        <f t="shared" si="356"/>
        <v>0</v>
      </c>
      <c r="AA285" s="196">
        <f t="shared" si="356"/>
        <v>0</v>
      </c>
      <c r="AB285" s="196">
        <f t="shared" si="337"/>
        <v>0</v>
      </c>
      <c r="AF285" s="196">
        <f t="shared" si="338"/>
        <v>0</v>
      </c>
      <c r="AR285" s="196">
        <f t="shared" si="339"/>
        <v>0</v>
      </c>
      <c r="AS285" s="196">
        <f t="shared" si="339"/>
        <v>0</v>
      </c>
      <c r="AT285" s="196">
        <f t="shared" si="339"/>
        <v>0</v>
      </c>
      <c r="AU285" s="196">
        <f t="shared" si="339"/>
        <v>0</v>
      </c>
      <c r="AV285" s="196">
        <f t="shared" si="339"/>
        <v>0</v>
      </c>
      <c r="AW285" s="196">
        <f t="shared" si="339"/>
        <v>0</v>
      </c>
      <c r="AY285" s="196">
        <f t="shared" ref="AY285:BX285" si="358">+AY41-AY202</f>
        <v>0</v>
      </c>
      <c r="AZ285" s="196">
        <f t="shared" si="358"/>
        <v>0</v>
      </c>
      <c r="BA285" s="196">
        <f t="shared" si="358"/>
        <v>0</v>
      </c>
      <c r="BB285" s="196">
        <f t="shared" si="358"/>
        <v>0</v>
      </c>
      <c r="BD285" s="196">
        <f t="shared" si="358"/>
        <v>0</v>
      </c>
      <c r="BE285" s="196">
        <f t="shared" si="341"/>
        <v>0</v>
      </c>
      <c r="BF285" s="196">
        <f t="shared" si="341"/>
        <v>0</v>
      </c>
      <c r="BG285" s="196">
        <f t="shared" si="341"/>
        <v>0</v>
      </c>
      <c r="BH285" s="196">
        <f t="shared" si="358"/>
        <v>0</v>
      </c>
      <c r="BI285" s="196">
        <f t="shared" si="342"/>
        <v>0</v>
      </c>
      <c r="BJ285" s="196">
        <f t="shared" si="358"/>
        <v>0</v>
      </c>
      <c r="BK285" s="196">
        <f t="shared" si="343"/>
        <v>0</v>
      </c>
      <c r="BL285" s="196">
        <f t="shared" si="358"/>
        <v>0</v>
      </c>
      <c r="BM285" s="196">
        <f t="shared" si="358"/>
        <v>0</v>
      </c>
      <c r="BO285" s="196">
        <f t="shared" si="358"/>
        <v>0</v>
      </c>
      <c r="BP285" s="196">
        <f t="shared" si="344"/>
        <v>0</v>
      </c>
      <c r="BT285" s="196">
        <f t="shared" si="358"/>
        <v>0</v>
      </c>
      <c r="BU285" s="196">
        <f t="shared" si="358"/>
        <v>0</v>
      </c>
      <c r="BV285" s="196">
        <f t="shared" si="358"/>
        <v>0</v>
      </c>
      <c r="BW285" s="196">
        <f t="shared" si="358"/>
        <v>0</v>
      </c>
      <c r="BX285" s="196">
        <f t="shared" si="358"/>
        <v>0</v>
      </c>
      <c r="BZ285" s="196">
        <f t="shared" si="345"/>
        <v>0</v>
      </c>
      <c r="CA285" s="196">
        <f t="shared" si="345"/>
        <v>0</v>
      </c>
      <c r="CB285" s="196">
        <f t="shared" si="345"/>
        <v>0</v>
      </c>
      <c r="CD285" s="196" t="e">
        <f>#REF!-CD204</f>
        <v>#REF!</v>
      </c>
      <c r="CE285" s="196" t="e">
        <f>#REF!-CE204</f>
        <v>#REF!</v>
      </c>
      <c r="CF285" s="196" t="e">
        <f>#REF!-CF204</f>
        <v>#REF!</v>
      </c>
      <c r="CG285" s="196" t="e">
        <f>#REF!-CG204</f>
        <v>#REF!</v>
      </c>
    </row>
    <row r="286" spans="1:85" hidden="1" x14ac:dyDescent="0.2">
      <c r="A286" s="195" t="s">
        <v>956</v>
      </c>
      <c r="B286" s="196">
        <f t="shared" si="330"/>
        <v>-3729</v>
      </c>
      <c r="C286" s="196">
        <f t="shared" ref="C286:AA286" si="359">+C42-C203</f>
        <v>0</v>
      </c>
      <c r="D286" s="196">
        <f t="shared" si="359"/>
        <v>0</v>
      </c>
      <c r="E286" s="196">
        <f t="shared" ref="E286" si="360">+E42-E203</f>
        <v>-1684</v>
      </c>
      <c r="F286" s="196">
        <f t="shared" si="359"/>
        <v>-1333</v>
      </c>
      <c r="G286" s="196">
        <f t="shared" si="359"/>
        <v>-945</v>
      </c>
      <c r="H286" s="196">
        <f t="shared" si="359"/>
        <v>0</v>
      </c>
      <c r="I286" s="196">
        <f t="shared" si="359"/>
        <v>0</v>
      </c>
      <c r="J286" s="196">
        <f t="shared" si="359"/>
        <v>0</v>
      </c>
      <c r="K286" s="196">
        <f t="shared" si="359"/>
        <v>0</v>
      </c>
      <c r="L286" s="196">
        <f t="shared" si="359"/>
        <v>0</v>
      </c>
      <c r="M286" s="196">
        <f t="shared" si="359"/>
        <v>0</v>
      </c>
      <c r="N286" s="196">
        <f t="shared" si="359"/>
        <v>0</v>
      </c>
      <c r="O286" s="196">
        <f t="shared" si="359"/>
        <v>1542</v>
      </c>
      <c r="P286" s="196">
        <f t="shared" si="359"/>
        <v>0</v>
      </c>
      <c r="Q286" s="196">
        <f t="shared" si="333"/>
        <v>0</v>
      </c>
      <c r="R286" s="196">
        <f t="shared" si="359"/>
        <v>0</v>
      </c>
      <c r="S286" s="196">
        <f t="shared" si="334"/>
        <v>0</v>
      </c>
      <c r="T286" s="196">
        <f t="shared" si="359"/>
        <v>0</v>
      </c>
      <c r="U286" s="196">
        <f t="shared" si="335"/>
        <v>0</v>
      </c>
      <c r="V286" s="196">
        <f t="shared" si="335"/>
        <v>0</v>
      </c>
      <c r="W286" s="196">
        <f t="shared" si="359"/>
        <v>0</v>
      </c>
      <c r="X286" s="196">
        <f t="shared" si="336"/>
        <v>0</v>
      </c>
      <c r="Y286" s="196">
        <f t="shared" si="359"/>
        <v>0</v>
      </c>
      <c r="Z286" s="196">
        <f t="shared" si="359"/>
        <v>0</v>
      </c>
      <c r="AA286" s="196">
        <f t="shared" si="359"/>
        <v>0</v>
      </c>
      <c r="AB286" s="196">
        <f t="shared" si="337"/>
        <v>0</v>
      </c>
      <c r="AF286" s="196">
        <f t="shared" si="338"/>
        <v>0</v>
      </c>
      <c r="AR286" s="196">
        <f t="shared" si="339"/>
        <v>0</v>
      </c>
      <c r="AS286" s="196">
        <f t="shared" si="339"/>
        <v>0</v>
      </c>
      <c r="AT286" s="196">
        <f t="shared" si="339"/>
        <v>0</v>
      </c>
      <c r="AU286" s="196">
        <f t="shared" si="339"/>
        <v>0</v>
      </c>
      <c r="AV286" s="196">
        <f t="shared" si="339"/>
        <v>0</v>
      </c>
      <c r="AW286" s="196">
        <f t="shared" si="339"/>
        <v>0</v>
      </c>
      <c r="AY286" s="196">
        <f t="shared" ref="AY286:BX286" si="361">+AY42-AY203</f>
        <v>0</v>
      </c>
      <c r="AZ286" s="196">
        <f t="shared" si="361"/>
        <v>0</v>
      </c>
      <c r="BA286" s="196">
        <f t="shared" si="361"/>
        <v>0</v>
      </c>
      <c r="BB286" s="196">
        <f t="shared" si="361"/>
        <v>0</v>
      </c>
      <c r="BD286" s="196">
        <f t="shared" si="361"/>
        <v>0</v>
      </c>
      <c r="BE286" s="196">
        <f t="shared" si="341"/>
        <v>0</v>
      </c>
      <c r="BF286" s="196">
        <f t="shared" si="341"/>
        <v>0</v>
      </c>
      <c r="BG286" s="196">
        <f t="shared" si="341"/>
        <v>0</v>
      </c>
      <c r="BH286" s="196">
        <f t="shared" si="361"/>
        <v>0</v>
      </c>
      <c r="BI286" s="196">
        <f t="shared" si="342"/>
        <v>0</v>
      </c>
      <c r="BJ286" s="196">
        <f t="shared" si="361"/>
        <v>-1309</v>
      </c>
      <c r="BK286" s="196">
        <f t="shared" si="343"/>
        <v>0</v>
      </c>
      <c r="BL286" s="196">
        <f t="shared" si="361"/>
        <v>0</v>
      </c>
      <c r="BM286" s="196">
        <f t="shared" si="361"/>
        <v>0</v>
      </c>
      <c r="BO286" s="196">
        <f t="shared" si="361"/>
        <v>0</v>
      </c>
      <c r="BP286" s="196">
        <f t="shared" si="344"/>
        <v>0</v>
      </c>
      <c r="BT286" s="196">
        <f t="shared" si="361"/>
        <v>0</v>
      </c>
      <c r="BU286" s="196">
        <f t="shared" si="361"/>
        <v>0</v>
      </c>
      <c r="BV286" s="196">
        <f t="shared" si="361"/>
        <v>0</v>
      </c>
      <c r="BW286" s="196">
        <f t="shared" si="361"/>
        <v>0</v>
      </c>
      <c r="BX286" s="196">
        <f t="shared" si="361"/>
        <v>0</v>
      </c>
      <c r="BZ286" s="196">
        <f t="shared" si="345"/>
        <v>0</v>
      </c>
      <c r="CA286" s="196">
        <f t="shared" si="345"/>
        <v>0</v>
      </c>
      <c r="CB286" s="196">
        <f t="shared" si="345"/>
        <v>0</v>
      </c>
      <c r="CD286" s="196">
        <f t="shared" ref="CD286:CG290" si="362">CD41-CD205</f>
        <v>0</v>
      </c>
      <c r="CE286" s="196">
        <f t="shared" si="362"/>
        <v>0</v>
      </c>
      <c r="CF286" s="196">
        <f t="shared" si="362"/>
        <v>0</v>
      </c>
      <c r="CG286" s="196">
        <f t="shared" si="362"/>
        <v>0</v>
      </c>
    </row>
    <row r="287" spans="1:85" hidden="1" x14ac:dyDescent="0.2">
      <c r="A287" s="195" t="s">
        <v>961</v>
      </c>
      <c r="B287" s="196">
        <f t="shared" si="330"/>
        <v>-12832</v>
      </c>
      <c r="C287" s="196">
        <f t="shared" ref="C287:AA287" si="363">+C43-C204</f>
        <v>0</v>
      </c>
      <c r="D287" s="196">
        <f t="shared" si="363"/>
        <v>0</v>
      </c>
      <c r="E287" s="196">
        <f t="shared" ref="E287" si="364">+E43-E204</f>
        <v>0</v>
      </c>
      <c r="F287" s="196">
        <f t="shared" si="363"/>
        <v>0</v>
      </c>
      <c r="G287" s="196">
        <f t="shared" si="363"/>
        <v>0</v>
      </c>
      <c r="H287" s="196">
        <f t="shared" si="363"/>
        <v>0</v>
      </c>
      <c r="I287" s="196">
        <f t="shared" si="363"/>
        <v>0</v>
      </c>
      <c r="J287" s="196">
        <f t="shared" si="363"/>
        <v>0</v>
      </c>
      <c r="K287" s="196">
        <f t="shared" si="363"/>
        <v>0</v>
      </c>
      <c r="L287" s="196">
        <f t="shared" si="363"/>
        <v>0</v>
      </c>
      <c r="M287" s="196">
        <f t="shared" si="363"/>
        <v>0</v>
      </c>
      <c r="N287" s="196">
        <f t="shared" si="363"/>
        <v>-12832</v>
      </c>
      <c r="O287" s="196">
        <f t="shared" si="363"/>
        <v>0</v>
      </c>
      <c r="P287" s="196">
        <f t="shared" si="363"/>
        <v>0</v>
      </c>
      <c r="Q287" s="196">
        <f t="shared" si="333"/>
        <v>0</v>
      </c>
      <c r="R287" s="196">
        <f t="shared" si="363"/>
        <v>0</v>
      </c>
      <c r="S287" s="196">
        <f t="shared" si="334"/>
        <v>0</v>
      </c>
      <c r="T287" s="196">
        <f t="shared" si="363"/>
        <v>0</v>
      </c>
      <c r="U287" s="196">
        <f t="shared" si="335"/>
        <v>0</v>
      </c>
      <c r="V287" s="196">
        <f t="shared" si="335"/>
        <v>0</v>
      </c>
      <c r="W287" s="196">
        <f t="shared" si="363"/>
        <v>0</v>
      </c>
      <c r="X287" s="196">
        <f t="shared" si="336"/>
        <v>0</v>
      </c>
      <c r="Y287" s="196">
        <f t="shared" si="363"/>
        <v>0</v>
      </c>
      <c r="Z287" s="196">
        <f t="shared" si="363"/>
        <v>0</v>
      </c>
      <c r="AA287" s="196">
        <f t="shared" si="363"/>
        <v>0</v>
      </c>
      <c r="AB287" s="196">
        <f t="shared" si="337"/>
        <v>0</v>
      </c>
      <c r="AF287" s="196">
        <f t="shared" si="338"/>
        <v>0</v>
      </c>
      <c r="AR287" s="196">
        <f t="shared" si="339"/>
        <v>0</v>
      </c>
      <c r="AS287" s="196">
        <f t="shared" si="339"/>
        <v>0</v>
      </c>
      <c r="AT287" s="196">
        <f t="shared" si="339"/>
        <v>0</v>
      </c>
      <c r="AU287" s="196">
        <f t="shared" si="339"/>
        <v>0</v>
      </c>
      <c r="AV287" s="196">
        <f t="shared" si="339"/>
        <v>0</v>
      </c>
      <c r="AW287" s="196">
        <f t="shared" si="339"/>
        <v>0</v>
      </c>
      <c r="AY287" s="196">
        <f t="shared" ref="AY287:BX287" si="365">+AY43-AY204</f>
        <v>0</v>
      </c>
      <c r="AZ287" s="196">
        <f t="shared" si="365"/>
        <v>0</v>
      </c>
      <c r="BA287" s="196">
        <f t="shared" si="365"/>
        <v>0</v>
      </c>
      <c r="BB287" s="196">
        <f t="shared" si="365"/>
        <v>0</v>
      </c>
      <c r="BD287" s="196">
        <f t="shared" si="365"/>
        <v>0</v>
      </c>
      <c r="BE287" s="196">
        <f t="shared" si="341"/>
        <v>0</v>
      </c>
      <c r="BF287" s="196">
        <f t="shared" si="341"/>
        <v>0</v>
      </c>
      <c r="BG287" s="196">
        <f t="shared" si="341"/>
        <v>0</v>
      </c>
      <c r="BH287" s="196">
        <f t="shared" si="365"/>
        <v>0</v>
      </c>
      <c r="BI287" s="196">
        <f t="shared" si="342"/>
        <v>0</v>
      </c>
      <c r="BJ287" s="196">
        <f t="shared" si="365"/>
        <v>0</v>
      </c>
      <c r="BK287" s="196">
        <f t="shared" si="343"/>
        <v>0</v>
      </c>
      <c r="BL287" s="196">
        <f t="shared" si="365"/>
        <v>0</v>
      </c>
      <c r="BM287" s="196">
        <f t="shared" si="365"/>
        <v>0</v>
      </c>
      <c r="BO287" s="196">
        <f t="shared" si="365"/>
        <v>0</v>
      </c>
      <c r="BP287" s="196">
        <f t="shared" si="344"/>
        <v>0</v>
      </c>
      <c r="BT287" s="196">
        <f t="shared" si="365"/>
        <v>0</v>
      </c>
      <c r="BU287" s="196">
        <f t="shared" si="365"/>
        <v>0</v>
      </c>
      <c r="BV287" s="196">
        <f t="shared" si="365"/>
        <v>0</v>
      </c>
      <c r="BW287" s="196">
        <f t="shared" si="365"/>
        <v>0</v>
      </c>
      <c r="BX287" s="196">
        <f t="shared" si="365"/>
        <v>0</v>
      </c>
      <c r="BZ287" s="196">
        <f t="shared" si="345"/>
        <v>0</v>
      </c>
      <c r="CA287" s="196">
        <f t="shared" si="345"/>
        <v>0</v>
      </c>
      <c r="CB287" s="196">
        <f t="shared" si="345"/>
        <v>0</v>
      </c>
      <c r="CD287" s="196">
        <f t="shared" si="362"/>
        <v>0</v>
      </c>
      <c r="CE287" s="196">
        <f t="shared" si="362"/>
        <v>0</v>
      </c>
      <c r="CF287" s="196">
        <f t="shared" si="362"/>
        <v>0</v>
      </c>
      <c r="CG287" s="196">
        <f t="shared" si="362"/>
        <v>0</v>
      </c>
    </row>
    <row r="288" spans="1:85" hidden="1" x14ac:dyDescent="0.2">
      <c r="A288" s="195" t="s">
        <v>960</v>
      </c>
      <c r="B288" s="196">
        <f t="shared" si="330"/>
        <v>22818</v>
      </c>
      <c r="C288" s="196">
        <f t="shared" ref="C288:AA288" si="366">+C44-C205</f>
        <v>0</v>
      </c>
      <c r="D288" s="196">
        <f t="shared" si="366"/>
        <v>0</v>
      </c>
      <c r="E288" s="196">
        <f t="shared" ref="E288" si="367">+E44-E205</f>
        <v>12526</v>
      </c>
      <c r="F288" s="196">
        <f t="shared" si="366"/>
        <v>2321</v>
      </c>
      <c r="G288" s="196">
        <f t="shared" si="366"/>
        <v>8330</v>
      </c>
      <c r="H288" s="196">
        <f t="shared" si="366"/>
        <v>0</v>
      </c>
      <c r="I288" s="196">
        <f t="shared" si="366"/>
        <v>-361</v>
      </c>
      <c r="J288" s="196">
        <f t="shared" si="366"/>
        <v>0</v>
      </c>
      <c r="K288" s="196">
        <f t="shared" si="366"/>
        <v>0</v>
      </c>
      <c r="L288" s="196">
        <f t="shared" si="366"/>
        <v>0</v>
      </c>
      <c r="M288" s="196">
        <f t="shared" si="366"/>
        <v>0</v>
      </c>
      <c r="N288" s="196">
        <f t="shared" si="366"/>
        <v>0</v>
      </c>
      <c r="O288" s="196">
        <f t="shared" si="366"/>
        <v>12</v>
      </c>
      <c r="P288" s="196">
        <f t="shared" si="366"/>
        <v>0</v>
      </c>
      <c r="Q288" s="196">
        <f t="shared" si="333"/>
        <v>0</v>
      </c>
      <c r="R288" s="196">
        <f t="shared" si="366"/>
        <v>0</v>
      </c>
      <c r="S288" s="196">
        <f t="shared" si="334"/>
        <v>0</v>
      </c>
      <c r="T288" s="196">
        <f t="shared" si="366"/>
        <v>0</v>
      </c>
      <c r="U288" s="196">
        <f t="shared" si="335"/>
        <v>0</v>
      </c>
      <c r="V288" s="196">
        <f t="shared" si="335"/>
        <v>0</v>
      </c>
      <c r="W288" s="196">
        <f t="shared" si="366"/>
        <v>0</v>
      </c>
      <c r="X288" s="196">
        <f t="shared" si="336"/>
        <v>0</v>
      </c>
      <c r="Y288" s="196">
        <f t="shared" si="366"/>
        <v>0</v>
      </c>
      <c r="Z288" s="196">
        <f t="shared" si="366"/>
        <v>0</v>
      </c>
      <c r="AA288" s="196">
        <f t="shared" si="366"/>
        <v>0</v>
      </c>
      <c r="AB288" s="196">
        <f t="shared" si="337"/>
        <v>0</v>
      </c>
      <c r="AF288" s="196">
        <f t="shared" si="338"/>
        <v>0</v>
      </c>
      <c r="AR288" s="196">
        <f t="shared" si="339"/>
        <v>0</v>
      </c>
      <c r="AS288" s="196">
        <f t="shared" si="339"/>
        <v>0</v>
      </c>
      <c r="AT288" s="196">
        <f t="shared" si="339"/>
        <v>0</v>
      </c>
      <c r="AU288" s="196">
        <f t="shared" si="339"/>
        <v>0</v>
      </c>
      <c r="AV288" s="196">
        <f t="shared" si="339"/>
        <v>0</v>
      </c>
      <c r="AW288" s="196">
        <f t="shared" si="339"/>
        <v>0</v>
      </c>
      <c r="AY288" s="196">
        <f t="shared" ref="AY288:BX288" si="368">+AY44-AY205</f>
        <v>0</v>
      </c>
      <c r="AZ288" s="196">
        <f t="shared" si="368"/>
        <v>0</v>
      </c>
      <c r="BA288" s="196">
        <f t="shared" si="368"/>
        <v>0</v>
      </c>
      <c r="BB288" s="196">
        <f t="shared" si="368"/>
        <v>0</v>
      </c>
      <c r="BD288" s="196">
        <f t="shared" si="368"/>
        <v>0</v>
      </c>
      <c r="BE288" s="196">
        <f t="shared" si="341"/>
        <v>0</v>
      </c>
      <c r="BF288" s="196">
        <f t="shared" si="341"/>
        <v>-10</v>
      </c>
      <c r="BG288" s="196">
        <f t="shared" si="341"/>
        <v>0</v>
      </c>
      <c r="BH288" s="196">
        <f t="shared" si="368"/>
        <v>0</v>
      </c>
      <c r="BI288" s="196">
        <f t="shared" si="342"/>
        <v>0</v>
      </c>
      <c r="BJ288" s="196">
        <f t="shared" si="368"/>
        <v>0</v>
      </c>
      <c r="BK288" s="196">
        <f t="shared" si="343"/>
        <v>0</v>
      </c>
      <c r="BL288" s="196">
        <f t="shared" si="368"/>
        <v>0</v>
      </c>
      <c r="BM288" s="196">
        <f t="shared" si="368"/>
        <v>0</v>
      </c>
      <c r="BO288" s="196">
        <f t="shared" si="368"/>
        <v>0</v>
      </c>
      <c r="BP288" s="196">
        <f t="shared" si="344"/>
        <v>0</v>
      </c>
      <c r="BT288" s="196">
        <f t="shared" si="368"/>
        <v>0</v>
      </c>
      <c r="BU288" s="196">
        <f t="shared" si="368"/>
        <v>0</v>
      </c>
      <c r="BV288" s="196">
        <f t="shared" si="368"/>
        <v>0</v>
      </c>
      <c r="BW288" s="196">
        <f t="shared" si="368"/>
        <v>0</v>
      </c>
      <c r="BX288" s="196">
        <f t="shared" si="368"/>
        <v>0</v>
      </c>
      <c r="BZ288" s="196">
        <f t="shared" si="345"/>
        <v>0</v>
      </c>
      <c r="CA288" s="196">
        <f t="shared" si="345"/>
        <v>0</v>
      </c>
      <c r="CB288" s="196">
        <f t="shared" si="345"/>
        <v>0</v>
      </c>
      <c r="CD288" s="196">
        <f t="shared" si="362"/>
        <v>0</v>
      </c>
      <c r="CE288" s="196">
        <f t="shared" si="362"/>
        <v>0</v>
      </c>
      <c r="CF288" s="196">
        <f t="shared" si="362"/>
        <v>0</v>
      </c>
      <c r="CG288" s="196">
        <f t="shared" si="362"/>
        <v>0</v>
      </c>
    </row>
    <row r="289" spans="1:85" hidden="1" x14ac:dyDescent="0.2">
      <c r="A289" s="195" t="s">
        <v>963</v>
      </c>
      <c r="B289" s="196">
        <f t="shared" si="330"/>
        <v>-22357</v>
      </c>
      <c r="C289" s="196">
        <f t="shared" ref="C289:AA289" si="369">+C45-C206</f>
        <v>0</v>
      </c>
      <c r="D289" s="196">
        <f t="shared" si="369"/>
        <v>0</v>
      </c>
      <c r="E289" s="196">
        <f t="shared" ref="E289" si="370">+E45-E206</f>
        <v>-97789</v>
      </c>
      <c r="F289" s="196">
        <f t="shared" si="369"/>
        <v>74482</v>
      </c>
      <c r="G289" s="196">
        <f t="shared" si="369"/>
        <v>403</v>
      </c>
      <c r="H289" s="196">
        <f t="shared" si="369"/>
        <v>0</v>
      </c>
      <c r="I289" s="196">
        <f t="shared" si="369"/>
        <v>0</v>
      </c>
      <c r="J289" s="196">
        <f t="shared" si="369"/>
        <v>0</v>
      </c>
      <c r="K289" s="196">
        <f t="shared" si="369"/>
        <v>0</v>
      </c>
      <c r="L289" s="196">
        <f t="shared" si="369"/>
        <v>0</v>
      </c>
      <c r="M289" s="196">
        <f t="shared" si="369"/>
        <v>0</v>
      </c>
      <c r="N289" s="196">
        <f t="shared" si="369"/>
        <v>0</v>
      </c>
      <c r="O289" s="196">
        <f t="shared" si="369"/>
        <v>547</v>
      </c>
      <c r="P289" s="196">
        <f t="shared" si="369"/>
        <v>0</v>
      </c>
      <c r="Q289" s="196">
        <f t="shared" si="333"/>
        <v>0</v>
      </c>
      <c r="R289" s="196">
        <f t="shared" si="369"/>
        <v>0</v>
      </c>
      <c r="S289" s="196">
        <f t="shared" si="334"/>
        <v>0</v>
      </c>
      <c r="T289" s="196">
        <f t="shared" si="369"/>
        <v>0</v>
      </c>
      <c r="U289" s="196">
        <f t="shared" si="335"/>
        <v>0</v>
      </c>
      <c r="V289" s="196">
        <f t="shared" si="335"/>
        <v>0</v>
      </c>
      <c r="W289" s="196">
        <f t="shared" si="369"/>
        <v>0</v>
      </c>
      <c r="X289" s="196">
        <f t="shared" si="336"/>
        <v>0</v>
      </c>
      <c r="Y289" s="196">
        <f t="shared" si="369"/>
        <v>0</v>
      </c>
      <c r="Z289" s="196">
        <f t="shared" si="369"/>
        <v>0</v>
      </c>
      <c r="AA289" s="196">
        <f t="shared" si="369"/>
        <v>0</v>
      </c>
      <c r="AB289" s="196">
        <f t="shared" si="337"/>
        <v>0</v>
      </c>
      <c r="AF289" s="196">
        <f t="shared" si="338"/>
        <v>0</v>
      </c>
      <c r="AR289" s="196">
        <f t="shared" si="339"/>
        <v>0</v>
      </c>
      <c r="AS289" s="196">
        <f t="shared" si="339"/>
        <v>0</v>
      </c>
      <c r="AT289" s="196">
        <f t="shared" si="339"/>
        <v>0</v>
      </c>
      <c r="AU289" s="196">
        <f t="shared" si="339"/>
        <v>0</v>
      </c>
      <c r="AV289" s="196">
        <f t="shared" si="339"/>
        <v>0</v>
      </c>
      <c r="AW289" s="196">
        <f t="shared" si="339"/>
        <v>0</v>
      </c>
      <c r="AY289" s="196">
        <f t="shared" ref="AY289:BX289" si="371">+AY45-AY206</f>
        <v>0</v>
      </c>
      <c r="AZ289" s="196">
        <f t="shared" si="371"/>
        <v>0</v>
      </c>
      <c r="BA289" s="196">
        <f t="shared" si="371"/>
        <v>0</v>
      </c>
      <c r="BB289" s="196">
        <f t="shared" si="371"/>
        <v>0</v>
      </c>
      <c r="BD289" s="196">
        <f t="shared" si="371"/>
        <v>0</v>
      </c>
      <c r="BE289" s="196">
        <f t="shared" si="341"/>
        <v>0</v>
      </c>
      <c r="BF289" s="196">
        <f t="shared" si="341"/>
        <v>0</v>
      </c>
      <c r="BG289" s="196">
        <f t="shared" si="341"/>
        <v>0</v>
      </c>
      <c r="BH289" s="196">
        <f t="shared" si="371"/>
        <v>0</v>
      </c>
      <c r="BI289" s="196">
        <f t="shared" si="342"/>
        <v>0</v>
      </c>
      <c r="BJ289" s="196">
        <f t="shared" si="371"/>
        <v>0</v>
      </c>
      <c r="BK289" s="196">
        <f t="shared" si="343"/>
        <v>0</v>
      </c>
      <c r="BL289" s="196">
        <f t="shared" si="371"/>
        <v>0</v>
      </c>
      <c r="BM289" s="196">
        <f t="shared" si="371"/>
        <v>0</v>
      </c>
      <c r="BO289" s="196">
        <f t="shared" si="371"/>
        <v>0</v>
      </c>
      <c r="BP289" s="196">
        <f t="shared" si="344"/>
        <v>0</v>
      </c>
      <c r="BT289" s="196">
        <f t="shared" si="371"/>
        <v>0</v>
      </c>
      <c r="BU289" s="196">
        <f t="shared" si="371"/>
        <v>0</v>
      </c>
      <c r="BV289" s="196">
        <f t="shared" si="371"/>
        <v>0</v>
      </c>
      <c r="BW289" s="196">
        <f t="shared" si="371"/>
        <v>0</v>
      </c>
      <c r="BX289" s="196">
        <f t="shared" si="371"/>
        <v>0</v>
      </c>
      <c r="BZ289" s="196">
        <f t="shared" si="345"/>
        <v>0</v>
      </c>
      <c r="CA289" s="196">
        <f t="shared" si="345"/>
        <v>0</v>
      </c>
      <c r="CB289" s="196">
        <f t="shared" si="345"/>
        <v>0</v>
      </c>
      <c r="CD289" s="196">
        <f t="shared" si="362"/>
        <v>0</v>
      </c>
      <c r="CE289" s="196">
        <f t="shared" si="362"/>
        <v>0</v>
      </c>
      <c r="CF289" s="196">
        <f t="shared" si="362"/>
        <v>0</v>
      </c>
      <c r="CG289" s="196">
        <f t="shared" si="362"/>
        <v>0</v>
      </c>
    </row>
    <row r="290" spans="1:85" hidden="1" x14ac:dyDescent="0.2">
      <c r="A290" s="195" t="s">
        <v>959</v>
      </c>
      <c r="B290" s="196">
        <f t="shared" si="330"/>
        <v>-1570</v>
      </c>
      <c r="C290" s="196">
        <f t="shared" ref="C290:AA290" si="372">+C47-C207</f>
        <v>0</v>
      </c>
      <c r="D290" s="196">
        <f t="shared" si="372"/>
        <v>0</v>
      </c>
      <c r="E290" s="196">
        <f t="shared" ref="E290" si="373">+E47-E207</f>
        <v>6146</v>
      </c>
      <c r="F290" s="196">
        <f t="shared" si="372"/>
        <v>-270</v>
      </c>
      <c r="G290" s="196">
        <f t="shared" si="372"/>
        <v>0</v>
      </c>
      <c r="H290" s="196">
        <f t="shared" si="372"/>
        <v>0</v>
      </c>
      <c r="I290" s="196">
        <f t="shared" si="372"/>
        <v>0</v>
      </c>
      <c r="J290" s="196">
        <f t="shared" si="372"/>
        <v>-6317</v>
      </c>
      <c r="K290" s="196">
        <f t="shared" si="372"/>
        <v>0</v>
      </c>
      <c r="L290" s="196">
        <f t="shared" si="372"/>
        <v>0</v>
      </c>
      <c r="M290" s="196">
        <f t="shared" si="372"/>
        <v>0</v>
      </c>
      <c r="N290" s="196">
        <f t="shared" si="372"/>
        <v>0</v>
      </c>
      <c r="O290" s="196">
        <f t="shared" si="372"/>
        <v>-445</v>
      </c>
      <c r="P290" s="196">
        <f t="shared" si="372"/>
        <v>0</v>
      </c>
      <c r="Q290" s="196">
        <f>+Q47-Q207</f>
        <v>0</v>
      </c>
      <c r="R290" s="196">
        <f t="shared" si="372"/>
        <v>0</v>
      </c>
      <c r="S290" s="196">
        <f>+S47-S207</f>
        <v>0</v>
      </c>
      <c r="T290" s="196">
        <f t="shared" si="372"/>
        <v>0</v>
      </c>
      <c r="U290" s="196">
        <f>+U47-U207</f>
        <v>0</v>
      </c>
      <c r="V290" s="196">
        <f>+V47-V207</f>
        <v>0</v>
      </c>
      <c r="W290" s="196">
        <f t="shared" si="372"/>
        <v>0</v>
      </c>
      <c r="X290" s="196">
        <f>+X47-X207</f>
        <v>0</v>
      </c>
      <c r="Y290" s="196">
        <f t="shared" si="372"/>
        <v>0</v>
      </c>
      <c r="Z290" s="196">
        <f t="shared" si="372"/>
        <v>0</v>
      </c>
      <c r="AA290" s="196">
        <f t="shared" si="372"/>
        <v>0</v>
      </c>
      <c r="AB290" s="196">
        <f>+AB47-AB207</f>
        <v>0</v>
      </c>
      <c r="AF290" s="196">
        <f>+AF47-AF207</f>
        <v>0</v>
      </c>
      <c r="AR290" s="196">
        <f t="shared" ref="AR290:AW290" si="374">+AR47-AR207</f>
        <v>0</v>
      </c>
      <c r="AS290" s="196">
        <f t="shared" si="374"/>
        <v>0</v>
      </c>
      <c r="AT290" s="196">
        <f t="shared" si="374"/>
        <v>0</v>
      </c>
      <c r="AU290" s="196">
        <f t="shared" si="374"/>
        <v>0</v>
      </c>
      <c r="AV290" s="196">
        <f t="shared" si="374"/>
        <v>0</v>
      </c>
      <c r="AW290" s="196">
        <f t="shared" si="374"/>
        <v>0</v>
      </c>
      <c r="AY290" s="196">
        <f t="shared" ref="AY290:BX290" si="375">+AY47-AY207</f>
        <v>0</v>
      </c>
      <c r="AZ290" s="196">
        <f t="shared" si="375"/>
        <v>0</v>
      </c>
      <c r="BA290" s="196">
        <f t="shared" si="375"/>
        <v>0</v>
      </c>
      <c r="BB290" s="196">
        <f t="shared" si="375"/>
        <v>0</v>
      </c>
      <c r="BD290" s="196">
        <f t="shared" si="375"/>
        <v>0</v>
      </c>
      <c r="BE290" s="196">
        <f>+BE47-BE207</f>
        <v>0</v>
      </c>
      <c r="BF290" s="196">
        <f>+BF47-BF207</f>
        <v>0</v>
      </c>
      <c r="BG290" s="196">
        <f>+BG47-BG207</f>
        <v>0</v>
      </c>
      <c r="BH290" s="196">
        <f t="shared" si="375"/>
        <v>0</v>
      </c>
      <c r="BI290" s="196">
        <f>+BI47-BI207</f>
        <v>0</v>
      </c>
      <c r="BJ290" s="196">
        <f t="shared" si="375"/>
        <v>0</v>
      </c>
      <c r="BK290" s="196">
        <f>+BK47-BK207</f>
        <v>0</v>
      </c>
      <c r="BL290" s="196">
        <f t="shared" si="375"/>
        <v>0</v>
      </c>
      <c r="BM290" s="196">
        <f t="shared" si="375"/>
        <v>-2500</v>
      </c>
      <c r="BO290" s="196">
        <f t="shared" si="375"/>
        <v>0</v>
      </c>
      <c r="BP290" s="196">
        <f>+BP47-BP207</f>
        <v>1816</v>
      </c>
      <c r="BT290" s="196">
        <f t="shared" si="375"/>
        <v>0</v>
      </c>
      <c r="BU290" s="196">
        <f t="shared" si="375"/>
        <v>0</v>
      </c>
      <c r="BV290" s="196">
        <f t="shared" si="375"/>
        <v>0</v>
      </c>
      <c r="BW290" s="196">
        <f t="shared" si="375"/>
        <v>0</v>
      </c>
      <c r="BX290" s="196">
        <f t="shared" si="375"/>
        <v>0</v>
      </c>
      <c r="BZ290" s="196">
        <f>+BZ47-BZ207</f>
        <v>0</v>
      </c>
      <c r="CA290" s="196">
        <f>+CA47-CA207</f>
        <v>0</v>
      </c>
      <c r="CB290" s="196">
        <f>+CB47-CB207</f>
        <v>0</v>
      </c>
      <c r="CD290" s="196">
        <f t="shared" si="362"/>
        <v>0</v>
      </c>
      <c r="CE290" s="196">
        <f t="shared" si="362"/>
        <v>0</v>
      </c>
      <c r="CF290" s="196">
        <f t="shared" si="362"/>
        <v>0</v>
      </c>
      <c r="CG290" s="196">
        <f t="shared" si="362"/>
        <v>0</v>
      </c>
    </row>
    <row r="291" spans="1:85" hidden="1" x14ac:dyDescent="0.2">
      <c r="A291" s="195" t="s">
        <v>1052</v>
      </c>
      <c r="B291" s="196">
        <f t="shared" si="330"/>
        <v>86703</v>
      </c>
      <c r="C291" s="196">
        <f t="shared" ref="C291:AA291" si="376">+C49-C208</f>
        <v>101129</v>
      </c>
      <c r="D291" s="196">
        <f t="shared" si="376"/>
        <v>0</v>
      </c>
      <c r="E291" s="196">
        <f t="shared" ref="E291" si="377">+E49-E208</f>
        <v>-74275</v>
      </c>
      <c r="F291" s="196">
        <f t="shared" si="376"/>
        <v>72024</v>
      </c>
      <c r="G291" s="196">
        <f t="shared" si="376"/>
        <v>6440</v>
      </c>
      <c r="H291" s="196">
        <f t="shared" si="376"/>
        <v>1071</v>
      </c>
      <c r="I291" s="196">
        <f t="shared" si="376"/>
        <v>-361</v>
      </c>
      <c r="J291" s="196">
        <f t="shared" si="376"/>
        <v>-6317</v>
      </c>
      <c r="K291" s="196">
        <f t="shared" si="376"/>
        <v>0</v>
      </c>
      <c r="L291" s="196">
        <f t="shared" si="376"/>
        <v>0</v>
      </c>
      <c r="M291" s="196">
        <f t="shared" si="376"/>
        <v>0</v>
      </c>
      <c r="N291" s="196">
        <f t="shared" si="376"/>
        <v>-12832</v>
      </c>
      <c r="O291" s="196">
        <f t="shared" si="376"/>
        <v>1827</v>
      </c>
      <c r="P291" s="196">
        <f t="shared" si="376"/>
        <v>0</v>
      </c>
      <c r="Q291" s="196">
        <f>+Q49-Q208</f>
        <v>0</v>
      </c>
      <c r="R291" s="196">
        <f t="shared" si="376"/>
        <v>0</v>
      </c>
      <c r="S291" s="196">
        <f>+S49-S208</f>
        <v>0</v>
      </c>
      <c r="T291" s="196">
        <f t="shared" si="376"/>
        <v>0</v>
      </c>
      <c r="U291" s="196">
        <f>+U49-U208</f>
        <v>0</v>
      </c>
      <c r="V291" s="196">
        <f>+V49-V208</f>
        <v>0</v>
      </c>
      <c r="W291" s="196">
        <f t="shared" si="376"/>
        <v>0</v>
      </c>
      <c r="X291" s="196">
        <f>+X49-X208</f>
        <v>0</v>
      </c>
      <c r="Y291" s="196">
        <f t="shared" si="376"/>
        <v>0</v>
      </c>
      <c r="Z291" s="196">
        <f t="shared" si="376"/>
        <v>0</v>
      </c>
      <c r="AA291" s="196">
        <f t="shared" si="376"/>
        <v>0</v>
      </c>
      <c r="AB291" s="196">
        <f>+AB49-AB208</f>
        <v>0</v>
      </c>
      <c r="AF291" s="196">
        <f>+AF49-AF208</f>
        <v>0</v>
      </c>
      <c r="AR291" s="196">
        <f t="shared" ref="AR291:AW291" si="378">+AR49-AR208</f>
        <v>0</v>
      </c>
      <c r="AS291" s="196">
        <f t="shared" si="378"/>
        <v>0</v>
      </c>
      <c r="AT291" s="196">
        <f t="shared" si="378"/>
        <v>0</v>
      </c>
      <c r="AU291" s="196">
        <f t="shared" si="378"/>
        <v>0</v>
      </c>
      <c r="AV291" s="196">
        <f t="shared" si="378"/>
        <v>0</v>
      </c>
      <c r="AW291" s="196">
        <f t="shared" si="378"/>
        <v>0</v>
      </c>
      <c r="AY291" s="196">
        <f t="shared" ref="AY291:BX291" si="379">+AY49-AY208</f>
        <v>0</v>
      </c>
      <c r="AZ291" s="196">
        <f t="shared" si="379"/>
        <v>0</v>
      </c>
      <c r="BA291" s="196">
        <f t="shared" si="379"/>
        <v>0</v>
      </c>
      <c r="BB291" s="196">
        <f t="shared" si="379"/>
        <v>0</v>
      </c>
      <c r="BD291" s="196">
        <f t="shared" si="379"/>
        <v>0</v>
      </c>
      <c r="BE291" s="196">
        <f>+BE49-BE208</f>
        <v>0</v>
      </c>
      <c r="BF291" s="196">
        <f>+BF49-BF208</f>
        <v>-10</v>
      </c>
      <c r="BG291" s="196">
        <f>+BG49-BG208</f>
        <v>0</v>
      </c>
      <c r="BH291" s="196">
        <f t="shared" si="379"/>
        <v>0</v>
      </c>
      <c r="BI291" s="196">
        <f>+BI49-BI208</f>
        <v>0</v>
      </c>
      <c r="BJ291" s="196">
        <f t="shared" si="379"/>
        <v>-1309</v>
      </c>
      <c r="BK291" s="196">
        <f>+BK49-BK208</f>
        <v>0</v>
      </c>
      <c r="BL291" s="196">
        <f t="shared" si="379"/>
        <v>0</v>
      </c>
      <c r="BM291" s="196">
        <f t="shared" si="379"/>
        <v>-2500</v>
      </c>
      <c r="BO291" s="196">
        <f t="shared" si="379"/>
        <v>0</v>
      </c>
      <c r="BP291" s="196">
        <f>+BP49-BP208</f>
        <v>1816</v>
      </c>
      <c r="BT291" s="196">
        <f t="shared" si="379"/>
        <v>0</v>
      </c>
      <c r="BU291" s="196">
        <f t="shared" si="379"/>
        <v>0</v>
      </c>
      <c r="BV291" s="196">
        <f t="shared" si="379"/>
        <v>0</v>
      </c>
      <c r="BW291" s="196">
        <f t="shared" si="379"/>
        <v>0</v>
      </c>
      <c r="BX291" s="196">
        <f t="shared" si="379"/>
        <v>0</v>
      </c>
      <c r="BZ291" s="196">
        <f>+BZ49-BZ208</f>
        <v>0</v>
      </c>
      <c r="CA291" s="196">
        <f>+CA49-CA208</f>
        <v>0</v>
      </c>
      <c r="CB291" s="196">
        <f>+CB49-CB208</f>
        <v>0</v>
      </c>
      <c r="CD291" s="196">
        <f>CD47-CD210</f>
        <v>0</v>
      </c>
      <c r="CE291" s="196">
        <f>CE47-CE210</f>
        <v>0</v>
      </c>
      <c r="CF291" s="196">
        <f>CF47-CF210</f>
        <v>0</v>
      </c>
      <c r="CG291" s="196">
        <f>CG47-CG210</f>
        <v>0</v>
      </c>
    </row>
    <row r="292" spans="1:85" s="201" customFormat="1" hidden="1" x14ac:dyDescent="0.2">
      <c r="A292" s="198" t="s">
        <v>928</v>
      </c>
      <c r="B292" s="199">
        <f t="shared" ref="B292:BZ292" si="380">SUM(B281:B291)</f>
        <v>172234</v>
      </c>
      <c r="C292" s="199">
        <f t="shared" si="380"/>
        <v>202258</v>
      </c>
      <c r="D292" s="199">
        <f t="shared" si="380"/>
        <v>0</v>
      </c>
      <c r="E292" s="199">
        <f>SUM(E281:E291)</f>
        <v>-148892</v>
      </c>
      <c r="F292" s="199">
        <f>SUM(F281:F291)</f>
        <v>143225</v>
      </c>
      <c r="G292" s="199">
        <f t="shared" si="380"/>
        <v>12880</v>
      </c>
      <c r="H292" s="199">
        <f t="shared" si="380"/>
        <v>2142</v>
      </c>
      <c r="I292" s="199">
        <f t="shared" si="380"/>
        <v>-722</v>
      </c>
      <c r="J292" s="199">
        <f t="shared" si="380"/>
        <v>-12634</v>
      </c>
      <c r="K292" s="199">
        <f t="shared" si="380"/>
        <v>0</v>
      </c>
      <c r="L292" s="199">
        <f t="shared" si="380"/>
        <v>0</v>
      </c>
      <c r="M292" s="199">
        <f t="shared" si="380"/>
        <v>0</v>
      </c>
      <c r="N292" s="199">
        <f t="shared" si="380"/>
        <v>-25664</v>
      </c>
      <c r="O292" s="199">
        <f t="shared" si="380"/>
        <v>3647</v>
      </c>
      <c r="P292" s="199">
        <f t="shared" si="380"/>
        <v>0</v>
      </c>
      <c r="Q292" s="199">
        <f>SUM(Q281:Q291)</f>
        <v>0</v>
      </c>
      <c r="R292" s="199">
        <f t="shared" si="380"/>
        <v>0</v>
      </c>
      <c r="S292" s="199">
        <f>SUM(S281:S291)</f>
        <v>0</v>
      </c>
      <c r="T292" s="199">
        <f t="shared" si="380"/>
        <v>0</v>
      </c>
      <c r="U292" s="199">
        <f>SUM(U281:U291)</f>
        <v>0</v>
      </c>
      <c r="V292" s="199">
        <f>SUM(V281:V291)</f>
        <v>0</v>
      </c>
      <c r="W292" s="199">
        <f t="shared" si="380"/>
        <v>0</v>
      </c>
      <c r="X292" s="199">
        <f>SUM(X281:X291)</f>
        <v>0</v>
      </c>
      <c r="Y292" s="199">
        <f t="shared" si="380"/>
        <v>0</v>
      </c>
      <c r="Z292" s="199">
        <f t="shared" si="380"/>
        <v>0</v>
      </c>
      <c r="AA292" s="199">
        <f t="shared" si="380"/>
        <v>0</v>
      </c>
      <c r="AB292" s="199">
        <f>SUM(AB281:AB291)</f>
        <v>0</v>
      </c>
      <c r="AC292" s="199"/>
      <c r="AD292" s="199"/>
      <c r="AE292" s="199"/>
      <c r="AF292" s="199">
        <f>SUM(AF281:AF291)</f>
        <v>0</v>
      </c>
      <c r="AG292" s="199"/>
      <c r="AH292" s="199"/>
      <c r="AI292" s="199"/>
      <c r="AJ292" s="199"/>
      <c r="AK292" s="199"/>
      <c r="AL292" s="199"/>
      <c r="AM292" s="199"/>
      <c r="AN292" s="199"/>
      <c r="AO292" s="199"/>
      <c r="AP292" s="199"/>
      <c r="AQ292" s="199"/>
      <c r="AR292" s="199">
        <f t="shared" si="380"/>
        <v>0</v>
      </c>
      <c r="AS292" s="199">
        <f t="shared" si="380"/>
        <v>0</v>
      </c>
      <c r="AT292" s="199">
        <f t="shared" si="380"/>
        <v>0</v>
      </c>
      <c r="AU292" s="199">
        <f t="shared" si="380"/>
        <v>0</v>
      </c>
      <c r="AV292" s="199">
        <f t="shared" si="380"/>
        <v>0</v>
      </c>
      <c r="AW292" s="199">
        <f>SUM(AW281:AW291)</f>
        <v>0</v>
      </c>
      <c r="AX292" s="199"/>
      <c r="AY292" s="199">
        <f t="shared" si="380"/>
        <v>0</v>
      </c>
      <c r="AZ292" s="199">
        <f t="shared" si="380"/>
        <v>0</v>
      </c>
      <c r="BA292" s="199">
        <f t="shared" si="380"/>
        <v>0</v>
      </c>
      <c r="BB292" s="199">
        <f t="shared" si="380"/>
        <v>0</v>
      </c>
      <c r="BC292" s="199"/>
      <c r="BD292" s="199">
        <f t="shared" ref="BD292:BO292" si="381">SUM(BD281:BD291)</f>
        <v>0</v>
      </c>
      <c r="BE292" s="199">
        <f>SUM(BE281:BE291)</f>
        <v>0</v>
      </c>
      <c r="BF292" s="199">
        <f>SUM(BF281:BF291)</f>
        <v>-20</v>
      </c>
      <c r="BG292" s="199">
        <f>SUM(BG281:BG291)</f>
        <v>0</v>
      </c>
      <c r="BH292" s="199">
        <f t="shared" si="381"/>
        <v>0</v>
      </c>
      <c r="BI292" s="199">
        <f>SUM(BI281:BI291)</f>
        <v>0</v>
      </c>
      <c r="BJ292" s="199">
        <f t="shared" si="381"/>
        <v>-2618</v>
      </c>
      <c r="BK292" s="199">
        <f>SUM(BK281:BK291)</f>
        <v>0</v>
      </c>
      <c r="BL292" s="199">
        <f t="shared" si="381"/>
        <v>0</v>
      </c>
      <c r="BM292" s="199">
        <f t="shared" si="381"/>
        <v>-5000</v>
      </c>
      <c r="BN292" s="199"/>
      <c r="BO292" s="199">
        <f t="shared" si="381"/>
        <v>0</v>
      </c>
      <c r="BP292" s="199">
        <f>SUM(BP281:BP291)</f>
        <v>3632</v>
      </c>
      <c r="BQ292" s="199"/>
      <c r="BR292" s="199"/>
      <c r="BS292" s="199"/>
      <c r="BT292" s="199">
        <f t="shared" si="380"/>
        <v>0</v>
      </c>
      <c r="BU292" s="199">
        <f t="shared" si="380"/>
        <v>0</v>
      </c>
      <c r="BV292" s="199">
        <f t="shared" si="380"/>
        <v>0</v>
      </c>
      <c r="BW292" s="199">
        <f t="shared" si="380"/>
        <v>0</v>
      </c>
      <c r="BX292" s="199">
        <f t="shared" si="380"/>
        <v>0</v>
      </c>
      <c r="BY292" s="199"/>
      <c r="BZ292" s="199">
        <f t="shared" si="380"/>
        <v>0</v>
      </c>
      <c r="CA292" s="199">
        <f>SUM(CA281:CA291)</f>
        <v>0</v>
      </c>
      <c r="CB292" s="199">
        <f>SUM(CB281:CB291)</f>
        <v>0</v>
      </c>
      <c r="CC292" s="200"/>
      <c r="CD292" s="199" t="e">
        <f>SUM(CD281:CD291)</f>
        <v>#REF!</v>
      </c>
      <c r="CE292" s="199" t="e">
        <f>SUM(CE281:CE291)</f>
        <v>#REF!</v>
      </c>
      <c r="CF292" s="199" t="e">
        <f>SUM(CF281:CF291)</f>
        <v>#REF!</v>
      </c>
      <c r="CG292" s="199" t="e">
        <f>SUM(CG281:CG291)</f>
        <v>#REF!</v>
      </c>
    </row>
    <row r="293" spans="1:85" hidden="1" x14ac:dyDescent="0.2">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c r="AF293" s="197"/>
      <c r="AG293" s="197"/>
      <c r="AH293" s="197"/>
      <c r="AI293" s="197"/>
      <c r="AJ293" s="197"/>
      <c r="AK293" s="197"/>
      <c r="AL293" s="197"/>
      <c r="AM293" s="197"/>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7"/>
      <c r="BR293" s="197"/>
      <c r="BS293" s="197"/>
      <c r="BT293" s="197"/>
      <c r="BU293" s="197"/>
      <c r="BV293" s="197"/>
      <c r="BW293" s="197"/>
      <c r="BX293" s="197"/>
      <c r="BY293" s="197"/>
      <c r="BZ293" s="197"/>
      <c r="CA293" s="197"/>
      <c r="CB293" s="197"/>
      <c r="CD293" s="197"/>
      <c r="CE293" s="197"/>
      <c r="CF293" s="197"/>
      <c r="CG293" s="197"/>
    </row>
    <row r="294" spans="1:85" s="192" customFormat="1" hidden="1" x14ac:dyDescent="0.2">
      <c r="A294" s="193" t="s">
        <v>929</v>
      </c>
      <c r="B294" s="194"/>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AW294" s="194"/>
      <c r="AX294" s="194"/>
      <c r="AY294" s="194"/>
      <c r="AZ294" s="194"/>
      <c r="BA294" s="194"/>
      <c r="BB294" s="194"/>
      <c r="BC294" s="194"/>
      <c r="BD294" s="194"/>
      <c r="BE294" s="194"/>
      <c r="BF294" s="194"/>
      <c r="BG294" s="194"/>
      <c r="BH294" s="194"/>
      <c r="BI294" s="194"/>
      <c r="BJ294" s="194"/>
      <c r="BK294" s="194"/>
      <c r="BL294" s="194"/>
      <c r="BM294" s="194"/>
      <c r="BN294" s="194"/>
      <c r="BO294" s="194"/>
      <c r="BP294" s="194"/>
      <c r="BQ294" s="194"/>
      <c r="BR294" s="194"/>
      <c r="BS294" s="194"/>
      <c r="BT294" s="194"/>
      <c r="BU294" s="194"/>
      <c r="BV294" s="194"/>
      <c r="BW294" s="194"/>
      <c r="BX294" s="194"/>
      <c r="BY294" s="194"/>
      <c r="BZ294" s="194"/>
      <c r="CA294" s="194"/>
      <c r="CB294" s="194"/>
      <c r="CC294" s="191"/>
      <c r="CD294" s="194"/>
      <c r="CE294" s="194"/>
      <c r="CF294" s="194"/>
      <c r="CG294" s="194"/>
    </row>
    <row r="295" spans="1:85" hidden="1" x14ac:dyDescent="0.2">
      <c r="A295" s="195" t="s">
        <v>953</v>
      </c>
      <c r="B295" s="196">
        <f t="shared" ref="B295:B304" si="382">SUM(C295:CB295)</f>
        <v>-503</v>
      </c>
      <c r="C295" s="196">
        <f t="shared" ref="C295:AA295" si="383">+C52-C211</f>
        <v>0</v>
      </c>
      <c r="D295" s="196">
        <f t="shared" si="383"/>
        <v>0</v>
      </c>
      <c r="E295" s="196">
        <f t="shared" ref="E295" si="384">+E52-E211</f>
        <v>0</v>
      </c>
      <c r="F295" s="196">
        <f t="shared" si="383"/>
        <v>0</v>
      </c>
      <c r="G295" s="196">
        <f t="shared" si="383"/>
        <v>0</v>
      </c>
      <c r="H295" s="196">
        <f t="shared" si="383"/>
        <v>0</v>
      </c>
      <c r="I295" s="196">
        <f t="shared" si="383"/>
        <v>0</v>
      </c>
      <c r="J295" s="196">
        <f t="shared" si="383"/>
        <v>0</v>
      </c>
      <c r="K295" s="196">
        <f t="shared" si="383"/>
        <v>0</v>
      </c>
      <c r="L295" s="196">
        <f t="shared" si="383"/>
        <v>0</v>
      </c>
      <c r="M295" s="196">
        <f t="shared" si="383"/>
        <v>0</v>
      </c>
      <c r="N295" s="196">
        <f t="shared" si="383"/>
        <v>0</v>
      </c>
      <c r="O295" s="196">
        <f t="shared" si="383"/>
        <v>0</v>
      </c>
      <c r="P295" s="196">
        <f t="shared" si="383"/>
        <v>0</v>
      </c>
      <c r="Q295" s="196">
        <f t="shared" ref="Q295:Q303" si="385">+Q52-Q211</f>
        <v>0</v>
      </c>
      <c r="R295" s="196">
        <f t="shared" si="383"/>
        <v>0</v>
      </c>
      <c r="S295" s="196">
        <f t="shared" ref="S295:S303" si="386">+S52-S211</f>
        <v>0</v>
      </c>
      <c r="T295" s="196">
        <f t="shared" si="383"/>
        <v>0</v>
      </c>
      <c r="U295" s="196">
        <f t="shared" ref="U295:V303" si="387">+U52-U211</f>
        <v>0</v>
      </c>
      <c r="V295" s="196">
        <f t="shared" si="387"/>
        <v>0</v>
      </c>
      <c r="W295" s="196">
        <f t="shared" si="383"/>
        <v>0</v>
      </c>
      <c r="X295" s="196">
        <f t="shared" ref="X295:X303" si="388">+X52-X211</f>
        <v>0</v>
      </c>
      <c r="Y295" s="196">
        <f t="shared" si="383"/>
        <v>0</v>
      </c>
      <c r="Z295" s="196">
        <f t="shared" si="383"/>
        <v>0</v>
      </c>
      <c r="AA295" s="196">
        <f t="shared" si="383"/>
        <v>0</v>
      </c>
      <c r="AB295" s="196">
        <f t="shared" ref="AB295:AB303" si="389">+AB52-AB211</f>
        <v>0</v>
      </c>
      <c r="AF295" s="196">
        <f t="shared" ref="AF295:AF303" si="390">+AF52-AF211</f>
        <v>471</v>
      </c>
      <c r="AR295" s="196">
        <f t="shared" ref="AR295:AW303" si="391">+AR52-AR211</f>
        <v>90</v>
      </c>
      <c r="AS295" s="196">
        <f t="shared" si="391"/>
        <v>0</v>
      </c>
      <c r="AT295" s="196">
        <f t="shared" si="391"/>
        <v>255</v>
      </c>
      <c r="AU295" s="196">
        <f t="shared" si="391"/>
        <v>0</v>
      </c>
      <c r="AV295" s="196">
        <f t="shared" si="391"/>
        <v>0</v>
      </c>
      <c r="AW295" s="196">
        <f t="shared" si="391"/>
        <v>0</v>
      </c>
      <c r="AY295" s="196">
        <f t="shared" ref="AY295:BX295" si="392">+AY52-AY211</f>
        <v>0</v>
      </c>
      <c r="AZ295" s="196">
        <f t="shared" si="392"/>
        <v>0</v>
      </c>
      <c r="BA295" s="196">
        <f t="shared" si="392"/>
        <v>0</v>
      </c>
      <c r="BB295" s="196">
        <f t="shared" si="392"/>
        <v>0</v>
      </c>
      <c r="BD295" s="196">
        <f t="shared" si="392"/>
        <v>0</v>
      </c>
      <c r="BE295" s="196">
        <f t="shared" ref="BE295:BG303" si="393">+BE52-BE211</f>
        <v>0</v>
      </c>
      <c r="BF295" s="196">
        <f t="shared" si="393"/>
        <v>0</v>
      </c>
      <c r="BG295" s="196">
        <f t="shared" si="393"/>
        <v>0</v>
      </c>
      <c r="BH295" s="196">
        <f t="shared" si="392"/>
        <v>0</v>
      </c>
      <c r="BI295" s="196">
        <f t="shared" ref="BI295:BI303" si="394">+BI52-BI211</f>
        <v>0</v>
      </c>
      <c r="BJ295" s="196">
        <f t="shared" si="392"/>
        <v>0</v>
      </c>
      <c r="BK295" s="196">
        <f t="shared" ref="BK295:BK303" si="395">+BK52-BK211</f>
        <v>0</v>
      </c>
      <c r="BL295" s="196">
        <f t="shared" si="392"/>
        <v>0</v>
      </c>
      <c r="BM295" s="196">
        <f t="shared" si="392"/>
        <v>0</v>
      </c>
      <c r="BO295" s="196">
        <f t="shared" si="392"/>
        <v>0</v>
      </c>
      <c r="BP295" s="196">
        <f t="shared" ref="BP295:BP303" si="396">+BP52-BP211</f>
        <v>0</v>
      </c>
      <c r="BT295" s="196">
        <f t="shared" si="392"/>
        <v>0</v>
      </c>
      <c r="BU295" s="196">
        <f t="shared" si="392"/>
        <v>0</v>
      </c>
      <c r="BV295" s="196">
        <f t="shared" si="392"/>
        <v>0</v>
      </c>
      <c r="BW295" s="196">
        <f t="shared" si="392"/>
        <v>0</v>
      </c>
      <c r="BX295" s="196">
        <f t="shared" si="392"/>
        <v>-1319</v>
      </c>
      <c r="BZ295" s="196">
        <f t="shared" ref="BZ295:CB303" si="397">+BZ52-BZ211</f>
        <v>0</v>
      </c>
      <c r="CA295" s="196">
        <f t="shared" si="397"/>
        <v>0</v>
      </c>
      <c r="CB295" s="196">
        <f t="shared" si="397"/>
        <v>0</v>
      </c>
      <c r="CD295" s="196">
        <f t="shared" ref="CD295:CG303" si="398">CD52-CD214</f>
        <v>0</v>
      </c>
      <c r="CE295" s="196">
        <f t="shared" si="398"/>
        <v>0</v>
      </c>
      <c r="CF295" s="196">
        <f t="shared" si="398"/>
        <v>0</v>
      </c>
      <c r="CG295" s="196">
        <f t="shared" si="398"/>
        <v>0</v>
      </c>
    </row>
    <row r="296" spans="1:85" hidden="1" x14ac:dyDescent="0.2">
      <c r="A296" s="195" t="s">
        <v>954</v>
      </c>
      <c r="B296" s="196">
        <f t="shared" si="382"/>
        <v>-10648</v>
      </c>
      <c r="C296" s="196">
        <f t="shared" ref="C296:AA296" si="399">+C53-C212</f>
        <v>0</v>
      </c>
      <c r="D296" s="196">
        <f t="shared" si="399"/>
        <v>0</v>
      </c>
      <c r="E296" s="196">
        <f t="shared" ref="E296" si="400">+E53-E212</f>
        <v>-4506</v>
      </c>
      <c r="F296" s="196">
        <f t="shared" si="399"/>
        <v>-4506</v>
      </c>
      <c r="G296" s="196">
        <f t="shared" si="399"/>
        <v>0</v>
      </c>
      <c r="H296" s="196">
        <f t="shared" si="399"/>
        <v>0</v>
      </c>
      <c r="I296" s="196">
        <f t="shared" si="399"/>
        <v>0</v>
      </c>
      <c r="J296" s="196">
        <f t="shared" si="399"/>
        <v>0</v>
      </c>
      <c r="K296" s="196">
        <f t="shared" si="399"/>
        <v>0</v>
      </c>
      <c r="L296" s="196">
        <f t="shared" si="399"/>
        <v>0</v>
      </c>
      <c r="M296" s="196">
        <f t="shared" si="399"/>
        <v>0</v>
      </c>
      <c r="N296" s="196">
        <f t="shared" si="399"/>
        <v>0</v>
      </c>
      <c r="O296" s="196">
        <f t="shared" si="399"/>
        <v>0</v>
      </c>
      <c r="P296" s="196">
        <f t="shared" si="399"/>
        <v>0</v>
      </c>
      <c r="Q296" s="196">
        <f t="shared" si="385"/>
        <v>0</v>
      </c>
      <c r="R296" s="196">
        <f t="shared" si="399"/>
        <v>0</v>
      </c>
      <c r="S296" s="196">
        <f t="shared" si="386"/>
        <v>0</v>
      </c>
      <c r="T296" s="196">
        <f t="shared" si="399"/>
        <v>0</v>
      </c>
      <c r="U296" s="196">
        <f t="shared" si="387"/>
        <v>0</v>
      </c>
      <c r="V296" s="196">
        <f t="shared" si="387"/>
        <v>0</v>
      </c>
      <c r="W296" s="196">
        <f t="shared" si="399"/>
        <v>0</v>
      </c>
      <c r="X296" s="196">
        <f t="shared" si="388"/>
        <v>0</v>
      </c>
      <c r="Y296" s="196">
        <f t="shared" si="399"/>
        <v>0</v>
      </c>
      <c r="Z296" s="196">
        <f t="shared" si="399"/>
        <v>0</v>
      </c>
      <c r="AA296" s="196">
        <f t="shared" si="399"/>
        <v>0</v>
      </c>
      <c r="AB296" s="196">
        <f t="shared" si="389"/>
        <v>0</v>
      </c>
      <c r="AF296" s="196">
        <f t="shared" si="390"/>
        <v>0</v>
      </c>
      <c r="AR296" s="196">
        <f t="shared" si="391"/>
        <v>0</v>
      </c>
      <c r="AS296" s="196">
        <f t="shared" si="391"/>
        <v>0</v>
      </c>
      <c r="AT296" s="196">
        <f t="shared" si="391"/>
        <v>-1636</v>
      </c>
      <c r="AU296" s="196">
        <f t="shared" si="391"/>
        <v>0</v>
      </c>
      <c r="AV296" s="196">
        <f t="shared" si="391"/>
        <v>0</v>
      </c>
      <c r="AW296" s="196">
        <f t="shared" si="391"/>
        <v>0</v>
      </c>
      <c r="AY296" s="196">
        <f t="shared" ref="AY296:BX296" si="401">+AY53-AY212</f>
        <v>0</v>
      </c>
      <c r="AZ296" s="196">
        <f t="shared" si="401"/>
        <v>0</v>
      </c>
      <c r="BA296" s="196">
        <f t="shared" si="401"/>
        <v>0</v>
      </c>
      <c r="BB296" s="196">
        <f t="shared" si="401"/>
        <v>0</v>
      </c>
      <c r="BD296" s="196">
        <f t="shared" si="401"/>
        <v>0</v>
      </c>
      <c r="BE296" s="196">
        <f t="shared" si="393"/>
        <v>0</v>
      </c>
      <c r="BF296" s="196">
        <f t="shared" si="393"/>
        <v>0</v>
      </c>
      <c r="BG296" s="196">
        <f t="shared" si="393"/>
        <v>0</v>
      </c>
      <c r="BH296" s="196">
        <f t="shared" si="401"/>
        <v>0</v>
      </c>
      <c r="BI296" s="196">
        <f t="shared" si="394"/>
        <v>0</v>
      </c>
      <c r="BJ296" s="196">
        <f t="shared" si="401"/>
        <v>0</v>
      </c>
      <c r="BK296" s="196">
        <f t="shared" si="395"/>
        <v>0</v>
      </c>
      <c r="BL296" s="196">
        <f t="shared" si="401"/>
        <v>0</v>
      </c>
      <c r="BM296" s="196">
        <f t="shared" si="401"/>
        <v>0</v>
      </c>
      <c r="BO296" s="196">
        <f t="shared" si="401"/>
        <v>0</v>
      </c>
      <c r="BP296" s="196">
        <f t="shared" si="396"/>
        <v>0</v>
      </c>
      <c r="BT296" s="196">
        <f t="shared" si="401"/>
        <v>0</v>
      </c>
      <c r="BU296" s="196">
        <f t="shared" si="401"/>
        <v>0</v>
      </c>
      <c r="BV296" s="196">
        <f t="shared" si="401"/>
        <v>0</v>
      </c>
      <c r="BW296" s="196">
        <f t="shared" si="401"/>
        <v>0</v>
      </c>
      <c r="BX296" s="196">
        <f t="shared" si="401"/>
        <v>0</v>
      </c>
      <c r="BZ296" s="196">
        <f t="shared" si="397"/>
        <v>0</v>
      </c>
      <c r="CA296" s="196">
        <f t="shared" si="397"/>
        <v>0</v>
      </c>
      <c r="CB296" s="196">
        <f t="shared" si="397"/>
        <v>0</v>
      </c>
      <c r="CD296" s="196">
        <f t="shared" si="398"/>
        <v>0</v>
      </c>
      <c r="CE296" s="196">
        <f t="shared" si="398"/>
        <v>0</v>
      </c>
      <c r="CF296" s="196">
        <f t="shared" si="398"/>
        <v>0</v>
      </c>
      <c r="CG296" s="196">
        <f t="shared" si="398"/>
        <v>0</v>
      </c>
    </row>
    <row r="297" spans="1:85" hidden="1" x14ac:dyDescent="0.2">
      <c r="A297" s="195" t="s">
        <v>955</v>
      </c>
      <c r="B297" s="196">
        <f t="shared" si="382"/>
        <v>32426</v>
      </c>
      <c r="C297" s="196">
        <f t="shared" ref="C297:AA297" si="402">+C54-C213</f>
        <v>0</v>
      </c>
      <c r="D297" s="196">
        <f t="shared" si="402"/>
        <v>0</v>
      </c>
      <c r="E297" s="196">
        <f t="shared" ref="E297" si="403">+E54-E213</f>
        <v>-632</v>
      </c>
      <c r="F297" s="196">
        <f t="shared" si="402"/>
        <v>21951</v>
      </c>
      <c r="G297" s="196">
        <f t="shared" si="402"/>
        <v>-385</v>
      </c>
      <c r="H297" s="196">
        <f t="shared" si="402"/>
        <v>0</v>
      </c>
      <c r="I297" s="196">
        <f t="shared" si="402"/>
        <v>0</v>
      </c>
      <c r="J297" s="196">
        <f t="shared" si="402"/>
        <v>0</v>
      </c>
      <c r="K297" s="196">
        <f t="shared" si="402"/>
        <v>0</v>
      </c>
      <c r="L297" s="196">
        <f t="shared" si="402"/>
        <v>0</v>
      </c>
      <c r="M297" s="196">
        <f t="shared" si="402"/>
        <v>0</v>
      </c>
      <c r="N297" s="196">
        <f t="shared" si="402"/>
        <v>0</v>
      </c>
      <c r="O297" s="196">
        <f t="shared" si="402"/>
        <v>0</v>
      </c>
      <c r="P297" s="196">
        <f t="shared" si="402"/>
        <v>0</v>
      </c>
      <c r="Q297" s="196">
        <f t="shared" si="385"/>
        <v>0</v>
      </c>
      <c r="R297" s="196">
        <f t="shared" si="402"/>
        <v>0</v>
      </c>
      <c r="S297" s="196">
        <f t="shared" si="386"/>
        <v>0</v>
      </c>
      <c r="T297" s="196">
        <f t="shared" si="402"/>
        <v>0</v>
      </c>
      <c r="U297" s="196">
        <f t="shared" si="387"/>
        <v>0</v>
      </c>
      <c r="V297" s="196">
        <f t="shared" si="387"/>
        <v>0</v>
      </c>
      <c r="W297" s="196">
        <f t="shared" si="402"/>
        <v>0</v>
      </c>
      <c r="X297" s="196">
        <f t="shared" si="388"/>
        <v>0</v>
      </c>
      <c r="Y297" s="196">
        <f t="shared" si="402"/>
        <v>0</v>
      </c>
      <c r="Z297" s="196">
        <f t="shared" si="402"/>
        <v>0</v>
      </c>
      <c r="AA297" s="196">
        <f t="shared" si="402"/>
        <v>0</v>
      </c>
      <c r="AB297" s="196">
        <f t="shared" si="389"/>
        <v>0</v>
      </c>
      <c r="AF297" s="196">
        <f t="shared" si="390"/>
        <v>12207</v>
      </c>
      <c r="AR297" s="196">
        <f t="shared" si="391"/>
        <v>-5473</v>
      </c>
      <c r="AS297" s="196">
        <f t="shared" si="391"/>
        <v>0</v>
      </c>
      <c r="AT297" s="196">
        <f t="shared" si="391"/>
        <v>6961</v>
      </c>
      <c r="AU297" s="196">
        <f t="shared" si="391"/>
        <v>-2203</v>
      </c>
      <c r="AV297" s="196">
        <f t="shared" si="391"/>
        <v>0</v>
      </c>
      <c r="AW297" s="196">
        <f t="shared" si="391"/>
        <v>0</v>
      </c>
      <c r="AY297" s="196">
        <f t="shared" ref="AY297:BX297" si="404">+AY54-AY213</f>
        <v>0</v>
      </c>
      <c r="AZ297" s="196">
        <f t="shared" si="404"/>
        <v>0</v>
      </c>
      <c r="BA297" s="196">
        <f t="shared" si="404"/>
        <v>0</v>
      </c>
      <c r="BB297" s="196">
        <f t="shared" si="404"/>
        <v>0</v>
      </c>
      <c r="BD297" s="196">
        <f t="shared" si="404"/>
        <v>0</v>
      </c>
      <c r="BE297" s="196">
        <f t="shared" si="393"/>
        <v>0</v>
      </c>
      <c r="BF297" s="196">
        <f t="shared" si="393"/>
        <v>0</v>
      </c>
      <c r="BG297" s="196">
        <f t="shared" si="393"/>
        <v>0</v>
      </c>
      <c r="BH297" s="196">
        <f t="shared" si="404"/>
        <v>0</v>
      </c>
      <c r="BI297" s="196">
        <f t="shared" si="394"/>
        <v>0</v>
      </c>
      <c r="BJ297" s="196">
        <f t="shared" si="404"/>
        <v>0</v>
      </c>
      <c r="BK297" s="196">
        <f t="shared" si="395"/>
        <v>0</v>
      </c>
      <c r="BL297" s="196">
        <f t="shared" si="404"/>
        <v>0</v>
      </c>
      <c r="BM297" s="196">
        <f t="shared" si="404"/>
        <v>0</v>
      </c>
      <c r="BO297" s="196">
        <f t="shared" si="404"/>
        <v>0</v>
      </c>
      <c r="BP297" s="196">
        <f t="shared" si="396"/>
        <v>0</v>
      </c>
      <c r="BT297" s="196">
        <f t="shared" si="404"/>
        <v>0</v>
      </c>
      <c r="BU297" s="196">
        <f t="shared" si="404"/>
        <v>0</v>
      </c>
      <c r="BV297" s="196">
        <f t="shared" si="404"/>
        <v>0</v>
      </c>
      <c r="BW297" s="196">
        <f t="shared" si="404"/>
        <v>0</v>
      </c>
      <c r="BX297" s="196">
        <f t="shared" si="404"/>
        <v>0</v>
      </c>
      <c r="BZ297" s="196">
        <f t="shared" si="397"/>
        <v>0</v>
      </c>
      <c r="CA297" s="196">
        <f t="shared" si="397"/>
        <v>0</v>
      </c>
      <c r="CB297" s="196">
        <f t="shared" si="397"/>
        <v>0</v>
      </c>
      <c r="CD297" s="196">
        <f t="shared" si="398"/>
        <v>0</v>
      </c>
      <c r="CE297" s="196">
        <f t="shared" si="398"/>
        <v>0</v>
      </c>
      <c r="CF297" s="196">
        <f t="shared" si="398"/>
        <v>0</v>
      </c>
      <c r="CG297" s="196">
        <f t="shared" si="398"/>
        <v>0</v>
      </c>
    </row>
    <row r="298" spans="1:85" hidden="1" x14ac:dyDescent="0.2">
      <c r="A298" s="195" t="s">
        <v>958</v>
      </c>
      <c r="B298" s="196">
        <f t="shared" si="382"/>
        <v>0</v>
      </c>
      <c r="C298" s="196">
        <f t="shared" ref="C298:AA298" si="405">+C55-C214</f>
        <v>0</v>
      </c>
      <c r="D298" s="196">
        <f t="shared" si="405"/>
        <v>0</v>
      </c>
      <c r="E298" s="196">
        <f t="shared" ref="E298" si="406">+E55-E214</f>
        <v>0</v>
      </c>
      <c r="F298" s="196">
        <f t="shared" si="405"/>
        <v>0</v>
      </c>
      <c r="G298" s="196">
        <f t="shared" si="405"/>
        <v>0</v>
      </c>
      <c r="H298" s="196">
        <f t="shared" si="405"/>
        <v>0</v>
      </c>
      <c r="I298" s="196">
        <f t="shared" si="405"/>
        <v>0</v>
      </c>
      <c r="J298" s="196">
        <f t="shared" si="405"/>
        <v>0</v>
      </c>
      <c r="K298" s="196">
        <f t="shared" si="405"/>
        <v>0</v>
      </c>
      <c r="L298" s="196">
        <f t="shared" si="405"/>
        <v>0</v>
      </c>
      <c r="M298" s="196">
        <f t="shared" si="405"/>
        <v>0</v>
      </c>
      <c r="N298" s="196">
        <f t="shared" si="405"/>
        <v>0</v>
      </c>
      <c r="O298" s="196">
        <f t="shared" si="405"/>
        <v>0</v>
      </c>
      <c r="P298" s="196">
        <f t="shared" si="405"/>
        <v>0</v>
      </c>
      <c r="Q298" s="196">
        <f t="shared" si="385"/>
        <v>0</v>
      </c>
      <c r="R298" s="196">
        <f t="shared" si="405"/>
        <v>0</v>
      </c>
      <c r="S298" s="196">
        <f t="shared" si="386"/>
        <v>0</v>
      </c>
      <c r="T298" s="196">
        <f t="shared" si="405"/>
        <v>0</v>
      </c>
      <c r="U298" s="196">
        <f t="shared" si="387"/>
        <v>0</v>
      </c>
      <c r="V298" s="196">
        <f t="shared" si="387"/>
        <v>0</v>
      </c>
      <c r="W298" s="196">
        <f t="shared" si="405"/>
        <v>0</v>
      </c>
      <c r="X298" s="196">
        <f t="shared" si="388"/>
        <v>0</v>
      </c>
      <c r="Y298" s="196">
        <f t="shared" si="405"/>
        <v>0</v>
      </c>
      <c r="Z298" s="196">
        <f t="shared" si="405"/>
        <v>0</v>
      </c>
      <c r="AA298" s="196">
        <f t="shared" si="405"/>
        <v>0</v>
      </c>
      <c r="AB298" s="196">
        <f t="shared" si="389"/>
        <v>0</v>
      </c>
      <c r="AF298" s="196">
        <f t="shared" si="390"/>
        <v>0</v>
      </c>
      <c r="AR298" s="196">
        <f t="shared" si="391"/>
        <v>0</v>
      </c>
      <c r="AS298" s="196">
        <f t="shared" si="391"/>
        <v>0</v>
      </c>
      <c r="AT298" s="196">
        <f t="shared" si="391"/>
        <v>0</v>
      </c>
      <c r="AU298" s="196">
        <f t="shared" si="391"/>
        <v>0</v>
      </c>
      <c r="AV298" s="196">
        <f t="shared" si="391"/>
        <v>0</v>
      </c>
      <c r="AW298" s="196">
        <f t="shared" si="391"/>
        <v>0</v>
      </c>
      <c r="AY298" s="196">
        <f t="shared" ref="AY298:BX298" si="407">+AY55-AY214</f>
        <v>0</v>
      </c>
      <c r="AZ298" s="196">
        <f t="shared" si="407"/>
        <v>0</v>
      </c>
      <c r="BA298" s="196">
        <f t="shared" si="407"/>
        <v>0</v>
      </c>
      <c r="BB298" s="196">
        <f t="shared" si="407"/>
        <v>0</v>
      </c>
      <c r="BD298" s="196">
        <f t="shared" si="407"/>
        <v>0</v>
      </c>
      <c r="BE298" s="196">
        <f t="shared" si="393"/>
        <v>0</v>
      </c>
      <c r="BF298" s="196">
        <f t="shared" si="393"/>
        <v>0</v>
      </c>
      <c r="BG298" s="196">
        <f t="shared" si="393"/>
        <v>0</v>
      </c>
      <c r="BH298" s="196">
        <f t="shared" si="407"/>
        <v>0</v>
      </c>
      <c r="BI298" s="196">
        <f t="shared" si="394"/>
        <v>0</v>
      </c>
      <c r="BJ298" s="196">
        <f t="shared" si="407"/>
        <v>0</v>
      </c>
      <c r="BK298" s="196">
        <f t="shared" si="395"/>
        <v>0</v>
      </c>
      <c r="BL298" s="196">
        <f t="shared" si="407"/>
        <v>0</v>
      </c>
      <c r="BM298" s="196">
        <f t="shared" si="407"/>
        <v>0</v>
      </c>
      <c r="BO298" s="196">
        <f t="shared" si="407"/>
        <v>0</v>
      </c>
      <c r="BP298" s="196">
        <f t="shared" si="396"/>
        <v>0</v>
      </c>
      <c r="BT298" s="196">
        <f t="shared" si="407"/>
        <v>0</v>
      </c>
      <c r="BU298" s="196">
        <f t="shared" si="407"/>
        <v>0</v>
      </c>
      <c r="BV298" s="196">
        <f t="shared" si="407"/>
        <v>0</v>
      </c>
      <c r="BW298" s="196">
        <f t="shared" si="407"/>
        <v>0</v>
      </c>
      <c r="BX298" s="196">
        <f t="shared" si="407"/>
        <v>0</v>
      </c>
      <c r="BZ298" s="196">
        <f t="shared" si="397"/>
        <v>0</v>
      </c>
      <c r="CA298" s="196">
        <f t="shared" si="397"/>
        <v>0</v>
      </c>
      <c r="CB298" s="196">
        <f t="shared" si="397"/>
        <v>0</v>
      </c>
      <c r="CD298" s="196">
        <f t="shared" si="398"/>
        <v>0</v>
      </c>
      <c r="CE298" s="196">
        <f t="shared" si="398"/>
        <v>0</v>
      </c>
      <c r="CF298" s="196">
        <f t="shared" si="398"/>
        <v>0</v>
      </c>
      <c r="CG298" s="196">
        <f t="shared" si="398"/>
        <v>0</v>
      </c>
    </row>
    <row r="299" spans="1:85" hidden="1" x14ac:dyDescent="0.2">
      <c r="A299" s="195" t="s">
        <v>956</v>
      </c>
      <c r="B299" s="196">
        <f t="shared" si="382"/>
        <v>-1545</v>
      </c>
      <c r="C299" s="196">
        <f t="shared" ref="C299:AA299" si="408">+C56-C215</f>
        <v>0</v>
      </c>
      <c r="D299" s="196">
        <f t="shared" si="408"/>
        <v>0</v>
      </c>
      <c r="E299" s="196">
        <f t="shared" ref="E299" si="409">+E56-E215</f>
        <v>-696</v>
      </c>
      <c r="F299" s="196">
        <f t="shared" si="408"/>
        <v>-696</v>
      </c>
      <c r="G299" s="196">
        <f t="shared" si="408"/>
        <v>-153</v>
      </c>
      <c r="H299" s="196">
        <f t="shared" si="408"/>
        <v>0</v>
      </c>
      <c r="I299" s="196">
        <f t="shared" si="408"/>
        <v>0</v>
      </c>
      <c r="J299" s="196">
        <f t="shared" si="408"/>
        <v>0</v>
      </c>
      <c r="K299" s="196">
        <f t="shared" si="408"/>
        <v>0</v>
      </c>
      <c r="L299" s="196">
        <f t="shared" si="408"/>
        <v>0</v>
      </c>
      <c r="M299" s="196">
        <f t="shared" si="408"/>
        <v>0</v>
      </c>
      <c r="N299" s="196">
        <f t="shared" si="408"/>
        <v>0</v>
      </c>
      <c r="O299" s="196">
        <f t="shared" si="408"/>
        <v>0</v>
      </c>
      <c r="P299" s="196">
        <f t="shared" si="408"/>
        <v>0</v>
      </c>
      <c r="Q299" s="196">
        <f t="shared" si="385"/>
        <v>0</v>
      </c>
      <c r="R299" s="196">
        <f t="shared" si="408"/>
        <v>0</v>
      </c>
      <c r="S299" s="196">
        <f t="shared" si="386"/>
        <v>0</v>
      </c>
      <c r="T299" s="196">
        <f t="shared" si="408"/>
        <v>0</v>
      </c>
      <c r="U299" s="196">
        <f t="shared" si="387"/>
        <v>0</v>
      </c>
      <c r="V299" s="196">
        <f t="shared" si="387"/>
        <v>0</v>
      </c>
      <c r="W299" s="196">
        <f t="shared" si="408"/>
        <v>0</v>
      </c>
      <c r="X299" s="196">
        <f t="shared" si="388"/>
        <v>0</v>
      </c>
      <c r="Y299" s="196">
        <f t="shared" si="408"/>
        <v>0</v>
      </c>
      <c r="Z299" s="196">
        <f t="shared" si="408"/>
        <v>0</v>
      </c>
      <c r="AA299" s="196">
        <f t="shared" si="408"/>
        <v>0</v>
      </c>
      <c r="AB299" s="196">
        <f t="shared" si="389"/>
        <v>0</v>
      </c>
      <c r="AF299" s="196">
        <f t="shared" si="390"/>
        <v>0</v>
      </c>
      <c r="AR299" s="196">
        <f t="shared" si="391"/>
        <v>0</v>
      </c>
      <c r="AS299" s="196">
        <f t="shared" si="391"/>
        <v>0</v>
      </c>
      <c r="AT299" s="196">
        <f t="shared" si="391"/>
        <v>0</v>
      </c>
      <c r="AU299" s="196">
        <f t="shared" si="391"/>
        <v>0</v>
      </c>
      <c r="AV299" s="196">
        <f t="shared" si="391"/>
        <v>0</v>
      </c>
      <c r="AW299" s="196">
        <f t="shared" si="391"/>
        <v>0</v>
      </c>
      <c r="AY299" s="196">
        <f t="shared" ref="AY299:BX299" si="410">+AY56-AY215</f>
        <v>0</v>
      </c>
      <c r="AZ299" s="196">
        <f t="shared" si="410"/>
        <v>0</v>
      </c>
      <c r="BA299" s="196">
        <f t="shared" si="410"/>
        <v>0</v>
      </c>
      <c r="BB299" s="196">
        <f t="shared" si="410"/>
        <v>0</v>
      </c>
      <c r="BD299" s="196">
        <f t="shared" si="410"/>
        <v>0</v>
      </c>
      <c r="BE299" s="196">
        <f t="shared" si="393"/>
        <v>0</v>
      </c>
      <c r="BF299" s="196">
        <f t="shared" si="393"/>
        <v>0</v>
      </c>
      <c r="BG299" s="196">
        <f t="shared" si="393"/>
        <v>0</v>
      </c>
      <c r="BH299" s="196">
        <f t="shared" si="410"/>
        <v>0</v>
      </c>
      <c r="BI299" s="196">
        <f t="shared" si="394"/>
        <v>0</v>
      </c>
      <c r="BJ299" s="196">
        <f t="shared" si="410"/>
        <v>0</v>
      </c>
      <c r="BK299" s="196">
        <f t="shared" si="395"/>
        <v>0</v>
      </c>
      <c r="BL299" s="196">
        <f t="shared" si="410"/>
        <v>0</v>
      </c>
      <c r="BM299" s="196">
        <f t="shared" si="410"/>
        <v>0</v>
      </c>
      <c r="BO299" s="196">
        <f t="shared" si="410"/>
        <v>0</v>
      </c>
      <c r="BP299" s="196">
        <f t="shared" si="396"/>
        <v>0</v>
      </c>
      <c r="BT299" s="196">
        <f t="shared" si="410"/>
        <v>0</v>
      </c>
      <c r="BU299" s="196">
        <f t="shared" si="410"/>
        <v>0</v>
      </c>
      <c r="BV299" s="196">
        <f t="shared" si="410"/>
        <v>0</v>
      </c>
      <c r="BW299" s="196">
        <f t="shared" si="410"/>
        <v>0</v>
      </c>
      <c r="BX299" s="196">
        <f t="shared" si="410"/>
        <v>0</v>
      </c>
      <c r="BZ299" s="196">
        <f t="shared" si="397"/>
        <v>0</v>
      </c>
      <c r="CA299" s="196">
        <f t="shared" si="397"/>
        <v>0</v>
      </c>
      <c r="CB299" s="196">
        <f t="shared" si="397"/>
        <v>0</v>
      </c>
      <c r="CD299" s="196">
        <f t="shared" si="398"/>
        <v>0</v>
      </c>
      <c r="CE299" s="196">
        <f t="shared" si="398"/>
        <v>0</v>
      </c>
      <c r="CF299" s="196">
        <f t="shared" si="398"/>
        <v>0</v>
      </c>
      <c r="CG299" s="196">
        <f t="shared" si="398"/>
        <v>0</v>
      </c>
    </row>
    <row r="300" spans="1:85" hidden="1" x14ac:dyDescent="0.2">
      <c r="A300" s="195" t="s">
        <v>961</v>
      </c>
      <c r="B300" s="196">
        <f t="shared" si="382"/>
        <v>0</v>
      </c>
      <c r="C300" s="196">
        <f t="shared" ref="C300:AA300" si="411">+C57-C216</f>
        <v>0</v>
      </c>
      <c r="D300" s="196">
        <f t="shared" si="411"/>
        <v>0</v>
      </c>
      <c r="E300" s="196">
        <f t="shared" ref="E300" si="412">+E57-E216</f>
        <v>0</v>
      </c>
      <c r="F300" s="196">
        <f t="shared" si="411"/>
        <v>0</v>
      </c>
      <c r="G300" s="196">
        <f t="shared" si="411"/>
        <v>0</v>
      </c>
      <c r="H300" s="196">
        <f t="shared" si="411"/>
        <v>0</v>
      </c>
      <c r="I300" s="196">
        <f t="shared" si="411"/>
        <v>0</v>
      </c>
      <c r="J300" s="196">
        <f t="shared" si="411"/>
        <v>0</v>
      </c>
      <c r="K300" s="196">
        <f t="shared" si="411"/>
        <v>0</v>
      </c>
      <c r="L300" s="196">
        <f t="shared" si="411"/>
        <v>0</v>
      </c>
      <c r="M300" s="196">
        <f t="shared" si="411"/>
        <v>0</v>
      </c>
      <c r="N300" s="196">
        <f t="shared" si="411"/>
        <v>0</v>
      </c>
      <c r="O300" s="196">
        <f t="shared" si="411"/>
        <v>0</v>
      </c>
      <c r="P300" s="196">
        <f t="shared" si="411"/>
        <v>0</v>
      </c>
      <c r="Q300" s="196">
        <f t="shared" si="385"/>
        <v>0</v>
      </c>
      <c r="R300" s="196">
        <f t="shared" si="411"/>
        <v>0</v>
      </c>
      <c r="S300" s="196">
        <f t="shared" si="386"/>
        <v>0</v>
      </c>
      <c r="T300" s="196">
        <f t="shared" si="411"/>
        <v>0</v>
      </c>
      <c r="U300" s="196">
        <f t="shared" si="387"/>
        <v>0</v>
      </c>
      <c r="V300" s="196">
        <f t="shared" si="387"/>
        <v>0</v>
      </c>
      <c r="W300" s="196">
        <f t="shared" si="411"/>
        <v>0</v>
      </c>
      <c r="X300" s="196">
        <f t="shared" si="388"/>
        <v>0</v>
      </c>
      <c r="Y300" s="196">
        <f t="shared" si="411"/>
        <v>0</v>
      </c>
      <c r="Z300" s="196">
        <f t="shared" si="411"/>
        <v>0</v>
      </c>
      <c r="AA300" s="196">
        <f t="shared" si="411"/>
        <v>0</v>
      </c>
      <c r="AB300" s="196">
        <f t="shared" si="389"/>
        <v>0</v>
      </c>
      <c r="AF300" s="196">
        <f t="shared" si="390"/>
        <v>0</v>
      </c>
      <c r="AR300" s="196">
        <f t="shared" si="391"/>
        <v>0</v>
      </c>
      <c r="AS300" s="196">
        <f t="shared" si="391"/>
        <v>0</v>
      </c>
      <c r="AT300" s="196">
        <f t="shared" si="391"/>
        <v>0</v>
      </c>
      <c r="AU300" s="196">
        <f t="shared" si="391"/>
        <v>0</v>
      </c>
      <c r="AV300" s="196">
        <f t="shared" si="391"/>
        <v>0</v>
      </c>
      <c r="AW300" s="196">
        <f t="shared" si="391"/>
        <v>0</v>
      </c>
      <c r="AY300" s="196">
        <f t="shared" ref="AY300:BX300" si="413">+AY57-AY216</f>
        <v>0</v>
      </c>
      <c r="AZ300" s="196">
        <f t="shared" si="413"/>
        <v>0</v>
      </c>
      <c r="BA300" s="196">
        <f t="shared" si="413"/>
        <v>0</v>
      </c>
      <c r="BB300" s="196">
        <f t="shared" si="413"/>
        <v>0</v>
      </c>
      <c r="BD300" s="196">
        <f t="shared" si="413"/>
        <v>0</v>
      </c>
      <c r="BE300" s="196">
        <f t="shared" si="393"/>
        <v>0</v>
      </c>
      <c r="BF300" s="196">
        <f t="shared" si="393"/>
        <v>0</v>
      </c>
      <c r="BG300" s="196">
        <f t="shared" si="393"/>
        <v>0</v>
      </c>
      <c r="BH300" s="196">
        <f t="shared" si="413"/>
        <v>0</v>
      </c>
      <c r="BI300" s="196">
        <f t="shared" si="394"/>
        <v>0</v>
      </c>
      <c r="BJ300" s="196">
        <f t="shared" si="413"/>
        <v>0</v>
      </c>
      <c r="BK300" s="196">
        <f t="shared" si="395"/>
        <v>0</v>
      </c>
      <c r="BL300" s="196">
        <f t="shared" si="413"/>
        <v>0</v>
      </c>
      <c r="BM300" s="196">
        <f t="shared" si="413"/>
        <v>0</v>
      </c>
      <c r="BO300" s="196">
        <f t="shared" si="413"/>
        <v>0</v>
      </c>
      <c r="BP300" s="196">
        <f t="shared" si="396"/>
        <v>0</v>
      </c>
      <c r="BT300" s="196">
        <f t="shared" si="413"/>
        <v>0</v>
      </c>
      <c r="BU300" s="196">
        <f t="shared" si="413"/>
        <v>0</v>
      </c>
      <c r="BV300" s="196">
        <f t="shared" si="413"/>
        <v>0</v>
      </c>
      <c r="BW300" s="196">
        <f t="shared" si="413"/>
        <v>0</v>
      </c>
      <c r="BX300" s="196">
        <f t="shared" si="413"/>
        <v>0</v>
      </c>
      <c r="BZ300" s="196">
        <f t="shared" si="397"/>
        <v>0</v>
      </c>
      <c r="CA300" s="196">
        <f t="shared" si="397"/>
        <v>0</v>
      </c>
      <c r="CB300" s="196">
        <f t="shared" si="397"/>
        <v>0</v>
      </c>
      <c r="CD300" s="196">
        <f t="shared" si="398"/>
        <v>0</v>
      </c>
      <c r="CE300" s="196">
        <f t="shared" si="398"/>
        <v>0</v>
      </c>
      <c r="CF300" s="196">
        <f t="shared" si="398"/>
        <v>0</v>
      </c>
      <c r="CG300" s="196">
        <f t="shared" si="398"/>
        <v>0</v>
      </c>
    </row>
    <row r="301" spans="1:85" hidden="1" x14ac:dyDescent="0.2">
      <c r="A301" s="195" t="s">
        <v>960</v>
      </c>
      <c r="B301" s="196">
        <f t="shared" si="382"/>
        <v>2</v>
      </c>
      <c r="C301" s="196">
        <f t="shared" ref="C301:AA301" si="414">+C58-C217</f>
        <v>0</v>
      </c>
      <c r="D301" s="196">
        <f t="shared" si="414"/>
        <v>0</v>
      </c>
      <c r="E301" s="196">
        <f t="shared" ref="E301" si="415">+E58-E217</f>
        <v>0</v>
      </c>
      <c r="F301" s="196">
        <f t="shared" si="414"/>
        <v>0</v>
      </c>
      <c r="G301" s="196">
        <f t="shared" si="414"/>
        <v>0</v>
      </c>
      <c r="H301" s="196">
        <f t="shared" si="414"/>
        <v>0</v>
      </c>
      <c r="I301" s="196">
        <f t="shared" si="414"/>
        <v>0</v>
      </c>
      <c r="J301" s="196">
        <f t="shared" si="414"/>
        <v>0</v>
      </c>
      <c r="K301" s="196">
        <f t="shared" si="414"/>
        <v>0</v>
      </c>
      <c r="L301" s="196">
        <f t="shared" si="414"/>
        <v>0</v>
      </c>
      <c r="M301" s="196">
        <f t="shared" si="414"/>
        <v>0</v>
      </c>
      <c r="N301" s="196">
        <f t="shared" si="414"/>
        <v>0</v>
      </c>
      <c r="O301" s="196">
        <f t="shared" si="414"/>
        <v>0</v>
      </c>
      <c r="P301" s="196">
        <f t="shared" si="414"/>
        <v>0</v>
      </c>
      <c r="Q301" s="196">
        <f t="shared" si="385"/>
        <v>0</v>
      </c>
      <c r="R301" s="196">
        <f t="shared" si="414"/>
        <v>0</v>
      </c>
      <c r="S301" s="196">
        <f t="shared" si="386"/>
        <v>0</v>
      </c>
      <c r="T301" s="196">
        <f t="shared" si="414"/>
        <v>0</v>
      </c>
      <c r="U301" s="196">
        <f t="shared" si="387"/>
        <v>0</v>
      </c>
      <c r="V301" s="196">
        <f t="shared" si="387"/>
        <v>0</v>
      </c>
      <c r="W301" s="196">
        <f t="shared" si="414"/>
        <v>0</v>
      </c>
      <c r="X301" s="196">
        <f t="shared" si="388"/>
        <v>0</v>
      </c>
      <c r="Y301" s="196">
        <f t="shared" si="414"/>
        <v>0</v>
      </c>
      <c r="Z301" s="196">
        <f t="shared" si="414"/>
        <v>0</v>
      </c>
      <c r="AA301" s="196">
        <f t="shared" si="414"/>
        <v>0</v>
      </c>
      <c r="AB301" s="196">
        <f t="shared" si="389"/>
        <v>0</v>
      </c>
      <c r="AF301" s="196">
        <f t="shared" si="390"/>
        <v>-16</v>
      </c>
      <c r="AR301" s="196">
        <f t="shared" si="391"/>
        <v>0</v>
      </c>
      <c r="AS301" s="196">
        <f t="shared" si="391"/>
        <v>0</v>
      </c>
      <c r="AT301" s="196">
        <f t="shared" si="391"/>
        <v>18</v>
      </c>
      <c r="AU301" s="196">
        <f t="shared" si="391"/>
        <v>0</v>
      </c>
      <c r="AV301" s="196">
        <f t="shared" si="391"/>
        <v>0</v>
      </c>
      <c r="AW301" s="196">
        <f t="shared" si="391"/>
        <v>0</v>
      </c>
      <c r="AY301" s="196">
        <f t="shared" ref="AY301:BX301" si="416">+AY58-AY217</f>
        <v>0</v>
      </c>
      <c r="AZ301" s="196">
        <f t="shared" si="416"/>
        <v>0</v>
      </c>
      <c r="BA301" s="196">
        <f t="shared" si="416"/>
        <v>0</v>
      </c>
      <c r="BB301" s="196">
        <f t="shared" si="416"/>
        <v>0</v>
      </c>
      <c r="BD301" s="196">
        <f t="shared" si="416"/>
        <v>0</v>
      </c>
      <c r="BE301" s="196">
        <f t="shared" si="393"/>
        <v>0</v>
      </c>
      <c r="BF301" s="196">
        <f t="shared" si="393"/>
        <v>0</v>
      </c>
      <c r="BG301" s="196">
        <f t="shared" si="393"/>
        <v>0</v>
      </c>
      <c r="BH301" s="196">
        <f t="shared" si="416"/>
        <v>0</v>
      </c>
      <c r="BI301" s="196">
        <f t="shared" si="394"/>
        <v>0</v>
      </c>
      <c r="BJ301" s="196">
        <f t="shared" si="416"/>
        <v>0</v>
      </c>
      <c r="BK301" s="196">
        <f t="shared" si="395"/>
        <v>0</v>
      </c>
      <c r="BL301" s="196">
        <f t="shared" si="416"/>
        <v>0</v>
      </c>
      <c r="BM301" s="196">
        <f t="shared" si="416"/>
        <v>0</v>
      </c>
      <c r="BO301" s="196">
        <f t="shared" si="416"/>
        <v>0</v>
      </c>
      <c r="BP301" s="196">
        <f t="shared" si="396"/>
        <v>0</v>
      </c>
      <c r="BT301" s="196">
        <f t="shared" si="416"/>
        <v>0</v>
      </c>
      <c r="BU301" s="196">
        <f t="shared" si="416"/>
        <v>0</v>
      </c>
      <c r="BV301" s="196">
        <f t="shared" si="416"/>
        <v>0</v>
      </c>
      <c r="BW301" s="196">
        <f t="shared" si="416"/>
        <v>0</v>
      </c>
      <c r="BX301" s="196">
        <f t="shared" si="416"/>
        <v>0</v>
      </c>
      <c r="BZ301" s="196">
        <f t="shared" si="397"/>
        <v>0</v>
      </c>
      <c r="CA301" s="196">
        <f t="shared" si="397"/>
        <v>0</v>
      </c>
      <c r="CB301" s="196">
        <f t="shared" si="397"/>
        <v>0</v>
      </c>
      <c r="CD301" s="196">
        <f t="shared" si="398"/>
        <v>0</v>
      </c>
      <c r="CE301" s="196">
        <f t="shared" si="398"/>
        <v>0</v>
      </c>
      <c r="CF301" s="196">
        <f t="shared" si="398"/>
        <v>0</v>
      </c>
      <c r="CG301" s="196">
        <f t="shared" si="398"/>
        <v>0</v>
      </c>
    </row>
    <row r="302" spans="1:85" hidden="1" x14ac:dyDescent="0.2">
      <c r="A302" s="195" t="s">
        <v>963</v>
      </c>
      <c r="B302" s="196">
        <f t="shared" si="382"/>
        <v>-2517</v>
      </c>
      <c r="C302" s="196">
        <f t="shared" ref="C302:AA302" si="417">+C59-C218</f>
        <v>0</v>
      </c>
      <c r="D302" s="196">
        <f t="shared" si="417"/>
        <v>0</v>
      </c>
      <c r="E302" s="196">
        <f t="shared" ref="E302" si="418">+E59-E218</f>
        <v>0</v>
      </c>
      <c r="F302" s="196">
        <f t="shared" si="417"/>
        <v>0</v>
      </c>
      <c r="G302" s="196">
        <f t="shared" si="417"/>
        <v>-420</v>
      </c>
      <c r="H302" s="196">
        <f t="shared" si="417"/>
        <v>0</v>
      </c>
      <c r="I302" s="196">
        <f t="shared" si="417"/>
        <v>0</v>
      </c>
      <c r="J302" s="196">
        <f t="shared" si="417"/>
        <v>0</v>
      </c>
      <c r="K302" s="196">
        <f t="shared" si="417"/>
        <v>0</v>
      </c>
      <c r="L302" s="196">
        <f t="shared" si="417"/>
        <v>0</v>
      </c>
      <c r="M302" s="196">
        <f t="shared" si="417"/>
        <v>0</v>
      </c>
      <c r="N302" s="196">
        <f t="shared" si="417"/>
        <v>0</v>
      </c>
      <c r="O302" s="196">
        <f t="shared" si="417"/>
        <v>0</v>
      </c>
      <c r="P302" s="196">
        <f t="shared" si="417"/>
        <v>0</v>
      </c>
      <c r="Q302" s="196">
        <f t="shared" si="385"/>
        <v>0</v>
      </c>
      <c r="R302" s="196">
        <f t="shared" si="417"/>
        <v>0</v>
      </c>
      <c r="S302" s="196">
        <f t="shared" si="386"/>
        <v>0</v>
      </c>
      <c r="T302" s="196">
        <f t="shared" si="417"/>
        <v>0</v>
      </c>
      <c r="U302" s="196">
        <f t="shared" si="387"/>
        <v>0</v>
      </c>
      <c r="V302" s="196">
        <f t="shared" si="387"/>
        <v>0</v>
      </c>
      <c r="W302" s="196">
        <f t="shared" si="417"/>
        <v>0</v>
      </c>
      <c r="X302" s="196">
        <f t="shared" si="388"/>
        <v>0</v>
      </c>
      <c r="Y302" s="196">
        <f t="shared" si="417"/>
        <v>0</v>
      </c>
      <c r="Z302" s="196">
        <f t="shared" si="417"/>
        <v>0</v>
      </c>
      <c r="AA302" s="196">
        <f t="shared" si="417"/>
        <v>0</v>
      </c>
      <c r="AB302" s="196">
        <f t="shared" si="389"/>
        <v>0</v>
      </c>
      <c r="AF302" s="196">
        <f t="shared" si="390"/>
        <v>0</v>
      </c>
      <c r="AR302" s="196">
        <f t="shared" si="391"/>
        <v>-2097</v>
      </c>
      <c r="AS302" s="196">
        <f t="shared" si="391"/>
        <v>0</v>
      </c>
      <c r="AT302" s="196">
        <f t="shared" si="391"/>
        <v>0</v>
      </c>
      <c r="AU302" s="196">
        <f t="shared" si="391"/>
        <v>0</v>
      </c>
      <c r="AV302" s="196">
        <f t="shared" si="391"/>
        <v>0</v>
      </c>
      <c r="AW302" s="196">
        <f t="shared" si="391"/>
        <v>0</v>
      </c>
      <c r="AY302" s="196">
        <f t="shared" ref="AY302:BX302" si="419">+AY59-AY218</f>
        <v>0</v>
      </c>
      <c r="AZ302" s="196">
        <f t="shared" si="419"/>
        <v>0</v>
      </c>
      <c r="BA302" s="196">
        <f t="shared" si="419"/>
        <v>0</v>
      </c>
      <c r="BB302" s="196">
        <f t="shared" si="419"/>
        <v>0</v>
      </c>
      <c r="BD302" s="196">
        <f t="shared" si="419"/>
        <v>0</v>
      </c>
      <c r="BE302" s="196">
        <f t="shared" si="393"/>
        <v>0</v>
      </c>
      <c r="BF302" s="196">
        <f t="shared" si="393"/>
        <v>0</v>
      </c>
      <c r="BG302" s="196">
        <f t="shared" si="393"/>
        <v>0</v>
      </c>
      <c r="BH302" s="196">
        <f t="shared" si="419"/>
        <v>0</v>
      </c>
      <c r="BI302" s="196">
        <f t="shared" si="394"/>
        <v>0</v>
      </c>
      <c r="BJ302" s="196">
        <f t="shared" si="419"/>
        <v>0</v>
      </c>
      <c r="BK302" s="196">
        <f t="shared" si="395"/>
        <v>0</v>
      </c>
      <c r="BL302" s="196">
        <f t="shared" si="419"/>
        <v>0</v>
      </c>
      <c r="BM302" s="196">
        <f t="shared" si="419"/>
        <v>0</v>
      </c>
      <c r="BO302" s="196">
        <f t="shared" si="419"/>
        <v>0</v>
      </c>
      <c r="BP302" s="196">
        <f t="shared" si="396"/>
        <v>0</v>
      </c>
      <c r="BT302" s="196">
        <f t="shared" si="419"/>
        <v>0</v>
      </c>
      <c r="BU302" s="196">
        <f t="shared" si="419"/>
        <v>0</v>
      </c>
      <c r="BV302" s="196">
        <f t="shared" si="419"/>
        <v>0</v>
      </c>
      <c r="BW302" s="196">
        <f t="shared" si="419"/>
        <v>0</v>
      </c>
      <c r="BX302" s="196">
        <f t="shared" si="419"/>
        <v>0</v>
      </c>
      <c r="BZ302" s="196">
        <f t="shared" si="397"/>
        <v>0</v>
      </c>
      <c r="CA302" s="196">
        <f t="shared" si="397"/>
        <v>0</v>
      </c>
      <c r="CB302" s="196">
        <f t="shared" si="397"/>
        <v>0</v>
      </c>
      <c r="CD302" s="196">
        <f t="shared" si="398"/>
        <v>0</v>
      </c>
      <c r="CE302" s="196">
        <f t="shared" si="398"/>
        <v>0</v>
      </c>
      <c r="CF302" s="196">
        <f t="shared" si="398"/>
        <v>0</v>
      </c>
      <c r="CG302" s="196">
        <f t="shared" si="398"/>
        <v>0</v>
      </c>
    </row>
    <row r="303" spans="1:85" hidden="1" x14ac:dyDescent="0.2">
      <c r="A303" s="195" t="s">
        <v>959</v>
      </c>
      <c r="B303" s="196">
        <f t="shared" si="382"/>
        <v>-426</v>
      </c>
      <c r="C303" s="196">
        <f t="shared" ref="C303:AA303" si="420">+C60-C219</f>
        <v>0</v>
      </c>
      <c r="D303" s="196">
        <f t="shared" si="420"/>
        <v>0</v>
      </c>
      <c r="E303" s="196">
        <f t="shared" ref="E303" si="421">+E60-E219</f>
        <v>-213</v>
      </c>
      <c r="F303" s="196">
        <f t="shared" si="420"/>
        <v>-213</v>
      </c>
      <c r="G303" s="196">
        <f t="shared" si="420"/>
        <v>0</v>
      </c>
      <c r="H303" s="196">
        <f t="shared" si="420"/>
        <v>0</v>
      </c>
      <c r="I303" s="196">
        <f t="shared" si="420"/>
        <v>0</v>
      </c>
      <c r="J303" s="196">
        <f t="shared" si="420"/>
        <v>0</v>
      </c>
      <c r="K303" s="196">
        <f t="shared" si="420"/>
        <v>0</v>
      </c>
      <c r="L303" s="196">
        <f t="shared" si="420"/>
        <v>0</v>
      </c>
      <c r="M303" s="196">
        <f t="shared" si="420"/>
        <v>0</v>
      </c>
      <c r="N303" s="196">
        <f t="shared" si="420"/>
        <v>0</v>
      </c>
      <c r="O303" s="196">
        <f t="shared" si="420"/>
        <v>0</v>
      </c>
      <c r="P303" s="196">
        <f t="shared" si="420"/>
        <v>0</v>
      </c>
      <c r="Q303" s="196">
        <f t="shared" si="385"/>
        <v>0</v>
      </c>
      <c r="R303" s="196">
        <f t="shared" si="420"/>
        <v>0</v>
      </c>
      <c r="S303" s="196">
        <f t="shared" si="386"/>
        <v>0</v>
      </c>
      <c r="T303" s="196">
        <f t="shared" si="420"/>
        <v>0</v>
      </c>
      <c r="U303" s="196">
        <f t="shared" si="387"/>
        <v>0</v>
      </c>
      <c r="V303" s="196">
        <f t="shared" si="387"/>
        <v>0</v>
      </c>
      <c r="W303" s="196">
        <f t="shared" si="420"/>
        <v>0</v>
      </c>
      <c r="X303" s="196">
        <f t="shared" si="388"/>
        <v>0</v>
      </c>
      <c r="Y303" s="196">
        <f t="shared" si="420"/>
        <v>0</v>
      </c>
      <c r="Z303" s="196">
        <f t="shared" si="420"/>
        <v>0</v>
      </c>
      <c r="AA303" s="196">
        <f t="shared" si="420"/>
        <v>0</v>
      </c>
      <c r="AB303" s="196">
        <f t="shared" si="389"/>
        <v>0</v>
      </c>
      <c r="AF303" s="196">
        <f t="shared" si="390"/>
        <v>0</v>
      </c>
      <c r="AR303" s="196">
        <f t="shared" si="391"/>
        <v>0</v>
      </c>
      <c r="AS303" s="196">
        <f t="shared" si="391"/>
        <v>0</v>
      </c>
      <c r="AT303" s="196">
        <f t="shared" si="391"/>
        <v>0</v>
      </c>
      <c r="AU303" s="196">
        <f t="shared" si="391"/>
        <v>0</v>
      </c>
      <c r="AV303" s="196">
        <f t="shared" si="391"/>
        <v>0</v>
      </c>
      <c r="AW303" s="196">
        <f t="shared" si="391"/>
        <v>0</v>
      </c>
      <c r="AY303" s="196">
        <f t="shared" ref="AY303:BX303" si="422">+AY60-AY219</f>
        <v>0</v>
      </c>
      <c r="AZ303" s="196">
        <f t="shared" si="422"/>
        <v>0</v>
      </c>
      <c r="BA303" s="196">
        <f t="shared" si="422"/>
        <v>0</v>
      </c>
      <c r="BB303" s="196">
        <f t="shared" si="422"/>
        <v>0</v>
      </c>
      <c r="BD303" s="196">
        <f t="shared" si="422"/>
        <v>0</v>
      </c>
      <c r="BE303" s="196">
        <f t="shared" si="393"/>
        <v>0</v>
      </c>
      <c r="BF303" s="196">
        <f t="shared" si="393"/>
        <v>0</v>
      </c>
      <c r="BG303" s="196">
        <f t="shared" si="393"/>
        <v>0</v>
      </c>
      <c r="BH303" s="196">
        <f t="shared" si="422"/>
        <v>0</v>
      </c>
      <c r="BI303" s="196">
        <f t="shared" si="394"/>
        <v>0</v>
      </c>
      <c r="BJ303" s="196">
        <f t="shared" si="422"/>
        <v>0</v>
      </c>
      <c r="BK303" s="196">
        <f t="shared" si="395"/>
        <v>0</v>
      </c>
      <c r="BL303" s="196">
        <f t="shared" si="422"/>
        <v>0</v>
      </c>
      <c r="BM303" s="196">
        <f t="shared" si="422"/>
        <v>0</v>
      </c>
      <c r="BO303" s="196">
        <f t="shared" si="422"/>
        <v>0</v>
      </c>
      <c r="BP303" s="196">
        <f t="shared" si="396"/>
        <v>0</v>
      </c>
      <c r="BT303" s="196">
        <f t="shared" si="422"/>
        <v>0</v>
      </c>
      <c r="BU303" s="196">
        <f t="shared" si="422"/>
        <v>0</v>
      </c>
      <c r="BV303" s="196">
        <f t="shared" si="422"/>
        <v>0</v>
      </c>
      <c r="BW303" s="196">
        <f t="shared" si="422"/>
        <v>0</v>
      </c>
      <c r="BX303" s="196">
        <f t="shared" si="422"/>
        <v>0</v>
      </c>
      <c r="BZ303" s="196">
        <f t="shared" si="397"/>
        <v>0</v>
      </c>
      <c r="CA303" s="196">
        <f t="shared" si="397"/>
        <v>0</v>
      </c>
      <c r="CB303" s="196">
        <f t="shared" si="397"/>
        <v>0</v>
      </c>
      <c r="CD303" s="196">
        <f t="shared" si="398"/>
        <v>0</v>
      </c>
      <c r="CE303" s="196">
        <f t="shared" si="398"/>
        <v>0</v>
      </c>
      <c r="CF303" s="196">
        <f t="shared" si="398"/>
        <v>0</v>
      </c>
      <c r="CG303" s="196">
        <f t="shared" si="398"/>
        <v>0</v>
      </c>
    </row>
    <row r="304" spans="1:85" hidden="1" x14ac:dyDescent="0.2">
      <c r="A304" s="195" t="s">
        <v>1052</v>
      </c>
      <c r="B304" s="196">
        <f t="shared" si="382"/>
        <v>-62917</v>
      </c>
      <c r="C304" s="196">
        <f t="shared" ref="C304:AA304" si="423">+C62-C220</f>
        <v>0</v>
      </c>
      <c r="D304" s="196">
        <f t="shared" si="423"/>
        <v>0</v>
      </c>
      <c r="E304" s="196">
        <f t="shared" ref="E304" si="424">+E62-E220</f>
        <v>0</v>
      </c>
      <c r="F304" s="196">
        <f t="shared" si="423"/>
        <v>0</v>
      </c>
      <c r="G304" s="196">
        <f t="shared" si="423"/>
        <v>0</v>
      </c>
      <c r="H304" s="196">
        <f t="shared" si="423"/>
        <v>0</v>
      </c>
      <c r="I304" s="196">
        <f t="shared" si="423"/>
        <v>0</v>
      </c>
      <c r="J304" s="196">
        <f t="shared" si="423"/>
        <v>0</v>
      </c>
      <c r="K304" s="196">
        <f t="shared" si="423"/>
        <v>0</v>
      </c>
      <c r="L304" s="196">
        <f t="shared" si="423"/>
        <v>0</v>
      </c>
      <c r="M304" s="196">
        <f t="shared" si="423"/>
        <v>0</v>
      </c>
      <c r="N304" s="196">
        <f t="shared" si="423"/>
        <v>0</v>
      </c>
      <c r="O304" s="196">
        <f t="shared" si="423"/>
        <v>0</v>
      </c>
      <c r="P304" s="196">
        <f t="shared" si="423"/>
        <v>0</v>
      </c>
      <c r="Q304" s="196">
        <f>+Q62-Q220</f>
        <v>0</v>
      </c>
      <c r="R304" s="196">
        <f t="shared" si="423"/>
        <v>0</v>
      </c>
      <c r="S304" s="196">
        <f>+S62-S220</f>
        <v>0</v>
      </c>
      <c r="T304" s="196">
        <f t="shared" si="423"/>
        <v>0</v>
      </c>
      <c r="U304" s="196">
        <f>+U62-U220</f>
        <v>0</v>
      </c>
      <c r="V304" s="196">
        <f>+V62-V220</f>
        <v>0</v>
      </c>
      <c r="W304" s="196">
        <f t="shared" si="423"/>
        <v>0</v>
      </c>
      <c r="X304" s="196">
        <f>+X62-X220</f>
        <v>0</v>
      </c>
      <c r="Y304" s="196">
        <f t="shared" si="423"/>
        <v>0</v>
      </c>
      <c r="Z304" s="196">
        <f t="shared" si="423"/>
        <v>-524</v>
      </c>
      <c r="AA304" s="196">
        <f t="shared" si="423"/>
        <v>0</v>
      </c>
      <c r="AB304" s="196">
        <f>+AB62-AB220</f>
        <v>0</v>
      </c>
      <c r="AF304" s="196">
        <f>+AF62-AF220</f>
        <v>0</v>
      </c>
      <c r="AR304" s="196">
        <f t="shared" ref="AR304:AW304" si="425">+AR62-AR220</f>
        <v>0</v>
      </c>
      <c r="AS304" s="196">
        <f t="shared" si="425"/>
        <v>0</v>
      </c>
      <c r="AT304" s="196">
        <f t="shared" si="425"/>
        <v>0</v>
      </c>
      <c r="AU304" s="196">
        <f t="shared" si="425"/>
        <v>0</v>
      </c>
      <c r="AV304" s="196">
        <f t="shared" si="425"/>
        <v>0</v>
      </c>
      <c r="AW304" s="196">
        <f t="shared" si="425"/>
        <v>0</v>
      </c>
      <c r="AY304" s="196">
        <f t="shared" ref="AY304:BX304" si="426">+AY62-AY220</f>
        <v>0</v>
      </c>
      <c r="AZ304" s="196">
        <f t="shared" si="426"/>
        <v>0</v>
      </c>
      <c r="BA304" s="196">
        <f t="shared" si="426"/>
        <v>0</v>
      </c>
      <c r="BB304" s="196">
        <f t="shared" si="426"/>
        <v>0</v>
      </c>
      <c r="BD304" s="196">
        <f t="shared" si="426"/>
        <v>-62393</v>
      </c>
      <c r="BE304" s="196">
        <f>+BE62-BE220</f>
        <v>0</v>
      </c>
      <c r="BF304" s="196">
        <f>+BF62-BF220</f>
        <v>0</v>
      </c>
      <c r="BG304" s="196">
        <f>+BG62-BG220</f>
        <v>0</v>
      </c>
      <c r="BH304" s="196">
        <f t="shared" si="426"/>
        <v>0</v>
      </c>
      <c r="BI304" s="196">
        <f>+BI62-BI220</f>
        <v>0</v>
      </c>
      <c r="BJ304" s="196">
        <f t="shared" si="426"/>
        <v>0</v>
      </c>
      <c r="BK304" s="196">
        <f>+BK62-BK220</f>
        <v>0</v>
      </c>
      <c r="BL304" s="196">
        <f t="shared" si="426"/>
        <v>0</v>
      </c>
      <c r="BM304" s="196">
        <f t="shared" si="426"/>
        <v>0</v>
      </c>
      <c r="BO304" s="196">
        <f t="shared" si="426"/>
        <v>0</v>
      </c>
      <c r="BP304" s="196">
        <f>+BP62-BP220</f>
        <v>0</v>
      </c>
      <c r="BT304" s="196">
        <f t="shared" si="426"/>
        <v>0</v>
      </c>
      <c r="BU304" s="196">
        <f t="shared" si="426"/>
        <v>0</v>
      </c>
      <c r="BV304" s="196">
        <f t="shared" si="426"/>
        <v>0</v>
      </c>
      <c r="BW304" s="196">
        <f t="shared" si="426"/>
        <v>0</v>
      </c>
      <c r="BX304" s="196">
        <f t="shared" si="426"/>
        <v>0</v>
      </c>
      <c r="BZ304" s="196">
        <f>+BZ62-BZ220</f>
        <v>0</v>
      </c>
      <c r="CA304" s="196">
        <f>+CA62-CA220</f>
        <v>0</v>
      </c>
      <c r="CB304" s="196">
        <f>+CB62-CB220</f>
        <v>0</v>
      </c>
      <c r="CD304" s="196">
        <f>CD62-CD223</f>
        <v>0</v>
      </c>
      <c r="CE304" s="196">
        <f>CE62-CE223</f>
        <v>0</v>
      </c>
      <c r="CF304" s="196">
        <f>CF62-CF223</f>
        <v>0</v>
      </c>
      <c r="CG304" s="196">
        <f>CG62-CG223</f>
        <v>0</v>
      </c>
    </row>
    <row r="305" spans="1:85" s="201" customFormat="1" hidden="1" x14ac:dyDescent="0.2">
      <c r="A305" s="198" t="s">
        <v>930</v>
      </c>
      <c r="B305" s="199">
        <f t="shared" ref="B305:BZ305" si="427">SUM(B295:B304)</f>
        <v>-46128</v>
      </c>
      <c r="C305" s="199">
        <f t="shared" si="427"/>
        <v>0</v>
      </c>
      <c r="D305" s="199">
        <f t="shared" si="427"/>
        <v>0</v>
      </c>
      <c r="E305" s="199">
        <f>SUM(E295:E304)</f>
        <v>-6047</v>
      </c>
      <c r="F305" s="199">
        <f>SUM(F295:F304)</f>
        <v>16536</v>
      </c>
      <c r="G305" s="199">
        <f t="shared" si="427"/>
        <v>-958</v>
      </c>
      <c r="H305" s="199">
        <f t="shared" si="427"/>
        <v>0</v>
      </c>
      <c r="I305" s="199">
        <f t="shared" si="427"/>
        <v>0</v>
      </c>
      <c r="J305" s="199">
        <f t="shared" si="427"/>
        <v>0</v>
      </c>
      <c r="K305" s="199">
        <f t="shared" si="427"/>
        <v>0</v>
      </c>
      <c r="L305" s="199">
        <f t="shared" si="427"/>
        <v>0</v>
      </c>
      <c r="M305" s="199">
        <f t="shared" si="427"/>
        <v>0</v>
      </c>
      <c r="N305" s="199">
        <f t="shared" si="427"/>
        <v>0</v>
      </c>
      <c r="O305" s="199">
        <f t="shared" si="427"/>
        <v>0</v>
      </c>
      <c r="P305" s="199">
        <f t="shared" si="427"/>
        <v>0</v>
      </c>
      <c r="Q305" s="199">
        <f>SUM(Q295:Q304)</f>
        <v>0</v>
      </c>
      <c r="R305" s="199">
        <f t="shared" si="427"/>
        <v>0</v>
      </c>
      <c r="S305" s="199">
        <f>SUM(S295:S304)</f>
        <v>0</v>
      </c>
      <c r="T305" s="199">
        <f t="shared" si="427"/>
        <v>0</v>
      </c>
      <c r="U305" s="199">
        <f>SUM(U295:U304)</f>
        <v>0</v>
      </c>
      <c r="V305" s="199">
        <f>SUM(V295:V304)</f>
        <v>0</v>
      </c>
      <c r="W305" s="199">
        <f t="shared" si="427"/>
        <v>0</v>
      </c>
      <c r="X305" s="199">
        <f>SUM(X295:X304)</f>
        <v>0</v>
      </c>
      <c r="Y305" s="199">
        <f t="shared" si="427"/>
        <v>0</v>
      </c>
      <c r="Z305" s="199">
        <f t="shared" si="427"/>
        <v>-524</v>
      </c>
      <c r="AA305" s="199">
        <f t="shared" si="427"/>
        <v>0</v>
      </c>
      <c r="AB305" s="199">
        <f>SUM(AB295:AB304)</f>
        <v>0</v>
      </c>
      <c r="AC305" s="199"/>
      <c r="AD305" s="199"/>
      <c r="AE305" s="199"/>
      <c r="AF305" s="199">
        <f>SUM(AF295:AF304)</f>
        <v>12662</v>
      </c>
      <c r="AG305" s="199"/>
      <c r="AH305" s="199"/>
      <c r="AI305" s="199"/>
      <c r="AJ305" s="199"/>
      <c r="AK305" s="199"/>
      <c r="AL305" s="199"/>
      <c r="AM305" s="199"/>
      <c r="AN305" s="199"/>
      <c r="AO305" s="199"/>
      <c r="AP305" s="199"/>
      <c r="AQ305" s="199"/>
      <c r="AR305" s="199">
        <f t="shared" si="427"/>
        <v>-7480</v>
      </c>
      <c r="AS305" s="199">
        <f t="shared" si="427"/>
        <v>0</v>
      </c>
      <c r="AT305" s="199">
        <f t="shared" si="427"/>
        <v>5598</v>
      </c>
      <c r="AU305" s="199">
        <f t="shared" si="427"/>
        <v>-2203</v>
      </c>
      <c r="AV305" s="199">
        <f t="shared" si="427"/>
        <v>0</v>
      </c>
      <c r="AW305" s="199">
        <f>SUM(AW295:AW304)</f>
        <v>0</v>
      </c>
      <c r="AX305" s="199"/>
      <c r="AY305" s="199">
        <f t="shared" si="427"/>
        <v>0</v>
      </c>
      <c r="AZ305" s="199">
        <f t="shared" si="427"/>
        <v>0</v>
      </c>
      <c r="BA305" s="199">
        <f t="shared" si="427"/>
        <v>0</v>
      </c>
      <c r="BB305" s="199">
        <f t="shared" si="427"/>
        <v>0</v>
      </c>
      <c r="BC305" s="199"/>
      <c r="BD305" s="199">
        <f t="shared" ref="BD305:BO305" si="428">SUM(BD295:BD304)</f>
        <v>-62393</v>
      </c>
      <c r="BE305" s="199">
        <f>SUM(BE295:BE304)</f>
        <v>0</v>
      </c>
      <c r="BF305" s="199">
        <f>SUM(BF295:BF304)</f>
        <v>0</v>
      </c>
      <c r="BG305" s="199">
        <f>SUM(BG295:BG304)</f>
        <v>0</v>
      </c>
      <c r="BH305" s="199">
        <f t="shared" si="428"/>
        <v>0</v>
      </c>
      <c r="BI305" s="199">
        <f>SUM(BI295:BI304)</f>
        <v>0</v>
      </c>
      <c r="BJ305" s="199">
        <f t="shared" si="428"/>
        <v>0</v>
      </c>
      <c r="BK305" s="199">
        <f>SUM(BK295:BK304)</f>
        <v>0</v>
      </c>
      <c r="BL305" s="199">
        <f t="shared" si="428"/>
        <v>0</v>
      </c>
      <c r="BM305" s="199">
        <f t="shared" si="428"/>
        <v>0</v>
      </c>
      <c r="BN305" s="199"/>
      <c r="BO305" s="199">
        <f t="shared" si="428"/>
        <v>0</v>
      </c>
      <c r="BP305" s="199">
        <f>SUM(BP295:BP304)</f>
        <v>0</v>
      </c>
      <c r="BQ305" s="199"/>
      <c r="BR305" s="199"/>
      <c r="BS305" s="199"/>
      <c r="BT305" s="199">
        <f t="shared" si="427"/>
        <v>0</v>
      </c>
      <c r="BU305" s="199">
        <f t="shared" si="427"/>
        <v>0</v>
      </c>
      <c r="BV305" s="199">
        <f t="shared" si="427"/>
        <v>0</v>
      </c>
      <c r="BW305" s="199">
        <f t="shared" si="427"/>
        <v>0</v>
      </c>
      <c r="BX305" s="199">
        <f t="shared" si="427"/>
        <v>-1319</v>
      </c>
      <c r="BY305" s="199"/>
      <c r="BZ305" s="199">
        <f t="shared" si="427"/>
        <v>0</v>
      </c>
      <c r="CA305" s="199">
        <f>SUM(CA295:CA304)</f>
        <v>0</v>
      </c>
      <c r="CB305" s="199">
        <f>SUM(CB295:CB304)</f>
        <v>0</v>
      </c>
      <c r="CC305" s="200"/>
      <c r="CD305" s="199">
        <f>SUM(CD295:CD304)</f>
        <v>0</v>
      </c>
      <c r="CE305" s="199">
        <f>SUM(CE295:CE304)</f>
        <v>0</v>
      </c>
      <c r="CF305" s="199">
        <f>SUM(CF295:CF304)</f>
        <v>0</v>
      </c>
      <c r="CG305" s="199">
        <f>SUM(CG295:CG304)</f>
        <v>0</v>
      </c>
    </row>
    <row r="306" spans="1:85" hidden="1" x14ac:dyDescent="0.2">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c r="BM306" s="197"/>
      <c r="BN306" s="197"/>
      <c r="BO306" s="197"/>
      <c r="BP306" s="197"/>
      <c r="BQ306" s="197"/>
      <c r="BR306" s="197"/>
      <c r="BS306" s="197"/>
      <c r="BT306" s="197"/>
      <c r="BU306" s="197"/>
      <c r="BV306" s="197"/>
      <c r="BW306" s="197"/>
      <c r="BX306" s="197"/>
      <c r="BY306" s="197"/>
      <c r="BZ306" s="197"/>
      <c r="CA306" s="197"/>
      <c r="CB306" s="197"/>
      <c r="CD306" s="197"/>
      <c r="CE306" s="197"/>
      <c r="CF306" s="197"/>
      <c r="CG306" s="197"/>
    </row>
    <row r="307" spans="1:85" hidden="1" x14ac:dyDescent="0.2">
      <c r="A307" s="193" t="s">
        <v>931</v>
      </c>
      <c r="BK307" s="196"/>
    </row>
    <row r="308" spans="1:85" hidden="1" x14ac:dyDescent="0.2">
      <c r="A308" s="195" t="s">
        <v>869</v>
      </c>
      <c r="BK308" s="196"/>
    </row>
    <row r="309" spans="1:85" hidden="1" x14ac:dyDescent="0.2">
      <c r="A309" s="203" t="s">
        <v>870</v>
      </c>
      <c r="B309" s="196">
        <f t="shared" ref="B309:B318" si="429">SUM(C309:CB309)</f>
        <v>403316</v>
      </c>
      <c r="C309" s="196">
        <f t="shared" ref="C309:AA309" si="430">+C68-C225</f>
        <v>214406</v>
      </c>
      <c r="D309" s="196">
        <f t="shared" si="430"/>
        <v>148380</v>
      </c>
      <c r="E309" s="196">
        <f t="shared" ref="E309" si="431">+E68-E225</f>
        <v>0</v>
      </c>
      <c r="F309" s="196">
        <f t="shared" si="430"/>
        <v>0</v>
      </c>
      <c r="G309" s="196">
        <f t="shared" si="430"/>
        <v>0</v>
      </c>
      <c r="H309" s="196">
        <f t="shared" si="430"/>
        <v>0</v>
      </c>
      <c r="I309" s="196">
        <f t="shared" si="430"/>
        <v>0</v>
      </c>
      <c r="J309" s="196">
        <f t="shared" si="430"/>
        <v>0</v>
      </c>
      <c r="K309" s="196">
        <f t="shared" si="430"/>
        <v>0</v>
      </c>
      <c r="L309" s="196">
        <f t="shared" si="430"/>
        <v>0</v>
      </c>
      <c r="M309" s="196">
        <f t="shared" si="430"/>
        <v>0</v>
      </c>
      <c r="N309" s="196">
        <f t="shared" si="430"/>
        <v>0</v>
      </c>
      <c r="O309" s="196">
        <f t="shared" si="430"/>
        <v>6207</v>
      </c>
      <c r="P309" s="196">
        <f t="shared" si="430"/>
        <v>0</v>
      </c>
      <c r="Q309" s="196">
        <f t="shared" ref="Q309:Q317" si="432">+Q68-Q225</f>
        <v>0</v>
      </c>
      <c r="R309" s="196">
        <f t="shared" si="430"/>
        <v>0</v>
      </c>
      <c r="S309" s="196">
        <f t="shared" ref="S309:S317" si="433">+S68-S225</f>
        <v>0</v>
      </c>
      <c r="T309" s="196">
        <f t="shared" si="430"/>
        <v>0</v>
      </c>
      <c r="U309" s="196">
        <f t="shared" ref="U309:V317" si="434">+U68-U225</f>
        <v>0</v>
      </c>
      <c r="V309" s="196">
        <f t="shared" si="434"/>
        <v>0</v>
      </c>
      <c r="W309" s="196">
        <f t="shared" si="430"/>
        <v>0</v>
      </c>
      <c r="X309" s="196">
        <f t="shared" ref="X309:X317" si="435">+X68-X225</f>
        <v>34323</v>
      </c>
      <c r="Y309" s="196">
        <f t="shared" si="430"/>
        <v>0</v>
      </c>
      <c r="Z309" s="196">
        <f t="shared" si="430"/>
        <v>0</v>
      </c>
      <c r="AA309" s="196">
        <f t="shared" si="430"/>
        <v>0</v>
      </c>
      <c r="AB309" s="196">
        <f t="shared" ref="AB309:AB317" si="436">+AB68-AB225</f>
        <v>0</v>
      </c>
      <c r="AF309" s="196">
        <f t="shared" ref="AF309:AF317" si="437">+AF68-AF225</f>
        <v>0</v>
      </c>
      <c r="AR309" s="196">
        <f t="shared" ref="AR309:AW317" si="438">+AR68-AR225</f>
        <v>0</v>
      </c>
      <c r="AS309" s="196">
        <f t="shared" si="438"/>
        <v>0</v>
      </c>
      <c r="AT309" s="196">
        <f t="shared" si="438"/>
        <v>0</v>
      </c>
      <c r="AU309" s="196">
        <f t="shared" si="438"/>
        <v>0</v>
      </c>
      <c r="AV309" s="196">
        <f t="shared" si="438"/>
        <v>0</v>
      </c>
      <c r="AW309" s="196">
        <f t="shared" si="438"/>
        <v>0</v>
      </c>
      <c r="AY309" s="196">
        <f t="shared" ref="AY309:BX309" si="439">+AY68-AY225</f>
        <v>0</v>
      </c>
      <c r="AZ309" s="196">
        <f t="shared" si="439"/>
        <v>0</v>
      </c>
      <c r="BA309" s="196">
        <f t="shared" si="439"/>
        <v>0</v>
      </c>
      <c r="BB309" s="196">
        <f t="shared" si="439"/>
        <v>0</v>
      </c>
      <c r="BD309" s="196">
        <f t="shared" si="439"/>
        <v>0</v>
      </c>
      <c r="BE309" s="196">
        <f t="shared" ref="BE309:BG317" si="440">+BE68-BE225</f>
        <v>0</v>
      </c>
      <c r="BF309" s="196">
        <f t="shared" si="440"/>
        <v>0</v>
      </c>
      <c r="BG309" s="196">
        <f t="shared" si="440"/>
        <v>0</v>
      </c>
      <c r="BH309" s="196">
        <f t="shared" si="439"/>
        <v>0</v>
      </c>
      <c r="BI309" s="196">
        <f t="shared" ref="BI309:BI317" si="441">+BI68-BI225</f>
        <v>0</v>
      </c>
      <c r="BJ309" s="196">
        <f t="shared" si="439"/>
        <v>0</v>
      </c>
      <c r="BK309" s="196">
        <f t="shared" ref="BK309:BK317" si="442">+BK68-BK225</f>
        <v>0</v>
      </c>
      <c r="BL309" s="196">
        <f t="shared" si="439"/>
        <v>0</v>
      </c>
      <c r="BM309" s="196">
        <f t="shared" si="439"/>
        <v>0</v>
      </c>
      <c r="BO309" s="196">
        <f t="shared" si="439"/>
        <v>0</v>
      </c>
      <c r="BP309" s="196">
        <f t="shared" ref="BP309:BP317" si="443">+BP68-BP225</f>
        <v>0</v>
      </c>
      <c r="BT309" s="196">
        <f t="shared" si="439"/>
        <v>0</v>
      </c>
      <c r="BU309" s="196">
        <f t="shared" si="439"/>
        <v>0</v>
      </c>
      <c r="BV309" s="196">
        <f t="shared" si="439"/>
        <v>0</v>
      </c>
      <c r="BW309" s="196">
        <f t="shared" si="439"/>
        <v>0</v>
      </c>
      <c r="BX309" s="196">
        <f t="shared" si="439"/>
        <v>0</v>
      </c>
      <c r="BZ309" s="196">
        <f t="shared" ref="BZ309:CB317" si="444">+BZ68-BZ225</f>
        <v>0</v>
      </c>
      <c r="CA309" s="196">
        <f t="shared" si="444"/>
        <v>0</v>
      </c>
      <c r="CB309" s="196">
        <f t="shared" si="444"/>
        <v>0</v>
      </c>
      <c r="CD309" s="196">
        <f t="shared" ref="CD309:CG317" si="445">CD68-CD228</f>
        <v>0</v>
      </c>
      <c r="CE309" s="196">
        <f t="shared" si="445"/>
        <v>0</v>
      </c>
      <c r="CF309" s="196">
        <f t="shared" si="445"/>
        <v>0</v>
      </c>
      <c r="CG309" s="196">
        <f t="shared" si="445"/>
        <v>0</v>
      </c>
    </row>
    <row r="310" spans="1:85" hidden="1" x14ac:dyDescent="0.2">
      <c r="A310" s="203" t="s">
        <v>871</v>
      </c>
      <c r="B310" s="196">
        <f t="shared" si="429"/>
        <v>303654</v>
      </c>
      <c r="C310" s="196">
        <f t="shared" ref="C310:AA310" si="446">+C69-C226</f>
        <v>213177</v>
      </c>
      <c r="D310" s="196">
        <f t="shared" si="446"/>
        <v>0</v>
      </c>
      <c r="E310" s="196">
        <f t="shared" ref="E310" si="447">+E69-E226</f>
        <v>0</v>
      </c>
      <c r="F310" s="196">
        <f t="shared" si="446"/>
        <v>0</v>
      </c>
      <c r="G310" s="196">
        <f t="shared" si="446"/>
        <v>0</v>
      </c>
      <c r="H310" s="196">
        <f t="shared" si="446"/>
        <v>0</v>
      </c>
      <c r="I310" s="196">
        <f t="shared" si="446"/>
        <v>0</v>
      </c>
      <c r="J310" s="196">
        <f t="shared" si="446"/>
        <v>0</v>
      </c>
      <c r="K310" s="196">
        <f t="shared" si="446"/>
        <v>13654</v>
      </c>
      <c r="L310" s="196">
        <f t="shared" si="446"/>
        <v>0</v>
      </c>
      <c r="M310" s="196">
        <f t="shared" si="446"/>
        <v>0</v>
      </c>
      <c r="N310" s="196">
        <f t="shared" si="446"/>
        <v>0</v>
      </c>
      <c r="O310" s="196">
        <f t="shared" si="446"/>
        <v>0</v>
      </c>
      <c r="P310" s="196">
        <f t="shared" si="446"/>
        <v>0</v>
      </c>
      <c r="Q310" s="196">
        <f t="shared" si="432"/>
        <v>-23657</v>
      </c>
      <c r="R310" s="196">
        <f t="shared" si="446"/>
        <v>50240</v>
      </c>
      <c r="S310" s="196">
        <f t="shared" si="433"/>
        <v>50240</v>
      </c>
      <c r="T310" s="196">
        <f t="shared" si="446"/>
        <v>0</v>
      </c>
      <c r="U310" s="196">
        <f t="shared" si="434"/>
        <v>0</v>
      </c>
      <c r="V310" s="196">
        <f t="shared" si="434"/>
        <v>0</v>
      </c>
      <c r="W310" s="196">
        <f t="shared" si="446"/>
        <v>0</v>
      </c>
      <c r="X310" s="196">
        <f t="shared" si="435"/>
        <v>0</v>
      </c>
      <c r="Y310" s="196">
        <f t="shared" si="446"/>
        <v>0</v>
      </c>
      <c r="Z310" s="196">
        <f t="shared" si="446"/>
        <v>0</v>
      </c>
      <c r="AA310" s="196">
        <f t="shared" si="446"/>
        <v>0</v>
      </c>
      <c r="AB310" s="196">
        <f t="shared" si="436"/>
        <v>0</v>
      </c>
      <c r="AF310" s="196">
        <f t="shared" si="437"/>
        <v>0</v>
      </c>
      <c r="AR310" s="196">
        <f t="shared" si="438"/>
        <v>0</v>
      </c>
      <c r="AS310" s="196">
        <f t="shared" si="438"/>
        <v>0</v>
      </c>
      <c r="AT310" s="196">
        <f t="shared" si="438"/>
        <v>0</v>
      </c>
      <c r="AU310" s="196">
        <f t="shared" si="438"/>
        <v>0</v>
      </c>
      <c r="AV310" s="196">
        <f t="shared" si="438"/>
        <v>0</v>
      </c>
      <c r="AW310" s="196">
        <f t="shared" si="438"/>
        <v>0</v>
      </c>
      <c r="AY310" s="196">
        <f t="shared" ref="AY310:BX310" si="448">+AY69-AY226</f>
        <v>0</v>
      </c>
      <c r="AZ310" s="196">
        <f t="shared" si="448"/>
        <v>0</v>
      </c>
      <c r="BA310" s="196">
        <f t="shared" si="448"/>
        <v>0</v>
      </c>
      <c r="BB310" s="196">
        <f t="shared" si="448"/>
        <v>0</v>
      </c>
      <c r="BD310" s="196">
        <f t="shared" si="448"/>
        <v>0</v>
      </c>
      <c r="BE310" s="196">
        <f t="shared" si="440"/>
        <v>0</v>
      </c>
      <c r="BF310" s="196">
        <f t="shared" si="440"/>
        <v>0</v>
      </c>
      <c r="BG310" s="196">
        <f t="shared" si="440"/>
        <v>0</v>
      </c>
      <c r="BH310" s="196">
        <f t="shared" si="448"/>
        <v>0</v>
      </c>
      <c r="BI310" s="196">
        <f t="shared" si="441"/>
        <v>0</v>
      </c>
      <c r="BJ310" s="196">
        <f t="shared" si="448"/>
        <v>0</v>
      </c>
      <c r="BK310" s="196">
        <f t="shared" si="442"/>
        <v>0</v>
      </c>
      <c r="BL310" s="196">
        <f t="shared" si="448"/>
        <v>0</v>
      </c>
      <c r="BM310" s="196">
        <f t="shared" si="448"/>
        <v>0</v>
      </c>
      <c r="BO310" s="196">
        <f t="shared" si="448"/>
        <v>0</v>
      </c>
      <c r="BP310" s="196">
        <f t="shared" si="443"/>
        <v>0</v>
      </c>
      <c r="BT310" s="196">
        <f t="shared" si="448"/>
        <v>0</v>
      </c>
      <c r="BU310" s="196">
        <f t="shared" si="448"/>
        <v>0</v>
      </c>
      <c r="BV310" s="196">
        <f t="shared" si="448"/>
        <v>0</v>
      </c>
      <c r="BW310" s="196">
        <f t="shared" si="448"/>
        <v>0</v>
      </c>
      <c r="BX310" s="196">
        <f t="shared" si="448"/>
        <v>0</v>
      </c>
      <c r="BZ310" s="196">
        <f t="shared" si="444"/>
        <v>0</v>
      </c>
      <c r="CA310" s="196">
        <f t="shared" si="444"/>
        <v>0</v>
      </c>
      <c r="CB310" s="196">
        <f t="shared" si="444"/>
        <v>0</v>
      </c>
      <c r="CD310" s="196">
        <f t="shared" si="445"/>
        <v>0</v>
      </c>
      <c r="CE310" s="196">
        <f t="shared" si="445"/>
        <v>0</v>
      </c>
      <c r="CF310" s="196">
        <f t="shared" si="445"/>
        <v>0</v>
      </c>
      <c r="CG310" s="196">
        <f t="shared" si="445"/>
        <v>0</v>
      </c>
    </row>
    <row r="311" spans="1:85" hidden="1" x14ac:dyDescent="0.2">
      <c r="A311" s="203" t="s">
        <v>872</v>
      </c>
      <c r="B311" s="196">
        <f t="shared" si="429"/>
        <v>6504</v>
      </c>
      <c r="C311" s="196">
        <f t="shared" ref="C311:AA311" si="449">+C70-C227</f>
        <v>6504</v>
      </c>
      <c r="D311" s="196">
        <f t="shared" si="449"/>
        <v>0</v>
      </c>
      <c r="E311" s="196">
        <f t="shared" ref="E311" si="450">+E70-E227</f>
        <v>0</v>
      </c>
      <c r="F311" s="196">
        <f t="shared" si="449"/>
        <v>0</v>
      </c>
      <c r="G311" s="196">
        <f t="shared" si="449"/>
        <v>0</v>
      </c>
      <c r="H311" s="196">
        <f t="shared" si="449"/>
        <v>0</v>
      </c>
      <c r="I311" s="196">
        <f t="shared" si="449"/>
        <v>0</v>
      </c>
      <c r="J311" s="196">
        <f t="shared" si="449"/>
        <v>0</v>
      </c>
      <c r="K311" s="196">
        <f t="shared" si="449"/>
        <v>0</v>
      </c>
      <c r="L311" s="196">
        <f t="shared" si="449"/>
        <v>0</v>
      </c>
      <c r="M311" s="196">
        <f t="shared" si="449"/>
        <v>0</v>
      </c>
      <c r="N311" s="196">
        <f t="shared" si="449"/>
        <v>0</v>
      </c>
      <c r="O311" s="196">
        <f t="shared" si="449"/>
        <v>0</v>
      </c>
      <c r="P311" s="196">
        <f t="shared" si="449"/>
        <v>0</v>
      </c>
      <c r="Q311" s="196">
        <f t="shared" si="432"/>
        <v>0</v>
      </c>
      <c r="R311" s="196">
        <f t="shared" si="449"/>
        <v>0</v>
      </c>
      <c r="S311" s="196">
        <f t="shared" si="433"/>
        <v>0</v>
      </c>
      <c r="T311" s="196">
        <f t="shared" si="449"/>
        <v>0</v>
      </c>
      <c r="U311" s="196">
        <f t="shared" si="434"/>
        <v>0</v>
      </c>
      <c r="V311" s="196">
        <f t="shared" si="434"/>
        <v>0</v>
      </c>
      <c r="W311" s="196">
        <f t="shared" si="449"/>
        <v>0</v>
      </c>
      <c r="X311" s="196">
        <f t="shared" si="435"/>
        <v>0</v>
      </c>
      <c r="Y311" s="196">
        <f t="shared" si="449"/>
        <v>0</v>
      </c>
      <c r="Z311" s="196">
        <f t="shared" si="449"/>
        <v>0</v>
      </c>
      <c r="AA311" s="196">
        <f t="shared" si="449"/>
        <v>0</v>
      </c>
      <c r="AB311" s="196">
        <f t="shared" si="436"/>
        <v>0</v>
      </c>
      <c r="AF311" s="196">
        <f t="shared" si="437"/>
        <v>0</v>
      </c>
      <c r="AR311" s="196">
        <f t="shared" si="438"/>
        <v>0</v>
      </c>
      <c r="AS311" s="196">
        <f t="shared" si="438"/>
        <v>0</v>
      </c>
      <c r="AT311" s="196">
        <f t="shared" si="438"/>
        <v>0</v>
      </c>
      <c r="AU311" s="196">
        <f t="shared" si="438"/>
        <v>0</v>
      </c>
      <c r="AV311" s="196">
        <f t="shared" si="438"/>
        <v>0</v>
      </c>
      <c r="AW311" s="196">
        <f t="shared" si="438"/>
        <v>0</v>
      </c>
      <c r="AY311" s="196">
        <f t="shared" ref="AY311:BX311" si="451">+AY70-AY227</f>
        <v>0</v>
      </c>
      <c r="AZ311" s="196">
        <f t="shared" si="451"/>
        <v>0</v>
      </c>
      <c r="BA311" s="196">
        <f t="shared" si="451"/>
        <v>0</v>
      </c>
      <c r="BB311" s="196">
        <f t="shared" si="451"/>
        <v>0</v>
      </c>
      <c r="BD311" s="196">
        <f t="shared" si="451"/>
        <v>0</v>
      </c>
      <c r="BE311" s="196">
        <f t="shared" si="440"/>
        <v>0</v>
      </c>
      <c r="BF311" s="196">
        <f t="shared" si="440"/>
        <v>0</v>
      </c>
      <c r="BG311" s="196">
        <f t="shared" si="440"/>
        <v>0</v>
      </c>
      <c r="BH311" s="196">
        <f t="shared" si="451"/>
        <v>0</v>
      </c>
      <c r="BI311" s="196">
        <f t="shared" si="441"/>
        <v>0</v>
      </c>
      <c r="BJ311" s="196">
        <f t="shared" si="451"/>
        <v>0</v>
      </c>
      <c r="BK311" s="196">
        <f t="shared" si="442"/>
        <v>0</v>
      </c>
      <c r="BL311" s="196">
        <f t="shared" si="451"/>
        <v>0</v>
      </c>
      <c r="BM311" s="196">
        <f t="shared" si="451"/>
        <v>0</v>
      </c>
      <c r="BO311" s="196">
        <f t="shared" si="451"/>
        <v>0</v>
      </c>
      <c r="BP311" s="196">
        <f t="shared" si="443"/>
        <v>0</v>
      </c>
      <c r="BT311" s="196">
        <f t="shared" si="451"/>
        <v>0</v>
      </c>
      <c r="BU311" s="196">
        <f t="shared" si="451"/>
        <v>0</v>
      </c>
      <c r="BV311" s="196">
        <f t="shared" si="451"/>
        <v>0</v>
      </c>
      <c r="BW311" s="196">
        <f t="shared" si="451"/>
        <v>0</v>
      </c>
      <c r="BX311" s="196">
        <f t="shared" si="451"/>
        <v>0</v>
      </c>
      <c r="BZ311" s="196">
        <f t="shared" si="444"/>
        <v>0</v>
      </c>
      <c r="CA311" s="196">
        <f t="shared" si="444"/>
        <v>0</v>
      </c>
      <c r="CB311" s="196">
        <f t="shared" si="444"/>
        <v>0</v>
      </c>
      <c r="CD311" s="196">
        <f t="shared" si="445"/>
        <v>0</v>
      </c>
      <c r="CE311" s="196">
        <f t="shared" si="445"/>
        <v>0</v>
      </c>
      <c r="CF311" s="196">
        <f t="shared" si="445"/>
        <v>0</v>
      </c>
      <c r="CG311" s="196">
        <f t="shared" si="445"/>
        <v>0</v>
      </c>
    </row>
    <row r="312" spans="1:85" hidden="1" x14ac:dyDescent="0.2">
      <c r="A312" s="203" t="s">
        <v>873</v>
      </c>
      <c r="B312" s="196">
        <f t="shared" si="429"/>
        <v>-18427</v>
      </c>
      <c r="C312" s="196">
        <f t="shared" ref="C312:AA312" si="452">+C71-C228</f>
        <v>-20145</v>
      </c>
      <c r="D312" s="196">
        <f t="shared" si="452"/>
        <v>0</v>
      </c>
      <c r="E312" s="196">
        <f t="shared" ref="E312" si="453">+E71-E228</f>
        <v>0</v>
      </c>
      <c r="F312" s="196">
        <f t="shared" si="452"/>
        <v>0</v>
      </c>
      <c r="G312" s="196">
        <f t="shared" si="452"/>
        <v>0</v>
      </c>
      <c r="H312" s="196">
        <f t="shared" si="452"/>
        <v>0</v>
      </c>
      <c r="I312" s="196">
        <f t="shared" si="452"/>
        <v>0</v>
      </c>
      <c r="J312" s="196">
        <f t="shared" si="452"/>
        <v>0</v>
      </c>
      <c r="K312" s="196">
        <f t="shared" si="452"/>
        <v>0</v>
      </c>
      <c r="L312" s="196">
        <f t="shared" si="452"/>
        <v>0</v>
      </c>
      <c r="M312" s="196">
        <f t="shared" si="452"/>
        <v>0</v>
      </c>
      <c r="N312" s="196">
        <f t="shared" si="452"/>
        <v>0</v>
      </c>
      <c r="O312" s="196">
        <f t="shared" si="452"/>
        <v>1718</v>
      </c>
      <c r="P312" s="196">
        <f t="shared" si="452"/>
        <v>0</v>
      </c>
      <c r="Q312" s="196">
        <f t="shared" si="432"/>
        <v>0</v>
      </c>
      <c r="R312" s="196">
        <f t="shared" si="452"/>
        <v>0</v>
      </c>
      <c r="S312" s="196">
        <f t="shared" si="433"/>
        <v>0</v>
      </c>
      <c r="T312" s="196">
        <f t="shared" si="452"/>
        <v>0</v>
      </c>
      <c r="U312" s="196">
        <f t="shared" si="434"/>
        <v>0</v>
      </c>
      <c r="V312" s="196">
        <f t="shared" si="434"/>
        <v>0</v>
      </c>
      <c r="W312" s="196">
        <f t="shared" si="452"/>
        <v>0</v>
      </c>
      <c r="X312" s="196">
        <f t="shared" si="435"/>
        <v>0</v>
      </c>
      <c r="Y312" s="196">
        <f t="shared" si="452"/>
        <v>0</v>
      </c>
      <c r="Z312" s="196">
        <f t="shared" si="452"/>
        <v>0</v>
      </c>
      <c r="AA312" s="196">
        <f t="shared" si="452"/>
        <v>0</v>
      </c>
      <c r="AB312" s="196">
        <f t="shared" si="436"/>
        <v>0</v>
      </c>
      <c r="AF312" s="196">
        <f t="shared" si="437"/>
        <v>0</v>
      </c>
      <c r="AR312" s="196">
        <f t="shared" si="438"/>
        <v>0</v>
      </c>
      <c r="AS312" s="196">
        <f t="shared" si="438"/>
        <v>0</v>
      </c>
      <c r="AT312" s="196">
        <f t="shared" si="438"/>
        <v>0</v>
      </c>
      <c r="AU312" s="196">
        <f t="shared" si="438"/>
        <v>0</v>
      </c>
      <c r="AV312" s="196">
        <f t="shared" si="438"/>
        <v>0</v>
      </c>
      <c r="AW312" s="196">
        <f t="shared" si="438"/>
        <v>0</v>
      </c>
      <c r="AY312" s="196">
        <f t="shared" ref="AY312:BX312" si="454">+AY71-AY228</f>
        <v>0</v>
      </c>
      <c r="AZ312" s="196">
        <f t="shared" si="454"/>
        <v>0</v>
      </c>
      <c r="BA312" s="196">
        <f t="shared" si="454"/>
        <v>0</v>
      </c>
      <c r="BB312" s="196">
        <f t="shared" si="454"/>
        <v>0</v>
      </c>
      <c r="BD312" s="196">
        <f t="shared" si="454"/>
        <v>0</v>
      </c>
      <c r="BE312" s="196">
        <f t="shared" si="440"/>
        <v>0</v>
      </c>
      <c r="BF312" s="196">
        <f t="shared" si="440"/>
        <v>0</v>
      </c>
      <c r="BG312" s="196">
        <f t="shared" si="440"/>
        <v>0</v>
      </c>
      <c r="BH312" s="196">
        <f t="shared" si="454"/>
        <v>0</v>
      </c>
      <c r="BI312" s="196">
        <f t="shared" si="441"/>
        <v>0</v>
      </c>
      <c r="BJ312" s="196">
        <f t="shared" si="454"/>
        <v>0</v>
      </c>
      <c r="BK312" s="196">
        <f t="shared" si="442"/>
        <v>0</v>
      </c>
      <c r="BL312" s="196">
        <f t="shared" si="454"/>
        <v>0</v>
      </c>
      <c r="BM312" s="196">
        <f t="shared" si="454"/>
        <v>0</v>
      </c>
      <c r="BO312" s="196">
        <f t="shared" si="454"/>
        <v>0</v>
      </c>
      <c r="BP312" s="196">
        <f t="shared" si="443"/>
        <v>0</v>
      </c>
      <c r="BT312" s="196">
        <f t="shared" si="454"/>
        <v>0</v>
      </c>
      <c r="BU312" s="196">
        <f t="shared" si="454"/>
        <v>0</v>
      </c>
      <c r="BV312" s="196">
        <f t="shared" si="454"/>
        <v>0</v>
      </c>
      <c r="BW312" s="196">
        <f t="shared" si="454"/>
        <v>0</v>
      </c>
      <c r="BX312" s="196">
        <f t="shared" si="454"/>
        <v>0</v>
      </c>
      <c r="BZ312" s="196">
        <f t="shared" si="444"/>
        <v>0</v>
      </c>
      <c r="CA312" s="196">
        <f t="shared" si="444"/>
        <v>0</v>
      </c>
      <c r="CB312" s="196">
        <f t="shared" si="444"/>
        <v>0</v>
      </c>
      <c r="CD312" s="196">
        <f t="shared" si="445"/>
        <v>0</v>
      </c>
      <c r="CE312" s="196">
        <f t="shared" si="445"/>
        <v>0</v>
      </c>
      <c r="CF312" s="196">
        <f t="shared" si="445"/>
        <v>0</v>
      </c>
      <c r="CG312" s="196">
        <f t="shared" si="445"/>
        <v>0</v>
      </c>
    </row>
    <row r="313" spans="1:85" hidden="1" x14ac:dyDescent="0.2">
      <c r="A313" s="203" t="s">
        <v>874</v>
      </c>
      <c r="B313" s="196">
        <f t="shared" si="429"/>
        <v>54210</v>
      </c>
      <c r="C313" s="196">
        <f t="shared" ref="C313:AA313" si="455">+C72-C229</f>
        <v>0</v>
      </c>
      <c r="D313" s="196">
        <f t="shared" si="455"/>
        <v>0</v>
      </c>
      <c r="E313" s="196">
        <f t="shared" ref="E313" si="456">+E72-E229</f>
        <v>0</v>
      </c>
      <c r="F313" s="196">
        <f t="shared" si="455"/>
        <v>0</v>
      </c>
      <c r="G313" s="196">
        <f t="shared" si="455"/>
        <v>0</v>
      </c>
      <c r="H313" s="196">
        <f t="shared" si="455"/>
        <v>0</v>
      </c>
      <c r="I313" s="196">
        <f t="shared" si="455"/>
        <v>0</v>
      </c>
      <c r="J313" s="196">
        <f t="shared" si="455"/>
        <v>0</v>
      </c>
      <c r="K313" s="196">
        <f t="shared" si="455"/>
        <v>0</v>
      </c>
      <c r="L313" s="196">
        <f t="shared" si="455"/>
        <v>0</v>
      </c>
      <c r="M313" s="196">
        <f t="shared" si="455"/>
        <v>0</v>
      </c>
      <c r="N313" s="196">
        <f t="shared" si="455"/>
        <v>33819</v>
      </c>
      <c r="O313" s="196">
        <f t="shared" si="455"/>
        <v>10725</v>
      </c>
      <c r="P313" s="196">
        <f t="shared" si="455"/>
        <v>9666</v>
      </c>
      <c r="Q313" s="196">
        <f t="shared" si="432"/>
        <v>0</v>
      </c>
      <c r="R313" s="196">
        <f t="shared" si="455"/>
        <v>0</v>
      </c>
      <c r="S313" s="196">
        <f t="shared" si="433"/>
        <v>0</v>
      </c>
      <c r="T313" s="196">
        <f t="shared" si="455"/>
        <v>0</v>
      </c>
      <c r="U313" s="196">
        <f t="shared" si="434"/>
        <v>0</v>
      </c>
      <c r="V313" s="196">
        <f t="shared" si="434"/>
        <v>0</v>
      </c>
      <c r="W313" s="196">
        <f t="shared" si="455"/>
        <v>0</v>
      </c>
      <c r="X313" s="196">
        <f t="shared" si="435"/>
        <v>0</v>
      </c>
      <c r="Y313" s="196">
        <f t="shared" si="455"/>
        <v>0</v>
      </c>
      <c r="Z313" s="196">
        <f t="shared" si="455"/>
        <v>0</v>
      </c>
      <c r="AA313" s="196">
        <f t="shared" si="455"/>
        <v>0</v>
      </c>
      <c r="AB313" s="196">
        <f t="shared" si="436"/>
        <v>0</v>
      </c>
      <c r="AF313" s="196">
        <f t="shared" si="437"/>
        <v>0</v>
      </c>
      <c r="AR313" s="196">
        <f t="shared" si="438"/>
        <v>0</v>
      </c>
      <c r="AS313" s="196">
        <f t="shared" si="438"/>
        <v>0</v>
      </c>
      <c r="AT313" s="196">
        <f t="shared" si="438"/>
        <v>0</v>
      </c>
      <c r="AU313" s="196">
        <f t="shared" si="438"/>
        <v>0</v>
      </c>
      <c r="AV313" s="196">
        <f t="shared" si="438"/>
        <v>0</v>
      </c>
      <c r="AW313" s="196">
        <f t="shared" si="438"/>
        <v>0</v>
      </c>
      <c r="AY313" s="196">
        <f t="shared" ref="AY313:BX313" si="457">+AY72-AY229</f>
        <v>0</v>
      </c>
      <c r="AZ313" s="196">
        <f t="shared" si="457"/>
        <v>0</v>
      </c>
      <c r="BA313" s="196">
        <f t="shared" si="457"/>
        <v>0</v>
      </c>
      <c r="BB313" s="196">
        <f t="shared" si="457"/>
        <v>0</v>
      </c>
      <c r="BD313" s="196">
        <f t="shared" si="457"/>
        <v>0</v>
      </c>
      <c r="BE313" s="196">
        <f t="shared" si="440"/>
        <v>0</v>
      </c>
      <c r="BF313" s="196">
        <f t="shared" si="440"/>
        <v>0</v>
      </c>
      <c r="BG313" s="196">
        <f t="shared" si="440"/>
        <v>0</v>
      </c>
      <c r="BH313" s="196">
        <f t="shared" si="457"/>
        <v>0</v>
      </c>
      <c r="BI313" s="196">
        <f t="shared" si="441"/>
        <v>0</v>
      </c>
      <c r="BJ313" s="196">
        <f t="shared" si="457"/>
        <v>0</v>
      </c>
      <c r="BK313" s="196">
        <f t="shared" si="442"/>
        <v>0</v>
      </c>
      <c r="BL313" s="196">
        <f t="shared" si="457"/>
        <v>0</v>
      </c>
      <c r="BM313" s="196">
        <f t="shared" si="457"/>
        <v>0</v>
      </c>
      <c r="BO313" s="196">
        <f t="shared" si="457"/>
        <v>0</v>
      </c>
      <c r="BP313" s="196">
        <f t="shared" si="443"/>
        <v>0</v>
      </c>
      <c r="BT313" s="196">
        <f t="shared" si="457"/>
        <v>0</v>
      </c>
      <c r="BU313" s="196">
        <f t="shared" si="457"/>
        <v>0</v>
      </c>
      <c r="BV313" s="196">
        <f t="shared" si="457"/>
        <v>0</v>
      </c>
      <c r="BW313" s="196">
        <f t="shared" si="457"/>
        <v>0</v>
      </c>
      <c r="BX313" s="196">
        <f t="shared" si="457"/>
        <v>0</v>
      </c>
      <c r="BZ313" s="196">
        <f t="shared" si="444"/>
        <v>0</v>
      </c>
      <c r="CA313" s="196">
        <f t="shared" si="444"/>
        <v>0</v>
      </c>
      <c r="CB313" s="196">
        <f t="shared" si="444"/>
        <v>0</v>
      </c>
      <c r="CD313" s="196">
        <f t="shared" si="445"/>
        <v>0</v>
      </c>
      <c r="CE313" s="196">
        <f t="shared" si="445"/>
        <v>0</v>
      </c>
      <c r="CF313" s="196">
        <f t="shared" si="445"/>
        <v>0</v>
      </c>
      <c r="CG313" s="196">
        <f t="shared" si="445"/>
        <v>0</v>
      </c>
    </row>
    <row r="314" spans="1:85" hidden="1" x14ac:dyDescent="0.2">
      <c r="A314" s="195" t="s">
        <v>944</v>
      </c>
      <c r="B314" s="196">
        <f t="shared" si="429"/>
        <v>3441</v>
      </c>
      <c r="C314" s="196">
        <f t="shared" ref="C314:AA314" si="458">+C73-C230</f>
        <v>1151</v>
      </c>
      <c r="D314" s="196">
        <f t="shared" si="458"/>
        <v>841</v>
      </c>
      <c r="E314" s="196">
        <f t="shared" ref="E314" si="459">+E73-E230</f>
        <v>0</v>
      </c>
      <c r="F314" s="196">
        <f t="shared" si="458"/>
        <v>0</v>
      </c>
      <c r="G314" s="196">
        <f t="shared" si="458"/>
        <v>0</v>
      </c>
      <c r="H314" s="196">
        <f t="shared" si="458"/>
        <v>0</v>
      </c>
      <c r="I314" s="196">
        <f t="shared" si="458"/>
        <v>0</v>
      </c>
      <c r="J314" s="196">
        <f t="shared" si="458"/>
        <v>0</v>
      </c>
      <c r="K314" s="196">
        <f t="shared" si="458"/>
        <v>0</v>
      </c>
      <c r="L314" s="196">
        <f t="shared" si="458"/>
        <v>0</v>
      </c>
      <c r="M314" s="196">
        <f t="shared" si="458"/>
        <v>0</v>
      </c>
      <c r="N314" s="196">
        <f t="shared" si="458"/>
        <v>1127</v>
      </c>
      <c r="O314" s="196">
        <f t="shared" si="458"/>
        <v>0</v>
      </c>
      <c r="P314" s="196">
        <f t="shared" si="458"/>
        <v>322</v>
      </c>
      <c r="Q314" s="196">
        <f t="shared" si="432"/>
        <v>0</v>
      </c>
      <c r="R314" s="196">
        <f t="shared" si="458"/>
        <v>0</v>
      </c>
      <c r="S314" s="196">
        <f t="shared" si="433"/>
        <v>0</v>
      </c>
      <c r="T314" s="196">
        <f t="shared" si="458"/>
        <v>0</v>
      </c>
      <c r="U314" s="196">
        <f t="shared" si="434"/>
        <v>0</v>
      </c>
      <c r="V314" s="196">
        <f t="shared" si="434"/>
        <v>0</v>
      </c>
      <c r="W314" s="196">
        <f t="shared" si="458"/>
        <v>0</v>
      </c>
      <c r="X314" s="196">
        <f t="shared" si="435"/>
        <v>0</v>
      </c>
      <c r="Y314" s="196">
        <f t="shared" si="458"/>
        <v>0</v>
      </c>
      <c r="Z314" s="196">
        <f t="shared" si="458"/>
        <v>0</v>
      </c>
      <c r="AA314" s="196">
        <f t="shared" si="458"/>
        <v>0</v>
      </c>
      <c r="AB314" s="196">
        <f t="shared" si="436"/>
        <v>0</v>
      </c>
      <c r="AF314" s="196">
        <f t="shared" si="437"/>
        <v>0</v>
      </c>
      <c r="AR314" s="196">
        <f t="shared" si="438"/>
        <v>0</v>
      </c>
      <c r="AS314" s="196">
        <f t="shared" si="438"/>
        <v>0</v>
      </c>
      <c r="AT314" s="196">
        <f t="shared" si="438"/>
        <v>0</v>
      </c>
      <c r="AU314" s="196">
        <f t="shared" si="438"/>
        <v>0</v>
      </c>
      <c r="AV314" s="196">
        <f t="shared" si="438"/>
        <v>0</v>
      </c>
      <c r="AW314" s="196">
        <f t="shared" si="438"/>
        <v>0</v>
      </c>
      <c r="AY314" s="196">
        <f t="shared" ref="AY314:BX314" si="460">+AY73-AY230</f>
        <v>0</v>
      </c>
      <c r="AZ314" s="196">
        <f t="shared" si="460"/>
        <v>0</v>
      </c>
      <c r="BA314" s="196">
        <f t="shared" si="460"/>
        <v>0</v>
      </c>
      <c r="BB314" s="196">
        <f t="shared" si="460"/>
        <v>0</v>
      </c>
      <c r="BD314" s="196">
        <f t="shared" si="460"/>
        <v>0</v>
      </c>
      <c r="BE314" s="196">
        <f t="shared" si="440"/>
        <v>0</v>
      </c>
      <c r="BF314" s="196">
        <f t="shared" si="440"/>
        <v>0</v>
      </c>
      <c r="BG314" s="196">
        <f t="shared" si="440"/>
        <v>0</v>
      </c>
      <c r="BH314" s="196">
        <f t="shared" si="460"/>
        <v>0</v>
      </c>
      <c r="BI314" s="196">
        <f t="shared" si="441"/>
        <v>0</v>
      </c>
      <c r="BJ314" s="196">
        <f t="shared" si="460"/>
        <v>0</v>
      </c>
      <c r="BK314" s="196">
        <f t="shared" si="442"/>
        <v>0</v>
      </c>
      <c r="BL314" s="196">
        <f t="shared" si="460"/>
        <v>0</v>
      </c>
      <c r="BM314" s="196">
        <f t="shared" si="460"/>
        <v>0</v>
      </c>
      <c r="BO314" s="196">
        <f t="shared" si="460"/>
        <v>0</v>
      </c>
      <c r="BP314" s="196">
        <f t="shared" si="443"/>
        <v>0</v>
      </c>
      <c r="BT314" s="196">
        <f t="shared" si="460"/>
        <v>0</v>
      </c>
      <c r="BU314" s="196">
        <f t="shared" si="460"/>
        <v>0</v>
      </c>
      <c r="BV314" s="196">
        <f t="shared" si="460"/>
        <v>0</v>
      </c>
      <c r="BW314" s="196">
        <f t="shared" si="460"/>
        <v>0</v>
      </c>
      <c r="BX314" s="196">
        <f t="shared" si="460"/>
        <v>0</v>
      </c>
      <c r="BZ314" s="196">
        <f t="shared" si="444"/>
        <v>0</v>
      </c>
      <c r="CA314" s="196">
        <f t="shared" si="444"/>
        <v>0</v>
      </c>
      <c r="CB314" s="196">
        <f t="shared" si="444"/>
        <v>0</v>
      </c>
      <c r="CD314" s="196">
        <f t="shared" si="445"/>
        <v>0</v>
      </c>
      <c r="CE314" s="196">
        <f t="shared" si="445"/>
        <v>0</v>
      </c>
      <c r="CF314" s="196">
        <f t="shared" si="445"/>
        <v>0</v>
      </c>
      <c r="CG314" s="196">
        <f t="shared" si="445"/>
        <v>0</v>
      </c>
    </row>
    <row r="315" spans="1:85" hidden="1" x14ac:dyDescent="0.2">
      <c r="A315" s="195" t="s">
        <v>947</v>
      </c>
      <c r="B315" s="196">
        <f t="shared" si="429"/>
        <v>207374</v>
      </c>
      <c r="C315" s="196">
        <f t="shared" ref="C315:AA315" si="461">+C74-C231</f>
        <v>207762</v>
      </c>
      <c r="D315" s="196">
        <f t="shared" si="461"/>
        <v>0</v>
      </c>
      <c r="E315" s="196">
        <f t="shared" ref="E315" si="462">+E74-E231</f>
        <v>0</v>
      </c>
      <c r="F315" s="196">
        <f t="shared" si="461"/>
        <v>0</v>
      </c>
      <c r="G315" s="196">
        <f t="shared" si="461"/>
        <v>0</v>
      </c>
      <c r="H315" s="196">
        <f t="shared" si="461"/>
        <v>0</v>
      </c>
      <c r="I315" s="196">
        <f t="shared" si="461"/>
        <v>0</v>
      </c>
      <c r="J315" s="196">
        <f t="shared" si="461"/>
        <v>0</v>
      </c>
      <c r="K315" s="196">
        <f t="shared" si="461"/>
        <v>0</v>
      </c>
      <c r="L315" s="196">
        <f t="shared" si="461"/>
        <v>0</v>
      </c>
      <c r="M315" s="196">
        <f t="shared" si="461"/>
        <v>0</v>
      </c>
      <c r="N315" s="196">
        <f t="shared" si="461"/>
        <v>0</v>
      </c>
      <c r="O315" s="196">
        <f t="shared" si="461"/>
        <v>0</v>
      </c>
      <c r="P315" s="196">
        <f t="shared" si="461"/>
        <v>0</v>
      </c>
      <c r="Q315" s="196">
        <f t="shared" si="432"/>
        <v>0</v>
      </c>
      <c r="R315" s="196">
        <f t="shared" si="461"/>
        <v>0</v>
      </c>
      <c r="S315" s="196">
        <f t="shared" si="433"/>
        <v>0</v>
      </c>
      <c r="T315" s="196">
        <f t="shared" si="461"/>
        <v>-388</v>
      </c>
      <c r="U315" s="196">
        <f t="shared" si="434"/>
        <v>0</v>
      </c>
      <c r="V315" s="196">
        <f t="shared" si="434"/>
        <v>0</v>
      </c>
      <c r="W315" s="196">
        <f t="shared" si="461"/>
        <v>0</v>
      </c>
      <c r="X315" s="196">
        <f t="shared" si="435"/>
        <v>0</v>
      </c>
      <c r="Y315" s="196">
        <f t="shared" si="461"/>
        <v>0</v>
      </c>
      <c r="Z315" s="196">
        <f t="shared" si="461"/>
        <v>0</v>
      </c>
      <c r="AA315" s="196">
        <f t="shared" si="461"/>
        <v>0</v>
      </c>
      <c r="AB315" s="196">
        <f t="shared" si="436"/>
        <v>0</v>
      </c>
      <c r="AF315" s="196">
        <f t="shared" si="437"/>
        <v>0</v>
      </c>
      <c r="AR315" s="196">
        <f t="shared" si="438"/>
        <v>0</v>
      </c>
      <c r="AS315" s="196">
        <f t="shared" si="438"/>
        <v>0</v>
      </c>
      <c r="AT315" s="196">
        <f t="shared" si="438"/>
        <v>0</v>
      </c>
      <c r="AU315" s="196">
        <f t="shared" si="438"/>
        <v>0</v>
      </c>
      <c r="AV315" s="196">
        <f t="shared" si="438"/>
        <v>0</v>
      </c>
      <c r="AW315" s="196">
        <f t="shared" si="438"/>
        <v>0</v>
      </c>
      <c r="AY315" s="196">
        <f t="shared" ref="AY315:BX315" si="463">+AY74-AY231</f>
        <v>0</v>
      </c>
      <c r="AZ315" s="196">
        <f t="shared" si="463"/>
        <v>0</v>
      </c>
      <c r="BA315" s="196">
        <f t="shared" si="463"/>
        <v>0</v>
      </c>
      <c r="BB315" s="196">
        <f t="shared" si="463"/>
        <v>0</v>
      </c>
      <c r="BD315" s="196">
        <f t="shared" si="463"/>
        <v>0</v>
      </c>
      <c r="BE315" s="196">
        <f t="shared" si="440"/>
        <v>0</v>
      </c>
      <c r="BF315" s="196">
        <f t="shared" si="440"/>
        <v>0</v>
      </c>
      <c r="BG315" s="196">
        <f t="shared" si="440"/>
        <v>0</v>
      </c>
      <c r="BH315" s="196">
        <f t="shared" si="463"/>
        <v>0</v>
      </c>
      <c r="BI315" s="196">
        <f t="shared" si="441"/>
        <v>0</v>
      </c>
      <c r="BJ315" s="196">
        <f t="shared" si="463"/>
        <v>0</v>
      </c>
      <c r="BK315" s="196">
        <f t="shared" si="442"/>
        <v>0</v>
      </c>
      <c r="BL315" s="196">
        <f t="shared" si="463"/>
        <v>0</v>
      </c>
      <c r="BM315" s="196">
        <f t="shared" si="463"/>
        <v>0</v>
      </c>
      <c r="BO315" s="196">
        <f t="shared" si="463"/>
        <v>0</v>
      </c>
      <c r="BP315" s="196">
        <f t="shared" si="443"/>
        <v>0</v>
      </c>
      <c r="BT315" s="196">
        <f t="shared" si="463"/>
        <v>0</v>
      </c>
      <c r="BU315" s="196">
        <f t="shared" si="463"/>
        <v>0</v>
      </c>
      <c r="BV315" s="196">
        <f t="shared" si="463"/>
        <v>0</v>
      </c>
      <c r="BW315" s="196">
        <f t="shared" si="463"/>
        <v>0</v>
      </c>
      <c r="BX315" s="196">
        <f t="shared" si="463"/>
        <v>0</v>
      </c>
      <c r="BZ315" s="196">
        <f t="shared" si="444"/>
        <v>0</v>
      </c>
      <c r="CA315" s="196">
        <f t="shared" si="444"/>
        <v>0</v>
      </c>
      <c r="CB315" s="196">
        <f t="shared" si="444"/>
        <v>0</v>
      </c>
      <c r="CD315" s="196">
        <f t="shared" si="445"/>
        <v>0</v>
      </c>
      <c r="CE315" s="196">
        <f t="shared" si="445"/>
        <v>0</v>
      </c>
      <c r="CF315" s="196">
        <f t="shared" si="445"/>
        <v>0</v>
      </c>
      <c r="CG315" s="196">
        <f t="shared" si="445"/>
        <v>0</v>
      </c>
    </row>
    <row r="316" spans="1:85" hidden="1" x14ac:dyDescent="0.2">
      <c r="A316" s="195" t="s">
        <v>774</v>
      </c>
      <c r="B316" s="196">
        <f t="shared" si="429"/>
        <v>89904</v>
      </c>
      <c r="C316" s="196">
        <f t="shared" ref="C316:AA316" si="464">+C75-C232</f>
        <v>33631</v>
      </c>
      <c r="D316" s="196">
        <f t="shared" si="464"/>
        <v>4468</v>
      </c>
      <c r="E316" s="196">
        <f t="shared" ref="E316" si="465">+E75-E232</f>
        <v>7950</v>
      </c>
      <c r="F316" s="196">
        <f t="shared" si="464"/>
        <v>90</v>
      </c>
      <c r="G316" s="196">
        <f t="shared" si="464"/>
        <v>-46</v>
      </c>
      <c r="H316" s="196">
        <f t="shared" si="464"/>
        <v>267</v>
      </c>
      <c r="I316" s="196">
        <f t="shared" si="464"/>
        <v>544</v>
      </c>
      <c r="J316" s="196">
        <f t="shared" si="464"/>
        <v>-47</v>
      </c>
      <c r="K316" s="196">
        <f t="shared" si="464"/>
        <v>849</v>
      </c>
      <c r="L316" s="196">
        <f t="shared" si="464"/>
        <v>-1</v>
      </c>
      <c r="M316" s="196">
        <f t="shared" si="464"/>
        <v>-23</v>
      </c>
      <c r="N316" s="196">
        <f t="shared" si="464"/>
        <v>8942</v>
      </c>
      <c r="O316" s="196">
        <f t="shared" si="464"/>
        <v>6350</v>
      </c>
      <c r="P316" s="196">
        <f t="shared" si="464"/>
        <v>182</v>
      </c>
      <c r="Q316" s="196">
        <f t="shared" si="432"/>
        <v>1561</v>
      </c>
      <c r="R316" s="196">
        <f t="shared" si="464"/>
        <v>53</v>
      </c>
      <c r="S316" s="196">
        <f t="shared" si="433"/>
        <v>72</v>
      </c>
      <c r="T316" s="196">
        <f t="shared" si="464"/>
        <v>-2</v>
      </c>
      <c r="U316" s="196">
        <f t="shared" si="434"/>
        <v>179</v>
      </c>
      <c r="V316" s="196">
        <f t="shared" si="434"/>
        <v>705</v>
      </c>
      <c r="W316" s="196">
        <f t="shared" si="464"/>
        <v>2976</v>
      </c>
      <c r="X316" s="196">
        <f t="shared" si="435"/>
        <v>3343</v>
      </c>
      <c r="Y316" s="196">
        <f t="shared" si="464"/>
        <v>-1</v>
      </c>
      <c r="Z316" s="196">
        <f t="shared" si="464"/>
        <v>-17</v>
      </c>
      <c r="AA316" s="196">
        <f t="shared" si="464"/>
        <v>-58</v>
      </c>
      <c r="AB316" s="196">
        <f t="shared" si="436"/>
        <v>-129</v>
      </c>
      <c r="AF316" s="196">
        <f t="shared" si="437"/>
        <v>0</v>
      </c>
      <c r="AR316" s="196">
        <f t="shared" si="438"/>
        <v>0</v>
      </c>
      <c r="AS316" s="196">
        <f t="shared" si="438"/>
        <v>0</v>
      </c>
      <c r="AT316" s="196">
        <f t="shared" si="438"/>
        <v>0</v>
      </c>
      <c r="AU316" s="196">
        <f t="shared" si="438"/>
        <v>-104</v>
      </c>
      <c r="AV316" s="196">
        <f t="shared" si="438"/>
        <v>-2</v>
      </c>
      <c r="AW316" s="196">
        <f t="shared" si="438"/>
        <v>2176</v>
      </c>
      <c r="AY316" s="196">
        <f t="shared" ref="AY316:BX316" si="466">+AY75-AY232</f>
        <v>19</v>
      </c>
      <c r="AZ316" s="196">
        <f t="shared" si="466"/>
        <v>291</v>
      </c>
      <c r="BA316" s="196">
        <f t="shared" si="466"/>
        <v>17</v>
      </c>
      <c r="BB316" s="196">
        <f t="shared" si="466"/>
        <v>29</v>
      </c>
      <c r="BD316" s="196">
        <f t="shared" si="466"/>
        <v>-1</v>
      </c>
      <c r="BE316" s="196">
        <f t="shared" si="440"/>
        <v>7</v>
      </c>
      <c r="BF316" s="196">
        <f t="shared" si="440"/>
        <v>0</v>
      </c>
      <c r="BG316" s="196">
        <f t="shared" si="440"/>
        <v>0</v>
      </c>
      <c r="BH316" s="196">
        <f t="shared" si="466"/>
        <v>0</v>
      </c>
      <c r="BI316" s="196">
        <f t="shared" si="441"/>
        <v>0</v>
      </c>
      <c r="BJ316" s="196">
        <f t="shared" si="466"/>
        <v>-231</v>
      </c>
      <c r="BK316" s="196">
        <f t="shared" si="442"/>
        <v>1637</v>
      </c>
      <c r="BL316" s="196">
        <f t="shared" si="466"/>
        <v>36</v>
      </c>
      <c r="BM316" s="196">
        <f t="shared" si="466"/>
        <v>0</v>
      </c>
      <c r="BO316" s="196">
        <f t="shared" si="466"/>
        <v>0</v>
      </c>
      <c r="BP316" s="196">
        <f t="shared" si="443"/>
        <v>133</v>
      </c>
      <c r="BT316" s="196">
        <f t="shared" si="466"/>
        <v>1755</v>
      </c>
      <c r="BU316" s="196">
        <f t="shared" si="466"/>
        <v>1814</v>
      </c>
      <c r="BV316" s="196">
        <f t="shared" si="466"/>
        <v>1968</v>
      </c>
      <c r="BW316" s="196">
        <f t="shared" si="466"/>
        <v>317</v>
      </c>
      <c r="BX316" s="196">
        <f t="shared" si="466"/>
        <v>8205</v>
      </c>
      <c r="BZ316" s="196">
        <f t="shared" si="444"/>
        <v>0</v>
      </c>
      <c r="CA316" s="196">
        <f t="shared" si="444"/>
        <v>0</v>
      </c>
      <c r="CB316" s="196">
        <f t="shared" si="444"/>
        <v>0</v>
      </c>
      <c r="CD316" s="196">
        <f t="shared" si="445"/>
        <v>0</v>
      </c>
      <c r="CE316" s="196">
        <f t="shared" si="445"/>
        <v>0</v>
      </c>
      <c r="CF316" s="196">
        <f t="shared" si="445"/>
        <v>0</v>
      </c>
      <c r="CG316" s="196">
        <f t="shared" si="445"/>
        <v>0</v>
      </c>
    </row>
    <row r="317" spans="1:85" hidden="1" x14ac:dyDescent="0.2">
      <c r="A317" s="195" t="s">
        <v>775</v>
      </c>
      <c r="B317" s="196">
        <f t="shared" si="429"/>
        <v>76252</v>
      </c>
      <c r="C317" s="196">
        <f t="shared" ref="C317:AA317" si="467">+C76-C233</f>
        <v>11112</v>
      </c>
      <c r="D317" s="196">
        <f t="shared" si="467"/>
        <v>46</v>
      </c>
      <c r="E317" s="196">
        <f t="shared" ref="E317" si="468">+E76-E233</f>
        <v>1</v>
      </c>
      <c r="F317" s="196">
        <f t="shared" si="467"/>
        <v>359</v>
      </c>
      <c r="G317" s="196">
        <f t="shared" si="467"/>
        <v>1336</v>
      </c>
      <c r="H317" s="196">
        <f t="shared" si="467"/>
        <v>-3769</v>
      </c>
      <c r="I317" s="196">
        <f t="shared" si="467"/>
        <v>255</v>
      </c>
      <c r="J317" s="196">
        <f t="shared" si="467"/>
        <v>0</v>
      </c>
      <c r="K317" s="196">
        <f t="shared" si="467"/>
        <v>0</v>
      </c>
      <c r="L317" s="196">
        <f t="shared" si="467"/>
        <v>0</v>
      </c>
      <c r="M317" s="196">
        <f t="shared" si="467"/>
        <v>0</v>
      </c>
      <c r="N317" s="196">
        <f t="shared" si="467"/>
        <v>-31</v>
      </c>
      <c r="O317" s="196">
        <f t="shared" si="467"/>
        <v>1789</v>
      </c>
      <c r="P317" s="196">
        <f t="shared" si="467"/>
        <v>11</v>
      </c>
      <c r="Q317" s="196">
        <f t="shared" si="432"/>
        <v>0</v>
      </c>
      <c r="R317" s="196">
        <f t="shared" si="467"/>
        <v>38403</v>
      </c>
      <c r="S317" s="196">
        <f t="shared" si="433"/>
        <v>1831</v>
      </c>
      <c r="T317" s="196">
        <f t="shared" si="467"/>
        <v>0</v>
      </c>
      <c r="U317" s="196">
        <f t="shared" si="434"/>
        <v>1</v>
      </c>
      <c r="V317" s="196">
        <f t="shared" si="434"/>
        <v>355</v>
      </c>
      <c r="W317" s="196">
        <f t="shared" si="467"/>
        <v>-62</v>
      </c>
      <c r="X317" s="196">
        <f t="shared" si="435"/>
        <v>-16</v>
      </c>
      <c r="Y317" s="196">
        <f t="shared" si="467"/>
        <v>-48</v>
      </c>
      <c r="Z317" s="196">
        <f t="shared" si="467"/>
        <v>0</v>
      </c>
      <c r="AA317" s="196">
        <f t="shared" si="467"/>
        <v>0</v>
      </c>
      <c r="AB317" s="196">
        <f t="shared" si="436"/>
        <v>0</v>
      </c>
      <c r="AF317" s="196">
        <f t="shared" si="437"/>
        <v>0</v>
      </c>
      <c r="AR317" s="196">
        <f t="shared" si="438"/>
        <v>0</v>
      </c>
      <c r="AS317" s="196">
        <f t="shared" si="438"/>
        <v>0</v>
      </c>
      <c r="AT317" s="196">
        <f t="shared" si="438"/>
        <v>0</v>
      </c>
      <c r="AU317" s="196">
        <f t="shared" si="438"/>
        <v>0</v>
      </c>
      <c r="AV317" s="196">
        <f t="shared" si="438"/>
        <v>0</v>
      </c>
      <c r="AW317" s="196">
        <f t="shared" si="438"/>
        <v>0</v>
      </c>
      <c r="AY317" s="196">
        <f t="shared" ref="AY317:BX317" si="469">+AY76-AY233</f>
        <v>0</v>
      </c>
      <c r="AZ317" s="196">
        <f t="shared" si="469"/>
        <v>-1</v>
      </c>
      <c r="BA317" s="196">
        <f t="shared" si="469"/>
        <v>0</v>
      </c>
      <c r="BB317" s="196">
        <f t="shared" si="469"/>
        <v>0</v>
      </c>
      <c r="BD317" s="196">
        <f t="shared" si="469"/>
        <v>0</v>
      </c>
      <c r="BE317" s="196">
        <f t="shared" si="440"/>
        <v>0</v>
      </c>
      <c r="BF317" s="196">
        <f t="shared" si="440"/>
        <v>15</v>
      </c>
      <c r="BG317" s="196">
        <f t="shared" si="440"/>
        <v>0</v>
      </c>
      <c r="BH317" s="196">
        <f t="shared" si="469"/>
        <v>2278</v>
      </c>
      <c r="BI317" s="196">
        <f t="shared" si="441"/>
        <v>0</v>
      </c>
      <c r="BJ317" s="196">
        <f t="shared" si="469"/>
        <v>82</v>
      </c>
      <c r="BK317" s="196">
        <f t="shared" si="442"/>
        <v>1</v>
      </c>
      <c r="BL317" s="196">
        <f t="shared" si="469"/>
        <v>-1661</v>
      </c>
      <c r="BM317" s="196">
        <f t="shared" si="469"/>
        <v>7</v>
      </c>
      <c r="BO317" s="196">
        <f t="shared" si="469"/>
        <v>-75</v>
      </c>
      <c r="BP317" s="196">
        <f t="shared" si="443"/>
        <v>183</v>
      </c>
      <c r="BT317" s="196">
        <f t="shared" si="469"/>
        <v>19024</v>
      </c>
      <c r="BU317" s="196">
        <f t="shared" si="469"/>
        <v>-241</v>
      </c>
      <c r="BV317" s="196">
        <f t="shared" si="469"/>
        <v>8</v>
      </c>
      <c r="BW317" s="196">
        <f t="shared" si="469"/>
        <v>702</v>
      </c>
      <c r="BX317" s="196">
        <f t="shared" si="469"/>
        <v>4357</v>
      </c>
      <c r="BZ317" s="196">
        <f t="shared" si="444"/>
        <v>0</v>
      </c>
      <c r="CA317" s="196">
        <f t="shared" si="444"/>
        <v>0</v>
      </c>
      <c r="CB317" s="196">
        <f t="shared" si="444"/>
        <v>0</v>
      </c>
      <c r="CD317" s="196">
        <f t="shared" si="445"/>
        <v>0</v>
      </c>
      <c r="CE317" s="196">
        <f t="shared" si="445"/>
        <v>0</v>
      </c>
      <c r="CF317" s="196">
        <f t="shared" si="445"/>
        <v>0</v>
      </c>
      <c r="CG317" s="196">
        <f t="shared" si="445"/>
        <v>0</v>
      </c>
    </row>
    <row r="318" spans="1:85" hidden="1" x14ac:dyDescent="0.2">
      <c r="A318" s="195" t="s">
        <v>778</v>
      </c>
      <c r="B318" s="196">
        <f t="shared" si="429"/>
        <v>137099</v>
      </c>
      <c r="C318" s="196">
        <f t="shared" ref="C318:AA318" si="470">+C78-C234</f>
        <v>-145633</v>
      </c>
      <c r="D318" s="196">
        <f t="shared" si="470"/>
        <v>-38949</v>
      </c>
      <c r="E318" s="196">
        <f t="shared" ref="E318" si="471">+E78-E234</f>
        <v>87305</v>
      </c>
      <c r="F318" s="196">
        <f t="shared" si="470"/>
        <v>-6211</v>
      </c>
      <c r="G318" s="196">
        <f t="shared" si="470"/>
        <v>1424</v>
      </c>
      <c r="H318" s="196">
        <f t="shared" si="470"/>
        <v>954</v>
      </c>
      <c r="I318" s="196">
        <f t="shared" si="470"/>
        <v>1</v>
      </c>
      <c r="J318" s="196">
        <f t="shared" si="470"/>
        <v>4670</v>
      </c>
      <c r="K318" s="196">
        <f t="shared" si="470"/>
        <v>-7488</v>
      </c>
      <c r="L318" s="196">
        <f t="shared" si="470"/>
        <v>-4576</v>
      </c>
      <c r="M318" s="196">
        <f t="shared" si="470"/>
        <v>0</v>
      </c>
      <c r="N318" s="196">
        <f>+N78-N234</f>
        <v>-30153</v>
      </c>
      <c r="O318" s="196">
        <f t="shared" si="470"/>
        <v>1249</v>
      </c>
      <c r="P318" s="196">
        <f t="shared" si="470"/>
        <v>-11087</v>
      </c>
      <c r="Q318" s="196">
        <f>+Q78-Q234</f>
        <v>19120</v>
      </c>
      <c r="R318" s="196">
        <f t="shared" si="470"/>
        <v>-50211</v>
      </c>
      <c r="S318" s="196">
        <f>+S78-S234</f>
        <v>-47591</v>
      </c>
      <c r="T318" s="196">
        <f t="shared" si="470"/>
        <v>1108</v>
      </c>
      <c r="U318" s="196">
        <f>+U78-U234</f>
        <v>33355</v>
      </c>
      <c r="V318" s="196">
        <f>+V78-V234</f>
        <v>0</v>
      </c>
      <c r="W318" s="196">
        <f t="shared" si="470"/>
        <v>-16440</v>
      </c>
      <c r="X318" s="196">
        <f>+X78-X234</f>
        <v>-13610</v>
      </c>
      <c r="Y318" s="196">
        <f t="shared" si="470"/>
        <v>0</v>
      </c>
      <c r="Z318" s="196">
        <f t="shared" si="470"/>
        <v>1930</v>
      </c>
      <c r="AA318" s="196">
        <f t="shared" si="470"/>
        <v>989</v>
      </c>
      <c r="AB318" s="196">
        <f>+AB78-AB234</f>
        <v>56880</v>
      </c>
      <c r="AF318" s="196">
        <f>+AF78-AF234</f>
        <v>168466</v>
      </c>
      <c r="AR318" s="196">
        <f t="shared" ref="AR318:AW318" si="472">+AR78-AR234</f>
        <v>-20660</v>
      </c>
      <c r="AS318" s="196">
        <f t="shared" si="472"/>
        <v>0</v>
      </c>
      <c r="AT318" s="196">
        <f t="shared" si="472"/>
        <v>151066</v>
      </c>
      <c r="AU318" s="196">
        <f t="shared" si="472"/>
        <v>-4268</v>
      </c>
      <c r="AV318" s="196">
        <f t="shared" si="472"/>
        <v>502</v>
      </c>
      <c r="AW318" s="196">
        <f t="shared" si="472"/>
        <v>-37540</v>
      </c>
      <c r="AY318" s="196">
        <f t="shared" ref="AY318:BX318" si="473">+AY78-AY234</f>
        <v>0</v>
      </c>
      <c r="AZ318" s="196">
        <f t="shared" si="473"/>
        <v>-96</v>
      </c>
      <c r="BA318" s="196">
        <f t="shared" si="473"/>
        <v>0</v>
      </c>
      <c r="BB318" s="196">
        <f t="shared" si="473"/>
        <v>0</v>
      </c>
      <c r="BD318" s="196">
        <f t="shared" si="473"/>
        <v>0</v>
      </c>
      <c r="BE318" s="196">
        <f>+BE78-BE234</f>
        <v>0</v>
      </c>
      <c r="BF318" s="196">
        <f>+BF78-BF234</f>
        <v>9493</v>
      </c>
      <c r="BG318" s="196">
        <f>+BG78-BG234</f>
        <v>0</v>
      </c>
      <c r="BH318" s="196">
        <f t="shared" si="473"/>
        <v>27552</v>
      </c>
      <c r="BI318" s="196">
        <f>+BI78-BI234</f>
        <v>0</v>
      </c>
      <c r="BJ318" s="196">
        <f t="shared" si="473"/>
        <v>-1522</v>
      </c>
      <c r="BK318" s="196">
        <f>+BK78-BK234</f>
        <v>-8608</v>
      </c>
      <c r="BL318" s="196">
        <f t="shared" si="473"/>
        <v>1605</v>
      </c>
      <c r="BM318" s="196">
        <f t="shared" si="473"/>
        <v>200</v>
      </c>
      <c r="BO318" s="196">
        <f t="shared" si="473"/>
        <v>0</v>
      </c>
      <c r="BP318" s="196">
        <f>+BP78-BP234</f>
        <v>4</v>
      </c>
      <c r="BT318" s="196">
        <f t="shared" si="473"/>
        <v>-4152</v>
      </c>
      <c r="BU318" s="196">
        <f t="shared" si="473"/>
        <v>7022</v>
      </c>
      <c r="BV318" s="196">
        <f t="shared" si="473"/>
        <v>5856</v>
      </c>
      <c r="BW318" s="196">
        <f t="shared" si="473"/>
        <v>-894</v>
      </c>
      <c r="BX318" s="196">
        <f t="shared" si="473"/>
        <v>6037</v>
      </c>
      <c r="BZ318" s="196">
        <f>+BZ78-BZ234</f>
        <v>0</v>
      </c>
      <c r="CA318" s="196">
        <f>+CA78-CA234</f>
        <v>0</v>
      </c>
      <c r="CB318" s="196">
        <f>+CB78-CB234</f>
        <v>0</v>
      </c>
      <c r="CD318" s="196">
        <f>CD78-CD237</f>
        <v>0</v>
      </c>
      <c r="CE318" s="196">
        <f>CE78-CE237</f>
        <v>0</v>
      </c>
      <c r="CF318" s="196">
        <f>CF78-CF237</f>
        <v>0</v>
      </c>
      <c r="CG318" s="196">
        <f>CG78-CG237</f>
        <v>0</v>
      </c>
    </row>
    <row r="319" spans="1:85" hidden="1" x14ac:dyDescent="0.2">
      <c r="A319" s="198" t="s">
        <v>932</v>
      </c>
      <c r="B319" s="204">
        <f t="shared" ref="B319:BZ319" si="474">SUM(B309:B318)</f>
        <v>1263327</v>
      </c>
      <c r="C319" s="204">
        <f t="shared" si="474"/>
        <v>521965</v>
      </c>
      <c r="D319" s="204">
        <f t="shared" si="474"/>
        <v>114786</v>
      </c>
      <c r="E319" s="204">
        <f>SUM(E309:E318)</f>
        <v>95256</v>
      </c>
      <c r="F319" s="204">
        <f>SUM(F309:F318)</f>
        <v>-5762</v>
      </c>
      <c r="G319" s="204">
        <f t="shared" si="474"/>
        <v>2714</v>
      </c>
      <c r="H319" s="204">
        <f t="shared" si="474"/>
        <v>-2548</v>
      </c>
      <c r="I319" s="204">
        <f t="shared" si="474"/>
        <v>800</v>
      </c>
      <c r="J319" s="204">
        <f t="shared" si="474"/>
        <v>4623</v>
      </c>
      <c r="K319" s="204">
        <f t="shared" si="474"/>
        <v>7015</v>
      </c>
      <c r="L319" s="204">
        <f t="shared" si="474"/>
        <v>-4577</v>
      </c>
      <c r="M319" s="204">
        <f t="shared" si="474"/>
        <v>-23</v>
      </c>
      <c r="N319" s="204">
        <f t="shared" si="474"/>
        <v>13704</v>
      </c>
      <c r="O319" s="204">
        <f t="shared" si="474"/>
        <v>28038</v>
      </c>
      <c r="P319" s="204">
        <f t="shared" si="474"/>
        <v>-906</v>
      </c>
      <c r="Q319" s="204">
        <f>SUM(Q309:Q318)</f>
        <v>-2976</v>
      </c>
      <c r="R319" s="204">
        <f t="shared" si="474"/>
        <v>38485</v>
      </c>
      <c r="S319" s="204">
        <f>SUM(S309:S318)</f>
        <v>4552</v>
      </c>
      <c r="T319" s="204">
        <f t="shared" si="474"/>
        <v>718</v>
      </c>
      <c r="U319" s="204">
        <f>SUM(U309:U318)</f>
        <v>33535</v>
      </c>
      <c r="V319" s="204">
        <f>SUM(V309:V318)</f>
        <v>1060</v>
      </c>
      <c r="W319" s="204">
        <f t="shared" si="474"/>
        <v>-13526</v>
      </c>
      <c r="X319" s="204">
        <f>SUM(X309:X318)</f>
        <v>24040</v>
      </c>
      <c r="Y319" s="204">
        <f t="shared" si="474"/>
        <v>-49</v>
      </c>
      <c r="Z319" s="204">
        <f t="shared" si="474"/>
        <v>1913</v>
      </c>
      <c r="AA319" s="204">
        <f t="shared" si="474"/>
        <v>931</v>
      </c>
      <c r="AB319" s="204">
        <f>SUM(AB309:AB318)</f>
        <v>56751</v>
      </c>
      <c r="AC319" s="204"/>
      <c r="AD319" s="204"/>
      <c r="AE319" s="204"/>
      <c r="AF319" s="204">
        <f>SUM(AF309:AF318)</f>
        <v>168466</v>
      </c>
      <c r="AG319" s="204"/>
      <c r="AH319" s="204"/>
      <c r="AI319" s="204"/>
      <c r="AJ319" s="204"/>
      <c r="AK319" s="204"/>
      <c r="AL319" s="204"/>
      <c r="AM319" s="204"/>
      <c r="AN319" s="204"/>
      <c r="AO319" s="204"/>
      <c r="AP319" s="204"/>
      <c r="AQ319" s="204"/>
      <c r="AR319" s="204">
        <f t="shared" si="474"/>
        <v>-20660</v>
      </c>
      <c r="AS319" s="204">
        <f t="shared" si="474"/>
        <v>0</v>
      </c>
      <c r="AT319" s="204">
        <f t="shared" si="474"/>
        <v>151066</v>
      </c>
      <c r="AU319" s="204">
        <f t="shared" si="474"/>
        <v>-4372</v>
      </c>
      <c r="AV319" s="204">
        <f t="shared" si="474"/>
        <v>500</v>
      </c>
      <c r="AW319" s="204">
        <f>SUM(AW309:AW318)</f>
        <v>-35364</v>
      </c>
      <c r="AX319" s="204"/>
      <c r="AY319" s="204">
        <f t="shared" si="474"/>
        <v>19</v>
      </c>
      <c r="AZ319" s="204">
        <f t="shared" si="474"/>
        <v>194</v>
      </c>
      <c r="BA319" s="204">
        <f t="shared" si="474"/>
        <v>17</v>
      </c>
      <c r="BB319" s="204">
        <f t="shared" si="474"/>
        <v>29</v>
      </c>
      <c r="BC319" s="204"/>
      <c r="BD319" s="204">
        <f t="shared" ref="BD319:BO319" si="475">SUM(BD309:BD318)</f>
        <v>-1</v>
      </c>
      <c r="BE319" s="204">
        <f>SUM(BE309:BE318)</f>
        <v>7</v>
      </c>
      <c r="BF319" s="204">
        <f>SUM(BF309:BF318)</f>
        <v>9508</v>
      </c>
      <c r="BG319" s="204">
        <f>SUM(BG309:BG318)</f>
        <v>0</v>
      </c>
      <c r="BH319" s="204">
        <f t="shared" si="475"/>
        <v>29830</v>
      </c>
      <c r="BI319" s="204">
        <f>SUM(BI309:BI318)</f>
        <v>0</v>
      </c>
      <c r="BJ319" s="204">
        <f t="shared" si="475"/>
        <v>-1671</v>
      </c>
      <c r="BK319" s="204">
        <f>SUM(BK309:BK318)</f>
        <v>-6970</v>
      </c>
      <c r="BL319" s="204">
        <f t="shared" si="475"/>
        <v>-20</v>
      </c>
      <c r="BM319" s="204">
        <f t="shared" si="475"/>
        <v>207</v>
      </c>
      <c r="BN319" s="204"/>
      <c r="BO319" s="204">
        <f t="shared" si="475"/>
        <v>-75</v>
      </c>
      <c r="BP319" s="204">
        <f>SUM(BP309:BP318)</f>
        <v>320</v>
      </c>
      <c r="BQ319" s="204"/>
      <c r="BR319" s="204"/>
      <c r="BS319" s="204"/>
      <c r="BT319" s="204">
        <f t="shared" si="474"/>
        <v>16627</v>
      </c>
      <c r="BU319" s="204">
        <f t="shared" si="474"/>
        <v>8595</v>
      </c>
      <c r="BV319" s="204">
        <f t="shared" si="474"/>
        <v>7832</v>
      </c>
      <c r="BW319" s="204">
        <f t="shared" si="474"/>
        <v>125</v>
      </c>
      <c r="BX319" s="204">
        <f t="shared" si="474"/>
        <v>18599</v>
      </c>
      <c r="BY319" s="204"/>
      <c r="BZ319" s="204">
        <f t="shared" si="474"/>
        <v>0</v>
      </c>
      <c r="CA319" s="204">
        <f>SUM(CA309:CA318)</f>
        <v>0</v>
      </c>
      <c r="CB319" s="204">
        <f>SUM(CB309:CB318)</f>
        <v>0</v>
      </c>
      <c r="CD319" s="204">
        <f>SUM(CD309:CD318)</f>
        <v>0</v>
      </c>
      <c r="CE319" s="204">
        <f>SUM(CE309:CE318)</f>
        <v>0</v>
      </c>
      <c r="CF319" s="204">
        <f>SUM(CF309:CF318)</f>
        <v>0</v>
      </c>
      <c r="CG319" s="204">
        <f>SUM(CG309:CG318)</f>
        <v>0</v>
      </c>
    </row>
    <row r="320" spans="1:85" hidden="1" x14ac:dyDescent="0.2">
      <c r="BK320" s="196"/>
    </row>
    <row r="321" spans="1:89" hidden="1" x14ac:dyDescent="0.2">
      <c r="A321" s="193" t="s">
        <v>833</v>
      </c>
      <c r="B321" s="197" t="e">
        <f>-B265+B278+B292+B305+B319</f>
        <v>#REF!</v>
      </c>
      <c r="C321" s="197">
        <f t="shared" ref="C321:BZ321" si="476">-C265+C278+C292+C305+C319</f>
        <v>-582282</v>
      </c>
      <c r="D321" s="197">
        <f t="shared" si="476"/>
        <v>60046</v>
      </c>
      <c r="E321" s="197">
        <f>-E265+E278+E292+E305+E319</f>
        <v>123225</v>
      </c>
      <c r="F321" s="197">
        <f>-F265+F278+F292+F305+F319</f>
        <v>-29164</v>
      </c>
      <c r="G321" s="197">
        <f t="shared" si="476"/>
        <v>-83</v>
      </c>
      <c r="H321" s="197">
        <f t="shared" si="476"/>
        <v>-30</v>
      </c>
      <c r="I321" s="197">
        <f t="shared" si="476"/>
        <v>956</v>
      </c>
      <c r="J321" s="197">
        <f t="shared" si="476"/>
        <v>41201</v>
      </c>
      <c r="K321" s="197">
        <f t="shared" si="476"/>
        <v>-5657</v>
      </c>
      <c r="L321" s="197">
        <f t="shared" si="476"/>
        <v>15432</v>
      </c>
      <c r="M321" s="197">
        <f t="shared" si="476"/>
        <v>-19</v>
      </c>
      <c r="N321" s="197" t="e">
        <f t="shared" si="476"/>
        <v>#REF!</v>
      </c>
      <c r="O321" s="197">
        <f t="shared" si="476"/>
        <v>-21973</v>
      </c>
      <c r="P321" s="197">
        <f t="shared" si="476"/>
        <v>312</v>
      </c>
      <c r="Q321" s="197">
        <f>-Q265+Q278+Q292+Q305+Q319</f>
        <v>61833</v>
      </c>
      <c r="R321" s="197">
        <f t="shared" si="476"/>
        <v>1253</v>
      </c>
      <c r="S321" s="197">
        <f>-S265+S278+S292+S305+S319</f>
        <v>17224</v>
      </c>
      <c r="T321" s="197">
        <f t="shared" si="476"/>
        <v>-13098</v>
      </c>
      <c r="U321" s="197">
        <f>-U265+U278+U292+U305+U319</f>
        <v>31534</v>
      </c>
      <c r="V321" s="197">
        <f>-V265+V278+V292+V305+V319</f>
        <v>-492</v>
      </c>
      <c r="W321" s="197">
        <f t="shared" si="476"/>
        <v>-26587</v>
      </c>
      <c r="X321" s="197">
        <f>-X265+X278+X292+X305+X319</f>
        <v>-13496</v>
      </c>
      <c r="Y321" s="197">
        <f t="shared" si="476"/>
        <v>-55</v>
      </c>
      <c r="Z321" s="197">
        <f t="shared" si="476"/>
        <v>513</v>
      </c>
      <c r="AA321" s="197">
        <f t="shared" si="476"/>
        <v>-299</v>
      </c>
      <c r="AB321" s="197">
        <f>-AB265+AB278+AB292+AB305+AB319</f>
        <v>50921</v>
      </c>
      <c r="AC321" s="197"/>
      <c r="AD321" s="197"/>
      <c r="AE321" s="197"/>
      <c r="AF321" s="197">
        <f>-AF265+AF278+AF292+AF305+AF319</f>
        <v>-321878</v>
      </c>
      <c r="AG321" s="197"/>
      <c r="AH321" s="197"/>
      <c r="AI321" s="197"/>
      <c r="AJ321" s="197"/>
      <c r="AK321" s="197"/>
      <c r="AL321" s="197"/>
      <c r="AM321" s="197"/>
      <c r="AN321" s="197"/>
      <c r="AO321" s="197"/>
      <c r="AP321" s="197"/>
      <c r="AQ321" s="197"/>
      <c r="AR321" s="197">
        <f t="shared" si="476"/>
        <v>-99322</v>
      </c>
      <c r="AS321" s="197">
        <f t="shared" si="476"/>
        <v>-82</v>
      </c>
      <c r="AT321" s="197">
        <f t="shared" si="476"/>
        <v>-244070</v>
      </c>
      <c r="AU321" s="197">
        <f t="shared" si="476"/>
        <v>-6377</v>
      </c>
      <c r="AV321" s="197">
        <f t="shared" si="476"/>
        <v>500</v>
      </c>
      <c r="AW321" s="197">
        <f>-AW265+AW278+AW292+AW305+AW319</f>
        <v>-35258</v>
      </c>
      <c r="AX321" s="197"/>
      <c r="AY321" s="197">
        <f t="shared" si="476"/>
        <v>3</v>
      </c>
      <c r="AZ321" s="197">
        <f t="shared" si="476"/>
        <v>217</v>
      </c>
      <c r="BA321" s="197">
        <f t="shared" si="476"/>
        <v>17</v>
      </c>
      <c r="BB321" s="197">
        <f t="shared" si="476"/>
        <v>-3</v>
      </c>
      <c r="BC321" s="197"/>
      <c r="BD321" s="197">
        <f t="shared" ref="BD321:BO321" si="477">-BD265+BD278+BD292+BD305+BD319</f>
        <v>73554</v>
      </c>
      <c r="BE321" s="197">
        <f>-BE265+BE278+BE292+BE305+BE319</f>
        <v>25</v>
      </c>
      <c r="BF321" s="197">
        <f>-BF265+BF278+BF292+BF305+BF319</f>
        <v>-9345</v>
      </c>
      <c r="BG321" s="197">
        <f>-BG265+BG278+BG292+BG305+BG319</f>
        <v>0</v>
      </c>
      <c r="BH321" s="197">
        <f t="shared" si="477"/>
        <v>-31132</v>
      </c>
      <c r="BI321" s="197">
        <f>-BI265+BI278+BI292+BI305+BI319</f>
        <v>0</v>
      </c>
      <c r="BJ321" s="197">
        <f t="shared" si="477"/>
        <v>-18335</v>
      </c>
      <c r="BK321" s="197">
        <f>-BK265+BK278+BK292+BK305+BK319</f>
        <v>-14932</v>
      </c>
      <c r="BL321" s="197">
        <f t="shared" si="477"/>
        <v>-2666</v>
      </c>
      <c r="BM321" s="197">
        <f t="shared" si="477"/>
        <v>-1771</v>
      </c>
      <c r="BN321" s="197"/>
      <c r="BO321" s="197">
        <f t="shared" si="477"/>
        <v>-37</v>
      </c>
      <c r="BP321" s="197">
        <f>-BP265+BP278+BP292+BP305+BP319</f>
        <v>-1849</v>
      </c>
      <c r="BQ321" s="197"/>
      <c r="BR321" s="197"/>
      <c r="BS321" s="197"/>
      <c r="BT321" s="197">
        <f t="shared" si="476"/>
        <v>9704</v>
      </c>
      <c r="BU321" s="197">
        <f t="shared" si="476"/>
        <v>-4447</v>
      </c>
      <c r="BV321" s="197">
        <f t="shared" si="476"/>
        <v>10467</v>
      </c>
      <c r="BW321" s="197">
        <f t="shared" si="476"/>
        <v>855</v>
      </c>
      <c r="BX321" s="197">
        <f t="shared" si="476"/>
        <v>14967</v>
      </c>
      <c r="BY321" s="197"/>
      <c r="BZ321" s="197" t="e">
        <f t="shared" si="476"/>
        <v>#REF!</v>
      </c>
      <c r="CA321" s="197" t="e">
        <f>-CA265+CA278+CA292+CA305+CA319</f>
        <v>#REF!</v>
      </c>
      <c r="CB321" s="197">
        <f>-CB265+CB278+CB292+CB305+CB319</f>
        <v>0</v>
      </c>
      <c r="CD321" s="197" t="e">
        <f>-CD265+CD278+CD292+CD305+CD319</f>
        <v>#REF!</v>
      </c>
      <c r="CE321" s="197" t="e">
        <f>-CE265+CE278+CE292+CE305+CE319</f>
        <v>#REF!</v>
      </c>
      <c r="CF321" s="197" t="e">
        <f>-CF265+CF278+CF292+CF305+CF319</f>
        <v>#REF!</v>
      </c>
      <c r="CG321" s="197" t="e">
        <f>-CG265+CG278+CG292+CG305+CG319</f>
        <v>#REF!</v>
      </c>
    </row>
    <row r="322" spans="1:89" hidden="1" x14ac:dyDescent="0.2">
      <c r="A322" s="193"/>
      <c r="BK322" s="196"/>
    </row>
    <row r="323" spans="1:89" hidden="1" x14ac:dyDescent="0.2">
      <c r="A323" s="193" t="s">
        <v>933</v>
      </c>
      <c r="B323" s="196">
        <f>SUM(C323:CB323)</f>
        <v>2786348</v>
      </c>
      <c r="C323" s="196">
        <f t="shared" ref="C323:AA323" si="478">+C83-C239</f>
        <v>448913</v>
      </c>
      <c r="D323" s="196">
        <f t="shared" si="478"/>
        <v>2311200</v>
      </c>
      <c r="E323" s="196">
        <f t="shared" ref="E323" si="479">+E83-E239</f>
        <v>-52310</v>
      </c>
      <c r="F323" s="196">
        <f t="shared" si="478"/>
        <v>-52589</v>
      </c>
      <c r="G323" s="196">
        <f t="shared" si="478"/>
        <v>-8438</v>
      </c>
      <c r="H323" s="196">
        <f t="shared" si="478"/>
        <v>789</v>
      </c>
      <c r="I323" s="196">
        <f t="shared" si="478"/>
        <v>29708</v>
      </c>
      <c r="J323" s="196">
        <f t="shared" si="478"/>
        <v>754</v>
      </c>
      <c r="K323" s="196">
        <f t="shared" si="478"/>
        <v>2623</v>
      </c>
      <c r="L323" s="196">
        <f t="shared" si="478"/>
        <v>-73</v>
      </c>
      <c r="M323" s="196">
        <f t="shared" si="478"/>
        <v>-4749</v>
      </c>
      <c r="N323" s="196">
        <f t="shared" si="478"/>
        <v>121897</v>
      </c>
      <c r="O323" s="196">
        <f t="shared" si="478"/>
        <v>74268</v>
      </c>
      <c r="P323" s="196">
        <f t="shared" si="478"/>
        <v>-16952</v>
      </c>
      <c r="Q323" s="196">
        <f>+Q83-Q239</f>
        <v>-9023</v>
      </c>
      <c r="R323" s="196">
        <f t="shared" si="478"/>
        <v>-2036</v>
      </c>
      <c r="S323" s="196">
        <f>+S83-S239</f>
        <v>-140</v>
      </c>
      <c r="T323" s="196">
        <f t="shared" si="478"/>
        <v>7051</v>
      </c>
      <c r="U323" s="196">
        <f>+U83-U239</f>
        <v>-34053</v>
      </c>
      <c r="V323" s="196">
        <f>+V83-V239</f>
        <v>371</v>
      </c>
      <c r="W323" s="196">
        <f t="shared" si="478"/>
        <v>18194</v>
      </c>
      <c r="X323" s="196">
        <f>+X83-X239</f>
        <v>48754</v>
      </c>
      <c r="Y323" s="196">
        <f t="shared" si="478"/>
        <v>-19566</v>
      </c>
      <c r="Z323" s="196">
        <f t="shared" si="478"/>
        <v>55259</v>
      </c>
      <c r="AA323" s="196">
        <f t="shared" si="478"/>
        <v>84408</v>
      </c>
      <c r="AB323" s="196">
        <f>+AB83-AB239</f>
        <v>-627879</v>
      </c>
      <c r="AF323" s="196">
        <f>+AF83-AF239</f>
        <v>-401984</v>
      </c>
      <c r="AR323" s="196">
        <f t="shared" ref="AR323:AW323" si="480">+AR83-AR239</f>
        <v>-214394</v>
      </c>
      <c r="AS323" s="196">
        <f t="shared" si="480"/>
        <v>22</v>
      </c>
      <c r="AT323" s="196">
        <f t="shared" si="480"/>
        <v>-400278</v>
      </c>
      <c r="AU323" s="196">
        <f t="shared" si="480"/>
        <v>-125535</v>
      </c>
      <c r="AV323" s="196">
        <f t="shared" si="480"/>
        <v>-17706</v>
      </c>
      <c r="AW323" s="196">
        <f t="shared" si="480"/>
        <v>-360954</v>
      </c>
      <c r="AY323" s="196">
        <f t="shared" ref="AY323:BX323" si="481">+AY83-AY239</f>
        <v>-38</v>
      </c>
      <c r="AZ323" s="196">
        <f t="shared" si="481"/>
        <v>2877</v>
      </c>
      <c r="BA323" s="196">
        <f t="shared" si="481"/>
        <v>-2</v>
      </c>
      <c r="BB323" s="196">
        <f t="shared" si="481"/>
        <v>14</v>
      </c>
      <c r="BD323" s="196">
        <f t="shared" si="481"/>
        <v>180493</v>
      </c>
      <c r="BE323" s="196">
        <f>+BE83-BE239</f>
        <v>267</v>
      </c>
      <c r="BF323" s="196">
        <f>+BF83-BF239</f>
        <v>66</v>
      </c>
      <c r="BG323" s="196">
        <f>+BG83-BG239</f>
        <v>7</v>
      </c>
      <c r="BH323" s="196">
        <f t="shared" si="481"/>
        <v>11214</v>
      </c>
      <c r="BI323" s="196">
        <f>+BI83-BI239</f>
        <v>29</v>
      </c>
      <c r="BJ323" s="196">
        <f t="shared" si="481"/>
        <v>25987</v>
      </c>
      <c r="BK323" s="196">
        <f>+BK83-BK239</f>
        <v>-84649</v>
      </c>
      <c r="BL323" s="196">
        <f t="shared" si="481"/>
        <v>10206</v>
      </c>
      <c r="BM323" s="196">
        <f t="shared" si="481"/>
        <v>2668</v>
      </c>
      <c r="BO323" s="196">
        <f t="shared" si="481"/>
        <v>0</v>
      </c>
      <c r="BP323" s="196">
        <f>+BP83-BP239</f>
        <v>5130</v>
      </c>
      <c r="BT323" s="196">
        <f t="shared" si="481"/>
        <v>-3269</v>
      </c>
      <c r="BU323" s="196">
        <f t="shared" si="481"/>
        <v>-5538</v>
      </c>
      <c r="BV323" s="196">
        <f t="shared" si="481"/>
        <v>-6837</v>
      </c>
      <c r="BW323" s="196">
        <f t="shared" si="481"/>
        <v>-33117</v>
      </c>
      <c r="BX323" s="196">
        <f t="shared" si="481"/>
        <v>106649</v>
      </c>
      <c r="BZ323" s="196">
        <f t="shared" ref="BZ323:CG323" si="482">+BZ83-BZ239</f>
        <v>-1666436</v>
      </c>
      <c r="CA323" s="196">
        <f t="shared" si="482"/>
        <v>3385641</v>
      </c>
      <c r="CB323" s="196">
        <f t="shared" si="482"/>
        <v>-566</v>
      </c>
      <c r="CC323" s="196">
        <f t="shared" si="482"/>
        <v>0</v>
      </c>
      <c r="CD323" s="196">
        <f t="shared" si="482"/>
        <v>0</v>
      </c>
      <c r="CE323" s="196">
        <f t="shared" si="482"/>
        <v>0</v>
      </c>
      <c r="CF323" s="196">
        <f t="shared" si="482"/>
        <v>0</v>
      </c>
      <c r="CG323" s="196">
        <f t="shared" si="482"/>
        <v>0</v>
      </c>
    </row>
    <row r="324" spans="1:89" hidden="1" x14ac:dyDescent="0.2">
      <c r="A324" s="193"/>
      <c r="B324" s="777"/>
      <c r="C324" s="777"/>
      <c r="D324" s="777"/>
      <c r="E324" s="777"/>
      <c r="F324" s="777"/>
      <c r="G324" s="777"/>
      <c r="H324" s="777"/>
      <c r="I324" s="777"/>
      <c r="J324" s="777"/>
      <c r="K324" s="777"/>
      <c r="L324" s="777"/>
      <c r="M324" s="777"/>
      <c r="N324" s="777"/>
      <c r="O324" s="777"/>
      <c r="P324" s="777"/>
      <c r="Q324" s="777"/>
      <c r="R324" s="777"/>
      <c r="S324" s="777"/>
      <c r="T324" s="777"/>
      <c r="U324" s="777"/>
      <c r="V324" s="777"/>
      <c r="W324" s="777"/>
      <c r="X324" s="777"/>
      <c r="Y324" s="777"/>
      <c r="Z324" s="777"/>
      <c r="AA324" s="777"/>
      <c r="AB324" s="777"/>
      <c r="AC324" s="777"/>
      <c r="AD324" s="777"/>
      <c r="AE324" s="777"/>
      <c r="AF324" s="777"/>
      <c r="AG324" s="777"/>
      <c r="AH324" s="777"/>
      <c r="AI324" s="777"/>
      <c r="AJ324" s="777"/>
      <c r="AK324" s="777"/>
      <c r="AL324" s="777"/>
      <c r="AM324" s="777"/>
      <c r="AN324" s="777"/>
      <c r="AO324" s="777"/>
      <c r="AP324" s="777"/>
      <c r="AQ324" s="777"/>
      <c r="AR324" s="777"/>
      <c r="AS324" s="777"/>
      <c r="AT324" s="777"/>
      <c r="AU324" s="777"/>
      <c r="AV324" s="777"/>
      <c r="AW324" s="777"/>
      <c r="AX324" s="777"/>
      <c r="AY324" s="777"/>
      <c r="AZ324" s="777"/>
      <c r="BA324" s="777"/>
      <c r="BB324" s="777"/>
      <c r="BC324" s="777"/>
      <c r="BD324" s="777"/>
      <c r="BE324" s="777"/>
      <c r="BF324" s="777"/>
      <c r="BG324" s="777"/>
      <c r="BH324" s="777"/>
      <c r="BI324" s="777"/>
      <c r="BJ324" s="777"/>
      <c r="BK324" s="777"/>
      <c r="BL324" s="777"/>
      <c r="BM324" s="777"/>
      <c r="BN324" s="777"/>
      <c r="BO324" s="777"/>
      <c r="BP324" s="777"/>
      <c r="BQ324" s="777"/>
      <c r="BR324" s="777"/>
      <c r="BS324" s="777"/>
      <c r="BT324" s="777"/>
      <c r="BU324" s="777"/>
      <c r="BV324" s="777"/>
      <c r="BW324" s="777"/>
      <c r="BX324" s="777"/>
      <c r="BY324" s="777"/>
      <c r="BZ324" s="777"/>
      <c r="CA324" s="777"/>
      <c r="CB324" s="777"/>
      <c r="CC324" s="777"/>
      <c r="CD324" s="777"/>
      <c r="CE324" s="777"/>
      <c r="CF324" s="777"/>
      <c r="CG324" s="777"/>
    </row>
    <row r="325" spans="1:89" ht="13.5" hidden="1" thickBot="1" x14ac:dyDescent="0.25">
      <c r="A325" s="193" t="s">
        <v>834</v>
      </c>
      <c r="B325" s="206" t="e">
        <f>+B321+B323</f>
        <v>#REF!</v>
      </c>
      <c r="C325" s="206">
        <f>+C321+C323</f>
        <v>-133369</v>
      </c>
      <c r="D325" s="206">
        <f>+D321+D323</f>
        <v>2371246</v>
      </c>
      <c r="E325" s="206">
        <f>+E321+E323</f>
        <v>70915</v>
      </c>
      <c r="F325" s="206">
        <f>+F321+F323</f>
        <v>-81753</v>
      </c>
      <c r="G325" s="206">
        <f t="shared" ref="G325:CB325" si="483">+G321+G323</f>
        <v>-8521</v>
      </c>
      <c r="H325" s="206">
        <f t="shared" si="483"/>
        <v>759</v>
      </c>
      <c r="I325" s="206">
        <f t="shared" si="483"/>
        <v>30664</v>
      </c>
      <c r="J325" s="206">
        <f t="shared" si="483"/>
        <v>41955</v>
      </c>
      <c r="K325" s="206">
        <f t="shared" si="483"/>
        <v>-3034</v>
      </c>
      <c r="L325" s="206">
        <f t="shared" si="483"/>
        <v>15359</v>
      </c>
      <c r="M325" s="206">
        <f t="shared" si="483"/>
        <v>-4768</v>
      </c>
      <c r="N325" s="206" t="e">
        <f t="shared" si="483"/>
        <v>#REF!</v>
      </c>
      <c r="O325" s="206">
        <f t="shared" si="483"/>
        <v>52295</v>
      </c>
      <c r="P325" s="206">
        <f t="shared" si="483"/>
        <v>-16640</v>
      </c>
      <c r="Q325" s="206">
        <f>+Q321+Q323</f>
        <v>52810</v>
      </c>
      <c r="R325" s="206">
        <f t="shared" si="483"/>
        <v>-783</v>
      </c>
      <c r="S325" s="206">
        <f>+S321+S323</f>
        <v>17084</v>
      </c>
      <c r="T325" s="206">
        <f t="shared" si="483"/>
        <v>-6047</v>
      </c>
      <c r="U325" s="206">
        <f>+U321+U323</f>
        <v>-2519</v>
      </c>
      <c r="V325" s="206">
        <f>+V321+V323</f>
        <v>-121</v>
      </c>
      <c r="W325" s="206">
        <f t="shared" si="483"/>
        <v>-8393</v>
      </c>
      <c r="X325" s="206">
        <f>+X321+X323</f>
        <v>35258</v>
      </c>
      <c r="Y325" s="206">
        <f t="shared" si="483"/>
        <v>-19621</v>
      </c>
      <c r="Z325" s="206">
        <f t="shared" si="483"/>
        <v>55772</v>
      </c>
      <c r="AA325" s="206">
        <f t="shared" si="483"/>
        <v>84109</v>
      </c>
      <c r="AB325" s="206">
        <f>+AB321+AB323</f>
        <v>-576958</v>
      </c>
      <c r="AC325" s="206"/>
      <c r="AD325" s="206"/>
      <c r="AE325" s="206"/>
      <c r="AF325" s="206">
        <f>+AF321+AF323</f>
        <v>-723862</v>
      </c>
      <c r="AG325" s="206"/>
      <c r="AH325" s="206"/>
      <c r="AI325" s="206"/>
      <c r="AJ325" s="206"/>
      <c r="AK325" s="206"/>
      <c r="AL325" s="206"/>
      <c r="AM325" s="206"/>
      <c r="AN325" s="206"/>
      <c r="AO325" s="206"/>
      <c r="AP325" s="206"/>
      <c r="AQ325" s="206"/>
      <c r="AR325" s="206">
        <f t="shared" si="483"/>
        <v>-313716</v>
      </c>
      <c r="AS325" s="206">
        <f t="shared" si="483"/>
        <v>-60</v>
      </c>
      <c r="AT325" s="206">
        <f t="shared" si="483"/>
        <v>-644348</v>
      </c>
      <c r="AU325" s="206">
        <f t="shared" si="483"/>
        <v>-131912</v>
      </c>
      <c r="AV325" s="206">
        <f t="shared" si="483"/>
        <v>-17206</v>
      </c>
      <c r="AW325" s="206">
        <f>+AW321+AW323</f>
        <v>-396212</v>
      </c>
      <c r="AX325" s="206"/>
      <c r="AY325" s="206">
        <f t="shared" si="483"/>
        <v>-35</v>
      </c>
      <c r="AZ325" s="206">
        <f t="shared" si="483"/>
        <v>3094</v>
      </c>
      <c r="BA325" s="206">
        <f t="shared" si="483"/>
        <v>15</v>
      </c>
      <c r="BB325" s="206">
        <f t="shared" si="483"/>
        <v>11</v>
      </c>
      <c r="BC325" s="206"/>
      <c r="BD325" s="206">
        <f t="shared" ref="BD325:BO325" si="484">+BD321+BD323</f>
        <v>254047</v>
      </c>
      <c r="BE325" s="206">
        <f>+BE321+BE323</f>
        <v>292</v>
      </c>
      <c r="BF325" s="206">
        <f>+BF321+BF323</f>
        <v>-9279</v>
      </c>
      <c r="BG325" s="206">
        <f>+BG321+BG323</f>
        <v>7</v>
      </c>
      <c r="BH325" s="206">
        <f t="shared" si="484"/>
        <v>-19918</v>
      </c>
      <c r="BI325" s="206">
        <f>+BI321+BI323</f>
        <v>29</v>
      </c>
      <c r="BJ325" s="206">
        <f t="shared" si="484"/>
        <v>7652</v>
      </c>
      <c r="BK325" s="206">
        <f>+BK321+BK323</f>
        <v>-99581</v>
      </c>
      <c r="BL325" s="206">
        <f t="shared" si="484"/>
        <v>7540</v>
      </c>
      <c r="BM325" s="206">
        <f t="shared" si="484"/>
        <v>897</v>
      </c>
      <c r="BN325" s="206"/>
      <c r="BO325" s="206">
        <f t="shared" si="484"/>
        <v>-37</v>
      </c>
      <c r="BP325" s="206">
        <f>+BP321+BP323</f>
        <v>3281</v>
      </c>
      <c r="BQ325" s="206"/>
      <c r="BR325" s="206"/>
      <c r="BS325" s="206"/>
      <c r="BT325" s="206">
        <f t="shared" si="483"/>
        <v>6435</v>
      </c>
      <c r="BU325" s="206">
        <f t="shared" si="483"/>
        <v>-9985</v>
      </c>
      <c r="BV325" s="206">
        <f t="shared" si="483"/>
        <v>3630</v>
      </c>
      <c r="BW325" s="206">
        <f t="shared" si="483"/>
        <v>-32262</v>
      </c>
      <c r="BX325" s="206">
        <f t="shared" si="483"/>
        <v>121616</v>
      </c>
      <c r="BY325" s="206"/>
      <c r="BZ325" s="206" t="e">
        <f t="shared" si="483"/>
        <v>#REF!</v>
      </c>
      <c r="CA325" s="206" t="e">
        <f t="shared" si="483"/>
        <v>#REF!</v>
      </c>
      <c r="CB325" s="206">
        <f t="shared" si="483"/>
        <v>-566</v>
      </c>
      <c r="CD325" s="206" t="e">
        <f>+CD321+CD323</f>
        <v>#REF!</v>
      </c>
      <c r="CE325" s="206" t="e">
        <f>+CE321+CE323</f>
        <v>#REF!</v>
      </c>
      <c r="CF325" s="206" t="e">
        <f>+CF321+CF323</f>
        <v>#REF!</v>
      </c>
      <c r="CG325" s="206" t="e">
        <f>+CG321+CG323</f>
        <v>#REF!</v>
      </c>
    </row>
    <row r="326" spans="1:89" ht="13.5" thickBot="1" x14ac:dyDescent="0.25">
      <c r="BK326" s="196"/>
    </row>
    <row r="327" spans="1:89" s="192" customFormat="1" ht="64.5" thickBot="1" x14ac:dyDescent="0.25">
      <c r="A327" s="368" t="s">
        <v>1618</v>
      </c>
      <c r="B327" s="235" t="s">
        <v>1055</v>
      </c>
      <c r="C327" s="236" t="s">
        <v>120</v>
      </c>
      <c r="D327" s="237" t="s">
        <v>876</v>
      </c>
      <c r="E327" s="238" t="s">
        <v>1609</v>
      </c>
      <c r="F327" s="238" t="s">
        <v>877</v>
      </c>
      <c r="G327" s="238" t="s">
        <v>879</v>
      </c>
      <c r="H327" s="238" t="s">
        <v>126</v>
      </c>
      <c r="I327" s="238" t="s">
        <v>127</v>
      </c>
      <c r="J327" s="238" t="s">
        <v>880</v>
      </c>
      <c r="K327" s="240" t="s">
        <v>132</v>
      </c>
      <c r="L327" s="240" t="s">
        <v>881</v>
      </c>
      <c r="M327" s="240" t="s">
        <v>125</v>
      </c>
      <c r="N327" s="240" t="s">
        <v>882</v>
      </c>
      <c r="O327" s="240" t="s">
        <v>883</v>
      </c>
      <c r="P327" s="240" t="s">
        <v>885</v>
      </c>
      <c r="Q327" s="240" t="s">
        <v>123</v>
      </c>
      <c r="R327" s="240" t="s">
        <v>1190</v>
      </c>
      <c r="S327" s="240" t="s">
        <v>1501</v>
      </c>
      <c r="T327" s="240" t="s">
        <v>1201</v>
      </c>
      <c r="U327" s="240" t="s">
        <v>1030</v>
      </c>
      <c r="V327" s="552" t="s">
        <v>914</v>
      </c>
      <c r="W327" s="240" t="s">
        <v>858</v>
      </c>
      <c r="X327" s="240" t="s">
        <v>134</v>
      </c>
      <c r="Y327" s="239" t="s">
        <v>905</v>
      </c>
      <c r="Z327" s="239" t="s">
        <v>906</v>
      </c>
      <c r="AA327" s="1209" t="s">
        <v>1323</v>
      </c>
      <c r="AB327" s="239" t="s">
        <v>878</v>
      </c>
      <c r="AC327" s="239" t="s">
        <v>1042</v>
      </c>
      <c r="AD327" s="239" t="s">
        <v>1312</v>
      </c>
      <c r="AE327" s="239" t="s">
        <v>1568</v>
      </c>
      <c r="AF327" s="239" t="s">
        <v>908</v>
      </c>
      <c r="AG327" s="1209" t="s">
        <v>1431</v>
      </c>
      <c r="AH327" s="1209" t="s">
        <v>1456</v>
      </c>
      <c r="AI327" s="239" t="s">
        <v>1572</v>
      </c>
      <c r="AJ327" s="1209" t="s">
        <v>1622</v>
      </c>
      <c r="AK327" s="1209" t="s">
        <v>1728</v>
      </c>
      <c r="AL327" s="239" t="s">
        <v>1432</v>
      </c>
      <c r="AM327" s="239" t="s">
        <v>1457</v>
      </c>
      <c r="AN327" s="239" t="s">
        <v>1499</v>
      </c>
      <c r="AO327" s="239" t="s">
        <v>1565</v>
      </c>
      <c r="AP327" s="239" t="s">
        <v>1619</v>
      </c>
      <c r="AQ327" s="239" t="s">
        <v>1732</v>
      </c>
      <c r="AR327" s="239" t="s">
        <v>909</v>
      </c>
      <c r="AS327" s="239" t="s">
        <v>910</v>
      </c>
      <c r="AT327" s="239" t="s">
        <v>165</v>
      </c>
      <c r="AU327" s="239" t="s">
        <v>166</v>
      </c>
      <c r="AV327" s="239" t="s">
        <v>911</v>
      </c>
      <c r="AW327" s="239" t="s">
        <v>912</v>
      </c>
      <c r="AX327" s="239" t="s">
        <v>647</v>
      </c>
      <c r="AY327" s="241" t="s">
        <v>913</v>
      </c>
      <c r="AZ327" s="241" t="s">
        <v>1070</v>
      </c>
      <c r="BA327" s="241" t="s">
        <v>916</v>
      </c>
      <c r="BB327" s="241" t="s">
        <v>917</v>
      </c>
      <c r="BC327" s="241" t="s">
        <v>1412</v>
      </c>
      <c r="BD327" s="385" t="s">
        <v>894</v>
      </c>
      <c r="BE327" s="385" t="s">
        <v>896</v>
      </c>
      <c r="BF327" s="385" t="s">
        <v>1537</v>
      </c>
      <c r="BG327" s="385" t="s">
        <v>895</v>
      </c>
      <c r="BH327" s="385" t="s">
        <v>1317</v>
      </c>
      <c r="BI327" s="385" t="s">
        <v>898</v>
      </c>
      <c r="BJ327" s="385" t="s">
        <v>1135</v>
      </c>
      <c r="BK327" s="385" t="s">
        <v>904</v>
      </c>
      <c r="BL327" s="385" t="s">
        <v>723</v>
      </c>
      <c r="BM327" s="385" t="s">
        <v>901</v>
      </c>
      <c r="BN327" s="385" t="s">
        <v>1136</v>
      </c>
      <c r="BO327" s="385" t="s">
        <v>902</v>
      </c>
      <c r="BP327" s="385" t="s">
        <v>1098</v>
      </c>
      <c r="BQ327" s="385" t="s">
        <v>1540</v>
      </c>
      <c r="BR327" s="385" t="s">
        <v>1177</v>
      </c>
      <c r="BS327" s="385" t="s">
        <v>1137</v>
      </c>
      <c r="BT327" s="242" t="s">
        <v>918</v>
      </c>
      <c r="BU327" s="242" t="s">
        <v>919</v>
      </c>
      <c r="BV327" s="242" t="s">
        <v>920</v>
      </c>
      <c r="BW327" s="242" t="s">
        <v>921</v>
      </c>
      <c r="BX327" s="242" t="s">
        <v>922</v>
      </c>
      <c r="BY327" s="242" t="s">
        <v>881</v>
      </c>
      <c r="BZ327" s="236" t="s">
        <v>923</v>
      </c>
      <c r="CA327" s="236" t="s">
        <v>1011</v>
      </c>
      <c r="CB327" s="243" t="s">
        <v>924</v>
      </c>
      <c r="CC327" s="191"/>
      <c r="CD327" s="369" t="s">
        <v>771</v>
      </c>
      <c r="CE327" s="370" t="s">
        <v>148</v>
      </c>
      <c r="CF327" s="370" t="s">
        <v>519</v>
      </c>
      <c r="CG327" s="371" t="s">
        <v>760</v>
      </c>
      <c r="CH327" s="371" t="s">
        <v>969</v>
      </c>
      <c r="CI327" s="371" t="s">
        <v>351</v>
      </c>
    </row>
    <row r="328" spans="1:89" s="192" customFormat="1" x14ac:dyDescent="0.2">
      <c r="A328" s="193" t="s">
        <v>1047</v>
      </c>
      <c r="B328" s="194"/>
      <c r="C328" s="1049"/>
      <c r="D328" s="194"/>
      <c r="E328" s="194"/>
      <c r="F328" s="194"/>
      <c r="G328" s="194"/>
      <c r="H328" s="194"/>
      <c r="I328" s="194"/>
      <c r="J328" s="194"/>
      <c r="K328" s="194"/>
      <c r="L328" s="194"/>
      <c r="M328" s="194"/>
      <c r="N328" s="194"/>
      <c r="O328" s="194"/>
      <c r="P328" s="194"/>
      <c r="Q328" s="194"/>
      <c r="R328" s="194"/>
      <c r="S328" s="194"/>
      <c r="T328" s="194"/>
      <c r="U328" s="194"/>
      <c r="V328" s="1140"/>
      <c r="W328" s="194"/>
      <c r="X328" s="194"/>
      <c r="Y328" s="194"/>
      <c r="Z328" s="194"/>
      <c r="AA328" s="194"/>
      <c r="AB328" s="194"/>
      <c r="AC328" s="194"/>
      <c r="AD328" s="194"/>
      <c r="AE328" s="194"/>
      <c r="AF328" s="194"/>
      <c r="AG328" s="194"/>
      <c r="AH328" s="194"/>
      <c r="AI328" s="194"/>
      <c r="AJ328" s="194"/>
      <c r="AK328" s="194"/>
      <c r="AL328" s="194"/>
      <c r="AM328" s="194"/>
      <c r="AN328" s="194"/>
      <c r="AO328" s="194"/>
      <c r="AP328"/>
      <c r="AQ328"/>
      <c r="AR328" s="194"/>
      <c r="AS328" s="194"/>
      <c r="AT328" s="194"/>
      <c r="AU328" s="194"/>
      <c r="AV328" s="194"/>
      <c r="AW328" s="194"/>
      <c r="AX328" s="194"/>
      <c r="AY328" s="194"/>
      <c r="AZ328" s="194"/>
      <c r="BA328" s="194"/>
      <c r="BB328" s="194"/>
      <c r="BC328" s="194"/>
      <c r="BD328" s="194"/>
      <c r="BE328" s="194"/>
      <c r="BF328" s="194"/>
      <c r="BG328" s="194"/>
      <c r="BH328" s="194"/>
      <c r="BI328" s="194"/>
      <c r="BJ328" s="194"/>
      <c r="BK328" s="194"/>
      <c r="BL328" s="194"/>
      <c r="BM328" s="194"/>
      <c r="BN328" s="194"/>
      <c r="BO328" s="194"/>
      <c r="BP328" s="194"/>
      <c r="BQ328" s="194"/>
      <c r="BR328" s="194"/>
      <c r="BS328" s="194"/>
      <c r="BT328" s="194"/>
      <c r="BU328" s="194"/>
      <c r="BV328" s="194"/>
      <c r="BW328" s="194"/>
      <c r="BX328" s="194"/>
      <c r="BY328" s="194"/>
      <c r="BZ328" s="194"/>
      <c r="CA328" s="194"/>
      <c r="CB328" s="194"/>
      <c r="CC328" s="191"/>
      <c r="CD328" s="194"/>
      <c r="CE328" s="194"/>
      <c r="CF328" s="194"/>
      <c r="CG328" s="194"/>
      <c r="CI328" s="1070" t="s">
        <v>1179</v>
      </c>
      <c r="CJ328" s="1070" t="s">
        <v>1180</v>
      </c>
      <c r="CK328" s="1070" t="s">
        <v>1181</v>
      </c>
    </row>
    <row r="329" spans="1:89" x14ac:dyDescent="0.2">
      <c r="A329" s="195" t="s">
        <v>953</v>
      </c>
      <c r="B329" s="196">
        <f t="shared" ref="B329:B344" si="485">SUM(C329:CB329)</f>
        <v>146465</v>
      </c>
      <c r="C329" s="928">
        <v>93298</v>
      </c>
      <c r="D329" s="928">
        <v>1270</v>
      </c>
      <c r="E329" s="1396">
        <v>1316</v>
      </c>
      <c r="F329" s="1396">
        <v>3067</v>
      </c>
      <c r="G329" s="1396"/>
      <c r="H329" s="1396"/>
      <c r="I329" s="1396"/>
      <c r="J329" s="1396"/>
      <c r="K329" s="928"/>
      <c r="N329" s="928"/>
      <c r="O329" s="928">
        <v>6381</v>
      </c>
      <c r="P329" s="928"/>
      <c r="Q329" s="928"/>
      <c r="R329" s="928"/>
      <c r="T329" s="1097"/>
      <c r="U329" s="928"/>
      <c r="V329" s="1097"/>
      <c r="W329" s="928"/>
      <c r="X329" s="928"/>
      <c r="Y329" s="928"/>
      <c r="Z329" s="928"/>
      <c r="AA329" s="928"/>
      <c r="AB329" s="928">
        <v>0</v>
      </c>
      <c r="AC329" s="928">
        <v>0</v>
      </c>
      <c r="AD329" s="928">
        <v>0</v>
      </c>
      <c r="AE329" s="928">
        <v>0</v>
      </c>
      <c r="AF329" s="928">
        <v>0</v>
      </c>
      <c r="AG329" s="928">
        <v>0</v>
      </c>
      <c r="AH329" s="928">
        <v>0</v>
      </c>
      <c r="AI329" s="928">
        <v>0</v>
      </c>
      <c r="AJ329" s="928">
        <v>0</v>
      </c>
      <c r="AK329" s="928">
        <v>0</v>
      </c>
      <c r="AL329" s="928">
        <v>0</v>
      </c>
      <c r="AM329" s="928">
        <v>0</v>
      </c>
      <c r="AN329" s="928">
        <v>0</v>
      </c>
      <c r="AO329" s="928">
        <v>1</v>
      </c>
      <c r="AP329" s="928">
        <v>18</v>
      </c>
      <c r="AQ329" s="928"/>
      <c r="AR329" s="928">
        <f>8558+402</f>
        <v>8960</v>
      </c>
      <c r="AS329" s="928">
        <v>0</v>
      </c>
      <c r="AT329" s="928">
        <f>18730+10+184+92</f>
        <v>19016</v>
      </c>
      <c r="AU329" s="928">
        <v>0</v>
      </c>
      <c r="AV329" s="928">
        <v>0</v>
      </c>
      <c r="AW329" s="928">
        <v>99</v>
      </c>
      <c r="AX329" s="928"/>
      <c r="AY329" s="1097"/>
      <c r="AZ329" s="1097"/>
      <c r="BA329" s="1097"/>
      <c r="BB329" s="1097"/>
      <c r="BC329" s="1097"/>
      <c r="BF329" s="1097">
        <v>8486</v>
      </c>
      <c r="BK329" s="1097">
        <f>201+211</f>
        <v>412</v>
      </c>
      <c r="BL329" s="1097"/>
      <c r="BQ329" s="1097"/>
      <c r="BT329" s="1337">
        <v>1835</v>
      </c>
      <c r="BU329" s="928">
        <v>302</v>
      </c>
      <c r="BV329" s="1337">
        <v>216</v>
      </c>
      <c r="BW329" s="1097">
        <v>-616</v>
      </c>
      <c r="BX329" s="928">
        <v>-76</v>
      </c>
      <c r="BY329" s="1210">
        <v>29</v>
      </c>
      <c r="BZ329" s="928">
        <v>-1280</v>
      </c>
      <c r="CA329" s="1097">
        <f>1549-558+2908-168</f>
        <v>3731</v>
      </c>
      <c r="CH329" s="434"/>
      <c r="CI329" s="935">
        <v>21228</v>
      </c>
      <c r="CJ329" s="196">
        <v>4389</v>
      </c>
      <c r="CK329" s="196">
        <f>775-1347</f>
        <v>-572</v>
      </c>
    </row>
    <row r="330" spans="1:89" x14ac:dyDescent="0.2">
      <c r="A330" s="195" t="s">
        <v>954</v>
      </c>
      <c r="B330" s="196">
        <f t="shared" si="485"/>
        <v>1009008</v>
      </c>
      <c r="C330" s="928">
        <v>874789</v>
      </c>
      <c r="D330" s="928"/>
      <c r="E330" s="1396">
        <v>164</v>
      </c>
      <c r="F330" s="1396">
        <v>16009</v>
      </c>
      <c r="G330" s="1396"/>
      <c r="H330" s="1396">
        <v>645</v>
      </c>
      <c r="I330" s="1396"/>
      <c r="J330" s="1396"/>
      <c r="K330" s="928"/>
      <c r="N330" s="928"/>
      <c r="O330" s="928">
        <v>12525</v>
      </c>
      <c r="P330" s="928"/>
      <c r="Q330" s="928"/>
      <c r="R330" s="928"/>
      <c r="T330" s="1097"/>
      <c r="U330" s="928"/>
      <c r="V330" s="1097"/>
      <c r="W330" s="928"/>
      <c r="X330" s="928"/>
      <c r="Y330" s="928"/>
      <c r="Z330" s="928"/>
      <c r="AA330" s="928"/>
      <c r="AB330" s="928">
        <v>0</v>
      </c>
      <c r="AC330" s="928">
        <v>0</v>
      </c>
      <c r="AD330" s="928">
        <v>58</v>
      </c>
      <c r="AE330" s="928">
        <v>49</v>
      </c>
      <c r="AF330" s="928">
        <v>0</v>
      </c>
      <c r="AG330" s="928">
        <v>0</v>
      </c>
      <c r="AH330" s="928">
        <v>0</v>
      </c>
      <c r="AI330" s="928">
        <v>0</v>
      </c>
      <c r="AJ330" s="928">
        <v>0</v>
      </c>
      <c r="AK330" s="928">
        <v>0</v>
      </c>
      <c r="AL330" s="928">
        <v>71</v>
      </c>
      <c r="AM330" s="928">
        <v>10</v>
      </c>
      <c r="AN330" s="928">
        <v>0</v>
      </c>
      <c r="AO330" s="928">
        <v>0</v>
      </c>
      <c r="AP330" s="928">
        <v>15</v>
      </c>
      <c r="AQ330" s="928"/>
      <c r="AR330" s="928">
        <v>181</v>
      </c>
      <c r="AS330" s="928">
        <v>0</v>
      </c>
      <c r="AT330" s="928">
        <v>656</v>
      </c>
      <c r="AU330" s="928">
        <v>0</v>
      </c>
      <c r="AV330" s="928">
        <v>0</v>
      </c>
      <c r="AW330" s="928">
        <v>5</v>
      </c>
      <c r="AX330" s="928"/>
      <c r="AY330" s="1097"/>
      <c r="AZ330" s="1097"/>
      <c r="BA330" s="1097"/>
      <c r="BB330" s="1097"/>
      <c r="BC330" s="1097"/>
      <c r="BF330" s="1097"/>
      <c r="BK330" s="1097"/>
      <c r="BL330" s="1097"/>
      <c r="BQ330" s="1097"/>
      <c r="BT330" s="1337">
        <v>11181</v>
      </c>
      <c r="BU330" s="1337">
        <v>1315</v>
      </c>
      <c r="BV330" s="1337">
        <v>7964</v>
      </c>
      <c r="BW330" s="1097">
        <v>-1465</v>
      </c>
      <c r="BX330" s="928">
        <v>-391</v>
      </c>
      <c r="BY330" s="1210">
        <v>1</v>
      </c>
      <c r="BZ330" s="928">
        <v>78882</v>
      </c>
      <c r="CA330" s="1097">
        <f>6412-8-60</f>
        <v>6344</v>
      </c>
      <c r="CH330" s="434"/>
      <c r="CI330" s="935">
        <v>11042</v>
      </c>
      <c r="CJ330" s="196">
        <v>64</v>
      </c>
      <c r="CK330" s="196">
        <v>692</v>
      </c>
    </row>
    <row r="331" spans="1:89" x14ac:dyDescent="0.2">
      <c r="A331" s="195" t="s">
        <v>955</v>
      </c>
      <c r="B331" s="196">
        <f t="shared" si="485"/>
        <v>409149</v>
      </c>
      <c r="C331" s="928">
        <v>67261</v>
      </c>
      <c r="D331" s="928"/>
      <c r="E331" s="1396">
        <v>2861</v>
      </c>
      <c r="F331" s="1396">
        <v>15300</v>
      </c>
      <c r="G331" s="1396"/>
      <c r="H331" s="1389"/>
      <c r="I331" s="1396"/>
      <c r="J331" s="1396"/>
      <c r="K331" s="928">
        <v>7383</v>
      </c>
      <c r="N331" s="928"/>
      <c r="O331" s="928">
        <f>65+13632</f>
        <v>13697</v>
      </c>
      <c r="P331" s="928"/>
      <c r="Q331" s="928"/>
      <c r="R331" s="928"/>
      <c r="T331" s="1097"/>
      <c r="U331" s="928">
        <v>3573</v>
      </c>
      <c r="V331" s="1097"/>
      <c r="W331" s="928">
        <v>44674</v>
      </c>
      <c r="X331" s="928"/>
      <c r="Y331" s="928"/>
      <c r="Z331" s="928"/>
      <c r="AA331" s="928"/>
      <c r="AB331" s="928">
        <v>0</v>
      </c>
      <c r="AC331" s="928">
        <v>0</v>
      </c>
      <c r="AD331" s="928">
        <v>581</v>
      </c>
      <c r="AE331" s="928">
        <v>489</v>
      </c>
      <c r="AF331" s="928">
        <v>209029</v>
      </c>
      <c r="AG331" s="928">
        <v>0</v>
      </c>
      <c r="AH331" s="928">
        <v>0</v>
      </c>
      <c r="AI331" s="928">
        <v>0</v>
      </c>
      <c r="AJ331" s="928">
        <v>0</v>
      </c>
      <c r="AK331" s="928">
        <v>0</v>
      </c>
      <c r="AL331" s="928">
        <v>81</v>
      </c>
      <c r="AM331" s="928">
        <v>0</v>
      </c>
      <c r="AN331" s="928">
        <v>0</v>
      </c>
      <c r="AO331" s="928">
        <v>12</v>
      </c>
      <c r="AP331" s="928">
        <v>250</v>
      </c>
      <c r="AQ331" s="928"/>
      <c r="AR331" s="928">
        <f>12785+127+67</f>
        <v>12979</v>
      </c>
      <c r="AS331" s="928">
        <v>0</v>
      </c>
      <c r="AT331" s="928">
        <f>152235+7680-1+990+337</f>
        <v>161241</v>
      </c>
      <c r="AU331" s="928">
        <f>239-1</f>
        <v>238</v>
      </c>
      <c r="AV331" s="928">
        <v>0</v>
      </c>
      <c r="AW331" s="928">
        <v>52</v>
      </c>
      <c r="AX331" s="928"/>
      <c r="AY331" s="1097"/>
      <c r="AZ331" s="1097"/>
      <c r="BA331" s="1097"/>
      <c r="BB331" s="1097"/>
      <c r="BC331" s="1097"/>
      <c r="BF331" s="1097"/>
      <c r="BK331" s="1097"/>
      <c r="BL331" s="1097"/>
      <c r="BQ331" s="1097"/>
      <c r="BT331" s="1337">
        <v>1084</v>
      </c>
      <c r="BU331" s="928">
        <v>321</v>
      </c>
      <c r="BV331" s="1337">
        <v>364</v>
      </c>
      <c r="BW331" s="1097">
        <v>-307</v>
      </c>
      <c r="BX331" s="928">
        <v>-173</v>
      </c>
      <c r="BY331" s="1210">
        <v>1863</v>
      </c>
      <c r="BZ331" s="928">
        <v>3670</v>
      </c>
      <c r="CA331" s="1097">
        <f>-124115-12525-688-46</f>
        <v>-137374</v>
      </c>
      <c r="CH331" s="434"/>
      <c r="CI331" s="935">
        <v>84810</v>
      </c>
      <c r="CJ331" s="196">
        <v>62576</v>
      </c>
      <c r="CK331" s="196">
        <v>152</v>
      </c>
    </row>
    <row r="332" spans="1:89" x14ac:dyDescent="0.2">
      <c r="A332" s="195" t="s">
        <v>958</v>
      </c>
      <c r="B332" s="196">
        <f t="shared" si="485"/>
        <v>12889</v>
      </c>
      <c r="C332" s="928"/>
      <c r="D332" s="928"/>
      <c r="E332" s="1396"/>
      <c r="F332" s="1396"/>
      <c r="G332" s="1396"/>
      <c r="H332" s="1396"/>
      <c r="I332" s="1396"/>
      <c r="J332" s="1396"/>
      <c r="K332" s="928"/>
      <c r="N332" s="928"/>
      <c r="O332" s="928"/>
      <c r="P332" s="928"/>
      <c r="Q332" s="928"/>
      <c r="R332" s="928"/>
      <c r="T332" s="1097">
        <v>12631</v>
      </c>
      <c r="U332" s="928"/>
      <c r="V332" s="1097"/>
      <c r="W332" s="928"/>
      <c r="X332" s="928"/>
      <c r="Y332" s="928"/>
      <c r="Z332" s="928"/>
      <c r="AA332" s="928"/>
      <c r="AB332" s="928"/>
      <c r="AC332" s="928"/>
      <c r="AD332" s="928"/>
      <c r="AE332" s="928"/>
      <c r="AF332" s="928"/>
      <c r="AG332" s="928"/>
      <c r="AH332" s="928"/>
      <c r="AI332" s="928"/>
      <c r="AJ332" s="928"/>
      <c r="AK332" s="928"/>
      <c r="AL332" s="928"/>
      <c r="AM332" s="928"/>
      <c r="AN332" s="928"/>
      <c r="AO332" s="928"/>
      <c r="AP332" s="928"/>
      <c r="AQ332" s="928"/>
      <c r="AR332" s="928"/>
      <c r="AS332" s="928"/>
      <c r="AT332" s="928"/>
      <c r="AU332" s="928"/>
      <c r="AV332" s="928"/>
      <c r="AW332" s="928"/>
      <c r="AX332" s="928"/>
      <c r="AY332" s="1097"/>
      <c r="AZ332" s="1097"/>
      <c r="BA332" s="1097"/>
      <c r="BB332" s="1097"/>
      <c r="BC332" s="1097"/>
      <c r="BF332" s="1097"/>
      <c r="BK332" s="1097"/>
      <c r="BL332" s="1097"/>
      <c r="BQ332" s="1097"/>
      <c r="BT332" s="1337">
        <v>135</v>
      </c>
      <c r="BU332" s="928">
        <v>6</v>
      </c>
      <c r="BV332" s="1337">
        <v>161</v>
      </c>
      <c r="BW332" s="1097">
        <v>-23</v>
      </c>
      <c r="BX332" s="928">
        <v>-28</v>
      </c>
      <c r="BY332" s="1210"/>
      <c r="BZ332" s="928"/>
      <c r="CA332" s="1097">
        <v>7</v>
      </c>
      <c r="CH332" s="434"/>
      <c r="CI332" s="935">
        <v>76</v>
      </c>
    </row>
    <row r="333" spans="1:89" x14ac:dyDescent="0.2">
      <c r="A333" s="195" t="s">
        <v>956</v>
      </c>
      <c r="B333" s="196">
        <f t="shared" si="485"/>
        <v>121572</v>
      </c>
      <c r="C333" s="928">
        <v>55298</v>
      </c>
      <c r="D333" s="928"/>
      <c r="E333" s="1396">
        <v>29479</v>
      </c>
      <c r="F333" s="1396">
        <v>20640</v>
      </c>
      <c r="G333" s="1396"/>
      <c r="H333" s="1396"/>
      <c r="I333" s="1396"/>
      <c r="J333" s="1396"/>
      <c r="K333" s="928"/>
      <c r="N333" s="928"/>
      <c r="O333" s="928">
        <v>10389</v>
      </c>
      <c r="P333" s="928"/>
      <c r="Q333" s="928"/>
      <c r="R333" s="928"/>
      <c r="T333" s="1097"/>
      <c r="U333" s="928"/>
      <c r="V333" s="1097"/>
      <c r="W333" s="928"/>
      <c r="X333" s="928"/>
      <c r="Y333" s="928"/>
      <c r="Z333" s="928"/>
      <c r="AA333" s="928"/>
      <c r="AB333" s="928"/>
      <c r="AC333" s="928"/>
      <c r="AD333" s="928"/>
      <c r="AE333" s="928"/>
      <c r="AF333" s="928"/>
      <c r="AG333" s="928"/>
      <c r="AH333" s="928"/>
      <c r="AI333" s="928"/>
      <c r="AJ333" s="928"/>
      <c r="AK333" s="928"/>
      <c r="AL333" s="928"/>
      <c r="AM333" s="928"/>
      <c r="AN333" s="928"/>
      <c r="AO333" s="928"/>
      <c r="AP333" s="928"/>
      <c r="AQ333" s="928"/>
      <c r="AR333" s="928"/>
      <c r="AS333" s="928"/>
      <c r="AT333" s="928"/>
      <c r="AU333" s="928"/>
      <c r="AV333" s="928"/>
      <c r="AW333" s="928"/>
      <c r="AX333" s="928"/>
      <c r="AY333" s="1097"/>
      <c r="AZ333" s="1097"/>
      <c r="BA333" s="1097"/>
      <c r="BB333" s="1097"/>
      <c r="BC333" s="1097"/>
      <c r="BF333" s="1097"/>
      <c r="BK333" s="1097"/>
      <c r="BL333" s="1097"/>
      <c r="BQ333" s="1097"/>
      <c r="BT333" s="1337">
        <v>1067</v>
      </c>
      <c r="BU333" s="928">
        <v>76</v>
      </c>
      <c r="BV333" s="1337">
        <v>147</v>
      </c>
      <c r="BW333" s="1097">
        <v>-203</v>
      </c>
      <c r="BX333" s="928">
        <v>-32</v>
      </c>
      <c r="BY333" s="1210">
        <v>6</v>
      </c>
      <c r="BZ333" s="928">
        <v>4552</v>
      </c>
      <c r="CA333" s="1097">
        <f>331-178</f>
        <v>153</v>
      </c>
      <c r="CH333" s="434"/>
      <c r="CI333" s="935">
        <v>963</v>
      </c>
      <c r="CK333" s="196">
        <v>13</v>
      </c>
    </row>
    <row r="334" spans="1:89" x14ac:dyDescent="0.2">
      <c r="A334" s="195" t="s">
        <v>961</v>
      </c>
      <c r="B334" s="196">
        <f t="shared" si="485"/>
        <v>252864</v>
      </c>
      <c r="C334" s="928">
        <v>140817</v>
      </c>
      <c r="D334" s="928"/>
      <c r="E334" s="1396">
        <v>4995</v>
      </c>
      <c r="F334" s="1396">
        <v>222</v>
      </c>
      <c r="G334" s="1396">
        <v>347</v>
      </c>
      <c r="H334" s="1396"/>
      <c r="I334" s="1396"/>
      <c r="J334" s="1396"/>
      <c r="K334" s="928"/>
      <c r="N334" s="928">
        <v>38046</v>
      </c>
      <c r="O334" s="928">
        <v>5292</v>
      </c>
      <c r="P334" s="928"/>
      <c r="Q334" s="928">
        <v>18</v>
      </c>
      <c r="R334" s="928"/>
      <c r="T334" s="1097"/>
      <c r="U334" s="928"/>
      <c r="V334" s="1097"/>
      <c r="W334" s="928"/>
      <c r="X334" s="928"/>
      <c r="Y334" s="928"/>
      <c r="Z334" s="928"/>
      <c r="AA334" s="928"/>
      <c r="AB334" s="928">
        <v>0</v>
      </c>
      <c r="AC334" s="928">
        <v>0</v>
      </c>
      <c r="AD334" s="928">
        <v>128</v>
      </c>
      <c r="AE334" s="928">
        <v>386</v>
      </c>
      <c r="AF334" s="928">
        <v>0</v>
      </c>
      <c r="AG334" s="928">
        <v>0</v>
      </c>
      <c r="AH334" s="928">
        <v>0</v>
      </c>
      <c r="AI334" s="928">
        <v>0</v>
      </c>
      <c r="AJ334" s="928">
        <v>0</v>
      </c>
      <c r="AK334" s="928">
        <v>0</v>
      </c>
      <c r="AL334" s="928">
        <v>0</v>
      </c>
      <c r="AM334" s="928">
        <v>0</v>
      </c>
      <c r="AN334" s="928">
        <v>0</v>
      </c>
      <c r="AO334" s="928">
        <v>2</v>
      </c>
      <c r="AP334" s="928">
        <v>27</v>
      </c>
      <c r="AQ334" s="928"/>
      <c r="AR334" s="928">
        <v>1582</v>
      </c>
      <c r="AS334" s="928">
        <v>0</v>
      </c>
      <c r="AT334" s="928">
        <f>29291+2341+81-50</f>
        <v>31663</v>
      </c>
      <c r="AU334" s="928">
        <v>0</v>
      </c>
      <c r="AV334" s="928">
        <v>0</v>
      </c>
      <c r="AW334" s="928">
        <v>43</v>
      </c>
      <c r="AX334" s="928"/>
      <c r="AY334" s="1097">
        <v>3</v>
      </c>
      <c r="AZ334" s="1097">
        <v>202</v>
      </c>
      <c r="BA334" s="1097">
        <v>2</v>
      </c>
      <c r="BB334" s="1097"/>
      <c r="BC334" s="1097"/>
      <c r="BF334" s="1097"/>
      <c r="BJ334" s="196">
        <v>16398</v>
      </c>
      <c r="BK334" s="1097">
        <v>3</v>
      </c>
      <c r="BL334" s="1097"/>
      <c r="BQ334" s="1097"/>
      <c r="BT334" s="1337">
        <v>1482</v>
      </c>
      <c r="BU334" s="928">
        <v>706</v>
      </c>
      <c r="BV334" s="1337">
        <v>835</v>
      </c>
      <c r="BW334" s="1097">
        <v>-367</v>
      </c>
      <c r="BX334" s="928">
        <v>-117</v>
      </c>
      <c r="BY334" s="1210">
        <f>53-1</f>
        <v>52</v>
      </c>
      <c r="BZ334" s="928">
        <v>6084</v>
      </c>
      <c r="CA334" s="1097">
        <f>3242+1151-380</f>
        <v>4013</v>
      </c>
      <c r="CH334" s="434"/>
      <c r="CI334" s="935">
        <v>14875</v>
      </c>
      <c r="CJ334" s="196">
        <v>172</v>
      </c>
      <c r="CK334" s="196">
        <f>1816-908</f>
        <v>908</v>
      </c>
    </row>
    <row r="335" spans="1:89" x14ac:dyDescent="0.2">
      <c r="A335" s="195" t="s">
        <v>960</v>
      </c>
      <c r="B335" s="196">
        <f t="shared" si="485"/>
        <v>91784</v>
      </c>
      <c r="C335" s="928"/>
      <c r="D335" s="928"/>
      <c r="E335" s="1396"/>
      <c r="F335" s="1396"/>
      <c r="G335" s="1396"/>
      <c r="H335" s="1396"/>
      <c r="I335" s="1396"/>
      <c r="J335" s="1396"/>
      <c r="K335" s="928"/>
      <c r="N335" s="928">
        <v>33276</v>
      </c>
      <c r="O335" s="928">
        <v>10761</v>
      </c>
      <c r="P335" s="928">
        <v>26</v>
      </c>
      <c r="Q335" s="928"/>
      <c r="R335" s="928"/>
      <c r="T335" s="1097"/>
      <c r="U335" s="928"/>
      <c r="V335" s="1097"/>
      <c r="W335" s="928"/>
      <c r="X335" s="928"/>
      <c r="Y335" s="928"/>
      <c r="Z335" s="928"/>
      <c r="AA335" s="928"/>
      <c r="AB335" s="928">
        <v>0</v>
      </c>
      <c r="AC335" s="928">
        <v>0</v>
      </c>
      <c r="AD335" s="928">
        <v>0</v>
      </c>
      <c r="AE335" s="928">
        <v>0</v>
      </c>
      <c r="AF335" s="928">
        <v>0</v>
      </c>
      <c r="AG335" s="928">
        <v>0</v>
      </c>
      <c r="AH335" s="928">
        <v>0</v>
      </c>
      <c r="AI335" s="928">
        <v>0</v>
      </c>
      <c r="AJ335" s="928">
        <v>0</v>
      </c>
      <c r="AK335" s="928">
        <v>0</v>
      </c>
      <c r="AL335" s="928">
        <v>0</v>
      </c>
      <c r="AM335" s="928">
        <v>0</v>
      </c>
      <c r="AN335" s="928">
        <v>0</v>
      </c>
      <c r="AO335" s="928">
        <v>0</v>
      </c>
      <c r="AP335" s="928">
        <v>0</v>
      </c>
      <c r="AQ335" s="928"/>
      <c r="AR335" s="928">
        <v>0</v>
      </c>
      <c r="AS335" s="928">
        <v>0</v>
      </c>
      <c r="AT335" s="928">
        <v>793</v>
      </c>
      <c r="AU335" s="928">
        <v>0</v>
      </c>
      <c r="AV335" s="928">
        <v>0</v>
      </c>
      <c r="AW335" s="928">
        <v>0</v>
      </c>
      <c r="AX335" s="928"/>
      <c r="AY335" s="1097"/>
      <c r="AZ335" s="1097"/>
      <c r="BA335" s="1097"/>
      <c r="BB335" s="1097"/>
      <c r="BC335" s="1097"/>
      <c r="BD335" s="1097"/>
      <c r="BF335" s="1097"/>
      <c r="BH335" s="1097">
        <v>30592</v>
      </c>
      <c r="BK335" s="1097"/>
      <c r="BL335" s="1097"/>
      <c r="BQ335" s="1097"/>
      <c r="BR335" s="196">
        <v>359</v>
      </c>
      <c r="BT335" s="1337">
        <v>333</v>
      </c>
      <c r="BU335" s="928">
        <v>455</v>
      </c>
      <c r="BV335" s="1337">
        <v>183</v>
      </c>
      <c r="BW335" s="1097">
        <v>-62</v>
      </c>
      <c r="BX335" s="928">
        <v>-2</v>
      </c>
      <c r="BY335" s="1210">
        <f>7-1</f>
        <v>6</v>
      </c>
      <c r="BZ335" s="928">
        <v>1134</v>
      </c>
      <c r="CA335" s="1097">
        <f>13949-19</f>
        <v>13930</v>
      </c>
      <c r="CH335" s="434"/>
      <c r="CI335" s="935">
        <v>9217</v>
      </c>
      <c r="CJ335" s="196">
        <v>622</v>
      </c>
    </row>
    <row r="336" spans="1:89" x14ac:dyDescent="0.2">
      <c r="A336" s="195" t="s">
        <v>963</v>
      </c>
      <c r="B336" s="196">
        <f t="shared" si="485"/>
        <v>74021</v>
      </c>
      <c r="C336" s="928">
        <v>33730</v>
      </c>
      <c r="D336" s="928"/>
      <c r="E336" s="1396">
        <v>12873</v>
      </c>
      <c r="F336" s="1396">
        <v>1364</v>
      </c>
      <c r="G336" s="1389">
        <f>14708+60</f>
        <v>14768</v>
      </c>
      <c r="H336" s="1396"/>
      <c r="I336" s="1396">
        <v>4971</v>
      </c>
      <c r="J336" s="1396"/>
      <c r="K336" s="928"/>
      <c r="N336" s="928"/>
      <c r="O336" s="928">
        <v>1587</v>
      </c>
      <c r="P336" s="928"/>
      <c r="Q336" s="928"/>
      <c r="R336" s="928"/>
      <c r="T336" s="1097"/>
      <c r="U336" s="928"/>
      <c r="V336" s="1097"/>
      <c r="W336" s="928"/>
      <c r="X336" s="928"/>
      <c r="Y336" s="928"/>
      <c r="Z336" s="928"/>
      <c r="AA336" s="928"/>
      <c r="AB336" s="928">
        <v>0</v>
      </c>
      <c r="AC336" s="928">
        <v>0</v>
      </c>
      <c r="AD336" s="928">
        <v>67</v>
      </c>
      <c r="AE336" s="928">
        <v>123</v>
      </c>
      <c r="AF336" s="928">
        <v>0</v>
      </c>
      <c r="AG336" s="928">
        <v>0</v>
      </c>
      <c r="AH336" s="928">
        <v>0</v>
      </c>
      <c r="AI336" s="928">
        <v>0</v>
      </c>
      <c r="AJ336" s="928">
        <v>0</v>
      </c>
      <c r="AK336" s="928">
        <v>0</v>
      </c>
      <c r="AL336" s="928">
        <v>0</v>
      </c>
      <c r="AM336" s="928">
        <v>0</v>
      </c>
      <c r="AN336" s="928">
        <v>0</v>
      </c>
      <c r="AO336" s="928">
        <v>0</v>
      </c>
      <c r="AP336" s="928">
        <v>0</v>
      </c>
      <c r="AQ336" s="928"/>
      <c r="AR336" s="928">
        <v>0</v>
      </c>
      <c r="AS336" s="928">
        <v>0</v>
      </c>
      <c r="AT336" s="928">
        <v>245</v>
      </c>
      <c r="AU336" s="928">
        <v>0</v>
      </c>
      <c r="AV336" s="928">
        <v>0</v>
      </c>
      <c r="AW336" s="928">
        <v>0</v>
      </c>
      <c r="AX336" s="928"/>
      <c r="AY336" s="1097"/>
      <c r="AZ336" s="1097"/>
      <c r="BA336" s="1097"/>
      <c r="BB336" s="1097"/>
      <c r="BC336" s="1097"/>
      <c r="BD336" s="1097"/>
      <c r="BF336" s="1097"/>
      <c r="BH336" s="1097"/>
      <c r="BK336" s="1097"/>
      <c r="BL336" s="1097"/>
      <c r="BQ336" s="1097"/>
      <c r="BS336" s="196">
        <f>2126+397-36</f>
        <v>2487</v>
      </c>
      <c r="BT336" s="1337">
        <v>297</v>
      </c>
      <c r="BU336" s="928">
        <v>19</v>
      </c>
      <c r="BV336" s="1337">
        <v>98</v>
      </c>
      <c r="BW336" s="1097">
        <f>-63-1</f>
        <v>-64</v>
      </c>
      <c r="BX336" s="928">
        <v>-17</v>
      </c>
      <c r="BY336" s="1210">
        <v>1</v>
      </c>
      <c r="BZ336" s="928">
        <v>1357</v>
      </c>
      <c r="CA336" s="1097">
        <v>115</v>
      </c>
      <c r="CH336" s="434"/>
      <c r="CI336" s="935">
        <v>152</v>
      </c>
      <c r="CK336" s="196">
        <v>18</v>
      </c>
    </row>
    <row r="337" spans="1:89" x14ac:dyDescent="0.2">
      <c r="A337" s="195" t="s">
        <v>959</v>
      </c>
      <c r="B337" s="196">
        <f t="shared" si="485"/>
        <v>243551</v>
      </c>
      <c r="C337" s="928">
        <v>52545</v>
      </c>
      <c r="D337" s="928"/>
      <c r="E337" s="1396">
        <f>18890-667</f>
        <v>18223</v>
      </c>
      <c r="F337" s="1396">
        <v>167920</v>
      </c>
      <c r="G337" s="1396">
        <v>1106</v>
      </c>
      <c r="H337" s="1396"/>
      <c r="I337" s="1396"/>
      <c r="J337" s="1396"/>
      <c r="K337" s="928"/>
      <c r="N337" s="928"/>
      <c r="O337" s="928">
        <v>261</v>
      </c>
      <c r="P337" s="928"/>
      <c r="Q337" s="928"/>
      <c r="R337" s="928"/>
      <c r="T337" s="1097"/>
      <c r="U337" s="928"/>
      <c r="V337" s="1097"/>
      <c r="W337" s="928"/>
      <c r="X337" s="928"/>
      <c r="Y337" s="928"/>
      <c r="Z337" s="928"/>
      <c r="AA337" s="928"/>
      <c r="AB337" s="928"/>
      <c r="AC337" s="928"/>
      <c r="AD337" s="928"/>
      <c r="AE337" s="928"/>
      <c r="AF337" s="928"/>
      <c r="AG337" s="928"/>
      <c r="AH337" s="928"/>
      <c r="AI337" s="928"/>
      <c r="AJ337" s="928"/>
      <c r="AK337" s="928"/>
      <c r="AL337" s="928"/>
      <c r="AM337" s="928"/>
      <c r="AN337" s="928"/>
      <c r="AO337" s="928"/>
      <c r="AP337" s="928"/>
      <c r="AQ337" s="928"/>
      <c r="AR337" s="928"/>
      <c r="AS337" s="928"/>
      <c r="AT337" s="928"/>
      <c r="AU337" s="928"/>
      <c r="AV337" s="928"/>
      <c r="AW337" s="928"/>
      <c r="AX337" s="928"/>
      <c r="AY337" s="1097"/>
      <c r="AZ337" s="1097"/>
      <c r="BA337" s="1097"/>
      <c r="BB337" s="1097"/>
      <c r="BC337" s="1097"/>
      <c r="BD337" s="1097"/>
      <c r="BF337" s="1097"/>
      <c r="BH337" s="1097"/>
      <c r="BK337" s="1097"/>
      <c r="BL337" s="1097"/>
      <c r="BQ337" s="1097"/>
      <c r="BT337" s="1337">
        <v>489</v>
      </c>
      <c r="BU337" s="928">
        <v>32</v>
      </c>
      <c r="BV337" s="1337">
        <v>177</v>
      </c>
      <c r="BW337" s="1097">
        <v>-81</v>
      </c>
      <c r="BX337" s="928">
        <v>-13</v>
      </c>
      <c r="BY337" s="1210">
        <v>2</v>
      </c>
      <c r="BZ337" s="928">
        <v>2094</v>
      </c>
      <c r="CA337" s="1097">
        <f>859-63</f>
        <v>796</v>
      </c>
      <c r="CH337" s="434"/>
      <c r="CI337" s="935">
        <v>1189</v>
      </c>
      <c r="CK337" s="196">
        <v>66</v>
      </c>
    </row>
    <row r="338" spans="1:89" x14ac:dyDescent="0.2">
      <c r="A338" s="195" t="s">
        <v>1191</v>
      </c>
      <c r="B338" s="196">
        <f t="shared" si="485"/>
        <v>107452</v>
      </c>
      <c r="C338" s="928"/>
      <c r="D338" s="928"/>
      <c r="E338" s="1396">
        <v>2</v>
      </c>
      <c r="F338" s="1396">
        <v>231</v>
      </c>
      <c r="G338" s="1396"/>
      <c r="H338" s="1396"/>
      <c r="I338" s="1396"/>
      <c r="J338" s="1396"/>
      <c r="K338" s="928"/>
      <c r="N338" s="928"/>
      <c r="O338" s="928">
        <v>112</v>
      </c>
      <c r="P338" s="928"/>
      <c r="Q338" s="928"/>
      <c r="R338" s="928">
        <v>34388</v>
      </c>
      <c r="S338" s="1097">
        <v>2366</v>
      </c>
      <c r="T338" s="1097"/>
      <c r="U338" s="928"/>
      <c r="V338" s="1097"/>
      <c r="W338" s="928"/>
      <c r="X338" s="928"/>
      <c r="Y338" s="928"/>
      <c r="Z338" s="928"/>
      <c r="AA338" s="928"/>
      <c r="AB338" s="928"/>
      <c r="AC338" s="928"/>
      <c r="AD338" s="928"/>
      <c r="AE338" s="928"/>
      <c r="AF338" s="928"/>
      <c r="AG338" s="928"/>
      <c r="AH338" s="928"/>
      <c r="AI338" s="928"/>
      <c r="AJ338" s="928"/>
      <c r="AK338" s="928"/>
      <c r="AL338" s="928"/>
      <c r="AM338" s="928"/>
      <c r="AN338" s="928"/>
      <c r="AO338" s="928"/>
      <c r="AP338" s="928"/>
      <c r="AQ338" s="928"/>
      <c r="AR338" s="928"/>
      <c r="AS338" s="928"/>
      <c r="AT338" s="928"/>
      <c r="AU338" s="928"/>
      <c r="AV338" s="928"/>
      <c r="AW338" s="928"/>
      <c r="AX338" s="928"/>
      <c r="AY338" s="1097"/>
      <c r="AZ338" s="1097"/>
      <c r="BA338" s="1097"/>
      <c r="BB338" s="1097"/>
      <c r="BC338" s="1097"/>
      <c r="BD338" s="1097"/>
      <c r="BF338" s="1097"/>
      <c r="BH338" s="1097"/>
      <c r="BK338" s="1097"/>
      <c r="BL338" s="1097"/>
      <c r="BQ338" s="1097">
        <v>66210</v>
      </c>
      <c r="BT338" s="1337">
        <v>579</v>
      </c>
      <c r="BU338" s="928">
        <v>4</v>
      </c>
      <c r="BV338" s="1337">
        <v>172</v>
      </c>
      <c r="BW338" s="1097">
        <f>-105-1</f>
        <v>-106</v>
      </c>
      <c r="BX338" s="928">
        <v>-1</v>
      </c>
      <c r="BY338" s="1210">
        <v>1</v>
      </c>
      <c r="BZ338" s="928">
        <v>2564</v>
      </c>
      <c r="CA338" s="1097">
        <v>930</v>
      </c>
      <c r="CH338" s="434"/>
      <c r="CI338" s="935"/>
    </row>
    <row r="339" spans="1:89" x14ac:dyDescent="0.2">
      <c r="A339" s="195" t="s">
        <v>1052</v>
      </c>
      <c r="B339" s="196">
        <f t="shared" si="485"/>
        <v>63711</v>
      </c>
      <c r="C339" s="928">
        <v>9392</v>
      </c>
      <c r="D339" s="928"/>
      <c r="E339" s="1389">
        <v>13571</v>
      </c>
      <c r="F339" s="1396"/>
      <c r="G339" s="1396"/>
      <c r="H339" s="1396"/>
      <c r="I339" s="1396"/>
      <c r="J339" s="1389"/>
      <c r="K339" s="928"/>
      <c r="N339" s="928"/>
      <c r="O339" s="928">
        <v>6000</v>
      </c>
      <c r="P339" s="928"/>
      <c r="Q339" s="928"/>
      <c r="R339" s="928"/>
      <c r="S339" s="1097"/>
      <c r="T339" s="1097"/>
      <c r="U339" s="928"/>
      <c r="V339" s="1097"/>
      <c r="W339" s="928"/>
      <c r="X339" s="928">
        <v>29850</v>
      </c>
      <c r="Y339" s="928"/>
      <c r="Z339" s="928"/>
      <c r="AA339" s="928"/>
      <c r="AB339" s="928">
        <v>0</v>
      </c>
      <c r="AC339" s="928">
        <v>0</v>
      </c>
      <c r="AD339" s="928">
        <v>0</v>
      </c>
      <c r="AE339" s="928">
        <v>0</v>
      </c>
      <c r="AF339" s="928">
        <v>0</v>
      </c>
      <c r="AG339" s="928">
        <v>0</v>
      </c>
      <c r="AH339" s="928">
        <v>0</v>
      </c>
      <c r="AI339" s="928"/>
      <c r="AJ339" s="928"/>
      <c r="AK339" s="928">
        <v>0</v>
      </c>
      <c r="AL339" s="928">
        <v>0</v>
      </c>
      <c r="AM339" s="928">
        <v>0</v>
      </c>
      <c r="AN339" s="928">
        <v>0</v>
      </c>
      <c r="AO339" s="928">
        <v>0</v>
      </c>
      <c r="AP339" s="928">
        <v>0</v>
      </c>
      <c r="AQ339" s="928"/>
      <c r="AR339" s="928">
        <v>281</v>
      </c>
      <c r="AS339" s="928">
        <v>0</v>
      </c>
      <c r="AT339" s="928">
        <v>0</v>
      </c>
      <c r="AU339" s="928">
        <v>0</v>
      </c>
      <c r="AV339" s="928">
        <v>0</v>
      </c>
      <c r="AW339" s="928">
        <v>0</v>
      </c>
      <c r="AX339" s="928"/>
      <c r="AY339" s="1097"/>
      <c r="AZ339" s="1097"/>
      <c r="BA339" s="1097"/>
      <c r="BB339" s="1097"/>
      <c r="BC339" s="1097"/>
      <c r="BD339" s="1097">
        <f>976+37</f>
        <v>1013</v>
      </c>
      <c r="BE339" s="196">
        <v>1</v>
      </c>
      <c r="BF339" s="1097"/>
      <c r="BH339" s="1097"/>
      <c r="BK339" s="1097"/>
      <c r="BL339" s="1097">
        <v>4</v>
      </c>
      <c r="BM339" s="1097">
        <v>225</v>
      </c>
      <c r="BP339" s="1455">
        <v>3416</v>
      </c>
      <c r="BQ339" s="1097"/>
      <c r="BT339" s="1337">
        <v>46</v>
      </c>
      <c r="BU339" s="928">
        <v>20</v>
      </c>
      <c r="BV339" s="1337">
        <v>0</v>
      </c>
      <c r="BW339" s="1097">
        <v>-12</v>
      </c>
      <c r="BX339" s="928">
        <v>-1</v>
      </c>
      <c r="BY339" s="1210"/>
      <c r="BZ339" s="928">
        <v>300</v>
      </c>
      <c r="CA339" s="1097">
        <f>-352-43-837*0</f>
        <v>-395</v>
      </c>
      <c r="CH339" s="434"/>
      <c r="CI339" s="935">
        <v>125</v>
      </c>
      <c r="CK339" s="196">
        <v>69</v>
      </c>
    </row>
    <row r="340" spans="1:89" x14ac:dyDescent="0.2">
      <c r="A340" s="195" t="s">
        <v>1414</v>
      </c>
      <c r="B340" s="196">
        <f t="shared" si="485"/>
        <v>1866</v>
      </c>
      <c r="C340" s="928">
        <v>1677</v>
      </c>
      <c r="D340" s="928"/>
      <c r="E340" s="1396"/>
      <c r="F340" s="1396"/>
      <c r="G340" s="1396"/>
      <c r="H340" s="1396"/>
      <c r="I340" s="1396"/>
      <c r="J340" s="1396"/>
      <c r="K340" s="928"/>
      <c r="N340" s="928"/>
      <c r="O340" s="928">
        <v>127</v>
      </c>
      <c r="P340" s="928"/>
      <c r="Q340" s="928"/>
      <c r="R340" s="928"/>
      <c r="S340" s="1097"/>
      <c r="T340" s="1097"/>
      <c r="U340" s="928"/>
      <c r="V340" s="1097"/>
      <c r="W340" s="928"/>
      <c r="X340" s="928"/>
      <c r="Y340" s="928"/>
      <c r="Z340" s="928"/>
      <c r="AA340" s="928"/>
      <c r="AB340" s="928"/>
      <c r="AC340" s="928"/>
      <c r="AD340" s="928"/>
      <c r="AE340" s="928"/>
      <c r="AF340" s="928"/>
      <c r="AG340" s="928"/>
      <c r="AH340" s="928"/>
      <c r="AI340" s="928"/>
      <c r="AJ340" s="928"/>
      <c r="AK340" s="928"/>
      <c r="AL340" s="928"/>
      <c r="AM340" s="928"/>
      <c r="AN340" s="928"/>
      <c r="AO340" s="928"/>
      <c r="AP340" s="928"/>
      <c r="AQ340" s="928"/>
      <c r="AR340" s="928"/>
      <c r="AS340" s="928"/>
      <c r="AT340" s="928"/>
      <c r="AU340" s="928"/>
      <c r="AV340" s="928"/>
      <c r="AW340" s="928"/>
      <c r="AX340" s="928"/>
      <c r="AY340" s="1097"/>
      <c r="AZ340" s="1097"/>
      <c r="BA340" s="1097"/>
      <c r="BB340" s="1097"/>
      <c r="BC340" s="1097">
        <v>401</v>
      </c>
      <c r="BD340" s="1097"/>
      <c r="BF340" s="1097"/>
      <c r="BH340" s="1097"/>
      <c r="BK340" s="1097"/>
      <c r="BL340" s="1097"/>
      <c r="BM340" s="1097"/>
      <c r="BP340" s="1097"/>
      <c r="BQ340" s="1097"/>
      <c r="BT340" s="1435"/>
      <c r="BU340" s="928"/>
      <c r="BV340" s="1338"/>
      <c r="BW340" s="1097"/>
      <c r="BX340" s="928"/>
      <c r="BY340" s="1210"/>
      <c r="BZ340" s="928"/>
      <c r="CA340" s="1097">
        <v>-339</v>
      </c>
      <c r="CH340" s="434"/>
      <c r="CI340" s="935"/>
    </row>
    <row r="341" spans="1:89" x14ac:dyDescent="0.2">
      <c r="A341" s="195" t="s">
        <v>88</v>
      </c>
      <c r="B341" s="196">
        <f t="shared" si="485"/>
        <v>-30549</v>
      </c>
      <c r="C341" s="928"/>
      <c r="D341" s="928">
        <v>-4662</v>
      </c>
      <c r="E341" s="1396"/>
      <c r="F341" s="1396"/>
      <c r="G341" s="1396"/>
      <c r="H341" s="1396"/>
      <c r="I341" s="1396"/>
      <c r="J341" s="1396"/>
      <c r="K341" s="928"/>
      <c r="N341" s="928"/>
      <c r="O341" s="928"/>
      <c r="P341" s="928"/>
      <c r="Q341" s="928"/>
      <c r="R341" s="928"/>
      <c r="S341" s="1097"/>
      <c r="T341" s="1097"/>
      <c r="U341" s="928"/>
      <c r="V341" s="1097"/>
      <c r="W341" s="928"/>
      <c r="X341" s="928"/>
      <c r="Y341" s="928"/>
      <c r="Z341" s="928"/>
      <c r="AA341" s="928"/>
      <c r="AB341" s="928">
        <v>0</v>
      </c>
      <c r="AC341" s="928">
        <v>-2501</v>
      </c>
      <c r="AD341" s="928">
        <v>-9264</v>
      </c>
      <c r="AE341" s="928">
        <v>-2091</v>
      </c>
      <c r="AF341" s="928">
        <v>0</v>
      </c>
      <c r="AG341" s="928">
        <v>0</v>
      </c>
      <c r="AH341" s="928">
        <v>0</v>
      </c>
      <c r="AI341" s="928"/>
      <c r="AJ341" s="928"/>
      <c r="AK341" s="928">
        <v>-2522</v>
      </c>
      <c r="AL341" s="928">
        <v>-523</v>
      </c>
      <c r="AM341" s="928">
        <v>-803</v>
      </c>
      <c r="AN341" s="928">
        <v>-758</v>
      </c>
      <c r="AO341" s="928">
        <v>-1034</v>
      </c>
      <c r="AP341" s="928">
        <f>-740+1</f>
        <v>-739</v>
      </c>
      <c r="AQ341" s="928"/>
      <c r="AR341" s="928">
        <v>0</v>
      </c>
      <c r="AS341" s="928">
        <v>0</v>
      </c>
      <c r="AT341" s="928">
        <v>0</v>
      </c>
      <c r="AU341" s="928">
        <v>0</v>
      </c>
      <c r="AV341" s="928">
        <v>0</v>
      </c>
      <c r="AW341" s="928">
        <v>-1812</v>
      </c>
      <c r="AX341" s="928"/>
      <c r="AY341" s="1097"/>
      <c r="AZ341" s="1097"/>
      <c r="BA341" s="1097"/>
      <c r="BB341" s="1097"/>
      <c r="BC341" s="1097"/>
      <c r="BD341" s="1097"/>
      <c r="BF341" s="1097"/>
      <c r="BH341" s="1097"/>
      <c r="BK341" s="1097">
        <v>-636</v>
      </c>
      <c r="BL341" s="1097"/>
      <c r="BM341" s="1097"/>
      <c r="BP341" s="1097"/>
      <c r="BQ341" s="1097"/>
      <c r="BR341" s="1097">
        <v>-3204</v>
      </c>
      <c r="BS341" s="1097"/>
      <c r="BT341" s="1435"/>
      <c r="BU341" s="928"/>
      <c r="BV341" s="1338"/>
      <c r="BW341" s="1097"/>
      <c r="BX341" s="928"/>
      <c r="BY341" s="1210"/>
      <c r="BZ341" s="928"/>
      <c r="CA341" s="1097"/>
    </row>
    <row r="342" spans="1:89" x14ac:dyDescent="0.2">
      <c r="A342" s="195" t="s">
        <v>93</v>
      </c>
      <c r="B342" s="196">
        <f t="shared" si="485"/>
        <v>0</v>
      </c>
      <c r="C342" s="928"/>
      <c r="D342" s="928"/>
      <c r="E342" s="1396"/>
      <c r="F342" s="1396"/>
      <c r="G342" s="1396"/>
      <c r="H342" s="1396"/>
      <c r="I342" s="1396"/>
      <c r="J342" s="1396"/>
      <c r="K342" s="928"/>
      <c r="N342" s="928"/>
      <c r="O342" s="928"/>
      <c r="P342" s="928"/>
      <c r="Q342" s="928"/>
      <c r="R342" s="928"/>
      <c r="S342" s="1097"/>
      <c r="T342" s="1097"/>
      <c r="U342" s="928"/>
      <c r="V342" s="1097"/>
      <c r="W342" s="928"/>
      <c r="X342" s="928"/>
      <c r="Y342" s="928"/>
      <c r="Z342" s="928"/>
      <c r="AA342" s="928"/>
      <c r="AB342" s="928"/>
      <c r="AC342" s="928"/>
      <c r="AD342" s="928"/>
      <c r="AE342" s="928"/>
      <c r="AF342" s="928"/>
      <c r="AG342" s="928"/>
      <c r="AH342" s="928"/>
      <c r="AI342" s="928"/>
      <c r="AJ342" s="928"/>
      <c r="AK342" s="928"/>
      <c r="AL342" s="928"/>
      <c r="AM342" s="928"/>
      <c r="AN342" s="928"/>
      <c r="AO342" s="928"/>
      <c r="AP342" s="928"/>
      <c r="AQ342" s="928"/>
      <c r="AR342" s="928"/>
      <c r="AS342" s="928"/>
      <c r="AT342" s="928"/>
      <c r="AU342" s="928"/>
      <c r="AV342" s="928"/>
      <c r="AW342" s="928"/>
      <c r="AX342" s="928"/>
      <c r="AY342" s="1097"/>
      <c r="AZ342" s="1097"/>
      <c r="BA342" s="1097"/>
      <c r="BB342" s="1097"/>
      <c r="BC342" s="1097"/>
      <c r="BD342" s="1097"/>
      <c r="BF342" s="1097"/>
      <c r="BH342" s="1097"/>
      <c r="BK342" s="1097"/>
      <c r="BL342" s="1097"/>
      <c r="BM342" s="1097"/>
      <c r="BP342" s="1097"/>
      <c r="BQ342" s="1097"/>
      <c r="BR342" s="1097"/>
      <c r="BS342" s="1097"/>
      <c r="BT342" s="1435"/>
      <c r="BU342" s="928"/>
      <c r="BV342" s="1338"/>
      <c r="BW342" s="1097"/>
      <c r="BX342" s="928"/>
      <c r="BY342" s="1210"/>
      <c r="BZ342" s="928"/>
      <c r="CA342" s="1097"/>
    </row>
    <row r="343" spans="1:89" x14ac:dyDescent="0.2">
      <c r="A343" s="195" t="s">
        <v>1053</v>
      </c>
      <c r="B343" s="196">
        <f t="shared" si="485"/>
        <v>4134</v>
      </c>
      <c r="C343" s="928"/>
      <c r="D343" s="928">
        <v>4099</v>
      </c>
      <c r="E343" s="1396"/>
      <c r="F343" s="1396"/>
      <c r="G343" s="1396"/>
      <c r="H343" s="1396"/>
      <c r="I343" s="1396"/>
      <c r="J343" s="1396"/>
      <c r="K343" s="928"/>
      <c r="N343" s="928"/>
      <c r="O343" s="928"/>
      <c r="P343" s="928"/>
      <c r="Q343" s="928"/>
      <c r="R343" s="928"/>
      <c r="S343" s="1097"/>
      <c r="T343" s="1097"/>
      <c r="U343" s="928"/>
      <c r="V343" s="1097"/>
      <c r="W343" s="928"/>
      <c r="X343" s="928"/>
      <c r="Y343" s="928"/>
      <c r="Z343" s="928"/>
      <c r="AA343" s="928"/>
      <c r="AB343" s="928"/>
      <c r="AC343" s="928"/>
      <c r="AD343" s="928"/>
      <c r="AE343" s="928"/>
      <c r="AF343" s="928"/>
      <c r="AG343" s="928"/>
      <c r="AH343" s="928"/>
      <c r="AI343" s="928"/>
      <c r="AJ343" s="928"/>
      <c r="AK343" s="928"/>
      <c r="AL343" s="928"/>
      <c r="AM343" s="928"/>
      <c r="AN343" s="928"/>
      <c r="AO343" s="928"/>
      <c r="AP343" s="928"/>
      <c r="AQ343" s="928"/>
      <c r="AR343" s="928"/>
      <c r="AS343" s="928"/>
      <c r="AT343" s="928"/>
      <c r="AU343" s="928"/>
      <c r="AV343" s="928"/>
      <c r="AW343" s="928"/>
      <c r="AX343" s="928"/>
      <c r="AY343" s="1097"/>
      <c r="AZ343" s="1097"/>
      <c r="BA343" s="1097"/>
      <c r="BB343" s="1097"/>
      <c r="BC343" s="1097"/>
      <c r="BD343" s="1097"/>
      <c r="BF343" s="1097"/>
      <c r="BH343" s="1097"/>
      <c r="BK343" s="1097"/>
      <c r="BL343" s="1097">
        <v>35</v>
      </c>
      <c r="BM343" s="1097"/>
      <c r="BP343" s="1097"/>
      <c r="BQ343" s="1097"/>
      <c r="BR343" s="1097"/>
      <c r="BS343" s="1097"/>
      <c r="BT343" s="1435"/>
      <c r="BU343" s="928"/>
      <c r="BV343" s="1338"/>
      <c r="BW343" s="1097"/>
      <c r="BX343" s="928"/>
      <c r="BY343" s="1210"/>
      <c r="BZ343" s="928"/>
      <c r="CA343" s="1097"/>
    </row>
    <row r="344" spans="1:89" x14ac:dyDescent="0.2">
      <c r="A344" s="195" t="s">
        <v>94</v>
      </c>
      <c r="B344" s="196">
        <f t="shared" si="485"/>
        <v>113052</v>
      </c>
      <c r="C344" s="928">
        <v>757</v>
      </c>
      <c r="D344" s="928">
        <v>82358</v>
      </c>
      <c r="E344" s="1396">
        <v>66</v>
      </c>
      <c r="F344" s="1396">
        <v>401</v>
      </c>
      <c r="G344" s="1396"/>
      <c r="H344" s="1396">
        <v>6</v>
      </c>
      <c r="I344" s="1396"/>
      <c r="J344" s="1396"/>
      <c r="K344" s="928"/>
      <c r="N344" s="928">
        <v>16</v>
      </c>
      <c r="O344" s="928">
        <v>3</v>
      </c>
      <c r="P344" s="928"/>
      <c r="Q344" s="928"/>
      <c r="R344" s="928"/>
      <c r="S344" s="1097"/>
      <c r="T344" s="1097"/>
      <c r="U344" s="928">
        <v>4</v>
      </c>
      <c r="V344" s="1097"/>
      <c r="W344" s="928">
        <v>25</v>
      </c>
      <c r="X344" s="928"/>
      <c r="Y344" s="928"/>
      <c r="Z344" s="928"/>
      <c r="AA344" s="928"/>
      <c r="AB344" s="928"/>
      <c r="AC344" s="928"/>
      <c r="AD344" s="928"/>
      <c r="AE344" s="928"/>
      <c r="AF344" s="928"/>
      <c r="AG344" s="928"/>
      <c r="AH344" s="928"/>
      <c r="AI344" s="928"/>
      <c r="AJ344" s="928"/>
      <c r="AK344" s="928"/>
      <c r="AL344" s="928"/>
      <c r="AM344" s="928"/>
      <c r="AN344" s="928"/>
      <c r="AO344" s="928"/>
      <c r="AP344" s="928"/>
      <c r="AQ344" s="928"/>
      <c r="AR344" s="928"/>
      <c r="AS344" s="928"/>
      <c r="AT344" s="928"/>
      <c r="AU344" s="928"/>
      <c r="AV344" s="928"/>
      <c r="AW344" s="928"/>
      <c r="AX344" s="928"/>
      <c r="AY344" s="1097"/>
      <c r="AZ344" s="1097"/>
      <c r="BA344" s="1097"/>
      <c r="BB344" s="1097"/>
      <c r="BC344" s="1097"/>
      <c r="BD344" s="1097">
        <v>24</v>
      </c>
      <c r="BF344" s="1097"/>
      <c r="BH344" s="1097"/>
      <c r="BJ344" s="196">
        <v>161</v>
      </c>
      <c r="BK344" s="1097">
        <v>3834</v>
      </c>
      <c r="BL344" s="1097">
        <v>589</v>
      </c>
      <c r="BM344" s="1097"/>
      <c r="BP344" s="1455">
        <v>209</v>
      </c>
      <c r="BQ344" s="1097">
        <v>258</v>
      </c>
      <c r="BR344" s="1097">
        <v>24928</v>
      </c>
      <c r="BS344" s="1097"/>
      <c r="BT344" s="1435"/>
      <c r="BU344" s="928"/>
      <c r="BV344" s="1338"/>
      <c r="BW344" s="1097">
        <v>-804</v>
      </c>
      <c r="BX344" s="928">
        <v>222</v>
      </c>
      <c r="BY344" s="1210">
        <v>-5</v>
      </c>
      <c r="BZ344" s="928"/>
      <c r="CA344" s="1097"/>
    </row>
    <row r="345" spans="1:89" x14ac:dyDescent="0.2">
      <c r="A345" s="198" t="s">
        <v>520</v>
      </c>
      <c r="B345" s="199">
        <f>SUM(B329:B344)</f>
        <v>2620969</v>
      </c>
      <c r="C345" s="1358">
        <f t="shared" ref="C345:D345" si="486">SUM(C329:C344)</f>
        <v>1329564</v>
      </c>
      <c r="D345" s="1358">
        <f t="shared" si="486"/>
        <v>83065</v>
      </c>
      <c r="E345" s="1407">
        <f>SUM(E329:E344)</f>
        <v>83550</v>
      </c>
      <c r="F345" s="1407">
        <f>SUM(F329:F344)</f>
        <v>225154</v>
      </c>
      <c r="G345" s="1407">
        <f t="shared" ref="G345:T345" si="487">SUM(G329:G344)</f>
        <v>16221</v>
      </c>
      <c r="H345" s="1407">
        <f t="shared" si="487"/>
        <v>651</v>
      </c>
      <c r="I345" s="1407">
        <f t="shared" si="487"/>
        <v>4971</v>
      </c>
      <c r="J345" s="1407">
        <f t="shared" si="487"/>
        <v>0</v>
      </c>
      <c r="K345" s="1358">
        <f t="shared" si="487"/>
        <v>7383</v>
      </c>
      <c r="L345" s="199">
        <f t="shared" si="487"/>
        <v>0</v>
      </c>
      <c r="M345" s="199">
        <f t="shared" si="487"/>
        <v>0</v>
      </c>
      <c r="N345" s="1358">
        <f t="shared" si="487"/>
        <v>71338</v>
      </c>
      <c r="O345" s="1358">
        <f t="shared" si="487"/>
        <v>67135</v>
      </c>
      <c r="P345" s="1358">
        <f t="shared" si="487"/>
        <v>26</v>
      </c>
      <c r="Q345" s="1358">
        <f t="shared" si="487"/>
        <v>18</v>
      </c>
      <c r="R345" s="1358">
        <f t="shared" si="487"/>
        <v>34388</v>
      </c>
      <c r="S345" s="1358">
        <f t="shared" si="487"/>
        <v>2366</v>
      </c>
      <c r="T345" s="1358">
        <f t="shared" si="487"/>
        <v>12631</v>
      </c>
      <c r="U345" s="1358">
        <f>SUM(U329:U344)</f>
        <v>3577</v>
      </c>
      <c r="V345" s="1358">
        <f t="shared" ref="V345:BK345" si="488">SUM(V329:V344)</f>
        <v>0</v>
      </c>
      <c r="W345" s="1358">
        <f t="shared" si="488"/>
        <v>44699</v>
      </c>
      <c r="X345" s="1358">
        <f t="shared" si="488"/>
        <v>29850</v>
      </c>
      <c r="Y345" s="199">
        <f t="shared" si="488"/>
        <v>0</v>
      </c>
      <c r="Z345" s="199">
        <f t="shared" si="488"/>
        <v>0</v>
      </c>
      <c r="AA345" s="1358">
        <f t="shared" si="488"/>
        <v>0</v>
      </c>
      <c r="AB345" s="1358">
        <f t="shared" si="488"/>
        <v>0</v>
      </c>
      <c r="AC345" s="1358">
        <f t="shared" si="488"/>
        <v>-2501</v>
      </c>
      <c r="AD345" s="1358">
        <f t="shared" si="488"/>
        <v>-8430</v>
      </c>
      <c r="AE345" s="1358">
        <f t="shared" si="488"/>
        <v>-1044</v>
      </c>
      <c r="AF345" s="1358">
        <f t="shared" si="488"/>
        <v>209029</v>
      </c>
      <c r="AG345" s="1358">
        <f t="shared" si="488"/>
        <v>0</v>
      </c>
      <c r="AH345" s="1358">
        <f t="shared" si="488"/>
        <v>0</v>
      </c>
      <c r="AI345" s="1358">
        <f t="shared" si="488"/>
        <v>0</v>
      </c>
      <c r="AJ345" s="1358">
        <f t="shared" si="488"/>
        <v>0</v>
      </c>
      <c r="AK345" s="1358">
        <f t="shared" si="488"/>
        <v>-2522</v>
      </c>
      <c r="AL345" s="1358">
        <f t="shared" si="488"/>
        <v>-371</v>
      </c>
      <c r="AM345" s="1358">
        <f t="shared" si="488"/>
        <v>-793</v>
      </c>
      <c r="AN345" s="1358">
        <f t="shared" si="488"/>
        <v>-758</v>
      </c>
      <c r="AO345" s="1358">
        <f t="shared" si="488"/>
        <v>-1019</v>
      </c>
      <c r="AP345" s="1358">
        <f t="shared" si="488"/>
        <v>-429</v>
      </c>
      <c r="AQ345" s="1358">
        <f t="shared" si="488"/>
        <v>0</v>
      </c>
      <c r="AR345" s="1358">
        <f t="shared" si="488"/>
        <v>23983</v>
      </c>
      <c r="AS345" s="1358">
        <f t="shared" si="488"/>
        <v>0</v>
      </c>
      <c r="AT345" s="1358">
        <f t="shared" si="488"/>
        <v>213614</v>
      </c>
      <c r="AU345" s="1358">
        <f t="shared" si="488"/>
        <v>238</v>
      </c>
      <c r="AV345" s="1358">
        <f t="shared" si="488"/>
        <v>0</v>
      </c>
      <c r="AW345" s="1358">
        <f t="shared" si="488"/>
        <v>-1613</v>
      </c>
      <c r="AX345" s="1358">
        <f t="shared" si="488"/>
        <v>0</v>
      </c>
      <c r="AY345" s="1358">
        <f t="shared" si="488"/>
        <v>3</v>
      </c>
      <c r="AZ345" s="1358">
        <f t="shared" si="488"/>
        <v>202</v>
      </c>
      <c r="BA345" s="1358">
        <f t="shared" si="488"/>
        <v>2</v>
      </c>
      <c r="BB345" s="1358">
        <f t="shared" si="488"/>
        <v>0</v>
      </c>
      <c r="BC345" s="1358">
        <f t="shared" si="488"/>
        <v>401</v>
      </c>
      <c r="BD345" s="1358">
        <f t="shared" si="488"/>
        <v>1037</v>
      </c>
      <c r="BE345" s="199">
        <f t="shared" si="488"/>
        <v>1</v>
      </c>
      <c r="BF345" s="1358">
        <f t="shared" si="488"/>
        <v>8486</v>
      </c>
      <c r="BG345" s="199">
        <f t="shared" si="488"/>
        <v>0</v>
      </c>
      <c r="BH345" s="1358">
        <f t="shared" si="488"/>
        <v>30592</v>
      </c>
      <c r="BI345" s="199">
        <f t="shared" si="488"/>
        <v>0</v>
      </c>
      <c r="BJ345" s="199">
        <f t="shared" si="488"/>
        <v>16559</v>
      </c>
      <c r="BK345" s="1358">
        <f t="shared" si="488"/>
        <v>3613</v>
      </c>
      <c r="BL345" s="1358">
        <f>SUM(BL329:BL344)</f>
        <v>628</v>
      </c>
      <c r="BM345" s="1359">
        <f t="shared" ref="BM345:BT345" si="489">SUM(BM329:BM344)</f>
        <v>225</v>
      </c>
      <c r="BN345" s="199">
        <f t="shared" si="489"/>
        <v>0</v>
      </c>
      <c r="BO345" s="199">
        <f t="shared" si="489"/>
        <v>0</v>
      </c>
      <c r="BP345" s="1358">
        <f t="shared" si="489"/>
        <v>3625</v>
      </c>
      <c r="BQ345" s="1358">
        <f t="shared" si="489"/>
        <v>66468</v>
      </c>
      <c r="BR345" s="1358">
        <f t="shared" si="489"/>
        <v>22083</v>
      </c>
      <c r="BS345" s="1358">
        <f t="shared" si="489"/>
        <v>2487</v>
      </c>
      <c r="BT345" s="1358">
        <f t="shared" si="489"/>
        <v>18528</v>
      </c>
      <c r="BU345" s="1358">
        <f>SUM(BU329:BU344)</f>
        <v>3256</v>
      </c>
      <c r="BV345" s="1358">
        <f t="shared" ref="BV345:CA345" si="490">SUM(BV329:BV344)</f>
        <v>10317</v>
      </c>
      <c r="BW345" s="1358">
        <f t="shared" si="490"/>
        <v>-4110</v>
      </c>
      <c r="BX345" s="1358">
        <f t="shared" si="490"/>
        <v>-629</v>
      </c>
      <c r="BY345" s="1358">
        <f t="shared" si="490"/>
        <v>1956</v>
      </c>
      <c r="BZ345" s="1358">
        <f t="shared" si="490"/>
        <v>99357</v>
      </c>
      <c r="CA345" s="199">
        <f t="shared" si="490"/>
        <v>-108089</v>
      </c>
      <c r="CB345" s="199">
        <f t="shared" ref="CB345" si="491">SUM(CB329:CB344)</f>
        <v>0</v>
      </c>
      <c r="CD345" s="204">
        <f>SUM(CD329:CD344)</f>
        <v>0</v>
      </c>
      <c r="CE345" s="204">
        <f>SUM(CE329:CE344)</f>
        <v>0</v>
      </c>
      <c r="CF345" s="204">
        <f>SUM(CF329:CF344)</f>
        <v>0</v>
      </c>
      <c r="CG345" s="204">
        <f>SUM(CG329:CG344)</f>
        <v>0</v>
      </c>
      <c r="CI345" s="204">
        <f>SUM(CI329:CI344)</f>
        <v>143677</v>
      </c>
      <c r="CJ345" s="204">
        <f>SUM(CJ329:CJ344)</f>
        <v>67823</v>
      </c>
      <c r="CK345" s="204">
        <f>SUM(CK329:CK344)</f>
        <v>1346</v>
      </c>
    </row>
    <row r="346" spans="1:89" x14ac:dyDescent="0.2">
      <c r="B346" s="197"/>
      <c r="C346" s="1048"/>
      <c r="D346" s="1048"/>
      <c r="E346" s="1396"/>
      <c r="F346" s="1389"/>
      <c r="G346" s="1389"/>
      <c r="H346" s="1389"/>
      <c r="I346" s="1389"/>
      <c r="J346" s="1389"/>
      <c r="K346" s="1048"/>
      <c r="L346" s="197"/>
      <c r="M346" s="197"/>
      <c r="N346" s="1048"/>
      <c r="O346" s="1048"/>
      <c r="P346" s="1048"/>
      <c r="Q346" s="1048"/>
      <c r="R346" s="1048"/>
      <c r="S346" s="1139"/>
      <c r="T346" s="1139"/>
      <c r="U346" s="1048"/>
      <c r="V346" s="1301"/>
      <c r="W346" s="1048"/>
      <c r="X346" s="1048"/>
      <c r="Y346" s="1048"/>
      <c r="Z346" s="1048"/>
      <c r="AA346" s="1048"/>
      <c r="AB346" s="1048"/>
      <c r="AC346" s="1048"/>
      <c r="AD346" s="1048"/>
      <c r="AE346" s="1048"/>
      <c r="AF346" s="1048"/>
      <c r="AG346" s="1048"/>
      <c r="AH346" s="1048"/>
      <c r="AI346" s="1048"/>
      <c r="AJ346" s="1048"/>
      <c r="AK346" s="1048"/>
      <c r="AL346" s="1048"/>
      <c r="AM346" s="1048"/>
      <c r="AN346" s="1048"/>
      <c r="AO346" s="1048"/>
      <c r="AP346" s="1048"/>
      <c r="AQ346" s="1048"/>
      <c r="AR346" s="1048"/>
      <c r="AS346" s="1048"/>
      <c r="AT346" s="1048"/>
      <c r="AU346" s="1048"/>
      <c r="AV346" s="1048"/>
      <c r="AW346" s="1048"/>
      <c r="AX346" s="1048"/>
      <c r="AY346" s="1301"/>
      <c r="AZ346" s="1301"/>
      <c r="BA346" s="1301"/>
      <c r="BB346" s="1301"/>
      <c r="BC346" s="1301"/>
      <c r="BD346" s="1139"/>
      <c r="BE346" s="197"/>
      <c r="BF346" s="1139"/>
      <c r="BG346" s="197"/>
      <c r="BH346" s="1139"/>
      <c r="BI346" s="197"/>
      <c r="BJ346" s="197"/>
      <c r="BK346" s="1322"/>
      <c r="BL346" s="1322"/>
      <c r="BM346" s="1139"/>
      <c r="BN346" s="197"/>
      <c r="BO346" s="197"/>
      <c r="BP346" s="1139"/>
      <c r="BQ346" s="1139"/>
      <c r="BR346" s="1139"/>
      <c r="BS346" s="1139"/>
      <c r="BT346" s="1048"/>
      <c r="BU346" s="1048"/>
      <c r="BV346" s="1048"/>
      <c r="BW346" s="1139"/>
      <c r="BX346" s="1048"/>
      <c r="BY346" s="1211"/>
      <c r="BZ346" s="1048"/>
      <c r="CA346" s="1139"/>
      <c r="CB346" s="197"/>
      <c r="CD346" s="197"/>
      <c r="CE346" s="197"/>
      <c r="CF346" s="197"/>
      <c r="CG346" s="197"/>
    </row>
    <row r="347" spans="1:89" s="192" customFormat="1" x14ac:dyDescent="0.2">
      <c r="A347" s="193" t="s">
        <v>925</v>
      </c>
      <c r="B347" s="194"/>
      <c r="C347" s="1049"/>
      <c r="D347" s="1049"/>
      <c r="E347" s="1408"/>
      <c r="F347" s="1409"/>
      <c r="G347" s="1409"/>
      <c r="H347" s="1409"/>
      <c r="I347" s="1409"/>
      <c r="J347" s="1409"/>
      <c r="K347" s="1049"/>
      <c r="L347" s="194"/>
      <c r="M347" s="194"/>
      <c r="N347" s="1049"/>
      <c r="O347" s="1049"/>
      <c r="P347" s="1049"/>
      <c r="Q347" s="1049"/>
      <c r="R347" s="1049"/>
      <c r="S347" s="1140"/>
      <c r="T347" s="1140"/>
      <c r="U347" s="1049"/>
      <c r="V347" s="1302"/>
      <c r="W347" s="1049"/>
      <c r="X347" s="1049"/>
      <c r="Y347" s="1049"/>
      <c r="Z347" s="1049"/>
      <c r="AA347" s="1049"/>
      <c r="AB347" s="1049"/>
      <c r="AC347" s="1049"/>
      <c r="AD347" s="1049"/>
      <c r="AE347" s="1049"/>
      <c r="AF347" s="1049"/>
      <c r="AG347" s="1049"/>
      <c r="AH347" s="1049"/>
      <c r="AI347" s="1049"/>
      <c r="AJ347" s="1049"/>
      <c r="AK347" s="1049"/>
      <c r="AL347" s="1049"/>
      <c r="AM347" s="1049"/>
      <c r="AN347" s="1049"/>
      <c r="AO347" s="1049"/>
      <c r="AP347" s="1049"/>
      <c r="AQ347" s="1049"/>
      <c r="AR347" s="1049"/>
      <c r="AS347" s="1049"/>
      <c r="AT347" s="1049"/>
      <c r="AU347" s="1049"/>
      <c r="AV347" s="1049"/>
      <c r="AW347" s="1049"/>
      <c r="AX347" s="1049"/>
      <c r="AY347" s="1302"/>
      <c r="AZ347" s="1302"/>
      <c r="BA347" s="1302"/>
      <c r="BB347" s="1302"/>
      <c r="BC347" s="1302"/>
      <c r="BD347" s="1140"/>
      <c r="BE347" s="194"/>
      <c r="BF347" s="1140"/>
      <c r="BG347" s="194"/>
      <c r="BH347" s="1140"/>
      <c r="BI347" s="194"/>
      <c r="BJ347" s="194"/>
      <c r="BK347" s="1323"/>
      <c r="BL347" s="1323"/>
      <c r="BM347" s="1140"/>
      <c r="BN347" s="194"/>
      <c r="BO347" s="194"/>
      <c r="BP347" s="1140"/>
      <c r="BQ347" s="1140"/>
      <c r="BR347" s="1140"/>
      <c r="BS347" s="1140"/>
      <c r="BT347" s="1049"/>
      <c r="BU347" s="1049"/>
      <c r="BV347" s="1049"/>
      <c r="BW347" s="1140"/>
      <c r="BX347" s="1049"/>
      <c r="BY347" s="1212"/>
      <c r="BZ347" s="1049"/>
      <c r="CA347" s="1140"/>
      <c r="CB347" s="194"/>
      <c r="CC347" s="191"/>
      <c r="CD347" s="194"/>
      <c r="CE347" s="194"/>
      <c r="CF347" s="194"/>
      <c r="CG347" s="194"/>
    </row>
    <row r="348" spans="1:89" x14ac:dyDescent="0.2">
      <c r="A348" s="195" t="s">
        <v>953</v>
      </c>
      <c r="B348" s="196">
        <f t="shared" ref="B348:B359" si="492">SUM(C348:CB348)</f>
        <v>19298</v>
      </c>
      <c r="C348" s="928">
        <v>18033</v>
      </c>
      <c r="D348" s="928"/>
      <c r="E348" s="1396"/>
      <c r="F348" s="1396"/>
      <c r="G348" s="1396"/>
      <c r="H348" s="1396"/>
      <c r="I348" s="1396"/>
      <c r="J348" s="1396"/>
      <c r="K348" s="928"/>
      <c r="N348" s="928"/>
      <c r="O348" s="928">
        <v>1265</v>
      </c>
      <c r="P348" s="928"/>
      <c r="Q348" s="928"/>
      <c r="R348" s="928"/>
      <c r="S348" s="1097"/>
      <c r="T348" s="1097"/>
      <c r="U348" s="928"/>
      <c r="V348" s="1097"/>
      <c r="W348" s="928"/>
      <c r="X348" s="928"/>
      <c r="Y348" s="928"/>
      <c r="Z348" s="928"/>
      <c r="AA348" s="928"/>
      <c r="AB348" s="928"/>
      <c r="AC348" s="928"/>
      <c r="AD348" s="928"/>
      <c r="AE348" s="928"/>
      <c r="AF348" s="928"/>
      <c r="AG348" s="928"/>
      <c r="AH348" s="928"/>
      <c r="AI348" s="928"/>
      <c r="AJ348" s="928"/>
      <c r="AK348" s="928"/>
      <c r="AL348" s="928"/>
      <c r="AM348" s="928"/>
      <c r="AN348" s="928"/>
      <c r="AO348" s="928"/>
      <c r="AP348" s="928"/>
      <c r="AQ348" s="928"/>
      <c r="AR348" s="928"/>
      <c r="AS348" s="928"/>
      <c r="AT348" s="928"/>
      <c r="AU348" s="928"/>
      <c r="AV348" s="928"/>
      <c r="AW348" s="928"/>
      <c r="AX348" s="928"/>
      <c r="AY348" s="1097"/>
      <c r="AZ348" s="1097"/>
      <c r="BA348" s="1097"/>
      <c r="BB348" s="1097"/>
      <c r="BC348" s="1097"/>
      <c r="BD348" s="1097"/>
      <c r="BF348" s="1097"/>
      <c r="BH348" s="1097"/>
      <c r="BK348" s="1097"/>
      <c r="BL348" s="1097"/>
      <c r="BM348" s="1097"/>
      <c r="BP348"/>
      <c r="BQ348" s="1097"/>
      <c r="BR348" s="1097"/>
      <c r="BS348" s="1097"/>
      <c r="BT348" s="1435"/>
      <c r="BU348" s="928"/>
      <c r="BV348" s="1338"/>
      <c r="BW348" s="1097"/>
      <c r="BX348" s="928"/>
      <c r="BY348" s="1210"/>
      <c r="BZ348" s="928"/>
      <c r="CA348" s="1097"/>
    </row>
    <row r="349" spans="1:89" x14ac:dyDescent="0.2">
      <c r="A349" s="195" t="s">
        <v>954</v>
      </c>
      <c r="B349" s="196">
        <f t="shared" si="492"/>
        <v>48310</v>
      </c>
      <c r="C349" s="928">
        <v>42022</v>
      </c>
      <c r="D349" s="928"/>
      <c r="E349" s="1396"/>
      <c r="F349" s="1396"/>
      <c r="G349" s="1396"/>
      <c r="H349" s="1396"/>
      <c r="I349" s="1396"/>
      <c r="J349" s="1396"/>
      <c r="K349" s="928"/>
      <c r="N349" s="928"/>
      <c r="O349" s="928">
        <v>6288</v>
      </c>
      <c r="P349" s="928"/>
      <c r="Q349" s="928"/>
      <c r="R349" s="928"/>
      <c r="S349" s="1097"/>
      <c r="T349" s="1097"/>
      <c r="U349" s="928"/>
      <c r="V349" s="1097"/>
      <c r="W349" s="928"/>
      <c r="X349" s="928"/>
      <c r="Y349" s="928"/>
      <c r="Z349" s="928"/>
      <c r="AA349" s="928"/>
      <c r="AB349" s="928"/>
      <c r="AC349" s="928"/>
      <c r="AD349" s="928"/>
      <c r="AE349" s="928"/>
      <c r="AF349" s="928"/>
      <c r="AG349" s="928"/>
      <c r="AH349" s="928"/>
      <c r="AI349" s="928"/>
      <c r="AJ349" s="928"/>
      <c r="AK349" s="928"/>
      <c r="AL349" s="928"/>
      <c r="AM349" s="928"/>
      <c r="AN349" s="928"/>
      <c r="AO349" s="928"/>
      <c r="AP349" s="928"/>
      <c r="AQ349" s="928"/>
      <c r="AR349" s="928"/>
      <c r="AS349" s="928"/>
      <c r="AT349" s="928"/>
      <c r="AU349" s="928"/>
      <c r="AV349" s="928"/>
      <c r="AW349" s="928"/>
      <c r="AX349" s="928"/>
      <c r="AY349" s="1097"/>
      <c r="AZ349" s="1097"/>
      <c r="BA349" s="1097"/>
      <c r="BB349" s="1097"/>
      <c r="BC349" s="1097"/>
      <c r="BD349" s="1097"/>
      <c r="BF349" s="1097"/>
      <c r="BH349" s="1097"/>
      <c r="BK349" s="1097"/>
      <c r="BL349" s="1097"/>
      <c r="BM349" s="1097"/>
      <c r="BP349" s="1097"/>
      <c r="BQ349" s="1097"/>
      <c r="BR349" s="1097"/>
      <c r="BS349" s="1097"/>
      <c r="BT349" s="1435"/>
      <c r="BU349" s="928"/>
      <c r="BV349" s="1338"/>
      <c r="BW349" s="1097"/>
      <c r="BX349" s="928"/>
      <c r="BY349" s="1210"/>
      <c r="BZ349" s="928"/>
      <c r="CA349" s="1097"/>
    </row>
    <row r="350" spans="1:89" x14ac:dyDescent="0.2">
      <c r="A350" s="195" t="s">
        <v>955</v>
      </c>
      <c r="B350" s="196">
        <f t="shared" si="492"/>
        <v>69766</v>
      </c>
      <c r="C350" s="928">
        <v>1208</v>
      </c>
      <c r="D350" s="928"/>
      <c r="E350" s="1396"/>
      <c r="F350" s="1396"/>
      <c r="G350" s="1396"/>
      <c r="H350" s="1396"/>
      <c r="I350" s="1396"/>
      <c r="J350" s="1396"/>
      <c r="K350" s="928"/>
      <c r="N350" s="928"/>
      <c r="O350" s="928"/>
      <c r="P350" s="928"/>
      <c r="Q350" s="928"/>
      <c r="R350" s="928"/>
      <c r="S350" s="1097"/>
      <c r="T350" s="1097"/>
      <c r="U350" s="928">
        <v>5142</v>
      </c>
      <c r="V350" s="1097"/>
      <c r="W350" s="928">
        <v>63416</v>
      </c>
      <c r="X350" s="928"/>
      <c r="Y350" s="928"/>
      <c r="Z350" s="928"/>
      <c r="AA350" s="928"/>
      <c r="AB350" s="928"/>
      <c r="AC350" s="928"/>
      <c r="AD350" s="928"/>
      <c r="AE350" s="928"/>
      <c r="AF350" s="928"/>
      <c r="AG350" s="928"/>
      <c r="AH350" s="928"/>
      <c r="AI350" s="928"/>
      <c r="AJ350" s="928"/>
      <c r="AK350" s="928"/>
      <c r="AL350" s="928"/>
      <c r="AM350" s="928"/>
      <c r="AN350" s="928"/>
      <c r="AO350" s="928"/>
      <c r="AP350" s="928"/>
      <c r="AQ350" s="928"/>
      <c r="AR350" s="928"/>
      <c r="AS350" s="928"/>
      <c r="AT350" s="928"/>
      <c r="AU350" s="928"/>
      <c r="AV350" s="928"/>
      <c r="AW350" s="928"/>
      <c r="AX350" s="928"/>
      <c r="AY350" s="1097"/>
      <c r="AZ350" s="1097"/>
      <c r="BA350" s="1097"/>
      <c r="BB350" s="1097"/>
      <c r="BC350" s="1097"/>
      <c r="BD350" s="1097"/>
      <c r="BF350" s="1097"/>
      <c r="BH350" s="1097"/>
      <c r="BK350" s="1097"/>
      <c r="BL350" s="1097"/>
      <c r="BM350" s="1097"/>
      <c r="BP350" s="1097"/>
      <c r="BQ350" s="1097"/>
      <c r="BR350" s="1097"/>
      <c r="BS350" s="1097"/>
      <c r="BT350" s="1435"/>
      <c r="BU350" s="928"/>
      <c r="BV350" s="1338"/>
      <c r="BW350" s="1097"/>
      <c r="BX350" s="928"/>
      <c r="BY350" s="1210"/>
      <c r="BZ350" s="928"/>
      <c r="CA350" s="1097"/>
    </row>
    <row r="351" spans="1:89" x14ac:dyDescent="0.2">
      <c r="A351" s="195" t="s">
        <v>958</v>
      </c>
      <c r="B351" s="196">
        <f t="shared" si="492"/>
        <v>11362</v>
      </c>
      <c r="C351" s="928"/>
      <c r="D351" s="928"/>
      <c r="E351" s="1396"/>
      <c r="F351" s="1396"/>
      <c r="G351" s="1396"/>
      <c r="H351" s="1396"/>
      <c r="I351" s="1396"/>
      <c r="J351" s="1396"/>
      <c r="K351" s="928"/>
      <c r="N351" s="928"/>
      <c r="O351" s="928"/>
      <c r="P351" s="928"/>
      <c r="Q351" s="928"/>
      <c r="R351" s="928"/>
      <c r="S351" s="1097"/>
      <c r="T351" s="1097">
        <v>11362</v>
      </c>
      <c r="U351" s="928"/>
      <c r="V351" s="1097"/>
      <c r="W351" s="928"/>
      <c r="X351" s="928"/>
      <c r="Y351" s="928"/>
      <c r="Z351" s="928"/>
      <c r="AA351" s="928"/>
      <c r="AB351" s="928"/>
      <c r="AC351" s="928"/>
      <c r="AD351" s="928"/>
      <c r="AE351" s="928"/>
      <c r="AF351" s="928"/>
      <c r="AG351" s="928"/>
      <c r="AH351" s="928"/>
      <c r="AI351" s="928"/>
      <c r="AJ351" s="928"/>
      <c r="AK351" s="928"/>
      <c r="AL351" s="928"/>
      <c r="AM351" s="928"/>
      <c r="AN351" s="928"/>
      <c r="AO351" s="928"/>
      <c r="AP351" s="928"/>
      <c r="AQ351" s="928"/>
      <c r="AR351" s="928"/>
      <c r="AS351" s="928"/>
      <c r="AT351" s="928"/>
      <c r="AU351" s="928"/>
      <c r="AV351" s="928"/>
      <c r="AW351" s="928"/>
      <c r="AX351" s="928"/>
      <c r="AY351" s="1097"/>
      <c r="AZ351" s="1097"/>
      <c r="BA351" s="1097"/>
      <c r="BB351" s="1097"/>
      <c r="BC351" s="1097"/>
      <c r="BD351" s="1097"/>
      <c r="BF351" s="1097"/>
      <c r="BH351" s="1097"/>
      <c r="BK351" s="1097"/>
      <c r="BL351" s="1097"/>
      <c r="BM351" s="1097"/>
      <c r="BP351" s="1097"/>
      <c r="BQ351" s="1097"/>
      <c r="BR351" s="1097"/>
      <c r="BS351" s="1097"/>
      <c r="BT351" s="1435"/>
      <c r="BU351" s="928"/>
      <c r="BV351" s="1338"/>
      <c r="BW351" s="1097"/>
      <c r="BX351" s="928"/>
      <c r="BY351" s="1210"/>
      <c r="BZ351" s="928"/>
      <c r="CA351" s="1097"/>
    </row>
    <row r="352" spans="1:89" x14ac:dyDescent="0.2">
      <c r="A352" s="195" t="s">
        <v>956</v>
      </c>
      <c r="B352" s="196">
        <f t="shared" si="492"/>
        <v>13733</v>
      </c>
      <c r="C352" s="928">
        <v>7894</v>
      </c>
      <c r="D352" s="928"/>
      <c r="E352" s="1396"/>
      <c r="F352" s="1396"/>
      <c r="G352" s="1396"/>
      <c r="H352" s="1396"/>
      <c r="I352" s="1396"/>
      <c r="J352" s="1396"/>
      <c r="K352" s="928"/>
      <c r="N352" s="928"/>
      <c r="O352" s="928">
        <v>5839</v>
      </c>
      <c r="P352" s="928"/>
      <c r="Q352" s="928"/>
      <c r="R352" s="928"/>
      <c r="S352" s="1097"/>
      <c r="T352" s="1097"/>
      <c r="U352" s="928"/>
      <c r="V352" s="1097"/>
      <c r="W352" s="928"/>
      <c r="X352" s="928"/>
      <c r="Y352" s="928"/>
      <c r="Z352" s="928"/>
      <c r="AA352" s="928"/>
      <c r="AB352" s="928"/>
      <c r="AC352" s="928"/>
      <c r="AD352" s="928"/>
      <c r="AE352" s="928"/>
      <c r="AF352" s="928"/>
      <c r="AG352" s="928"/>
      <c r="AH352" s="928"/>
      <c r="AI352" s="928"/>
      <c r="AJ352" s="928"/>
      <c r="AK352" s="928"/>
      <c r="AL352" s="928"/>
      <c r="AM352" s="928"/>
      <c r="AN352" s="928"/>
      <c r="AO352" s="928"/>
      <c r="AP352" s="928"/>
      <c r="AQ352" s="928"/>
      <c r="AR352" s="928"/>
      <c r="AS352" s="928"/>
      <c r="AT352" s="928"/>
      <c r="AU352" s="928"/>
      <c r="AV352" s="928"/>
      <c r="AW352" s="928"/>
      <c r="AX352" s="928"/>
      <c r="AY352" s="1097"/>
      <c r="AZ352" s="1097"/>
      <c r="BA352" s="1097"/>
      <c r="BB352" s="1097"/>
      <c r="BC352" s="1097"/>
      <c r="BD352" s="1097"/>
      <c r="BF352" s="1097"/>
      <c r="BH352" s="1097"/>
      <c r="BK352" s="1097"/>
      <c r="BL352" s="1097"/>
      <c r="BM352" s="1097"/>
      <c r="BP352" s="1097"/>
      <c r="BQ352" s="1097"/>
      <c r="BR352" s="1097"/>
      <c r="BS352" s="1097"/>
      <c r="BT352" s="1435"/>
      <c r="BU352" s="928"/>
      <c r="BV352" s="1338"/>
      <c r="BW352" s="1097"/>
      <c r="BX352" s="928"/>
      <c r="BY352" s="1210"/>
      <c r="BZ352" s="928"/>
      <c r="CA352" s="1097"/>
    </row>
    <row r="353" spans="1:85" x14ac:dyDescent="0.2">
      <c r="A353" s="195" t="s">
        <v>961</v>
      </c>
      <c r="B353" s="196">
        <f t="shared" si="492"/>
        <v>95007</v>
      </c>
      <c r="C353" s="928">
        <v>18051</v>
      </c>
      <c r="D353" s="928"/>
      <c r="E353" s="1396"/>
      <c r="F353" s="1396"/>
      <c r="G353" s="1396"/>
      <c r="H353" s="1396"/>
      <c r="I353" s="1396"/>
      <c r="J353" s="1396"/>
      <c r="K353" s="928"/>
      <c r="N353" s="928">
        <v>46464</v>
      </c>
      <c r="O353" s="928">
        <v>9781</v>
      </c>
      <c r="P353" s="928"/>
      <c r="Q353" s="928"/>
      <c r="R353" s="928"/>
      <c r="S353" s="1097"/>
      <c r="T353" s="1097"/>
      <c r="U353" s="928"/>
      <c r="V353" s="1097"/>
      <c r="W353" s="928"/>
      <c r="X353" s="928"/>
      <c r="Y353" s="928"/>
      <c r="Z353" s="928"/>
      <c r="AA353" s="928"/>
      <c r="AB353" s="928"/>
      <c r="AC353" s="928"/>
      <c r="AD353" s="928"/>
      <c r="AE353" s="928"/>
      <c r="AF353" s="928"/>
      <c r="AG353" s="928"/>
      <c r="AH353" s="928"/>
      <c r="AI353" s="928"/>
      <c r="AJ353" s="928"/>
      <c r="AK353" s="928"/>
      <c r="AL353" s="928"/>
      <c r="AM353" s="928"/>
      <c r="AN353" s="928"/>
      <c r="AO353" s="928"/>
      <c r="AP353" s="928"/>
      <c r="AQ353" s="928"/>
      <c r="AR353" s="928"/>
      <c r="AS353" s="928"/>
      <c r="AT353" s="928"/>
      <c r="AU353" s="928"/>
      <c r="AV353" s="928"/>
      <c r="AW353" s="928"/>
      <c r="AX353" s="928"/>
      <c r="AY353" s="1097"/>
      <c r="AZ353" s="1097">
        <v>418</v>
      </c>
      <c r="BA353" s="1097"/>
      <c r="BB353" s="1097"/>
      <c r="BC353" s="1097"/>
      <c r="BD353" s="1097"/>
      <c r="BF353" s="1097"/>
      <c r="BH353" s="1097"/>
      <c r="BJ353" s="196">
        <v>20293</v>
      </c>
      <c r="BK353" s="1097"/>
      <c r="BL353" s="1097"/>
      <c r="BM353" s="1097"/>
      <c r="BP353" s="1097"/>
      <c r="BQ353" s="1097"/>
      <c r="BR353" s="1097"/>
      <c r="BS353" s="1097"/>
      <c r="BT353" s="1435"/>
      <c r="BU353" s="928"/>
      <c r="BV353" s="1338"/>
      <c r="BW353" s="1097"/>
      <c r="BX353" s="928"/>
      <c r="BY353" s="1210"/>
      <c r="BZ353" s="928"/>
      <c r="CA353" s="1097"/>
    </row>
    <row r="354" spans="1:85" x14ac:dyDescent="0.2">
      <c r="A354" s="195" t="s">
        <v>960</v>
      </c>
      <c r="B354" s="196">
        <f t="shared" si="492"/>
        <v>0</v>
      </c>
      <c r="C354" s="928"/>
      <c r="D354" s="928"/>
      <c r="E354" s="1396"/>
      <c r="F354" s="1396"/>
      <c r="G354" s="1396"/>
      <c r="H354" s="1396"/>
      <c r="I354" s="1396"/>
      <c r="J354" s="1396"/>
      <c r="K354" s="928"/>
      <c r="N354" s="928"/>
      <c r="O354" s="928"/>
      <c r="P354" s="928"/>
      <c r="Q354" s="928"/>
      <c r="R354" s="928"/>
      <c r="S354" s="1097"/>
      <c r="T354" s="1097"/>
      <c r="U354" s="928"/>
      <c r="V354" s="1097"/>
      <c r="W354" s="928"/>
      <c r="X354" s="928"/>
      <c r="Y354" s="928"/>
      <c r="Z354" s="928"/>
      <c r="AA354" s="928"/>
      <c r="AB354" s="928"/>
      <c r="AC354" s="928"/>
      <c r="AD354" s="928"/>
      <c r="AE354" s="928"/>
      <c r="AF354" s="928"/>
      <c r="AG354" s="928"/>
      <c r="AH354" s="928"/>
      <c r="AI354" s="928"/>
      <c r="AJ354" s="928"/>
      <c r="AK354" s="928"/>
      <c r="AL354" s="928"/>
      <c r="AM354" s="928"/>
      <c r="AN354" s="928"/>
      <c r="AO354" s="928"/>
      <c r="AP354" s="928"/>
      <c r="AQ354" s="928"/>
      <c r="AR354" s="928"/>
      <c r="AS354" s="928"/>
      <c r="AT354" s="928"/>
      <c r="AU354" s="928"/>
      <c r="AV354" s="928"/>
      <c r="AW354" s="928"/>
      <c r="AX354" s="928"/>
      <c r="AY354" s="1097"/>
      <c r="AZ354" s="1097"/>
      <c r="BA354" s="1097"/>
      <c r="BB354" s="1097"/>
      <c r="BC354" s="1097"/>
      <c r="BD354" s="1097"/>
      <c r="BF354" s="1097"/>
      <c r="BH354" s="1097"/>
      <c r="BK354" s="1097"/>
      <c r="BL354" s="1097"/>
      <c r="BM354" s="1097"/>
      <c r="BP354" s="1097"/>
      <c r="BQ354" s="1097"/>
      <c r="BR354" s="1097"/>
      <c r="BS354" s="1097"/>
      <c r="BT354" s="1435"/>
      <c r="BU354" s="928"/>
      <c r="BV354" s="1338"/>
      <c r="BW354" s="1097"/>
      <c r="BX354" s="928"/>
      <c r="BY354" s="1210"/>
      <c r="BZ354" s="928"/>
      <c r="CA354" s="1097"/>
    </row>
    <row r="355" spans="1:85" x14ac:dyDescent="0.2">
      <c r="A355" s="195" t="s">
        <v>963</v>
      </c>
      <c r="B355" s="196">
        <f t="shared" si="492"/>
        <v>856</v>
      </c>
      <c r="C355" s="928">
        <v>523</v>
      </c>
      <c r="D355" s="928"/>
      <c r="E355" s="1396"/>
      <c r="F355" s="1396"/>
      <c r="G355" s="1396">
        <v>279</v>
      </c>
      <c r="H355" s="1396"/>
      <c r="I355" s="1396"/>
      <c r="J355" s="1396"/>
      <c r="K355" s="928"/>
      <c r="N355" s="928"/>
      <c r="O355" s="928">
        <v>54</v>
      </c>
      <c r="P355" s="928"/>
      <c r="Q355" s="928"/>
      <c r="R355" s="928"/>
      <c r="S355" s="1097"/>
      <c r="T355" s="1097"/>
      <c r="U355" s="928"/>
      <c r="V355" s="1097"/>
      <c r="W355" s="928"/>
      <c r="X355" s="928"/>
      <c r="Y355" s="928"/>
      <c r="Z355" s="928"/>
      <c r="AA355" s="928"/>
      <c r="AB355" s="928"/>
      <c r="AC355" s="928"/>
      <c r="AD355" s="928"/>
      <c r="AE355" s="928"/>
      <c r="AF355" s="928"/>
      <c r="AG355" s="928"/>
      <c r="AH355" s="928"/>
      <c r="AI355" s="928"/>
      <c r="AJ355" s="928"/>
      <c r="AK355" s="928"/>
      <c r="AL355" s="928"/>
      <c r="AM355" s="928"/>
      <c r="AN355" s="928"/>
      <c r="AO355" s="928"/>
      <c r="AP355" s="928"/>
      <c r="AQ355" s="928"/>
      <c r="AR355" s="928"/>
      <c r="AS355" s="928"/>
      <c r="AT355" s="928"/>
      <c r="AU355" s="928"/>
      <c r="AV355" s="928"/>
      <c r="AW355" s="928"/>
      <c r="AX355" s="928"/>
      <c r="AY355" s="1097"/>
      <c r="AZ355" s="1097"/>
      <c r="BA355" s="1097"/>
      <c r="BB355" s="1097"/>
      <c r="BC355" s="1097"/>
      <c r="BD355" s="1097"/>
      <c r="BF355" s="1097"/>
      <c r="BH355" s="1097"/>
      <c r="BK355" s="1097"/>
      <c r="BL355" s="1097"/>
      <c r="BM355" s="1097"/>
      <c r="BP355" s="1097"/>
      <c r="BQ355" s="1097"/>
      <c r="BR355" s="1097"/>
      <c r="BS355" s="1097"/>
      <c r="BT355" s="1435"/>
      <c r="BU355" s="928"/>
      <c r="BV355" s="1338"/>
      <c r="BW355" s="1097"/>
      <c r="BX355" s="928"/>
      <c r="BY355" s="1210"/>
      <c r="BZ355" s="928"/>
      <c r="CA355" s="1097"/>
    </row>
    <row r="356" spans="1:85" x14ac:dyDescent="0.2">
      <c r="A356" s="195" t="s">
        <v>959</v>
      </c>
      <c r="B356" s="196">
        <f t="shared" si="492"/>
        <v>0</v>
      </c>
      <c r="C356" s="928"/>
      <c r="D356" s="928"/>
      <c r="E356" s="1396"/>
      <c r="F356" s="1396"/>
      <c r="G356" s="1396"/>
      <c r="H356" s="1396"/>
      <c r="I356" s="1396"/>
      <c r="J356" s="1396"/>
      <c r="K356" s="928"/>
      <c r="N356" s="928"/>
      <c r="O356" s="928"/>
      <c r="P356" s="928"/>
      <c r="Q356" s="928"/>
      <c r="R356" s="928"/>
      <c r="S356" s="1097"/>
      <c r="T356" s="1097"/>
      <c r="U356" s="928"/>
      <c r="V356" s="1097"/>
      <c r="W356" s="928"/>
      <c r="X356" s="928"/>
      <c r="Y356" s="928"/>
      <c r="Z356" s="928"/>
      <c r="AA356" s="928"/>
      <c r="AB356" s="928"/>
      <c r="AC356" s="928"/>
      <c r="AD356" s="928"/>
      <c r="AE356" s="928"/>
      <c r="AF356" s="928"/>
      <c r="AG356" s="928"/>
      <c r="AH356" s="928"/>
      <c r="AI356" s="928"/>
      <c r="AJ356" s="928"/>
      <c r="AK356" s="928"/>
      <c r="AL356" s="928"/>
      <c r="AM356" s="928"/>
      <c r="AN356" s="928"/>
      <c r="AO356" s="928"/>
      <c r="AP356" s="928"/>
      <c r="AQ356" s="928"/>
      <c r="AR356" s="928"/>
      <c r="AS356" s="928"/>
      <c r="AT356" s="928"/>
      <c r="AU356" s="928"/>
      <c r="AV356" s="928"/>
      <c r="AW356" s="928"/>
      <c r="AX356" s="928"/>
      <c r="AY356" s="1097"/>
      <c r="AZ356" s="1097"/>
      <c r="BA356" s="1097"/>
      <c r="BB356" s="1097"/>
      <c r="BC356" s="1097"/>
      <c r="BD356" s="1097"/>
      <c r="BF356" s="1097"/>
      <c r="BH356" s="1097"/>
      <c r="BK356" s="1097"/>
      <c r="BL356" s="1097"/>
      <c r="BM356" s="1097"/>
      <c r="BP356" s="1097"/>
      <c r="BQ356" s="1097"/>
      <c r="BR356" s="1097"/>
      <c r="BS356" s="1097"/>
      <c r="BT356" s="1435"/>
      <c r="BU356" s="928"/>
      <c r="BV356" s="1338"/>
      <c r="BW356" s="1097"/>
      <c r="BX356" s="928"/>
      <c r="BY356" s="1210"/>
      <c r="BZ356" s="928"/>
      <c r="CA356" s="1097"/>
    </row>
    <row r="357" spans="1:85" x14ac:dyDescent="0.2">
      <c r="A357" s="195" t="s">
        <v>1191</v>
      </c>
      <c r="B357" s="196">
        <f t="shared" si="492"/>
        <v>4018</v>
      </c>
      <c r="C357" s="928"/>
      <c r="D357" s="928"/>
      <c r="E357" s="1396"/>
      <c r="F357" s="1396"/>
      <c r="G357" s="1396"/>
      <c r="H357" s="1396"/>
      <c r="I357" s="1396"/>
      <c r="J357" s="1396"/>
      <c r="K357" s="928"/>
      <c r="N357" s="928"/>
      <c r="O357" s="928"/>
      <c r="P357" s="928"/>
      <c r="Q357" s="928"/>
      <c r="R357" s="928"/>
      <c r="S357" s="1097"/>
      <c r="T357" s="1097"/>
      <c r="U357" s="928"/>
      <c r="V357" s="1097"/>
      <c r="W357" s="928"/>
      <c r="X357" s="928"/>
      <c r="Y357" s="928"/>
      <c r="Z357" s="928"/>
      <c r="AA357" s="928"/>
      <c r="AB357" s="928"/>
      <c r="AC357" s="928"/>
      <c r="AD357" s="928"/>
      <c r="AE357" s="928"/>
      <c r="AF357" s="928"/>
      <c r="AG357" s="928"/>
      <c r="AH357" s="928"/>
      <c r="AI357" s="928"/>
      <c r="AJ357" s="928"/>
      <c r="AK357" s="928"/>
      <c r="AL357" s="928"/>
      <c r="AM357" s="928"/>
      <c r="AN357" s="928"/>
      <c r="AO357" s="928"/>
      <c r="AP357" s="928"/>
      <c r="AQ357" s="928"/>
      <c r="AR357" s="928"/>
      <c r="AS357" s="928"/>
      <c r="AT357" s="928"/>
      <c r="AU357" s="928"/>
      <c r="AV357" s="928"/>
      <c r="AW357" s="928"/>
      <c r="AX357" s="928"/>
      <c r="AY357" s="1097"/>
      <c r="AZ357" s="1097"/>
      <c r="BA357" s="1097"/>
      <c r="BB357" s="1097"/>
      <c r="BC357" s="1097"/>
      <c r="BD357" s="1097"/>
      <c r="BF357" s="1097"/>
      <c r="BH357" s="1097"/>
      <c r="BK357" s="1097"/>
      <c r="BL357" s="1097"/>
      <c r="BM357" s="1097"/>
      <c r="BP357" s="1097"/>
      <c r="BQ357" s="1097">
        <f>4017+1</f>
        <v>4018</v>
      </c>
      <c r="BR357" s="1097"/>
      <c r="BS357" s="1097"/>
      <c r="BT357" s="1435"/>
      <c r="BU357" s="928"/>
      <c r="BV357" s="1338"/>
      <c r="BW357" s="1097"/>
      <c r="BX357" s="928"/>
      <c r="BY357" s="1210"/>
      <c r="BZ357" s="928"/>
      <c r="CA357" s="1097"/>
    </row>
    <row r="358" spans="1:85" x14ac:dyDescent="0.2">
      <c r="A358" s="195" t="s">
        <v>1052</v>
      </c>
      <c r="B358" s="196">
        <f t="shared" si="492"/>
        <v>1717</v>
      </c>
      <c r="C358" s="928"/>
      <c r="D358" s="928"/>
      <c r="E358" s="1396"/>
      <c r="F358" s="1396"/>
      <c r="G358" s="1396"/>
      <c r="H358" s="1396"/>
      <c r="I358" s="1396"/>
      <c r="J358" s="1396"/>
      <c r="K358" s="928"/>
      <c r="N358" s="928"/>
      <c r="O358" s="928"/>
      <c r="P358" s="928"/>
      <c r="Q358" s="928"/>
      <c r="R358" s="928"/>
      <c r="S358" s="1097"/>
      <c r="T358" s="1097"/>
      <c r="U358" s="928"/>
      <c r="V358" s="1097"/>
      <c r="W358" s="928"/>
      <c r="X358" s="928"/>
      <c r="Y358" s="928"/>
      <c r="Z358" s="928"/>
      <c r="AA358" s="928"/>
      <c r="AB358" s="928"/>
      <c r="AC358" s="928"/>
      <c r="AD358" s="928"/>
      <c r="AE358" s="928"/>
      <c r="AF358" s="928"/>
      <c r="AG358" s="928"/>
      <c r="AH358" s="928"/>
      <c r="AI358" s="928"/>
      <c r="AJ358" s="928"/>
      <c r="AK358" s="928"/>
      <c r="AL358" s="928"/>
      <c r="AM358" s="928"/>
      <c r="AN358" s="928"/>
      <c r="AO358" s="928"/>
      <c r="AP358" s="928"/>
      <c r="AQ358" s="928"/>
      <c r="AR358" s="928"/>
      <c r="AS358" s="928"/>
      <c r="AT358" s="928"/>
      <c r="AU358" s="928"/>
      <c r="AV358" s="928"/>
      <c r="AW358" s="928"/>
      <c r="AX358" s="928"/>
      <c r="AY358" s="1097"/>
      <c r="AZ358" s="1097"/>
      <c r="BA358" s="1097"/>
      <c r="BB358" s="1097"/>
      <c r="BC358" s="1097"/>
      <c r="BD358" s="1097">
        <f>225-30</f>
        <v>195</v>
      </c>
      <c r="BF358" s="1097"/>
      <c r="BH358" s="1097"/>
      <c r="BK358" s="1097"/>
      <c r="BL358" s="1097"/>
      <c r="BM358" s="1097"/>
      <c r="BP358" s="1097">
        <f>641+881</f>
        <v>1522</v>
      </c>
      <c r="BQ358" s="1097"/>
      <c r="BR358" s="1097"/>
      <c r="BS358" s="1097"/>
      <c r="BT358" s="1435"/>
      <c r="BU358" s="928"/>
      <c r="BV358" s="1338"/>
      <c r="BW358" s="1097"/>
      <c r="BX358" s="928"/>
      <c r="BY358" s="1210"/>
      <c r="BZ358" s="928"/>
      <c r="CA358" s="1097"/>
    </row>
    <row r="359" spans="1:85" x14ac:dyDescent="0.2">
      <c r="A359" s="195" t="s">
        <v>1414</v>
      </c>
      <c r="B359" s="196">
        <f t="shared" si="492"/>
        <v>253</v>
      </c>
      <c r="C359" s="928"/>
      <c r="D359" s="928"/>
      <c r="E359" s="1396"/>
      <c r="F359" s="1396"/>
      <c r="G359" s="1396"/>
      <c r="H359" s="1396"/>
      <c r="I359" s="1396"/>
      <c r="J359" s="1396"/>
      <c r="K359" s="928"/>
      <c r="N359" s="928"/>
      <c r="O359" s="928">
        <v>235</v>
      </c>
      <c r="P359" s="928"/>
      <c r="Q359" s="928"/>
      <c r="R359" s="928"/>
      <c r="S359" s="1097"/>
      <c r="T359" s="1097"/>
      <c r="U359" s="928"/>
      <c r="V359" s="1097"/>
      <c r="W359" s="928"/>
      <c r="X359" s="928"/>
      <c r="Y359" s="928"/>
      <c r="Z359" s="928"/>
      <c r="AA359" s="928"/>
      <c r="AB359" s="928"/>
      <c r="AC359" s="928"/>
      <c r="AD359" s="928"/>
      <c r="AE359" s="928"/>
      <c r="AF359" s="928"/>
      <c r="AG359" s="928"/>
      <c r="AH359" s="928"/>
      <c r="AI359" s="928"/>
      <c r="AJ359" s="928"/>
      <c r="AK359" s="928"/>
      <c r="AL359" s="928"/>
      <c r="AM359" s="928"/>
      <c r="AN359" s="928"/>
      <c r="AO359" s="928"/>
      <c r="AP359" s="928"/>
      <c r="AQ359" s="928"/>
      <c r="AR359" s="928"/>
      <c r="AS359" s="928"/>
      <c r="AT359" s="928"/>
      <c r="AU359" s="928"/>
      <c r="AV359" s="928"/>
      <c r="AW359" s="928"/>
      <c r="AX359" s="928"/>
      <c r="AY359" s="1097"/>
      <c r="AZ359" s="1097"/>
      <c r="BA359" s="1097"/>
      <c r="BB359" s="1097"/>
      <c r="BC359" s="1097">
        <v>18</v>
      </c>
      <c r="BD359" s="1097"/>
      <c r="BF359" s="1097"/>
      <c r="BH359" s="1097"/>
      <c r="BK359" s="1097"/>
      <c r="BL359" s="1097"/>
      <c r="BM359" s="1097"/>
      <c r="BP359" s="1097"/>
      <c r="BQ359" s="1097"/>
      <c r="BR359" s="1097"/>
      <c r="BS359" s="1097"/>
      <c r="BT359" s="1435"/>
      <c r="BU359" s="928"/>
      <c r="BV359" s="1338"/>
      <c r="BW359" s="1097"/>
      <c r="BX359" s="928"/>
      <c r="BY359" s="1210"/>
      <c r="BZ359" s="928"/>
      <c r="CA359" s="1097"/>
    </row>
    <row r="360" spans="1:85" s="201" customFormat="1" x14ac:dyDescent="0.2">
      <c r="A360" s="198" t="s">
        <v>926</v>
      </c>
      <c r="B360" s="199">
        <f t="shared" ref="B360:BO360" si="493">SUM(B348:B359)</f>
        <v>264320</v>
      </c>
      <c r="C360" s="1358">
        <f t="shared" si="493"/>
        <v>87731</v>
      </c>
      <c r="D360" s="1358">
        <f t="shared" si="493"/>
        <v>0</v>
      </c>
      <c r="E360" s="1407">
        <f t="shared" si="493"/>
        <v>0</v>
      </c>
      <c r="F360" s="1407">
        <f t="shared" si="493"/>
        <v>0</v>
      </c>
      <c r="G360" s="1407">
        <f t="shared" si="493"/>
        <v>279</v>
      </c>
      <c r="H360" s="1407">
        <f t="shared" si="493"/>
        <v>0</v>
      </c>
      <c r="I360" s="1407">
        <f t="shared" si="493"/>
        <v>0</v>
      </c>
      <c r="J360" s="1407">
        <f t="shared" si="493"/>
        <v>0</v>
      </c>
      <c r="K360" s="1358">
        <f t="shared" si="493"/>
        <v>0</v>
      </c>
      <c r="L360" s="199">
        <f t="shared" si="493"/>
        <v>0</v>
      </c>
      <c r="M360" s="199">
        <f t="shared" si="493"/>
        <v>0</v>
      </c>
      <c r="N360" s="1358">
        <f t="shared" si="493"/>
        <v>46464</v>
      </c>
      <c r="O360" s="1358">
        <f t="shared" si="493"/>
        <v>23462</v>
      </c>
      <c r="P360" s="1358">
        <f t="shared" si="493"/>
        <v>0</v>
      </c>
      <c r="Q360" s="1358">
        <f t="shared" si="493"/>
        <v>0</v>
      </c>
      <c r="R360" s="1358">
        <f t="shared" si="493"/>
        <v>0</v>
      </c>
      <c r="S360" s="1358">
        <f t="shared" si="493"/>
        <v>0</v>
      </c>
      <c r="T360" s="1358">
        <f t="shared" si="493"/>
        <v>11362</v>
      </c>
      <c r="U360" s="1358">
        <f t="shared" si="493"/>
        <v>5142</v>
      </c>
      <c r="V360" s="1358">
        <f t="shared" si="493"/>
        <v>0</v>
      </c>
      <c r="W360" s="1358">
        <f t="shared" si="493"/>
        <v>63416</v>
      </c>
      <c r="X360" s="1358">
        <f t="shared" si="493"/>
        <v>0</v>
      </c>
      <c r="Y360" s="199">
        <f t="shared" si="493"/>
        <v>0</v>
      </c>
      <c r="Z360" s="199">
        <f t="shared" si="493"/>
        <v>0</v>
      </c>
      <c r="AA360" s="1358">
        <f t="shared" si="493"/>
        <v>0</v>
      </c>
      <c r="AB360" s="1358">
        <f t="shared" si="493"/>
        <v>0</v>
      </c>
      <c r="AC360" s="1358">
        <f t="shared" si="493"/>
        <v>0</v>
      </c>
      <c r="AD360" s="1358">
        <f t="shared" si="493"/>
        <v>0</v>
      </c>
      <c r="AE360" s="1358">
        <f t="shared" si="493"/>
        <v>0</v>
      </c>
      <c r="AF360" s="1358">
        <f t="shared" si="493"/>
        <v>0</v>
      </c>
      <c r="AG360" s="1358">
        <f t="shared" si="493"/>
        <v>0</v>
      </c>
      <c r="AH360" s="1358">
        <f t="shared" si="493"/>
        <v>0</v>
      </c>
      <c r="AI360" s="1358">
        <f t="shared" si="493"/>
        <v>0</v>
      </c>
      <c r="AJ360" s="1358">
        <f t="shared" si="493"/>
        <v>0</v>
      </c>
      <c r="AK360" s="1358">
        <f t="shared" si="493"/>
        <v>0</v>
      </c>
      <c r="AL360" s="1358">
        <f t="shared" si="493"/>
        <v>0</v>
      </c>
      <c r="AM360" s="1358">
        <f t="shared" si="493"/>
        <v>0</v>
      </c>
      <c r="AN360" s="1358">
        <f t="shared" si="493"/>
        <v>0</v>
      </c>
      <c r="AO360" s="1358">
        <f t="shared" si="493"/>
        <v>0</v>
      </c>
      <c r="AP360" s="1358">
        <f t="shared" si="493"/>
        <v>0</v>
      </c>
      <c r="AQ360" s="1358">
        <f t="shared" si="493"/>
        <v>0</v>
      </c>
      <c r="AR360" s="1358">
        <f t="shared" si="493"/>
        <v>0</v>
      </c>
      <c r="AS360" s="1358">
        <f t="shared" si="493"/>
        <v>0</v>
      </c>
      <c r="AT360" s="1358">
        <f t="shared" si="493"/>
        <v>0</v>
      </c>
      <c r="AU360" s="1358">
        <f t="shared" si="493"/>
        <v>0</v>
      </c>
      <c r="AV360" s="1358">
        <f t="shared" si="493"/>
        <v>0</v>
      </c>
      <c r="AW360" s="1358">
        <f t="shared" si="493"/>
        <v>0</v>
      </c>
      <c r="AX360" s="1358">
        <f t="shared" si="493"/>
        <v>0</v>
      </c>
      <c r="AY360" s="1358">
        <f t="shared" si="493"/>
        <v>0</v>
      </c>
      <c r="AZ360" s="1358">
        <f t="shared" si="493"/>
        <v>418</v>
      </c>
      <c r="BA360" s="1358">
        <f t="shared" si="493"/>
        <v>0</v>
      </c>
      <c r="BB360" s="1358">
        <f t="shared" si="493"/>
        <v>0</v>
      </c>
      <c r="BC360" s="1358">
        <f t="shared" si="493"/>
        <v>18</v>
      </c>
      <c r="BD360" s="1358">
        <f t="shared" si="493"/>
        <v>195</v>
      </c>
      <c r="BE360" s="199">
        <f t="shared" si="493"/>
        <v>0</v>
      </c>
      <c r="BF360" s="1358">
        <f t="shared" si="493"/>
        <v>0</v>
      </c>
      <c r="BG360" s="199">
        <f t="shared" si="493"/>
        <v>0</v>
      </c>
      <c r="BH360" s="1358">
        <f t="shared" si="493"/>
        <v>0</v>
      </c>
      <c r="BI360" s="199">
        <f t="shared" si="493"/>
        <v>0</v>
      </c>
      <c r="BJ360" s="199">
        <f t="shared" si="493"/>
        <v>20293</v>
      </c>
      <c r="BK360" s="1358">
        <f t="shared" si="493"/>
        <v>0</v>
      </c>
      <c r="BL360" s="1358">
        <f t="shared" si="493"/>
        <v>0</v>
      </c>
      <c r="BM360" s="1358">
        <f t="shared" si="493"/>
        <v>0</v>
      </c>
      <c r="BN360" s="199">
        <f t="shared" si="493"/>
        <v>0</v>
      </c>
      <c r="BO360" s="199">
        <f t="shared" si="493"/>
        <v>0</v>
      </c>
      <c r="BP360" s="1358">
        <f>SUM(BP349:BP359)</f>
        <v>1522</v>
      </c>
      <c r="BQ360" s="1358">
        <f t="shared" ref="BQ360:CA360" si="494">SUM(BQ348:BQ359)</f>
        <v>4018</v>
      </c>
      <c r="BR360" s="1358">
        <f t="shared" si="494"/>
        <v>0</v>
      </c>
      <c r="BS360" s="1358">
        <f t="shared" si="494"/>
        <v>0</v>
      </c>
      <c r="BT360" s="1358">
        <f t="shared" si="494"/>
        <v>0</v>
      </c>
      <c r="BU360" s="1358">
        <f t="shared" si="494"/>
        <v>0</v>
      </c>
      <c r="BV360" s="1358">
        <f t="shared" si="494"/>
        <v>0</v>
      </c>
      <c r="BW360" s="1358">
        <f t="shared" si="494"/>
        <v>0</v>
      </c>
      <c r="BX360" s="1358">
        <f t="shared" si="494"/>
        <v>0</v>
      </c>
      <c r="BY360" s="1358">
        <f t="shared" si="494"/>
        <v>0</v>
      </c>
      <c r="BZ360" s="1358">
        <f t="shared" si="494"/>
        <v>0</v>
      </c>
      <c r="CA360" s="199">
        <f t="shared" si="494"/>
        <v>0</v>
      </c>
      <c r="CB360" s="199">
        <f t="shared" ref="CB360" si="495">SUM(CB348:CB359)</f>
        <v>0</v>
      </c>
      <c r="CC360" s="200"/>
      <c r="CD360" s="199">
        <f>SUM(CD348:CD358)</f>
        <v>0</v>
      </c>
      <c r="CE360" s="199">
        <f>SUM(CE348:CE358)</f>
        <v>0</v>
      </c>
      <c r="CF360" s="199">
        <f>SUM(CF348:CF358)</f>
        <v>0</v>
      </c>
      <c r="CG360" s="199">
        <f>SUM(CG348:CG358)</f>
        <v>0</v>
      </c>
    </row>
    <row r="361" spans="1:85" x14ac:dyDescent="0.2">
      <c r="B361" s="197"/>
      <c r="C361" s="1048"/>
      <c r="D361" s="1048"/>
      <c r="E361" s="1396"/>
      <c r="F361" s="1389"/>
      <c r="G361" s="1389"/>
      <c r="H361" s="1389"/>
      <c r="I361" s="1389"/>
      <c r="J361" s="1389"/>
      <c r="K361" s="1048"/>
      <c r="L361" s="197"/>
      <c r="M361" s="197"/>
      <c r="N361" s="1048"/>
      <c r="O361" s="1048"/>
      <c r="P361" s="1048"/>
      <c r="Q361" s="1048"/>
      <c r="R361" s="1048"/>
      <c r="S361" s="1139"/>
      <c r="T361" s="1139"/>
      <c r="U361" s="1048"/>
      <c r="V361" s="1301"/>
      <c r="W361" s="1048"/>
      <c r="X361" s="1048"/>
      <c r="Y361" s="1048"/>
      <c r="Z361" s="1048"/>
      <c r="AA361" s="1048"/>
      <c r="AB361" s="1048"/>
      <c r="AC361" s="1048"/>
      <c r="AD361" s="1048"/>
      <c r="AE361" s="1048"/>
      <c r="AF361" s="1048"/>
      <c r="AG361" s="1048"/>
      <c r="AH361" s="1048"/>
      <c r="AI361" s="1048"/>
      <c r="AJ361" s="1048"/>
      <c r="AK361" s="1048"/>
      <c r="AL361" s="1048"/>
      <c r="AM361" s="1048"/>
      <c r="AN361" s="1048"/>
      <c r="AO361" s="1048"/>
      <c r="AP361" s="1048"/>
      <c r="AQ361" s="1048"/>
      <c r="AR361" s="1048"/>
      <c r="AS361" s="1048"/>
      <c r="AT361" s="1048"/>
      <c r="AU361" s="1048"/>
      <c r="AV361" s="1048"/>
      <c r="AW361" s="1048"/>
      <c r="AX361" s="1048"/>
      <c r="AY361" s="1301"/>
      <c r="AZ361" s="1301"/>
      <c r="BA361" s="1301"/>
      <c r="BB361" s="1301"/>
      <c r="BC361" s="1301"/>
      <c r="BD361" s="1139"/>
      <c r="BE361" s="197"/>
      <c r="BF361" s="1139"/>
      <c r="BG361" s="197"/>
      <c r="BH361" s="1139"/>
      <c r="BI361" s="197"/>
      <c r="BJ361" s="197"/>
      <c r="BK361" s="1322"/>
      <c r="BL361" s="1322"/>
      <c r="BM361" s="1139"/>
      <c r="BN361" s="197"/>
      <c r="BO361" s="197"/>
      <c r="BP361" s="1139"/>
      <c r="BQ361" s="1139"/>
      <c r="BR361" s="1139"/>
      <c r="BS361" s="1139"/>
      <c r="BT361" s="1048"/>
      <c r="BU361" s="1048"/>
      <c r="BV361" s="1048"/>
      <c r="BW361" s="1139"/>
      <c r="BX361" s="1048"/>
      <c r="BY361" s="1211"/>
      <c r="BZ361" s="1048"/>
      <c r="CA361" s="1139"/>
      <c r="CB361" s="197"/>
      <c r="CD361" s="197"/>
      <c r="CE361" s="197"/>
      <c r="CF361" s="197"/>
      <c r="CG361" s="197"/>
    </row>
    <row r="362" spans="1:85" s="192" customFormat="1" x14ac:dyDescent="0.2">
      <c r="A362" s="193" t="s">
        <v>927</v>
      </c>
      <c r="B362" s="194"/>
      <c r="C362" s="1049"/>
      <c r="D362" s="1049"/>
      <c r="E362" s="1408"/>
      <c r="F362" s="1409"/>
      <c r="G362" s="1409"/>
      <c r="H362" s="1409"/>
      <c r="I362" s="1409"/>
      <c r="J362" s="1409"/>
      <c r="K362" s="1049"/>
      <c r="L362" s="194"/>
      <c r="M362" s="194"/>
      <c r="N362" s="1049"/>
      <c r="O362" s="1049"/>
      <c r="P362" s="1049"/>
      <c r="Q362" s="1049"/>
      <c r="R362" s="1049"/>
      <c r="S362" s="1140"/>
      <c r="T362" s="1140"/>
      <c r="U362" s="1049"/>
      <c r="V362" s="1302"/>
      <c r="W362" s="1049"/>
      <c r="X362" s="1049"/>
      <c r="Y362" s="1049"/>
      <c r="Z362" s="1049"/>
      <c r="AA362" s="1049"/>
      <c r="AB362" s="1049"/>
      <c r="AC362" s="1049"/>
      <c r="AD362" s="1049"/>
      <c r="AE362" s="1049"/>
      <c r="AF362" s="1049"/>
      <c r="AG362" s="1049"/>
      <c r="AH362" s="1049"/>
      <c r="AI362" s="1049"/>
      <c r="AJ362" s="1049"/>
      <c r="AK362" s="1049"/>
      <c r="AL362" s="1049"/>
      <c r="AM362" s="1049"/>
      <c r="AN362" s="1049"/>
      <c r="AO362" s="1049"/>
      <c r="AP362" s="1049"/>
      <c r="AQ362" s="1049"/>
      <c r="AR362" s="1049"/>
      <c r="AS362" s="1049"/>
      <c r="AT362" s="1049"/>
      <c r="AU362" s="1049"/>
      <c r="AV362" s="1049"/>
      <c r="AW362" s="1049"/>
      <c r="AX362" s="1049"/>
      <c r="AY362" s="1302"/>
      <c r="AZ362" s="1302"/>
      <c r="BA362" s="1302"/>
      <c r="BB362" s="1302"/>
      <c r="BC362" s="1302"/>
      <c r="BD362" s="1140"/>
      <c r="BE362" s="194"/>
      <c r="BF362" s="1140"/>
      <c r="BG362" s="194"/>
      <c r="BH362" s="1140"/>
      <c r="BI362" s="194"/>
      <c r="BJ362" s="194"/>
      <c r="BK362" s="1323"/>
      <c r="BL362" s="1323"/>
      <c r="BM362" s="1140"/>
      <c r="BN362" s="194"/>
      <c r="BO362" s="194"/>
      <c r="BP362" s="1140"/>
      <c r="BQ362" s="1140"/>
      <c r="BR362" s="1140"/>
      <c r="BS362" s="1140"/>
      <c r="BT362" s="1049"/>
      <c r="BU362" s="1049"/>
      <c r="BV362" s="1049"/>
      <c r="BW362" s="1140"/>
      <c r="BX362" s="1049"/>
      <c r="BY362" s="1212"/>
      <c r="BZ362" s="1049"/>
      <c r="CA362" s="1140"/>
      <c r="CB362" s="194"/>
      <c r="CC362" s="191"/>
      <c r="CD362" s="194"/>
      <c r="CE362" s="194"/>
      <c r="CF362" s="194"/>
      <c r="CG362" s="194"/>
    </row>
    <row r="363" spans="1:85" x14ac:dyDescent="0.2">
      <c r="A363" s="195" t="s">
        <v>953</v>
      </c>
      <c r="B363" s="196">
        <f t="shared" ref="B363:B374" si="496">SUM(C363:CB363)</f>
        <v>11934</v>
      </c>
      <c r="C363" s="928">
        <v>501</v>
      </c>
      <c r="D363" s="928"/>
      <c r="E363" s="1389">
        <v>900</v>
      </c>
      <c r="F363" s="1396">
        <v>7917</v>
      </c>
      <c r="G363" s="1396"/>
      <c r="H363" s="1396"/>
      <c r="I363" s="1396"/>
      <c r="J363" s="1396"/>
      <c r="K363" s="928"/>
      <c r="N363" s="928"/>
      <c r="O363" s="928">
        <v>6</v>
      </c>
      <c r="P363" s="928"/>
      <c r="Q363" s="928"/>
      <c r="R363" s="928"/>
      <c r="S363" s="1097"/>
      <c r="T363" s="1097"/>
      <c r="U363" s="928"/>
      <c r="V363" s="1097"/>
      <c r="W363" s="928"/>
      <c r="X363" s="928"/>
      <c r="Y363" s="928"/>
      <c r="Z363" s="928"/>
      <c r="AA363" s="928"/>
      <c r="AB363" s="928"/>
      <c r="AC363" s="928"/>
      <c r="AD363" s="928"/>
      <c r="AE363" s="928"/>
      <c r="AF363" s="928"/>
      <c r="AG363" s="928"/>
      <c r="AH363" s="928"/>
      <c r="AI363" s="928"/>
      <c r="AJ363" s="928"/>
      <c r="AK363" s="928"/>
      <c r="AL363" s="928"/>
      <c r="AM363" s="928"/>
      <c r="AN363" s="928"/>
      <c r="AO363" s="928"/>
      <c r="AP363" s="928"/>
      <c r="AQ363" s="928"/>
      <c r="AR363" s="928"/>
      <c r="AS363" s="928"/>
      <c r="AT363" s="928"/>
      <c r="AU363" s="928"/>
      <c r="AV363" s="928"/>
      <c r="AW363" s="928"/>
      <c r="AX363" s="928"/>
      <c r="AY363" s="1097"/>
      <c r="AZ363" s="1097"/>
      <c r="BA363" s="1097"/>
      <c r="BB363" s="1097"/>
      <c r="BC363" s="1097"/>
      <c r="BD363" s="1097"/>
      <c r="BF363" s="1097"/>
      <c r="BH363" s="1097"/>
      <c r="BK363" s="1097"/>
      <c r="BL363" s="1097"/>
      <c r="BM363" s="1097"/>
      <c r="BP363" s="1097">
        <v>2610</v>
      </c>
      <c r="BQ363" s="1097"/>
      <c r="BR363" s="1097"/>
      <c r="BS363" s="1097"/>
      <c r="BT363" s="1435"/>
      <c r="BU363" s="928"/>
      <c r="BV363" s="1338"/>
      <c r="BW363" s="1097"/>
      <c r="BX363" s="928"/>
      <c r="BY363" s="1210"/>
      <c r="BZ363" s="928"/>
      <c r="CA363" s="1097"/>
    </row>
    <row r="364" spans="1:85" x14ac:dyDescent="0.2">
      <c r="A364" s="195" t="s">
        <v>954</v>
      </c>
      <c r="B364" s="196">
        <f t="shared" si="496"/>
        <v>24683</v>
      </c>
      <c r="C364" s="928">
        <v>6173</v>
      </c>
      <c r="D364" s="928"/>
      <c r="E364" s="1396">
        <v>3737</v>
      </c>
      <c r="F364" s="1396">
        <v>13136</v>
      </c>
      <c r="G364" s="1396"/>
      <c r="H364" s="1396">
        <v>1228</v>
      </c>
      <c r="I364" s="1396"/>
      <c r="J364" s="1396"/>
      <c r="K364" s="928"/>
      <c r="N364" s="928"/>
      <c r="O364" s="928">
        <v>409</v>
      </c>
      <c r="P364" s="928"/>
      <c r="Q364" s="928"/>
      <c r="R364" s="928"/>
      <c r="S364" s="1097"/>
      <c r="T364" s="1097"/>
      <c r="U364" s="928"/>
      <c r="V364" s="1097"/>
      <c r="W364" s="928"/>
      <c r="X364" s="928"/>
      <c r="Y364" s="928"/>
      <c r="Z364" s="928"/>
      <c r="AA364" s="928"/>
      <c r="AB364" s="928"/>
      <c r="AC364" s="928"/>
      <c r="AD364" s="928"/>
      <c r="AE364" s="928"/>
      <c r="AF364" s="928"/>
      <c r="AG364" s="928"/>
      <c r="AH364" s="928"/>
      <c r="AI364" s="928"/>
      <c r="AJ364" s="928"/>
      <c r="AK364" s="928"/>
      <c r="AL364" s="928"/>
      <c r="AM364" s="928"/>
      <c r="AN364" s="928"/>
      <c r="AO364" s="928"/>
      <c r="AP364" s="928"/>
      <c r="AQ364" s="928"/>
      <c r="AR364" s="928"/>
      <c r="AS364" s="928"/>
      <c r="AT364" s="928"/>
      <c r="AU364" s="928"/>
      <c r="AV364" s="928"/>
      <c r="AW364" s="928"/>
      <c r="AX364" s="928"/>
      <c r="AY364" s="1097"/>
      <c r="AZ364" s="1097"/>
      <c r="BA364" s="1097"/>
      <c r="BB364" s="1097"/>
      <c r="BC364" s="1097"/>
      <c r="BD364" s="1097"/>
      <c r="BF364" s="1097"/>
      <c r="BH364" s="1097"/>
      <c r="BK364" s="1097"/>
      <c r="BL364" s="1097"/>
      <c r="BM364" s="1097"/>
      <c r="BP364" s="1097"/>
      <c r="BQ364" s="1097"/>
      <c r="BR364" s="1097"/>
      <c r="BS364" s="1097"/>
      <c r="BT364" s="1435"/>
      <c r="BU364" s="928"/>
      <c r="BV364" s="1338"/>
      <c r="BW364" s="1097"/>
      <c r="BX364" s="928"/>
      <c r="BY364" s="1210"/>
      <c r="BZ364" s="928"/>
      <c r="CA364" s="1097"/>
    </row>
    <row r="365" spans="1:85" x14ac:dyDescent="0.2">
      <c r="A365" s="195" t="s">
        <v>955</v>
      </c>
      <c r="B365" s="196">
        <f t="shared" si="496"/>
        <v>7052</v>
      </c>
      <c r="C365" s="928">
        <v>5098</v>
      </c>
      <c r="D365" s="928"/>
      <c r="E365" s="1396">
        <v>1954</v>
      </c>
      <c r="F365" s="1396"/>
      <c r="G365" s="1396"/>
      <c r="H365" s="1396"/>
      <c r="I365" s="1396"/>
      <c r="J365" s="1396"/>
      <c r="K365" s="928"/>
      <c r="N365" s="928"/>
      <c r="O365" s="928"/>
      <c r="P365" s="928"/>
      <c r="Q365" s="928"/>
      <c r="R365" s="928"/>
      <c r="S365" s="1097"/>
      <c r="T365" s="1097"/>
      <c r="U365" s="928"/>
      <c r="V365" s="1097"/>
      <c r="W365" s="928"/>
      <c r="X365" s="928"/>
      <c r="Y365" s="928"/>
      <c r="Z365" s="928"/>
      <c r="AA365" s="928"/>
      <c r="AB365" s="928"/>
      <c r="AC365" s="928"/>
      <c r="AD365" s="928"/>
      <c r="AE365" s="928"/>
      <c r="AF365" s="928"/>
      <c r="AG365" s="928"/>
      <c r="AH365" s="928"/>
      <c r="AI365" s="928"/>
      <c r="AJ365" s="928"/>
      <c r="AK365" s="928"/>
      <c r="AL365" s="928"/>
      <c r="AM365" s="928"/>
      <c r="AN365" s="928"/>
      <c r="AO365" s="928"/>
      <c r="AP365" s="928"/>
      <c r="AQ365" s="928"/>
      <c r="AR365" s="928"/>
      <c r="AS365" s="928"/>
      <c r="AT365" s="928"/>
      <c r="AU365" s="928"/>
      <c r="AV365" s="928"/>
      <c r="AW365" s="928"/>
      <c r="AX365" s="928"/>
      <c r="AY365" s="1097"/>
      <c r="AZ365" s="1097"/>
      <c r="BA365" s="1097"/>
      <c r="BB365" s="1097"/>
      <c r="BC365" s="1097"/>
      <c r="BD365" s="1097"/>
      <c r="BF365" s="1097"/>
      <c r="BH365" s="1097"/>
      <c r="BK365" s="1097"/>
      <c r="BL365" s="1097"/>
      <c r="BM365" s="1097"/>
      <c r="BP365" s="1097"/>
      <c r="BQ365" s="1097"/>
      <c r="BR365" s="1097"/>
      <c r="BS365" s="1097"/>
      <c r="BT365" s="1435"/>
      <c r="BU365" s="928"/>
      <c r="BV365" s="1338"/>
      <c r="BW365" s="1097"/>
      <c r="BX365" s="928"/>
      <c r="BY365" s="1210"/>
      <c r="BZ365" s="928"/>
      <c r="CA365" s="1097"/>
    </row>
    <row r="366" spans="1:85" x14ac:dyDescent="0.2">
      <c r="A366" s="195" t="s">
        <v>958</v>
      </c>
      <c r="B366" s="196">
        <f t="shared" si="496"/>
        <v>0</v>
      </c>
      <c r="C366" s="928"/>
      <c r="D366" s="928"/>
      <c r="E366" s="1396"/>
      <c r="F366" s="1396"/>
      <c r="G366" s="1396"/>
      <c r="H366" s="1396"/>
      <c r="I366" s="1396"/>
      <c r="J366" s="1396"/>
      <c r="K366" s="928"/>
      <c r="N366" s="928"/>
      <c r="O366" s="928"/>
      <c r="P366" s="928"/>
      <c r="Q366" s="928"/>
      <c r="R366" s="928"/>
      <c r="S366" s="1097"/>
      <c r="T366" s="1097"/>
      <c r="U366" s="928"/>
      <c r="V366" s="1097"/>
      <c r="W366" s="928"/>
      <c r="X366" s="928"/>
      <c r="Y366" s="928"/>
      <c r="Z366" s="928"/>
      <c r="AA366" s="928"/>
      <c r="AB366" s="928"/>
      <c r="AC366" s="928"/>
      <c r="AD366" s="928"/>
      <c r="AE366" s="928"/>
      <c r="AF366" s="928"/>
      <c r="AG366" s="928"/>
      <c r="AH366" s="928"/>
      <c r="AI366" s="928"/>
      <c r="AJ366" s="928"/>
      <c r="AK366" s="928"/>
      <c r="AL366" s="928"/>
      <c r="AM366" s="928"/>
      <c r="AN366" s="928"/>
      <c r="AO366" s="928"/>
      <c r="AP366" s="928"/>
      <c r="AQ366" s="928"/>
      <c r="AR366" s="928"/>
      <c r="AS366" s="928"/>
      <c r="AT366" s="928"/>
      <c r="AU366" s="928"/>
      <c r="AV366" s="928"/>
      <c r="AW366" s="928"/>
      <c r="AX366" s="928"/>
      <c r="AY366" s="1097"/>
      <c r="AZ366" s="1097"/>
      <c r="BA366" s="1097"/>
      <c r="BB366" s="1097"/>
      <c r="BC366" s="1097"/>
      <c r="BD366" s="1097"/>
      <c r="BF366" s="1097"/>
      <c r="BH366" s="1097"/>
      <c r="BK366" s="1097"/>
      <c r="BL366" s="1097"/>
      <c r="BM366" s="1097"/>
      <c r="BP366" s="1097"/>
      <c r="BQ366" s="1097"/>
      <c r="BR366" s="1097"/>
      <c r="BS366" s="1097"/>
      <c r="BT366" s="1435"/>
      <c r="BU366" s="928"/>
      <c r="BV366" s="1338"/>
      <c r="BW366" s="1097"/>
      <c r="BX366" s="928"/>
      <c r="BY366" s="1210"/>
      <c r="BZ366" s="928"/>
      <c r="CA366" s="1097"/>
    </row>
    <row r="367" spans="1:85" x14ac:dyDescent="0.2">
      <c r="A367" s="195" t="s">
        <v>956</v>
      </c>
      <c r="B367" s="196">
        <f t="shared" si="496"/>
        <v>50758</v>
      </c>
      <c r="C367" s="928">
        <v>11230</v>
      </c>
      <c r="D367" s="928"/>
      <c r="E367" s="1396">
        <v>20100</v>
      </c>
      <c r="F367" s="1396">
        <v>19131</v>
      </c>
      <c r="G367" s="1396"/>
      <c r="H367" s="1396"/>
      <c r="I367" s="1396"/>
      <c r="J367" s="1396"/>
      <c r="K367" s="928"/>
      <c r="N367" s="928"/>
      <c r="O367" s="928">
        <v>297</v>
      </c>
      <c r="P367" s="928"/>
      <c r="Q367" s="928"/>
      <c r="R367" s="928"/>
      <c r="S367" s="1097"/>
      <c r="T367" s="1097"/>
      <c r="U367" s="928"/>
      <c r="V367" s="1097"/>
      <c r="W367" s="928"/>
      <c r="X367" s="928"/>
      <c r="Y367" s="928"/>
      <c r="Z367" s="928"/>
      <c r="AA367" s="928"/>
      <c r="AB367" s="928"/>
      <c r="AC367" s="928"/>
      <c r="AD367" s="928"/>
      <c r="AE367" s="928"/>
      <c r="AF367" s="928"/>
      <c r="AG367" s="928"/>
      <c r="AH367" s="928"/>
      <c r="AI367" s="928"/>
      <c r="AJ367" s="928"/>
      <c r="AK367" s="928"/>
      <c r="AL367" s="928"/>
      <c r="AM367" s="928"/>
      <c r="AN367" s="928"/>
      <c r="AO367" s="928"/>
      <c r="AP367" s="928"/>
      <c r="AQ367" s="928"/>
      <c r="AR367" s="928"/>
      <c r="AS367" s="928"/>
      <c r="AT367" s="928"/>
      <c r="AU367" s="928"/>
      <c r="AV367" s="928"/>
      <c r="AW367" s="928"/>
      <c r="AX367" s="928"/>
      <c r="AY367" s="1097"/>
      <c r="AZ367" s="1097"/>
      <c r="BA367" s="1097"/>
      <c r="BB367" s="1097"/>
      <c r="BC367" s="1097"/>
      <c r="BD367" s="1097"/>
      <c r="BF367" s="1097"/>
      <c r="BH367" s="1097"/>
      <c r="BK367" s="1097"/>
      <c r="BL367" s="1097"/>
      <c r="BM367" s="1097"/>
      <c r="BP367" s="1097"/>
      <c r="BQ367" s="1097"/>
      <c r="BR367" s="1097"/>
      <c r="BS367" s="1097"/>
      <c r="BT367" s="1435"/>
      <c r="BU367" s="928"/>
      <c r="BV367" s="1338"/>
      <c r="BW367" s="1097"/>
      <c r="BX367" s="928"/>
      <c r="BY367" s="1210"/>
      <c r="BZ367" s="928"/>
      <c r="CA367" s="1097"/>
    </row>
    <row r="368" spans="1:85" x14ac:dyDescent="0.2">
      <c r="A368" s="195" t="s">
        <v>961</v>
      </c>
      <c r="B368" s="196">
        <f t="shared" si="496"/>
        <v>5998</v>
      </c>
      <c r="C368" s="928"/>
      <c r="D368" s="928"/>
      <c r="E368" s="1396">
        <v>3412</v>
      </c>
      <c r="F368" s="1396">
        <v>624</v>
      </c>
      <c r="G368" s="1396">
        <v>330</v>
      </c>
      <c r="H368" s="1396"/>
      <c r="I368" s="1396"/>
      <c r="J368" s="1396"/>
      <c r="K368" s="928"/>
      <c r="N368" s="928"/>
      <c r="O368" s="928">
        <v>1632</v>
      </c>
      <c r="P368" s="928"/>
      <c r="Q368" s="928"/>
      <c r="R368" s="928"/>
      <c r="S368" s="1097"/>
      <c r="T368" s="1097"/>
      <c r="U368" s="928"/>
      <c r="V368" s="1097"/>
      <c r="W368" s="928"/>
      <c r="X368" s="928"/>
      <c r="Y368" s="928"/>
      <c r="Z368" s="928"/>
      <c r="AA368" s="928"/>
      <c r="AB368" s="928"/>
      <c r="AC368" s="928"/>
      <c r="AD368" s="928"/>
      <c r="AE368" s="928"/>
      <c r="AF368" s="928"/>
      <c r="AG368" s="928"/>
      <c r="AH368" s="928"/>
      <c r="AI368" s="928"/>
      <c r="AJ368" s="928"/>
      <c r="AK368" s="928"/>
      <c r="AL368" s="928"/>
      <c r="AM368" s="928"/>
      <c r="AN368" s="928"/>
      <c r="AO368" s="928"/>
      <c r="AP368" s="928"/>
      <c r="AQ368" s="928"/>
      <c r="AR368" s="928"/>
      <c r="AS368" s="928"/>
      <c r="AT368" s="928"/>
      <c r="AU368" s="928"/>
      <c r="AV368" s="928"/>
      <c r="AW368" s="928"/>
      <c r="AX368" s="928"/>
      <c r="AY368" s="1097"/>
      <c r="AZ368" s="1097"/>
      <c r="BA368" s="1097"/>
      <c r="BB368" s="1097"/>
      <c r="BC368" s="1097"/>
      <c r="BD368" s="1097"/>
      <c r="BF368" s="1097"/>
      <c r="BH368" s="1097"/>
      <c r="BK368" s="1097"/>
      <c r="BL368" s="1097"/>
      <c r="BM368" s="1097"/>
      <c r="BP368" s="1097"/>
      <c r="BQ368" s="1097"/>
      <c r="BR368" s="1097"/>
      <c r="BS368" s="1097"/>
      <c r="BT368" s="1435"/>
      <c r="BU368" s="928"/>
      <c r="BV368" s="1338"/>
      <c r="BW368" s="1097"/>
      <c r="BX368" s="928"/>
      <c r="BY368" s="1210"/>
      <c r="BZ368" s="928"/>
      <c r="CA368" s="1097"/>
    </row>
    <row r="369" spans="1:85" x14ac:dyDescent="0.2">
      <c r="A369" s="195" t="s">
        <v>960</v>
      </c>
      <c r="B369" s="196">
        <f t="shared" si="496"/>
        <v>15910</v>
      </c>
      <c r="C369" s="928"/>
      <c r="D369" s="928"/>
      <c r="E369" s="1396"/>
      <c r="F369" s="1396">
        <v>2</v>
      </c>
      <c r="G369" s="1396"/>
      <c r="H369" s="1396"/>
      <c r="I369" s="1396"/>
      <c r="J369" s="1396"/>
      <c r="K369" s="928"/>
      <c r="N369" s="928">
        <f>15908</f>
        <v>15908</v>
      </c>
      <c r="O369" s="928">
        <v>0</v>
      </c>
      <c r="P369" s="928"/>
      <c r="Q369" s="928"/>
      <c r="R369" s="928"/>
      <c r="S369" s="1097"/>
      <c r="T369" s="1097"/>
      <c r="U369" s="928"/>
      <c r="V369" s="1097"/>
      <c r="W369" s="928"/>
      <c r="X369" s="928"/>
      <c r="Y369" s="928"/>
      <c r="Z369" s="928"/>
      <c r="AA369" s="928"/>
      <c r="AB369" s="928"/>
      <c r="AC369" s="928"/>
      <c r="AD369" s="928"/>
      <c r="AE369" s="928"/>
      <c r="AF369" s="928"/>
      <c r="AG369" s="928"/>
      <c r="AH369" s="928"/>
      <c r="AI369" s="928"/>
      <c r="AJ369" s="928"/>
      <c r="AK369" s="928"/>
      <c r="AL369" s="928"/>
      <c r="AM369" s="928"/>
      <c r="AN369" s="928"/>
      <c r="AO369" s="928"/>
      <c r="AP369" s="928"/>
      <c r="AQ369" s="928"/>
      <c r="AR369" s="928"/>
      <c r="AS369" s="928"/>
      <c r="AT369" s="928"/>
      <c r="AU369" s="928"/>
      <c r="AV369" s="928"/>
      <c r="AW369" s="928"/>
      <c r="AX369" s="928"/>
      <c r="AY369" s="1097"/>
      <c r="AZ369" s="1097"/>
      <c r="BA369" s="1097"/>
      <c r="BB369" s="1097"/>
      <c r="BC369" s="1097"/>
      <c r="BD369" s="1097"/>
      <c r="BF369" s="1097"/>
      <c r="BH369" s="1097"/>
      <c r="BK369" s="1097"/>
      <c r="BL369" s="1097"/>
      <c r="BM369" s="1097"/>
      <c r="BP369" s="1097"/>
      <c r="BQ369" s="1097"/>
      <c r="BR369" s="1097"/>
      <c r="BS369" s="1097"/>
      <c r="BT369" s="1435"/>
      <c r="BU369" s="928"/>
      <c r="BV369" s="1338"/>
      <c r="BW369" s="1097"/>
      <c r="BX369" s="928"/>
      <c r="BY369" s="1210"/>
      <c r="BZ369" s="928"/>
      <c r="CA369" s="1097"/>
    </row>
    <row r="370" spans="1:85" x14ac:dyDescent="0.2">
      <c r="A370" s="195" t="s">
        <v>963</v>
      </c>
      <c r="B370" s="196">
        <f t="shared" si="496"/>
        <v>33692</v>
      </c>
      <c r="C370" s="928">
        <v>2243</v>
      </c>
      <c r="D370" s="928"/>
      <c r="E370" s="1396">
        <v>10394</v>
      </c>
      <c r="F370" s="1396">
        <v>1359</v>
      </c>
      <c r="G370" s="1396">
        <v>14966</v>
      </c>
      <c r="H370" s="1396"/>
      <c r="I370" s="1396">
        <v>2819</v>
      </c>
      <c r="J370" s="1396"/>
      <c r="K370" s="928"/>
      <c r="N370" s="928"/>
      <c r="O370" s="928">
        <v>48</v>
      </c>
      <c r="P370" s="928"/>
      <c r="Q370" s="928"/>
      <c r="R370" s="928"/>
      <c r="S370" s="1097"/>
      <c r="T370" s="1097"/>
      <c r="U370" s="928"/>
      <c r="V370" s="1097"/>
      <c r="W370" s="928"/>
      <c r="X370" s="928"/>
      <c r="Y370" s="928"/>
      <c r="Z370" s="928"/>
      <c r="AA370" s="928"/>
      <c r="AB370" s="928"/>
      <c r="AC370" s="928"/>
      <c r="AD370" s="928"/>
      <c r="AE370" s="928"/>
      <c r="AF370" s="928"/>
      <c r="AG370" s="928"/>
      <c r="AH370" s="928"/>
      <c r="AI370" s="928"/>
      <c r="AJ370" s="928"/>
      <c r="AK370" s="928"/>
      <c r="AL370" s="928"/>
      <c r="AM370" s="928"/>
      <c r="AN370" s="928"/>
      <c r="AO370" s="928"/>
      <c r="AP370" s="928"/>
      <c r="AQ370" s="928"/>
      <c r="AR370" s="928"/>
      <c r="AS370" s="928"/>
      <c r="AT370" s="928"/>
      <c r="AU370" s="928"/>
      <c r="AV370" s="928"/>
      <c r="AW370" s="928"/>
      <c r="AX370" s="928"/>
      <c r="AY370" s="1097"/>
      <c r="AZ370" s="1097"/>
      <c r="BA370" s="1097"/>
      <c r="BB370" s="1097"/>
      <c r="BC370" s="1097"/>
      <c r="BD370" s="1097"/>
      <c r="BF370" s="1097"/>
      <c r="BH370" s="1097"/>
      <c r="BK370" s="1097"/>
      <c r="BL370" s="1097"/>
      <c r="BM370" s="1097"/>
      <c r="BP370" s="1097"/>
      <c r="BQ370" s="1097"/>
      <c r="BR370" s="1097"/>
      <c r="BS370" s="1097">
        <v>1863</v>
      </c>
      <c r="BT370" s="1435"/>
      <c r="BU370" s="928"/>
      <c r="BV370" s="1338"/>
      <c r="BW370" s="1097"/>
      <c r="BX370" s="928"/>
      <c r="BY370" s="1210"/>
      <c r="BZ370" s="928"/>
      <c r="CA370" s="1097"/>
    </row>
    <row r="371" spans="1:85" x14ac:dyDescent="0.2">
      <c r="A371" s="195" t="s">
        <v>959</v>
      </c>
      <c r="B371" s="196">
        <f t="shared" si="496"/>
        <v>190596</v>
      </c>
      <c r="C371" s="928">
        <v>850</v>
      </c>
      <c r="D371" s="928"/>
      <c r="E371" s="1396">
        <f>26661-667</f>
        <v>25994</v>
      </c>
      <c r="F371" s="1396">
        <f>162198+2</f>
        <v>162200</v>
      </c>
      <c r="G371" s="1396">
        <v>1049</v>
      </c>
      <c r="H371" s="1396"/>
      <c r="I371" s="1396"/>
      <c r="J371" s="1396"/>
      <c r="K371" s="928"/>
      <c r="N371" s="928"/>
      <c r="O371" s="928">
        <v>503</v>
      </c>
      <c r="P371" s="928"/>
      <c r="Q371" s="928"/>
      <c r="R371" s="928"/>
      <c r="S371" s="1097"/>
      <c r="T371" s="1097"/>
      <c r="U371" s="928"/>
      <c r="V371" s="1097"/>
      <c r="W371" s="928"/>
      <c r="X371" s="928"/>
      <c r="Y371" s="928"/>
      <c r="Z371" s="928"/>
      <c r="AA371" s="928"/>
      <c r="AB371" s="928"/>
      <c r="AC371" s="928"/>
      <c r="AD371" s="928"/>
      <c r="AE371" s="928"/>
      <c r="AF371" s="928"/>
      <c r="AG371" s="928"/>
      <c r="AH371" s="928"/>
      <c r="AI371" s="928"/>
      <c r="AJ371" s="928"/>
      <c r="AK371" s="928"/>
      <c r="AL371" s="928"/>
      <c r="AM371" s="928"/>
      <c r="AN371" s="928"/>
      <c r="AO371" s="928"/>
      <c r="AP371" s="928"/>
      <c r="AQ371" s="928"/>
      <c r="AR371" s="928"/>
      <c r="AS371" s="928"/>
      <c r="AT371" s="928"/>
      <c r="AU371" s="928"/>
      <c r="AV371" s="928"/>
      <c r="AW371" s="928"/>
      <c r="AX371" s="928"/>
      <c r="AY371" s="1097"/>
      <c r="AZ371" s="1097"/>
      <c r="BA371" s="1097"/>
      <c r="BB371" s="1097"/>
      <c r="BC371" s="1097"/>
      <c r="BD371" s="1097"/>
      <c r="BF371" s="1097"/>
      <c r="BH371" s="1097"/>
      <c r="BK371" s="1097"/>
      <c r="BL371" s="1097"/>
      <c r="BM371" s="1097"/>
      <c r="BP371" s="1097"/>
      <c r="BQ371" s="1097"/>
      <c r="BR371" s="1097"/>
      <c r="BS371" s="1097"/>
      <c r="BT371" s="1435"/>
      <c r="BU371" s="928"/>
      <c r="BV371" s="1338"/>
      <c r="BW371" s="1097"/>
      <c r="BX371" s="928"/>
      <c r="BY371" s="1210"/>
      <c r="BZ371" s="928"/>
      <c r="CA371" s="1097"/>
    </row>
    <row r="372" spans="1:85" x14ac:dyDescent="0.2">
      <c r="A372" s="195" t="s">
        <v>1191</v>
      </c>
      <c r="B372" s="196">
        <f t="shared" si="496"/>
        <v>3153</v>
      </c>
      <c r="C372" s="928"/>
      <c r="D372" s="928"/>
      <c r="E372" s="1396">
        <v>1</v>
      </c>
      <c r="F372" s="1396"/>
      <c r="G372" s="1396"/>
      <c r="H372" s="1396"/>
      <c r="I372" s="1396"/>
      <c r="J372" s="1396"/>
      <c r="K372" s="928"/>
      <c r="N372" s="928"/>
      <c r="O372" s="928">
        <v>229</v>
      </c>
      <c r="P372" s="928"/>
      <c r="Q372" s="928"/>
      <c r="R372" s="928"/>
      <c r="S372" s="1097"/>
      <c r="T372" s="1097"/>
      <c r="U372" s="928"/>
      <c r="V372" s="1097"/>
      <c r="W372" s="928"/>
      <c r="X372" s="928"/>
      <c r="Y372" s="928"/>
      <c r="Z372" s="928"/>
      <c r="AA372" s="928"/>
      <c r="AB372" s="928"/>
      <c r="AC372" s="928"/>
      <c r="AD372" s="928"/>
      <c r="AE372" s="928"/>
      <c r="AF372" s="928"/>
      <c r="AG372" s="928"/>
      <c r="AH372" s="928"/>
      <c r="AI372" s="928"/>
      <c r="AJ372" s="928"/>
      <c r="AK372" s="928"/>
      <c r="AL372" s="928"/>
      <c r="AM372" s="928"/>
      <c r="AN372" s="928"/>
      <c r="AO372" s="928"/>
      <c r="AP372" s="928"/>
      <c r="AQ372" s="928"/>
      <c r="AR372" s="928"/>
      <c r="AS372" s="928"/>
      <c r="AT372" s="928"/>
      <c r="AU372" s="928"/>
      <c r="AV372" s="928"/>
      <c r="AW372" s="928"/>
      <c r="AX372" s="928"/>
      <c r="AY372" s="1097"/>
      <c r="AZ372" s="1097"/>
      <c r="BA372" s="1097"/>
      <c r="BB372" s="1097"/>
      <c r="BC372" s="1097"/>
      <c r="BD372" s="1097"/>
      <c r="BF372" s="1097"/>
      <c r="BH372" s="1097"/>
      <c r="BK372" s="1097"/>
      <c r="BL372" s="1097"/>
      <c r="BM372" s="1097"/>
      <c r="BP372" s="1097"/>
      <c r="BQ372" s="1097">
        <v>2923</v>
      </c>
      <c r="BR372" s="1097"/>
      <c r="BS372" s="1097"/>
      <c r="BT372" s="1435"/>
      <c r="BU372" s="928"/>
      <c r="BV372" s="1338"/>
      <c r="BW372" s="1097"/>
      <c r="BX372" s="928"/>
      <c r="BY372" s="1210"/>
      <c r="BZ372" s="928"/>
      <c r="CA372" s="1097"/>
    </row>
    <row r="373" spans="1:85" x14ac:dyDescent="0.2">
      <c r="A373" s="195" t="s">
        <v>1052</v>
      </c>
      <c r="B373" s="196">
        <f t="shared" si="496"/>
        <v>9397</v>
      </c>
      <c r="C373" s="928"/>
      <c r="D373" s="928"/>
      <c r="E373" s="1396">
        <v>9397</v>
      </c>
      <c r="F373" s="1396"/>
      <c r="G373" s="1396"/>
      <c r="H373" s="1396"/>
      <c r="I373" s="1396"/>
      <c r="J373" s="1396"/>
      <c r="K373" s="928"/>
      <c r="N373" s="928"/>
      <c r="O373" s="928"/>
      <c r="P373" s="928"/>
      <c r="Q373" s="928"/>
      <c r="R373" s="928"/>
      <c r="S373" s="1097"/>
      <c r="T373" s="1097"/>
      <c r="U373" s="928"/>
      <c r="V373" s="1097"/>
      <c r="W373" s="928"/>
      <c r="X373" s="928"/>
      <c r="Y373" s="928"/>
      <c r="Z373" s="928"/>
      <c r="AA373" s="928"/>
      <c r="AB373" s="928"/>
      <c r="AC373" s="928"/>
      <c r="AD373" s="928"/>
      <c r="AE373" s="928"/>
      <c r="AF373" s="928"/>
      <c r="AG373" s="928"/>
      <c r="AH373" s="928"/>
      <c r="AI373" s="928"/>
      <c r="AJ373" s="928"/>
      <c r="AK373" s="928"/>
      <c r="AL373" s="928"/>
      <c r="AM373" s="928"/>
      <c r="AN373" s="928"/>
      <c r="AO373" s="928"/>
      <c r="AP373" s="928"/>
      <c r="AQ373" s="928"/>
      <c r="AR373" s="928"/>
      <c r="AS373" s="928"/>
      <c r="AT373" s="928"/>
      <c r="AU373" s="928"/>
      <c r="AV373" s="928"/>
      <c r="AW373" s="928"/>
      <c r="AX373" s="928"/>
      <c r="AY373" s="1097"/>
      <c r="AZ373" s="1097"/>
      <c r="BA373" s="1097"/>
      <c r="BB373" s="1097"/>
      <c r="BC373" s="1097"/>
      <c r="BD373" s="1097"/>
      <c r="BF373" s="1097"/>
      <c r="BH373" s="1097"/>
      <c r="BK373" s="1097"/>
      <c r="BL373" s="1097"/>
      <c r="BM373" s="1097"/>
      <c r="BP373" s="1097"/>
      <c r="BQ373" s="1097"/>
      <c r="BR373" s="1097"/>
      <c r="BS373" s="1097"/>
      <c r="BT373" s="1435"/>
      <c r="BU373" s="928"/>
      <c r="BV373" s="1338"/>
      <c r="BW373" s="1097"/>
      <c r="BX373" s="928"/>
      <c r="BY373" s="1210"/>
      <c r="BZ373" s="928"/>
      <c r="CA373" s="1097"/>
    </row>
    <row r="374" spans="1:85" x14ac:dyDescent="0.2">
      <c r="A374" s="195" t="s">
        <v>1414</v>
      </c>
      <c r="B374" s="196">
        <f t="shared" si="496"/>
        <v>401</v>
      </c>
      <c r="C374" s="928"/>
      <c r="D374" s="928"/>
      <c r="E374" s="1396"/>
      <c r="F374" s="1396"/>
      <c r="G374" s="1396"/>
      <c r="H374" s="1396"/>
      <c r="I374" s="1396"/>
      <c r="J374" s="1396"/>
      <c r="K374" s="928"/>
      <c r="N374" s="928"/>
      <c r="O374" s="928"/>
      <c r="P374" s="928"/>
      <c r="Q374" s="928"/>
      <c r="R374" s="928"/>
      <c r="S374" s="1097"/>
      <c r="T374" s="1097"/>
      <c r="U374" s="928"/>
      <c r="V374" s="1097"/>
      <c r="W374" s="928"/>
      <c r="X374" s="928"/>
      <c r="Y374" s="928"/>
      <c r="Z374" s="928"/>
      <c r="AA374" s="928"/>
      <c r="AB374" s="928"/>
      <c r="AC374" s="928"/>
      <c r="AD374" s="928"/>
      <c r="AE374" s="928"/>
      <c r="AF374" s="928"/>
      <c r="AG374" s="928"/>
      <c r="AH374" s="928"/>
      <c r="AI374" s="928"/>
      <c r="AJ374" s="928"/>
      <c r="AK374" s="928"/>
      <c r="AL374" s="928"/>
      <c r="AM374" s="928"/>
      <c r="AN374" s="928"/>
      <c r="AO374" s="928"/>
      <c r="AP374" s="928"/>
      <c r="AQ374" s="928"/>
      <c r="AR374" s="928"/>
      <c r="AS374" s="928"/>
      <c r="AT374" s="928"/>
      <c r="AU374" s="928"/>
      <c r="AV374" s="928"/>
      <c r="AW374" s="928"/>
      <c r="AX374" s="928"/>
      <c r="AY374" s="1097"/>
      <c r="AZ374" s="1097"/>
      <c r="BA374" s="1097"/>
      <c r="BB374" s="1097"/>
      <c r="BC374" s="1097">
        <v>401</v>
      </c>
      <c r="BD374" s="1097"/>
      <c r="BF374" s="1097"/>
      <c r="BH374" s="1097"/>
      <c r="BK374" s="1097"/>
      <c r="BL374" s="1097"/>
      <c r="BM374" s="1097"/>
      <c r="BP374" s="1097"/>
      <c r="BQ374" s="1097"/>
      <c r="BR374" s="1097"/>
      <c r="BS374" s="1097"/>
      <c r="BT374" s="1435"/>
      <c r="BU374" s="928"/>
      <c r="BV374" s="1338"/>
      <c r="BW374" s="1097"/>
      <c r="BX374" s="928"/>
      <c r="BY374" s="1210"/>
      <c r="BZ374" s="928"/>
      <c r="CA374" s="1097"/>
    </row>
    <row r="375" spans="1:85" s="201" customFormat="1" x14ac:dyDescent="0.2">
      <c r="A375" s="198" t="s">
        <v>928</v>
      </c>
      <c r="B375" s="199">
        <f t="shared" ref="B375:BO375" si="497">SUM(B363:B374)</f>
        <v>353574</v>
      </c>
      <c r="C375" s="1358">
        <f t="shared" si="497"/>
        <v>26095</v>
      </c>
      <c r="D375" s="1358">
        <f t="shared" si="497"/>
        <v>0</v>
      </c>
      <c r="E375" s="1407">
        <f t="shared" si="497"/>
        <v>75889</v>
      </c>
      <c r="F375" s="1407">
        <f t="shared" si="497"/>
        <v>204369</v>
      </c>
      <c r="G375" s="1407">
        <f t="shared" si="497"/>
        <v>16345</v>
      </c>
      <c r="H375" s="1407">
        <f t="shared" si="497"/>
        <v>1228</v>
      </c>
      <c r="I375" s="1407">
        <f t="shared" si="497"/>
        <v>2819</v>
      </c>
      <c r="J375" s="1407">
        <f t="shared" si="497"/>
        <v>0</v>
      </c>
      <c r="K375" s="1358">
        <f t="shared" si="497"/>
        <v>0</v>
      </c>
      <c r="L375" s="199">
        <f t="shared" si="497"/>
        <v>0</v>
      </c>
      <c r="M375" s="199">
        <f t="shared" si="497"/>
        <v>0</v>
      </c>
      <c r="N375" s="1358">
        <f t="shared" si="497"/>
        <v>15908</v>
      </c>
      <c r="O375" s="1358">
        <f t="shared" si="497"/>
        <v>3124</v>
      </c>
      <c r="P375" s="1358">
        <f t="shared" si="497"/>
        <v>0</v>
      </c>
      <c r="Q375" s="1358">
        <f t="shared" si="497"/>
        <v>0</v>
      </c>
      <c r="R375" s="1358">
        <f t="shared" si="497"/>
        <v>0</v>
      </c>
      <c r="S375" s="1358">
        <f t="shared" si="497"/>
        <v>0</v>
      </c>
      <c r="T375" s="1358">
        <f t="shared" si="497"/>
        <v>0</v>
      </c>
      <c r="U375" s="1358">
        <f t="shared" si="497"/>
        <v>0</v>
      </c>
      <c r="V375" s="1358">
        <f t="shared" si="497"/>
        <v>0</v>
      </c>
      <c r="W375" s="1358">
        <f t="shared" si="497"/>
        <v>0</v>
      </c>
      <c r="X375" s="1358">
        <f t="shared" si="497"/>
        <v>0</v>
      </c>
      <c r="Y375" s="199">
        <f t="shared" si="497"/>
        <v>0</v>
      </c>
      <c r="Z375" s="199">
        <f t="shared" si="497"/>
        <v>0</v>
      </c>
      <c r="AA375" s="1358">
        <f t="shared" si="497"/>
        <v>0</v>
      </c>
      <c r="AB375" s="1358">
        <f t="shared" si="497"/>
        <v>0</v>
      </c>
      <c r="AC375" s="1358">
        <f t="shared" si="497"/>
        <v>0</v>
      </c>
      <c r="AD375" s="1358">
        <f t="shared" si="497"/>
        <v>0</v>
      </c>
      <c r="AE375" s="1358">
        <f t="shared" si="497"/>
        <v>0</v>
      </c>
      <c r="AF375" s="1358">
        <f t="shared" si="497"/>
        <v>0</v>
      </c>
      <c r="AG375" s="1358">
        <f t="shared" si="497"/>
        <v>0</v>
      </c>
      <c r="AH375" s="1358">
        <f t="shared" si="497"/>
        <v>0</v>
      </c>
      <c r="AI375" s="1358">
        <f t="shared" si="497"/>
        <v>0</v>
      </c>
      <c r="AJ375" s="1358">
        <f t="shared" si="497"/>
        <v>0</v>
      </c>
      <c r="AK375" s="1358">
        <f t="shared" si="497"/>
        <v>0</v>
      </c>
      <c r="AL375" s="1358">
        <f t="shared" si="497"/>
        <v>0</v>
      </c>
      <c r="AM375" s="1358">
        <f t="shared" si="497"/>
        <v>0</v>
      </c>
      <c r="AN375" s="1358">
        <f t="shared" si="497"/>
        <v>0</v>
      </c>
      <c r="AO375" s="1358">
        <f t="shared" si="497"/>
        <v>0</v>
      </c>
      <c r="AP375" s="1358">
        <f t="shared" si="497"/>
        <v>0</v>
      </c>
      <c r="AQ375" s="1358">
        <f t="shared" si="497"/>
        <v>0</v>
      </c>
      <c r="AR375" s="1358">
        <f t="shared" si="497"/>
        <v>0</v>
      </c>
      <c r="AS375" s="1358">
        <f t="shared" si="497"/>
        <v>0</v>
      </c>
      <c r="AT375" s="1358">
        <f t="shared" si="497"/>
        <v>0</v>
      </c>
      <c r="AU375" s="1358">
        <f t="shared" si="497"/>
        <v>0</v>
      </c>
      <c r="AV375" s="1358">
        <f t="shared" si="497"/>
        <v>0</v>
      </c>
      <c r="AW375" s="1358">
        <f t="shared" si="497"/>
        <v>0</v>
      </c>
      <c r="AX375" s="1358">
        <f t="shared" si="497"/>
        <v>0</v>
      </c>
      <c r="AY375" s="1358">
        <f t="shared" si="497"/>
        <v>0</v>
      </c>
      <c r="AZ375" s="1358">
        <f t="shared" si="497"/>
        <v>0</v>
      </c>
      <c r="BA375" s="1358">
        <f t="shared" si="497"/>
        <v>0</v>
      </c>
      <c r="BB375" s="1358">
        <f t="shared" si="497"/>
        <v>0</v>
      </c>
      <c r="BC375" s="1358">
        <f t="shared" si="497"/>
        <v>401</v>
      </c>
      <c r="BD375" s="1358">
        <f t="shared" si="497"/>
        <v>0</v>
      </c>
      <c r="BE375" s="199">
        <f t="shared" si="497"/>
        <v>0</v>
      </c>
      <c r="BF375" s="1358">
        <f t="shared" si="497"/>
        <v>0</v>
      </c>
      <c r="BG375" s="199">
        <f t="shared" si="497"/>
        <v>0</v>
      </c>
      <c r="BH375" s="1358">
        <f t="shared" si="497"/>
        <v>0</v>
      </c>
      <c r="BI375" s="199">
        <f t="shared" si="497"/>
        <v>0</v>
      </c>
      <c r="BJ375" s="199">
        <f t="shared" si="497"/>
        <v>0</v>
      </c>
      <c r="BK375" s="1358">
        <f t="shared" si="497"/>
        <v>0</v>
      </c>
      <c r="BL375" s="1358">
        <f t="shared" si="497"/>
        <v>0</v>
      </c>
      <c r="BM375" s="1358">
        <f t="shared" si="497"/>
        <v>0</v>
      </c>
      <c r="BN375" s="199">
        <f t="shared" si="497"/>
        <v>0</v>
      </c>
      <c r="BO375" s="199">
        <f t="shared" si="497"/>
        <v>0</v>
      </c>
      <c r="BP375" s="1358">
        <f t="shared" ref="BP375:CA375" si="498">SUM(BP363:BP374)</f>
        <v>2610</v>
      </c>
      <c r="BQ375" s="1358">
        <f t="shared" si="498"/>
        <v>2923</v>
      </c>
      <c r="BR375" s="1358">
        <f t="shared" si="498"/>
        <v>0</v>
      </c>
      <c r="BS375" s="1358">
        <f t="shared" si="498"/>
        <v>1863</v>
      </c>
      <c r="BT375" s="1358">
        <f t="shared" si="498"/>
        <v>0</v>
      </c>
      <c r="BU375" s="1358">
        <f t="shared" si="498"/>
        <v>0</v>
      </c>
      <c r="BV375" s="1358">
        <f t="shared" si="498"/>
        <v>0</v>
      </c>
      <c r="BW375" s="1358">
        <f t="shared" si="498"/>
        <v>0</v>
      </c>
      <c r="BX375" s="1358">
        <f t="shared" si="498"/>
        <v>0</v>
      </c>
      <c r="BY375" s="1358">
        <f t="shared" si="498"/>
        <v>0</v>
      </c>
      <c r="BZ375" s="199">
        <f t="shared" si="498"/>
        <v>0</v>
      </c>
      <c r="CA375" s="199">
        <f t="shared" si="498"/>
        <v>0</v>
      </c>
      <c r="CB375" s="199">
        <f t="shared" ref="CB375:CC375" si="499">SUM(CB363:CB374)</f>
        <v>0</v>
      </c>
      <c r="CC375" s="199">
        <f t="shared" si="499"/>
        <v>0</v>
      </c>
      <c r="CD375" s="199">
        <f>SUM(CD363:CD373)</f>
        <v>0</v>
      </c>
      <c r="CE375" s="199">
        <f>SUM(CE363:CE373)</f>
        <v>0</v>
      </c>
      <c r="CF375" s="199">
        <f>SUM(CF363:CF373)</f>
        <v>0</v>
      </c>
      <c r="CG375" s="199">
        <f>SUM(CG363:CG373)</f>
        <v>0</v>
      </c>
    </row>
    <row r="376" spans="1:85" x14ac:dyDescent="0.2">
      <c r="B376" s="197"/>
      <c r="C376" s="1048"/>
      <c r="D376" s="1048"/>
      <c r="E376" s="1396"/>
      <c r="F376" s="1389"/>
      <c r="G376" s="1389"/>
      <c r="H376" s="1389"/>
      <c r="I376" s="1389"/>
      <c r="J376" s="1389"/>
      <c r="K376" s="1048"/>
      <c r="L376" s="197"/>
      <c r="M376" s="197"/>
      <c r="N376" s="1048"/>
      <c r="O376" s="1048"/>
      <c r="P376" s="1048"/>
      <c r="Q376" s="1048"/>
      <c r="R376" s="1048"/>
      <c r="S376" s="1139"/>
      <c r="T376" s="1139"/>
      <c r="U376" s="1048"/>
      <c r="V376" s="1301"/>
      <c r="W376" s="1048"/>
      <c r="X376" s="1048"/>
      <c r="Y376" s="1048"/>
      <c r="Z376" s="1048"/>
      <c r="AA376" s="1048"/>
      <c r="AB376" s="1048"/>
      <c r="AC376" s="1048"/>
      <c r="AD376" s="1048"/>
      <c r="AE376" s="1048"/>
      <c r="AF376" s="1048"/>
      <c r="AG376" s="1048"/>
      <c r="AH376" s="1048"/>
      <c r="AI376" s="1048"/>
      <c r="AJ376" s="1048"/>
      <c r="AK376" s="1048"/>
      <c r="AL376" s="1048"/>
      <c r="AM376" s="1048"/>
      <c r="AN376" s="1048"/>
      <c r="AO376" s="1048"/>
      <c r="AP376" s="1048"/>
      <c r="AQ376" s="1048"/>
      <c r="AR376" s="1048"/>
      <c r="AS376" s="1048"/>
      <c r="AT376" s="1048"/>
      <c r="AU376" s="1048"/>
      <c r="AV376" s="1048"/>
      <c r="AW376" s="1048"/>
      <c r="AX376" s="1048"/>
      <c r="AY376" s="1301"/>
      <c r="AZ376" s="1301"/>
      <c r="BA376" s="1301"/>
      <c r="BB376" s="1301"/>
      <c r="BC376" s="1301"/>
      <c r="BD376" s="1139"/>
      <c r="BE376" s="197"/>
      <c r="BF376" s="1139"/>
      <c r="BG376" s="197"/>
      <c r="BH376" s="1139"/>
      <c r="BI376" s="197"/>
      <c r="BJ376" s="197"/>
      <c r="BK376" s="1322"/>
      <c r="BL376" s="1322"/>
      <c r="BM376" s="1139"/>
      <c r="BN376" s="197"/>
      <c r="BO376" s="197"/>
      <c r="BP376" s="1139"/>
      <c r="BQ376" s="1139"/>
      <c r="BR376" s="1139"/>
      <c r="BS376" s="1139"/>
      <c r="BT376" s="1048"/>
      <c r="BU376" s="1048"/>
      <c r="BV376" s="1048"/>
      <c r="BW376" s="1139"/>
      <c r="BX376" s="1048"/>
      <c r="BY376" s="1211"/>
      <c r="BZ376" s="1048"/>
      <c r="CA376" s="197"/>
      <c r="CB376" s="197"/>
      <c r="CD376" s="197"/>
      <c r="CE376" s="197"/>
      <c r="CF376" s="197"/>
      <c r="CG376" s="197"/>
    </row>
    <row r="377" spans="1:85" s="192" customFormat="1" x14ac:dyDescent="0.2">
      <c r="A377" s="193" t="s">
        <v>929</v>
      </c>
      <c r="B377" s="194"/>
      <c r="C377" s="1049"/>
      <c r="D377" s="1049"/>
      <c r="E377" s="1408"/>
      <c r="F377" s="1409"/>
      <c r="G377" s="1409"/>
      <c r="H377" s="1409"/>
      <c r="I377" s="1409"/>
      <c r="J377" s="1409"/>
      <c r="K377" s="1049"/>
      <c r="L377" s="194"/>
      <c r="M377" s="194"/>
      <c r="N377" s="1049"/>
      <c r="O377" s="1049"/>
      <c r="P377" s="1049"/>
      <c r="Q377" s="1049"/>
      <c r="R377" s="1049"/>
      <c r="S377" s="1140"/>
      <c r="T377" s="1140"/>
      <c r="U377" s="1049"/>
      <c r="V377" s="1302"/>
      <c r="W377" s="1049"/>
      <c r="X377" s="1049"/>
      <c r="Y377" s="1049"/>
      <c r="Z377" s="1049"/>
      <c r="AA377" s="1049"/>
      <c r="AB377" s="1049"/>
      <c r="AC377" s="1049"/>
      <c r="AD377" s="1049"/>
      <c r="AE377" s="1049"/>
      <c r="AF377" s="1049"/>
      <c r="AG377" s="1049"/>
      <c r="AH377" s="1049"/>
      <c r="AI377" s="1049"/>
      <c r="AJ377" s="1049"/>
      <c r="AK377" s="1049"/>
      <c r="AL377" s="1049"/>
      <c r="AM377" s="1049"/>
      <c r="AN377" s="1049"/>
      <c r="AO377" s="1049"/>
      <c r="AP377" s="1049"/>
      <c r="AQ377" s="1049"/>
      <c r="AR377" s="1049"/>
      <c r="AS377" s="1049"/>
      <c r="AT377" s="1049"/>
      <c r="AU377" s="1049"/>
      <c r="AV377" s="1049"/>
      <c r="AW377" s="1049"/>
      <c r="AX377" s="1049"/>
      <c r="AY377" s="1302"/>
      <c r="AZ377" s="1302"/>
      <c r="BA377" s="1302"/>
      <c r="BB377" s="1302"/>
      <c r="BC377" s="1302"/>
      <c r="BD377" s="1140"/>
      <c r="BE377" s="194"/>
      <c r="BF377" s="1140"/>
      <c r="BG377" s="194"/>
      <c r="BH377" s="1140"/>
      <c r="BI377" s="194"/>
      <c r="BJ377" s="194"/>
      <c r="BK377" s="1323"/>
      <c r="BL377" s="1323"/>
      <c r="BM377" s="1140"/>
      <c r="BN377" s="194"/>
      <c r="BO377" s="194"/>
      <c r="BP377" s="1140"/>
      <c r="BQ377" s="1140"/>
      <c r="BR377" s="1140"/>
      <c r="BS377" s="1140"/>
      <c r="BT377" s="1049"/>
      <c r="BU377" s="1049"/>
      <c r="BV377" s="1049"/>
      <c r="BW377" s="1140"/>
      <c r="BX377" s="1049"/>
      <c r="BY377" s="1212"/>
      <c r="BZ377" s="1049"/>
      <c r="CA377" s="194"/>
      <c r="CB377" s="194"/>
      <c r="CC377" s="191"/>
      <c r="CD377" s="194"/>
      <c r="CE377" s="194"/>
      <c r="CF377" s="194"/>
      <c r="CG377" s="194"/>
    </row>
    <row r="378" spans="1:85" x14ac:dyDescent="0.2">
      <c r="A378" s="940" t="s">
        <v>953</v>
      </c>
      <c r="B378" s="196">
        <f t="shared" ref="B378:B389" si="500">SUM(C378:CB378)</f>
        <v>4064</v>
      </c>
      <c r="C378" s="928"/>
      <c r="D378" s="928"/>
      <c r="E378" s="1396"/>
      <c r="F378" s="1396"/>
      <c r="G378" s="1396"/>
      <c r="H378" s="1396"/>
      <c r="I378" s="1396"/>
      <c r="J378" s="1396"/>
      <c r="K378" s="928"/>
      <c r="N378" s="928"/>
      <c r="O378" s="928"/>
      <c r="P378" s="928"/>
      <c r="Q378" s="928"/>
      <c r="R378" s="928"/>
      <c r="S378" s="1097"/>
      <c r="T378" s="1097"/>
      <c r="U378" s="928"/>
      <c r="V378" s="1097"/>
      <c r="W378" s="928"/>
      <c r="X378" s="928"/>
      <c r="Y378" s="928"/>
      <c r="Z378" s="928"/>
      <c r="AA378" s="928"/>
      <c r="AB378" s="928">
        <v>0</v>
      </c>
      <c r="AC378" s="928">
        <v>0</v>
      </c>
      <c r="AD378" s="928">
        <v>0</v>
      </c>
      <c r="AE378" s="928">
        <v>0</v>
      </c>
      <c r="AF378" s="928">
        <v>0</v>
      </c>
      <c r="AG378" s="928">
        <v>0</v>
      </c>
      <c r="AH378" s="928">
        <v>0</v>
      </c>
      <c r="AI378" s="928">
        <v>0</v>
      </c>
      <c r="AJ378" s="928">
        <v>0</v>
      </c>
      <c r="AK378" s="928">
        <v>0</v>
      </c>
      <c r="AL378" s="928">
        <v>0</v>
      </c>
      <c r="AM378" s="928">
        <v>0</v>
      </c>
      <c r="AN378" s="928">
        <v>0</v>
      </c>
      <c r="AO378" s="928">
        <v>0</v>
      </c>
      <c r="AP378" s="928">
        <v>0</v>
      </c>
      <c r="AQ378" s="928"/>
      <c r="AR378" s="928">
        <f>4045+19</f>
        <v>4064</v>
      </c>
      <c r="AS378" s="928">
        <v>0</v>
      </c>
      <c r="AT378" s="928">
        <v>0</v>
      </c>
      <c r="AU378" s="928">
        <v>0</v>
      </c>
      <c r="AV378" s="928">
        <v>0</v>
      </c>
      <c r="AW378" s="928">
        <v>0</v>
      </c>
      <c r="AX378" s="928"/>
      <c r="AY378" s="1097"/>
      <c r="AZ378" s="1097"/>
      <c r="BA378" s="1097"/>
      <c r="BB378" s="1097"/>
      <c r="BC378" s="1097"/>
      <c r="BD378" s="1097"/>
      <c r="BF378" s="1097"/>
      <c r="BH378" s="1097"/>
      <c r="BK378" s="1097"/>
      <c r="BL378" s="1097"/>
      <c r="BM378" s="1097"/>
      <c r="BP378" s="1097"/>
      <c r="BQ378" s="1097"/>
      <c r="BR378" s="1097"/>
      <c r="BS378" s="1097"/>
      <c r="BT378" s="1435"/>
      <c r="BU378" s="928"/>
      <c r="BV378" s="1338"/>
      <c r="BW378" s="1097"/>
      <c r="BX378" s="928"/>
      <c r="BY378" s="1210"/>
      <c r="BZ378" s="928"/>
      <c r="CA378" s="1097"/>
    </row>
    <row r="379" spans="1:85" x14ac:dyDescent="0.2">
      <c r="A379" s="940" t="s">
        <v>954</v>
      </c>
      <c r="B379" s="196">
        <f t="shared" si="500"/>
        <v>0</v>
      </c>
      <c r="C379" s="928"/>
      <c r="D379" s="928"/>
      <c r="E379" s="1396"/>
      <c r="F379" s="1396"/>
      <c r="G379" s="1396"/>
      <c r="H379" s="1396"/>
      <c r="I379" s="1396"/>
      <c r="J379" s="1396"/>
      <c r="K379" s="928"/>
      <c r="N379" s="928"/>
      <c r="O379" s="928"/>
      <c r="P379" s="928"/>
      <c r="Q379" s="928"/>
      <c r="R379" s="928"/>
      <c r="S379" s="1097"/>
      <c r="T379" s="1097"/>
      <c r="U379" s="928"/>
      <c r="V379" s="1097"/>
      <c r="W379" s="928"/>
      <c r="X379" s="928"/>
      <c r="Y379" s="928"/>
      <c r="Z379" s="928"/>
      <c r="AA379" s="928"/>
      <c r="AB379" s="928"/>
      <c r="AC379" s="928"/>
      <c r="AD379" s="928"/>
      <c r="AE379" s="928"/>
      <c r="AF379" s="928"/>
      <c r="AG379" s="928"/>
      <c r="AH379" s="928"/>
      <c r="AI379" s="928"/>
      <c r="AJ379" s="928"/>
      <c r="AK379" s="928"/>
      <c r="AL379" s="928"/>
      <c r="AM379" s="928"/>
      <c r="AN379" s="928"/>
      <c r="AO379" s="928"/>
      <c r="AP379" s="928"/>
      <c r="AQ379" s="928"/>
      <c r="AR379" s="928"/>
      <c r="AS379" s="928"/>
      <c r="AT379" s="928"/>
      <c r="AU379" s="928"/>
      <c r="AV379" s="928"/>
      <c r="AW379" s="928"/>
      <c r="AX379" s="928"/>
      <c r="AY379" s="1097"/>
      <c r="AZ379" s="1097"/>
      <c r="BA379" s="1097"/>
      <c r="BB379" s="1097"/>
      <c r="BC379" s="1097"/>
      <c r="BD379" s="1097"/>
      <c r="BF379" s="1097"/>
      <c r="BH379" s="1097"/>
      <c r="BK379" s="1097"/>
      <c r="BL379" s="1097"/>
      <c r="BM379" s="1097"/>
      <c r="BP379" s="1097"/>
      <c r="BQ379" s="1097"/>
      <c r="BR379" s="1097"/>
      <c r="BS379" s="1097"/>
      <c r="BT379" s="1435"/>
      <c r="BU379" s="928"/>
      <c r="BV379" s="1338"/>
      <c r="BW379" s="1097"/>
      <c r="BX379" s="928"/>
      <c r="BY379" s="1210"/>
      <c r="BZ379" s="928"/>
      <c r="CA379" s="1097"/>
    </row>
    <row r="380" spans="1:85" x14ac:dyDescent="0.2">
      <c r="A380" s="940" t="s">
        <v>955</v>
      </c>
      <c r="B380" s="196">
        <f t="shared" si="500"/>
        <v>54813</v>
      </c>
      <c r="C380" s="928"/>
      <c r="D380" s="928"/>
      <c r="E380" s="1396"/>
      <c r="F380" s="1396">
        <v>26076</v>
      </c>
      <c r="G380" s="1396"/>
      <c r="H380" s="1396"/>
      <c r="I380" s="1396"/>
      <c r="J380" s="1396"/>
      <c r="K380" s="928"/>
      <c r="N380" s="928"/>
      <c r="O380" s="928"/>
      <c r="P380" s="928"/>
      <c r="Q380" s="928"/>
      <c r="R380" s="928"/>
      <c r="S380" s="1097"/>
      <c r="T380" s="1097"/>
      <c r="U380" s="928"/>
      <c r="V380" s="1097"/>
      <c r="W380" s="928"/>
      <c r="X380" s="928"/>
      <c r="Y380" s="928"/>
      <c r="Z380" s="928"/>
      <c r="AA380" s="928"/>
      <c r="AB380" s="928">
        <v>0</v>
      </c>
      <c r="AC380" s="928">
        <v>0</v>
      </c>
      <c r="AD380" s="928">
        <v>0</v>
      </c>
      <c r="AE380" s="928">
        <v>0</v>
      </c>
      <c r="AF380" s="928">
        <f>18648+2386+368</f>
        <v>21402</v>
      </c>
      <c r="AG380" s="928">
        <v>0</v>
      </c>
      <c r="AH380" s="928">
        <v>0</v>
      </c>
      <c r="AI380" s="928">
        <v>0</v>
      </c>
      <c r="AJ380" s="928">
        <v>0</v>
      </c>
      <c r="AK380" s="928">
        <v>0</v>
      </c>
      <c r="AL380" s="928">
        <v>0</v>
      </c>
      <c r="AM380" s="928">
        <v>0</v>
      </c>
      <c r="AN380" s="928">
        <v>0</v>
      </c>
      <c r="AO380" s="928">
        <v>0</v>
      </c>
      <c r="AP380" s="928">
        <v>0</v>
      </c>
      <c r="AQ380" s="928"/>
      <c r="AR380" s="928">
        <f>154-1-139</f>
        <v>14</v>
      </c>
      <c r="AS380" s="928">
        <v>0</v>
      </c>
      <c r="AT380" s="928">
        <f>10928-3944+337</f>
        <v>7321</v>
      </c>
      <c r="AU380" s="928">
        <v>0</v>
      </c>
      <c r="AV380" s="928">
        <v>0</v>
      </c>
      <c r="AW380" s="928">
        <v>0</v>
      </c>
      <c r="AX380" s="928"/>
      <c r="AY380" s="1097"/>
      <c r="AZ380" s="1097"/>
      <c r="BA380" s="1097"/>
      <c r="BB380" s="1097"/>
      <c r="BC380" s="1097"/>
      <c r="BD380" s="1097"/>
      <c r="BF380" s="1097"/>
      <c r="BH380" s="1097"/>
      <c r="BK380" s="1097"/>
      <c r="BL380" s="1097"/>
      <c r="BM380" s="1097"/>
      <c r="BP380" s="1097"/>
      <c r="BQ380" s="1097"/>
      <c r="BR380" s="1097"/>
      <c r="BS380" s="1097"/>
      <c r="BT380" s="1435"/>
      <c r="BU380" s="928"/>
      <c r="BV380" s="1338"/>
      <c r="BW380" s="1097"/>
      <c r="BX380" s="928"/>
      <c r="BY380" s="1210"/>
      <c r="BZ380" s="928"/>
      <c r="CA380" s="1097"/>
    </row>
    <row r="381" spans="1:85" x14ac:dyDescent="0.2">
      <c r="A381" s="940" t="s">
        <v>958</v>
      </c>
      <c r="B381" s="196">
        <f t="shared" si="500"/>
        <v>0</v>
      </c>
      <c r="C381" s="928"/>
      <c r="D381" s="928"/>
      <c r="E381" s="1396"/>
      <c r="F381" s="1396"/>
      <c r="G381" s="1396"/>
      <c r="H381" s="1396"/>
      <c r="I381" s="1396"/>
      <c r="J381" s="1396"/>
      <c r="K381" s="928"/>
      <c r="N381" s="928"/>
      <c r="O381" s="928"/>
      <c r="P381" s="928"/>
      <c r="Q381" s="928"/>
      <c r="R381" s="928"/>
      <c r="S381" s="1097"/>
      <c r="T381" s="1097"/>
      <c r="U381" s="928"/>
      <c r="V381" s="1097"/>
      <c r="W381" s="928"/>
      <c r="X381" s="928"/>
      <c r="Y381" s="928"/>
      <c r="Z381" s="928"/>
      <c r="AA381" s="928"/>
      <c r="AB381" s="928"/>
      <c r="AC381" s="928"/>
      <c r="AD381" s="928"/>
      <c r="AE381" s="928"/>
      <c r="AF381" s="928"/>
      <c r="AG381" s="928"/>
      <c r="AH381" s="928"/>
      <c r="AI381" s="928"/>
      <c r="AJ381" s="928"/>
      <c r="AK381" s="928"/>
      <c r="AL381" s="928"/>
      <c r="AM381" s="928"/>
      <c r="AN381" s="928"/>
      <c r="AO381" s="928"/>
      <c r="AP381" s="928"/>
      <c r="AQ381" s="928"/>
      <c r="AR381" s="928"/>
      <c r="AS381" s="928"/>
      <c r="AT381" s="928"/>
      <c r="AU381" s="928"/>
      <c r="AV381" s="928"/>
      <c r="AW381" s="928"/>
      <c r="AX381" s="928"/>
      <c r="AY381" s="1097"/>
      <c r="AZ381" s="1097"/>
      <c r="BA381" s="1097"/>
      <c r="BB381" s="1097"/>
      <c r="BC381" s="1097"/>
      <c r="BD381" s="1097"/>
      <c r="BF381" s="1097"/>
      <c r="BH381" s="1097"/>
      <c r="BK381" s="1097"/>
      <c r="BL381" s="1097"/>
      <c r="BM381" s="1097"/>
      <c r="BP381" s="1097"/>
      <c r="BQ381" s="1097"/>
      <c r="BR381" s="1097"/>
      <c r="BS381" s="1097"/>
      <c r="BT381" s="1435"/>
      <c r="BU381" s="928"/>
      <c r="BV381" s="1338"/>
      <c r="BW381" s="1097"/>
      <c r="BX381" s="928"/>
      <c r="BY381" s="1210"/>
      <c r="BZ381" s="928"/>
      <c r="CA381" s="1097"/>
    </row>
    <row r="382" spans="1:85" x14ac:dyDescent="0.2">
      <c r="A382" s="940" t="s">
        <v>956</v>
      </c>
      <c r="B382" s="196">
        <f t="shared" si="500"/>
        <v>966</v>
      </c>
      <c r="C382" s="928"/>
      <c r="D382" s="928"/>
      <c r="E382" s="1396"/>
      <c r="F382" s="1396">
        <v>966</v>
      </c>
      <c r="G382" s="1396"/>
      <c r="H382" s="1396"/>
      <c r="I382" s="1396"/>
      <c r="J382" s="1396"/>
      <c r="K382" s="928"/>
      <c r="N382" s="928"/>
      <c r="O382" s="928"/>
      <c r="P382" s="928"/>
      <c r="Q382" s="928"/>
      <c r="R382" s="928"/>
      <c r="S382" s="1097"/>
      <c r="T382" s="1097"/>
      <c r="U382" s="928"/>
      <c r="V382" s="1097"/>
      <c r="W382" s="928"/>
      <c r="X382" s="928"/>
      <c r="Y382" s="928"/>
      <c r="Z382" s="928"/>
      <c r="AA382" s="928"/>
      <c r="AB382" s="928"/>
      <c r="AC382" s="928"/>
      <c r="AD382" s="928"/>
      <c r="AE382" s="928"/>
      <c r="AF382" s="928"/>
      <c r="AG382" s="928"/>
      <c r="AH382" s="928"/>
      <c r="AI382" s="928"/>
      <c r="AJ382" s="928"/>
      <c r="AK382" s="928"/>
      <c r="AL382" s="928"/>
      <c r="AM382" s="928"/>
      <c r="AN382" s="928"/>
      <c r="AO382" s="928"/>
      <c r="AP382" s="928"/>
      <c r="AQ382" s="928"/>
      <c r="AR382" s="928"/>
      <c r="AS382" s="928"/>
      <c r="AT382" s="928"/>
      <c r="AU382" s="928"/>
      <c r="AV382" s="928"/>
      <c r="AW382" s="928"/>
      <c r="AX382" s="928"/>
      <c r="AY382" s="1097"/>
      <c r="AZ382" s="1097"/>
      <c r="BA382" s="1097"/>
      <c r="BB382" s="1097"/>
      <c r="BC382" s="1097"/>
      <c r="BD382" s="1097"/>
      <c r="BF382" s="1097"/>
      <c r="BH382" s="1097"/>
      <c r="BK382" s="1097"/>
      <c r="BL382" s="1097"/>
      <c r="BM382" s="1097"/>
      <c r="BP382" s="1097"/>
      <c r="BQ382" s="1097"/>
      <c r="BR382" s="1097"/>
      <c r="BS382" s="1097"/>
      <c r="BT382" s="1435"/>
      <c r="BU382" s="928"/>
      <c r="BV382" s="1338"/>
      <c r="BW382" s="1097"/>
      <c r="BX382" s="928"/>
      <c r="BY382" s="1210"/>
      <c r="BZ382" s="928"/>
      <c r="CA382" s="1097"/>
    </row>
    <row r="383" spans="1:85" x14ac:dyDescent="0.2">
      <c r="A383" s="940" t="s">
        <v>961</v>
      </c>
      <c r="B383" s="196">
        <f t="shared" si="500"/>
        <v>0</v>
      </c>
      <c r="C383" s="928"/>
      <c r="D383" s="928"/>
      <c r="E383" s="1396"/>
      <c r="F383" s="1396"/>
      <c r="G383" s="1396"/>
      <c r="H383" s="1396"/>
      <c r="I383" s="1396"/>
      <c r="J383" s="1396"/>
      <c r="K383" s="928"/>
      <c r="N383" s="928"/>
      <c r="O383" s="928">
        <v>0</v>
      </c>
      <c r="P383" s="928"/>
      <c r="Q383" s="928"/>
      <c r="R383" s="928"/>
      <c r="S383" s="1097"/>
      <c r="T383" s="1097"/>
      <c r="U383" s="928"/>
      <c r="V383" s="1097"/>
      <c r="W383" s="928"/>
      <c r="X383" s="928"/>
      <c r="Y383" s="928"/>
      <c r="Z383" s="928"/>
      <c r="AA383" s="928"/>
      <c r="AB383" s="928"/>
      <c r="AC383" s="928"/>
      <c r="AD383" s="928"/>
      <c r="AE383" s="928"/>
      <c r="AF383" s="928"/>
      <c r="AG383" s="928"/>
      <c r="AH383" s="928"/>
      <c r="AI383" s="928"/>
      <c r="AJ383" s="928"/>
      <c r="AK383" s="928"/>
      <c r="AL383" s="928"/>
      <c r="AM383" s="928"/>
      <c r="AN383" s="928"/>
      <c r="AO383" s="928"/>
      <c r="AP383" s="928"/>
      <c r="AQ383" s="928"/>
      <c r="AR383" s="928"/>
      <c r="AS383" s="928"/>
      <c r="AT383" s="928"/>
      <c r="AU383" s="928"/>
      <c r="AV383" s="928"/>
      <c r="AW383" s="928"/>
      <c r="AX383" s="928"/>
      <c r="AY383" s="1097"/>
      <c r="AZ383" s="1097"/>
      <c r="BA383" s="1097"/>
      <c r="BB383" s="1097"/>
      <c r="BC383" s="1097"/>
      <c r="BD383" s="1097"/>
      <c r="BF383" s="1097"/>
      <c r="BH383" s="1097"/>
      <c r="BK383" s="1097"/>
      <c r="BL383" s="1097"/>
      <c r="BM383" s="1097"/>
      <c r="BP383" s="1097"/>
      <c r="BQ383" s="1097"/>
      <c r="BR383" s="1097"/>
      <c r="BS383" s="1097"/>
      <c r="BT383" s="1435"/>
      <c r="BU383" s="928"/>
      <c r="BV383" s="1338"/>
      <c r="BW383" s="1097"/>
      <c r="BX383" s="928"/>
      <c r="BY383" s="1210"/>
      <c r="BZ383" s="928"/>
      <c r="CA383" s="1097"/>
    </row>
    <row r="384" spans="1:85" x14ac:dyDescent="0.2">
      <c r="A384" s="940" t="s">
        <v>960</v>
      </c>
      <c r="B384" s="196">
        <f t="shared" si="500"/>
        <v>0</v>
      </c>
      <c r="C384" s="928"/>
      <c r="D384" s="928"/>
      <c r="E384" s="1396"/>
      <c r="F384" s="1396"/>
      <c r="G384" s="1396"/>
      <c r="H384" s="1396"/>
      <c r="I384" s="1396"/>
      <c r="J384" s="1396"/>
      <c r="K384" s="928"/>
      <c r="N384" s="928"/>
      <c r="O384" s="928"/>
      <c r="P384" s="928"/>
      <c r="Q384" s="928"/>
      <c r="R384" s="928"/>
      <c r="S384" s="1097"/>
      <c r="T384" s="1097"/>
      <c r="U384" s="928"/>
      <c r="V384" s="1097"/>
      <c r="W384" s="928"/>
      <c r="X384" s="928"/>
      <c r="Y384" s="928"/>
      <c r="Z384" s="928"/>
      <c r="AA384" s="928"/>
      <c r="AB384" s="928"/>
      <c r="AC384" s="928"/>
      <c r="AD384" s="928"/>
      <c r="AE384" s="928"/>
      <c r="AF384" s="928"/>
      <c r="AG384" s="928"/>
      <c r="AH384" s="928"/>
      <c r="AI384" s="928"/>
      <c r="AJ384" s="928"/>
      <c r="AK384" s="928"/>
      <c r="AL384" s="928"/>
      <c r="AM384" s="928"/>
      <c r="AN384" s="928"/>
      <c r="AO384" s="928"/>
      <c r="AP384" s="928"/>
      <c r="AQ384" s="928"/>
      <c r="AR384" s="928"/>
      <c r="AS384" s="928"/>
      <c r="AT384" s="928"/>
      <c r="AU384" s="928"/>
      <c r="AV384" s="928"/>
      <c r="AW384" s="928"/>
      <c r="AX384" s="928"/>
      <c r="AY384" s="1097"/>
      <c r="AZ384" s="1097"/>
      <c r="BA384" s="1097"/>
      <c r="BB384" s="1097"/>
      <c r="BC384" s="1097"/>
      <c r="BD384" s="1097"/>
      <c r="BF384" s="1097"/>
      <c r="BH384" s="1097"/>
      <c r="BK384" s="1097"/>
      <c r="BL384" s="1097"/>
      <c r="BM384" s="1097"/>
      <c r="BP384" s="1097"/>
      <c r="BQ384" s="1097"/>
      <c r="BR384" s="1097"/>
      <c r="BS384" s="1097"/>
      <c r="BT384" s="1435"/>
      <c r="BU384" s="928"/>
      <c r="BV384" s="1338"/>
      <c r="BW384" s="1097"/>
      <c r="BX384" s="928"/>
      <c r="BY384" s="1210"/>
      <c r="BZ384" s="928"/>
      <c r="CA384" s="1097"/>
    </row>
    <row r="385" spans="1:85" x14ac:dyDescent="0.2">
      <c r="A385" s="940" t="s">
        <v>963</v>
      </c>
      <c r="B385" s="196">
        <f t="shared" si="500"/>
        <v>0</v>
      </c>
      <c r="C385" s="928"/>
      <c r="D385" s="928"/>
      <c r="E385" s="1396"/>
      <c r="F385" s="1396"/>
      <c r="G385" s="1396"/>
      <c r="H385" s="1396"/>
      <c r="I385" s="1396"/>
      <c r="J385" s="1396"/>
      <c r="K385" s="928"/>
      <c r="N385" s="928"/>
      <c r="O385" s="928"/>
      <c r="P385" s="928"/>
      <c r="Q385" s="928"/>
      <c r="R385" s="928"/>
      <c r="S385" s="1097"/>
      <c r="T385" s="1097"/>
      <c r="U385" s="928"/>
      <c r="V385" s="1097"/>
      <c r="W385" s="928"/>
      <c r="X385" s="928"/>
      <c r="Y385" s="928"/>
      <c r="Z385" s="928"/>
      <c r="AA385" s="928"/>
      <c r="AB385" s="928"/>
      <c r="AC385" s="928"/>
      <c r="AD385" s="928"/>
      <c r="AE385" s="928"/>
      <c r="AF385" s="928"/>
      <c r="AG385" s="928"/>
      <c r="AH385" s="928"/>
      <c r="AI385" s="928"/>
      <c r="AJ385" s="928"/>
      <c r="AK385" s="928"/>
      <c r="AL385" s="928"/>
      <c r="AM385" s="928"/>
      <c r="AN385" s="928"/>
      <c r="AO385" s="928"/>
      <c r="AP385" s="928"/>
      <c r="AQ385" s="928"/>
      <c r="AR385" s="928"/>
      <c r="AS385" s="928"/>
      <c r="AT385" s="928"/>
      <c r="AU385" s="928"/>
      <c r="AV385" s="928"/>
      <c r="AW385" s="928"/>
      <c r="AX385" s="928"/>
      <c r="AY385" s="1097"/>
      <c r="AZ385" s="1097"/>
      <c r="BA385" s="1097"/>
      <c r="BB385" s="1097"/>
      <c r="BC385" s="1097"/>
      <c r="BD385" s="1097"/>
      <c r="BF385" s="1097"/>
      <c r="BH385" s="1097"/>
      <c r="BK385" s="1097"/>
      <c r="BL385" s="1097"/>
      <c r="BM385" s="1097"/>
      <c r="BP385" s="1097"/>
      <c r="BQ385" s="1097"/>
      <c r="BR385" s="1097"/>
      <c r="BS385" s="1097"/>
      <c r="BT385" s="1435"/>
      <c r="BU385" s="928"/>
      <c r="BV385" s="1338"/>
      <c r="BW385" s="1097"/>
      <c r="BX385" s="928"/>
      <c r="BY385" s="1210"/>
      <c r="BZ385" s="928"/>
      <c r="CA385" s="1097"/>
    </row>
    <row r="386" spans="1:85" x14ac:dyDescent="0.2">
      <c r="A386" s="940" t="s">
        <v>959</v>
      </c>
      <c r="B386" s="196">
        <f t="shared" si="500"/>
        <v>0</v>
      </c>
      <c r="C386" s="928"/>
      <c r="D386" s="928"/>
      <c r="E386" s="1396"/>
      <c r="F386" s="1396"/>
      <c r="G386" s="1396"/>
      <c r="H386" s="1396"/>
      <c r="I386" s="1396"/>
      <c r="J386" s="1396"/>
      <c r="K386" s="928"/>
      <c r="N386" s="928"/>
      <c r="O386" s="928"/>
      <c r="P386" s="928"/>
      <c r="Q386" s="928"/>
      <c r="R386" s="928"/>
      <c r="S386" s="1097"/>
      <c r="T386" s="1097"/>
      <c r="U386" s="928"/>
      <c r="V386" s="1097"/>
      <c r="W386" s="928"/>
      <c r="X386" s="928"/>
      <c r="Y386" s="928"/>
      <c r="Z386" s="928"/>
      <c r="AA386" s="928"/>
      <c r="AB386" s="928"/>
      <c r="AC386" s="928"/>
      <c r="AD386" s="928"/>
      <c r="AE386" s="928"/>
      <c r="AF386" s="928"/>
      <c r="AG386" s="928"/>
      <c r="AH386" s="928"/>
      <c r="AI386" s="928"/>
      <c r="AJ386" s="928"/>
      <c r="AK386" s="928"/>
      <c r="AL386" s="928"/>
      <c r="AM386" s="928"/>
      <c r="AN386" s="928"/>
      <c r="AO386" s="928"/>
      <c r="AP386" s="928"/>
      <c r="AQ386" s="928"/>
      <c r="AR386" s="928"/>
      <c r="AS386" s="928"/>
      <c r="AT386" s="928"/>
      <c r="AU386" s="928"/>
      <c r="AV386" s="928"/>
      <c r="AW386" s="928"/>
      <c r="AX386" s="928"/>
      <c r="AY386" s="1097"/>
      <c r="AZ386" s="1097"/>
      <c r="BA386" s="1097"/>
      <c r="BB386" s="1097"/>
      <c r="BC386" s="1097"/>
      <c r="BD386" s="1097"/>
      <c r="BF386" s="1097"/>
      <c r="BH386" s="1097"/>
      <c r="BK386" s="1097"/>
      <c r="BL386" s="1097"/>
      <c r="BM386" s="1097"/>
      <c r="BP386" s="1097"/>
      <c r="BQ386" s="1097"/>
      <c r="BR386" s="1097"/>
      <c r="BS386" s="1097"/>
      <c r="BT386" s="1435"/>
      <c r="BU386" s="928"/>
      <c r="BV386" s="1338"/>
      <c r="BW386" s="1097"/>
      <c r="BX386" s="928"/>
      <c r="BY386" s="1210"/>
      <c r="BZ386" s="928"/>
      <c r="CA386" s="1097"/>
    </row>
    <row r="387" spans="1:85" x14ac:dyDescent="0.2">
      <c r="A387" s="937" t="s">
        <v>1191</v>
      </c>
      <c r="B387" s="196">
        <f t="shared" si="500"/>
        <v>0</v>
      </c>
      <c r="C387" s="928"/>
      <c r="D387" s="928"/>
      <c r="E387" s="1396"/>
      <c r="F387" s="1396"/>
      <c r="G387" s="1396"/>
      <c r="H387" s="1396"/>
      <c r="I387" s="1396"/>
      <c r="J387" s="1396"/>
      <c r="K387" s="928"/>
      <c r="N387" s="928"/>
      <c r="O387" s="928"/>
      <c r="P387" s="928"/>
      <c r="Q387" s="928"/>
      <c r="R387" s="928"/>
      <c r="S387" s="1097"/>
      <c r="T387" s="1097"/>
      <c r="U387" s="928"/>
      <c r="V387" s="1097"/>
      <c r="W387" s="928"/>
      <c r="X387" s="928"/>
      <c r="Y387" s="928"/>
      <c r="Z387" s="928"/>
      <c r="AA387" s="928"/>
      <c r="AB387" s="928"/>
      <c r="AC387" s="928"/>
      <c r="AD387" s="928"/>
      <c r="AE387" s="928"/>
      <c r="AF387" s="928"/>
      <c r="AG387" s="928"/>
      <c r="AH387" s="928"/>
      <c r="AI387" s="928"/>
      <c r="AJ387" s="928"/>
      <c r="AK387" s="928"/>
      <c r="AL387" s="928"/>
      <c r="AM387" s="928"/>
      <c r="AN387" s="928"/>
      <c r="AO387" s="928"/>
      <c r="AP387" s="928"/>
      <c r="AQ387" s="928"/>
      <c r="AR387" s="928"/>
      <c r="AS387" s="928"/>
      <c r="AT387" s="928"/>
      <c r="AU387" s="928"/>
      <c r="AV387" s="928"/>
      <c r="AW387" s="928"/>
      <c r="AX387" s="928"/>
      <c r="AY387" s="1097"/>
      <c r="AZ387" s="1097"/>
      <c r="BA387" s="1097"/>
      <c r="BB387" s="1097"/>
      <c r="BC387" s="1097"/>
      <c r="BD387" s="1097"/>
      <c r="BF387" s="1097"/>
      <c r="BH387" s="1097"/>
      <c r="BK387" s="1097"/>
      <c r="BL387" s="1097"/>
      <c r="BM387" s="1097"/>
      <c r="BP387" s="1097"/>
      <c r="BQ387" s="1097"/>
      <c r="BR387" s="1097"/>
      <c r="BS387" s="1097"/>
      <c r="BT387" s="1435"/>
      <c r="BU387" s="928"/>
      <c r="BV387" s="1338"/>
      <c r="BW387" s="1097"/>
      <c r="BX387" s="928"/>
      <c r="BY387" s="1210"/>
      <c r="BZ387" s="928"/>
      <c r="CA387" s="1097"/>
    </row>
    <row r="388" spans="1:85" x14ac:dyDescent="0.2">
      <c r="A388" s="940" t="s">
        <v>1052</v>
      </c>
      <c r="B388" s="196">
        <f t="shared" si="500"/>
        <v>0</v>
      </c>
      <c r="C388" s="928"/>
      <c r="D388" s="928"/>
      <c r="E388" s="1396"/>
      <c r="F388" s="1396"/>
      <c r="G388" s="1396"/>
      <c r="H388" s="1396"/>
      <c r="I388" s="1396"/>
      <c r="J388" s="1396"/>
      <c r="K388" s="928"/>
      <c r="N388" s="928"/>
      <c r="O388" s="928"/>
      <c r="P388" s="928"/>
      <c r="Q388" s="928"/>
      <c r="R388" s="928"/>
      <c r="S388" s="1097"/>
      <c r="T388" s="1097"/>
      <c r="U388" s="928"/>
      <c r="V388" s="1097"/>
      <c r="W388" s="928"/>
      <c r="X388" s="928"/>
      <c r="Y388" s="928"/>
      <c r="Z388" s="928"/>
      <c r="AA388" s="928"/>
      <c r="AB388" s="928"/>
      <c r="AC388" s="928"/>
      <c r="AD388" s="928"/>
      <c r="AE388" s="928"/>
      <c r="AF388" s="928"/>
      <c r="AG388" s="928"/>
      <c r="AH388" s="928"/>
      <c r="AI388" s="928"/>
      <c r="AJ388" s="928"/>
      <c r="AK388" s="928"/>
      <c r="AL388" s="928"/>
      <c r="AM388" s="928"/>
      <c r="AN388" s="928"/>
      <c r="AO388" s="928"/>
      <c r="AP388" s="928"/>
      <c r="AQ388" s="928"/>
      <c r="AR388" s="928"/>
      <c r="AS388" s="928"/>
      <c r="AT388" s="928"/>
      <c r="AU388" s="928"/>
      <c r="AV388" s="928"/>
      <c r="AW388" s="928"/>
      <c r="AX388" s="928"/>
      <c r="AY388" s="1097"/>
      <c r="AZ388" s="1097"/>
      <c r="BA388" s="1097"/>
      <c r="BB388" s="1097"/>
      <c r="BC388" s="1097"/>
      <c r="BD388" s="1097"/>
      <c r="BF388" s="1097"/>
      <c r="BH388" s="1097"/>
      <c r="BK388" s="1097"/>
      <c r="BL388" s="1097"/>
      <c r="BM388" s="1097"/>
      <c r="BP388" s="1097"/>
      <c r="BQ388" s="1097"/>
      <c r="BR388" s="1097"/>
      <c r="BS388" s="1097"/>
      <c r="BT388" s="1435"/>
      <c r="BU388" s="928"/>
      <c r="BV388" s="1338"/>
      <c r="BW388" s="1097"/>
      <c r="BX388" s="928"/>
      <c r="BY388" s="1210"/>
      <c r="BZ388" s="928"/>
      <c r="CA388" s="1097"/>
    </row>
    <row r="389" spans="1:85" x14ac:dyDescent="0.2">
      <c r="A389" s="937" t="s">
        <v>1414</v>
      </c>
      <c r="B389" s="196">
        <f t="shared" si="500"/>
        <v>0</v>
      </c>
      <c r="C389" s="928"/>
      <c r="D389" s="928"/>
      <c r="E389" s="1396"/>
      <c r="F389" s="1396"/>
      <c r="G389" s="1396"/>
      <c r="H389" s="1396"/>
      <c r="I389" s="1396"/>
      <c r="J389" s="1396"/>
      <c r="K389" s="928"/>
      <c r="N389" s="928"/>
      <c r="O389" s="928"/>
      <c r="P389" s="928"/>
      <c r="Q389" s="928"/>
      <c r="R389" s="928"/>
      <c r="S389" s="1097"/>
      <c r="T389" s="1097"/>
      <c r="U389" s="928"/>
      <c r="V389" s="1097"/>
      <c r="W389" s="928"/>
      <c r="X389" s="928"/>
      <c r="Y389" s="928"/>
      <c r="Z389" s="928"/>
      <c r="AA389" s="928"/>
      <c r="AB389" s="928"/>
      <c r="AC389" s="928"/>
      <c r="AD389" s="928"/>
      <c r="AE389" s="928"/>
      <c r="AF389" s="928"/>
      <c r="AG389" s="928"/>
      <c r="AH389" s="928"/>
      <c r="AI389" s="928"/>
      <c r="AJ389" s="928"/>
      <c r="AK389" s="928"/>
      <c r="AL389" s="928"/>
      <c r="AM389" s="928"/>
      <c r="AN389" s="928"/>
      <c r="AO389" s="928"/>
      <c r="AP389" s="928"/>
      <c r="AQ389" s="928"/>
      <c r="AR389" s="928"/>
      <c r="AS389" s="928"/>
      <c r="AT389" s="928"/>
      <c r="AU389" s="928"/>
      <c r="AV389" s="928"/>
      <c r="AW389" s="928"/>
      <c r="AX389" s="928"/>
      <c r="AY389" s="1097"/>
      <c r="AZ389" s="1097"/>
      <c r="BA389" s="1097"/>
      <c r="BB389" s="1097"/>
      <c r="BC389" s="1097"/>
      <c r="BD389" s="1097"/>
      <c r="BF389" s="1097"/>
      <c r="BH389" s="1097"/>
      <c r="BK389" s="1097"/>
      <c r="BL389" s="1097"/>
      <c r="BM389" s="1097"/>
      <c r="BP389" s="1097"/>
      <c r="BQ389" s="1097"/>
      <c r="BR389" s="1097"/>
      <c r="BS389" s="1097"/>
      <c r="BT389" s="1435"/>
      <c r="BU389" s="928"/>
      <c r="BV389" s="1338"/>
      <c r="BW389" s="1097"/>
      <c r="BX389" s="928"/>
      <c r="BY389" s="1210"/>
      <c r="BZ389" s="928"/>
      <c r="CA389" s="1097"/>
    </row>
    <row r="390" spans="1:85" s="201" customFormat="1" x14ac:dyDescent="0.2">
      <c r="A390" s="198" t="s">
        <v>930</v>
      </c>
      <c r="B390" s="199">
        <f t="shared" ref="B390:AP390" si="501">SUM(B378:B389)</f>
        <v>59843</v>
      </c>
      <c r="C390" s="1358">
        <f t="shared" si="501"/>
        <v>0</v>
      </c>
      <c r="D390" s="1358">
        <f t="shared" si="501"/>
        <v>0</v>
      </c>
      <c r="E390" s="1407">
        <f t="shared" si="501"/>
        <v>0</v>
      </c>
      <c r="F390" s="1407">
        <f t="shared" si="501"/>
        <v>27042</v>
      </c>
      <c r="G390" s="1407">
        <f t="shared" si="501"/>
        <v>0</v>
      </c>
      <c r="H390" s="1407">
        <f t="shared" si="501"/>
        <v>0</v>
      </c>
      <c r="I390" s="1407">
        <f t="shared" si="501"/>
        <v>0</v>
      </c>
      <c r="J390" s="1407">
        <f t="shared" si="501"/>
        <v>0</v>
      </c>
      <c r="K390" s="1358">
        <f t="shared" si="501"/>
        <v>0</v>
      </c>
      <c r="L390" s="199">
        <f t="shared" si="501"/>
        <v>0</v>
      </c>
      <c r="M390" s="199">
        <f t="shared" si="501"/>
        <v>0</v>
      </c>
      <c r="N390" s="1358">
        <f t="shared" si="501"/>
        <v>0</v>
      </c>
      <c r="O390" s="1358">
        <f t="shared" si="501"/>
        <v>0</v>
      </c>
      <c r="P390" s="1358">
        <f t="shared" si="501"/>
        <v>0</v>
      </c>
      <c r="Q390" s="1358">
        <f t="shared" si="501"/>
        <v>0</v>
      </c>
      <c r="R390" s="1358">
        <f t="shared" si="501"/>
        <v>0</v>
      </c>
      <c r="S390" s="1358">
        <f t="shared" si="501"/>
        <v>0</v>
      </c>
      <c r="T390" s="1358">
        <f t="shared" si="501"/>
        <v>0</v>
      </c>
      <c r="U390" s="1358">
        <f t="shared" si="501"/>
        <v>0</v>
      </c>
      <c r="V390" s="1358">
        <f t="shared" si="501"/>
        <v>0</v>
      </c>
      <c r="W390" s="1358">
        <f t="shared" si="501"/>
        <v>0</v>
      </c>
      <c r="X390" s="1358">
        <f t="shared" si="501"/>
        <v>0</v>
      </c>
      <c r="Y390" s="199">
        <f t="shared" si="501"/>
        <v>0</v>
      </c>
      <c r="Z390" s="199">
        <f t="shared" si="501"/>
        <v>0</v>
      </c>
      <c r="AA390" s="1358">
        <f t="shared" si="501"/>
        <v>0</v>
      </c>
      <c r="AB390" s="1358">
        <f t="shared" si="501"/>
        <v>0</v>
      </c>
      <c r="AC390" s="1358">
        <f t="shared" si="501"/>
        <v>0</v>
      </c>
      <c r="AD390" s="1358">
        <f t="shared" si="501"/>
        <v>0</v>
      </c>
      <c r="AE390" s="1358">
        <f t="shared" si="501"/>
        <v>0</v>
      </c>
      <c r="AF390" s="1358">
        <f t="shared" si="501"/>
        <v>21402</v>
      </c>
      <c r="AG390" s="1358">
        <f t="shared" si="501"/>
        <v>0</v>
      </c>
      <c r="AH390" s="1358">
        <f t="shared" si="501"/>
        <v>0</v>
      </c>
      <c r="AI390" s="1358">
        <f t="shared" si="501"/>
        <v>0</v>
      </c>
      <c r="AJ390" s="1358">
        <f t="shared" si="501"/>
        <v>0</v>
      </c>
      <c r="AK390" s="1358">
        <f t="shared" si="501"/>
        <v>0</v>
      </c>
      <c r="AL390" s="1358">
        <f t="shared" si="501"/>
        <v>0</v>
      </c>
      <c r="AM390" s="1358">
        <f t="shared" si="501"/>
        <v>0</v>
      </c>
      <c r="AN390" s="1358">
        <f t="shared" si="501"/>
        <v>0</v>
      </c>
      <c r="AO390" s="1358">
        <f t="shared" si="501"/>
        <v>0</v>
      </c>
      <c r="AP390" s="1358">
        <f t="shared" si="501"/>
        <v>0</v>
      </c>
      <c r="AQ390" s="1358"/>
      <c r="AR390" s="1358">
        <f t="shared" ref="AR390:CA390" si="502">SUM(AR378:AR389)</f>
        <v>4078</v>
      </c>
      <c r="AS390" s="1358">
        <f t="shared" si="502"/>
        <v>0</v>
      </c>
      <c r="AT390" s="1358">
        <f t="shared" si="502"/>
        <v>7321</v>
      </c>
      <c r="AU390" s="1358">
        <f t="shared" si="502"/>
        <v>0</v>
      </c>
      <c r="AV390" s="1358">
        <f t="shared" si="502"/>
        <v>0</v>
      </c>
      <c r="AW390" s="1358">
        <f t="shared" si="502"/>
        <v>0</v>
      </c>
      <c r="AX390" s="1358">
        <f t="shared" si="502"/>
        <v>0</v>
      </c>
      <c r="AY390" s="1358">
        <f t="shared" si="502"/>
        <v>0</v>
      </c>
      <c r="AZ390" s="1358">
        <f t="shared" si="502"/>
        <v>0</v>
      </c>
      <c r="BA390" s="1358">
        <f t="shared" si="502"/>
        <v>0</v>
      </c>
      <c r="BB390" s="1358">
        <f t="shared" si="502"/>
        <v>0</v>
      </c>
      <c r="BC390" s="1358">
        <f t="shared" si="502"/>
        <v>0</v>
      </c>
      <c r="BD390" s="1358">
        <f t="shared" si="502"/>
        <v>0</v>
      </c>
      <c r="BE390" s="199">
        <f t="shared" si="502"/>
        <v>0</v>
      </c>
      <c r="BF390" s="1358">
        <f t="shared" si="502"/>
        <v>0</v>
      </c>
      <c r="BG390" s="199">
        <f t="shared" si="502"/>
        <v>0</v>
      </c>
      <c r="BH390" s="1358">
        <f t="shared" si="502"/>
        <v>0</v>
      </c>
      <c r="BI390" s="199">
        <f t="shared" si="502"/>
        <v>0</v>
      </c>
      <c r="BJ390" s="199">
        <f t="shared" si="502"/>
        <v>0</v>
      </c>
      <c r="BK390" s="1358">
        <f t="shared" si="502"/>
        <v>0</v>
      </c>
      <c r="BL390" s="1358">
        <f t="shared" si="502"/>
        <v>0</v>
      </c>
      <c r="BM390" s="1358">
        <f t="shared" si="502"/>
        <v>0</v>
      </c>
      <c r="BN390" s="199">
        <f t="shared" si="502"/>
        <v>0</v>
      </c>
      <c r="BO390" s="199">
        <f t="shared" si="502"/>
        <v>0</v>
      </c>
      <c r="BP390" s="1358">
        <f t="shared" si="502"/>
        <v>0</v>
      </c>
      <c r="BQ390" s="1358">
        <f t="shared" si="502"/>
        <v>0</v>
      </c>
      <c r="BR390" s="1358">
        <f t="shared" si="502"/>
        <v>0</v>
      </c>
      <c r="BS390" s="1358">
        <f t="shared" si="502"/>
        <v>0</v>
      </c>
      <c r="BT390" s="1358">
        <f t="shared" si="502"/>
        <v>0</v>
      </c>
      <c r="BU390" s="1358">
        <f t="shared" si="502"/>
        <v>0</v>
      </c>
      <c r="BV390" s="1358">
        <f t="shared" si="502"/>
        <v>0</v>
      </c>
      <c r="BW390" s="1358">
        <f t="shared" si="502"/>
        <v>0</v>
      </c>
      <c r="BX390" s="1358">
        <f t="shared" si="502"/>
        <v>0</v>
      </c>
      <c r="BY390" s="1358">
        <f t="shared" si="502"/>
        <v>0</v>
      </c>
      <c r="BZ390" s="199">
        <f t="shared" si="502"/>
        <v>0</v>
      </c>
      <c r="CA390" s="199">
        <f t="shared" si="502"/>
        <v>0</v>
      </c>
      <c r="CB390" s="199">
        <f t="shared" ref="CB390" si="503">SUM(CB378:CB389)</f>
        <v>0</v>
      </c>
      <c r="CC390" s="200"/>
      <c r="CD390" s="199">
        <f>SUM(CD378:CD388)</f>
        <v>0</v>
      </c>
      <c r="CE390" s="199">
        <f>SUM(CE378:CE388)</f>
        <v>0</v>
      </c>
      <c r="CF390" s="199">
        <f>SUM(CF378:CF388)</f>
        <v>0</v>
      </c>
      <c r="CG390" s="199">
        <f>SUM(CG378:CG388)</f>
        <v>0</v>
      </c>
    </row>
    <row r="391" spans="1:85" x14ac:dyDescent="0.2">
      <c r="B391" s="197"/>
      <c r="C391" s="1048"/>
      <c r="D391" s="1048"/>
      <c r="E391" s="1396"/>
      <c r="F391" s="1389"/>
      <c r="G391" s="1389"/>
      <c r="H391" s="1389"/>
      <c r="I391" s="1389"/>
      <c r="J391" s="1389"/>
      <c r="K391" s="1048"/>
      <c r="L391" s="197"/>
      <c r="M391" s="197"/>
      <c r="N391" s="1048"/>
      <c r="O391" s="1048"/>
      <c r="P391" s="1048"/>
      <c r="Q391" s="1048"/>
      <c r="R391" s="1048"/>
      <c r="S391" s="1139"/>
      <c r="T391" s="1139"/>
      <c r="U391" s="1048"/>
      <c r="V391" s="1301"/>
      <c r="W391" s="1048"/>
      <c r="X391" s="1048"/>
      <c r="Y391" s="1139"/>
      <c r="Z391" s="1139"/>
      <c r="AA391" s="1139"/>
      <c r="AB391" s="1139"/>
      <c r="AC391" s="1139"/>
      <c r="AD391" s="1139"/>
      <c r="AE391" s="1139"/>
      <c r="AF391" s="1048"/>
      <c r="AG391" s="1139"/>
      <c r="AH391" s="1139"/>
      <c r="AI391" s="1139"/>
      <c r="AJ391" s="1139"/>
      <c r="AK391" s="1139"/>
      <c r="AL391" s="1139"/>
      <c r="AM391" s="1139"/>
      <c r="AN391" s="1139"/>
      <c r="AO391" s="1139"/>
      <c r="AP391" s="1139"/>
      <c r="AQ391" s="1139"/>
      <c r="AR391" s="1139"/>
      <c r="AS391" s="1139"/>
      <c r="AT391" s="1139"/>
      <c r="AU391" s="1048"/>
      <c r="AV391" s="1139"/>
      <c r="AW391" s="1048"/>
      <c r="AX391" s="1048"/>
      <c r="AY391" s="1301"/>
      <c r="AZ391" s="1301"/>
      <c r="BA391" s="1301"/>
      <c r="BB391" s="1301"/>
      <c r="BC391" s="1301"/>
      <c r="BD391" s="1139"/>
      <c r="BE391" s="197"/>
      <c r="BF391" s="1139"/>
      <c r="BG391" s="197"/>
      <c r="BH391" s="1139"/>
      <c r="BI391" s="197"/>
      <c r="BJ391" s="197"/>
      <c r="BK391" s="1322"/>
      <c r="BL391" s="1322"/>
      <c r="BM391" s="1139"/>
      <c r="BN391" s="197"/>
      <c r="BO391" s="197"/>
      <c r="BP391" s="1139"/>
      <c r="BQ391" s="1139"/>
      <c r="BR391" s="1139"/>
      <c r="BS391" s="1139"/>
      <c r="BT391" s="1048"/>
      <c r="BU391" s="1048"/>
      <c r="BV391" s="1048"/>
      <c r="BW391" s="1139"/>
      <c r="BX391" s="1048"/>
      <c r="BY391" s="1211"/>
      <c r="BZ391" s="1048"/>
      <c r="CA391" s="197"/>
      <c r="CB391" s="197"/>
      <c r="CD391" s="197"/>
      <c r="CE391" s="197"/>
      <c r="CF391" s="197"/>
      <c r="CG391" s="197"/>
    </row>
    <row r="392" spans="1:85" x14ac:dyDescent="0.2">
      <c r="A392" s="193" t="s">
        <v>931</v>
      </c>
      <c r="C392" s="928"/>
      <c r="D392" s="928"/>
      <c r="E392" s="1396"/>
      <c r="F392" s="1389"/>
      <c r="G392" s="1389"/>
      <c r="H392" s="1389"/>
      <c r="I392" s="1389"/>
      <c r="J392" s="1389"/>
      <c r="K392" s="928"/>
      <c r="N392" s="928"/>
      <c r="O392" s="928"/>
      <c r="P392" s="928"/>
      <c r="Q392" s="928"/>
      <c r="R392" s="928"/>
      <c r="S392" s="1097"/>
      <c r="T392" s="1097"/>
      <c r="U392" s="928"/>
      <c r="V392" s="1251"/>
      <c r="W392" s="928"/>
      <c r="X392" s="928"/>
      <c r="Y392" s="1097"/>
      <c r="Z392" s="1097"/>
      <c r="AA392" s="1097"/>
      <c r="AB392" s="1097"/>
      <c r="AC392" s="1097"/>
      <c r="AD392" s="1097"/>
      <c r="AE392" s="1097"/>
      <c r="AF392" s="928"/>
      <c r="AG392" s="1097"/>
      <c r="AH392" s="1097"/>
      <c r="AI392" s="1097"/>
      <c r="AJ392" s="1097"/>
      <c r="AK392" s="1097"/>
      <c r="AL392" s="1097"/>
      <c r="AM392" s="1097"/>
      <c r="AN392" s="1097"/>
      <c r="AO392" s="1097"/>
      <c r="AP392" s="1097"/>
      <c r="AQ392" s="1097"/>
      <c r="AR392" s="1097"/>
      <c r="AS392" s="1097"/>
      <c r="AT392" s="1097"/>
      <c r="AU392" s="928"/>
      <c r="AV392" s="1097"/>
      <c r="AW392" s="928"/>
      <c r="AX392" s="928"/>
      <c r="AY392" s="1251"/>
      <c r="AZ392" s="1251"/>
      <c r="BA392" s="1251"/>
      <c r="BB392" s="1251"/>
      <c r="BC392" s="1251"/>
      <c r="BD392" s="1097"/>
      <c r="BF392" s="1097"/>
      <c r="BH392" s="1097"/>
      <c r="BK392" s="1102"/>
      <c r="BL392" s="1102"/>
      <c r="BM392" s="1097"/>
      <c r="BP392" s="1097"/>
      <c r="BQ392" s="1097"/>
      <c r="BR392" s="1097"/>
      <c r="BS392" s="1097"/>
      <c r="BT392" s="928"/>
      <c r="BU392" s="928"/>
      <c r="BV392" s="928"/>
      <c r="BW392" s="1097"/>
      <c r="BX392" s="928"/>
      <c r="BY392" s="1210"/>
      <c r="BZ392" s="928"/>
    </row>
    <row r="393" spans="1:85" s="938" customFormat="1" x14ac:dyDescent="0.2">
      <c r="A393" s="937" t="s">
        <v>869</v>
      </c>
      <c r="C393" s="928"/>
      <c r="D393" s="928"/>
      <c r="E393" s="1396"/>
      <c r="F393" s="1410"/>
      <c r="G393" s="1410"/>
      <c r="H393" s="1410"/>
      <c r="I393" s="1410"/>
      <c r="J393" s="1410"/>
      <c r="K393" s="928"/>
      <c r="N393" s="928"/>
      <c r="O393" s="928"/>
      <c r="P393" s="1141"/>
      <c r="Q393" s="928"/>
      <c r="R393" s="928"/>
      <c r="S393" s="1141"/>
      <c r="T393" s="1141"/>
      <c r="U393" s="1141"/>
      <c r="V393" s="1303"/>
      <c r="W393" s="928"/>
      <c r="X393" s="928"/>
      <c r="Y393" s="1141"/>
      <c r="Z393" s="1141"/>
      <c r="AA393" s="1141"/>
      <c r="AB393" s="1141"/>
      <c r="AC393" s="1141"/>
      <c r="AD393" s="1141"/>
      <c r="AE393" s="1141"/>
      <c r="AF393" s="928"/>
      <c r="AG393" s="1141"/>
      <c r="AH393" s="1141"/>
      <c r="AI393" s="1141"/>
      <c r="AJ393" s="1141"/>
      <c r="AK393" s="1141"/>
      <c r="AL393" s="1141"/>
      <c r="AM393" s="1141"/>
      <c r="AN393" s="1141"/>
      <c r="AO393" s="1141"/>
      <c r="AP393" s="1141"/>
      <c r="AQ393" s="1141"/>
      <c r="AR393" s="1141"/>
      <c r="AS393" s="1097"/>
      <c r="AT393" s="1097"/>
      <c r="AU393" s="928"/>
      <c r="AV393" s="1097"/>
      <c r="AW393" s="928"/>
      <c r="AX393" s="1141"/>
      <c r="AY393" s="1303"/>
      <c r="AZ393" s="1303"/>
      <c r="BA393" s="1303"/>
      <c r="BB393" s="1303"/>
      <c r="BC393" s="1303"/>
      <c r="BD393" s="1141"/>
      <c r="BF393" s="1141"/>
      <c r="BH393" s="1141"/>
      <c r="BK393" s="1102"/>
      <c r="BL393" s="1102"/>
      <c r="BM393" s="1141"/>
      <c r="BP393" s="1141"/>
      <c r="BQ393" s="1097"/>
      <c r="BR393" s="1097"/>
      <c r="BS393" s="1097"/>
      <c r="BT393" s="1141"/>
      <c r="BU393" s="1141"/>
      <c r="BV393" s="1141"/>
      <c r="BW393" s="1141"/>
      <c r="BX393" s="1141"/>
      <c r="BY393" s="1210"/>
      <c r="BZ393" s="928"/>
      <c r="CC393" s="939"/>
      <c r="CD393" s="938">
        <f>SUM(CE393:CG393)</f>
        <v>0</v>
      </c>
    </row>
    <row r="394" spans="1:85" x14ac:dyDescent="0.2">
      <c r="A394" s="941" t="s">
        <v>870</v>
      </c>
      <c r="B394" s="196">
        <f t="shared" ref="B394:B404" si="504">SUM(C394:CB394)</f>
        <v>765507</v>
      </c>
      <c r="C394" s="928">
        <v>435932</v>
      </c>
      <c r="D394" s="928">
        <v>280366</v>
      </c>
      <c r="E394" s="1396"/>
      <c r="F394" s="1396"/>
      <c r="G394" s="1396"/>
      <c r="H394" s="1396"/>
      <c r="I394" s="1396"/>
      <c r="J394" s="1396"/>
      <c r="K394" s="928"/>
      <c r="N394" s="928"/>
      <c r="O394" s="928">
        <v>5488</v>
      </c>
      <c r="P394" s="928"/>
      <c r="Q394" s="928"/>
      <c r="R394" s="928"/>
      <c r="S394" s="1097"/>
      <c r="T394" s="1097"/>
      <c r="U394" s="928"/>
      <c r="V394" s="1097"/>
      <c r="W394" s="928"/>
      <c r="X394" s="928">
        <v>43721</v>
      </c>
      <c r="Y394" s="928"/>
      <c r="Z394" s="928"/>
      <c r="AA394" s="928"/>
      <c r="AB394" s="928"/>
      <c r="AC394" s="928"/>
      <c r="AD394" s="928"/>
      <c r="AE394" s="928"/>
      <c r="AF394" s="928"/>
      <c r="AG394" s="928"/>
      <c r="AH394" s="928"/>
      <c r="AI394" s="928"/>
      <c r="AJ394" s="928"/>
      <c r="AK394" s="928"/>
      <c r="AL394" s="928"/>
      <c r="AM394" s="928"/>
      <c r="AN394" s="928"/>
      <c r="AO394" s="928"/>
      <c r="AP394" s="928"/>
      <c r="AQ394" s="928"/>
      <c r="AR394" s="928"/>
      <c r="AS394" s="928"/>
      <c r="AT394" s="928"/>
      <c r="AU394" s="928"/>
      <c r="AV394" s="928"/>
      <c r="AW394" s="928"/>
      <c r="AX394" s="928"/>
      <c r="AY394" s="1097"/>
      <c r="AZ394" s="1097"/>
      <c r="BA394" s="1097"/>
      <c r="BB394" s="1097"/>
      <c r="BC394" s="1097"/>
      <c r="BD394" s="1097"/>
      <c r="BF394" s="1097"/>
      <c r="BH394" s="1097"/>
      <c r="BK394" s="1097"/>
      <c r="BL394" s="1097"/>
      <c r="BM394" s="1097"/>
      <c r="BP394" s="1097"/>
      <c r="BQ394" s="1097"/>
      <c r="BR394" s="1097"/>
      <c r="BS394" s="1097"/>
      <c r="BT394" s="1435"/>
      <c r="BU394" s="928"/>
      <c r="BV394" s="1338"/>
      <c r="BW394" s="1097"/>
      <c r="BX394" s="928"/>
      <c r="BY394" s="1210"/>
      <c r="BZ394" s="928"/>
      <c r="CA394" s="1097"/>
    </row>
    <row r="395" spans="1:85" x14ac:dyDescent="0.2">
      <c r="A395" s="941" t="s">
        <v>871</v>
      </c>
      <c r="B395" s="196">
        <f t="shared" si="504"/>
        <v>514843</v>
      </c>
      <c r="C395" s="928">
        <v>392132</v>
      </c>
      <c r="D395" s="928"/>
      <c r="E395" s="1396"/>
      <c r="F395" s="1396"/>
      <c r="G395" s="1396"/>
      <c r="H395" s="1396"/>
      <c r="I395" s="1396"/>
      <c r="J395" s="1396"/>
      <c r="K395" s="928">
        <v>24389</v>
      </c>
      <c r="N395" s="928"/>
      <c r="O395" s="928"/>
      <c r="P395" s="928"/>
      <c r="Q395" s="928"/>
      <c r="R395" s="928">
        <v>49161</v>
      </c>
      <c r="S395" s="1097">
        <v>49161</v>
      </c>
      <c r="T395" s="1097"/>
      <c r="U395" s="928"/>
      <c r="V395" s="1097"/>
      <c r="W395" s="928"/>
      <c r="X395" s="928"/>
      <c r="Y395" s="928"/>
      <c r="Z395" s="928"/>
      <c r="AA395" s="928"/>
      <c r="AB395" s="928"/>
      <c r="AC395" s="928"/>
      <c r="AD395" s="928"/>
      <c r="AE395" s="928"/>
      <c r="AF395" s="928"/>
      <c r="AG395" s="928"/>
      <c r="AH395" s="928"/>
      <c r="AI395" s="928"/>
      <c r="AJ395" s="928"/>
      <c r="AK395" s="928"/>
      <c r="AL395" s="928"/>
      <c r="AM395" s="928"/>
      <c r="AN395" s="928"/>
      <c r="AO395" s="928"/>
      <c r="AP395" s="928"/>
      <c r="AQ395" s="928"/>
      <c r="AR395" s="928"/>
      <c r="AS395" s="928"/>
      <c r="AT395" s="928"/>
      <c r="AU395" s="928"/>
      <c r="AV395" s="928"/>
      <c r="AW395" s="928"/>
      <c r="AX395" s="928"/>
      <c r="AY395" s="1097"/>
      <c r="AZ395" s="1097"/>
      <c r="BA395" s="1097"/>
      <c r="BB395" s="1097"/>
      <c r="BC395" s="1097"/>
      <c r="BD395" s="1097"/>
      <c r="BF395" s="1097"/>
      <c r="BH395" s="1097"/>
      <c r="BK395" s="1097"/>
      <c r="BL395" s="1097"/>
      <c r="BM395" s="1097"/>
      <c r="BP395" s="1097"/>
      <c r="BQ395" s="1097"/>
      <c r="BR395" s="1097"/>
      <c r="BS395" s="1097"/>
      <c r="BT395" s="1435"/>
      <c r="BU395" s="928"/>
      <c r="BV395" s="1338"/>
      <c r="BW395" s="1097"/>
      <c r="BX395" s="928"/>
      <c r="BY395" s="1210"/>
      <c r="BZ395" s="928"/>
      <c r="CA395" s="1097"/>
    </row>
    <row r="396" spans="1:85" x14ac:dyDescent="0.2">
      <c r="A396" s="941" t="s">
        <v>872</v>
      </c>
      <c r="B396" s="196">
        <f t="shared" si="504"/>
        <v>12357</v>
      </c>
      <c r="C396" s="928">
        <v>12357</v>
      </c>
      <c r="D396" s="928"/>
      <c r="E396" s="1396"/>
      <c r="F396" s="1396"/>
      <c r="G396" s="1396"/>
      <c r="H396" s="1396"/>
      <c r="I396" s="1396"/>
      <c r="J396" s="1396"/>
      <c r="K396" s="928"/>
      <c r="N396" s="928"/>
      <c r="O396" s="928"/>
      <c r="P396" s="928"/>
      <c r="Q396" s="928"/>
      <c r="R396" s="928"/>
      <c r="S396" s="1097"/>
      <c r="T396" s="1097"/>
      <c r="U396" s="928"/>
      <c r="V396" s="1097"/>
      <c r="W396" s="928"/>
      <c r="X396" s="928"/>
      <c r="Y396" s="928"/>
      <c r="Z396" s="928"/>
      <c r="AA396" s="928"/>
      <c r="AB396" s="928"/>
      <c r="AC396" s="928"/>
      <c r="AD396" s="928"/>
      <c r="AE396" s="928"/>
      <c r="AF396" s="928"/>
      <c r="AG396" s="928"/>
      <c r="AH396" s="928"/>
      <c r="AI396" s="928"/>
      <c r="AJ396" s="928"/>
      <c r="AK396" s="928"/>
      <c r="AL396" s="928"/>
      <c r="AM396" s="928"/>
      <c r="AN396" s="928"/>
      <c r="AO396" s="928"/>
      <c r="AP396" s="928"/>
      <c r="AQ396" s="928"/>
      <c r="AR396" s="928"/>
      <c r="AS396" s="928"/>
      <c r="AT396" s="928"/>
      <c r="AU396" s="928"/>
      <c r="AV396" s="928"/>
      <c r="AW396" s="928"/>
      <c r="AX396" s="928"/>
      <c r="AY396" s="1097"/>
      <c r="AZ396" s="1097"/>
      <c r="BA396" s="1097"/>
      <c r="BB396" s="1097"/>
      <c r="BC396" s="1097"/>
      <c r="BD396" s="1097"/>
      <c r="BF396" s="1097"/>
      <c r="BH396" s="1097"/>
      <c r="BK396" s="1097"/>
      <c r="BL396" s="1097"/>
      <c r="BM396" s="1097"/>
      <c r="BP396" s="1097"/>
      <c r="BQ396" s="1097"/>
      <c r="BR396" s="1097"/>
      <c r="BS396" s="1097"/>
      <c r="BT396" s="1435"/>
      <c r="BU396" s="928"/>
      <c r="BV396" s="1338"/>
      <c r="BW396" s="1097"/>
      <c r="BX396" s="928"/>
      <c r="BY396" s="1210"/>
      <c r="BZ396" s="928"/>
      <c r="CA396" s="1097"/>
    </row>
    <row r="397" spans="1:85" x14ac:dyDescent="0.2">
      <c r="A397" s="941" t="s">
        <v>873</v>
      </c>
      <c r="B397" s="196">
        <f t="shared" si="504"/>
        <v>19523</v>
      </c>
      <c r="C397" s="928">
        <v>17529</v>
      </c>
      <c r="D397" s="928"/>
      <c r="E397" s="1396"/>
      <c r="F397" s="1396"/>
      <c r="G397" s="1396"/>
      <c r="H397" s="1396"/>
      <c r="I397" s="1396"/>
      <c r="J397" s="1396"/>
      <c r="K397" s="928"/>
      <c r="N397" s="928"/>
      <c r="O397" s="928">
        <v>1994</v>
      </c>
      <c r="P397" s="928"/>
      <c r="Q397" s="928"/>
      <c r="R397" s="928"/>
      <c r="S397" s="1097"/>
      <c r="T397" s="1097"/>
      <c r="U397" s="928"/>
      <c r="V397" s="1097"/>
      <c r="W397" s="928"/>
      <c r="X397" s="928"/>
      <c r="Y397" s="928"/>
      <c r="Z397" s="928"/>
      <c r="AA397" s="928"/>
      <c r="AB397" s="928"/>
      <c r="AC397" s="928"/>
      <c r="AD397" s="928"/>
      <c r="AE397" s="928"/>
      <c r="AF397" s="928"/>
      <c r="AG397" s="928"/>
      <c r="AH397" s="928"/>
      <c r="AI397" s="928"/>
      <c r="AJ397" s="928"/>
      <c r="AK397" s="928"/>
      <c r="AL397" s="928"/>
      <c r="AM397" s="928"/>
      <c r="AN397" s="928"/>
      <c r="AO397" s="928"/>
      <c r="AP397" s="928"/>
      <c r="AQ397" s="928"/>
      <c r="AR397" s="928"/>
      <c r="AS397" s="928"/>
      <c r="AT397" s="928"/>
      <c r="AU397" s="928"/>
      <c r="AV397" s="928"/>
      <c r="AW397" s="928"/>
      <c r="AX397" s="928"/>
      <c r="AY397" s="1097"/>
      <c r="AZ397" s="1097"/>
      <c r="BA397" s="1097"/>
      <c r="BB397" s="1097"/>
      <c r="BC397" s="1097"/>
      <c r="BD397" s="1097"/>
      <c r="BF397" s="1097"/>
      <c r="BH397" s="1097"/>
      <c r="BK397" s="1097"/>
      <c r="BL397" s="1097"/>
      <c r="BM397" s="1097"/>
      <c r="BP397" s="1097"/>
      <c r="BQ397" s="1097"/>
      <c r="BR397" s="1097"/>
      <c r="BS397" s="1097"/>
      <c r="BT397" s="1435"/>
      <c r="BU397" s="928"/>
      <c r="BV397" s="1338"/>
      <c r="BW397" s="1097"/>
      <c r="BX397" s="928"/>
      <c r="BY397" s="1210"/>
      <c r="BZ397" s="928"/>
      <c r="CA397" s="1097"/>
    </row>
    <row r="398" spans="1:85" x14ac:dyDescent="0.2">
      <c r="A398" s="941" t="s">
        <v>874</v>
      </c>
      <c r="B398" s="196">
        <f t="shared" si="504"/>
        <v>110548</v>
      </c>
      <c r="C398" s="928"/>
      <c r="D398" s="928"/>
      <c r="E398" s="1396"/>
      <c r="F398" s="1396"/>
      <c r="G398" s="1396"/>
      <c r="H398" s="1396"/>
      <c r="I398" s="1396"/>
      <c r="J398" s="1396"/>
      <c r="K398" s="928"/>
      <c r="N398" s="928">
        <v>77647</v>
      </c>
      <c r="O398" s="928">
        <v>10754</v>
      </c>
      <c r="P398" s="928">
        <v>22147</v>
      </c>
      <c r="Q398" s="928"/>
      <c r="R398" s="928"/>
      <c r="S398" s="1097"/>
      <c r="T398" s="1097"/>
      <c r="U398" s="928"/>
      <c r="V398" s="1097"/>
      <c r="W398" s="928"/>
      <c r="X398" s="928"/>
      <c r="Y398" s="928"/>
      <c r="Z398" s="928"/>
      <c r="AA398" s="928"/>
      <c r="AB398" s="928"/>
      <c r="AC398" s="928"/>
      <c r="AD398" s="928"/>
      <c r="AE398" s="928"/>
      <c r="AF398" s="928"/>
      <c r="AG398" s="928"/>
      <c r="AH398" s="928"/>
      <c r="AI398" s="928"/>
      <c r="AJ398" s="928"/>
      <c r="AK398" s="928"/>
      <c r="AL398" s="928"/>
      <c r="AM398" s="928"/>
      <c r="AN398" s="928"/>
      <c r="AO398" s="928"/>
      <c r="AP398" s="928"/>
      <c r="AQ398" s="928"/>
      <c r="AR398" s="928"/>
      <c r="AS398" s="928"/>
      <c r="AT398" s="928"/>
      <c r="AU398" s="928"/>
      <c r="AV398" s="928"/>
      <c r="AW398" s="928"/>
      <c r="AX398" s="928"/>
      <c r="AY398" s="1097"/>
      <c r="AZ398" s="1097"/>
      <c r="BA398" s="1097"/>
      <c r="BB398" s="1097"/>
      <c r="BC398" s="1097"/>
      <c r="BD398" s="1097"/>
      <c r="BF398" s="1097"/>
      <c r="BH398" s="1097"/>
      <c r="BK398" s="1097"/>
      <c r="BL398" s="1097"/>
      <c r="BM398" s="1097"/>
      <c r="BP398" s="1097"/>
      <c r="BQ398" s="1097"/>
      <c r="BR398" s="1097"/>
      <c r="BS398" s="1097"/>
      <c r="BT398" s="1435"/>
      <c r="BU398" s="928"/>
      <c r="BV398" s="1338"/>
      <c r="BW398" s="1097"/>
      <c r="BX398" s="928"/>
      <c r="BY398" s="1210"/>
      <c r="BZ398" s="928"/>
      <c r="CA398" s="1097"/>
    </row>
    <row r="399" spans="1:85" x14ac:dyDescent="0.2">
      <c r="A399" s="940" t="s">
        <v>944</v>
      </c>
      <c r="B399" s="196">
        <f t="shared" si="504"/>
        <v>5626</v>
      </c>
      <c r="C399" s="928">
        <v>3031</v>
      </c>
      <c r="D399" s="928">
        <v>1942</v>
      </c>
      <c r="E399" s="1396"/>
      <c r="F399" s="1396"/>
      <c r="G399" s="1396"/>
      <c r="H399" s="1396"/>
      <c r="I399" s="1396"/>
      <c r="J399" s="1396"/>
      <c r="K399" s="928"/>
      <c r="N399" s="928">
        <v>499</v>
      </c>
      <c r="O399" s="928"/>
      <c r="P399" s="928">
        <v>154</v>
      </c>
      <c r="Q399" s="928"/>
      <c r="R399" s="928"/>
      <c r="S399" s="1097"/>
      <c r="T399" s="1097"/>
      <c r="U399" s="928"/>
      <c r="V399" s="1097"/>
      <c r="W399" s="928"/>
      <c r="X399" s="928"/>
      <c r="Y399" s="928"/>
      <c r="Z399" s="928"/>
      <c r="AA399" s="928"/>
      <c r="AB399" s="928"/>
      <c r="AC399" s="928"/>
      <c r="AD399" s="928"/>
      <c r="AE399" s="928"/>
      <c r="AF399" s="928"/>
      <c r="AG399" s="928"/>
      <c r="AH399" s="928"/>
      <c r="AI399" s="928"/>
      <c r="AJ399" s="928"/>
      <c r="AK399" s="928"/>
      <c r="AL399" s="928"/>
      <c r="AM399" s="928"/>
      <c r="AN399" s="928"/>
      <c r="AO399" s="928"/>
      <c r="AP399" s="928"/>
      <c r="AQ399" s="928"/>
      <c r="AR399" s="928"/>
      <c r="AS399" s="928"/>
      <c r="AT399" s="928"/>
      <c r="AU399" s="928"/>
      <c r="AV399" s="928"/>
      <c r="AW399" s="928"/>
      <c r="AX399" s="928"/>
      <c r="AY399" s="1097"/>
      <c r="AZ399" s="1097"/>
      <c r="BA399" s="1097"/>
      <c r="BB399" s="1097"/>
      <c r="BC399" s="1097"/>
      <c r="BD399" s="1097"/>
      <c r="BF399" s="1097"/>
      <c r="BH399" s="1097"/>
      <c r="BK399" s="1097"/>
      <c r="BL399" s="1097"/>
      <c r="BM399" s="1097"/>
      <c r="BP399" s="1097"/>
      <c r="BQ399" s="1097"/>
      <c r="BR399" s="1097"/>
      <c r="BS399" s="1097"/>
      <c r="BT399" s="1435"/>
      <c r="BU399" s="928"/>
      <c r="BV399" s="1338"/>
      <c r="BW399" s="1097"/>
      <c r="BX399" s="928"/>
      <c r="BY399" s="1210"/>
      <c r="BZ399" s="928"/>
      <c r="CA399" s="1097"/>
    </row>
    <row r="400" spans="1:85" x14ac:dyDescent="0.2">
      <c r="A400" s="940" t="s">
        <v>947</v>
      </c>
      <c r="B400" s="196">
        <f t="shared" si="504"/>
        <v>487646</v>
      </c>
      <c r="C400" s="928">
        <v>487646</v>
      </c>
      <c r="D400" s="928"/>
      <c r="E400" s="1396"/>
      <c r="F400" s="1396"/>
      <c r="G400" s="1396"/>
      <c r="H400" s="1396"/>
      <c r="I400" s="1396"/>
      <c r="J400" s="1396"/>
      <c r="K400" s="928"/>
      <c r="N400" s="928"/>
      <c r="O400" s="928"/>
      <c r="P400" s="928"/>
      <c r="Q400" s="928"/>
      <c r="R400" s="928"/>
      <c r="S400" s="1097"/>
      <c r="T400" s="1097"/>
      <c r="U400" s="928"/>
      <c r="V400" s="1097"/>
      <c r="W400" s="928"/>
      <c r="X400" s="928"/>
      <c r="Y400" s="928"/>
      <c r="Z400" s="928"/>
      <c r="AA400" s="928"/>
      <c r="AB400" s="928"/>
      <c r="AC400" s="928"/>
      <c r="AD400" s="928"/>
      <c r="AE400" s="928"/>
      <c r="AF400" s="928"/>
      <c r="AG400" s="928"/>
      <c r="AH400" s="928"/>
      <c r="AI400" s="928"/>
      <c r="AJ400" s="928"/>
      <c r="AK400" s="928"/>
      <c r="AL400" s="928"/>
      <c r="AM400" s="928"/>
      <c r="AN400" s="928"/>
      <c r="AO400" s="928"/>
      <c r="AP400" s="928"/>
      <c r="AQ400" s="928"/>
      <c r="AR400" s="928"/>
      <c r="AS400" s="928"/>
      <c r="AT400" s="928"/>
      <c r="AU400" s="928"/>
      <c r="AV400" s="928"/>
      <c r="AW400" s="928"/>
      <c r="AX400" s="928"/>
      <c r="AY400" s="1097"/>
      <c r="AZ400" s="1097"/>
      <c r="BA400" s="1097"/>
      <c r="BB400" s="1097"/>
      <c r="BC400" s="1097"/>
      <c r="BD400" s="1097"/>
      <c r="BF400" s="1097"/>
      <c r="BH400" s="1097"/>
      <c r="BK400" s="1097"/>
      <c r="BL400" s="1097"/>
      <c r="BM400" s="1097"/>
      <c r="BP400" s="1097"/>
      <c r="BQ400" s="1097"/>
      <c r="BR400" s="1097"/>
      <c r="BS400" s="1097"/>
      <c r="BT400" s="1435"/>
      <c r="BU400" s="928"/>
      <c r="BV400" s="1338"/>
      <c r="BW400" s="1097"/>
      <c r="BX400" s="928"/>
      <c r="BY400" s="1210"/>
      <c r="BZ400" s="928"/>
      <c r="CA400" s="1097"/>
    </row>
    <row r="401" spans="1:87" x14ac:dyDescent="0.2">
      <c r="A401" s="940" t="s">
        <v>774</v>
      </c>
      <c r="B401" s="196">
        <f t="shared" si="504"/>
        <v>81677</v>
      </c>
      <c r="C401" s="928">
        <v>16540</v>
      </c>
      <c r="D401" s="928">
        <v>4968</v>
      </c>
      <c r="E401" s="1396">
        <v>8223</v>
      </c>
      <c r="F401" s="1396">
        <v>42</v>
      </c>
      <c r="G401" s="1396">
        <v>67</v>
      </c>
      <c r="H401" s="1396">
        <v>145</v>
      </c>
      <c r="I401" s="1396">
        <v>300</v>
      </c>
      <c r="J401" s="1396"/>
      <c r="K401" s="928">
        <v>676</v>
      </c>
      <c r="N401" s="928">
        <v>4320</v>
      </c>
      <c r="O401" s="928">
        <v>3695</v>
      </c>
      <c r="P401" s="928">
        <v>311</v>
      </c>
      <c r="Q401" s="928">
        <v>1586</v>
      </c>
      <c r="R401" s="928">
        <v>1</v>
      </c>
      <c r="S401" s="1097">
        <v>9</v>
      </c>
      <c r="T401" s="1097">
        <v>32</v>
      </c>
      <c r="U401" s="928">
        <v>211</v>
      </c>
      <c r="V401" s="1097">
        <v>348</v>
      </c>
      <c r="W401" s="928">
        <v>2102</v>
      </c>
      <c r="X401" s="928">
        <v>1886</v>
      </c>
      <c r="Y401" s="928"/>
      <c r="Z401" s="928"/>
      <c r="AA401" s="928"/>
      <c r="AB401" s="928">
        <f>375+1</f>
        <v>376</v>
      </c>
      <c r="AC401" s="928">
        <f>1057+1</f>
        <v>1058</v>
      </c>
      <c r="AD401" s="928">
        <f>11141+1</f>
        <v>11142</v>
      </c>
      <c r="AE401" s="928">
        <f>3810-1</f>
        <v>3809</v>
      </c>
      <c r="AF401" s="928">
        <v>0</v>
      </c>
      <c r="AG401" s="928">
        <v>0</v>
      </c>
      <c r="AH401" s="928">
        <v>0</v>
      </c>
      <c r="AI401" s="928"/>
      <c r="AJ401" s="928"/>
      <c r="AK401" s="928">
        <v>2714</v>
      </c>
      <c r="AL401" s="928">
        <f>260-1</f>
        <v>259</v>
      </c>
      <c r="AM401" s="928">
        <f>344+1</f>
        <v>345</v>
      </c>
      <c r="AN401" s="928">
        <f>1022-1</f>
        <v>1021</v>
      </c>
      <c r="AO401" s="928">
        <v>878</v>
      </c>
      <c r="AP401" s="928">
        <f>67+1</f>
        <v>68</v>
      </c>
      <c r="AQ401" s="928"/>
      <c r="AR401" s="928">
        <v>0</v>
      </c>
      <c r="AS401" s="928">
        <v>0</v>
      </c>
      <c r="AT401" s="928">
        <v>0</v>
      </c>
      <c r="AU401" s="928">
        <v>36</v>
      </c>
      <c r="AV401" s="928">
        <v>0</v>
      </c>
      <c r="AW401" s="928">
        <f>1110-1</f>
        <v>1109</v>
      </c>
      <c r="AX401" s="928"/>
      <c r="AY401" s="1097">
        <v>13</v>
      </c>
      <c r="AZ401" s="1097">
        <v>167</v>
      </c>
      <c r="BA401" s="1097">
        <v>11</v>
      </c>
      <c r="BB401" s="1097">
        <v>19</v>
      </c>
      <c r="BC401" s="1097">
        <v>46</v>
      </c>
      <c r="BD401" s="1097"/>
      <c r="BE401" s="196">
        <v>10</v>
      </c>
      <c r="BF401" s="1097"/>
      <c r="BH401" s="1097"/>
      <c r="BJ401" s="196">
        <v>192</v>
      </c>
      <c r="BK401" s="1097">
        <v>1094</v>
      </c>
      <c r="BL401" s="1097">
        <v>30</v>
      </c>
      <c r="BM401" s="1097">
        <v>3</v>
      </c>
      <c r="BP401" s="1097">
        <v>81</v>
      </c>
      <c r="BQ401" s="1097">
        <v>2356</v>
      </c>
      <c r="BR401" s="1097">
        <v>1397</v>
      </c>
      <c r="BS401" s="1097">
        <v>82</v>
      </c>
      <c r="BT401" s="1337">
        <v>994</v>
      </c>
      <c r="BU401" s="928">
        <v>859</v>
      </c>
      <c r="BV401" s="1337">
        <v>1306</v>
      </c>
      <c r="BW401" s="1097">
        <v>265</v>
      </c>
      <c r="BX401" s="928">
        <v>4475</v>
      </c>
      <c r="BY401" s="1210"/>
      <c r="BZ401" s="928"/>
      <c r="CA401" s="1097"/>
    </row>
    <row r="402" spans="1:87" x14ac:dyDescent="0.2">
      <c r="A402" s="940" t="s">
        <v>775</v>
      </c>
      <c r="B402" s="196">
        <f t="shared" si="504"/>
        <v>112231</v>
      </c>
      <c r="C402" s="928">
        <v>22584</v>
      </c>
      <c r="D402" s="928">
        <v>72</v>
      </c>
      <c r="E402" s="1396">
        <v>143</v>
      </c>
      <c r="F402" s="1396">
        <v>330</v>
      </c>
      <c r="G402" s="1396">
        <v>793</v>
      </c>
      <c r="H402" s="1396"/>
      <c r="I402" s="1396">
        <v>2054</v>
      </c>
      <c r="J402" s="1396"/>
      <c r="K402" s="928"/>
      <c r="N402" s="928">
        <v>1490</v>
      </c>
      <c r="O402" s="928">
        <v>14412</v>
      </c>
      <c r="P402" s="928"/>
      <c r="Q402" s="928">
        <v>138</v>
      </c>
      <c r="R402" s="928">
        <v>34460</v>
      </c>
      <c r="S402" s="1097">
        <v>2664</v>
      </c>
      <c r="T402" s="1097"/>
      <c r="U402" s="928"/>
      <c r="V402" s="1097">
        <v>478</v>
      </c>
      <c r="W402" s="928">
        <v>283</v>
      </c>
      <c r="X402" s="928"/>
      <c r="Y402" s="928"/>
      <c r="Z402" s="928"/>
      <c r="AA402" s="928"/>
      <c r="AB402" s="928">
        <v>0</v>
      </c>
      <c r="AC402" s="928">
        <v>0</v>
      </c>
      <c r="AD402" s="928">
        <v>0</v>
      </c>
      <c r="AE402" s="928">
        <v>0</v>
      </c>
      <c r="AF402" s="928">
        <v>47</v>
      </c>
      <c r="AG402" s="928">
        <v>0</v>
      </c>
      <c r="AH402" s="928">
        <v>0</v>
      </c>
      <c r="AI402" s="928"/>
      <c r="AJ402" s="928"/>
      <c r="AK402" s="928">
        <v>0</v>
      </c>
      <c r="AL402" s="928">
        <v>0</v>
      </c>
      <c r="AM402" s="928">
        <v>0</v>
      </c>
      <c r="AN402" s="928">
        <v>0</v>
      </c>
      <c r="AO402" s="928">
        <v>0</v>
      </c>
      <c r="AP402" s="928">
        <v>0</v>
      </c>
      <c r="AQ402" s="928"/>
      <c r="AR402" s="928">
        <v>0</v>
      </c>
      <c r="AS402" s="928">
        <v>0</v>
      </c>
      <c r="AT402" s="928">
        <v>7</v>
      </c>
      <c r="AU402" s="928">
        <v>0</v>
      </c>
      <c r="AV402" s="928">
        <v>0</v>
      </c>
      <c r="AW402" s="928">
        <v>0</v>
      </c>
      <c r="AX402" s="928"/>
      <c r="AY402" s="1097"/>
      <c r="AZ402" s="1097"/>
      <c r="BA402" s="1097"/>
      <c r="BB402" s="1097"/>
      <c r="BC402" s="1097"/>
      <c r="BD402" s="1097">
        <v>194</v>
      </c>
      <c r="BF402" s="1097">
        <v>3</v>
      </c>
      <c r="BH402" s="1097">
        <f>32248-25892-1</f>
        <v>6355</v>
      </c>
      <c r="BJ402" s="196">
        <v>86</v>
      </c>
      <c r="BK402" s="1097"/>
      <c r="BL402" s="1097"/>
      <c r="BM402" s="1097"/>
      <c r="BP402" s="1097">
        <v>121</v>
      </c>
      <c r="BQ402" s="1097">
        <f>3713+1</f>
        <v>3714</v>
      </c>
      <c r="BR402" s="1097"/>
      <c r="BS402" s="1097"/>
      <c r="BT402" s="1337">
        <v>14751</v>
      </c>
      <c r="BU402" s="928">
        <v>116</v>
      </c>
      <c r="BV402" s="1337">
        <v>421</v>
      </c>
      <c r="BW402" s="1097">
        <v>481</v>
      </c>
      <c r="BX402" s="928">
        <v>6008</v>
      </c>
      <c r="BY402" s="1210">
        <v>26</v>
      </c>
      <c r="BZ402" s="928"/>
      <c r="CA402" s="1097"/>
    </row>
    <row r="403" spans="1:87" x14ac:dyDescent="0.2">
      <c r="A403" s="940" t="s">
        <v>776</v>
      </c>
      <c r="B403" s="196">
        <f t="shared" si="504"/>
        <v>0</v>
      </c>
      <c r="C403" s="928"/>
      <c r="D403" s="928"/>
      <c r="E403" s="1396"/>
      <c r="F403" s="1396"/>
      <c r="G403" s="1396"/>
      <c r="H403" s="1396"/>
      <c r="I403" s="1396"/>
      <c r="J403" s="1396"/>
      <c r="K403" s="928"/>
      <c r="N403" s="928"/>
      <c r="O403" s="928"/>
      <c r="P403" s="928"/>
      <c r="Q403" s="928"/>
      <c r="R403" s="928"/>
      <c r="S403" s="1097"/>
      <c r="T403" s="1097"/>
      <c r="U403" s="928"/>
      <c r="V403" s="1097"/>
      <c r="W403" s="928"/>
      <c r="X403" s="928"/>
      <c r="Y403" s="928"/>
      <c r="Z403" s="928"/>
      <c r="AA403" s="928"/>
      <c r="AB403" s="928"/>
      <c r="AC403" s="928"/>
      <c r="AD403" s="928"/>
      <c r="AE403" s="928"/>
      <c r="AF403" s="928"/>
      <c r="AG403" s="928"/>
      <c r="AH403" s="928"/>
      <c r="AI403" s="928"/>
      <c r="AJ403" s="928"/>
      <c r="AK403" s="928"/>
      <c r="AL403" s="928"/>
      <c r="AM403" s="928"/>
      <c r="AN403" s="928"/>
      <c r="AO403" s="928"/>
      <c r="AP403" s="928"/>
      <c r="AQ403" s="928"/>
      <c r="AR403" s="928"/>
      <c r="AS403" s="928"/>
      <c r="AT403" s="928"/>
      <c r="AU403" s="928"/>
      <c r="AV403" s="928"/>
      <c r="AW403" s="928"/>
      <c r="AX403" s="928"/>
      <c r="AY403" s="1097"/>
      <c r="AZ403" s="1097"/>
      <c r="BA403" s="1097"/>
      <c r="BB403" s="1097"/>
      <c r="BC403" s="1097"/>
      <c r="BD403" s="1097"/>
      <c r="BF403" s="1097"/>
      <c r="BH403" s="1097"/>
      <c r="BK403" s="1097"/>
      <c r="BL403" s="1097"/>
      <c r="BM403" s="1097"/>
      <c r="BP403" s="1097"/>
      <c r="BQ403" s="1097"/>
      <c r="BR403" s="1097"/>
      <c r="BS403" s="1097"/>
      <c r="BT403" s="1337"/>
      <c r="BU403" s="928"/>
      <c r="BV403" s="1337"/>
      <c r="BW403" s="1097"/>
      <c r="BX403" s="928"/>
      <c r="BY403" s="1210"/>
      <c r="BZ403" s="928"/>
      <c r="CA403" s="1097"/>
    </row>
    <row r="404" spans="1:87" x14ac:dyDescent="0.2">
      <c r="A404" s="940" t="s">
        <v>778</v>
      </c>
      <c r="B404" s="196">
        <f t="shared" si="504"/>
        <v>288</v>
      </c>
      <c r="C404" s="928">
        <v>-77501</v>
      </c>
      <c r="D404" s="928">
        <v>21717</v>
      </c>
      <c r="E404" s="1396">
        <v>-765</v>
      </c>
      <c r="F404" s="1396">
        <v>-7283</v>
      </c>
      <c r="G404" s="1396">
        <v>-99</v>
      </c>
      <c r="H404" s="1396"/>
      <c r="I404" s="1396"/>
      <c r="J404" s="1396"/>
      <c r="K404" s="928">
        <v>-25267</v>
      </c>
      <c r="N404" s="928">
        <v>-52082</v>
      </c>
      <c r="O404" s="928">
        <v>15016</v>
      </c>
      <c r="P404" s="928">
        <v>-22380</v>
      </c>
      <c r="Q404" s="928">
        <v>-16021</v>
      </c>
      <c r="R404" s="928">
        <v>-49234</v>
      </c>
      <c r="S404" s="1097">
        <v>-49468</v>
      </c>
      <c r="T404" s="1097"/>
      <c r="U404" s="928">
        <v>-6282</v>
      </c>
      <c r="V404" s="1097">
        <v>233</v>
      </c>
      <c r="W404" s="928">
        <v>-28546</v>
      </c>
      <c r="X404" s="928">
        <v>-7097</v>
      </c>
      <c r="Y404" s="928"/>
      <c r="Z404" s="928"/>
      <c r="AA404" s="928"/>
      <c r="AB404" s="928">
        <f>-1824-176</f>
        <v>-2000</v>
      </c>
      <c r="AC404" s="928">
        <f>-9083-96-1</f>
        <v>-9180</v>
      </c>
      <c r="AD404" s="928">
        <f>-104041-3291-492+59</f>
        <v>-107765</v>
      </c>
      <c r="AE404" s="928">
        <f>-46976-1976+1-1495-19</f>
        <v>-50465</v>
      </c>
      <c r="AF404" s="928">
        <v>186154</v>
      </c>
      <c r="AG404" s="928">
        <v>0</v>
      </c>
      <c r="AH404" s="928">
        <v>0</v>
      </c>
      <c r="AI404" s="928"/>
      <c r="AJ404" s="928"/>
      <c r="AK404" s="928">
        <v>-18276</v>
      </c>
      <c r="AL404" s="928">
        <f>-2965-1</f>
        <v>-2966</v>
      </c>
      <c r="AM404" s="928">
        <v>-807</v>
      </c>
      <c r="AN404" s="928">
        <f>-5408-2</f>
        <v>-5410</v>
      </c>
      <c r="AO404" s="928">
        <f>-8922-223-65+3</f>
        <v>-9207</v>
      </c>
      <c r="AP404" s="928">
        <v>-44837</v>
      </c>
      <c r="AQ404" s="928"/>
      <c r="AR404" s="928">
        <v>23234</v>
      </c>
      <c r="AS404" s="928">
        <v>0</v>
      </c>
      <c r="AT404" s="928">
        <v>203774</v>
      </c>
      <c r="AU404" s="928">
        <v>-51</v>
      </c>
      <c r="AV404" s="928">
        <v>0</v>
      </c>
      <c r="AW404" s="928">
        <f>-16273-1-3232-1640-79</f>
        <v>-21225</v>
      </c>
      <c r="AX404" s="928"/>
      <c r="AY404" s="1097"/>
      <c r="AZ404" s="1097"/>
      <c r="BA404" s="1097"/>
      <c r="BB404" s="1097"/>
      <c r="BC404" s="1097"/>
      <c r="BD404" s="1097">
        <v>496</v>
      </c>
      <c r="BF404" s="1097">
        <v>8518</v>
      </c>
      <c r="BH404" s="1097">
        <v>25892</v>
      </c>
      <c r="BJ404" s="196">
        <v>2821</v>
      </c>
      <c r="BK404" s="1097">
        <v>-4065</v>
      </c>
      <c r="BL404" s="1097">
        <v>1662</v>
      </c>
      <c r="BM404" s="1097">
        <v>400</v>
      </c>
      <c r="BP404" s="1097">
        <v>107</v>
      </c>
      <c r="BQ404" s="1097">
        <v>98213</v>
      </c>
      <c r="BR404" s="1097">
        <f>27471+1</f>
        <v>27472</v>
      </c>
      <c r="BS404" s="1097">
        <f>289-37</f>
        <v>252</v>
      </c>
      <c r="BT404" s="1337">
        <v>-233</v>
      </c>
      <c r="BU404" s="928">
        <v>-85</v>
      </c>
      <c r="BV404" s="1337">
        <v>-253</v>
      </c>
      <c r="BW404" s="1097">
        <v>41</v>
      </c>
      <c r="BX404" s="928">
        <v>3294</v>
      </c>
      <c r="BY404" s="1210">
        <v>-158</v>
      </c>
      <c r="BZ404" s="928"/>
      <c r="CA404" s="1097"/>
    </row>
    <row r="405" spans="1:87" x14ac:dyDescent="0.2">
      <c r="A405" s="198" t="s">
        <v>932</v>
      </c>
      <c r="B405" s="204">
        <f>SUM(B394:B404)</f>
        <v>2110246</v>
      </c>
      <c r="C405" s="204">
        <f>SUM(C394:C404)</f>
        <v>1310250</v>
      </c>
      <c r="D405" s="204">
        <f t="shared" ref="D405:AI405" si="505">SUM(D394:D404)</f>
        <v>309065</v>
      </c>
      <c r="E405" s="1143">
        <f t="shared" si="505"/>
        <v>7601</v>
      </c>
      <c r="F405" s="1143">
        <f t="shared" si="505"/>
        <v>-6911</v>
      </c>
      <c r="G405" s="1143">
        <f t="shared" si="505"/>
        <v>761</v>
      </c>
      <c r="H405" s="1143">
        <f t="shared" si="505"/>
        <v>145</v>
      </c>
      <c r="I405" s="1143">
        <f t="shared" si="505"/>
        <v>2354</v>
      </c>
      <c r="J405" s="204">
        <f t="shared" si="505"/>
        <v>0</v>
      </c>
      <c r="K405" s="204">
        <f t="shared" si="505"/>
        <v>-202</v>
      </c>
      <c r="L405" s="204">
        <f t="shared" si="505"/>
        <v>0</v>
      </c>
      <c r="M405" s="204">
        <f t="shared" si="505"/>
        <v>0</v>
      </c>
      <c r="N405" s="1143">
        <f>SUM(N394:N404)</f>
        <v>31874</v>
      </c>
      <c r="O405" s="204">
        <f t="shared" si="505"/>
        <v>51359</v>
      </c>
      <c r="P405" s="204">
        <f t="shared" si="505"/>
        <v>232</v>
      </c>
      <c r="Q405" s="204">
        <f t="shared" si="505"/>
        <v>-14297</v>
      </c>
      <c r="R405" s="204">
        <f t="shared" si="505"/>
        <v>34388</v>
      </c>
      <c r="S405" s="204">
        <f>SUM(S394:S404)</f>
        <v>2366</v>
      </c>
      <c r="T405" s="204">
        <f t="shared" si="505"/>
        <v>32</v>
      </c>
      <c r="U405" s="204">
        <f>SUM(U394:U404)</f>
        <v>-6071</v>
      </c>
      <c r="V405" s="1143">
        <f>SUM(V394:V404)</f>
        <v>1059</v>
      </c>
      <c r="W405" s="204">
        <f t="shared" si="505"/>
        <v>-26161</v>
      </c>
      <c r="X405" s="204">
        <f t="shared" si="505"/>
        <v>38510</v>
      </c>
      <c r="Y405" s="204">
        <f t="shared" si="505"/>
        <v>0</v>
      </c>
      <c r="Z405" s="204">
        <f t="shared" si="505"/>
        <v>0</v>
      </c>
      <c r="AA405" s="204">
        <f t="shared" si="505"/>
        <v>0</v>
      </c>
      <c r="AB405" s="204">
        <f>SUM(AB394:AB404)</f>
        <v>-1624</v>
      </c>
      <c r="AC405" s="204">
        <f t="shared" si="505"/>
        <v>-8122</v>
      </c>
      <c r="AD405" s="204">
        <f>SUM(AD394:AD404)</f>
        <v>-96623</v>
      </c>
      <c r="AE405" s="204">
        <f>SUM(AE394:AE404)</f>
        <v>-46656</v>
      </c>
      <c r="AF405" s="204">
        <f>SUM(AF394:AF404)</f>
        <v>186201</v>
      </c>
      <c r="AG405" s="204">
        <f t="shared" si="505"/>
        <v>0</v>
      </c>
      <c r="AH405" s="204">
        <f t="shared" si="505"/>
        <v>0</v>
      </c>
      <c r="AI405" s="204">
        <f t="shared" si="505"/>
        <v>0</v>
      </c>
      <c r="AJ405" s="204">
        <f t="shared" ref="AJ405:AO405" si="506">SUM(AJ394:AJ404)</f>
        <v>0</v>
      </c>
      <c r="AK405" s="204">
        <f t="shared" si="506"/>
        <v>-15562</v>
      </c>
      <c r="AL405" s="204">
        <f t="shared" si="506"/>
        <v>-2707</v>
      </c>
      <c r="AM405" s="204">
        <f t="shared" si="506"/>
        <v>-462</v>
      </c>
      <c r="AN405" s="204">
        <f t="shared" si="506"/>
        <v>-4389</v>
      </c>
      <c r="AO405" s="204">
        <f t="shared" si="506"/>
        <v>-8329</v>
      </c>
      <c r="AP405"/>
      <c r="AQ405"/>
      <c r="AR405" s="204">
        <f t="shared" ref="AR405:BC405" si="507">SUM(AR394:AR404)</f>
        <v>23234</v>
      </c>
      <c r="AS405" s="204">
        <f t="shared" si="507"/>
        <v>0</v>
      </c>
      <c r="AT405" s="204">
        <f t="shared" si="507"/>
        <v>203781</v>
      </c>
      <c r="AU405" s="204">
        <f t="shared" si="507"/>
        <v>-15</v>
      </c>
      <c r="AV405" s="204">
        <f t="shared" si="507"/>
        <v>0</v>
      </c>
      <c r="AW405" s="204">
        <f t="shared" si="507"/>
        <v>-20116</v>
      </c>
      <c r="AX405" s="204">
        <f t="shared" si="507"/>
        <v>0</v>
      </c>
      <c r="AY405" s="204">
        <f t="shared" si="507"/>
        <v>13</v>
      </c>
      <c r="AZ405" s="204">
        <f t="shared" si="507"/>
        <v>167</v>
      </c>
      <c r="BA405" s="204">
        <f t="shared" si="507"/>
        <v>11</v>
      </c>
      <c r="BB405" s="204">
        <f t="shared" si="507"/>
        <v>19</v>
      </c>
      <c r="BC405" s="204">
        <f t="shared" si="507"/>
        <v>46</v>
      </c>
      <c r="BD405" s="204">
        <f t="shared" ref="BD405:BO405" si="508">SUM(BD394:BD404)</f>
        <v>690</v>
      </c>
      <c r="BE405" s="204">
        <f>SUM(BE394:BE404)</f>
        <v>10</v>
      </c>
      <c r="BF405" s="204">
        <f>SUM(BF394:BF404)</f>
        <v>8521</v>
      </c>
      <c r="BG405" s="204">
        <f>SUM(BG394:BG404)</f>
        <v>0</v>
      </c>
      <c r="BH405" s="204">
        <f t="shared" si="508"/>
        <v>32247</v>
      </c>
      <c r="BI405" s="204">
        <f>SUM(BI394:BI404)</f>
        <v>0</v>
      </c>
      <c r="BJ405" s="204">
        <f t="shared" si="508"/>
        <v>3099</v>
      </c>
      <c r="BK405" s="204">
        <f t="shared" si="508"/>
        <v>-2971</v>
      </c>
      <c r="BL405" s="204">
        <f t="shared" si="508"/>
        <v>1692</v>
      </c>
      <c r="BM405" s="204">
        <f t="shared" si="508"/>
        <v>403</v>
      </c>
      <c r="BN405" s="204">
        <f>SUM(BN394:BN404)</f>
        <v>0</v>
      </c>
      <c r="BO405" s="204">
        <f t="shared" si="508"/>
        <v>0</v>
      </c>
      <c r="BP405" s="204">
        <f t="shared" ref="BP405:CB405" si="509">SUM(BP394:BP404)</f>
        <v>309</v>
      </c>
      <c r="BQ405" s="204">
        <f t="shared" si="509"/>
        <v>104283</v>
      </c>
      <c r="BR405" s="204">
        <f t="shared" si="509"/>
        <v>28869</v>
      </c>
      <c r="BS405" s="204">
        <f t="shared" si="509"/>
        <v>334</v>
      </c>
      <c r="BT405" s="204">
        <f t="shared" si="509"/>
        <v>15512</v>
      </c>
      <c r="BU405" s="204">
        <f t="shared" si="509"/>
        <v>890</v>
      </c>
      <c r="BV405" s="204">
        <f t="shared" si="509"/>
        <v>1474</v>
      </c>
      <c r="BW405" s="204">
        <f t="shared" si="509"/>
        <v>787</v>
      </c>
      <c r="BX405" s="204">
        <f t="shared" si="509"/>
        <v>13777</v>
      </c>
      <c r="BY405" s="204">
        <f t="shared" si="509"/>
        <v>-132</v>
      </c>
      <c r="BZ405" s="204">
        <f t="shared" si="509"/>
        <v>0</v>
      </c>
      <c r="CA405" s="204">
        <f t="shared" si="509"/>
        <v>0</v>
      </c>
      <c r="CB405" s="204">
        <f t="shared" si="509"/>
        <v>0</v>
      </c>
    </row>
    <row r="406" spans="1:87" x14ac:dyDescent="0.2">
      <c r="E406" s="1097"/>
      <c r="F406" s="1097"/>
      <c r="G406" s="1097"/>
      <c r="H406" s="1097"/>
      <c r="I406" s="1097"/>
      <c r="N406" s="1097"/>
      <c r="V406" s="1097"/>
      <c r="AP406"/>
      <c r="AQ406"/>
      <c r="BK406" s="196"/>
      <c r="CD406" s="197">
        <f t="shared" ref="CD406:CI406" si="510">-CD345+CD360+CD375+CD390+CD404</f>
        <v>0</v>
      </c>
      <c r="CE406" s="197">
        <f t="shared" si="510"/>
        <v>0</v>
      </c>
      <c r="CF406" s="197">
        <f t="shared" si="510"/>
        <v>0</v>
      </c>
      <c r="CG406" s="197">
        <f t="shared" si="510"/>
        <v>0</v>
      </c>
      <c r="CH406" s="197">
        <f t="shared" si="510"/>
        <v>0</v>
      </c>
      <c r="CI406" s="197">
        <f t="shared" si="510"/>
        <v>-143677</v>
      </c>
    </row>
    <row r="407" spans="1:87" x14ac:dyDescent="0.2">
      <c r="A407" s="193" t="s">
        <v>833</v>
      </c>
      <c r="B407" s="197">
        <f t="shared" ref="B407:AI407" si="511">-B345+B360+B375+B390+B405</f>
        <v>167014</v>
      </c>
      <c r="C407" s="197">
        <f t="shared" si="511"/>
        <v>94512</v>
      </c>
      <c r="D407" s="197">
        <f t="shared" si="511"/>
        <v>226000</v>
      </c>
      <c r="E407" s="197">
        <f t="shared" si="511"/>
        <v>-60</v>
      </c>
      <c r="F407" s="1139">
        <f>-F345+F360+F375+F390+F405</f>
        <v>-654</v>
      </c>
      <c r="G407" s="1139">
        <f>-G345+G360+G375+G390+G405</f>
        <v>1164</v>
      </c>
      <c r="H407" s="1139">
        <f t="shared" ref="H407" si="512">-H345+H360+H375+H390+H405</f>
        <v>722</v>
      </c>
      <c r="I407" s="1139">
        <f>-I345+I360+I375+I390+I405</f>
        <v>202</v>
      </c>
      <c r="J407" s="197">
        <f t="shared" si="511"/>
        <v>0</v>
      </c>
      <c r="K407" s="197">
        <f t="shared" si="511"/>
        <v>-7585</v>
      </c>
      <c r="L407" s="197">
        <f t="shared" si="511"/>
        <v>0</v>
      </c>
      <c r="M407" s="197">
        <f t="shared" si="511"/>
        <v>0</v>
      </c>
      <c r="N407" s="1139">
        <f t="shared" si="511"/>
        <v>22908</v>
      </c>
      <c r="O407" s="197">
        <f t="shared" si="511"/>
        <v>10810</v>
      </c>
      <c r="P407" s="197">
        <f t="shared" si="511"/>
        <v>206</v>
      </c>
      <c r="Q407" s="197">
        <f>-Q345+Q360+Q375+Q390+Q405</f>
        <v>-14315</v>
      </c>
      <c r="R407" s="197">
        <f t="shared" si="511"/>
        <v>0</v>
      </c>
      <c r="S407" s="197">
        <f>-S345+S360+S375+S390+S405</f>
        <v>0</v>
      </c>
      <c r="T407" s="197">
        <f t="shared" si="511"/>
        <v>-1237</v>
      </c>
      <c r="U407" s="197">
        <f>-U345+U360+U375+U390+U405</f>
        <v>-4506</v>
      </c>
      <c r="V407" s="1139">
        <f>-V345+V360+V375+V390+V405</f>
        <v>1059</v>
      </c>
      <c r="W407" s="197">
        <f t="shared" si="511"/>
        <v>-7444</v>
      </c>
      <c r="X407" s="197">
        <f>-X345+X360+X375+X390+X405</f>
        <v>8660</v>
      </c>
      <c r="Y407" s="197">
        <f t="shared" si="511"/>
        <v>0</v>
      </c>
      <c r="Z407" s="197">
        <f t="shared" si="511"/>
        <v>0</v>
      </c>
      <c r="AA407" s="197">
        <f t="shared" si="511"/>
        <v>0</v>
      </c>
      <c r="AB407" s="197">
        <f t="shared" si="511"/>
        <v>-1624</v>
      </c>
      <c r="AC407" s="197">
        <f t="shared" si="511"/>
        <v>-5621</v>
      </c>
      <c r="AD407" s="197">
        <f t="shared" si="511"/>
        <v>-88193</v>
      </c>
      <c r="AE407" s="197">
        <f t="shared" si="511"/>
        <v>-45612</v>
      </c>
      <c r="AF407" s="197">
        <f t="shared" si="511"/>
        <v>-1426</v>
      </c>
      <c r="AG407" s="197">
        <f t="shared" si="511"/>
        <v>0</v>
      </c>
      <c r="AH407" s="197">
        <f t="shared" si="511"/>
        <v>0</v>
      </c>
      <c r="AI407" s="197">
        <f t="shared" si="511"/>
        <v>0</v>
      </c>
      <c r="AJ407" s="197">
        <f t="shared" ref="AJ407:AO407" si="513">-AJ345+AJ360+AJ375+AJ390+AJ405</f>
        <v>0</v>
      </c>
      <c r="AK407" s="197">
        <f t="shared" si="513"/>
        <v>-13040</v>
      </c>
      <c r="AL407" s="197">
        <f t="shared" si="513"/>
        <v>-2336</v>
      </c>
      <c r="AM407" s="197">
        <f t="shared" si="513"/>
        <v>331</v>
      </c>
      <c r="AN407" s="197">
        <f t="shared" si="513"/>
        <v>-3631</v>
      </c>
      <c r="AO407" s="197">
        <f t="shared" si="513"/>
        <v>-7310</v>
      </c>
      <c r="AP407"/>
      <c r="AQ407"/>
      <c r="AR407" s="197">
        <f t="shared" ref="AR407:BG407" si="514">-AR345+AR360+AR375+AR390+AR405</f>
        <v>3329</v>
      </c>
      <c r="AS407" s="197">
        <f t="shared" si="514"/>
        <v>0</v>
      </c>
      <c r="AT407" s="197">
        <f t="shared" si="514"/>
        <v>-2512</v>
      </c>
      <c r="AU407" s="197">
        <f t="shared" si="514"/>
        <v>-253</v>
      </c>
      <c r="AV407" s="197">
        <f t="shared" si="514"/>
        <v>0</v>
      </c>
      <c r="AW407" s="197">
        <f t="shared" si="514"/>
        <v>-18503</v>
      </c>
      <c r="AX407" s="197">
        <f t="shared" si="514"/>
        <v>0</v>
      </c>
      <c r="AY407" s="197">
        <f t="shared" si="514"/>
        <v>10</v>
      </c>
      <c r="AZ407" s="197">
        <f t="shared" si="514"/>
        <v>383</v>
      </c>
      <c r="BA407" s="197">
        <f t="shared" si="514"/>
        <v>9</v>
      </c>
      <c r="BB407" s="197">
        <f t="shared" si="514"/>
        <v>19</v>
      </c>
      <c r="BC407" s="197">
        <f t="shared" si="514"/>
        <v>64</v>
      </c>
      <c r="BD407" s="197">
        <f t="shared" si="514"/>
        <v>-152</v>
      </c>
      <c r="BE407" s="197">
        <f t="shared" si="514"/>
        <v>9</v>
      </c>
      <c r="BF407" s="197">
        <f t="shared" si="514"/>
        <v>35</v>
      </c>
      <c r="BG407" s="197">
        <f t="shared" si="514"/>
        <v>0</v>
      </c>
      <c r="BH407" s="197">
        <f t="shared" ref="BH407:BO407" si="515">-BH345+BH360+BH375+BH390+BH405</f>
        <v>1655</v>
      </c>
      <c r="BI407" s="197">
        <f>-BI345+BI360+BI375+BI390+BI405</f>
        <v>0</v>
      </c>
      <c r="BJ407" s="197">
        <f t="shared" si="515"/>
        <v>6833</v>
      </c>
      <c r="BK407" s="197">
        <f t="shared" si="515"/>
        <v>-6584</v>
      </c>
      <c r="BL407" s="197">
        <f t="shared" si="515"/>
        <v>1064</v>
      </c>
      <c r="BM407" s="197">
        <f t="shared" si="515"/>
        <v>178</v>
      </c>
      <c r="BN407" s="197">
        <f>-BN345+BN360+BN375+BN390+BN405</f>
        <v>0</v>
      </c>
      <c r="BO407" s="197">
        <f t="shared" si="515"/>
        <v>0</v>
      </c>
      <c r="BP407" s="197">
        <f>-BP345+BP360+BP375+BP390+BP405</f>
        <v>816</v>
      </c>
      <c r="BQ407" s="197">
        <f>-BQ345+BQ360+BQ375+BQ390+BQ405</f>
        <v>44756</v>
      </c>
      <c r="BR407" s="197">
        <f>-BR345+BR360+BR375+BR390+BR405</f>
        <v>6786</v>
      </c>
      <c r="BS407" s="197">
        <f>-BS345+BS360+BS375+BS390+BS405</f>
        <v>-290</v>
      </c>
      <c r="BT407" s="197">
        <f t="shared" ref="BT407:CA407" si="516">-BT345+BT360+BT375+BT390+BT405</f>
        <v>-3016</v>
      </c>
      <c r="BU407" s="197">
        <f t="shared" si="516"/>
        <v>-2366</v>
      </c>
      <c r="BV407" s="197">
        <f t="shared" si="516"/>
        <v>-8843</v>
      </c>
      <c r="BW407" s="197">
        <f t="shared" si="516"/>
        <v>4897</v>
      </c>
      <c r="BX407" s="197">
        <f t="shared" si="516"/>
        <v>14406</v>
      </c>
      <c r="BY407" s="197">
        <f>-BY345+BY360+BY375+BY390+BY405</f>
        <v>-2088</v>
      </c>
      <c r="BZ407" s="197">
        <f t="shared" si="516"/>
        <v>-99357</v>
      </c>
      <c r="CA407" s="197">
        <f t="shared" si="516"/>
        <v>108089</v>
      </c>
      <c r="CB407" s="197"/>
    </row>
    <row r="408" spans="1:87" x14ac:dyDescent="0.2">
      <c r="A408" s="193"/>
      <c r="E408" s="1097"/>
      <c r="F408" s="1097"/>
      <c r="G408" s="1097"/>
      <c r="H408" s="1097"/>
      <c r="I408" s="1097"/>
      <c r="N408" s="1097"/>
      <c r="V408" s="1097"/>
      <c r="AP408"/>
      <c r="AQ408"/>
      <c r="BK408" s="196"/>
      <c r="CD408" s="205">
        <v>2092511</v>
      </c>
      <c r="CE408" s="205">
        <v>2092511</v>
      </c>
      <c r="CF408" s="205">
        <v>2092511</v>
      </c>
      <c r="CG408" s="205">
        <v>2092511</v>
      </c>
      <c r="CH408" s="205">
        <f>-3305+1628</f>
        <v>-1677</v>
      </c>
      <c r="CI408" s="205">
        <v>3398</v>
      </c>
    </row>
    <row r="409" spans="1:87" x14ac:dyDescent="0.2">
      <c r="A409" s="193" t="s">
        <v>933</v>
      </c>
      <c r="B409" s="205">
        <f>SUM(C409:CB409)</f>
        <v>2101258</v>
      </c>
      <c r="C409" s="205">
        <v>475659</v>
      </c>
      <c r="D409" s="205">
        <v>2611243</v>
      </c>
      <c r="E409" s="1146">
        <v>0</v>
      </c>
      <c r="F409" s="929">
        <v>0</v>
      </c>
      <c r="G409" s="929">
        <v>10080</v>
      </c>
      <c r="H409" s="929">
        <v>3700</v>
      </c>
      <c r="I409" s="929">
        <v>34488</v>
      </c>
      <c r="J409" s="929">
        <v>-25692</v>
      </c>
      <c r="K409" s="205">
        <v>21321</v>
      </c>
      <c r="L409" s="205">
        <v>0</v>
      </c>
      <c r="M409" s="205">
        <v>0</v>
      </c>
      <c r="N409" s="1146">
        <v>79709</v>
      </c>
      <c r="O409" s="205">
        <v>100951</v>
      </c>
      <c r="P409" s="205">
        <v>3293</v>
      </c>
      <c r="Q409" s="205">
        <v>74528</v>
      </c>
      <c r="R409" s="205">
        <v>0</v>
      </c>
      <c r="S409" s="205">
        <v>0</v>
      </c>
      <c r="T409" s="205">
        <v>1634</v>
      </c>
      <c r="U409" s="205">
        <v>6348</v>
      </c>
      <c r="V409" s="1146">
        <v>11209</v>
      </c>
      <c r="W409" s="205">
        <v>57472</v>
      </c>
      <c r="X409" s="205">
        <v>50847</v>
      </c>
      <c r="Y409" s="205">
        <v>0</v>
      </c>
      <c r="Z409" s="205">
        <v>0</v>
      </c>
      <c r="AA409" s="205">
        <v>-195874</v>
      </c>
      <c r="AB409" s="205">
        <v>-466211</v>
      </c>
      <c r="AC409" s="205">
        <v>-501711</v>
      </c>
      <c r="AD409" s="205">
        <v>-374847</v>
      </c>
      <c r="AE409" s="205">
        <v>0</v>
      </c>
      <c r="AF409" s="205">
        <v>-4440</v>
      </c>
      <c r="AG409" s="205">
        <v>0</v>
      </c>
      <c r="AH409" s="205">
        <v>0</v>
      </c>
      <c r="AI409" s="205"/>
      <c r="AJ409" s="205">
        <f>-111434-747927</f>
        <v>-859361</v>
      </c>
      <c r="AK409" s="205">
        <v>-98449</v>
      </c>
      <c r="AL409" s="205">
        <v>-19815</v>
      </c>
      <c r="AM409" s="205">
        <v>-50005</v>
      </c>
      <c r="AN409" s="205">
        <v>-39314</v>
      </c>
      <c r="AO409" s="205">
        <v>0</v>
      </c>
      <c r="AP409"/>
      <c r="AQ409"/>
      <c r="AR409" s="205">
        <v>-75</v>
      </c>
      <c r="AS409" s="205">
        <v>-25805</v>
      </c>
      <c r="AT409" s="205">
        <v>-116758</v>
      </c>
      <c r="AU409" s="205">
        <v>-101804</v>
      </c>
      <c r="AV409" s="205">
        <v>0</v>
      </c>
      <c r="AW409" s="205">
        <v>-430138</v>
      </c>
      <c r="AX409" s="205">
        <v>-28800</v>
      </c>
      <c r="AY409" s="205">
        <v>351</v>
      </c>
      <c r="AZ409" s="205">
        <v>4489</v>
      </c>
      <c r="BA409" s="205">
        <v>314</v>
      </c>
      <c r="BB409" s="205">
        <v>515</v>
      </c>
      <c r="BC409" s="205">
        <v>489</v>
      </c>
      <c r="BD409" s="205">
        <v>8621</v>
      </c>
      <c r="BE409" s="205">
        <v>238</v>
      </c>
      <c r="BF409" s="205">
        <v>0</v>
      </c>
      <c r="BG409" s="205">
        <v>7</v>
      </c>
      <c r="BH409" s="205">
        <v>9678</v>
      </c>
      <c r="BI409" s="205">
        <v>29</v>
      </c>
      <c r="BJ409" s="205">
        <v>19666</v>
      </c>
      <c r="BK409" s="205">
        <v>4478</v>
      </c>
      <c r="BL409" s="205">
        <v>-14548</v>
      </c>
      <c r="BM409" s="205">
        <v>1283</v>
      </c>
      <c r="BN409" s="205">
        <v>0</v>
      </c>
      <c r="BO409" s="205">
        <v>0</v>
      </c>
      <c r="BP409" s="205">
        <f>3807-167</f>
        <v>3640</v>
      </c>
      <c r="BQ409" s="205">
        <v>22357</v>
      </c>
      <c r="BR409" s="205">
        <v>-562696</v>
      </c>
      <c r="BS409" s="205">
        <v>1929</v>
      </c>
      <c r="BT409" s="205">
        <v>9253</v>
      </c>
      <c r="BU409" s="205">
        <v>-3253</v>
      </c>
      <c r="BV409" s="205">
        <v>7586</v>
      </c>
      <c r="BW409" s="205">
        <v>-36021</v>
      </c>
      <c r="BX409" s="205">
        <v>164673</v>
      </c>
      <c r="BY409" s="205">
        <v>-22456</v>
      </c>
      <c r="BZ409" s="205">
        <v>-2924573</v>
      </c>
      <c r="CA409" s="205">
        <v>5201826</v>
      </c>
      <c r="CB409" s="205">
        <v>0</v>
      </c>
    </row>
    <row r="410" spans="1:87" ht="13.5" thickBot="1" x14ac:dyDescent="0.25">
      <c r="A410" s="193"/>
      <c r="E410" s="1097"/>
      <c r="F410" s="1097"/>
      <c r="G410" s="1097"/>
      <c r="H410" s="1097"/>
      <c r="I410" s="1097"/>
      <c r="V410" s="1097"/>
      <c r="AP410"/>
      <c r="AQ410"/>
      <c r="BK410" s="196"/>
      <c r="CD410" s="206">
        <f>SUM(CE410:CI410)</f>
        <v>6135577</v>
      </c>
      <c r="CE410" s="206">
        <f>+CE406+CE408</f>
        <v>2092511</v>
      </c>
      <c r="CF410" s="206">
        <f>+CF406+CF408</f>
        <v>2092511</v>
      </c>
      <c r="CG410" s="206">
        <f>+CG406+CG408</f>
        <v>2092511</v>
      </c>
      <c r="CH410" s="206">
        <f>+CH406+CH408</f>
        <v>-1677</v>
      </c>
      <c r="CI410" s="206">
        <f>+CI406+CI408</f>
        <v>-140279</v>
      </c>
    </row>
    <row r="411" spans="1:87" ht="14.25" thickTop="1" thickBot="1" x14ac:dyDescent="0.25">
      <c r="A411" s="193" t="s">
        <v>834</v>
      </c>
      <c r="B411" s="206">
        <f>+B407+B409</f>
        <v>2268272</v>
      </c>
      <c r="C411" s="206">
        <f>+C407+C409</f>
        <v>570171</v>
      </c>
      <c r="D411" s="206">
        <f t="shared" ref="D411:AI411" si="517">+D407+D409</f>
        <v>2837243</v>
      </c>
      <c r="E411" s="206">
        <f t="shared" si="517"/>
        <v>-60</v>
      </c>
      <c r="F411" s="1370">
        <f>+F407+F409</f>
        <v>-654</v>
      </c>
      <c r="G411" s="1370">
        <f t="shared" ref="G411:I411" si="518">+G407+G409</f>
        <v>11244</v>
      </c>
      <c r="H411" s="1370">
        <f t="shared" si="518"/>
        <v>4422</v>
      </c>
      <c r="I411" s="1370">
        <f t="shared" si="518"/>
        <v>34690</v>
      </c>
      <c r="J411" s="206">
        <f t="shared" si="517"/>
        <v>-25692</v>
      </c>
      <c r="K411" s="206">
        <f t="shared" si="517"/>
        <v>13736</v>
      </c>
      <c r="L411" s="206">
        <f t="shared" si="517"/>
        <v>0</v>
      </c>
      <c r="M411" s="206">
        <f t="shared" si="517"/>
        <v>0</v>
      </c>
      <c r="N411" s="206">
        <f t="shared" si="517"/>
        <v>102617</v>
      </c>
      <c r="O411" s="206">
        <f t="shared" si="517"/>
        <v>111761</v>
      </c>
      <c r="P411" s="206">
        <f t="shared" si="517"/>
        <v>3499</v>
      </c>
      <c r="Q411" s="206">
        <f>+Q407+Q409</f>
        <v>60213</v>
      </c>
      <c r="R411" s="206">
        <f t="shared" si="517"/>
        <v>0</v>
      </c>
      <c r="S411" s="206">
        <f>+S407+S409</f>
        <v>0</v>
      </c>
      <c r="T411" s="206">
        <f t="shared" si="517"/>
        <v>397</v>
      </c>
      <c r="U411" s="206">
        <f>+U407+U409</f>
        <v>1842</v>
      </c>
      <c r="V411" s="1147">
        <f>+V407+V409</f>
        <v>12268</v>
      </c>
      <c r="W411" s="206">
        <f t="shared" si="517"/>
        <v>50028</v>
      </c>
      <c r="X411" s="206">
        <f>+X407+X409</f>
        <v>59507</v>
      </c>
      <c r="Y411" s="206">
        <f t="shared" si="517"/>
        <v>0</v>
      </c>
      <c r="Z411" s="206">
        <f t="shared" si="517"/>
        <v>0</v>
      </c>
      <c r="AA411" s="206">
        <f t="shared" si="517"/>
        <v>-195874</v>
      </c>
      <c r="AB411" s="206">
        <f t="shared" si="517"/>
        <v>-467835</v>
      </c>
      <c r="AC411" s="206">
        <f t="shared" si="517"/>
        <v>-507332</v>
      </c>
      <c r="AD411" s="206">
        <f t="shared" si="517"/>
        <v>-463040</v>
      </c>
      <c r="AE411" s="206">
        <f t="shared" si="517"/>
        <v>-45612</v>
      </c>
      <c r="AF411" s="206">
        <f t="shared" si="517"/>
        <v>-5866</v>
      </c>
      <c r="AG411" s="206">
        <f t="shared" si="517"/>
        <v>0</v>
      </c>
      <c r="AH411" s="206">
        <f t="shared" si="517"/>
        <v>0</v>
      </c>
      <c r="AI411" s="206">
        <f t="shared" si="517"/>
        <v>0</v>
      </c>
      <c r="AJ411" s="206">
        <f t="shared" ref="AJ411:AO411" si="519">+AJ407+AJ409</f>
        <v>-859361</v>
      </c>
      <c r="AK411" s="206">
        <f t="shared" si="519"/>
        <v>-111489</v>
      </c>
      <c r="AL411" s="206">
        <f t="shared" si="519"/>
        <v>-22151</v>
      </c>
      <c r="AM411" s="206">
        <f t="shared" si="519"/>
        <v>-49674</v>
      </c>
      <c r="AN411" s="206">
        <f t="shared" si="519"/>
        <v>-42945</v>
      </c>
      <c r="AO411" s="206">
        <f t="shared" si="519"/>
        <v>-7310</v>
      </c>
      <c r="AP411"/>
      <c r="AQ411"/>
      <c r="AR411" s="206">
        <f t="shared" ref="AR411:CB411" si="520">+AR407+AR409</f>
        <v>3254</v>
      </c>
      <c r="AS411" s="206">
        <f t="shared" si="520"/>
        <v>-25805</v>
      </c>
      <c r="AT411" s="206">
        <f t="shared" si="520"/>
        <v>-119270</v>
      </c>
      <c r="AU411" s="206">
        <f t="shared" si="520"/>
        <v>-102057</v>
      </c>
      <c r="AV411" s="206">
        <f t="shared" si="520"/>
        <v>0</v>
      </c>
      <c r="AW411" s="206">
        <f t="shared" si="520"/>
        <v>-448641</v>
      </c>
      <c r="AX411" s="206">
        <f t="shared" si="520"/>
        <v>-28800</v>
      </c>
      <c r="AY411" s="206">
        <f t="shared" si="520"/>
        <v>361</v>
      </c>
      <c r="AZ411" s="206">
        <f t="shared" si="520"/>
        <v>4872</v>
      </c>
      <c r="BA411" s="206">
        <f t="shared" si="520"/>
        <v>323</v>
      </c>
      <c r="BB411" s="206">
        <f t="shared" si="520"/>
        <v>534</v>
      </c>
      <c r="BC411" s="206">
        <f t="shared" si="520"/>
        <v>553</v>
      </c>
      <c r="BD411" s="206">
        <f t="shared" si="520"/>
        <v>8469</v>
      </c>
      <c r="BE411" s="206">
        <f t="shared" si="520"/>
        <v>247</v>
      </c>
      <c r="BF411" s="206">
        <f t="shared" si="520"/>
        <v>35</v>
      </c>
      <c r="BG411" s="206">
        <f t="shared" si="520"/>
        <v>7</v>
      </c>
      <c r="BH411" s="206">
        <f t="shared" si="520"/>
        <v>11333</v>
      </c>
      <c r="BI411" s="206">
        <f t="shared" si="520"/>
        <v>29</v>
      </c>
      <c r="BJ411" s="206">
        <f t="shared" si="520"/>
        <v>26499</v>
      </c>
      <c r="BK411" s="206">
        <f t="shared" si="520"/>
        <v>-2106</v>
      </c>
      <c r="BL411" s="206">
        <f t="shared" si="520"/>
        <v>-13484</v>
      </c>
      <c r="BM411" s="206">
        <f t="shared" si="520"/>
        <v>1461</v>
      </c>
      <c r="BN411" s="206">
        <f t="shared" si="520"/>
        <v>0</v>
      </c>
      <c r="BO411" s="206">
        <f t="shared" si="520"/>
        <v>0</v>
      </c>
      <c r="BP411" s="206">
        <f t="shared" si="520"/>
        <v>4456</v>
      </c>
      <c r="BQ411" s="206">
        <f t="shared" si="520"/>
        <v>67113</v>
      </c>
      <c r="BR411" s="206">
        <f t="shared" si="520"/>
        <v>-555910</v>
      </c>
      <c r="BS411" s="206">
        <f t="shared" si="520"/>
        <v>1639</v>
      </c>
      <c r="BT411" s="206">
        <f t="shared" si="520"/>
        <v>6237</v>
      </c>
      <c r="BU411" s="206">
        <f t="shared" si="520"/>
        <v>-5619</v>
      </c>
      <c r="BV411" s="206">
        <f t="shared" si="520"/>
        <v>-1257</v>
      </c>
      <c r="BW411" s="206">
        <f t="shared" si="520"/>
        <v>-31124</v>
      </c>
      <c r="BX411" s="206">
        <f t="shared" si="520"/>
        <v>179079</v>
      </c>
      <c r="BY411" s="206">
        <f t="shared" si="520"/>
        <v>-24544</v>
      </c>
      <c r="BZ411" s="206">
        <f t="shared" si="520"/>
        <v>-3023930</v>
      </c>
      <c r="CA411" s="206">
        <f t="shared" si="520"/>
        <v>5309915</v>
      </c>
      <c r="CB411" s="206">
        <f t="shared" si="520"/>
        <v>0</v>
      </c>
    </row>
    <row r="412" spans="1:87" ht="14.25" thickTop="1" thickBot="1"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row>
    <row r="413" spans="1:87" s="192" customFormat="1" ht="64.5" thickBot="1" x14ac:dyDescent="0.25">
      <c r="A413" s="936" t="s">
        <v>1003</v>
      </c>
      <c r="B413" s="235" t="s">
        <v>1055</v>
      </c>
      <c r="C413" s="236" t="s">
        <v>120</v>
      </c>
      <c r="D413" s="237" t="s">
        <v>876</v>
      </c>
      <c r="E413" s="238" t="s">
        <v>877</v>
      </c>
      <c r="F413" s="238" t="s">
        <v>877</v>
      </c>
      <c r="G413" s="238" t="s">
        <v>879</v>
      </c>
      <c r="H413" s="238" t="s">
        <v>126</v>
      </c>
      <c r="I413" s="238" t="s">
        <v>127</v>
      </c>
      <c r="J413" s="238" t="s">
        <v>880</v>
      </c>
      <c r="K413" s="240" t="s">
        <v>132</v>
      </c>
      <c r="L413" s="240" t="s">
        <v>881</v>
      </c>
      <c r="M413" s="240" t="s">
        <v>125</v>
      </c>
      <c r="N413" s="240" t="s">
        <v>882</v>
      </c>
      <c r="O413" s="240" t="s">
        <v>883</v>
      </c>
      <c r="P413" s="240" t="s">
        <v>885</v>
      </c>
      <c r="Q413" s="240" t="s">
        <v>123</v>
      </c>
      <c r="R413" s="240" t="s">
        <v>886</v>
      </c>
      <c r="S413" s="240" t="s">
        <v>884</v>
      </c>
      <c r="T413" s="240" t="s">
        <v>893</v>
      </c>
      <c r="U413" s="240" t="s">
        <v>1030</v>
      </c>
      <c r="V413" s="241" t="s">
        <v>914</v>
      </c>
      <c r="W413" s="240" t="s">
        <v>858</v>
      </c>
      <c r="X413" s="240" t="s">
        <v>134</v>
      </c>
      <c r="Y413" s="239" t="s">
        <v>905</v>
      </c>
      <c r="Z413" s="239" t="s">
        <v>906</v>
      </c>
      <c r="AA413" s="239" t="s">
        <v>907</v>
      </c>
      <c r="AB413" s="239" t="s">
        <v>878</v>
      </c>
      <c r="AC413" s="239"/>
      <c r="AD413" s="239"/>
      <c r="AE413" s="239"/>
      <c r="AF413" s="239" t="s">
        <v>908</v>
      </c>
      <c r="AG413" s="239"/>
      <c r="AH413" s="239"/>
      <c r="AI413" s="239"/>
      <c r="AJ413" s="239"/>
      <c r="AK413" s="239"/>
      <c r="AL413" s="239"/>
      <c r="AM413" s="239"/>
      <c r="AN413" s="239"/>
      <c r="AO413" s="239"/>
      <c r="AP413" s="239"/>
      <c r="AQ413" s="239"/>
      <c r="AR413" s="239" t="s">
        <v>909</v>
      </c>
      <c r="AS413" s="239" t="s">
        <v>910</v>
      </c>
      <c r="AT413" s="239" t="s">
        <v>165</v>
      </c>
      <c r="AU413" s="239" t="s">
        <v>166</v>
      </c>
      <c r="AV413" s="239" t="s">
        <v>911</v>
      </c>
      <c r="AW413" s="239" t="s">
        <v>912</v>
      </c>
      <c r="AX413" s="239" t="s">
        <v>647</v>
      </c>
      <c r="AY413" s="241" t="s">
        <v>913</v>
      </c>
      <c r="AZ413" s="241" t="s">
        <v>915</v>
      </c>
      <c r="BA413" s="241" t="s">
        <v>916</v>
      </c>
      <c r="BB413" s="241" t="s">
        <v>917</v>
      </c>
      <c r="BC413" s="241"/>
      <c r="BD413" s="385" t="s">
        <v>894</v>
      </c>
      <c r="BE413" s="385" t="s">
        <v>896</v>
      </c>
      <c r="BF413" s="385" t="s">
        <v>903</v>
      </c>
      <c r="BG413" s="385" t="s">
        <v>895</v>
      </c>
      <c r="BH413" s="385" t="s">
        <v>897</v>
      </c>
      <c r="BI413" s="385" t="s">
        <v>898</v>
      </c>
      <c r="BJ413" s="385" t="s">
        <v>899</v>
      </c>
      <c r="BK413" s="385" t="s">
        <v>904</v>
      </c>
      <c r="BL413" s="385" t="s">
        <v>723</v>
      </c>
      <c r="BM413" s="385" t="s">
        <v>901</v>
      </c>
      <c r="BN413" s="385"/>
      <c r="BO413" s="385" t="s">
        <v>902</v>
      </c>
      <c r="BP413" s="385" t="s">
        <v>900</v>
      </c>
      <c r="BQ413" s="385" t="s">
        <v>1126</v>
      </c>
      <c r="BR413" s="385"/>
      <c r="BS413" s="385"/>
      <c r="BT413" s="242" t="s">
        <v>918</v>
      </c>
      <c r="BU413" s="242" t="s">
        <v>919</v>
      </c>
      <c r="BV413" s="242" t="s">
        <v>920</v>
      </c>
      <c r="BW413" s="242" t="s">
        <v>921</v>
      </c>
      <c r="BX413" s="242" t="s">
        <v>922</v>
      </c>
      <c r="BY413" s="242" t="s">
        <v>350</v>
      </c>
      <c r="BZ413" s="236" t="s">
        <v>923</v>
      </c>
      <c r="CA413" s="236" t="s">
        <v>1011</v>
      </c>
      <c r="CB413" s="243" t="s">
        <v>924</v>
      </c>
      <c r="CC413" s="191"/>
      <c r="CD413" s="369" t="s">
        <v>771</v>
      </c>
      <c r="CE413" s="370" t="s">
        <v>148</v>
      </c>
      <c r="CF413" s="370" t="s">
        <v>519</v>
      </c>
      <c r="CG413" s="371" t="s">
        <v>760</v>
      </c>
      <c r="CH413" s="371" t="s">
        <v>969</v>
      </c>
      <c r="CI413" s="371" t="s">
        <v>351</v>
      </c>
    </row>
    <row r="414" spans="1:87" s="192" customFormat="1" x14ac:dyDescent="0.2">
      <c r="A414" s="193" t="s">
        <v>1047</v>
      </c>
      <c r="B414" s="194"/>
      <c r="C414" s="194"/>
      <c r="D414" s="194"/>
      <c r="E414" s="194"/>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AW414" s="194"/>
      <c r="AX414" s="194"/>
      <c r="AY414" s="194"/>
      <c r="AZ414" s="194"/>
      <c r="BA414" s="194"/>
      <c r="BB414" s="194"/>
      <c r="BC414" s="194"/>
      <c r="BD414" s="194"/>
      <c r="BE414" s="194"/>
      <c r="BF414" s="194"/>
      <c r="BG414" s="194"/>
      <c r="BH414" s="194"/>
      <c r="BI414" s="194"/>
      <c r="BJ414" s="194"/>
      <c r="BK414" s="194"/>
      <c r="BL414" s="194"/>
      <c r="BM414" s="194"/>
      <c r="BN414" s="194"/>
      <c r="BO414" s="194"/>
      <c r="BP414" s="194"/>
      <c r="BQ414" s="194"/>
      <c r="BR414" s="194"/>
      <c r="BS414" s="194"/>
      <c r="BT414" s="194"/>
      <c r="BU414" s="194"/>
      <c r="BV414" s="194"/>
      <c r="BW414" s="194"/>
      <c r="BX414" s="194"/>
      <c r="BY414" s="194"/>
      <c r="BZ414" s="194"/>
      <c r="CA414" s="194"/>
      <c r="CB414" s="194"/>
      <c r="CC414" s="191"/>
      <c r="CD414" s="194"/>
      <c r="CE414" s="194"/>
      <c r="CF414" s="194"/>
      <c r="CG414" s="194"/>
      <c r="CH414" s="194"/>
      <c r="CI414" s="194"/>
    </row>
    <row r="415" spans="1:87" s="891" customFormat="1" x14ac:dyDescent="0.2">
      <c r="A415" s="890" t="s">
        <v>953</v>
      </c>
      <c r="B415" s="891">
        <f t="shared" ref="B415:B430" si="521">SUM(C415:CB415)</f>
        <v>49345</v>
      </c>
      <c r="C415" s="891">
        <f t="shared" ref="C415:AP415" si="522">+C3-C329</f>
        <v>37788</v>
      </c>
      <c r="D415" s="891">
        <f t="shared" si="522"/>
        <v>-433</v>
      </c>
      <c r="E415" s="891">
        <f t="shared" si="522"/>
        <v>6028</v>
      </c>
      <c r="F415" s="891">
        <f t="shared" si="522"/>
        <v>554</v>
      </c>
      <c r="G415" s="891">
        <f t="shared" si="522"/>
        <v>0</v>
      </c>
      <c r="H415" s="891">
        <f t="shared" si="522"/>
        <v>0</v>
      </c>
      <c r="I415" s="891">
        <f t="shared" si="522"/>
        <v>0</v>
      </c>
      <c r="J415" s="891">
        <f t="shared" si="522"/>
        <v>0</v>
      </c>
      <c r="K415" s="891">
        <f t="shared" si="522"/>
        <v>0</v>
      </c>
      <c r="L415" s="891">
        <f t="shared" si="522"/>
        <v>0</v>
      </c>
      <c r="M415" s="891">
        <f t="shared" si="522"/>
        <v>0</v>
      </c>
      <c r="N415" s="891">
        <f t="shared" si="522"/>
        <v>0</v>
      </c>
      <c r="O415" s="891">
        <f t="shared" si="522"/>
        <v>-672</v>
      </c>
      <c r="P415" s="891">
        <f t="shared" si="522"/>
        <v>0</v>
      </c>
      <c r="Q415" s="891">
        <f t="shared" si="522"/>
        <v>0</v>
      </c>
      <c r="R415" s="891">
        <f t="shared" si="522"/>
        <v>0</v>
      </c>
      <c r="S415" s="891">
        <f t="shared" si="522"/>
        <v>0</v>
      </c>
      <c r="T415" s="891">
        <f t="shared" si="522"/>
        <v>0</v>
      </c>
      <c r="U415" s="891">
        <f t="shared" si="522"/>
        <v>0</v>
      </c>
      <c r="V415" s="891">
        <f t="shared" si="522"/>
        <v>0</v>
      </c>
      <c r="W415" s="891">
        <f t="shared" si="522"/>
        <v>0</v>
      </c>
      <c r="X415" s="891">
        <f t="shared" si="522"/>
        <v>0</v>
      </c>
      <c r="Y415" s="891">
        <f t="shared" si="522"/>
        <v>0</v>
      </c>
      <c r="Z415" s="891">
        <f t="shared" si="522"/>
        <v>0</v>
      </c>
      <c r="AA415" s="891">
        <f t="shared" si="522"/>
        <v>0</v>
      </c>
      <c r="AB415" s="891">
        <f t="shared" si="522"/>
        <v>0</v>
      </c>
      <c r="AC415" s="891">
        <f t="shared" si="522"/>
        <v>0</v>
      </c>
      <c r="AD415" s="891">
        <f t="shared" si="522"/>
        <v>0</v>
      </c>
      <c r="AE415" s="891">
        <f t="shared" si="522"/>
        <v>0</v>
      </c>
      <c r="AF415" s="891">
        <f t="shared" si="522"/>
        <v>13</v>
      </c>
      <c r="AG415" s="891">
        <f t="shared" si="522"/>
        <v>0</v>
      </c>
      <c r="AH415" s="891">
        <f t="shared" si="522"/>
        <v>0</v>
      </c>
      <c r="AI415" s="891">
        <f t="shared" si="522"/>
        <v>0</v>
      </c>
      <c r="AJ415" s="891">
        <f t="shared" si="522"/>
        <v>0</v>
      </c>
      <c r="AK415" s="891">
        <f t="shared" si="522"/>
        <v>0</v>
      </c>
      <c r="AL415" s="891">
        <f t="shared" si="522"/>
        <v>0</v>
      </c>
      <c r="AM415" s="891">
        <f t="shared" si="522"/>
        <v>10</v>
      </c>
      <c r="AN415" s="891">
        <f t="shared" si="522"/>
        <v>30</v>
      </c>
      <c r="AO415" s="891">
        <f t="shared" si="522"/>
        <v>69</v>
      </c>
      <c r="AP415" s="891">
        <f t="shared" si="522"/>
        <v>-14</v>
      </c>
      <c r="AR415" s="891">
        <f t="shared" ref="AR415:CB415" si="523">+AR3-AR329</f>
        <v>6959</v>
      </c>
      <c r="AS415" s="891">
        <f t="shared" si="523"/>
        <v>0</v>
      </c>
      <c r="AT415" s="891">
        <f t="shared" si="523"/>
        <v>19358</v>
      </c>
      <c r="AU415" s="891">
        <f t="shared" si="523"/>
        <v>0</v>
      </c>
      <c r="AV415" s="891">
        <f t="shared" si="523"/>
        <v>0</v>
      </c>
      <c r="AW415" s="891">
        <f t="shared" si="523"/>
        <v>480</v>
      </c>
      <c r="AX415" s="891">
        <f t="shared" si="523"/>
        <v>0</v>
      </c>
      <c r="AY415" s="891">
        <f t="shared" si="523"/>
        <v>0</v>
      </c>
      <c r="AZ415" s="891">
        <f t="shared" si="523"/>
        <v>0</v>
      </c>
      <c r="BA415" s="891">
        <f t="shared" si="523"/>
        <v>0</v>
      </c>
      <c r="BB415" s="891">
        <f t="shared" si="523"/>
        <v>0</v>
      </c>
      <c r="BC415" s="891">
        <f t="shared" si="523"/>
        <v>0</v>
      </c>
      <c r="BD415" s="891">
        <f t="shared" si="523"/>
        <v>0</v>
      </c>
      <c r="BE415" s="891">
        <f t="shared" si="523"/>
        <v>0</v>
      </c>
      <c r="BF415" s="891">
        <f t="shared" si="523"/>
        <v>950</v>
      </c>
      <c r="BG415" s="891">
        <f t="shared" si="523"/>
        <v>0</v>
      </c>
      <c r="BH415" s="891">
        <f t="shared" si="523"/>
        <v>0</v>
      </c>
      <c r="BI415" s="891">
        <f t="shared" si="523"/>
        <v>0</v>
      </c>
      <c r="BJ415" s="891">
        <f t="shared" si="523"/>
        <v>0</v>
      </c>
      <c r="BK415" s="891">
        <f t="shared" si="523"/>
        <v>-407</v>
      </c>
      <c r="BL415" s="891">
        <f t="shared" si="523"/>
        <v>0</v>
      </c>
      <c r="BM415" s="891">
        <f t="shared" si="523"/>
        <v>0</v>
      </c>
      <c r="BN415" s="891">
        <f t="shared" si="523"/>
        <v>0</v>
      </c>
      <c r="BO415" s="891">
        <f t="shared" si="523"/>
        <v>0</v>
      </c>
      <c r="BP415" s="891">
        <f t="shared" si="523"/>
        <v>0</v>
      </c>
      <c r="BQ415" s="891">
        <f t="shared" si="523"/>
        <v>0</v>
      </c>
      <c r="BR415" s="891">
        <f t="shared" si="523"/>
        <v>0</v>
      </c>
      <c r="BS415" s="891">
        <f t="shared" si="523"/>
        <v>0</v>
      </c>
      <c r="BT415" s="891">
        <f t="shared" si="523"/>
        <v>-419</v>
      </c>
      <c r="BU415" s="891">
        <f t="shared" si="523"/>
        <v>489</v>
      </c>
      <c r="BV415" s="891">
        <f t="shared" si="523"/>
        <v>-164</v>
      </c>
      <c r="BW415" s="891">
        <f t="shared" si="523"/>
        <v>1006</v>
      </c>
      <c r="BX415" s="891">
        <f t="shared" si="523"/>
        <v>207</v>
      </c>
      <c r="BY415" s="891">
        <f t="shared" si="523"/>
        <v>-33</v>
      </c>
      <c r="BZ415" s="891">
        <f t="shared" si="523"/>
        <v>7946</v>
      </c>
      <c r="CA415" s="891">
        <f t="shared" si="523"/>
        <v>-30400</v>
      </c>
      <c r="CB415" s="891">
        <f t="shared" si="523"/>
        <v>0</v>
      </c>
      <c r="CC415" s="891">
        <f t="shared" ref="CC415:CI415" si="524">+CC3-CC329</f>
        <v>0</v>
      </c>
      <c r="CD415" s="891">
        <f t="shared" si="524"/>
        <v>0</v>
      </c>
      <c r="CE415" s="891">
        <f t="shared" si="524"/>
        <v>0</v>
      </c>
      <c r="CF415" s="891">
        <f t="shared" si="524"/>
        <v>0</v>
      </c>
      <c r="CG415" s="891">
        <f t="shared" si="524"/>
        <v>0</v>
      </c>
      <c r="CH415" s="891">
        <f t="shared" si="524"/>
        <v>0</v>
      </c>
      <c r="CI415" s="891">
        <f t="shared" si="524"/>
        <v>0</v>
      </c>
    </row>
    <row r="416" spans="1:87" s="891" customFormat="1" x14ac:dyDescent="0.2">
      <c r="A416" s="890" t="s">
        <v>954</v>
      </c>
      <c r="B416" s="891">
        <f t="shared" si="521"/>
        <v>18182</v>
      </c>
      <c r="C416" s="891">
        <f t="shared" ref="C416:AP416" si="525">+C4-C330</f>
        <v>67175</v>
      </c>
      <c r="D416" s="891">
        <f t="shared" si="525"/>
        <v>0</v>
      </c>
      <c r="E416" s="891">
        <f t="shared" si="525"/>
        <v>50</v>
      </c>
      <c r="F416" s="891">
        <f t="shared" si="525"/>
        <v>8469</v>
      </c>
      <c r="G416" s="891">
        <f t="shared" si="525"/>
        <v>0</v>
      </c>
      <c r="H416" s="891">
        <f t="shared" si="525"/>
        <v>363</v>
      </c>
      <c r="I416" s="891">
        <f t="shared" si="525"/>
        <v>0</v>
      </c>
      <c r="J416" s="891">
        <f t="shared" si="525"/>
        <v>0</v>
      </c>
      <c r="K416" s="891">
        <f t="shared" si="525"/>
        <v>0</v>
      </c>
      <c r="L416" s="891">
        <f t="shared" si="525"/>
        <v>0</v>
      </c>
      <c r="M416" s="891">
        <f t="shared" si="525"/>
        <v>0</v>
      </c>
      <c r="N416" s="891">
        <f t="shared" si="525"/>
        <v>0</v>
      </c>
      <c r="O416" s="891">
        <f t="shared" si="525"/>
        <v>-2777</v>
      </c>
      <c r="P416" s="891">
        <f t="shared" si="525"/>
        <v>0</v>
      </c>
      <c r="Q416" s="891">
        <f t="shared" si="525"/>
        <v>0</v>
      </c>
      <c r="R416" s="891">
        <f t="shared" si="525"/>
        <v>0</v>
      </c>
      <c r="S416" s="891">
        <f t="shared" si="525"/>
        <v>0</v>
      </c>
      <c r="T416" s="891">
        <f t="shared" si="525"/>
        <v>0</v>
      </c>
      <c r="U416" s="891">
        <f t="shared" si="525"/>
        <v>0</v>
      </c>
      <c r="V416" s="891">
        <f t="shared" si="525"/>
        <v>0</v>
      </c>
      <c r="W416" s="891">
        <f t="shared" si="525"/>
        <v>0</v>
      </c>
      <c r="X416" s="891">
        <f t="shared" si="525"/>
        <v>0</v>
      </c>
      <c r="Y416" s="891">
        <f t="shared" si="525"/>
        <v>0</v>
      </c>
      <c r="Z416" s="891">
        <f t="shared" si="525"/>
        <v>0</v>
      </c>
      <c r="AA416" s="891">
        <f t="shared" si="525"/>
        <v>0</v>
      </c>
      <c r="AB416" s="891">
        <f t="shared" si="525"/>
        <v>0</v>
      </c>
      <c r="AC416" s="891">
        <f t="shared" si="525"/>
        <v>0</v>
      </c>
      <c r="AD416" s="891">
        <f t="shared" si="525"/>
        <v>0</v>
      </c>
      <c r="AE416" s="891">
        <f t="shared" si="525"/>
        <v>128</v>
      </c>
      <c r="AF416" s="891">
        <f t="shared" si="525"/>
        <v>0</v>
      </c>
      <c r="AG416" s="891">
        <f t="shared" si="525"/>
        <v>0</v>
      </c>
      <c r="AH416" s="891">
        <f t="shared" si="525"/>
        <v>0</v>
      </c>
      <c r="AI416" s="891">
        <f t="shared" si="525"/>
        <v>0</v>
      </c>
      <c r="AJ416" s="891">
        <f t="shared" si="525"/>
        <v>0</v>
      </c>
      <c r="AK416" s="891">
        <f t="shared" si="525"/>
        <v>0</v>
      </c>
      <c r="AL416" s="891">
        <f t="shared" si="525"/>
        <v>-71</v>
      </c>
      <c r="AM416" s="891">
        <f t="shared" si="525"/>
        <v>12</v>
      </c>
      <c r="AN416" s="891">
        <f t="shared" si="525"/>
        <v>189</v>
      </c>
      <c r="AO416" s="891">
        <f t="shared" si="525"/>
        <v>0</v>
      </c>
      <c r="AP416" s="891">
        <f t="shared" si="525"/>
        <v>8</v>
      </c>
      <c r="AR416" s="891">
        <f t="shared" ref="AR416:CB416" si="526">+AR4-AR330</f>
        <v>-181</v>
      </c>
      <c r="AS416" s="891">
        <f t="shared" si="526"/>
        <v>0</v>
      </c>
      <c r="AT416" s="891">
        <f t="shared" si="526"/>
        <v>6718</v>
      </c>
      <c r="AU416" s="891">
        <f t="shared" si="526"/>
        <v>0</v>
      </c>
      <c r="AV416" s="891">
        <f t="shared" si="526"/>
        <v>0</v>
      </c>
      <c r="AW416" s="891">
        <f t="shared" si="526"/>
        <v>6</v>
      </c>
      <c r="AX416" s="891">
        <f t="shared" si="526"/>
        <v>0</v>
      </c>
      <c r="AY416" s="891">
        <f t="shared" si="526"/>
        <v>0</v>
      </c>
      <c r="AZ416" s="891">
        <f t="shared" si="526"/>
        <v>0</v>
      </c>
      <c r="BA416" s="891">
        <f t="shared" si="526"/>
        <v>0</v>
      </c>
      <c r="BB416" s="891">
        <f t="shared" si="526"/>
        <v>0</v>
      </c>
      <c r="BC416" s="891">
        <f t="shared" si="526"/>
        <v>0</v>
      </c>
      <c r="BD416" s="891">
        <f t="shared" si="526"/>
        <v>0</v>
      </c>
      <c r="BE416" s="891">
        <f t="shared" si="526"/>
        <v>0</v>
      </c>
      <c r="BF416" s="891">
        <f t="shared" si="526"/>
        <v>0</v>
      </c>
      <c r="BG416" s="891">
        <f t="shared" si="526"/>
        <v>0</v>
      </c>
      <c r="BH416" s="891">
        <f t="shared" si="526"/>
        <v>0</v>
      </c>
      <c r="BI416" s="891">
        <f t="shared" si="526"/>
        <v>0</v>
      </c>
      <c r="BJ416" s="891">
        <f t="shared" si="526"/>
        <v>0</v>
      </c>
      <c r="BK416" s="891">
        <f t="shared" si="526"/>
        <v>0</v>
      </c>
      <c r="BL416" s="891">
        <f t="shared" si="526"/>
        <v>0</v>
      </c>
      <c r="BM416" s="891">
        <f t="shared" si="526"/>
        <v>0</v>
      </c>
      <c r="BN416" s="891">
        <f t="shared" si="526"/>
        <v>0</v>
      </c>
      <c r="BO416" s="891">
        <f t="shared" si="526"/>
        <v>0</v>
      </c>
      <c r="BP416" s="891">
        <f t="shared" si="526"/>
        <v>0</v>
      </c>
      <c r="BQ416" s="891">
        <f t="shared" si="526"/>
        <v>0</v>
      </c>
      <c r="BR416" s="891">
        <f t="shared" si="526"/>
        <v>0</v>
      </c>
      <c r="BS416" s="891">
        <f t="shared" si="526"/>
        <v>0</v>
      </c>
      <c r="BT416" s="891">
        <f t="shared" si="526"/>
        <v>-2732</v>
      </c>
      <c r="BU416" s="891">
        <f t="shared" si="526"/>
        <v>2463</v>
      </c>
      <c r="BV416" s="891">
        <f t="shared" si="526"/>
        <v>-6395</v>
      </c>
      <c r="BW416" s="891">
        <f t="shared" si="526"/>
        <v>2394</v>
      </c>
      <c r="BX416" s="891">
        <f t="shared" si="526"/>
        <v>1041</v>
      </c>
      <c r="BY416" s="891">
        <f t="shared" si="526"/>
        <v>-2</v>
      </c>
      <c r="BZ416" s="891">
        <f t="shared" si="526"/>
        <v>-48321</v>
      </c>
      <c r="CA416" s="891">
        <f t="shared" si="526"/>
        <v>-10355</v>
      </c>
      <c r="CB416" s="891">
        <f t="shared" si="526"/>
        <v>0</v>
      </c>
      <c r="CC416" s="891">
        <f t="shared" ref="CC416:CI416" si="527">+CC4-CC330</f>
        <v>0</v>
      </c>
      <c r="CD416" s="891">
        <f t="shared" si="527"/>
        <v>0</v>
      </c>
      <c r="CE416" s="891">
        <f t="shared" si="527"/>
        <v>0</v>
      </c>
      <c r="CF416" s="891">
        <f t="shared" si="527"/>
        <v>0</v>
      </c>
      <c r="CG416" s="891">
        <f t="shared" si="527"/>
        <v>0</v>
      </c>
      <c r="CH416" s="891">
        <f t="shared" si="527"/>
        <v>0</v>
      </c>
      <c r="CI416" s="891">
        <f t="shared" si="527"/>
        <v>0</v>
      </c>
    </row>
    <row r="417" spans="1:87" s="891" customFormat="1" x14ac:dyDescent="0.2">
      <c r="A417" s="890" t="s">
        <v>955</v>
      </c>
      <c r="B417" s="891">
        <f t="shared" si="521"/>
        <v>29846</v>
      </c>
      <c r="C417" s="891">
        <f t="shared" ref="C417:AP417" si="528">+C5-C331</f>
        <v>2264</v>
      </c>
      <c r="D417" s="891">
        <f t="shared" si="528"/>
        <v>0</v>
      </c>
      <c r="E417" s="891">
        <f t="shared" si="528"/>
        <v>9232</v>
      </c>
      <c r="F417" s="891">
        <f t="shared" si="528"/>
        <v>-258</v>
      </c>
      <c r="G417" s="891">
        <f t="shared" si="528"/>
        <v>0</v>
      </c>
      <c r="H417" s="891">
        <f t="shared" si="528"/>
        <v>0</v>
      </c>
      <c r="I417" s="891">
        <f t="shared" si="528"/>
        <v>0</v>
      </c>
      <c r="J417" s="891">
        <f t="shared" si="528"/>
        <v>0</v>
      </c>
      <c r="K417" s="891">
        <f t="shared" si="528"/>
        <v>1004</v>
      </c>
      <c r="L417" s="891">
        <f t="shared" si="528"/>
        <v>0</v>
      </c>
      <c r="M417" s="891">
        <f t="shared" si="528"/>
        <v>0</v>
      </c>
      <c r="N417" s="891">
        <f t="shared" si="528"/>
        <v>0</v>
      </c>
      <c r="O417" s="891">
        <f t="shared" si="528"/>
        <v>-9029</v>
      </c>
      <c r="P417" s="891">
        <f t="shared" si="528"/>
        <v>0</v>
      </c>
      <c r="Q417" s="891">
        <f t="shared" si="528"/>
        <v>0</v>
      </c>
      <c r="R417" s="891">
        <f t="shared" si="528"/>
        <v>0</v>
      </c>
      <c r="S417" s="891">
        <f t="shared" si="528"/>
        <v>0</v>
      </c>
      <c r="T417" s="891">
        <f t="shared" si="528"/>
        <v>0</v>
      </c>
      <c r="U417" s="891">
        <f t="shared" si="528"/>
        <v>532</v>
      </c>
      <c r="V417" s="891">
        <f t="shared" si="528"/>
        <v>0</v>
      </c>
      <c r="W417" s="891">
        <f t="shared" si="528"/>
        <v>1762</v>
      </c>
      <c r="X417" s="891">
        <f t="shared" si="528"/>
        <v>0</v>
      </c>
      <c r="Y417" s="891">
        <f t="shared" si="528"/>
        <v>0</v>
      </c>
      <c r="Z417" s="891">
        <f t="shared" si="528"/>
        <v>0</v>
      </c>
      <c r="AA417" s="891">
        <f t="shared" si="528"/>
        <v>0</v>
      </c>
      <c r="AB417" s="891">
        <f t="shared" si="528"/>
        <v>0</v>
      </c>
      <c r="AC417" s="891">
        <f t="shared" si="528"/>
        <v>0</v>
      </c>
      <c r="AD417" s="891">
        <f t="shared" si="528"/>
        <v>7309</v>
      </c>
      <c r="AE417" s="891">
        <f t="shared" si="528"/>
        <v>982</v>
      </c>
      <c r="AF417" s="891">
        <f t="shared" si="528"/>
        <v>38791</v>
      </c>
      <c r="AG417" s="891">
        <f t="shared" si="528"/>
        <v>0</v>
      </c>
      <c r="AH417" s="891">
        <f t="shared" si="528"/>
        <v>0</v>
      </c>
      <c r="AI417" s="891">
        <f t="shared" si="528"/>
        <v>0</v>
      </c>
      <c r="AJ417" s="891">
        <f t="shared" si="528"/>
        <v>0</v>
      </c>
      <c r="AK417" s="891">
        <f t="shared" si="528"/>
        <v>0</v>
      </c>
      <c r="AL417" s="891">
        <f t="shared" si="528"/>
        <v>25</v>
      </c>
      <c r="AM417" s="891">
        <f t="shared" si="528"/>
        <v>2</v>
      </c>
      <c r="AN417" s="891">
        <f t="shared" si="528"/>
        <v>2</v>
      </c>
      <c r="AO417" s="891">
        <f t="shared" si="528"/>
        <v>382</v>
      </c>
      <c r="AP417" s="891">
        <f t="shared" si="528"/>
        <v>-193</v>
      </c>
      <c r="AR417" s="891">
        <f t="shared" ref="AR417:CB417" si="529">+AR5-AR331</f>
        <v>18474</v>
      </c>
      <c r="AS417" s="891">
        <f t="shared" si="529"/>
        <v>0</v>
      </c>
      <c r="AT417" s="891">
        <f t="shared" si="529"/>
        <v>-32001</v>
      </c>
      <c r="AU417" s="891">
        <f t="shared" si="529"/>
        <v>-238</v>
      </c>
      <c r="AV417" s="891">
        <f t="shared" si="529"/>
        <v>0</v>
      </c>
      <c r="AW417" s="891">
        <f t="shared" si="529"/>
        <v>162</v>
      </c>
      <c r="AX417" s="891">
        <f t="shared" si="529"/>
        <v>0</v>
      </c>
      <c r="AY417" s="891">
        <f t="shared" si="529"/>
        <v>0</v>
      </c>
      <c r="AZ417" s="891">
        <f t="shared" si="529"/>
        <v>0</v>
      </c>
      <c r="BA417" s="891">
        <f t="shared" si="529"/>
        <v>0</v>
      </c>
      <c r="BB417" s="891">
        <f t="shared" si="529"/>
        <v>0</v>
      </c>
      <c r="BC417" s="891">
        <f t="shared" si="529"/>
        <v>0</v>
      </c>
      <c r="BD417" s="891">
        <f t="shared" si="529"/>
        <v>0</v>
      </c>
      <c r="BE417" s="891">
        <f t="shared" si="529"/>
        <v>0</v>
      </c>
      <c r="BF417" s="891">
        <f t="shared" si="529"/>
        <v>0</v>
      </c>
      <c r="BG417" s="891">
        <f t="shared" si="529"/>
        <v>0</v>
      </c>
      <c r="BH417" s="891">
        <f t="shared" si="529"/>
        <v>0</v>
      </c>
      <c r="BI417" s="891">
        <f t="shared" si="529"/>
        <v>0</v>
      </c>
      <c r="BJ417" s="891">
        <f t="shared" si="529"/>
        <v>0</v>
      </c>
      <c r="BK417" s="891">
        <f t="shared" si="529"/>
        <v>0</v>
      </c>
      <c r="BL417" s="891">
        <f t="shared" si="529"/>
        <v>0</v>
      </c>
      <c r="BM417" s="891">
        <f t="shared" si="529"/>
        <v>0</v>
      </c>
      <c r="BN417" s="891">
        <f t="shared" si="529"/>
        <v>0</v>
      </c>
      <c r="BO417" s="891">
        <f t="shared" si="529"/>
        <v>0</v>
      </c>
      <c r="BP417" s="891">
        <f t="shared" si="529"/>
        <v>0</v>
      </c>
      <c r="BQ417" s="891">
        <f t="shared" si="529"/>
        <v>0</v>
      </c>
      <c r="BR417" s="891">
        <f t="shared" si="529"/>
        <v>0</v>
      </c>
      <c r="BS417" s="891">
        <f t="shared" si="529"/>
        <v>0</v>
      </c>
      <c r="BT417" s="891">
        <f t="shared" si="529"/>
        <v>-266</v>
      </c>
      <c r="BU417" s="891">
        <f t="shared" si="529"/>
        <v>309</v>
      </c>
      <c r="BV417" s="891">
        <f t="shared" si="529"/>
        <v>-301</v>
      </c>
      <c r="BW417" s="891">
        <f t="shared" si="529"/>
        <v>503</v>
      </c>
      <c r="BX417" s="891">
        <f t="shared" si="529"/>
        <v>453</v>
      </c>
      <c r="BY417" s="891">
        <f t="shared" si="529"/>
        <v>-2860</v>
      </c>
      <c r="BZ417" s="891">
        <f t="shared" si="529"/>
        <v>-1911</v>
      </c>
      <c r="CA417" s="891">
        <f t="shared" si="529"/>
        <v>-5285</v>
      </c>
      <c r="CB417" s="891">
        <f t="shared" si="529"/>
        <v>0</v>
      </c>
      <c r="CC417" s="891">
        <f t="shared" ref="CC417:CI417" si="530">+CC5-CC331</f>
        <v>0</v>
      </c>
      <c r="CD417" s="891">
        <f t="shared" si="530"/>
        <v>0</v>
      </c>
      <c r="CE417" s="891">
        <f t="shared" si="530"/>
        <v>0</v>
      </c>
      <c r="CF417" s="891">
        <f t="shared" si="530"/>
        <v>0</v>
      </c>
      <c r="CG417" s="891">
        <f t="shared" si="530"/>
        <v>0</v>
      </c>
      <c r="CH417" s="891">
        <f t="shared" si="530"/>
        <v>0</v>
      </c>
      <c r="CI417" s="891">
        <f t="shared" si="530"/>
        <v>0</v>
      </c>
    </row>
    <row r="418" spans="1:87" s="891" customFormat="1" x14ac:dyDescent="0.2">
      <c r="A418" s="890" t="s">
        <v>958</v>
      </c>
      <c r="B418" s="891">
        <f t="shared" si="521"/>
        <v>408</v>
      </c>
      <c r="C418" s="891">
        <f t="shared" ref="C418:AP418" si="531">+C6-C332</f>
        <v>0</v>
      </c>
      <c r="D418" s="891">
        <f t="shared" si="531"/>
        <v>0</v>
      </c>
      <c r="E418" s="891">
        <f t="shared" si="531"/>
        <v>0</v>
      </c>
      <c r="F418" s="891">
        <f t="shared" si="531"/>
        <v>23</v>
      </c>
      <c r="G418" s="891">
        <f t="shared" si="531"/>
        <v>0</v>
      </c>
      <c r="H418" s="891">
        <f t="shared" si="531"/>
        <v>0</v>
      </c>
      <c r="I418" s="891">
        <f t="shared" si="531"/>
        <v>0</v>
      </c>
      <c r="J418" s="891">
        <f t="shared" si="531"/>
        <v>0</v>
      </c>
      <c r="K418" s="891">
        <f t="shared" si="531"/>
        <v>0</v>
      </c>
      <c r="L418" s="891">
        <f t="shared" si="531"/>
        <v>0</v>
      </c>
      <c r="M418" s="891">
        <f t="shared" si="531"/>
        <v>0</v>
      </c>
      <c r="N418" s="891">
        <f t="shared" si="531"/>
        <v>0</v>
      </c>
      <c r="O418" s="891">
        <f t="shared" si="531"/>
        <v>0</v>
      </c>
      <c r="P418" s="891">
        <f t="shared" si="531"/>
        <v>0</v>
      </c>
      <c r="Q418" s="891">
        <f t="shared" si="531"/>
        <v>0</v>
      </c>
      <c r="R418" s="891">
        <f t="shared" si="531"/>
        <v>0</v>
      </c>
      <c r="S418" s="891">
        <f t="shared" si="531"/>
        <v>0</v>
      </c>
      <c r="T418" s="891">
        <f t="shared" si="531"/>
        <v>-45</v>
      </c>
      <c r="U418" s="891">
        <f t="shared" si="531"/>
        <v>0</v>
      </c>
      <c r="V418" s="891">
        <f t="shared" si="531"/>
        <v>0</v>
      </c>
      <c r="W418" s="891">
        <f t="shared" si="531"/>
        <v>0</v>
      </c>
      <c r="X418" s="891">
        <f t="shared" si="531"/>
        <v>0</v>
      </c>
      <c r="Y418" s="891">
        <f t="shared" si="531"/>
        <v>0</v>
      </c>
      <c r="Z418" s="891">
        <f t="shared" si="531"/>
        <v>0</v>
      </c>
      <c r="AA418" s="891">
        <f t="shared" si="531"/>
        <v>0</v>
      </c>
      <c r="AB418" s="891">
        <f t="shared" si="531"/>
        <v>0</v>
      </c>
      <c r="AC418" s="891">
        <f t="shared" si="531"/>
        <v>0</v>
      </c>
      <c r="AD418" s="891">
        <f t="shared" si="531"/>
        <v>0</v>
      </c>
      <c r="AE418" s="891">
        <f t="shared" si="531"/>
        <v>0</v>
      </c>
      <c r="AF418" s="891">
        <f t="shared" si="531"/>
        <v>0</v>
      </c>
      <c r="AG418" s="891">
        <f t="shared" si="531"/>
        <v>0</v>
      </c>
      <c r="AH418" s="891">
        <f t="shared" si="531"/>
        <v>0</v>
      </c>
      <c r="AI418" s="891">
        <f t="shared" si="531"/>
        <v>0</v>
      </c>
      <c r="AJ418" s="891">
        <f t="shared" si="531"/>
        <v>0</v>
      </c>
      <c r="AK418" s="891">
        <f t="shared" si="531"/>
        <v>0</v>
      </c>
      <c r="AL418" s="891">
        <f t="shared" si="531"/>
        <v>0</v>
      </c>
      <c r="AM418" s="891">
        <f t="shared" si="531"/>
        <v>0</v>
      </c>
      <c r="AN418" s="891">
        <f t="shared" si="531"/>
        <v>0</v>
      </c>
      <c r="AO418" s="891">
        <f t="shared" si="531"/>
        <v>0</v>
      </c>
      <c r="AP418" s="891">
        <f t="shared" si="531"/>
        <v>0</v>
      </c>
      <c r="AR418" s="891">
        <f t="shared" ref="AR418:CB418" si="532">+AR6-AR332</f>
        <v>0</v>
      </c>
      <c r="AS418" s="891">
        <f t="shared" si="532"/>
        <v>0</v>
      </c>
      <c r="AT418" s="891">
        <f t="shared" si="532"/>
        <v>0</v>
      </c>
      <c r="AU418" s="891">
        <f t="shared" si="532"/>
        <v>0</v>
      </c>
      <c r="AV418" s="891">
        <f t="shared" si="532"/>
        <v>0</v>
      </c>
      <c r="AW418" s="891">
        <f t="shared" si="532"/>
        <v>0</v>
      </c>
      <c r="AX418" s="891">
        <f t="shared" si="532"/>
        <v>0</v>
      </c>
      <c r="AY418" s="891">
        <f t="shared" si="532"/>
        <v>0</v>
      </c>
      <c r="AZ418" s="891">
        <f t="shared" si="532"/>
        <v>0</v>
      </c>
      <c r="BA418" s="891">
        <f t="shared" si="532"/>
        <v>0</v>
      </c>
      <c r="BB418" s="891">
        <f t="shared" si="532"/>
        <v>0</v>
      </c>
      <c r="BC418" s="891">
        <f t="shared" si="532"/>
        <v>0</v>
      </c>
      <c r="BD418" s="891">
        <f t="shared" si="532"/>
        <v>0</v>
      </c>
      <c r="BE418" s="891">
        <f t="shared" si="532"/>
        <v>0</v>
      </c>
      <c r="BF418" s="891">
        <f t="shared" si="532"/>
        <v>0</v>
      </c>
      <c r="BG418" s="891">
        <f t="shared" si="532"/>
        <v>0</v>
      </c>
      <c r="BH418" s="891">
        <f t="shared" si="532"/>
        <v>0</v>
      </c>
      <c r="BI418" s="891">
        <f t="shared" si="532"/>
        <v>0</v>
      </c>
      <c r="BJ418" s="891">
        <f t="shared" si="532"/>
        <v>0</v>
      </c>
      <c r="BK418" s="891">
        <f t="shared" si="532"/>
        <v>0</v>
      </c>
      <c r="BL418" s="891">
        <f t="shared" si="532"/>
        <v>0</v>
      </c>
      <c r="BM418" s="891">
        <f t="shared" si="532"/>
        <v>0</v>
      </c>
      <c r="BN418" s="891">
        <f t="shared" si="532"/>
        <v>0</v>
      </c>
      <c r="BO418" s="891">
        <f t="shared" si="532"/>
        <v>0</v>
      </c>
      <c r="BP418" s="891">
        <f t="shared" si="532"/>
        <v>0</v>
      </c>
      <c r="BQ418" s="891">
        <f t="shared" si="532"/>
        <v>0</v>
      </c>
      <c r="BR418" s="891">
        <f t="shared" si="532"/>
        <v>0</v>
      </c>
      <c r="BS418" s="891">
        <f t="shared" si="532"/>
        <v>0</v>
      </c>
      <c r="BT418" s="891">
        <f t="shared" si="532"/>
        <v>-30</v>
      </c>
      <c r="BU418" s="891">
        <f t="shared" si="532"/>
        <v>20</v>
      </c>
      <c r="BV418" s="891">
        <f t="shared" si="532"/>
        <v>-123</v>
      </c>
      <c r="BW418" s="891">
        <f t="shared" si="532"/>
        <v>38</v>
      </c>
      <c r="BX418" s="891">
        <f t="shared" si="532"/>
        <v>526</v>
      </c>
      <c r="BY418" s="891">
        <f t="shared" si="532"/>
        <v>0</v>
      </c>
      <c r="BZ418" s="891">
        <f t="shared" si="532"/>
        <v>0</v>
      </c>
      <c r="CA418" s="891">
        <f t="shared" si="532"/>
        <v>-1</v>
      </c>
      <c r="CB418" s="891">
        <f t="shared" si="532"/>
        <v>0</v>
      </c>
      <c r="CC418" s="891">
        <f t="shared" ref="CC418:CI418" si="533">+CC6-CC332</f>
        <v>0</v>
      </c>
      <c r="CD418" s="891">
        <f t="shared" si="533"/>
        <v>0</v>
      </c>
      <c r="CE418" s="891">
        <f t="shared" si="533"/>
        <v>0</v>
      </c>
      <c r="CF418" s="891">
        <f t="shared" si="533"/>
        <v>0</v>
      </c>
      <c r="CG418" s="891">
        <f t="shared" si="533"/>
        <v>0</v>
      </c>
      <c r="CH418" s="891">
        <f t="shared" si="533"/>
        <v>0</v>
      </c>
      <c r="CI418" s="891">
        <f t="shared" si="533"/>
        <v>0</v>
      </c>
    </row>
    <row r="419" spans="1:87" s="891" customFormat="1" x14ac:dyDescent="0.2">
      <c r="A419" s="890" t="s">
        <v>956</v>
      </c>
      <c r="B419" s="891">
        <f t="shared" si="521"/>
        <v>3187</v>
      </c>
      <c r="C419" s="891">
        <f t="shared" ref="C419:AP419" si="534">+C7-C333</f>
        <v>12808</v>
      </c>
      <c r="D419" s="891">
        <f t="shared" si="534"/>
        <v>0</v>
      </c>
      <c r="E419" s="891">
        <f t="shared" si="534"/>
        <v>-4184</v>
      </c>
      <c r="F419" s="891">
        <f t="shared" si="534"/>
        <v>-1695</v>
      </c>
      <c r="G419" s="891">
        <f t="shared" si="534"/>
        <v>0</v>
      </c>
      <c r="H419" s="891">
        <f t="shared" si="534"/>
        <v>0</v>
      </c>
      <c r="I419" s="891">
        <f t="shared" si="534"/>
        <v>0</v>
      </c>
      <c r="J419" s="891">
        <f t="shared" si="534"/>
        <v>0</v>
      </c>
      <c r="K419" s="891">
        <f t="shared" si="534"/>
        <v>0</v>
      </c>
      <c r="L419" s="891">
        <f t="shared" si="534"/>
        <v>0</v>
      </c>
      <c r="M419" s="891">
        <f t="shared" si="534"/>
        <v>0</v>
      </c>
      <c r="N419" s="891">
        <f t="shared" si="534"/>
        <v>0</v>
      </c>
      <c r="O419" s="891">
        <f t="shared" si="534"/>
        <v>-1307</v>
      </c>
      <c r="P419" s="891">
        <f t="shared" si="534"/>
        <v>0</v>
      </c>
      <c r="Q419" s="891">
        <f t="shared" si="534"/>
        <v>0</v>
      </c>
      <c r="R419" s="891">
        <f t="shared" si="534"/>
        <v>0</v>
      </c>
      <c r="S419" s="891">
        <f t="shared" si="534"/>
        <v>0</v>
      </c>
      <c r="T419" s="891">
        <f t="shared" si="534"/>
        <v>0</v>
      </c>
      <c r="U419" s="891">
        <f t="shared" si="534"/>
        <v>0</v>
      </c>
      <c r="V419" s="891">
        <f t="shared" si="534"/>
        <v>0</v>
      </c>
      <c r="W419" s="891">
        <f t="shared" si="534"/>
        <v>0</v>
      </c>
      <c r="X419" s="891">
        <f t="shared" si="534"/>
        <v>0</v>
      </c>
      <c r="Y419" s="891">
        <f t="shared" si="534"/>
        <v>0</v>
      </c>
      <c r="Z419" s="891">
        <f t="shared" si="534"/>
        <v>0</v>
      </c>
      <c r="AA419" s="891">
        <f t="shared" si="534"/>
        <v>0</v>
      </c>
      <c r="AB419" s="891">
        <f t="shared" si="534"/>
        <v>0</v>
      </c>
      <c r="AC419" s="891">
        <f t="shared" si="534"/>
        <v>0</v>
      </c>
      <c r="AD419" s="891">
        <f t="shared" si="534"/>
        <v>0</v>
      </c>
      <c r="AE419" s="891">
        <f t="shared" si="534"/>
        <v>0</v>
      </c>
      <c r="AF419" s="891">
        <f t="shared" si="534"/>
        <v>0</v>
      </c>
      <c r="AG419" s="891">
        <f t="shared" si="534"/>
        <v>0</v>
      </c>
      <c r="AH419" s="891">
        <f t="shared" si="534"/>
        <v>0</v>
      </c>
      <c r="AI419" s="891">
        <f t="shared" si="534"/>
        <v>0</v>
      </c>
      <c r="AJ419" s="891">
        <f t="shared" si="534"/>
        <v>0</v>
      </c>
      <c r="AK419" s="891">
        <f t="shared" si="534"/>
        <v>0</v>
      </c>
      <c r="AL419" s="891">
        <f t="shared" si="534"/>
        <v>0</v>
      </c>
      <c r="AM419" s="891">
        <f t="shared" si="534"/>
        <v>0</v>
      </c>
      <c r="AN419" s="891">
        <f t="shared" si="534"/>
        <v>0</v>
      </c>
      <c r="AO419" s="891">
        <f t="shared" si="534"/>
        <v>0</v>
      </c>
      <c r="AP419" s="891">
        <f t="shared" si="534"/>
        <v>0</v>
      </c>
      <c r="AR419" s="891">
        <f t="shared" ref="AR419:CB419" si="535">+AR7-AR333</f>
        <v>0</v>
      </c>
      <c r="AS419" s="891">
        <f t="shared" si="535"/>
        <v>0</v>
      </c>
      <c r="AT419" s="891">
        <f t="shared" si="535"/>
        <v>0</v>
      </c>
      <c r="AU419" s="891">
        <f t="shared" si="535"/>
        <v>0</v>
      </c>
      <c r="AV419" s="891">
        <f t="shared" si="535"/>
        <v>0</v>
      </c>
      <c r="AW419" s="891">
        <f t="shared" si="535"/>
        <v>0</v>
      </c>
      <c r="AX419" s="891">
        <f t="shared" si="535"/>
        <v>0</v>
      </c>
      <c r="AY419" s="891">
        <f t="shared" si="535"/>
        <v>0</v>
      </c>
      <c r="AZ419" s="891">
        <f t="shared" si="535"/>
        <v>0</v>
      </c>
      <c r="BA419" s="891">
        <f t="shared" si="535"/>
        <v>0</v>
      </c>
      <c r="BB419" s="891">
        <f t="shared" si="535"/>
        <v>0</v>
      </c>
      <c r="BC419" s="891">
        <f t="shared" si="535"/>
        <v>0</v>
      </c>
      <c r="BD419" s="891">
        <f t="shared" si="535"/>
        <v>0</v>
      </c>
      <c r="BE419" s="891">
        <f t="shared" si="535"/>
        <v>0</v>
      </c>
      <c r="BF419" s="891">
        <f t="shared" si="535"/>
        <v>0</v>
      </c>
      <c r="BG419" s="891">
        <f t="shared" si="535"/>
        <v>0</v>
      </c>
      <c r="BH419" s="891">
        <f t="shared" si="535"/>
        <v>0</v>
      </c>
      <c r="BI419" s="891">
        <f t="shared" si="535"/>
        <v>0</v>
      </c>
      <c r="BJ419" s="891">
        <f t="shared" si="535"/>
        <v>0</v>
      </c>
      <c r="BK419" s="891">
        <f t="shared" si="535"/>
        <v>0</v>
      </c>
      <c r="BL419" s="891">
        <f t="shared" si="535"/>
        <v>0</v>
      </c>
      <c r="BM419" s="891">
        <f t="shared" si="535"/>
        <v>0</v>
      </c>
      <c r="BN419" s="891">
        <f t="shared" si="535"/>
        <v>0</v>
      </c>
      <c r="BO419" s="891">
        <f t="shared" si="535"/>
        <v>0</v>
      </c>
      <c r="BP419" s="891">
        <f t="shared" si="535"/>
        <v>0</v>
      </c>
      <c r="BQ419" s="891">
        <f t="shared" si="535"/>
        <v>0</v>
      </c>
      <c r="BR419" s="891">
        <f t="shared" si="535"/>
        <v>0</v>
      </c>
      <c r="BS419" s="891">
        <f t="shared" si="535"/>
        <v>0</v>
      </c>
      <c r="BT419" s="891">
        <f t="shared" si="535"/>
        <v>-273</v>
      </c>
      <c r="BU419" s="891">
        <f t="shared" si="535"/>
        <v>19</v>
      </c>
      <c r="BV419" s="891">
        <f t="shared" si="535"/>
        <v>-97</v>
      </c>
      <c r="BW419" s="891">
        <f t="shared" si="535"/>
        <v>332</v>
      </c>
      <c r="BX419" s="891">
        <f t="shared" si="535"/>
        <v>82</v>
      </c>
      <c r="BY419" s="891">
        <f t="shared" si="535"/>
        <v>-6</v>
      </c>
      <c r="BZ419" s="891">
        <f t="shared" si="535"/>
        <v>-2827</v>
      </c>
      <c r="CA419" s="891">
        <f t="shared" si="535"/>
        <v>335</v>
      </c>
      <c r="CB419" s="891">
        <f t="shared" si="535"/>
        <v>0</v>
      </c>
      <c r="CC419" s="891">
        <f t="shared" ref="CC419:CI419" si="536">+CC7-CC333</f>
        <v>0</v>
      </c>
      <c r="CD419" s="891">
        <f t="shared" si="536"/>
        <v>0</v>
      </c>
      <c r="CE419" s="891">
        <f t="shared" si="536"/>
        <v>0</v>
      </c>
      <c r="CF419" s="891">
        <f t="shared" si="536"/>
        <v>0</v>
      </c>
      <c r="CG419" s="891">
        <f t="shared" si="536"/>
        <v>0</v>
      </c>
      <c r="CH419" s="891">
        <f t="shared" si="536"/>
        <v>0</v>
      </c>
      <c r="CI419" s="891">
        <f t="shared" si="536"/>
        <v>0</v>
      </c>
    </row>
    <row r="420" spans="1:87" s="891" customFormat="1" x14ac:dyDescent="0.2">
      <c r="A420" s="890" t="s">
        <v>961</v>
      </c>
      <c r="B420" s="891">
        <f t="shared" si="521"/>
        <v>5476</v>
      </c>
      <c r="C420" s="891">
        <f t="shared" ref="C420:AP420" si="537">+C8-C334</f>
        <v>9996</v>
      </c>
      <c r="D420" s="891">
        <f t="shared" si="537"/>
        <v>0</v>
      </c>
      <c r="E420" s="891">
        <f t="shared" si="537"/>
        <v>-4995</v>
      </c>
      <c r="F420" s="891">
        <f t="shared" si="537"/>
        <v>-25</v>
      </c>
      <c r="G420" s="891">
        <f t="shared" si="537"/>
        <v>0</v>
      </c>
      <c r="H420" s="891">
        <f t="shared" si="537"/>
        <v>0</v>
      </c>
      <c r="I420" s="891">
        <f t="shared" si="537"/>
        <v>0</v>
      </c>
      <c r="J420" s="891">
        <f t="shared" si="537"/>
        <v>0</v>
      </c>
      <c r="K420" s="891">
        <f t="shared" si="537"/>
        <v>0</v>
      </c>
      <c r="L420" s="891">
        <f t="shared" si="537"/>
        <v>0</v>
      </c>
      <c r="M420" s="891">
        <f t="shared" si="537"/>
        <v>0</v>
      </c>
      <c r="N420" s="891">
        <f t="shared" si="537"/>
        <v>2851</v>
      </c>
      <c r="O420" s="891">
        <f t="shared" si="537"/>
        <v>88</v>
      </c>
      <c r="P420" s="891">
        <f t="shared" si="537"/>
        <v>0</v>
      </c>
      <c r="Q420" s="891">
        <f t="shared" si="537"/>
        <v>-18</v>
      </c>
      <c r="R420" s="891">
        <f t="shared" si="537"/>
        <v>0</v>
      </c>
      <c r="S420" s="891">
        <f t="shared" si="537"/>
        <v>0</v>
      </c>
      <c r="T420" s="891">
        <f t="shared" si="537"/>
        <v>0</v>
      </c>
      <c r="U420" s="891">
        <f t="shared" si="537"/>
        <v>0</v>
      </c>
      <c r="V420" s="891">
        <f t="shared" si="537"/>
        <v>0</v>
      </c>
      <c r="W420" s="891">
        <f t="shared" si="537"/>
        <v>0</v>
      </c>
      <c r="X420" s="891">
        <f t="shared" si="537"/>
        <v>0</v>
      </c>
      <c r="Y420" s="891">
        <f t="shared" si="537"/>
        <v>0</v>
      </c>
      <c r="Z420" s="891">
        <f t="shared" si="537"/>
        <v>0</v>
      </c>
      <c r="AA420" s="891">
        <f t="shared" si="537"/>
        <v>0</v>
      </c>
      <c r="AB420" s="891">
        <f t="shared" si="537"/>
        <v>0</v>
      </c>
      <c r="AC420" s="891">
        <f t="shared" si="537"/>
        <v>0</v>
      </c>
      <c r="AD420" s="891">
        <f t="shared" si="537"/>
        <v>734</v>
      </c>
      <c r="AE420" s="891">
        <f t="shared" si="537"/>
        <v>488</v>
      </c>
      <c r="AF420" s="891">
        <f t="shared" si="537"/>
        <v>242</v>
      </c>
      <c r="AG420" s="891">
        <f t="shared" si="537"/>
        <v>0</v>
      </c>
      <c r="AH420" s="891">
        <f t="shared" si="537"/>
        <v>0</v>
      </c>
      <c r="AI420" s="891">
        <f t="shared" si="537"/>
        <v>0</v>
      </c>
      <c r="AJ420" s="891">
        <f t="shared" si="537"/>
        <v>0</v>
      </c>
      <c r="AK420" s="891">
        <f t="shared" si="537"/>
        <v>0</v>
      </c>
      <c r="AL420" s="891">
        <f t="shared" si="537"/>
        <v>0</v>
      </c>
      <c r="AM420" s="891">
        <f t="shared" si="537"/>
        <v>0</v>
      </c>
      <c r="AN420" s="891">
        <f t="shared" si="537"/>
        <v>2</v>
      </c>
      <c r="AO420" s="891">
        <f t="shared" si="537"/>
        <v>25</v>
      </c>
      <c r="AP420" s="891">
        <f t="shared" si="537"/>
        <v>-25</v>
      </c>
      <c r="AR420" s="891">
        <f t="shared" ref="AR420:CB420" si="538">+AR8-AR334</f>
        <v>780</v>
      </c>
      <c r="AS420" s="891">
        <f t="shared" si="538"/>
        <v>0</v>
      </c>
      <c r="AT420" s="891">
        <f t="shared" si="538"/>
        <v>25344</v>
      </c>
      <c r="AU420" s="891">
        <f t="shared" si="538"/>
        <v>0</v>
      </c>
      <c r="AV420" s="891">
        <f t="shared" si="538"/>
        <v>0</v>
      </c>
      <c r="AW420" s="891">
        <f t="shared" si="538"/>
        <v>14</v>
      </c>
      <c r="AX420" s="891">
        <f t="shared" si="538"/>
        <v>0</v>
      </c>
      <c r="AY420" s="891">
        <f t="shared" si="538"/>
        <v>6</v>
      </c>
      <c r="AZ420" s="891">
        <f t="shared" si="538"/>
        <v>240</v>
      </c>
      <c r="BA420" s="891">
        <f t="shared" si="538"/>
        <v>8</v>
      </c>
      <c r="BB420" s="891">
        <f t="shared" si="538"/>
        <v>16</v>
      </c>
      <c r="BC420" s="891">
        <f t="shared" si="538"/>
        <v>0</v>
      </c>
      <c r="BD420" s="891">
        <f t="shared" si="538"/>
        <v>0</v>
      </c>
      <c r="BE420" s="891">
        <f t="shared" si="538"/>
        <v>0</v>
      </c>
      <c r="BF420" s="891">
        <f t="shared" si="538"/>
        <v>0</v>
      </c>
      <c r="BG420" s="891">
        <f t="shared" si="538"/>
        <v>0</v>
      </c>
      <c r="BH420" s="891">
        <f t="shared" si="538"/>
        <v>0</v>
      </c>
      <c r="BI420" s="891">
        <f t="shared" si="538"/>
        <v>0</v>
      </c>
      <c r="BJ420" s="891">
        <f t="shared" si="538"/>
        <v>2248</v>
      </c>
      <c r="BK420" s="891">
        <f t="shared" si="538"/>
        <v>-3</v>
      </c>
      <c r="BL420" s="891">
        <f t="shared" si="538"/>
        <v>0</v>
      </c>
      <c r="BM420" s="891">
        <f t="shared" si="538"/>
        <v>0</v>
      </c>
      <c r="BN420" s="891">
        <f t="shared" si="538"/>
        <v>0</v>
      </c>
      <c r="BO420" s="891">
        <f t="shared" si="538"/>
        <v>0</v>
      </c>
      <c r="BP420" s="891">
        <f t="shared" si="538"/>
        <v>0</v>
      </c>
      <c r="BQ420" s="891">
        <f t="shared" si="538"/>
        <v>0</v>
      </c>
      <c r="BR420" s="891">
        <f t="shared" si="538"/>
        <v>0</v>
      </c>
      <c r="BS420" s="891">
        <f t="shared" si="538"/>
        <v>0</v>
      </c>
      <c r="BT420" s="891">
        <f t="shared" si="538"/>
        <v>-358</v>
      </c>
      <c r="BU420" s="891">
        <f t="shared" si="538"/>
        <v>1020</v>
      </c>
      <c r="BV420" s="891">
        <f t="shared" si="538"/>
        <v>-667</v>
      </c>
      <c r="BW420" s="891">
        <f t="shared" si="538"/>
        <v>600</v>
      </c>
      <c r="BX420" s="891">
        <f t="shared" si="538"/>
        <v>303</v>
      </c>
      <c r="BY420" s="891">
        <f t="shared" si="538"/>
        <v>-84</v>
      </c>
      <c r="BZ420" s="891">
        <f t="shared" si="538"/>
        <v>-3677</v>
      </c>
      <c r="CA420" s="891">
        <f t="shared" si="538"/>
        <v>-29677</v>
      </c>
      <c r="CB420" s="891">
        <f t="shared" si="538"/>
        <v>0</v>
      </c>
      <c r="CC420" s="891">
        <f t="shared" ref="CC420:CI420" si="539">+CC8-CC334</f>
        <v>0</v>
      </c>
      <c r="CD420" s="891">
        <f t="shared" si="539"/>
        <v>0</v>
      </c>
      <c r="CE420" s="891">
        <f t="shared" si="539"/>
        <v>0</v>
      </c>
      <c r="CF420" s="891">
        <f t="shared" si="539"/>
        <v>0</v>
      </c>
      <c r="CG420" s="891">
        <f t="shared" si="539"/>
        <v>0</v>
      </c>
      <c r="CH420" s="891">
        <f t="shared" si="539"/>
        <v>0</v>
      </c>
      <c r="CI420" s="891">
        <f t="shared" si="539"/>
        <v>0</v>
      </c>
    </row>
    <row r="421" spans="1:87" s="891" customFormat="1" x14ac:dyDescent="0.2">
      <c r="A421" s="890" t="s">
        <v>960</v>
      </c>
      <c r="B421" s="891">
        <f t="shared" si="521"/>
        <v>932</v>
      </c>
      <c r="C421" s="891">
        <f t="shared" ref="C421:AP421" si="540">+C9-C335</f>
        <v>0</v>
      </c>
      <c r="D421" s="891">
        <f t="shared" si="540"/>
        <v>0</v>
      </c>
      <c r="E421" s="891">
        <f t="shared" si="540"/>
        <v>0</v>
      </c>
      <c r="F421" s="891">
        <f t="shared" si="540"/>
        <v>0</v>
      </c>
      <c r="G421" s="891">
        <f t="shared" si="540"/>
        <v>0</v>
      </c>
      <c r="H421" s="891">
        <f t="shared" si="540"/>
        <v>0</v>
      </c>
      <c r="I421" s="891">
        <f t="shared" si="540"/>
        <v>0</v>
      </c>
      <c r="J421" s="891">
        <f t="shared" si="540"/>
        <v>0</v>
      </c>
      <c r="K421" s="891">
        <f t="shared" si="540"/>
        <v>0</v>
      </c>
      <c r="L421" s="891">
        <f t="shared" si="540"/>
        <v>0</v>
      </c>
      <c r="M421" s="891">
        <f t="shared" si="540"/>
        <v>0</v>
      </c>
      <c r="N421" s="891">
        <f t="shared" si="540"/>
        <v>3288</v>
      </c>
      <c r="O421" s="891">
        <f t="shared" si="540"/>
        <v>-62</v>
      </c>
      <c r="P421" s="891">
        <f t="shared" si="540"/>
        <v>-23</v>
      </c>
      <c r="Q421" s="891">
        <f t="shared" si="540"/>
        <v>0</v>
      </c>
      <c r="R421" s="891">
        <f t="shared" si="540"/>
        <v>0</v>
      </c>
      <c r="S421" s="891">
        <f t="shared" si="540"/>
        <v>0</v>
      </c>
      <c r="T421" s="891">
        <f t="shared" si="540"/>
        <v>0</v>
      </c>
      <c r="U421" s="891">
        <f t="shared" si="540"/>
        <v>0</v>
      </c>
      <c r="V421" s="891">
        <f t="shared" si="540"/>
        <v>0</v>
      </c>
      <c r="W421" s="891">
        <f t="shared" si="540"/>
        <v>0</v>
      </c>
      <c r="X421" s="891">
        <f t="shared" si="540"/>
        <v>0</v>
      </c>
      <c r="Y421" s="891">
        <f t="shared" si="540"/>
        <v>0</v>
      </c>
      <c r="Z421" s="891">
        <f t="shared" si="540"/>
        <v>0</v>
      </c>
      <c r="AA421" s="891">
        <f t="shared" si="540"/>
        <v>0</v>
      </c>
      <c r="AB421" s="891">
        <f t="shared" si="540"/>
        <v>0</v>
      </c>
      <c r="AC421" s="891">
        <f t="shared" si="540"/>
        <v>0</v>
      </c>
      <c r="AD421" s="891">
        <f t="shared" si="540"/>
        <v>0</v>
      </c>
      <c r="AE421" s="891">
        <f t="shared" si="540"/>
        <v>0</v>
      </c>
      <c r="AF421" s="891">
        <f t="shared" si="540"/>
        <v>0</v>
      </c>
      <c r="AG421" s="891">
        <f t="shared" si="540"/>
        <v>0</v>
      </c>
      <c r="AH421" s="891">
        <f t="shared" si="540"/>
        <v>0</v>
      </c>
      <c r="AI421" s="891">
        <f t="shared" si="540"/>
        <v>0</v>
      </c>
      <c r="AJ421" s="891">
        <f t="shared" si="540"/>
        <v>0</v>
      </c>
      <c r="AK421" s="891">
        <f t="shared" si="540"/>
        <v>0</v>
      </c>
      <c r="AL421" s="891">
        <f t="shared" si="540"/>
        <v>0</v>
      </c>
      <c r="AM421" s="891">
        <f t="shared" si="540"/>
        <v>0</v>
      </c>
      <c r="AN421" s="891">
        <f t="shared" si="540"/>
        <v>0</v>
      </c>
      <c r="AO421" s="891">
        <f t="shared" si="540"/>
        <v>0</v>
      </c>
      <c r="AP421" s="891">
        <f t="shared" si="540"/>
        <v>0</v>
      </c>
      <c r="AR421" s="891">
        <f t="shared" ref="AR421:CB421" si="541">+AR9-AR335</f>
        <v>0</v>
      </c>
      <c r="AS421" s="891">
        <f t="shared" si="541"/>
        <v>0</v>
      </c>
      <c r="AT421" s="891">
        <f t="shared" si="541"/>
        <v>2730</v>
      </c>
      <c r="AU421" s="891">
        <f t="shared" si="541"/>
        <v>0</v>
      </c>
      <c r="AV421" s="891">
        <f t="shared" si="541"/>
        <v>0</v>
      </c>
      <c r="AW421" s="891">
        <f t="shared" si="541"/>
        <v>0</v>
      </c>
      <c r="AX421" s="891">
        <f t="shared" si="541"/>
        <v>0</v>
      </c>
      <c r="AY421" s="891">
        <f t="shared" si="541"/>
        <v>0</v>
      </c>
      <c r="AZ421" s="891">
        <f t="shared" si="541"/>
        <v>0</v>
      </c>
      <c r="BA421" s="891">
        <f t="shared" si="541"/>
        <v>0</v>
      </c>
      <c r="BB421" s="891">
        <f t="shared" si="541"/>
        <v>0</v>
      </c>
      <c r="BC421" s="891">
        <f t="shared" si="541"/>
        <v>0</v>
      </c>
      <c r="BD421" s="891">
        <f t="shared" si="541"/>
        <v>0</v>
      </c>
      <c r="BE421" s="891">
        <f t="shared" si="541"/>
        <v>0</v>
      </c>
      <c r="BF421" s="891">
        <f t="shared" si="541"/>
        <v>0</v>
      </c>
      <c r="BG421" s="891">
        <f t="shared" si="541"/>
        <v>0</v>
      </c>
      <c r="BH421" s="891">
        <f t="shared" si="541"/>
        <v>-62</v>
      </c>
      <c r="BI421" s="891">
        <f t="shared" si="541"/>
        <v>0</v>
      </c>
      <c r="BJ421" s="891">
        <f t="shared" si="541"/>
        <v>0</v>
      </c>
      <c r="BK421" s="891">
        <f t="shared" si="541"/>
        <v>0</v>
      </c>
      <c r="BL421" s="891">
        <f t="shared" si="541"/>
        <v>0</v>
      </c>
      <c r="BM421" s="891">
        <f t="shared" si="541"/>
        <v>0</v>
      </c>
      <c r="BN421" s="891">
        <f t="shared" si="541"/>
        <v>0</v>
      </c>
      <c r="BO421" s="891">
        <f t="shared" si="541"/>
        <v>0</v>
      </c>
      <c r="BP421" s="891">
        <f t="shared" si="541"/>
        <v>0</v>
      </c>
      <c r="BQ421" s="891">
        <f t="shared" si="541"/>
        <v>0</v>
      </c>
      <c r="BR421" s="891">
        <f t="shared" si="541"/>
        <v>271</v>
      </c>
      <c r="BS421" s="891">
        <f t="shared" si="541"/>
        <v>0</v>
      </c>
      <c r="BT421" s="891">
        <f t="shared" si="541"/>
        <v>-89</v>
      </c>
      <c r="BU421" s="891">
        <f t="shared" si="541"/>
        <v>662</v>
      </c>
      <c r="BV421" s="891">
        <f t="shared" si="541"/>
        <v>-159</v>
      </c>
      <c r="BW421" s="891">
        <f t="shared" si="541"/>
        <v>101</v>
      </c>
      <c r="BX421" s="891">
        <f t="shared" si="541"/>
        <v>6</v>
      </c>
      <c r="BY421" s="891">
        <f t="shared" si="541"/>
        <v>-7</v>
      </c>
      <c r="BZ421" s="891">
        <f t="shared" si="541"/>
        <v>-617</v>
      </c>
      <c r="CA421" s="891">
        <f t="shared" si="541"/>
        <v>-5107</v>
      </c>
      <c r="CB421" s="891">
        <f t="shared" si="541"/>
        <v>0</v>
      </c>
      <c r="CC421" s="891">
        <f t="shared" ref="CC421:CI421" si="542">+CC9-CC335</f>
        <v>0</v>
      </c>
      <c r="CD421" s="891">
        <f t="shared" si="542"/>
        <v>0</v>
      </c>
      <c r="CE421" s="891">
        <f t="shared" si="542"/>
        <v>0</v>
      </c>
      <c r="CF421" s="891">
        <f t="shared" si="542"/>
        <v>0</v>
      </c>
      <c r="CG421" s="891">
        <f t="shared" si="542"/>
        <v>0</v>
      </c>
      <c r="CH421" s="891">
        <f t="shared" si="542"/>
        <v>0</v>
      </c>
      <c r="CI421" s="891">
        <f t="shared" si="542"/>
        <v>0</v>
      </c>
    </row>
    <row r="422" spans="1:87" s="891" customFormat="1" x14ac:dyDescent="0.2">
      <c r="A422" s="890" t="s">
        <v>963</v>
      </c>
      <c r="B422" s="891">
        <f t="shared" si="521"/>
        <v>26407</v>
      </c>
      <c r="C422" s="891">
        <f t="shared" ref="C422:AP422" si="543">+C10-C336</f>
        <v>3801</v>
      </c>
      <c r="D422" s="891">
        <f t="shared" si="543"/>
        <v>0</v>
      </c>
      <c r="E422" s="891">
        <f t="shared" si="543"/>
        <v>-1193</v>
      </c>
      <c r="F422" s="891">
        <f t="shared" si="543"/>
        <v>2055</v>
      </c>
      <c r="G422" s="891">
        <f t="shared" si="543"/>
        <v>-1975</v>
      </c>
      <c r="H422" s="891">
        <f t="shared" si="543"/>
        <v>0</v>
      </c>
      <c r="I422" s="891">
        <f t="shared" si="543"/>
        <v>4546</v>
      </c>
      <c r="J422" s="891">
        <f t="shared" si="543"/>
        <v>0</v>
      </c>
      <c r="K422" s="891">
        <f t="shared" si="543"/>
        <v>0</v>
      </c>
      <c r="L422" s="891">
        <f t="shared" si="543"/>
        <v>0</v>
      </c>
      <c r="M422" s="891">
        <f t="shared" si="543"/>
        <v>0</v>
      </c>
      <c r="N422" s="891">
        <f t="shared" si="543"/>
        <v>0</v>
      </c>
      <c r="O422" s="891">
        <f t="shared" si="543"/>
        <v>3863</v>
      </c>
      <c r="P422" s="891">
        <f t="shared" si="543"/>
        <v>0</v>
      </c>
      <c r="Q422" s="891">
        <f t="shared" si="543"/>
        <v>0</v>
      </c>
      <c r="R422" s="891">
        <f t="shared" si="543"/>
        <v>0</v>
      </c>
      <c r="S422" s="891">
        <f t="shared" si="543"/>
        <v>0</v>
      </c>
      <c r="T422" s="891">
        <f t="shared" si="543"/>
        <v>0</v>
      </c>
      <c r="U422" s="891">
        <f t="shared" si="543"/>
        <v>0</v>
      </c>
      <c r="V422" s="891">
        <f t="shared" si="543"/>
        <v>1025</v>
      </c>
      <c r="W422" s="891">
        <f t="shared" si="543"/>
        <v>0</v>
      </c>
      <c r="X422" s="891">
        <f t="shared" si="543"/>
        <v>0</v>
      </c>
      <c r="Y422" s="891">
        <f t="shared" si="543"/>
        <v>0</v>
      </c>
      <c r="Z422" s="891">
        <f t="shared" si="543"/>
        <v>0</v>
      </c>
      <c r="AA422" s="891">
        <f t="shared" si="543"/>
        <v>0</v>
      </c>
      <c r="AB422" s="891">
        <f t="shared" si="543"/>
        <v>0</v>
      </c>
      <c r="AC422" s="891">
        <f t="shared" si="543"/>
        <v>0</v>
      </c>
      <c r="AD422" s="891">
        <f t="shared" si="543"/>
        <v>-64</v>
      </c>
      <c r="AE422" s="891">
        <f t="shared" si="543"/>
        <v>-123</v>
      </c>
      <c r="AF422" s="891">
        <f t="shared" si="543"/>
        <v>14323</v>
      </c>
      <c r="AG422" s="891">
        <f t="shared" si="543"/>
        <v>0</v>
      </c>
      <c r="AH422" s="891">
        <f t="shared" si="543"/>
        <v>0</v>
      </c>
      <c r="AI422" s="891">
        <f t="shared" si="543"/>
        <v>0</v>
      </c>
      <c r="AJ422" s="891">
        <f t="shared" si="543"/>
        <v>0</v>
      </c>
      <c r="AK422" s="891">
        <f t="shared" si="543"/>
        <v>0</v>
      </c>
      <c r="AL422" s="891">
        <f t="shared" si="543"/>
        <v>0</v>
      </c>
      <c r="AM422" s="891">
        <f t="shared" si="543"/>
        <v>0</v>
      </c>
      <c r="AN422" s="891">
        <f t="shared" si="543"/>
        <v>0</v>
      </c>
      <c r="AO422" s="891">
        <f t="shared" si="543"/>
        <v>0</v>
      </c>
      <c r="AP422" s="891">
        <f t="shared" si="543"/>
        <v>0</v>
      </c>
      <c r="AR422" s="891">
        <f t="shared" ref="AR422:CB422" si="544">+AR10-AR336</f>
        <v>0</v>
      </c>
      <c r="AS422" s="891">
        <f t="shared" si="544"/>
        <v>0</v>
      </c>
      <c r="AT422" s="891">
        <f t="shared" si="544"/>
        <v>-245</v>
      </c>
      <c r="AU422" s="891">
        <f t="shared" si="544"/>
        <v>0</v>
      </c>
      <c r="AV422" s="891">
        <f t="shared" si="544"/>
        <v>0</v>
      </c>
      <c r="AW422" s="891">
        <f t="shared" si="544"/>
        <v>0</v>
      </c>
      <c r="AX422" s="891">
        <f t="shared" si="544"/>
        <v>0</v>
      </c>
      <c r="AY422" s="891">
        <f t="shared" si="544"/>
        <v>0</v>
      </c>
      <c r="AZ422" s="891">
        <f t="shared" si="544"/>
        <v>0</v>
      </c>
      <c r="BA422" s="891">
        <f t="shared" si="544"/>
        <v>0</v>
      </c>
      <c r="BB422" s="891">
        <f t="shared" si="544"/>
        <v>0</v>
      </c>
      <c r="BC422" s="891">
        <f t="shared" si="544"/>
        <v>0</v>
      </c>
      <c r="BD422" s="891">
        <f t="shared" si="544"/>
        <v>0</v>
      </c>
      <c r="BE422" s="891">
        <f t="shared" si="544"/>
        <v>0</v>
      </c>
      <c r="BF422" s="891">
        <f t="shared" si="544"/>
        <v>0</v>
      </c>
      <c r="BG422" s="891">
        <f t="shared" si="544"/>
        <v>0</v>
      </c>
      <c r="BH422" s="891">
        <f t="shared" si="544"/>
        <v>0</v>
      </c>
      <c r="BI422" s="891">
        <f t="shared" si="544"/>
        <v>0</v>
      </c>
      <c r="BJ422" s="891">
        <f t="shared" si="544"/>
        <v>0</v>
      </c>
      <c r="BK422" s="891">
        <f t="shared" si="544"/>
        <v>0</v>
      </c>
      <c r="BL422" s="891">
        <f t="shared" si="544"/>
        <v>0</v>
      </c>
      <c r="BM422" s="891">
        <f t="shared" si="544"/>
        <v>0</v>
      </c>
      <c r="BN422" s="891">
        <f t="shared" si="544"/>
        <v>0</v>
      </c>
      <c r="BO422" s="891">
        <f t="shared" si="544"/>
        <v>0</v>
      </c>
      <c r="BP422" s="891">
        <f t="shared" si="544"/>
        <v>0</v>
      </c>
      <c r="BQ422" s="891">
        <f t="shared" si="544"/>
        <v>0</v>
      </c>
      <c r="BR422" s="891">
        <f t="shared" si="544"/>
        <v>0</v>
      </c>
      <c r="BS422" s="891">
        <f t="shared" si="544"/>
        <v>1248</v>
      </c>
      <c r="BT422" s="891">
        <f t="shared" si="544"/>
        <v>-53</v>
      </c>
      <c r="BU422" s="891">
        <f t="shared" si="544"/>
        <v>35</v>
      </c>
      <c r="BV422" s="891">
        <f t="shared" si="544"/>
        <v>-75</v>
      </c>
      <c r="BW422" s="891">
        <f t="shared" si="544"/>
        <v>104</v>
      </c>
      <c r="BX422" s="891">
        <f t="shared" si="544"/>
        <v>45</v>
      </c>
      <c r="BY422" s="891">
        <f t="shared" si="544"/>
        <v>-1</v>
      </c>
      <c r="BZ422" s="891">
        <f t="shared" si="544"/>
        <v>-789</v>
      </c>
      <c r="CA422" s="891">
        <f t="shared" si="544"/>
        <v>-120</v>
      </c>
      <c r="CB422" s="891">
        <f t="shared" si="544"/>
        <v>0</v>
      </c>
      <c r="CC422" s="891">
        <f t="shared" ref="CC422:CI422" si="545">+CC10-CC336</f>
        <v>0</v>
      </c>
      <c r="CD422" s="891">
        <f t="shared" si="545"/>
        <v>0</v>
      </c>
      <c r="CE422" s="891">
        <f t="shared" si="545"/>
        <v>0</v>
      </c>
      <c r="CF422" s="891">
        <f t="shared" si="545"/>
        <v>0</v>
      </c>
      <c r="CG422" s="891">
        <f t="shared" si="545"/>
        <v>0</v>
      </c>
      <c r="CH422" s="891">
        <f t="shared" si="545"/>
        <v>0</v>
      </c>
      <c r="CI422" s="891">
        <f t="shared" si="545"/>
        <v>0</v>
      </c>
    </row>
    <row r="423" spans="1:87" s="891" customFormat="1" x14ac:dyDescent="0.2">
      <c r="A423" s="890" t="s">
        <v>959</v>
      </c>
      <c r="B423" s="891">
        <f t="shared" si="521"/>
        <v>26622</v>
      </c>
      <c r="C423" s="891">
        <f t="shared" ref="C423:AP423" si="546">+C11-C337</f>
        <v>2135</v>
      </c>
      <c r="D423" s="891">
        <f t="shared" si="546"/>
        <v>0</v>
      </c>
      <c r="E423" s="891">
        <f t="shared" si="546"/>
        <v>-34</v>
      </c>
      <c r="F423" s="891">
        <f t="shared" si="546"/>
        <v>25940</v>
      </c>
      <c r="G423" s="891">
        <f t="shared" si="546"/>
        <v>-579</v>
      </c>
      <c r="H423" s="891">
        <f t="shared" si="546"/>
        <v>0</v>
      </c>
      <c r="I423" s="891">
        <f t="shared" si="546"/>
        <v>0</v>
      </c>
      <c r="J423" s="891">
        <f t="shared" si="546"/>
        <v>0</v>
      </c>
      <c r="K423" s="891">
        <f t="shared" si="546"/>
        <v>0</v>
      </c>
      <c r="L423" s="891">
        <f t="shared" si="546"/>
        <v>0</v>
      </c>
      <c r="M423" s="891">
        <f t="shared" si="546"/>
        <v>0</v>
      </c>
      <c r="N423" s="891">
        <f t="shared" si="546"/>
        <v>0</v>
      </c>
      <c r="O423" s="891">
        <f t="shared" si="546"/>
        <v>416</v>
      </c>
      <c r="P423" s="891">
        <f t="shared" si="546"/>
        <v>0</v>
      </c>
      <c r="Q423" s="891">
        <f t="shared" si="546"/>
        <v>0</v>
      </c>
      <c r="R423" s="891">
        <f t="shared" si="546"/>
        <v>0</v>
      </c>
      <c r="S423" s="891">
        <f t="shared" si="546"/>
        <v>0</v>
      </c>
      <c r="T423" s="891">
        <f t="shared" si="546"/>
        <v>0</v>
      </c>
      <c r="U423" s="891">
        <f t="shared" si="546"/>
        <v>0</v>
      </c>
      <c r="V423" s="891">
        <f t="shared" si="546"/>
        <v>0</v>
      </c>
      <c r="W423" s="891">
        <f t="shared" si="546"/>
        <v>0</v>
      </c>
      <c r="X423" s="891">
        <f t="shared" si="546"/>
        <v>0</v>
      </c>
      <c r="Y423" s="891">
        <f t="shared" si="546"/>
        <v>0</v>
      </c>
      <c r="Z423" s="891">
        <f t="shared" si="546"/>
        <v>0</v>
      </c>
      <c r="AA423" s="891">
        <f t="shared" si="546"/>
        <v>0</v>
      </c>
      <c r="AB423" s="891">
        <f t="shared" si="546"/>
        <v>0</v>
      </c>
      <c r="AC423" s="891">
        <f t="shared" si="546"/>
        <v>0</v>
      </c>
      <c r="AD423" s="891">
        <f t="shared" si="546"/>
        <v>0</v>
      </c>
      <c r="AE423" s="891">
        <f t="shared" si="546"/>
        <v>0</v>
      </c>
      <c r="AF423" s="891">
        <f t="shared" si="546"/>
        <v>0</v>
      </c>
      <c r="AG423" s="891">
        <f t="shared" si="546"/>
        <v>0</v>
      </c>
      <c r="AH423" s="891">
        <f t="shared" si="546"/>
        <v>0</v>
      </c>
      <c r="AI423" s="891">
        <f t="shared" si="546"/>
        <v>0</v>
      </c>
      <c r="AJ423" s="891">
        <f t="shared" si="546"/>
        <v>0</v>
      </c>
      <c r="AK423" s="891">
        <f t="shared" si="546"/>
        <v>0</v>
      </c>
      <c r="AL423" s="891">
        <f t="shared" si="546"/>
        <v>0</v>
      </c>
      <c r="AM423" s="891">
        <f t="shared" si="546"/>
        <v>0</v>
      </c>
      <c r="AN423" s="891">
        <f t="shared" si="546"/>
        <v>0</v>
      </c>
      <c r="AO423" s="891">
        <f t="shared" si="546"/>
        <v>0</v>
      </c>
      <c r="AP423" s="891">
        <f t="shared" si="546"/>
        <v>0</v>
      </c>
      <c r="AR423" s="891">
        <f t="shared" ref="AR423:CB423" si="547">+AR11-AR337</f>
        <v>0</v>
      </c>
      <c r="AS423" s="891">
        <f t="shared" si="547"/>
        <v>0</v>
      </c>
      <c r="AT423" s="891">
        <f t="shared" si="547"/>
        <v>0</v>
      </c>
      <c r="AU423" s="891">
        <f t="shared" si="547"/>
        <v>0</v>
      </c>
      <c r="AV423" s="891">
        <f t="shared" si="547"/>
        <v>0</v>
      </c>
      <c r="AW423" s="891">
        <f t="shared" si="547"/>
        <v>0</v>
      </c>
      <c r="AX423" s="891">
        <f t="shared" si="547"/>
        <v>0</v>
      </c>
      <c r="AY423" s="891">
        <f t="shared" si="547"/>
        <v>0</v>
      </c>
      <c r="AZ423" s="891">
        <f t="shared" si="547"/>
        <v>0</v>
      </c>
      <c r="BA423" s="891">
        <f t="shared" si="547"/>
        <v>0</v>
      </c>
      <c r="BB423" s="891">
        <f t="shared" si="547"/>
        <v>0</v>
      </c>
      <c r="BC423" s="891">
        <f t="shared" si="547"/>
        <v>0</v>
      </c>
      <c r="BD423" s="891">
        <f t="shared" si="547"/>
        <v>0</v>
      </c>
      <c r="BE423" s="891">
        <f t="shared" si="547"/>
        <v>0</v>
      </c>
      <c r="BF423" s="891">
        <f t="shared" si="547"/>
        <v>0</v>
      </c>
      <c r="BG423" s="891">
        <f t="shared" si="547"/>
        <v>0</v>
      </c>
      <c r="BH423" s="891">
        <f t="shared" si="547"/>
        <v>0</v>
      </c>
      <c r="BI423" s="891">
        <f t="shared" si="547"/>
        <v>0</v>
      </c>
      <c r="BJ423" s="891">
        <f t="shared" si="547"/>
        <v>0</v>
      </c>
      <c r="BK423" s="891">
        <f t="shared" si="547"/>
        <v>0</v>
      </c>
      <c r="BL423" s="891">
        <f t="shared" si="547"/>
        <v>0</v>
      </c>
      <c r="BM423" s="891">
        <f t="shared" si="547"/>
        <v>0</v>
      </c>
      <c r="BN423" s="891">
        <f t="shared" si="547"/>
        <v>0</v>
      </c>
      <c r="BO423" s="891">
        <f t="shared" si="547"/>
        <v>0</v>
      </c>
      <c r="BP423" s="891">
        <f t="shared" si="547"/>
        <v>0</v>
      </c>
      <c r="BQ423" s="891">
        <f t="shared" si="547"/>
        <v>0</v>
      </c>
      <c r="BR423" s="891">
        <f t="shared" si="547"/>
        <v>0</v>
      </c>
      <c r="BS423" s="891">
        <f t="shared" si="547"/>
        <v>0</v>
      </c>
      <c r="BT423" s="891">
        <f t="shared" si="547"/>
        <v>-118</v>
      </c>
      <c r="BU423" s="891">
        <f t="shared" si="547"/>
        <v>63</v>
      </c>
      <c r="BV423" s="891">
        <f t="shared" si="547"/>
        <v>-141</v>
      </c>
      <c r="BW423" s="891">
        <f t="shared" si="547"/>
        <v>132</v>
      </c>
      <c r="BX423" s="891">
        <f t="shared" si="547"/>
        <v>32</v>
      </c>
      <c r="BY423" s="891">
        <f t="shared" si="547"/>
        <v>-2</v>
      </c>
      <c r="BZ423" s="891">
        <f t="shared" si="547"/>
        <v>-1257</v>
      </c>
      <c r="CA423" s="891">
        <f t="shared" si="547"/>
        <v>35</v>
      </c>
      <c r="CB423" s="891">
        <f t="shared" si="547"/>
        <v>0</v>
      </c>
      <c r="CC423" s="891">
        <f t="shared" ref="CC423:CI423" si="548">+CC11-CC337</f>
        <v>0</v>
      </c>
      <c r="CD423" s="891">
        <f t="shared" si="548"/>
        <v>0</v>
      </c>
      <c r="CE423" s="891">
        <f t="shared" si="548"/>
        <v>0</v>
      </c>
      <c r="CF423" s="891">
        <f t="shared" si="548"/>
        <v>0</v>
      </c>
      <c r="CG423" s="891">
        <f t="shared" si="548"/>
        <v>0</v>
      </c>
      <c r="CH423" s="891">
        <f t="shared" si="548"/>
        <v>0</v>
      </c>
      <c r="CI423" s="891">
        <f t="shared" si="548"/>
        <v>0</v>
      </c>
    </row>
    <row r="424" spans="1:87" s="891" customFormat="1" x14ac:dyDescent="0.2">
      <c r="A424" s="890" t="s">
        <v>1191</v>
      </c>
      <c r="B424" s="891">
        <f t="shared" si="521"/>
        <v>21824</v>
      </c>
      <c r="C424" s="891">
        <f t="shared" ref="C424:AP424" si="549">+C12-C338</f>
        <v>0</v>
      </c>
      <c r="D424" s="891">
        <f t="shared" si="549"/>
        <v>0</v>
      </c>
      <c r="E424" s="891">
        <f t="shared" si="549"/>
        <v>295</v>
      </c>
      <c r="F424" s="891">
        <f t="shared" si="549"/>
        <v>323</v>
      </c>
      <c r="G424" s="891">
        <f t="shared" si="549"/>
        <v>0</v>
      </c>
      <c r="H424" s="891">
        <f t="shared" si="549"/>
        <v>0</v>
      </c>
      <c r="I424" s="891">
        <f t="shared" si="549"/>
        <v>0</v>
      </c>
      <c r="J424" s="891">
        <f t="shared" si="549"/>
        <v>0</v>
      </c>
      <c r="K424" s="891">
        <f t="shared" si="549"/>
        <v>0</v>
      </c>
      <c r="L424" s="891">
        <f t="shared" si="549"/>
        <v>0</v>
      </c>
      <c r="M424" s="891">
        <f t="shared" si="549"/>
        <v>0</v>
      </c>
      <c r="N424" s="891">
        <f t="shared" si="549"/>
        <v>0</v>
      </c>
      <c r="O424" s="891">
        <f t="shared" si="549"/>
        <v>200</v>
      </c>
      <c r="P424" s="891">
        <f t="shared" si="549"/>
        <v>0</v>
      </c>
      <c r="Q424" s="891">
        <f t="shared" si="549"/>
        <v>0</v>
      </c>
      <c r="R424" s="891">
        <f t="shared" si="549"/>
        <v>3922</v>
      </c>
      <c r="S424" s="891">
        <f t="shared" si="549"/>
        <v>510</v>
      </c>
      <c r="T424" s="891">
        <f t="shared" si="549"/>
        <v>0</v>
      </c>
      <c r="U424" s="891">
        <f t="shared" si="549"/>
        <v>0</v>
      </c>
      <c r="V424" s="891">
        <f t="shared" si="549"/>
        <v>0</v>
      </c>
      <c r="W424" s="891">
        <f t="shared" si="549"/>
        <v>0</v>
      </c>
      <c r="X424" s="891">
        <f t="shared" si="549"/>
        <v>0</v>
      </c>
      <c r="Y424" s="891">
        <f t="shared" si="549"/>
        <v>0</v>
      </c>
      <c r="Z424" s="891">
        <f t="shared" si="549"/>
        <v>0</v>
      </c>
      <c r="AA424" s="891">
        <f t="shared" si="549"/>
        <v>0</v>
      </c>
      <c r="AB424" s="891">
        <f t="shared" si="549"/>
        <v>0</v>
      </c>
      <c r="AC424" s="891">
        <f t="shared" si="549"/>
        <v>0</v>
      </c>
      <c r="AD424" s="891">
        <f t="shared" si="549"/>
        <v>0</v>
      </c>
      <c r="AE424" s="891">
        <f t="shared" si="549"/>
        <v>0</v>
      </c>
      <c r="AF424" s="891">
        <f t="shared" si="549"/>
        <v>0</v>
      </c>
      <c r="AG424" s="891">
        <f t="shared" si="549"/>
        <v>0</v>
      </c>
      <c r="AH424" s="891">
        <f t="shared" si="549"/>
        <v>0</v>
      </c>
      <c r="AI424" s="891">
        <f t="shared" si="549"/>
        <v>0</v>
      </c>
      <c r="AJ424" s="891">
        <f t="shared" si="549"/>
        <v>0</v>
      </c>
      <c r="AK424" s="891">
        <f t="shared" si="549"/>
        <v>0</v>
      </c>
      <c r="AL424" s="891">
        <f t="shared" si="549"/>
        <v>0</v>
      </c>
      <c r="AM424" s="891">
        <f t="shared" si="549"/>
        <v>0</v>
      </c>
      <c r="AN424" s="891">
        <f t="shared" si="549"/>
        <v>0</v>
      </c>
      <c r="AO424" s="891">
        <f t="shared" si="549"/>
        <v>0</v>
      </c>
      <c r="AP424" s="891">
        <f t="shared" si="549"/>
        <v>0</v>
      </c>
      <c r="AR424" s="891">
        <f t="shared" ref="AR424:CB424" si="550">+AR12-AR338</f>
        <v>0</v>
      </c>
      <c r="AS424" s="891">
        <f t="shared" si="550"/>
        <v>0</v>
      </c>
      <c r="AT424" s="891">
        <f t="shared" si="550"/>
        <v>0</v>
      </c>
      <c r="AU424" s="891">
        <f t="shared" si="550"/>
        <v>0</v>
      </c>
      <c r="AV424" s="891">
        <f t="shared" si="550"/>
        <v>0</v>
      </c>
      <c r="AW424" s="891">
        <f t="shared" si="550"/>
        <v>0</v>
      </c>
      <c r="AX424" s="891">
        <f t="shared" si="550"/>
        <v>0</v>
      </c>
      <c r="AY424" s="891">
        <f t="shared" si="550"/>
        <v>0</v>
      </c>
      <c r="AZ424" s="891">
        <f t="shared" si="550"/>
        <v>0</v>
      </c>
      <c r="BA424" s="891">
        <f t="shared" si="550"/>
        <v>0</v>
      </c>
      <c r="BB424" s="891">
        <f t="shared" si="550"/>
        <v>0</v>
      </c>
      <c r="BC424" s="891">
        <f t="shared" si="550"/>
        <v>0</v>
      </c>
      <c r="BD424" s="891">
        <f t="shared" si="550"/>
        <v>0</v>
      </c>
      <c r="BE424" s="891">
        <f t="shared" si="550"/>
        <v>0</v>
      </c>
      <c r="BF424" s="891">
        <f t="shared" si="550"/>
        <v>0</v>
      </c>
      <c r="BG424" s="891">
        <f t="shared" si="550"/>
        <v>0</v>
      </c>
      <c r="BH424" s="891">
        <f t="shared" si="550"/>
        <v>0</v>
      </c>
      <c r="BI424" s="891">
        <f t="shared" si="550"/>
        <v>0</v>
      </c>
      <c r="BJ424" s="891">
        <f t="shared" si="550"/>
        <v>0</v>
      </c>
      <c r="BK424" s="891">
        <f t="shared" si="550"/>
        <v>0</v>
      </c>
      <c r="BL424" s="891">
        <f t="shared" si="550"/>
        <v>0</v>
      </c>
      <c r="BM424" s="891">
        <f t="shared" si="550"/>
        <v>0</v>
      </c>
      <c r="BN424" s="891">
        <f t="shared" si="550"/>
        <v>0</v>
      </c>
      <c r="BO424" s="891">
        <f t="shared" si="550"/>
        <v>0</v>
      </c>
      <c r="BP424" s="891">
        <f t="shared" si="550"/>
        <v>0</v>
      </c>
      <c r="BQ424" s="891">
        <f t="shared" si="550"/>
        <v>17787</v>
      </c>
      <c r="BR424" s="891">
        <f t="shared" si="550"/>
        <v>0</v>
      </c>
      <c r="BS424" s="891">
        <f t="shared" si="550"/>
        <v>0</v>
      </c>
      <c r="BT424" s="891">
        <f t="shared" si="550"/>
        <v>-180</v>
      </c>
      <c r="BU424" s="891">
        <f t="shared" si="550"/>
        <v>-4</v>
      </c>
      <c r="BV424" s="891">
        <f t="shared" si="550"/>
        <v>-148</v>
      </c>
      <c r="BW424" s="891">
        <f t="shared" si="550"/>
        <v>165</v>
      </c>
      <c r="BX424" s="891">
        <f t="shared" si="550"/>
        <v>4</v>
      </c>
      <c r="BY424" s="891">
        <f t="shared" si="550"/>
        <v>-1</v>
      </c>
      <c r="BZ424" s="891">
        <f t="shared" si="550"/>
        <v>-1046</v>
      </c>
      <c r="CA424" s="891">
        <f t="shared" si="550"/>
        <v>-3</v>
      </c>
      <c r="CB424" s="891">
        <f t="shared" si="550"/>
        <v>0</v>
      </c>
      <c r="CC424" s="891">
        <f t="shared" ref="CC424:CI424" si="551">+CC12-CC338</f>
        <v>0</v>
      </c>
      <c r="CD424" s="891">
        <f t="shared" si="551"/>
        <v>0</v>
      </c>
      <c r="CE424" s="891">
        <f t="shared" si="551"/>
        <v>0</v>
      </c>
      <c r="CF424" s="891">
        <f t="shared" si="551"/>
        <v>0</v>
      </c>
      <c r="CG424" s="891">
        <f t="shared" si="551"/>
        <v>0</v>
      </c>
      <c r="CH424" s="891">
        <f t="shared" si="551"/>
        <v>0</v>
      </c>
      <c r="CI424" s="891">
        <f t="shared" si="551"/>
        <v>0</v>
      </c>
    </row>
    <row r="425" spans="1:87" s="891" customFormat="1" x14ac:dyDescent="0.2">
      <c r="A425" s="890" t="s">
        <v>1052</v>
      </c>
      <c r="B425" s="891">
        <f t="shared" si="521"/>
        <v>-8232</v>
      </c>
      <c r="C425" s="891">
        <f t="shared" ref="C425:AP425" si="552">+C13-C339</f>
        <v>429</v>
      </c>
      <c r="D425" s="891">
        <f t="shared" si="552"/>
        <v>0</v>
      </c>
      <c r="E425" s="891">
        <f t="shared" si="552"/>
        <v>-8009</v>
      </c>
      <c r="F425" s="891">
        <f t="shared" si="552"/>
        <v>0</v>
      </c>
      <c r="G425" s="891">
        <f t="shared" si="552"/>
        <v>0</v>
      </c>
      <c r="H425" s="891">
        <f t="shared" si="552"/>
        <v>0</v>
      </c>
      <c r="I425" s="891">
        <f t="shared" si="552"/>
        <v>0</v>
      </c>
      <c r="J425" s="891">
        <f t="shared" si="552"/>
        <v>0</v>
      </c>
      <c r="K425" s="891">
        <f t="shared" si="552"/>
        <v>0</v>
      </c>
      <c r="L425" s="891">
        <f t="shared" si="552"/>
        <v>0</v>
      </c>
      <c r="M425" s="891">
        <f t="shared" si="552"/>
        <v>0</v>
      </c>
      <c r="N425" s="891">
        <f t="shared" si="552"/>
        <v>0</v>
      </c>
      <c r="O425" s="891">
        <f t="shared" si="552"/>
        <v>438</v>
      </c>
      <c r="P425" s="891">
        <f t="shared" si="552"/>
        <v>0</v>
      </c>
      <c r="Q425" s="891">
        <f t="shared" si="552"/>
        <v>0</v>
      </c>
      <c r="R425" s="891">
        <f t="shared" si="552"/>
        <v>0</v>
      </c>
      <c r="S425" s="891">
        <f t="shared" si="552"/>
        <v>0</v>
      </c>
      <c r="T425" s="891">
        <f t="shared" si="552"/>
        <v>0</v>
      </c>
      <c r="U425" s="891">
        <f t="shared" si="552"/>
        <v>0</v>
      </c>
      <c r="V425" s="891">
        <f t="shared" si="552"/>
        <v>0</v>
      </c>
      <c r="W425" s="891">
        <f t="shared" si="552"/>
        <v>0</v>
      </c>
      <c r="X425" s="891">
        <f t="shared" si="552"/>
        <v>735</v>
      </c>
      <c r="Y425" s="891">
        <f t="shared" si="552"/>
        <v>0</v>
      </c>
      <c r="Z425" s="891">
        <f t="shared" si="552"/>
        <v>0</v>
      </c>
      <c r="AA425" s="891">
        <f t="shared" si="552"/>
        <v>0</v>
      </c>
      <c r="AB425" s="891">
        <f t="shared" si="552"/>
        <v>0</v>
      </c>
      <c r="AC425" s="891">
        <f t="shared" si="552"/>
        <v>0</v>
      </c>
      <c r="AD425" s="891">
        <f t="shared" si="552"/>
        <v>0</v>
      </c>
      <c r="AE425" s="891">
        <f t="shared" si="552"/>
        <v>0</v>
      </c>
      <c r="AF425" s="891">
        <f t="shared" si="552"/>
        <v>0</v>
      </c>
      <c r="AG425" s="891">
        <f t="shared" si="552"/>
        <v>0</v>
      </c>
      <c r="AH425" s="891">
        <f t="shared" si="552"/>
        <v>0</v>
      </c>
      <c r="AI425" s="891">
        <f t="shared" si="552"/>
        <v>0</v>
      </c>
      <c r="AJ425" s="891">
        <f t="shared" si="552"/>
        <v>0</v>
      </c>
      <c r="AK425" s="891">
        <f t="shared" si="552"/>
        <v>0</v>
      </c>
      <c r="AL425" s="891">
        <f t="shared" si="552"/>
        <v>0</v>
      </c>
      <c r="AM425" s="891">
        <f t="shared" si="552"/>
        <v>0</v>
      </c>
      <c r="AN425" s="891">
        <f t="shared" si="552"/>
        <v>0</v>
      </c>
      <c r="AO425" s="891">
        <f t="shared" si="552"/>
        <v>0</v>
      </c>
      <c r="AP425" s="891">
        <f t="shared" si="552"/>
        <v>0</v>
      </c>
      <c r="AR425" s="891">
        <f t="shared" ref="AR425:CB425" si="553">+AR13-AR339</f>
        <v>-10</v>
      </c>
      <c r="AS425" s="891">
        <f t="shared" si="553"/>
        <v>0</v>
      </c>
      <c r="AT425" s="891">
        <f t="shared" si="553"/>
        <v>0</v>
      </c>
      <c r="AU425" s="891">
        <f t="shared" si="553"/>
        <v>0</v>
      </c>
      <c r="AV425" s="891">
        <f t="shared" si="553"/>
        <v>0</v>
      </c>
      <c r="AW425" s="891">
        <f t="shared" si="553"/>
        <v>0</v>
      </c>
      <c r="AX425" s="891">
        <f t="shared" si="553"/>
        <v>0</v>
      </c>
      <c r="AY425" s="891">
        <f t="shared" si="553"/>
        <v>0</v>
      </c>
      <c r="AZ425" s="891">
        <f t="shared" si="553"/>
        <v>0</v>
      </c>
      <c r="BA425" s="891">
        <f t="shared" si="553"/>
        <v>0</v>
      </c>
      <c r="BB425" s="891">
        <f t="shared" si="553"/>
        <v>0</v>
      </c>
      <c r="BC425" s="891">
        <f t="shared" si="553"/>
        <v>0</v>
      </c>
      <c r="BD425" s="891">
        <f t="shared" si="553"/>
        <v>-1013</v>
      </c>
      <c r="BE425" s="891">
        <f t="shared" si="553"/>
        <v>0</v>
      </c>
      <c r="BF425" s="891">
        <f t="shared" si="553"/>
        <v>0</v>
      </c>
      <c r="BG425" s="891">
        <f t="shared" si="553"/>
        <v>0</v>
      </c>
      <c r="BH425" s="891">
        <f t="shared" si="553"/>
        <v>0</v>
      </c>
      <c r="BI425" s="891">
        <f t="shared" si="553"/>
        <v>0</v>
      </c>
      <c r="BJ425" s="891">
        <f t="shared" si="553"/>
        <v>0</v>
      </c>
      <c r="BK425" s="891">
        <f t="shared" si="553"/>
        <v>0</v>
      </c>
      <c r="BL425" s="891">
        <f t="shared" si="553"/>
        <v>0</v>
      </c>
      <c r="BM425" s="891">
        <f t="shared" si="553"/>
        <v>64</v>
      </c>
      <c r="BN425" s="891">
        <f t="shared" si="553"/>
        <v>0</v>
      </c>
      <c r="BO425" s="891">
        <f t="shared" si="553"/>
        <v>0</v>
      </c>
      <c r="BP425" s="891">
        <f t="shared" si="553"/>
        <v>605</v>
      </c>
      <c r="BQ425" s="891">
        <f t="shared" si="553"/>
        <v>0</v>
      </c>
      <c r="BR425" s="891">
        <f t="shared" si="553"/>
        <v>0</v>
      </c>
      <c r="BS425" s="891">
        <f t="shared" si="553"/>
        <v>0</v>
      </c>
      <c r="BT425" s="891">
        <f t="shared" si="553"/>
        <v>-8</v>
      </c>
      <c r="BU425" s="891">
        <f t="shared" si="553"/>
        <v>18</v>
      </c>
      <c r="BV425" s="891">
        <f t="shared" si="553"/>
        <v>0</v>
      </c>
      <c r="BW425" s="891">
        <f t="shared" si="553"/>
        <v>20</v>
      </c>
      <c r="BX425" s="891">
        <f t="shared" si="553"/>
        <v>2</v>
      </c>
      <c r="BY425" s="891">
        <f t="shared" si="553"/>
        <v>0</v>
      </c>
      <c r="BZ425" s="891">
        <f t="shared" si="553"/>
        <v>-169</v>
      </c>
      <c r="CA425" s="891">
        <f t="shared" si="553"/>
        <v>-1334</v>
      </c>
      <c r="CB425" s="891">
        <f t="shared" si="553"/>
        <v>0</v>
      </c>
      <c r="CC425" s="891">
        <f t="shared" ref="CC425:CI425" si="554">+CC13-CC339</f>
        <v>0</v>
      </c>
      <c r="CD425" s="891">
        <f t="shared" si="554"/>
        <v>0</v>
      </c>
      <c r="CE425" s="891">
        <f t="shared" si="554"/>
        <v>0</v>
      </c>
      <c r="CF425" s="891">
        <f t="shared" si="554"/>
        <v>0</v>
      </c>
      <c r="CG425" s="891">
        <f t="shared" si="554"/>
        <v>0</v>
      </c>
      <c r="CH425" s="891">
        <f t="shared" si="554"/>
        <v>0</v>
      </c>
      <c r="CI425" s="891">
        <f t="shared" si="554"/>
        <v>0</v>
      </c>
    </row>
    <row r="426" spans="1:87" s="891" customFormat="1" x14ac:dyDescent="0.2">
      <c r="A426" s="890" t="s">
        <v>1414</v>
      </c>
      <c r="B426" s="891">
        <f t="shared" si="521"/>
        <v>1753</v>
      </c>
      <c r="C426" s="891">
        <f t="shared" ref="C426:AP426" si="555">+C14-C340</f>
        <v>1548</v>
      </c>
      <c r="D426" s="891">
        <f t="shared" si="555"/>
        <v>0</v>
      </c>
      <c r="E426" s="891">
        <f t="shared" si="555"/>
        <v>0</v>
      </c>
      <c r="F426" s="891">
        <f t="shared" si="555"/>
        <v>280</v>
      </c>
      <c r="G426" s="891">
        <f t="shared" si="555"/>
        <v>0</v>
      </c>
      <c r="H426" s="891">
        <f t="shared" si="555"/>
        <v>0</v>
      </c>
      <c r="I426" s="891">
        <f t="shared" si="555"/>
        <v>0</v>
      </c>
      <c r="J426" s="891">
        <f t="shared" si="555"/>
        <v>0</v>
      </c>
      <c r="K426" s="891">
        <f t="shared" si="555"/>
        <v>0</v>
      </c>
      <c r="L426" s="891">
        <f t="shared" si="555"/>
        <v>0</v>
      </c>
      <c r="M426" s="891">
        <f t="shared" si="555"/>
        <v>0</v>
      </c>
      <c r="N426" s="891">
        <f t="shared" si="555"/>
        <v>0</v>
      </c>
      <c r="O426" s="891">
        <f t="shared" si="555"/>
        <v>-13</v>
      </c>
      <c r="P426" s="891">
        <f t="shared" si="555"/>
        <v>0</v>
      </c>
      <c r="Q426" s="891">
        <f t="shared" si="555"/>
        <v>0</v>
      </c>
      <c r="R426" s="891">
        <f t="shared" si="555"/>
        <v>0</v>
      </c>
      <c r="S426" s="891">
        <f t="shared" si="555"/>
        <v>0</v>
      </c>
      <c r="T426" s="891">
        <f t="shared" si="555"/>
        <v>0</v>
      </c>
      <c r="U426" s="891">
        <f t="shared" si="555"/>
        <v>0</v>
      </c>
      <c r="V426" s="891">
        <f t="shared" si="555"/>
        <v>0</v>
      </c>
      <c r="W426" s="891">
        <f t="shared" si="555"/>
        <v>0</v>
      </c>
      <c r="X426" s="891">
        <f t="shared" si="555"/>
        <v>0</v>
      </c>
      <c r="Y426" s="891">
        <f t="shared" si="555"/>
        <v>0</v>
      </c>
      <c r="Z426" s="891">
        <f t="shared" si="555"/>
        <v>0</v>
      </c>
      <c r="AA426" s="891">
        <f t="shared" si="555"/>
        <v>0</v>
      </c>
      <c r="AB426" s="891">
        <f t="shared" si="555"/>
        <v>0</v>
      </c>
      <c r="AC426" s="891">
        <f t="shared" si="555"/>
        <v>0</v>
      </c>
      <c r="AD426" s="891">
        <f t="shared" si="555"/>
        <v>0</v>
      </c>
      <c r="AE426" s="891">
        <f t="shared" si="555"/>
        <v>0</v>
      </c>
      <c r="AF426" s="891">
        <f t="shared" si="555"/>
        <v>0</v>
      </c>
      <c r="AG426" s="891">
        <f t="shared" si="555"/>
        <v>0</v>
      </c>
      <c r="AH426" s="891">
        <f t="shared" si="555"/>
        <v>0</v>
      </c>
      <c r="AI426" s="891">
        <f t="shared" si="555"/>
        <v>0</v>
      </c>
      <c r="AJ426" s="891">
        <f t="shared" si="555"/>
        <v>0</v>
      </c>
      <c r="AK426" s="891">
        <f t="shared" si="555"/>
        <v>0</v>
      </c>
      <c r="AL426" s="891">
        <f t="shared" si="555"/>
        <v>0</v>
      </c>
      <c r="AM426" s="891">
        <f t="shared" si="555"/>
        <v>0</v>
      </c>
      <c r="AN426" s="891">
        <f t="shared" si="555"/>
        <v>0</v>
      </c>
      <c r="AO426" s="891">
        <f t="shared" si="555"/>
        <v>0</v>
      </c>
      <c r="AP426" s="891">
        <f t="shared" si="555"/>
        <v>0</v>
      </c>
      <c r="AR426" s="891">
        <f t="shared" ref="AR426:CB426" si="556">+AR14-AR340</f>
        <v>0</v>
      </c>
      <c r="AS426" s="891">
        <f t="shared" si="556"/>
        <v>0</v>
      </c>
      <c r="AT426" s="891">
        <f t="shared" si="556"/>
        <v>0</v>
      </c>
      <c r="AU426" s="891">
        <f t="shared" si="556"/>
        <v>0</v>
      </c>
      <c r="AV426" s="891">
        <f t="shared" si="556"/>
        <v>0</v>
      </c>
      <c r="AW426" s="891">
        <f t="shared" si="556"/>
        <v>0</v>
      </c>
      <c r="AX426" s="891">
        <f t="shared" si="556"/>
        <v>0</v>
      </c>
      <c r="AY426" s="891">
        <f t="shared" si="556"/>
        <v>0</v>
      </c>
      <c r="AZ426" s="891">
        <f t="shared" si="556"/>
        <v>0</v>
      </c>
      <c r="BA426" s="891">
        <f t="shared" si="556"/>
        <v>0</v>
      </c>
      <c r="BB426" s="891">
        <f t="shared" si="556"/>
        <v>0</v>
      </c>
      <c r="BC426" s="891">
        <f t="shared" si="556"/>
        <v>-401</v>
      </c>
      <c r="BD426" s="891">
        <f t="shared" si="556"/>
        <v>0</v>
      </c>
      <c r="BE426" s="891">
        <f t="shared" si="556"/>
        <v>0</v>
      </c>
      <c r="BF426" s="891">
        <f t="shared" si="556"/>
        <v>0</v>
      </c>
      <c r="BG426" s="891">
        <f t="shared" si="556"/>
        <v>0</v>
      </c>
      <c r="BH426" s="891">
        <f t="shared" si="556"/>
        <v>0</v>
      </c>
      <c r="BI426" s="891">
        <f t="shared" si="556"/>
        <v>0</v>
      </c>
      <c r="BJ426" s="891">
        <f t="shared" si="556"/>
        <v>0</v>
      </c>
      <c r="BK426" s="891">
        <f t="shared" si="556"/>
        <v>0</v>
      </c>
      <c r="BL426" s="891">
        <f t="shared" si="556"/>
        <v>0</v>
      </c>
      <c r="BM426" s="891">
        <f t="shared" si="556"/>
        <v>0</v>
      </c>
      <c r="BN426" s="891">
        <f t="shared" si="556"/>
        <v>0</v>
      </c>
      <c r="BO426" s="891">
        <f t="shared" si="556"/>
        <v>0</v>
      </c>
      <c r="BP426" s="891">
        <f t="shared" si="556"/>
        <v>0</v>
      </c>
      <c r="BQ426" s="891">
        <f t="shared" si="556"/>
        <v>0</v>
      </c>
      <c r="BR426" s="891">
        <f t="shared" si="556"/>
        <v>0</v>
      </c>
      <c r="BS426" s="891">
        <f t="shared" si="556"/>
        <v>0</v>
      </c>
      <c r="BT426" s="891">
        <f t="shared" si="556"/>
        <v>0</v>
      </c>
      <c r="BU426" s="891">
        <f t="shared" si="556"/>
        <v>0</v>
      </c>
      <c r="BV426" s="891">
        <f t="shared" si="556"/>
        <v>0</v>
      </c>
      <c r="BW426" s="891">
        <f t="shared" si="556"/>
        <v>0</v>
      </c>
      <c r="BX426" s="891">
        <f t="shared" si="556"/>
        <v>0</v>
      </c>
      <c r="BY426" s="891">
        <f t="shared" si="556"/>
        <v>0</v>
      </c>
      <c r="BZ426" s="891">
        <f t="shared" si="556"/>
        <v>0</v>
      </c>
      <c r="CA426" s="891">
        <f t="shared" si="556"/>
        <v>339</v>
      </c>
      <c r="CB426" s="891">
        <f t="shared" si="556"/>
        <v>0</v>
      </c>
    </row>
    <row r="427" spans="1:87" s="891" customFormat="1" x14ac:dyDescent="0.2">
      <c r="A427" s="890" t="s">
        <v>88</v>
      </c>
      <c r="B427" s="891">
        <f t="shared" si="521"/>
        <v>745</v>
      </c>
      <c r="C427" s="891">
        <f t="shared" ref="C427:AD427" si="557">+C15-C341</f>
        <v>0</v>
      </c>
      <c r="D427" s="891">
        <f t="shared" si="557"/>
        <v>815</v>
      </c>
      <c r="E427" s="891">
        <f t="shared" si="557"/>
        <v>0</v>
      </c>
      <c r="F427" s="891">
        <f t="shared" si="557"/>
        <v>0</v>
      </c>
      <c r="G427" s="891">
        <f t="shared" si="557"/>
        <v>0</v>
      </c>
      <c r="H427" s="891">
        <f t="shared" si="557"/>
        <v>0</v>
      </c>
      <c r="I427" s="891">
        <f t="shared" si="557"/>
        <v>0</v>
      </c>
      <c r="J427" s="891">
        <f t="shared" si="557"/>
        <v>0</v>
      </c>
      <c r="K427" s="891">
        <f t="shared" si="557"/>
        <v>0</v>
      </c>
      <c r="L427" s="891">
        <f t="shared" si="557"/>
        <v>0</v>
      </c>
      <c r="M427" s="891">
        <f t="shared" si="557"/>
        <v>0</v>
      </c>
      <c r="N427" s="891">
        <f t="shared" si="557"/>
        <v>0</v>
      </c>
      <c r="O427" s="891">
        <f t="shared" si="557"/>
        <v>0</v>
      </c>
      <c r="P427" s="891">
        <f t="shared" si="557"/>
        <v>0</v>
      </c>
      <c r="Q427" s="891">
        <f t="shared" si="557"/>
        <v>0</v>
      </c>
      <c r="R427" s="891">
        <f t="shared" si="557"/>
        <v>0</v>
      </c>
      <c r="S427" s="891">
        <f t="shared" si="557"/>
        <v>0</v>
      </c>
      <c r="T427" s="891">
        <f t="shared" si="557"/>
        <v>0</v>
      </c>
      <c r="U427" s="891">
        <f t="shared" si="557"/>
        <v>0</v>
      </c>
      <c r="V427" s="891">
        <f t="shared" si="557"/>
        <v>0</v>
      </c>
      <c r="W427" s="891">
        <f t="shared" si="557"/>
        <v>0</v>
      </c>
      <c r="X427" s="891">
        <f t="shared" si="557"/>
        <v>0</v>
      </c>
      <c r="Y427" s="891">
        <f t="shared" si="557"/>
        <v>0</v>
      </c>
      <c r="Z427" s="891">
        <f t="shared" si="557"/>
        <v>0</v>
      </c>
      <c r="AA427" s="891">
        <f t="shared" si="557"/>
        <v>0</v>
      </c>
      <c r="AB427" s="891">
        <f t="shared" si="557"/>
        <v>0</v>
      </c>
      <c r="AC427" s="891">
        <f t="shared" si="557"/>
        <v>235</v>
      </c>
      <c r="AD427" s="891">
        <f t="shared" si="557"/>
        <v>930</v>
      </c>
      <c r="AE427" s="891">
        <f t="shared" ref="AE427:AW427" si="558">+AE15-AE341</f>
        <v>-2142</v>
      </c>
      <c r="AF427" s="891">
        <f t="shared" si="558"/>
        <v>0</v>
      </c>
      <c r="AG427" s="891">
        <f t="shared" si="558"/>
        <v>0</v>
      </c>
      <c r="AH427" s="891">
        <f t="shared" si="558"/>
        <v>0</v>
      </c>
      <c r="AI427" s="891">
        <f t="shared" si="558"/>
        <v>0</v>
      </c>
      <c r="AJ427" s="891">
        <f t="shared" si="558"/>
        <v>0</v>
      </c>
      <c r="AK427" s="891">
        <f t="shared" si="558"/>
        <v>-98</v>
      </c>
      <c r="AL427" s="891">
        <f t="shared" si="558"/>
        <v>73</v>
      </c>
      <c r="AM427" s="891">
        <f t="shared" si="558"/>
        <v>94</v>
      </c>
      <c r="AN427" s="891">
        <f t="shared" si="558"/>
        <v>88</v>
      </c>
      <c r="AO427" s="891">
        <f t="shared" si="558"/>
        <v>155</v>
      </c>
      <c r="AP427" s="891">
        <f t="shared" si="558"/>
        <v>-1</v>
      </c>
      <c r="AR427" s="891">
        <f t="shared" si="558"/>
        <v>0</v>
      </c>
      <c r="AS427" s="891">
        <f t="shared" si="558"/>
        <v>0</v>
      </c>
      <c r="AT427" s="891">
        <f t="shared" si="558"/>
        <v>0</v>
      </c>
      <c r="AU427" s="891">
        <f t="shared" si="558"/>
        <v>0</v>
      </c>
      <c r="AV427" s="891">
        <f t="shared" si="558"/>
        <v>0</v>
      </c>
      <c r="AW427" s="891">
        <f t="shared" si="558"/>
        <v>485</v>
      </c>
      <c r="AX427" s="891">
        <f t="shared" ref="AX427:CB427" si="559">+AX15-AX341</f>
        <v>0</v>
      </c>
      <c r="AY427" s="891">
        <f t="shared" si="559"/>
        <v>0</v>
      </c>
      <c r="AZ427" s="891">
        <f t="shared" si="559"/>
        <v>0</v>
      </c>
      <c r="BA427" s="891">
        <f t="shared" si="559"/>
        <v>0</v>
      </c>
      <c r="BB427" s="891">
        <f t="shared" si="559"/>
        <v>0</v>
      </c>
      <c r="BC427" s="891">
        <f t="shared" si="559"/>
        <v>0</v>
      </c>
      <c r="BD427" s="891">
        <f t="shared" si="559"/>
        <v>0</v>
      </c>
      <c r="BE427" s="891">
        <f t="shared" si="559"/>
        <v>0</v>
      </c>
      <c r="BF427" s="891">
        <f t="shared" si="559"/>
        <v>0</v>
      </c>
      <c r="BG427" s="891">
        <f t="shared" si="559"/>
        <v>0</v>
      </c>
      <c r="BH427" s="891">
        <f t="shared" si="559"/>
        <v>0</v>
      </c>
      <c r="BI427" s="891">
        <f t="shared" si="559"/>
        <v>0</v>
      </c>
      <c r="BJ427" s="891">
        <f t="shared" si="559"/>
        <v>0</v>
      </c>
      <c r="BK427" s="891">
        <f t="shared" si="559"/>
        <v>-51</v>
      </c>
      <c r="BL427" s="891">
        <f t="shared" si="559"/>
        <v>0</v>
      </c>
      <c r="BM427" s="891">
        <f t="shared" si="559"/>
        <v>0</v>
      </c>
      <c r="BN427" s="891">
        <f t="shared" si="559"/>
        <v>0</v>
      </c>
      <c r="BO427" s="891">
        <f t="shared" si="559"/>
        <v>0</v>
      </c>
      <c r="BP427" s="891">
        <f t="shared" si="559"/>
        <v>0</v>
      </c>
      <c r="BQ427" s="891">
        <f t="shared" si="559"/>
        <v>0</v>
      </c>
      <c r="BR427" s="891">
        <f t="shared" si="559"/>
        <v>162</v>
      </c>
      <c r="BS427" s="891">
        <f t="shared" si="559"/>
        <v>0</v>
      </c>
      <c r="BT427" s="891">
        <f t="shared" si="559"/>
        <v>0</v>
      </c>
      <c r="BU427" s="891">
        <f t="shared" si="559"/>
        <v>0</v>
      </c>
      <c r="BV427" s="891">
        <f t="shared" si="559"/>
        <v>0</v>
      </c>
      <c r="BW427" s="891">
        <f t="shared" si="559"/>
        <v>0</v>
      </c>
      <c r="BX427" s="891">
        <f t="shared" si="559"/>
        <v>0</v>
      </c>
      <c r="BY427" s="891">
        <f t="shared" si="559"/>
        <v>0</v>
      </c>
      <c r="BZ427" s="891">
        <f t="shared" si="559"/>
        <v>0</v>
      </c>
      <c r="CA427" s="891">
        <f t="shared" si="559"/>
        <v>0</v>
      </c>
      <c r="CB427" s="891">
        <f t="shared" si="559"/>
        <v>0</v>
      </c>
      <c r="CC427" s="891">
        <f t="shared" ref="CC427:CI427" si="560">+CC15-CC341</f>
        <v>0</v>
      </c>
      <c r="CD427" s="891">
        <f t="shared" si="560"/>
        <v>0</v>
      </c>
      <c r="CE427" s="891">
        <f t="shared" si="560"/>
        <v>0</v>
      </c>
      <c r="CF427" s="891">
        <f t="shared" si="560"/>
        <v>0</v>
      </c>
      <c r="CG427" s="891">
        <f t="shared" si="560"/>
        <v>0</v>
      </c>
      <c r="CH427" s="891">
        <f t="shared" si="560"/>
        <v>0</v>
      </c>
      <c r="CI427" s="891">
        <f t="shared" si="560"/>
        <v>0</v>
      </c>
    </row>
    <row r="428" spans="1:87" s="891" customFormat="1" x14ac:dyDescent="0.2">
      <c r="A428" s="890" t="s">
        <v>93</v>
      </c>
      <c r="B428" s="891">
        <f t="shared" si="521"/>
        <v>1730</v>
      </c>
      <c r="C428" s="891">
        <f t="shared" ref="C428:AA428" si="561">+C16-C342</f>
        <v>0</v>
      </c>
      <c r="D428" s="891">
        <f t="shared" si="561"/>
        <v>0</v>
      </c>
      <c r="E428" s="891">
        <f t="shared" si="561"/>
        <v>0</v>
      </c>
      <c r="F428" s="891">
        <f t="shared" si="561"/>
        <v>0</v>
      </c>
      <c r="G428" s="891">
        <f t="shared" si="561"/>
        <v>0</v>
      </c>
      <c r="H428" s="891">
        <f t="shared" si="561"/>
        <v>0</v>
      </c>
      <c r="I428" s="891">
        <f t="shared" si="561"/>
        <v>0</v>
      </c>
      <c r="J428" s="891">
        <f t="shared" si="561"/>
        <v>0</v>
      </c>
      <c r="K428" s="891">
        <f t="shared" si="561"/>
        <v>0</v>
      </c>
      <c r="L428" s="891">
        <f t="shared" si="561"/>
        <v>0</v>
      </c>
      <c r="M428" s="891">
        <f t="shared" si="561"/>
        <v>0</v>
      </c>
      <c r="N428" s="891">
        <f t="shared" si="561"/>
        <v>0</v>
      </c>
      <c r="O428" s="891">
        <f t="shared" si="561"/>
        <v>0</v>
      </c>
      <c r="P428" s="891">
        <f t="shared" si="561"/>
        <v>0</v>
      </c>
      <c r="Q428" s="891">
        <f t="shared" si="561"/>
        <v>0</v>
      </c>
      <c r="R428" s="891">
        <f t="shared" si="561"/>
        <v>0</v>
      </c>
      <c r="S428" s="891">
        <f t="shared" si="561"/>
        <v>0</v>
      </c>
      <c r="T428" s="891">
        <f t="shared" si="561"/>
        <v>0</v>
      </c>
      <c r="U428" s="891">
        <f t="shared" si="561"/>
        <v>0</v>
      </c>
      <c r="V428" s="891">
        <f t="shared" si="561"/>
        <v>0</v>
      </c>
      <c r="W428" s="891">
        <f t="shared" si="561"/>
        <v>0</v>
      </c>
      <c r="X428" s="891">
        <f t="shared" si="561"/>
        <v>0</v>
      </c>
      <c r="Y428" s="891">
        <f t="shared" si="561"/>
        <v>0</v>
      </c>
      <c r="Z428" s="891">
        <f t="shared" si="561"/>
        <v>0</v>
      </c>
      <c r="AA428" s="891">
        <f t="shared" si="561"/>
        <v>0</v>
      </c>
      <c r="AB428" s="891">
        <f t="shared" ref="AB428:AW428" si="562">+AB16-AB342</f>
        <v>0</v>
      </c>
      <c r="AC428" s="891">
        <f t="shared" si="562"/>
        <v>0</v>
      </c>
      <c r="AD428" s="891">
        <f t="shared" si="562"/>
        <v>0</v>
      </c>
      <c r="AE428" s="891">
        <f t="shared" si="562"/>
        <v>1180</v>
      </c>
      <c r="AF428" s="891">
        <f t="shared" si="562"/>
        <v>0</v>
      </c>
      <c r="AG428" s="891">
        <f t="shared" si="562"/>
        <v>0</v>
      </c>
      <c r="AH428" s="891">
        <f t="shared" si="562"/>
        <v>0</v>
      </c>
      <c r="AI428" s="891">
        <f t="shared" si="562"/>
        <v>0</v>
      </c>
      <c r="AJ428" s="891">
        <f t="shared" si="562"/>
        <v>0</v>
      </c>
      <c r="AK428" s="891">
        <f t="shared" si="562"/>
        <v>0</v>
      </c>
      <c r="AL428" s="891">
        <f t="shared" si="562"/>
        <v>0</v>
      </c>
      <c r="AM428" s="891">
        <f t="shared" si="562"/>
        <v>0</v>
      </c>
      <c r="AN428" s="891">
        <f t="shared" si="562"/>
        <v>0</v>
      </c>
      <c r="AO428" s="891">
        <f t="shared" si="562"/>
        <v>0</v>
      </c>
      <c r="AP428" s="891">
        <f t="shared" si="562"/>
        <v>13</v>
      </c>
      <c r="AR428" s="891">
        <f t="shared" si="562"/>
        <v>0</v>
      </c>
      <c r="AS428" s="891">
        <f t="shared" si="562"/>
        <v>0</v>
      </c>
      <c r="AT428" s="891">
        <f t="shared" si="562"/>
        <v>0</v>
      </c>
      <c r="AU428" s="891">
        <f t="shared" si="562"/>
        <v>0</v>
      </c>
      <c r="AV428" s="891">
        <f t="shared" si="562"/>
        <v>0</v>
      </c>
      <c r="AW428" s="891">
        <f t="shared" si="562"/>
        <v>312</v>
      </c>
      <c r="AX428" s="891">
        <f t="shared" ref="AX428:CB428" si="563">+AX16-AX342</f>
        <v>0</v>
      </c>
      <c r="AY428" s="891">
        <f t="shared" si="563"/>
        <v>0</v>
      </c>
      <c r="AZ428" s="891">
        <f t="shared" si="563"/>
        <v>0</v>
      </c>
      <c r="BA428" s="891">
        <f t="shared" si="563"/>
        <v>0</v>
      </c>
      <c r="BB428" s="891">
        <f t="shared" si="563"/>
        <v>0</v>
      </c>
      <c r="BC428" s="891">
        <f t="shared" si="563"/>
        <v>0</v>
      </c>
      <c r="BD428" s="891">
        <f t="shared" si="563"/>
        <v>0</v>
      </c>
      <c r="BE428" s="891">
        <f t="shared" si="563"/>
        <v>0</v>
      </c>
      <c r="BF428" s="891">
        <f t="shared" si="563"/>
        <v>0</v>
      </c>
      <c r="BG428" s="891">
        <f t="shared" si="563"/>
        <v>0</v>
      </c>
      <c r="BH428" s="891">
        <f t="shared" si="563"/>
        <v>0</v>
      </c>
      <c r="BI428" s="891">
        <f t="shared" si="563"/>
        <v>0</v>
      </c>
      <c r="BJ428" s="891">
        <f t="shared" si="563"/>
        <v>0</v>
      </c>
      <c r="BK428" s="891">
        <f t="shared" si="563"/>
        <v>225</v>
      </c>
      <c r="BL428" s="891">
        <f t="shared" si="563"/>
        <v>0</v>
      </c>
      <c r="BM428" s="891">
        <f t="shared" si="563"/>
        <v>0</v>
      </c>
      <c r="BN428" s="891">
        <f t="shared" si="563"/>
        <v>0</v>
      </c>
      <c r="BO428" s="891">
        <f t="shared" si="563"/>
        <v>0</v>
      </c>
      <c r="BP428" s="891">
        <f t="shared" si="563"/>
        <v>0</v>
      </c>
      <c r="BQ428" s="891">
        <f t="shared" si="563"/>
        <v>0</v>
      </c>
      <c r="BR428" s="891">
        <f t="shared" si="563"/>
        <v>0</v>
      </c>
      <c r="BS428" s="891">
        <f t="shared" si="563"/>
        <v>0</v>
      </c>
      <c r="BT428" s="891">
        <f t="shared" si="563"/>
        <v>0</v>
      </c>
      <c r="BU428" s="891">
        <f t="shared" si="563"/>
        <v>0</v>
      </c>
      <c r="BV428" s="891">
        <f t="shared" si="563"/>
        <v>0</v>
      </c>
      <c r="BW428" s="891">
        <f t="shared" si="563"/>
        <v>0</v>
      </c>
      <c r="BX428" s="891">
        <f t="shared" si="563"/>
        <v>0</v>
      </c>
      <c r="BY428" s="891">
        <f t="shared" si="563"/>
        <v>0</v>
      </c>
      <c r="BZ428" s="891">
        <f t="shared" si="563"/>
        <v>0</v>
      </c>
      <c r="CA428" s="891">
        <f t="shared" si="563"/>
        <v>0</v>
      </c>
      <c r="CB428" s="891">
        <f t="shared" si="563"/>
        <v>0</v>
      </c>
      <c r="CC428" s="891">
        <f t="shared" ref="CC428:CI428" si="564">+CC16-CC342</f>
        <v>0</v>
      </c>
      <c r="CD428" s="891">
        <f t="shared" si="564"/>
        <v>0</v>
      </c>
      <c r="CE428" s="891">
        <f t="shared" si="564"/>
        <v>0</v>
      </c>
      <c r="CF428" s="891">
        <f t="shared" si="564"/>
        <v>0</v>
      </c>
      <c r="CG428" s="891">
        <f t="shared" si="564"/>
        <v>0</v>
      </c>
      <c r="CH428" s="891">
        <f t="shared" si="564"/>
        <v>0</v>
      </c>
      <c r="CI428" s="891">
        <f t="shared" si="564"/>
        <v>0</v>
      </c>
    </row>
    <row r="429" spans="1:87" s="891" customFormat="1" x14ac:dyDescent="0.2">
      <c r="A429" s="890" t="s">
        <v>1053</v>
      </c>
      <c r="B429" s="891">
        <f t="shared" si="521"/>
        <v>-310</v>
      </c>
      <c r="C429" s="891">
        <f t="shared" ref="C429:AA429" si="565">+C17-C343</f>
        <v>0</v>
      </c>
      <c r="D429" s="891">
        <f t="shared" si="565"/>
        <v>-312</v>
      </c>
      <c r="E429" s="891">
        <f t="shared" si="565"/>
        <v>0</v>
      </c>
      <c r="F429" s="891">
        <f t="shared" si="565"/>
        <v>0</v>
      </c>
      <c r="G429" s="891">
        <f t="shared" si="565"/>
        <v>0</v>
      </c>
      <c r="H429" s="891">
        <f t="shared" si="565"/>
        <v>0</v>
      </c>
      <c r="I429" s="891">
        <f t="shared" si="565"/>
        <v>0</v>
      </c>
      <c r="J429" s="891">
        <f t="shared" si="565"/>
        <v>0</v>
      </c>
      <c r="K429" s="891">
        <f t="shared" si="565"/>
        <v>0</v>
      </c>
      <c r="L429" s="891">
        <f t="shared" si="565"/>
        <v>0</v>
      </c>
      <c r="M429" s="891">
        <f t="shared" si="565"/>
        <v>0</v>
      </c>
      <c r="N429" s="891">
        <f t="shared" si="565"/>
        <v>0</v>
      </c>
      <c r="O429" s="891">
        <f t="shared" si="565"/>
        <v>0</v>
      </c>
      <c r="P429" s="891">
        <f t="shared" si="565"/>
        <v>0</v>
      </c>
      <c r="Q429" s="891">
        <f t="shared" si="565"/>
        <v>0</v>
      </c>
      <c r="R429" s="891">
        <f t="shared" si="565"/>
        <v>0</v>
      </c>
      <c r="S429" s="891">
        <f t="shared" si="565"/>
        <v>0</v>
      </c>
      <c r="T429" s="891">
        <f t="shared" si="565"/>
        <v>0</v>
      </c>
      <c r="U429" s="891">
        <f t="shared" si="565"/>
        <v>0</v>
      </c>
      <c r="V429" s="891">
        <f t="shared" si="565"/>
        <v>0</v>
      </c>
      <c r="W429" s="891">
        <f t="shared" si="565"/>
        <v>0</v>
      </c>
      <c r="X429" s="891">
        <f t="shared" si="565"/>
        <v>0</v>
      </c>
      <c r="Y429" s="891">
        <f t="shared" si="565"/>
        <v>0</v>
      </c>
      <c r="Z429" s="891">
        <f t="shared" si="565"/>
        <v>0</v>
      </c>
      <c r="AA429" s="891">
        <f t="shared" si="565"/>
        <v>0</v>
      </c>
      <c r="AB429" s="891">
        <f t="shared" ref="AB429:AW429" si="566">+AB17-AB343</f>
        <v>0</v>
      </c>
      <c r="AC429" s="891">
        <f t="shared" si="566"/>
        <v>0</v>
      </c>
      <c r="AD429" s="891">
        <f t="shared" si="566"/>
        <v>0</v>
      </c>
      <c r="AE429" s="891">
        <f t="shared" si="566"/>
        <v>0</v>
      </c>
      <c r="AF429" s="891">
        <f t="shared" si="566"/>
        <v>0</v>
      </c>
      <c r="AG429" s="891">
        <f t="shared" si="566"/>
        <v>0</v>
      </c>
      <c r="AH429" s="891">
        <f t="shared" si="566"/>
        <v>0</v>
      </c>
      <c r="AI429" s="891">
        <f t="shared" si="566"/>
        <v>0</v>
      </c>
      <c r="AJ429" s="891">
        <f t="shared" si="566"/>
        <v>0</v>
      </c>
      <c r="AK429" s="891">
        <f t="shared" si="566"/>
        <v>0</v>
      </c>
      <c r="AL429" s="891">
        <f t="shared" si="566"/>
        <v>0</v>
      </c>
      <c r="AM429" s="891">
        <f t="shared" si="566"/>
        <v>0</v>
      </c>
      <c r="AN429" s="891">
        <f t="shared" si="566"/>
        <v>0</v>
      </c>
      <c r="AO429" s="891">
        <f t="shared" si="566"/>
        <v>0</v>
      </c>
      <c r="AP429" s="891">
        <f t="shared" si="566"/>
        <v>0</v>
      </c>
      <c r="AR429" s="891">
        <f t="shared" si="566"/>
        <v>0</v>
      </c>
      <c r="AS429" s="891">
        <f t="shared" si="566"/>
        <v>0</v>
      </c>
      <c r="AT429" s="891">
        <f t="shared" si="566"/>
        <v>0</v>
      </c>
      <c r="AU429" s="891">
        <f t="shared" si="566"/>
        <v>0</v>
      </c>
      <c r="AV429" s="891">
        <f t="shared" si="566"/>
        <v>0</v>
      </c>
      <c r="AW429" s="891">
        <f t="shared" si="566"/>
        <v>0</v>
      </c>
      <c r="AX429" s="891">
        <f t="shared" ref="AX429:CB429" si="567">+AX17-AX343</f>
        <v>0</v>
      </c>
      <c r="AY429" s="891">
        <f t="shared" si="567"/>
        <v>0</v>
      </c>
      <c r="AZ429" s="891">
        <f t="shared" si="567"/>
        <v>0</v>
      </c>
      <c r="BA429" s="891">
        <f t="shared" si="567"/>
        <v>0</v>
      </c>
      <c r="BB429" s="891">
        <f t="shared" si="567"/>
        <v>0</v>
      </c>
      <c r="BC429" s="891">
        <f t="shared" si="567"/>
        <v>0</v>
      </c>
      <c r="BD429" s="891">
        <f t="shared" si="567"/>
        <v>0</v>
      </c>
      <c r="BE429" s="891">
        <f t="shared" si="567"/>
        <v>0</v>
      </c>
      <c r="BF429" s="891">
        <f t="shared" si="567"/>
        <v>0</v>
      </c>
      <c r="BG429" s="891">
        <f t="shared" si="567"/>
        <v>0</v>
      </c>
      <c r="BH429" s="891">
        <f t="shared" si="567"/>
        <v>0</v>
      </c>
      <c r="BI429" s="891">
        <f t="shared" si="567"/>
        <v>0</v>
      </c>
      <c r="BJ429" s="891">
        <f t="shared" si="567"/>
        <v>0</v>
      </c>
      <c r="BK429" s="891">
        <f t="shared" si="567"/>
        <v>0</v>
      </c>
      <c r="BL429" s="891">
        <f t="shared" si="567"/>
        <v>2</v>
      </c>
      <c r="BM429" s="891">
        <f t="shared" si="567"/>
        <v>0</v>
      </c>
      <c r="BN429" s="891">
        <f t="shared" si="567"/>
        <v>0</v>
      </c>
      <c r="BO429" s="891">
        <f t="shared" si="567"/>
        <v>0</v>
      </c>
      <c r="BP429" s="891">
        <f t="shared" si="567"/>
        <v>0</v>
      </c>
      <c r="BQ429" s="891">
        <f t="shared" si="567"/>
        <v>0</v>
      </c>
      <c r="BR429" s="891">
        <f t="shared" si="567"/>
        <v>0</v>
      </c>
      <c r="BS429" s="891">
        <f t="shared" si="567"/>
        <v>0</v>
      </c>
      <c r="BT429" s="891">
        <f t="shared" si="567"/>
        <v>0</v>
      </c>
      <c r="BU429" s="891">
        <f t="shared" si="567"/>
        <v>0</v>
      </c>
      <c r="BV429" s="891">
        <f t="shared" si="567"/>
        <v>0</v>
      </c>
      <c r="BW429" s="891">
        <f t="shared" si="567"/>
        <v>0</v>
      </c>
      <c r="BX429" s="891">
        <f t="shared" si="567"/>
        <v>0</v>
      </c>
      <c r="BY429" s="891">
        <f t="shared" si="567"/>
        <v>0</v>
      </c>
      <c r="BZ429" s="891">
        <f t="shared" si="567"/>
        <v>0</v>
      </c>
      <c r="CA429" s="891">
        <f t="shared" si="567"/>
        <v>0</v>
      </c>
      <c r="CB429" s="891">
        <f t="shared" si="567"/>
        <v>0</v>
      </c>
      <c r="CC429" s="891">
        <f t="shared" ref="CC429:CI429" si="568">+CC17-CC343</f>
        <v>0</v>
      </c>
      <c r="CD429" s="891">
        <f t="shared" si="568"/>
        <v>0</v>
      </c>
      <c r="CE429" s="891">
        <f t="shared" si="568"/>
        <v>0</v>
      </c>
      <c r="CF429" s="891">
        <f t="shared" si="568"/>
        <v>0</v>
      </c>
      <c r="CG429" s="891">
        <f t="shared" si="568"/>
        <v>0</v>
      </c>
      <c r="CH429" s="891">
        <f t="shared" si="568"/>
        <v>0</v>
      </c>
      <c r="CI429" s="891">
        <f t="shared" si="568"/>
        <v>0</v>
      </c>
    </row>
    <row r="430" spans="1:87" s="891" customFormat="1" x14ac:dyDescent="0.2">
      <c r="A430" s="890" t="s">
        <v>94</v>
      </c>
      <c r="B430" s="891">
        <f t="shared" si="521"/>
        <v>10352</v>
      </c>
      <c r="C430" s="891">
        <f t="shared" ref="C430:AA430" si="569">+C18-C344</f>
        <v>1976</v>
      </c>
      <c r="D430" s="891">
        <f t="shared" si="569"/>
        <v>8196</v>
      </c>
      <c r="E430" s="891">
        <f t="shared" si="569"/>
        <v>-41</v>
      </c>
      <c r="F430" s="891">
        <f t="shared" si="569"/>
        <v>8</v>
      </c>
      <c r="G430" s="891">
        <f t="shared" si="569"/>
        <v>0</v>
      </c>
      <c r="H430" s="891">
        <f t="shared" si="569"/>
        <v>-3</v>
      </c>
      <c r="I430" s="891">
        <f t="shared" si="569"/>
        <v>0</v>
      </c>
      <c r="J430" s="891">
        <f t="shared" si="569"/>
        <v>0</v>
      </c>
      <c r="K430" s="891">
        <f t="shared" si="569"/>
        <v>0</v>
      </c>
      <c r="L430" s="891">
        <f t="shared" si="569"/>
        <v>0</v>
      </c>
      <c r="M430" s="891">
        <f t="shared" si="569"/>
        <v>0</v>
      </c>
      <c r="N430" s="891">
        <f t="shared" si="569"/>
        <v>-4</v>
      </c>
      <c r="O430" s="891">
        <f t="shared" si="569"/>
        <v>-2</v>
      </c>
      <c r="P430" s="891">
        <f t="shared" si="569"/>
        <v>0</v>
      </c>
      <c r="Q430" s="891">
        <f t="shared" si="569"/>
        <v>0</v>
      </c>
      <c r="R430" s="891">
        <f t="shared" si="569"/>
        <v>0</v>
      </c>
      <c r="S430" s="891">
        <f t="shared" si="569"/>
        <v>0</v>
      </c>
      <c r="T430" s="891">
        <f t="shared" si="569"/>
        <v>0</v>
      </c>
      <c r="U430" s="891">
        <f t="shared" si="569"/>
        <v>-4</v>
      </c>
      <c r="V430" s="891">
        <f t="shared" si="569"/>
        <v>0</v>
      </c>
      <c r="W430" s="891">
        <f t="shared" si="569"/>
        <v>-2</v>
      </c>
      <c r="X430" s="891">
        <f t="shared" si="569"/>
        <v>0</v>
      </c>
      <c r="Y430" s="891">
        <f t="shared" si="569"/>
        <v>0</v>
      </c>
      <c r="Z430" s="891">
        <f t="shared" si="569"/>
        <v>0</v>
      </c>
      <c r="AA430" s="891">
        <f t="shared" si="569"/>
        <v>0</v>
      </c>
      <c r="AB430" s="891">
        <f t="shared" ref="AB430:AW430" si="570">+AB18-AB344</f>
        <v>0</v>
      </c>
      <c r="AC430" s="891">
        <f t="shared" si="570"/>
        <v>0</v>
      </c>
      <c r="AD430" s="891">
        <f t="shared" si="570"/>
        <v>0</v>
      </c>
      <c r="AE430" s="891">
        <f t="shared" si="570"/>
        <v>0</v>
      </c>
      <c r="AF430" s="891">
        <f t="shared" si="570"/>
        <v>0</v>
      </c>
      <c r="AG430" s="891">
        <f t="shared" si="570"/>
        <v>0</v>
      </c>
      <c r="AH430" s="891">
        <f t="shared" si="570"/>
        <v>0</v>
      </c>
      <c r="AI430" s="891">
        <f t="shared" si="570"/>
        <v>0</v>
      </c>
      <c r="AJ430" s="891">
        <f t="shared" si="570"/>
        <v>0</v>
      </c>
      <c r="AK430" s="891">
        <f t="shared" si="570"/>
        <v>0</v>
      </c>
      <c r="AL430" s="891">
        <f t="shared" si="570"/>
        <v>0</v>
      </c>
      <c r="AM430" s="891">
        <f t="shared" si="570"/>
        <v>0</v>
      </c>
      <c r="AN430" s="891">
        <f t="shared" si="570"/>
        <v>0</v>
      </c>
      <c r="AO430" s="891">
        <f t="shared" si="570"/>
        <v>0</v>
      </c>
      <c r="AP430" s="891">
        <f t="shared" si="570"/>
        <v>0</v>
      </c>
      <c r="AR430" s="891">
        <f t="shared" si="570"/>
        <v>0</v>
      </c>
      <c r="AS430" s="891">
        <f t="shared" si="570"/>
        <v>0</v>
      </c>
      <c r="AT430" s="891">
        <f t="shared" si="570"/>
        <v>0</v>
      </c>
      <c r="AU430" s="891">
        <f t="shared" si="570"/>
        <v>0</v>
      </c>
      <c r="AV430" s="891">
        <f t="shared" si="570"/>
        <v>0</v>
      </c>
      <c r="AW430" s="891">
        <f t="shared" si="570"/>
        <v>0</v>
      </c>
      <c r="AX430" s="891">
        <f t="shared" ref="AX430:CB430" si="571">+AX18-AX344</f>
        <v>0</v>
      </c>
      <c r="AY430" s="891">
        <f t="shared" si="571"/>
        <v>0</v>
      </c>
      <c r="AZ430" s="891">
        <f t="shared" si="571"/>
        <v>0</v>
      </c>
      <c r="BA430" s="891">
        <f t="shared" si="571"/>
        <v>0</v>
      </c>
      <c r="BB430" s="891">
        <f t="shared" si="571"/>
        <v>0</v>
      </c>
      <c r="BC430" s="891">
        <f t="shared" si="571"/>
        <v>0</v>
      </c>
      <c r="BD430" s="891">
        <f t="shared" si="571"/>
        <v>-24</v>
      </c>
      <c r="BE430" s="891">
        <f t="shared" si="571"/>
        <v>0</v>
      </c>
      <c r="BF430" s="891">
        <f t="shared" si="571"/>
        <v>0</v>
      </c>
      <c r="BG430" s="891">
        <f t="shared" si="571"/>
        <v>0</v>
      </c>
      <c r="BH430" s="891">
        <f t="shared" si="571"/>
        <v>0</v>
      </c>
      <c r="BI430" s="891">
        <f t="shared" si="571"/>
        <v>0</v>
      </c>
      <c r="BJ430" s="891">
        <f t="shared" si="571"/>
        <v>71</v>
      </c>
      <c r="BK430" s="891">
        <f t="shared" si="571"/>
        <v>933</v>
      </c>
      <c r="BL430" s="891">
        <f t="shared" si="571"/>
        <v>-34</v>
      </c>
      <c r="BM430" s="891">
        <f t="shared" si="571"/>
        <v>0</v>
      </c>
      <c r="BN430" s="891">
        <f t="shared" si="571"/>
        <v>0</v>
      </c>
      <c r="BO430" s="891">
        <f t="shared" si="571"/>
        <v>0</v>
      </c>
      <c r="BP430" s="891">
        <f t="shared" si="571"/>
        <v>-1</v>
      </c>
      <c r="BQ430" s="891">
        <f t="shared" si="571"/>
        <v>14</v>
      </c>
      <c r="BR430" s="891">
        <f t="shared" si="571"/>
        <v>-168</v>
      </c>
      <c r="BS430" s="891">
        <f t="shared" si="571"/>
        <v>0</v>
      </c>
      <c r="BT430" s="891">
        <f t="shared" si="571"/>
        <v>0</v>
      </c>
      <c r="BU430" s="891">
        <f t="shared" si="571"/>
        <v>0</v>
      </c>
      <c r="BV430" s="891">
        <f t="shared" si="571"/>
        <v>0</v>
      </c>
      <c r="BW430" s="891">
        <f t="shared" si="571"/>
        <v>-553</v>
      </c>
      <c r="BX430" s="891">
        <f t="shared" si="571"/>
        <v>-10</v>
      </c>
      <c r="BY430" s="891">
        <f t="shared" si="571"/>
        <v>0</v>
      </c>
      <c r="BZ430" s="891">
        <f t="shared" si="571"/>
        <v>0</v>
      </c>
      <c r="CA430" s="891">
        <f t="shared" si="571"/>
        <v>0</v>
      </c>
      <c r="CB430" s="891">
        <f t="shared" si="571"/>
        <v>0</v>
      </c>
      <c r="CC430" s="891">
        <f t="shared" ref="CC430:CI430" si="572">+CC18-CC344</f>
        <v>0</v>
      </c>
      <c r="CD430" s="891">
        <f t="shared" si="572"/>
        <v>0</v>
      </c>
      <c r="CE430" s="891">
        <f t="shared" si="572"/>
        <v>0</v>
      </c>
      <c r="CF430" s="891">
        <f t="shared" si="572"/>
        <v>0</v>
      </c>
      <c r="CG430" s="891">
        <f t="shared" si="572"/>
        <v>0</v>
      </c>
      <c r="CH430" s="891">
        <f t="shared" si="572"/>
        <v>0</v>
      </c>
      <c r="CI430" s="891">
        <f t="shared" si="572"/>
        <v>0</v>
      </c>
    </row>
    <row r="431" spans="1:87" s="895" customFormat="1" x14ac:dyDescent="0.2">
      <c r="A431" s="892" t="s">
        <v>520</v>
      </c>
      <c r="B431" s="893">
        <f t="shared" ref="B431:AA431" si="573">SUM(B415:B430)</f>
        <v>188267</v>
      </c>
      <c r="C431" s="893">
        <f t="shared" si="573"/>
        <v>139920</v>
      </c>
      <c r="D431" s="893">
        <f t="shared" si="573"/>
        <v>8266</v>
      </c>
      <c r="E431" s="893">
        <f>SUM(E415:E430)</f>
        <v>-2851</v>
      </c>
      <c r="F431" s="893">
        <f>SUM(F415:F430)</f>
        <v>35674</v>
      </c>
      <c r="G431" s="893">
        <f t="shared" si="573"/>
        <v>-2554</v>
      </c>
      <c r="H431" s="893">
        <f t="shared" si="573"/>
        <v>360</v>
      </c>
      <c r="I431" s="893">
        <f t="shared" si="573"/>
        <v>4546</v>
      </c>
      <c r="J431" s="893">
        <f t="shared" si="573"/>
        <v>0</v>
      </c>
      <c r="K431" s="893">
        <f t="shared" si="573"/>
        <v>1004</v>
      </c>
      <c r="L431" s="893">
        <f t="shared" si="573"/>
        <v>0</v>
      </c>
      <c r="M431" s="893">
        <f t="shared" si="573"/>
        <v>0</v>
      </c>
      <c r="N431" s="893">
        <f t="shared" si="573"/>
        <v>6135</v>
      </c>
      <c r="O431" s="893">
        <f t="shared" si="573"/>
        <v>-8857</v>
      </c>
      <c r="P431" s="893">
        <f t="shared" si="573"/>
        <v>-23</v>
      </c>
      <c r="Q431" s="893">
        <f>SUM(Q415:Q430)</f>
        <v>-18</v>
      </c>
      <c r="R431" s="893">
        <f t="shared" si="573"/>
        <v>3922</v>
      </c>
      <c r="S431" s="893">
        <f>SUM(S415:S430)</f>
        <v>510</v>
      </c>
      <c r="T431" s="893">
        <f t="shared" si="573"/>
        <v>-45</v>
      </c>
      <c r="U431" s="893">
        <f>SUM(U415:U430)</f>
        <v>528</v>
      </c>
      <c r="V431" s="893">
        <f>SUM(V415:V430)</f>
        <v>1025</v>
      </c>
      <c r="W431" s="893">
        <f t="shared" si="573"/>
        <v>1760</v>
      </c>
      <c r="X431" s="893">
        <f>SUM(X415:X430)</f>
        <v>735</v>
      </c>
      <c r="Y431" s="893">
        <f t="shared" si="573"/>
        <v>0</v>
      </c>
      <c r="Z431" s="893">
        <f t="shared" si="573"/>
        <v>0</v>
      </c>
      <c r="AA431" s="893">
        <f t="shared" si="573"/>
        <v>0</v>
      </c>
      <c r="AB431" s="893">
        <f t="shared" ref="AB431:AW431" si="574">SUM(AB415:AB430)</f>
        <v>0</v>
      </c>
      <c r="AC431" s="893">
        <f t="shared" si="574"/>
        <v>235</v>
      </c>
      <c r="AD431" s="893">
        <f t="shared" si="574"/>
        <v>8909</v>
      </c>
      <c r="AE431" s="893">
        <f t="shared" si="574"/>
        <v>513</v>
      </c>
      <c r="AF431" s="893">
        <f t="shared" si="574"/>
        <v>53369</v>
      </c>
      <c r="AG431" s="893">
        <f t="shared" si="574"/>
        <v>0</v>
      </c>
      <c r="AH431" s="893">
        <f t="shared" si="574"/>
        <v>0</v>
      </c>
      <c r="AI431" s="893">
        <f t="shared" si="574"/>
        <v>0</v>
      </c>
      <c r="AJ431" s="893">
        <f t="shared" si="574"/>
        <v>0</v>
      </c>
      <c r="AK431" s="893">
        <f t="shared" si="574"/>
        <v>-98</v>
      </c>
      <c r="AL431" s="893">
        <f t="shared" si="574"/>
        <v>27</v>
      </c>
      <c r="AM431" s="893">
        <f t="shared" si="574"/>
        <v>118</v>
      </c>
      <c r="AN431" s="893">
        <f t="shared" si="574"/>
        <v>311</v>
      </c>
      <c r="AO431" s="893">
        <f t="shared" si="574"/>
        <v>631</v>
      </c>
      <c r="AP431" s="893">
        <f t="shared" si="574"/>
        <v>-212</v>
      </c>
      <c r="AQ431" s="893"/>
      <c r="AR431" s="893">
        <f t="shared" si="574"/>
        <v>26022</v>
      </c>
      <c r="AS431" s="893">
        <f t="shared" si="574"/>
        <v>0</v>
      </c>
      <c r="AT431" s="893">
        <f t="shared" si="574"/>
        <v>21904</v>
      </c>
      <c r="AU431" s="893">
        <f t="shared" si="574"/>
        <v>-238</v>
      </c>
      <c r="AV431" s="893">
        <f t="shared" si="574"/>
        <v>0</v>
      </c>
      <c r="AW431" s="893">
        <f t="shared" si="574"/>
        <v>1459</v>
      </c>
      <c r="AX431" s="893"/>
      <c r="AY431" s="893">
        <f t="shared" ref="AY431:CB431" si="575">SUM(AY415:AY430)</f>
        <v>6</v>
      </c>
      <c r="AZ431" s="893">
        <f t="shared" si="575"/>
        <v>240</v>
      </c>
      <c r="BA431" s="893">
        <f t="shared" si="575"/>
        <v>8</v>
      </c>
      <c r="BB431" s="893">
        <f t="shared" si="575"/>
        <v>16</v>
      </c>
      <c r="BC431" s="893"/>
      <c r="BD431" s="893">
        <f t="shared" si="575"/>
        <v>-1037</v>
      </c>
      <c r="BE431" s="893">
        <f>SUM(BE415:BE430)</f>
        <v>0</v>
      </c>
      <c r="BF431" s="893">
        <f>SUM(BF415:BF430)</f>
        <v>950</v>
      </c>
      <c r="BG431" s="893">
        <f>SUM(BG415:BG430)</f>
        <v>0</v>
      </c>
      <c r="BH431" s="893">
        <f t="shared" si="575"/>
        <v>-62</v>
      </c>
      <c r="BI431" s="893">
        <f>SUM(BI415:BI430)</f>
        <v>0</v>
      </c>
      <c r="BJ431" s="893">
        <f t="shared" si="575"/>
        <v>2319</v>
      </c>
      <c r="BK431" s="893">
        <f>SUM(BK415:BK430)</f>
        <v>697</v>
      </c>
      <c r="BL431" s="893">
        <f t="shared" si="575"/>
        <v>-32</v>
      </c>
      <c r="BM431" s="893">
        <f t="shared" si="575"/>
        <v>64</v>
      </c>
      <c r="BN431" s="893"/>
      <c r="BO431" s="893">
        <f t="shared" si="575"/>
        <v>0</v>
      </c>
      <c r="BP431" s="893">
        <f>SUM(BP415:BP430)</f>
        <v>604</v>
      </c>
      <c r="BQ431" s="893"/>
      <c r="BR431" s="893"/>
      <c r="BS431" s="893"/>
      <c r="BT431" s="893">
        <f t="shared" si="575"/>
        <v>-4526</v>
      </c>
      <c r="BU431" s="893">
        <f t="shared" si="575"/>
        <v>5094</v>
      </c>
      <c r="BV431" s="893">
        <f t="shared" si="575"/>
        <v>-8270</v>
      </c>
      <c r="BW431" s="893">
        <f t="shared" si="575"/>
        <v>4842</v>
      </c>
      <c r="BX431" s="893">
        <f t="shared" si="575"/>
        <v>2691</v>
      </c>
      <c r="BY431" s="893">
        <f t="shared" si="575"/>
        <v>-2996</v>
      </c>
      <c r="BZ431" s="893">
        <f t="shared" si="575"/>
        <v>-52668</v>
      </c>
      <c r="CA431" s="893">
        <f t="shared" si="575"/>
        <v>-81573</v>
      </c>
      <c r="CB431" s="893">
        <f t="shared" si="575"/>
        <v>0</v>
      </c>
      <c r="CC431" s="894"/>
      <c r="CD431" s="893">
        <f t="shared" ref="CD431:CI431" si="576">SUM(CD415:CD430)</f>
        <v>0</v>
      </c>
      <c r="CE431" s="893">
        <f t="shared" si="576"/>
        <v>0</v>
      </c>
      <c r="CF431" s="893">
        <f t="shared" si="576"/>
        <v>0</v>
      </c>
      <c r="CG431" s="893">
        <f t="shared" si="576"/>
        <v>0</v>
      </c>
      <c r="CH431" s="893">
        <f t="shared" si="576"/>
        <v>0</v>
      </c>
      <c r="CI431" s="893">
        <f t="shared" si="576"/>
        <v>0</v>
      </c>
    </row>
    <row r="432" spans="1:87" s="891" customFormat="1" x14ac:dyDescent="0.2">
      <c r="A432" s="896"/>
      <c r="B432" s="897"/>
      <c r="C432" s="897"/>
      <c r="D432" s="897"/>
      <c r="E432" s="897"/>
      <c r="F432" s="897"/>
      <c r="G432" s="897"/>
      <c r="H432" s="897"/>
      <c r="I432" s="897"/>
      <c r="J432" s="897"/>
      <c r="K432" s="897"/>
      <c r="L432" s="897"/>
      <c r="M432" s="897"/>
      <c r="N432" s="897"/>
      <c r="O432" s="897"/>
      <c r="P432" s="897"/>
      <c r="Q432" s="897"/>
      <c r="R432" s="897"/>
      <c r="S432" s="897"/>
      <c r="T432" s="897"/>
      <c r="U432" s="897"/>
      <c r="V432" s="897"/>
      <c r="W432" s="897"/>
      <c r="X432" s="897"/>
      <c r="Y432" s="897"/>
      <c r="Z432" s="897"/>
      <c r="AA432" s="897"/>
      <c r="AB432" s="897"/>
      <c r="AC432" s="897"/>
      <c r="AD432" s="897"/>
      <c r="AE432" s="897"/>
      <c r="AF432" s="897"/>
      <c r="AG432" s="897"/>
      <c r="AH432" s="897"/>
      <c r="AI432" s="897"/>
      <c r="AJ432" s="897"/>
      <c r="AK432" s="897"/>
      <c r="AL432" s="897"/>
      <c r="AM432" s="897"/>
      <c r="AN432" s="897"/>
      <c r="AO432" s="897"/>
      <c r="AP432" s="897"/>
      <c r="AQ432" s="897"/>
      <c r="AR432" s="897"/>
      <c r="AS432" s="897"/>
      <c r="AT432" s="897"/>
      <c r="AU432" s="897"/>
      <c r="AV432" s="897"/>
      <c r="AW432" s="897"/>
      <c r="AX432" s="897"/>
      <c r="AY432" s="897"/>
      <c r="AZ432" s="897"/>
      <c r="BA432" s="897"/>
      <c r="BB432" s="897"/>
      <c r="BC432" s="897"/>
      <c r="BD432" s="897"/>
      <c r="BE432" s="897"/>
      <c r="BF432" s="897"/>
      <c r="BG432" s="897"/>
      <c r="BH432" s="897"/>
      <c r="BI432" s="897"/>
      <c r="BJ432" s="897"/>
      <c r="BK432" s="897"/>
      <c r="BL432" s="897"/>
      <c r="BM432" s="897"/>
      <c r="BN432" s="897"/>
      <c r="BO432" s="897"/>
      <c r="BP432" s="897"/>
      <c r="BQ432" s="897"/>
      <c r="BR432" s="897"/>
      <c r="BS432" s="897"/>
      <c r="BT432" s="897"/>
      <c r="BU432" s="897"/>
      <c r="BV432" s="897"/>
      <c r="BW432" s="897"/>
      <c r="BX432" s="897"/>
      <c r="BY432" s="897"/>
      <c r="BZ432" s="897"/>
      <c r="CA432" s="897"/>
      <c r="CB432" s="897"/>
      <c r="CC432" s="897"/>
      <c r="CD432" s="897"/>
      <c r="CE432" s="897"/>
      <c r="CF432" s="897"/>
      <c r="CG432" s="897"/>
      <c r="CH432" s="897"/>
      <c r="CI432" s="897"/>
    </row>
    <row r="433" spans="1:87" s="900" customFormat="1" x14ac:dyDescent="0.2">
      <c r="A433" s="898" t="s">
        <v>925</v>
      </c>
      <c r="B433" s="899"/>
      <c r="C433" s="899"/>
      <c r="D433" s="899"/>
      <c r="E433" s="899"/>
      <c r="F433" s="899"/>
      <c r="G433" s="899"/>
      <c r="H433" s="899"/>
      <c r="I433" s="899"/>
      <c r="J433" s="899"/>
      <c r="K433" s="899"/>
      <c r="L433" s="899"/>
      <c r="M433" s="899"/>
      <c r="N433" s="899"/>
      <c r="O433" s="899"/>
      <c r="P433" s="899"/>
      <c r="Q433" s="899"/>
      <c r="R433" s="899"/>
      <c r="S433" s="899"/>
      <c r="T433" s="899"/>
      <c r="U433" s="899"/>
      <c r="V433" s="899"/>
      <c r="W433" s="899"/>
      <c r="X433" s="899"/>
      <c r="Y433" s="899"/>
      <c r="Z433" s="899"/>
      <c r="AA433" s="899"/>
      <c r="AB433" s="899"/>
      <c r="AC433" s="899"/>
      <c r="AD433" s="899"/>
      <c r="AE433" s="899"/>
      <c r="AF433" s="899"/>
      <c r="AG433" s="899"/>
      <c r="AH433" s="899"/>
      <c r="AI433" s="899"/>
      <c r="AJ433" s="899"/>
      <c r="AK433" s="899"/>
      <c r="AL433" s="899"/>
      <c r="AM433" s="899"/>
      <c r="AN433" s="899"/>
      <c r="AO433" s="899"/>
      <c r="AP433" s="899"/>
      <c r="AQ433" s="899"/>
      <c r="AR433" s="899"/>
      <c r="AS433" s="899"/>
      <c r="AT433" s="899"/>
      <c r="AU433" s="899"/>
      <c r="AV433" s="899"/>
      <c r="AW433" s="899"/>
      <c r="AX433" s="899"/>
      <c r="AY433" s="899"/>
      <c r="AZ433" s="899"/>
      <c r="BA433" s="899"/>
      <c r="BB433" s="899"/>
      <c r="BC433" s="899"/>
      <c r="BD433" s="899"/>
      <c r="BE433" s="899"/>
      <c r="BF433" s="899"/>
      <c r="BG433" s="899"/>
      <c r="BH433" s="899"/>
      <c r="BI433" s="899"/>
      <c r="BJ433" s="899"/>
      <c r="BK433" s="899"/>
      <c r="BL433" s="899"/>
      <c r="BM433" s="899"/>
      <c r="BN433" s="899"/>
      <c r="BO433" s="899"/>
      <c r="BP433" s="899"/>
      <c r="BQ433" s="899"/>
      <c r="BR433" s="899"/>
      <c r="BS433" s="899"/>
      <c r="BT433" s="899"/>
      <c r="BU433" s="899"/>
      <c r="BV433" s="899"/>
      <c r="BW433" s="899"/>
      <c r="BX433" s="899"/>
      <c r="BY433" s="899"/>
      <c r="BZ433" s="899"/>
      <c r="CA433" s="899"/>
      <c r="CB433" s="899"/>
      <c r="CC433" s="901"/>
      <c r="CD433" s="899"/>
      <c r="CE433" s="899"/>
      <c r="CF433" s="899"/>
      <c r="CG433" s="899"/>
      <c r="CH433" s="899"/>
      <c r="CI433" s="899"/>
    </row>
    <row r="434" spans="1:87" s="891" customFormat="1" x14ac:dyDescent="0.2">
      <c r="A434" s="890" t="s">
        <v>953</v>
      </c>
      <c r="B434" s="891">
        <f t="shared" ref="B434:B445" si="577">SUM(C434:CB434)</f>
        <v>475</v>
      </c>
      <c r="C434" s="891">
        <f t="shared" ref="C434" si="578">+C22-C348</f>
        <v>404</v>
      </c>
      <c r="D434" s="891">
        <f t="shared" ref="D434:AA434" si="579">+D22-D348</f>
        <v>0</v>
      </c>
      <c r="E434" s="891">
        <f t="shared" si="579"/>
        <v>0</v>
      </c>
      <c r="F434" s="891">
        <f t="shared" si="579"/>
        <v>0</v>
      </c>
      <c r="G434" s="891">
        <f t="shared" si="579"/>
        <v>0</v>
      </c>
      <c r="H434" s="891">
        <f t="shared" si="579"/>
        <v>0</v>
      </c>
      <c r="I434" s="891">
        <f t="shared" si="579"/>
        <v>0</v>
      </c>
      <c r="J434" s="891">
        <f t="shared" si="579"/>
        <v>0</v>
      </c>
      <c r="K434" s="891">
        <f t="shared" si="579"/>
        <v>0</v>
      </c>
      <c r="L434" s="891">
        <f t="shared" si="579"/>
        <v>0</v>
      </c>
      <c r="M434" s="891">
        <f t="shared" si="579"/>
        <v>0</v>
      </c>
      <c r="N434" s="891">
        <f t="shared" si="579"/>
        <v>0</v>
      </c>
      <c r="O434" s="891">
        <f t="shared" si="579"/>
        <v>71</v>
      </c>
      <c r="P434" s="891">
        <f t="shared" si="579"/>
        <v>0</v>
      </c>
      <c r="Q434" s="891">
        <f t="shared" si="579"/>
        <v>0</v>
      </c>
      <c r="R434" s="891">
        <f t="shared" si="579"/>
        <v>0</v>
      </c>
      <c r="S434" s="891">
        <f t="shared" si="579"/>
        <v>0</v>
      </c>
      <c r="T434" s="891">
        <f t="shared" si="579"/>
        <v>0</v>
      </c>
      <c r="U434" s="891">
        <f t="shared" si="579"/>
        <v>0</v>
      </c>
      <c r="V434" s="891">
        <f t="shared" si="579"/>
        <v>0</v>
      </c>
      <c r="W434" s="891">
        <f t="shared" si="579"/>
        <v>0</v>
      </c>
      <c r="X434" s="891">
        <f t="shared" si="579"/>
        <v>0</v>
      </c>
      <c r="Y434" s="891">
        <f t="shared" si="579"/>
        <v>0</v>
      </c>
      <c r="Z434" s="891">
        <f t="shared" si="579"/>
        <v>0</v>
      </c>
      <c r="AA434" s="891">
        <f t="shared" si="579"/>
        <v>0</v>
      </c>
      <c r="AB434" s="891">
        <f t="shared" ref="AB434:AW434" si="580">+AB22-AB348</f>
        <v>0</v>
      </c>
      <c r="AC434" s="891">
        <f t="shared" si="580"/>
        <v>0</v>
      </c>
      <c r="AD434" s="891">
        <f t="shared" si="580"/>
        <v>0</v>
      </c>
      <c r="AE434" s="891">
        <f t="shared" si="580"/>
        <v>0</v>
      </c>
      <c r="AF434" s="891">
        <f t="shared" si="580"/>
        <v>0</v>
      </c>
      <c r="AG434" s="891">
        <f t="shared" si="580"/>
        <v>0</v>
      </c>
      <c r="AH434" s="891">
        <f t="shared" si="580"/>
        <v>0</v>
      </c>
      <c r="AI434" s="891">
        <f t="shared" si="580"/>
        <v>0</v>
      </c>
      <c r="AJ434" s="891">
        <f t="shared" si="580"/>
        <v>0</v>
      </c>
      <c r="AK434" s="891">
        <f t="shared" si="580"/>
        <v>0</v>
      </c>
      <c r="AL434" s="891">
        <f t="shared" si="580"/>
        <v>0</v>
      </c>
      <c r="AM434" s="891">
        <f t="shared" si="580"/>
        <v>0</v>
      </c>
      <c r="AN434" s="891">
        <f t="shared" si="580"/>
        <v>0</v>
      </c>
      <c r="AO434" s="891">
        <f t="shared" si="580"/>
        <v>0</v>
      </c>
      <c r="AP434" s="891">
        <f t="shared" si="580"/>
        <v>0</v>
      </c>
      <c r="AR434" s="891">
        <f t="shared" si="580"/>
        <v>0</v>
      </c>
      <c r="AS434" s="891">
        <f t="shared" si="580"/>
        <v>0</v>
      </c>
      <c r="AT434" s="891">
        <f t="shared" si="580"/>
        <v>0</v>
      </c>
      <c r="AU434" s="891">
        <f t="shared" si="580"/>
        <v>0</v>
      </c>
      <c r="AV434" s="891">
        <f t="shared" si="580"/>
        <v>0</v>
      </c>
      <c r="AW434" s="891">
        <f t="shared" si="580"/>
        <v>0</v>
      </c>
      <c r="AX434" s="891">
        <f t="shared" ref="AX434:CC434" si="581">+AX22-AX348</f>
        <v>0</v>
      </c>
      <c r="AY434" s="891">
        <f t="shared" si="581"/>
        <v>0</v>
      </c>
      <c r="AZ434" s="891">
        <f t="shared" si="581"/>
        <v>0</v>
      </c>
      <c r="BA434" s="891">
        <f t="shared" si="581"/>
        <v>0</v>
      </c>
      <c r="BB434" s="891">
        <f t="shared" si="581"/>
        <v>0</v>
      </c>
      <c r="BC434" s="891">
        <f t="shared" si="581"/>
        <v>0</v>
      </c>
      <c r="BD434" s="891">
        <f t="shared" si="581"/>
        <v>0</v>
      </c>
      <c r="BE434" s="891">
        <f t="shared" si="581"/>
        <v>0</v>
      </c>
      <c r="BF434" s="891">
        <f t="shared" si="581"/>
        <v>0</v>
      </c>
      <c r="BG434" s="891">
        <f t="shared" si="581"/>
        <v>0</v>
      </c>
      <c r="BH434" s="891">
        <f t="shared" si="581"/>
        <v>0</v>
      </c>
      <c r="BI434" s="891">
        <f t="shared" si="581"/>
        <v>0</v>
      </c>
      <c r="BJ434" s="891">
        <f t="shared" si="581"/>
        <v>0</v>
      </c>
      <c r="BK434" s="891">
        <f t="shared" si="581"/>
        <v>0</v>
      </c>
      <c r="BL434" s="891">
        <f t="shared" si="581"/>
        <v>0</v>
      </c>
      <c r="BM434" s="891">
        <f t="shared" si="581"/>
        <v>0</v>
      </c>
      <c r="BN434" s="891">
        <f t="shared" si="581"/>
        <v>0</v>
      </c>
      <c r="BO434" s="891">
        <f t="shared" si="581"/>
        <v>0</v>
      </c>
      <c r="BP434" s="891">
        <f t="shared" si="581"/>
        <v>0</v>
      </c>
      <c r="BQ434" s="891">
        <f t="shared" si="581"/>
        <v>0</v>
      </c>
      <c r="BR434" s="891">
        <f t="shared" si="581"/>
        <v>0</v>
      </c>
      <c r="BS434" s="891">
        <f t="shared" si="581"/>
        <v>0</v>
      </c>
      <c r="BT434" s="891">
        <f t="shared" si="581"/>
        <v>0</v>
      </c>
      <c r="BU434" s="891">
        <f t="shared" si="581"/>
        <v>0</v>
      </c>
      <c r="BV434" s="891">
        <f t="shared" si="581"/>
        <v>0</v>
      </c>
      <c r="BW434" s="891">
        <f t="shared" si="581"/>
        <v>0</v>
      </c>
      <c r="BX434" s="891">
        <f t="shared" si="581"/>
        <v>0</v>
      </c>
      <c r="BY434" s="891">
        <f t="shared" si="581"/>
        <v>0</v>
      </c>
      <c r="BZ434" s="891">
        <f t="shared" si="581"/>
        <v>0</v>
      </c>
      <c r="CA434" s="891">
        <f t="shared" si="581"/>
        <v>0</v>
      </c>
      <c r="CB434" s="891">
        <f t="shared" si="581"/>
        <v>0</v>
      </c>
      <c r="CC434" s="891">
        <f t="shared" si="581"/>
        <v>0</v>
      </c>
      <c r="CD434" s="891">
        <f t="shared" ref="CD434:CI434" si="582">+CD22-CD348</f>
        <v>0</v>
      </c>
      <c r="CE434" s="891">
        <f t="shared" si="582"/>
        <v>0</v>
      </c>
      <c r="CF434" s="891">
        <f t="shared" si="582"/>
        <v>0</v>
      </c>
      <c r="CG434" s="891">
        <f t="shared" si="582"/>
        <v>0</v>
      </c>
      <c r="CH434" s="891">
        <f t="shared" si="582"/>
        <v>0</v>
      </c>
      <c r="CI434" s="891">
        <f t="shared" si="582"/>
        <v>0</v>
      </c>
    </row>
    <row r="435" spans="1:87" s="891" customFormat="1" x14ac:dyDescent="0.2">
      <c r="A435" s="890" t="s">
        <v>954</v>
      </c>
      <c r="B435" s="891">
        <f t="shared" si="577"/>
        <v>-6681</v>
      </c>
      <c r="C435" s="891">
        <f t="shared" ref="C435:BR435" si="583">+C23-C349</f>
        <v>-6857</v>
      </c>
      <c r="D435" s="891">
        <f t="shared" si="583"/>
        <v>0</v>
      </c>
      <c r="E435" s="891">
        <f t="shared" si="583"/>
        <v>0</v>
      </c>
      <c r="F435" s="891">
        <f t="shared" si="583"/>
        <v>0</v>
      </c>
      <c r="G435" s="891">
        <f t="shared" si="583"/>
        <v>0</v>
      </c>
      <c r="H435" s="891">
        <f t="shared" si="583"/>
        <v>0</v>
      </c>
      <c r="I435" s="891">
        <f t="shared" si="583"/>
        <v>0</v>
      </c>
      <c r="J435" s="891">
        <f t="shared" si="583"/>
        <v>0</v>
      </c>
      <c r="K435" s="891">
        <f t="shared" si="583"/>
        <v>0</v>
      </c>
      <c r="L435" s="891">
        <f t="shared" si="583"/>
        <v>0</v>
      </c>
      <c r="M435" s="891">
        <f t="shared" si="583"/>
        <v>0</v>
      </c>
      <c r="N435" s="891">
        <f t="shared" si="583"/>
        <v>0</v>
      </c>
      <c r="O435" s="891">
        <f t="shared" si="583"/>
        <v>176</v>
      </c>
      <c r="P435" s="891">
        <f t="shared" si="583"/>
        <v>0</v>
      </c>
      <c r="Q435" s="891">
        <f t="shared" si="583"/>
        <v>0</v>
      </c>
      <c r="R435" s="891">
        <f t="shared" si="583"/>
        <v>0</v>
      </c>
      <c r="S435" s="891">
        <f t="shared" si="583"/>
        <v>0</v>
      </c>
      <c r="T435" s="891">
        <f t="shared" si="583"/>
        <v>0</v>
      </c>
      <c r="U435" s="891">
        <f t="shared" si="583"/>
        <v>0</v>
      </c>
      <c r="V435" s="891">
        <f t="shared" si="583"/>
        <v>0</v>
      </c>
      <c r="W435" s="891">
        <f t="shared" si="583"/>
        <v>0</v>
      </c>
      <c r="X435" s="891">
        <f t="shared" si="583"/>
        <v>0</v>
      </c>
      <c r="Y435" s="891">
        <f t="shared" si="583"/>
        <v>0</v>
      </c>
      <c r="Z435" s="891">
        <f t="shared" si="583"/>
        <v>0</v>
      </c>
      <c r="AA435" s="891">
        <f t="shared" si="583"/>
        <v>0</v>
      </c>
      <c r="AB435" s="891">
        <f t="shared" ref="AB435:AW435" si="584">+AB23-AB349</f>
        <v>0</v>
      </c>
      <c r="AC435" s="891">
        <f t="shared" si="584"/>
        <v>0</v>
      </c>
      <c r="AD435" s="891">
        <f t="shared" si="584"/>
        <v>0</v>
      </c>
      <c r="AE435" s="891">
        <f t="shared" si="584"/>
        <v>0</v>
      </c>
      <c r="AF435" s="891">
        <f t="shared" si="584"/>
        <v>0</v>
      </c>
      <c r="AG435" s="891">
        <f t="shared" si="584"/>
        <v>0</v>
      </c>
      <c r="AH435" s="891">
        <f t="shared" si="584"/>
        <v>0</v>
      </c>
      <c r="AI435" s="891">
        <f t="shared" si="584"/>
        <v>0</v>
      </c>
      <c r="AJ435" s="891">
        <f t="shared" si="584"/>
        <v>0</v>
      </c>
      <c r="AK435" s="891">
        <f t="shared" si="584"/>
        <v>0</v>
      </c>
      <c r="AL435" s="891">
        <f t="shared" si="584"/>
        <v>0</v>
      </c>
      <c r="AM435" s="891">
        <f t="shared" si="584"/>
        <v>0</v>
      </c>
      <c r="AN435" s="891">
        <f t="shared" si="584"/>
        <v>0</v>
      </c>
      <c r="AO435" s="891">
        <f t="shared" si="584"/>
        <v>0</v>
      </c>
      <c r="AP435" s="891">
        <f t="shared" si="584"/>
        <v>0</v>
      </c>
      <c r="AR435" s="891">
        <f t="shared" si="584"/>
        <v>0</v>
      </c>
      <c r="AS435" s="891">
        <f t="shared" si="584"/>
        <v>0</v>
      </c>
      <c r="AT435" s="891">
        <f t="shared" si="584"/>
        <v>0</v>
      </c>
      <c r="AU435" s="891">
        <f t="shared" si="584"/>
        <v>0</v>
      </c>
      <c r="AV435" s="891">
        <f t="shared" si="584"/>
        <v>0</v>
      </c>
      <c r="AW435" s="891">
        <f t="shared" si="584"/>
        <v>0</v>
      </c>
      <c r="AX435" s="891">
        <f t="shared" si="583"/>
        <v>0</v>
      </c>
      <c r="AY435" s="891">
        <f t="shared" si="583"/>
        <v>0</v>
      </c>
      <c r="AZ435" s="891">
        <f t="shared" si="583"/>
        <v>0</v>
      </c>
      <c r="BA435" s="891">
        <f t="shared" si="583"/>
        <v>0</v>
      </c>
      <c r="BB435" s="891">
        <f t="shared" si="583"/>
        <v>0</v>
      </c>
      <c r="BC435" s="891">
        <f t="shared" si="583"/>
        <v>0</v>
      </c>
      <c r="BD435" s="891">
        <f t="shared" si="583"/>
        <v>0</v>
      </c>
      <c r="BE435" s="891">
        <f t="shared" si="583"/>
        <v>0</v>
      </c>
      <c r="BF435" s="891">
        <f t="shared" si="583"/>
        <v>0</v>
      </c>
      <c r="BG435" s="891">
        <f t="shared" si="583"/>
        <v>0</v>
      </c>
      <c r="BH435" s="891">
        <f t="shared" si="583"/>
        <v>0</v>
      </c>
      <c r="BI435" s="891">
        <f t="shared" si="583"/>
        <v>0</v>
      </c>
      <c r="BJ435" s="891">
        <f t="shared" si="583"/>
        <v>0</v>
      </c>
      <c r="BK435" s="891">
        <f t="shared" si="583"/>
        <v>0</v>
      </c>
      <c r="BL435" s="891">
        <f t="shared" si="583"/>
        <v>0</v>
      </c>
      <c r="BM435" s="891">
        <f t="shared" si="583"/>
        <v>0</v>
      </c>
      <c r="BN435" s="891">
        <f t="shared" si="583"/>
        <v>0</v>
      </c>
      <c r="BO435" s="891">
        <f t="shared" si="583"/>
        <v>0</v>
      </c>
      <c r="BP435" s="891">
        <f t="shared" si="583"/>
        <v>0</v>
      </c>
      <c r="BQ435" s="891">
        <f t="shared" si="583"/>
        <v>0</v>
      </c>
      <c r="BR435" s="891">
        <f t="shared" si="583"/>
        <v>0</v>
      </c>
      <c r="BS435" s="891">
        <f t="shared" ref="BS435:CC435" si="585">+BS23-BS349</f>
        <v>0</v>
      </c>
      <c r="BT435" s="891">
        <f t="shared" si="585"/>
        <v>0</v>
      </c>
      <c r="BU435" s="891">
        <f t="shared" si="585"/>
        <v>0</v>
      </c>
      <c r="BV435" s="891">
        <f t="shared" si="585"/>
        <v>0</v>
      </c>
      <c r="BW435" s="891">
        <f t="shared" si="585"/>
        <v>0</v>
      </c>
      <c r="BX435" s="891">
        <f t="shared" si="585"/>
        <v>0</v>
      </c>
      <c r="BY435" s="891">
        <f t="shared" si="585"/>
        <v>0</v>
      </c>
      <c r="BZ435" s="891">
        <f t="shared" si="585"/>
        <v>0</v>
      </c>
      <c r="CA435" s="891">
        <f t="shared" si="585"/>
        <v>0</v>
      </c>
      <c r="CB435" s="891">
        <f t="shared" si="585"/>
        <v>0</v>
      </c>
      <c r="CC435" s="891">
        <f t="shared" si="585"/>
        <v>0</v>
      </c>
      <c r="CD435" s="891">
        <f t="shared" ref="CD435:CI435" si="586">+CD23-CD349</f>
        <v>0</v>
      </c>
      <c r="CE435" s="891">
        <f t="shared" si="586"/>
        <v>0</v>
      </c>
      <c r="CF435" s="891">
        <f t="shared" si="586"/>
        <v>0</v>
      </c>
      <c r="CG435" s="891">
        <f t="shared" si="586"/>
        <v>0</v>
      </c>
      <c r="CH435" s="891">
        <f t="shared" si="586"/>
        <v>0</v>
      </c>
      <c r="CI435" s="891">
        <f t="shared" si="586"/>
        <v>0</v>
      </c>
    </row>
    <row r="436" spans="1:87" s="891" customFormat="1" x14ac:dyDescent="0.2">
      <c r="A436" s="890" t="s">
        <v>955</v>
      </c>
      <c r="B436" s="891">
        <f t="shared" si="577"/>
        <v>-3</v>
      </c>
      <c r="C436" s="891">
        <f t="shared" ref="C436:BR436" si="587">+C24-C350</f>
        <v>-137</v>
      </c>
      <c r="D436" s="891">
        <f t="shared" si="587"/>
        <v>0</v>
      </c>
      <c r="E436" s="891">
        <f t="shared" si="587"/>
        <v>0</v>
      </c>
      <c r="F436" s="891">
        <f t="shared" si="587"/>
        <v>0</v>
      </c>
      <c r="G436" s="891">
        <f t="shared" si="587"/>
        <v>0</v>
      </c>
      <c r="H436" s="891">
        <f t="shared" si="587"/>
        <v>0</v>
      </c>
      <c r="I436" s="891">
        <f t="shared" si="587"/>
        <v>0</v>
      </c>
      <c r="J436" s="891">
        <f t="shared" si="587"/>
        <v>0</v>
      </c>
      <c r="K436" s="891">
        <f t="shared" si="587"/>
        <v>0</v>
      </c>
      <c r="L436" s="891">
        <f t="shared" si="587"/>
        <v>0</v>
      </c>
      <c r="M436" s="891">
        <f t="shared" si="587"/>
        <v>0</v>
      </c>
      <c r="N436" s="891">
        <f t="shared" si="587"/>
        <v>0</v>
      </c>
      <c r="O436" s="891">
        <f t="shared" si="587"/>
        <v>0</v>
      </c>
      <c r="P436" s="891">
        <f t="shared" si="587"/>
        <v>0</v>
      </c>
      <c r="Q436" s="891">
        <f t="shared" si="587"/>
        <v>0</v>
      </c>
      <c r="R436" s="891">
        <f t="shared" si="587"/>
        <v>0</v>
      </c>
      <c r="S436" s="891">
        <f t="shared" si="587"/>
        <v>0</v>
      </c>
      <c r="T436" s="891">
        <f t="shared" si="587"/>
        <v>0</v>
      </c>
      <c r="U436" s="891">
        <f t="shared" si="587"/>
        <v>-109</v>
      </c>
      <c r="V436" s="891">
        <f t="shared" si="587"/>
        <v>0</v>
      </c>
      <c r="W436" s="891">
        <f t="shared" si="587"/>
        <v>243</v>
      </c>
      <c r="X436" s="891">
        <f t="shared" si="587"/>
        <v>0</v>
      </c>
      <c r="Y436" s="891">
        <f t="shared" si="587"/>
        <v>0</v>
      </c>
      <c r="Z436" s="891">
        <f t="shared" si="587"/>
        <v>0</v>
      </c>
      <c r="AA436" s="891">
        <f t="shared" si="587"/>
        <v>0</v>
      </c>
      <c r="AB436" s="891">
        <f t="shared" ref="AB436:AW436" si="588">+AB24-AB350</f>
        <v>0</v>
      </c>
      <c r="AC436" s="891">
        <f t="shared" si="588"/>
        <v>0</v>
      </c>
      <c r="AD436" s="891">
        <f t="shared" si="588"/>
        <v>0</v>
      </c>
      <c r="AE436" s="891">
        <f t="shared" si="588"/>
        <v>0</v>
      </c>
      <c r="AF436" s="891">
        <f t="shared" si="588"/>
        <v>0</v>
      </c>
      <c r="AG436" s="891">
        <f t="shared" si="588"/>
        <v>0</v>
      </c>
      <c r="AH436" s="891">
        <f t="shared" si="588"/>
        <v>0</v>
      </c>
      <c r="AI436" s="891">
        <f t="shared" si="588"/>
        <v>0</v>
      </c>
      <c r="AJ436" s="891">
        <f t="shared" si="588"/>
        <v>0</v>
      </c>
      <c r="AK436" s="891">
        <f t="shared" si="588"/>
        <v>0</v>
      </c>
      <c r="AL436" s="891">
        <f t="shared" si="588"/>
        <v>0</v>
      </c>
      <c r="AM436" s="891">
        <f t="shared" si="588"/>
        <v>0</v>
      </c>
      <c r="AN436" s="891">
        <f t="shared" si="588"/>
        <v>0</v>
      </c>
      <c r="AO436" s="891">
        <f t="shared" si="588"/>
        <v>0</v>
      </c>
      <c r="AP436" s="891">
        <f t="shared" si="588"/>
        <v>0</v>
      </c>
      <c r="AR436" s="891">
        <f t="shared" si="588"/>
        <v>0</v>
      </c>
      <c r="AS436" s="891">
        <f t="shared" si="588"/>
        <v>0</v>
      </c>
      <c r="AT436" s="891">
        <f t="shared" si="588"/>
        <v>0</v>
      </c>
      <c r="AU436" s="891">
        <f t="shared" si="588"/>
        <v>0</v>
      </c>
      <c r="AV436" s="891">
        <f t="shared" si="588"/>
        <v>0</v>
      </c>
      <c r="AW436" s="891">
        <f t="shared" si="588"/>
        <v>0</v>
      </c>
      <c r="AX436" s="891">
        <f t="shared" si="587"/>
        <v>0</v>
      </c>
      <c r="AY436" s="891">
        <f t="shared" si="587"/>
        <v>0</v>
      </c>
      <c r="AZ436" s="891">
        <f t="shared" si="587"/>
        <v>0</v>
      </c>
      <c r="BA436" s="891">
        <f t="shared" si="587"/>
        <v>0</v>
      </c>
      <c r="BB436" s="891">
        <f t="shared" si="587"/>
        <v>0</v>
      </c>
      <c r="BC436" s="891">
        <f t="shared" si="587"/>
        <v>0</v>
      </c>
      <c r="BD436" s="891">
        <f t="shared" si="587"/>
        <v>0</v>
      </c>
      <c r="BE436" s="891">
        <f t="shared" si="587"/>
        <v>0</v>
      </c>
      <c r="BF436" s="891">
        <f t="shared" si="587"/>
        <v>0</v>
      </c>
      <c r="BG436" s="891">
        <f t="shared" si="587"/>
        <v>0</v>
      </c>
      <c r="BH436" s="891">
        <f t="shared" si="587"/>
        <v>0</v>
      </c>
      <c r="BI436" s="891">
        <f t="shared" si="587"/>
        <v>0</v>
      </c>
      <c r="BJ436" s="891">
        <f t="shared" si="587"/>
        <v>0</v>
      </c>
      <c r="BK436" s="891">
        <f t="shared" si="587"/>
        <v>0</v>
      </c>
      <c r="BL436" s="891">
        <f t="shared" si="587"/>
        <v>0</v>
      </c>
      <c r="BM436" s="891">
        <f t="shared" si="587"/>
        <v>0</v>
      </c>
      <c r="BN436" s="891">
        <f t="shared" si="587"/>
        <v>0</v>
      </c>
      <c r="BO436" s="891">
        <f t="shared" si="587"/>
        <v>0</v>
      </c>
      <c r="BP436" s="891">
        <f t="shared" si="587"/>
        <v>0</v>
      </c>
      <c r="BQ436" s="891">
        <f t="shared" si="587"/>
        <v>0</v>
      </c>
      <c r="BR436" s="891">
        <f t="shared" si="587"/>
        <v>0</v>
      </c>
      <c r="BS436" s="891">
        <f t="shared" ref="BS436:CC436" si="589">+BS24-BS350</f>
        <v>0</v>
      </c>
      <c r="BT436" s="891">
        <f t="shared" si="589"/>
        <v>0</v>
      </c>
      <c r="BU436" s="891">
        <f t="shared" si="589"/>
        <v>0</v>
      </c>
      <c r="BV436" s="891">
        <f t="shared" si="589"/>
        <v>0</v>
      </c>
      <c r="BW436" s="891">
        <f t="shared" si="589"/>
        <v>0</v>
      </c>
      <c r="BX436" s="891">
        <f t="shared" si="589"/>
        <v>0</v>
      </c>
      <c r="BY436" s="891">
        <f t="shared" si="589"/>
        <v>0</v>
      </c>
      <c r="BZ436" s="891">
        <f t="shared" si="589"/>
        <v>0</v>
      </c>
      <c r="CA436" s="891">
        <f t="shared" si="589"/>
        <v>0</v>
      </c>
      <c r="CB436" s="891">
        <f t="shared" si="589"/>
        <v>0</v>
      </c>
      <c r="CC436" s="891">
        <f t="shared" si="589"/>
        <v>0</v>
      </c>
      <c r="CD436" s="891">
        <f t="shared" ref="CD436:CI436" si="590">+CD24-CD350</f>
        <v>0</v>
      </c>
      <c r="CE436" s="891">
        <f t="shared" si="590"/>
        <v>0</v>
      </c>
      <c r="CF436" s="891">
        <f t="shared" si="590"/>
        <v>0</v>
      </c>
      <c r="CG436" s="891">
        <f t="shared" si="590"/>
        <v>0</v>
      </c>
      <c r="CH436" s="891">
        <f t="shared" si="590"/>
        <v>0</v>
      </c>
      <c r="CI436" s="891">
        <f t="shared" si="590"/>
        <v>0</v>
      </c>
    </row>
    <row r="437" spans="1:87" s="891" customFormat="1" x14ac:dyDescent="0.2">
      <c r="A437" s="890" t="s">
        <v>958</v>
      </c>
      <c r="B437" s="891">
        <f t="shared" si="577"/>
        <v>-6</v>
      </c>
      <c r="C437" s="891">
        <f t="shared" ref="C437:BR437" si="591">+C25-C351</f>
        <v>0</v>
      </c>
      <c r="D437" s="891">
        <f t="shared" si="591"/>
        <v>0</v>
      </c>
      <c r="E437" s="891">
        <f t="shared" si="591"/>
        <v>0</v>
      </c>
      <c r="F437" s="891">
        <f t="shared" si="591"/>
        <v>0</v>
      </c>
      <c r="G437" s="891">
        <f t="shared" si="591"/>
        <v>0</v>
      </c>
      <c r="H437" s="891">
        <f t="shared" si="591"/>
        <v>0</v>
      </c>
      <c r="I437" s="891">
        <f t="shared" si="591"/>
        <v>0</v>
      </c>
      <c r="J437" s="891">
        <f t="shared" si="591"/>
        <v>0</v>
      </c>
      <c r="K437" s="891">
        <f t="shared" si="591"/>
        <v>0</v>
      </c>
      <c r="L437" s="891">
        <f t="shared" si="591"/>
        <v>0</v>
      </c>
      <c r="M437" s="891">
        <f t="shared" si="591"/>
        <v>0</v>
      </c>
      <c r="N437" s="891">
        <f t="shared" si="591"/>
        <v>0</v>
      </c>
      <c r="O437" s="891">
        <f t="shared" si="591"/>
        <v>0</v>
      </c>
      <c r="P437" s="891">
        <f t="shared" si="591"/>
        <v>0</v>
      </c>
      <c r="Q437" s="891">
        <f t="shared" si="591"/>
        <v>0</v>
      </c>
      <c r="R437" s="891">
        <f t="shared" si="591"/>
        <v>0</v>
      </c>
      <c r="S437" s="891">
        <f t="shared" si="591"/>
        <v>0</v>
      </c>
      <c r="T437" s="891">
        <f t="shared" si="591"/>
        <v>-6</v>
      </c>
      <c r="U437" s="891">
        <f t="shared" si="591"/>
        <v>0</v>
      </c>
      <c r="V437" s="891">
        <f t="shared" si="591"/>
        <v>0</v>
      </c>
      <c r="W437" s="891">
        <f t="shared" si="591"/>
        <v>0</v>
      </c>
      <c r="X437" s="891">
        <f t="shared" si="591"/>
        <v>0</v>
      </c>
      <c r="Y437" s="891">
        <f t="shared" si="591"/>
        <v>0</v>
      </c>
      <c r="Z437" s="891">
        <f t="shared" si="591"/>
        <v>0</v>
      </c>
      <c r="AA437" s="891">
        <f t="shared" si="591"/>
        <v>0</v>
      </c>
      <c r="AB437" s="891">
        <f t="shared" ref="AB437:AW437" si="592">+AB25-AB351</f>
        <v>0</v>
      </c>
      <c r="AC437" s="891">
        <f t="shared" si="592"/>
        <v>0</v>
      </c>
      <c r="AD437" s="891">
        <f t="shared" si="592"/>
        <v>0</v>
      </c>
      <c r="AE437" s="891">
        <f t="shared" si="592"/>
        <v>0</v>
      </c>
      <c r="AF437" s="891">
        <f t="shared" si="592"/>
        <v>0</v>
      </c>
      <c r="AG437" s="891">
        <f t="shared" si="592"/>
        <v>0</v>
      </c>
      <c r="AH437" s="891">
        <f t="shared" si="592"/>
        <v>0</v>
      </c>
      <c r="AI437" s="891">
        <f t="shared" si="592"/>
        <v>0</v>
      </c>
      <c r="AJ437" s="891">
        <f t="shared" si="592"/>
        <v>0</v>
      </c>
      <c r="AK437" s="891">
        <f t="shared" si="592"/>
        <v>0</v>
      </c>
      <c r="AL437" s="891">
        <f t="shared" si="592"/>
        <v>0</v>
      </c>
      <c r="AM437" s="891">
        <f t="shared" si="592"/>
        <v>0</v>
      </c>
      <c r="AN437" s="891">
        <f t="shared" si="592"/>
        <v>0</v>
      </c>
      <c r="AO437" s="891">
        <f t="shared" si="592"/>
        <v>0</v>
      </c>
      <c r="AP437" s="891">
        <f t="shared" si="592"/>
        <v>0</v>
      </c>
      <c r="AR437" s="891">
        <f t="shared" si="592"/>
        <v>0</v>
      </c>
      <c r="AS437" s="891">
        <f t="shared" si="592"/>
        <v>0</v>
      </c>
      <c r="AT437" s="891">
        <f t="shared" si="592"/>
        <v>0</v>
      </c>
      <c r="AU437" s="891">
        <f t="shared" si="592"/>
        <v>0</v>
      </c>
      <c r="AV437" s="891">
        <f t="shared" si="592"/>
        <v>0</v>
      </c>
      <c r="AW437" s="891">
        <f t="shared" si="592"/>
        <v>0</v>
      </c>
      <c r="AX437" s="891">
        <f t="shared" si="591"/>
        <v>0</v>
      </c>
      <c r="AY437" s="891">
        <f t="shared" si="591"/>
        <v>0</v>
      </c>
      <c r="AZ437" s="891">
        <f t="shared" si="591"/>
        <v>0</v>
      </c>
      <c r="BA437" s="891">
        <f t="shared" si="591"/>
        <v>0</v>
      </c>
      <c r="BB437" s="891">
        <f t="shared" si="591"/>
        <v>0</v>
      </c>
      <c r="BC437" s="891">
        <f t="shared" si="591"/>
        <v>0</v>
      </c>
      <c r="BD437" s="891">
        <f t="shared" si="591"/>
        <v>0</v>
      </c>
      <c r="BE437" s="891">
        <f t="shared" si="591"/>
        <v>0</v>
      </c>
      <c r="BF437" s="891">
        <f t="shared" si="591"/>
        <v>0</v>
      </c>
      <c r="BG437" s="891">
        <f t="shared" si="591"/>
        <v>0</v>
      </c>
      <c r="BH437" s="891">
        <f t="shared" si="591"/>
        <v>0</v>
      </c>
      <c r="BI437" s="891">
        <f t="shared" si="591"/>
        <v>0</v>
      </c>
      <c r="BJ437" s="891">
        <f t="shared" si="591"/>
        <v>0</v>
      </c>
      <c r="BK437" s="891">
        <f t="shared" si="591"/>
        <v>0</v>
      </c>
      <c r="BL437" s="891">
        <f t="shared" si="591"/>
        <v>0</v>
      </c>
      <c r="BM437" s="891">
        <f t="shared" si="591"/>
        <v>0</v>
      </c>
      <c r="BN437" s="891">
        <f t="shared" si="591"/>
        <v>0</v>
      </c>
      <c r="BO437" s="891">
        <f t="shared" si="591"/>
        <v>0</v>
      </c>
      <c r="BP437" s="891">
        <f t="shared" si="591"/>
        <v>0</v>
      </c>
      <c r="BQ437" s="891">
        <f t="shared" si="591"/>
        <v>0</v>
      </c>
      <c r="BR437" s="891">
        <f t="shared" si="591"/>
        <v>0</v>
      </c>
      <c r="BS437" s="891">
        <f t="shared" ref="BS437:CC437" si="593">+BS25-BS351</f>
        <v>0</v>
      </c>
      <c r="BT437" s="891">
        <f t="shared" si="593"/>
        <v>0</v>
      </c>
      <c r="BU437" s="891">
        <f t="shared" si="593"/>
        <v>0</v>
      </c>
      <c r="BV437" s="891">
        <f t="shared" si="593"/>
        <v>0</v>
      </c>
      <c r="BW437" s="891">
        <f t="shared" si="593"/>
        <v>0</v>
      </c>
      <c r="BX437" s="891">
        <f t="shared" si="593"/>
        <v>0</v>
      </c>
      <c r="BY437" s="891">
        <f t="shared" si="593"/>
        <v>0</v>
      </c>
      <c r="BZ437" s="891">
        <f t="shared" si="593"/>
        <v>0</v>
      </c>
      <c r="CA437" s="891">
        <f t="shared" si="593"/>
        <v>0</v>
      </c>
      <c r="CB437" s="891">
        <f t="shared" si="593"/>
        <v>0</v>
      </c>
      <c r="CC437" s="891">
        <f t="shared" si="593"/>
        <v>0</v>
      </c>
      <c r="CD437" s="891">
        <f t="shared" ref="CD437:CI437" si="594">+CD25-CD351</f>
        <v>0</v>
      </c>
      <c r="CE437" s="891">
        <f t="shared" si="594"/>
        <v>0</v>
      </c>
      <c r="CF437" s="891">
        <f t="shared" si="594"/>
        <v>0</v>
      </c>
      <c r="CG437" s="891">
        <f t="shared" si="594"/>
        <v>0</v>
      </c>
      <c r="CH437" s="891">
        <f t="shared" si="594"/>
        <v>0</v>
      </c>
      <c r="CI437" s="891">
        <f t="shared" si="594"/>
        <v>0</v>
      </c>
    </row>
    <row r="438" spans="1:87" s="891" customFormat="1" x14ac:dyDescent="0.2">
      <c r="A438" s="890" t="s">
        <v>956</v>
      </c>
      <c r="B438" s="891">
        <f t="shared" si="577"/>
        <v>-2383</v>
      </c>
      <c r="C438" s="891">
        <f t="shared" ref="C438:BR438" si="595">+C26-C352</f>
        <v>201</v>
      </c>
      <c r="D438" s="891">
        <f t="shared" si="595"/>
        <v>0</v>
      </c>
      <c r="E438" s="891">
        <f t="shared" si="595"/>
        <v>0</v>
      </c>
      <c r="F438" s="891">
        <f t="shared" si="595"/>
        <v>0</v>
      </c>
      <c r="G438" s="891">
        <f t="shared" si="595"/>
        <v>0</v>
      </c>
      <c r="H438" s="891">
        <f t="shared" si="595"/>
        <v>0</v>
      </c>
      <c r="I438" s="891">
        <f t="shared" si="595"/>
        <v>0</v>
      </c>
      <c r="J438" s="891">
        <f t="shared" si="595"/>
        <v>0</v>
      </c>
      <c r="K438" s="891">
        <f t="shared" si="595"/>
        <v>0</v>
      </c>
      <c r="L438" s="891">
        <f t="shared" si="595"/>
        <v>0</v>
      </c>
      <c r="M438" s="891">
        <f t="shared" si="595"/>
        <v>0</v>
      </c>
      <c r="N438" s="891">
        <f t="shared" si="595"/>
        <v>0</v>
      </c>
      <c r="O438" s="891">
        <f t="shared" si="595"/>
        <v>-2584</v>
      </c>
      <c r="P438" s="891">
        <f t="shared" si="595"/>
        <v>0</v>
      </c>
      <c r="Q438" s="891">
        <f t="shared" si="595"/>
        <v>0</v>
      </c>
      <c r="R438" s="891">
        <f t="shared" si="595"/>
        <v>0</v>
      </c>
      <c r="S438" s="891">
        <f t="shared" si="595"/>
        <v>0</v>
      </c>
      <c r="T438" s="891">
        <f t="shared" si="595"/>
        <v>0</v>
      </c>
      <c r="U438" s="891">
        <f t="shared" si="595"/>
        <v>0</v>
      </c>
      <c r="V438" s="891">
        <f t="shared" si="595"/>
        <v>0</v>
      </c>
      <c r="W438" s="891">
        <f t="shared" si="595"/>
        <v>0</v>
      </c>
      <c r="X438" s="891">
        <f t="shared" si="595"/>
        <v>0</v>
      </c>
      <c r="Y438" s="891">
        <f t="shared" si="595"/>
        <v>0</v>
      </c>
      <c r="Z438" s="891">
        <f t="shared" si="595"/>
        <v>0</v>
      </c>
      <c r="AA438" s="891">
        <f t="shared" si="595"/>
        <v>0</v>
      </c>
      <c r="AB438" s="891">
        <f t="shared" ref="AB438:AW438" si="596">+AB26-AB352</f>
        <v>0</v>
      </c>
      <c r="AC438" s="891">
        <f t="shared" si="596"/>
        <v>0</v>
      </c>
      <c r="AD438" s="891">
        <f t="shared" si="596"/>
        <v>0</v>
      </c>
      <c r="AE438" s="891">
        <f t="shared" si="596"/>
        <v>0</v>
      </c>
      <c r="AF438" s="891">
        <f t="shared" si="596"/>
        <v>0</v>
      </c>
      <c r="AG438" s="891">
        <f t="shared" si="596"/>
        <v>0</v>
      </c>
      <c r="AH438" s="891">
        <f t="shared" si="596"/>
        <v>0</v>
      </c>
      <c r="AI438" s="891">
        <f t="shared" si="596"/>
        <v>0</v>
      </c>
      <c r="AJ438" s="891">
        <f t="shared" si="596"/>
        <v>0</v>
      </c>
      <c r="AK438" s="891">
        <f t="shared" si="596"/>
        <v>0</v>
      </c>
      <c r="AL438" s="891">
        <f t="shared" si="596"/>
        <v>0</v>
      </c>
      <c r="AM438" s="891">
        <f t="shared" si="596"/>
        <v>0</v>
      </c>
      <c r="AN438" s="891">
        <f t="shared" si="596"/>
        <v>0</v>
      </c>
      <c r="AO438" s="891">
        <f t="shared" si="596"/>
        <v>0</v>
      </c>
      <c r="AP438" s="891">
        <f t="shared" si="596"/>
        <v>0</v>
      </c>
      <c r="AR438" s="891">
        <f t="shared" si="596"/>
        <v>0</v>
      </c>
      <c r="AS438" s="891">
        <f t="shared" si="596"/>
        <v>0</v>
      </c>
      <c r="AT438" s="891">
        <f t="shared" si="596"/>
        <v>0</v>
      </c>
      <c r="AU438" s="891">
        <f t="shared" si="596"/>
        <v>0</v>
      </c>
      <c r="AV438" s="891">
        <f t="shared" si="596"/>
        <v>0</v>
      </c>
      <c r="AW438" s="891">
        <f t="shared" si="596"/>
        <v>0</v>
      </c>
      <c r="AX438" s="891">
        <f t="shared" si="595"/>
        <v>0</v>
      </c>
      <c r="AY438" s="891">
        <f t="shared" si="595"/>
        <v>0</v>
      </c>
      <c r="AZ438" s="891">
        <f t="shared" si="595"/>
        <v>0</v>
      </c>
      <c r="BA438" s="891">
        <f t="shared" si="595"/>
        <v>0</v>
      </c>
      <c r="BB438" s="891">
        <f t="shared" si="595"/>
        <v>0</v>
      </c>
      <c r="BC438" s="891">
        <f t="shared" si="595"/>
        <v>0</v>
      </c>
      <c r="BD438" s="891">
        <f t="shared" si="595"/>
        <v>0</v>
      </c>
      <c r="BE438" s="891">
        <f t="shared" si="595"/>
        <v>0</v>
      </c>
      <c r="BF438" s="891">
        <f t="shared" si="595"/>
        <v>0</v>
      </c>
      <c r="BG438" s="891">
        <f t="shared" si="595"/>
        <v>0</v>
      </c>
      <c r="BH438" s="891">
        <f t="shared" si="595"/>
        <v>0</v>
      </c>
      <c r="BI438" s="891">
        <f t="shared" si="595"/>
        <v>0</v>
      </c>
      <c r="BJ438" s="891">
        <f t="shared" si="595"/>
        <v>0</v>
      </c>
      <c r="BK438" s="891">
        <f t="shared" si="595"/>
        <v>0</v>
      </c>
      <c r="BL438" s="891">
        <f t="shared" si="595"/>
        <v>0</v>
      </c>
      <c r="BM438" s="891">
        <f t="shared" si="595"/>
        <v>0</v>
      </c>
      <c r="BN438" s="891">
        <f t="shared" si="595"/>
        <v>0</v>
      </c>
      <c r="BO438" s="891">
        <f t="shared" si="595"/>
        <v>0</v>
      </c>
      <c r="BP438" s="891">
        <f t="shared" si="595"/>
        <v>0</v>
      </c>
      <c r="BQ438" s="891">
        <f t="shared" si="595"/>
        <v>0</v>
      </c>
      <c r="BR438" s="891">
        <f t="shared" si="595"/>
        <v>0</v>
      </c>
      <c r="BS438" s="891">
        <f t="shared" ref="BS438:CC438" si="597">+BS26-BS352</f>
        <v>0</v>
      </c>
      <c r="BT438" s="891">
        <f t="shared" si="597"/>
        <v>0</v>
      </c>
      <c r="BU438" s="891">
        <f t="shared" si="597"/>
        <v>0</v>
      </c>
      <c r="BV438" s="891">
        <f t="shared" si="597"/>
        <v>0</v>
      </c>
      <c r="BW438" s="891">
        <f t="shared" si="597"/>
        <v>0</v>
      </c>
      <c r="BX438" s="891">
        <f t="shared" si="597"/>
        <v>0</v>
      </c>
      <c r="BY438" s="891">
        <f t="shared" si="597"/>
        <v>0</v>
      </c>
      <c r="BZ438" s="891">
        <f t="shared" si="597"/>
        <v>0</v>
      </c>
      <c r="CA438" s="891">
        <f t="shared" si="597"/>
        <v>0</v>
      </c>
      <c r="CB438" s="891">
        <f t="shared" si="597"/>
        <v>0</v>
      </c>
      <c r="CC438" s="891">
        <f t="shared" si="597"/>
        <v>0</v>
      </c>
      <c r="CD438" s="891">
        <f t="shared" ref="CD438:CI438" si="598">+CD26-CD352</f>
        <v>0</v>
      </c>
      <c r="CE438" s="891">
        <f t="shared" si="598"/>
        <v>0</v>
      </c>
      <c r="CF438" s="891">
        <f t="shared" si="598"/>
        <v>0</v>
      </c>
      <c r="CG438" s="891">
        <f t="shared" si="598"/>
        <v>0</v>
      </c>
      <c r="CH438" s="891">
        <f t="shared" si="598"/>
        <v>0</v>
      </c>
      <c r="CI438" s="891">
        <f t="shared" si="598"/>
        <v>0</v>
      </c>
    </row>
    <row r="439" spans="1:87" s="891" customFormat="1" x14ac:dyDescent="0.2">
      <c r="A439" s="890" t="s">
        <v>961</v>
      </c>
      <c r="B439" s="891">
        <f t="shared" si="577"/>
        <v>-4263</v>
      </c>
      <c r="C439" s="891">
        <f t="shared" ref="C439:BR439" si="599">+C27-C353</f>
        <v>2089</v>
      </c>
      <c r="D439" s="891">
        <f t="shared" si="599"/>
        <v>0</v>
      </c>
      <c r="E439" s="891">
        <f t="shared" si="599"/>
        <v>0</v>
      </c>
      <c r="F439" s="891">
        <f t="shared" si="599"/>
        <v>0</v>
      </c>
      <c r="G439" s="891">
        <f t="shared" si="599"/>
        <v>0</v>
      </c>
      <c r="H439" s="891">
        <f t="shared" si="599"/>
        <v>0</v>
      </c>
      <c r="I439" s="891">
        <f t="shared" si="599"/>
        <v>0</v>
      </c>
      <c r="J439" s="891">
        <f t="shared" si="599"/>
        <v>0</v>
      </c>
      <c r="K439" s="891">
        <f t="shared" si="599"/>
        <v>0</v>
      </c>
      <c r="L439" s="891">
        <f t="shared" si="599"/>
        <v>0</v>
      </c>
      <c r="M439" s="891">
        <f t="shared" si="599"/>
        <v>0</v>
      </c>
      <c r="N439" s="891">
        <f t="shared" si="599"/>
        <v>-5941</v>
      </c>
      <c r="O439" s="891">
        <f t="shared" si="599"/>
        <v>-1238</v>
      </c>
      <c r="P439" s="891">
        <f t="shared" si="599"/>
        <v>0</v>
      </c>
      <c r="Q439" s="891">
        <f t="shared" si="599"/>
        <v>0</v>
      </c>
      <c r="R439" s="891">
        <f t="shared" si="599"/>
        <v>0</v>
      </c>
      <c r="S439" s="891">
        <f t="shared" si="599"/>
        <v>0</v>
      </c>
      <c r="T439" s="891">
        <f t="shared" si="599"/>
        <v>0</v>
      </c>
      <c r="U439" s="891">
        <f t="shared" si="599"/>
        <v>0</v>
      </c>
      <c r="V439" s="891">
        <f t="shared" si="599"/>
        <v>0</v>
      </c>
      <c r="W439" s="891">
        <f t="shared" si="599"/>
        <v>0</v>
      </c>
      <c r="X439" s="891">
        <f t="shared" si="599"/>
        <v>0</v>
      </c>
      <c r="Y439" s="891">
        <f t="shared" si="599"/>
        <v>0</v>
      </c>
      <c r="Z439" s="891">
        <f t="shared" si="599"/>
        <v>0</v>
      </c>
      <c r="AA439" s="891">
        <f t="shared" si="599"/>
        <v>0</v>
      </c>
      <c r="AB439" s="891">
        <f t="shared" ref="AB439:AW439" si="600">+AB27-AB353</f>
        <v>0</v>
      </c>
      <c r="AC439" s="891">
        <f t="shared" si="600"/>
        <v>0</v>
      </c>
      <c r="AD439" s="891">
        <f t="shared" si="600"/>
        <v>0</v>
      </c>
      <c r="AE439" s="891">
        <f t="shared" si="600"/>
        <v>0</v>
      </c>
      <c r="AF439" s="891">
        <f t="shared" si="600"/>
        <v>0</v>
      </c>
      <c r="AG439" s="891">
        <f t="shared" si="600"/>
        <v>0</v>
      </c>
      <c r="AH439" s="891">
        <f t="shared" si="600"/>
        <v>0</v>
      </c>
      <c r="AI439" s="891">
        <f t="shared" si="600"/>
        <v>0</v>
      </c>
      <c r="AJ439" s="891">
        <f t="shared" si="600"/>
        <v>0</v>
      </c>
      <c r="AK439" s="891">
        <f t="shared" si="600"/>
        <v>0</v>
      </c>
      <c r="AL439" s="891">
        <f t="shared" si="600"/>
        <v>0</v>
      </c>
      <c r="AM439" s="891">
        <f t="shared" si="600"/>
        <v>0</v>
      </c>
      <c r="AN439" s="891">
        <f t="shared" si="600"/>
        <v>0</v>
      </c>
      <c r="AO439" s="891">
        <f t="shared" si="600"/>
        <v>0</v>
      </c>
      <c r="AP439" s="891">
        <f t="shared" si="600"/>
        <v>0</v>
      </c>
      <c r="AR439" s="891">
        <f t="shared" si="600"/>
        <v>0</v>
      </c>
      <c r="AS439" s="891">
        <f t="shared" si="600"/>
        <v>0</v>
      </c>
      <c r="AT439" s="891">
        <f t="shared" si="600"/>
        <v>0</v>
      </c>
      <c r="AU439" s="891">
        <f t="shared" si="600"/>
        <v>0</v>
      </c>
      <c r="AV439" s="891">
        <f t="shared" si="600"/>
        <v>0</v>
      </c>
      <c r="AW439" s="891">
        <f t="shared" si="600"/>
        <v>0</v>
      </c>
      <c r="AX439" s="891">
        <f t="shared" si="599"/>
        <v>0</v>
      </c>
      <c r="AY439" s="891">
        <f t="shared" si="599"/>
        <v>0</v>
      </c>
      <c r="AZ439" s="891">
        <f t="shared" si="599"/>
        <v>-38</v>
      </c>
      <c r="BA439" s="891">
        <f t="shared" si="599"/>
        <v>0</v>
      </c>
      <c r="BB439" s="891">
        <f t="shared" si="599"/>
        <v>0</v>
      </c>
      <c r="BC439" s="891">
        <f t="shared" si="599"/>
        <v>0</v>
      </c>
      <c r="BD439" s="891">
        <f t="shared" si="599"/>
        <v>0</v>
      </c>
      <c r="BE439" s="891">
        <f t="shared" si="599"/>
        <v>0</v>
      </c>
      <c r="BF439" s="891">
        <f t="shared" si="599"/>
        <v>0</v>
      </c>
      <c r="BG439" s="891">
        <f t="shared" si="599"/>
        <v>0</v>
      </c>
      <c r="BH439" s="891">
        <f t="shared" si="599"/>
        <v>0</v>
      </c>
      <c r="BI439" s="891">
        <f t="shared" si="599"/>
        <v>0</v>
      </c>
      <c r="BJ439" s="891">
        <f t="shared" si="599"/>
        <v>865</v>
      </c>
      <c r="BK439" s="891">
        <f t="shared" si="599"/>
        <v>0</v>
      </c>
      <c r="BL439" s="891">
        <f t="shared" si="599"/>
        <v>0</v>
      </c>
      <c r="BM439" s="891">
        <f t="shared" si="599"/>
        <v>0</v>
      </c>
      <c r="BN439" s="891">
        <f t="shared" si="599"/>
        <v>0</v>
      </c>
      <c r="BO439" s="891">
        <f t="shared" si="599"/>
        <v>0</v>
      </c>
      <c r="BP439" s="891">
        <f t="shared" si="599"/>
        <v>0</v>
      </c>
      <c r="BQ439" s="891">
        <f t="shared" si="599"/>
        <v>0</v>
      </c>
      <c r="BR439" s="891">
        <f t="shared" si="599"/>
        <v>0</v>
      </c>
      <c r="BS439" s="891">
        <f t="shared" ref="BS439:CC439" si="601">+BS27-BS353</f>
        <v>0</v>
      </c>
      <c r="BT439" s="891">
        <f t="shared" si="601"/>
        <v>0</v>
      </c>
      <c r="BU439" s="891">
        <f t="shared" si="601"/>
        <v>0</v>
      </c>
      <c r="BV439" s="891">
        <f t="shared" si="601"/>
        <v>0</v>
      </c>
      <c r="BW439" s="891">
        <f t="shared" si="601"/>
        <v>0</v>
      </c>
      <c r="BX439" s="891">
        <f t="shared" si="601"/>
        <v>0</v>
      </c>
      <c r="BY439" s="891">
        <f t="shared" si="601"/>
        <v>0</v>
      </c>
      <c r="BZ439" s="891">
        <f t="shared" si="601"/>
        <v>0</v>
      </c>
      <c r="CA439" s="891">
        <f t="shared" si="601"/>
        <v>0</v>
      </c>
      <c r="CB439" s="891">
        <f t="shared" si="601"/>
        <v>0</v>
      </c>
      <c r="CC439" s="891">
        <f t="shared" si="601"/>
        <v>0</v>
      </c>
      <c r="CD439" s="891">
        <f t="shared" ref="CD439:CI439" si="602">+CD27-CD353</f>
        <v>0</v>
      </c>
      <c r="CE439" s="891">
        <f t="shared" si="602"/>
        <v>0</v>
      </c>
      <c r="CF439" s="891">
        <f t="shared" si="602"/>
        <v>0</v>
      </c>
      <c r="CG439" s="891">
        <f t="shared" si="602"/>
        <v>0</v>
      </c>
      <c r="CH439" s="891">
        <f t="shared" si="602"/>
        <v>0</v>
      </c>
      <c r="CI439" s="891">
        <f t="shared" si="602"/>
        <v>0</v>
      </c>
    </row>
    <row r="440" spans="1:87" s="891" customFormat="1" x14ac:dyDescent="0.2">
      <c r="A440" s="890" t="s">
        <v>960</v>
      </c>
      <c r="B440" s="891">
        <f t="shared" si="577"/>
        <v>0</v>
      </c>
      <c r="C440" s="891">
        <f t="shared" ref="C440:BR440" si="603">+C28-C354</f>
        <v>0</v>
      </c>
      <c r="D440" s="891">
        <f t="shared" si="603"/>
        <v>0</v>
      </c>
      <c r="E440" s="891">
        <f t="shared" si="603"/>
        <v>0</v>
      </c>
      <c r="F440" s="891">
        <f t="shared" si="603"/>
        <v>0</v>
      </c>
      <c r="G440" s="891">
        <f t="shared" si="603"/>
        <v>0</v>
      </c>
      <c r="H440" s="891">
        <f t="shared" si="603"/>
        <v>0</v>
      </c>
      <c r="I440" s="891">
        <f t="shared" si="603"/>
        <v>0</v>
      </c>
      <c r="J440" s="891">
        <f t="shared" si="603"/>
        <v>0</v>
      </c>
      <c r="K440" s="891">
        <f t="shared" si="603"/>
        <v>0</v>
      </c>
      <c r="L440" s="891">
        <f t="shared" si="603"/>
        <v>0</v>
      </c>
      <c r="M440" s="891">
        <f t="shared" si="603"/>
        <v>0</v>
      </c>
      <c r="N440" s="891">
        <f t="shared" si="603"/>
        <v>0</v>
      </c>
      <c r="O440" s="891">
        <f t="shared" si="603"/>
        <v>0</v>
      </c>
      <c r="P440" s="891">
        <f t="shared" si="603"/>
        <v>0</v>
      </c>
      <c r="Q440" s="891">
        <f t="shared" si="603"/>
        <v>0</v>
      </c>
      <c r="R440" s="891">
        <f t="shared" si="603"/>
        <v>0</v>
      </c>
      <c r="S440" s="891">
        <f t="shared" si="603"/>
        <v>0</v>
      </c>
      <c r="T440" s="891">
        <f t="shared" si="603"/>
        <v>0</v>
      </c>
      <c r="U440" s="891">
        <f t="shared" si="603"/>
        <v>0</v>
      </c>
      <c r="V440" s="891">
        <f t="shared" si="603"/>
        <v>0</v>
      </c>
      <c r="W440" s="891">
        <f t="shared" si="603"/>
        <v>0</v>
      </c>
      <c r="X440" s="891">
        <f t="shared" si="603"/>
        <v>0</v>
      </c>
      <c r="Y440" s="891">
        <f t="shared" si="603"/>
        <v>0</v>
      </c>
      <c r="Z440" s="891">
        <f t="shared" si="603"/>
        <v>0</v>
      </c>
      <c r="AA440" s="891">
        <f t="shared" si="603"/>
        <v>0</v>
      </c>
      <c r="AB440" s="891">
        <f t="shared" ref="AB440:AW440" si="604">+AB28-AB354</f>
        <v>0</v>
      </c>
      <c r="AC440" s="891">
        <f t="shared" si="604"/>
        <v>0</v>
      </c>
      <c r="AD440" s="891">
        <f t="shared" si="604"/>
        <v>0</v>
      </c>
      <c r="AE440" s="891">
        <f t="shared" si="604"/>
        <v>0</v>
      </c>
      <c r="AF440" s="891">
        <f t="shared" si="604"/>
        <v>0</v>
      </c>
      <c r="AG440" s="891">
        <f t="shared" si="604"/>
        <v>0</v>
      </c>
      <c r="AH440" s="891">
        <f t="shared" si="604"/>
        <v>0</v>
      </c>
      <c r="AI440" s="891">
        <f t="shared" si="604"/>
        <v>0</v>
      </c>
      <c r="AJ440" s="891">
        <f t="shared" si="604"/>
        <v>0</v>
      </c>
      <c r="AK440" s="891">
        <f t="shared" si="604"/>
        <v>0</v>
      </c>
      <c r="AL440" s="891">
        <f t="shared" si="604"/>
        <v>0</v>
      </c>
      <c r="AM440" s="891">
        <f t="shared" si="604"/>
        <v>0</v>
      </c>
      <c r="AN440" s="891">
        <f t="shared" si="604"/>
        <v>0</v>
      </c>
      <c r="AO440" s="891">
        <f t="shared" si="604"/>
        <v>0</v>
      </c>
      <c r="AP440" s="891">
        <f t="shared" si="604"/>
        <v>0</v>
      </c>
      <c r="AR440" s="891">
        <f t="shared" si="604"/>
        <v>0</v>
      </c>
      <c r="AS440" s="891">
        <f t="shared" si="604"/>
        <v>0</v>
      </c>
      <c r="AT440" s="891">
        <f t="shared" si="604"/>
        <v>0</v>
      </c>
      <c r="AU440" s="891">
        <f t="shared" si="604"/>
        <v>0</v>
      </c>
      <c r="AV440" s="891">
        <f t="shared" si="604"/>
        <v>0</v>
      </c>
      <c r="AW440" s="891">
        <f t="shared" si="604"/>
        <v>0</v>
      </c>
      <c r="AX440" s="891">
        <f t="shared" si="603"/>
        <v>0</v>
      </c>
      <c r="AY440" s="891">
        <f t="shared" si="603"/>
        <v>0</v>
      </c>
      <c r="AZ440" s="891">
        <f t="shared" si="603"/>
        <v>0</v>
      </c>
      <c r="BA440" s="891">
        <f t="shared" si="603"/>
        <v>0</v>
      </c>
      <c r="BB440" s="891">
        <f t="shared" si="603"/>
        <v>0</v>
      </c>
      <c r="BC440" s="891">
        <f t="shared" si="603"/>
        <v>0</v>
      </c>
      <c r="BD440" s="891">
        <f t="shared" si="603"/>
        <v>0</v>
      </c>
      <c r="BE440" s="891">
        <f t="shared" si="603"/>
        <v>0</v>
      </c>
      <c r="BF440" s="891">
        <f t="shared" si="603"/>
        <v>0</v>
      </c>
      <c r="BG440" s="891">
        <f t="shared" si="603"/>
        <v>0</v>
      </c>
      <c r="BH440" s="891">
        <f t="shared" si="603"/>
        <v>0</v>
      </c>
      <c r="BI440" s="891">
        <f t="shared" si="603"/>
        <v>0</v>
      </c>
      <c r="BJ440" s="891">
        <f t="shared" si="603"/>
        <v>0</v>
      </c>
      <c r="BK440" s="891">
        <f t="shared" si="603"/>
        <v>0</v>
      </c>
      <c r="BL440" s="891">
        <f t="shared" si="603"/>
        <v>0</v>
      </c>
      <c r="BM440" s="891">
        <f t="shared" si="603"/>
        <v>0</v>
      </c>
      <c r="BN440" s="891">
        <f t="shared" si="603"/>
        <v>0</v>
      </c>
      <c r="BO440" s="891">
        <f t="shared" si="603"/>
        <v>0</v>
      </c>
      <c r="BP440" s="891">
        <f t="shared" si="603"/>
        <v>0</v>
      </c>
      <c r="BQ440" s="891">
        <f t="shared" si="603"/>
        <v>0</v>
      </c>
      <c r="BR440" s="891">
        <f t="shared" si="603"/>
        <v>0</v>
      </c>
      <c r="BS440" s="891">
        <f t="shared" ref="BS440:CC440" si="605">+BS28-BS354</f>
        <v>0</v>
      </c>
      <c r="BT440" s="891">
        <f t="shared" si="605"/>
        <v>0</v>
      </c>
      <c r="BU440" s="891">
        <f t="shared" si="605"/>
        <v>0</v>
      </c>
      <c r="BV440" s="891">
        <f t="shared" si="605"/>
        <v>0</v>
      </c>
      <c r="BW440" s="891">
        <f t="shared" si="605"/>
        <v>0</v>
      </c>
      <c r="BX440" s="891">
        <f t="shared" si="605"/>
        <v>0</v>
      </c>
      <c r="BY440" s="891">
        <f t="shared" si="605"/>
        <v>0</v>
      </c>
      <c r="BZ440" s="891">
        <f t="shared" si="605"/>
        <v>0</v>
      </c>
      <c r="CA440" s="891">
        <f t="shared" si="605"/>
        <v>0</v>
      </c>
      <c r="CB440" s="891">
        <f t="shared" si="605"/>
        <v>0</v>
      </c>
      <c r="CC440" s="891">
        <f t="shared" si="605"/>
        <v>0</v>
      </c>
      <c r="CD440" s="891">
        <f t="shared" ref="CD440:CI440" si="606">+CD28-CD354</f>
        <v>0</v>
      </c>
      <c r="CE440" s="891">
        <f t="shared" si="606"/>
        <v>0</v>
      </c>
      <c r="CF440" s="891">
        <f t="shared" si="606"/>
        <v>0</v>
      </c>
      <c r="CG440" s="891">
        <f t="shared" si="606"/>
        <v>0</v>
      </c>
      <c r="CH440" s="891">
        <f t="shared" si="606"/>
        <v>0</v>
      </c>
      <c r="CI440" s="891">
        <f t="shared" si="606"/>
        <v>0</v>
      </c>
    </row>
    <row r="441" spans="1:87" s="891" customFormat="1" x14ac:dyDescent="0.2">
      <c r="A441" s="890" t="s">
        <v>963</v>
      </c>
      <c r="B441" s="891">
        <f t="shared" si="577"/>
        <v>304</v>
      </c>
      <c r="C441" s="891">
        <f t="shared" ref="C441:BR441" si="607">+C29-C355</f>
        <v>250</v>
      </c>
      <c r="D441" s="891">
        <f t="shared" si="607"/>
        <v>0</v>
      </c>
      <c r="E441" s="891">
        <f t="shared" si="607"/>
        <v>0</v>
      </c>
      <c r="F441" s="891">
        <f t="shared" si="607"/>
        <v>0</v>
      </c>
      <c r="G441" s="891">
        <f t="shared" si="607"/>
        <v>0</v>
      </c>
      <c r="H441" s="891">
        <f t="shared" si="607"/>
        <v>0</v>
      </c>
      <c r="I441" s="891">
        <f t="shared" si="607"/>
        <v>0</v>
      </c>
      <c r="J441" s="891">
        <f t="shared" si="607"/>
        <v>0</v>
      </c>
      <c r="K441" s="891">
        <f t="shared" si="607"/>
        <v>0</v>
      </c>
      <c r="L441" s="891">
        <f t="shared" si="607"/>
        <v>0</v>
      </c>
      <c r="M441" s="891">
        <f t="shared" si="607"/>
        <v>0</v>
      </c>
      <c r="N441" s="891">
        <f t="shared" si="607"/>
        <v>0</v>
      </c>
      <c r="O441" s="891">
        <f t="shared" si="607"/>
        <v>54</v>
      </c>
      <c r="P441" s="891">
        <f t="shared" si="607"/>
        <v>0</v>
      </c>
      <c r="Q441" s="891">
        <f t="shared" si="607"/>
        <v>0</v>
      </c>
      <c r="R441" s="891">
        <f t="shared" si="607"/>
        <v>0</v>
      </c>
      <c r="S441" s="891">
        <f t="shared" si="607"/>
        <v>0</v>
      </c>
      <c r="T441" s="891">
        <f t="shared" si="607"/>
        <v>0</v>
      </c>
      <c r="U441" s="891">
        <f t="shared" si="607"/>
        <v>0</v>
      </c>
      <c r="V441" s="891">
        <f t="shared" si="607"/>
        <v>0</v>
      </c>
      <c r="W441" s="891">
        <f t="shared" si="607"/>
        <v>0</v>
      </c>
      <c r="X441" s="891">
        <f t="shared" si="607"/>
        <v>0</v>
      </c>
      <c r="Y441" s="891">
        <f t="shared" si="607"/>
        <v>0</v>
      </c>
      <c r="Z441" s="891">
        <f t="shared" si="607"/>
        <v>0</v>
      </c>
      <c r="AA441" s="891">
        <f t="shared" si="607"/>
        <v>0</v>
      </c>
      <c r="AB441" s="891">
        <f t="shared" ref="AB441:AW441" si="608">+AB29-AB355</f>
        <v>0</v>
      </c>
      <c r="AC441" s="891">
        <f t="shared" si="608"/>
        <v>0</v>
      </c>
      <c r="AD441" s="891">
        <f t="shared" si="608"/>
        <v>0</v>
      </c>
      <c r="AE441" s="891">
        <f t="shared" si="608"/>
        <v>0</v>
      </c>
      <c r="AF441" s="891">
        <f t="shared" si="608"/>
        <v>0</v>
      </c>
      <c r="AG441" s="891">
        <f t="shared" si="608"/>
        <v>0</v>
      </c>
      <c r="AH441" s="891">
        <f t="shared" si="608"/>
        <v>0</v>
      </c>
      <c r="AI441" s="891">
        <f t="shared" si="608"/>
        <v>0</v>
      </c>
      <c r="AJ441" s="891">
        <f t="shared" si="608"/>
        <v>0</v>
      </c>
      <c r="AK441" s="891">
        <f t="shared" si="608"/>
        <v>0</v>
      </c>
      <c r="AL441" s="891">
        <f t="shared" si="608"/>
        <v>0</v>
      </c>
      <c r="AM441" s="891">
        <f t="shared" si="608"/>
        <v>0</v>
      </c>
      <c r="AN441" s="891">
        <f t="shared" si="608"/>
        <v>0</v>
      </c>
      <c r="AO441" s="891">
        <f t="shared" si="608"/>
        <v>0</v>
      </c>
      <c r="AP441" s="891">
        <f t="shared" si="608"/>
        <v>0</v>
      </c>
      <c r="AR441" s="891">
        <f t="shared" si="608"/>
        <v>0</v>
      </c>
      <c r="AS441" s="891">
        <f t="shared" si="608"/>
        <v>0</v>
      </c>
      <c r="AT441" s="891">
        <f t="shared" si="608"/>
        <v>0</v>
      </c>
      <c r="AU441" s="891">
        <f t="shared" si="608"/>
        <v>0</v>
      </c>
      <c r="AV441" s="891">
        <f t="shared" si="608"/>
        <v>0</v>
      </c>
      <c r="AW441" s="891">
        <f t="shared" si="608"/>
        <v>0</v>
      </c>
      <c r="AX441" s="891">
        <f t="shared" si="607"/>
        <v>0</v>
      </c>
      <c r="AY441" s="891">
        <f t="shared" si="607"/>
        <v>0</v>
      </c>
      <c r="AZ441" s="891">
        <f t="shared" si="607"/>
        <v>0</v>
      </c>
      <c r="BA441" s="891">
        <f t="shared" si="607"/>
        <v>0</v>
      </c>
      <c r="BB441" s="891">
        <f t="shared" si="607"/>
        <v>0</v>
      </c>
      <c r="BC441" s="891">
        <f t="shared" si="607"/>
        <v>0</v>
      </c>
      <c r="BD441" s="891">
        <f t="shared" si="607"/>
        <v>0</v>
      </c>
      <c r="BE441" s="891">
        <f t="shared" si="607"/>
        <v>0</v>
      </c>
      <c r="BF441" s="891">
        <f t="shared" si="607"/>
        <v>0</v>
      </c>
      <c r="BG441" s="891">
        <f t="shared" si="607"/>
        <v>0</v>
      </c>
      <c r="BH441" s="891">
        <f t="shared" si="607"/>
        <v>0</v>
      </c>
      <c r="BI441" s="891">
        <f t="shared" si="607"/>
        <v>0</v>
      </c>
      <c r="BJ441" s="891">
        <f t="shared" si="607"/>
        <v>0</v>
      </c>
      <c r="BK441" s="891">
        <f t="shared" si="607"/>
        <v>0</v>
      </c>
      <c r="BL441" s="891">
        <f t="shared" si="607"/>
        <v>0</v>
      </c>
      <c r="BM441" s="891">
        <f t="shared" si="607"/>
        <v>0</v>
      </c>
      <c r="BN441" s="891">
        <f t="shared" si="607"/>
        <v>0</v>
      </c>
      <c r="BO441" s="891">
        <f t="shared" si="607"/>
        <v>0</v>
      </c>
      <c r="BP441" s="891">
        <f t="shared" si="607"/>
        <v>0</v>
      </c>
      <c r="BQ441" s="891">
        <f t="shared" si="607"/>
        <v>0</v>
      </c>
      <c r="BR441" s="891">
        <f t="shared" si="607"/>
        <v>0</v>
      </c>
      <c r="BS441" s="891">
        <f t="shared" ref="BS441:CC441" si="609">+BS29-BS355</f>
        <v>0</v>
      </c>
      <c r="BT441" s="891">
        <f t="shared" si="609"/>
        <v>0</v>
      </c>
      <c r="BU441" s="891">
        <f t="shared" si="609"/>
        <v>0</v>
      </c>
      <c r="BV441" s="891">
        <f t="shared" si="609"/>
        <v>0</v>
      </c>
      <c r="BW441" s="891">
        <f t="shared" si="609"/>
        <v>0</v>
      </c>
      <c r="BX441" s="891">
        <f t="shared" si="609"/>
        <v>0</v>
      </c>
      <c r="BY441" s="891">
        <f t="shared" si="609"/>
        <v>0</v>
      </c>
      <c r="BZ441" s="891">
        <f t="shared" si="609"/>
        <v>0</v>
      </c>
      <c r="CA441" s="891">
        <f t="shared" si="609"/>
        <v>0</v>
      </c>
      <c r="CB441" s="891">
        <f t="shared" si="609"/>
        <v>0</v>
      </c>
      <c r="CC441" s="891">
        <f t="shared" si="609"/>
        <v>0</v>
      </c>
      <c r="CD441" s="891">
        <f t="shared" ref="CD441:CI441" si="610">+CD29-CD355</f>
        <v>0</v>
      </c>
      <c r="CE441" s="891">
        <f t="shared" si="610"/>
        <v>0</v>
      </c>
      <c r="CF441" s="891">
        <f t="shared" si="610"/>
        <v>0</v>
      </c>
      <c r="CG441" s="891">
        <f t="shared" si="610"/>
        <v>0</v>
      </c>
      <c r="CH441" s="891">
        <f t="shared" si="610"/>
        <v>0</v>
      </c>
      <c r="CI441" s="891">
        <f t="shared" si="610"/>
        <v>0</v>
      </c>
    </row>
    <row r="442" spans="1:87" s="891" customFormat="1" x14ac:dyDescent="0.2">
      <c r="A442" s="890" t="s">
        <v>959</v>
      </c>
      <c r="B442" s="891">
        <f t="shared" si="577"/>
        <v>0</v>
      </c>
      <c r="C442" s="891">
        <f t="shared" ref="C442:BR442" si="611">+C30-C356</f>
        <v>0</v>
      </c>
      <c r="D442" s="891">
        <f t="shared" si="611"/>
        <v>0</v>
      </c>
      <c r="E442" s="891">
        <f t="shared" si="611"/>
        <v>0</v>
      </c>
      <c r="F442" s="891">
        <f t="shared" si="611"/>
        <v>0</v>
      </c>
      <c r="G442" s="891">
        <f t="shared" si="611"/>
        <v>0</v>
      </c>
      <c r="H442" s="891">
        <f t="shared" si="611"/>
        <v>0</v>
      </c>
      <c r="I442" s="891">
        <f t="shared" si="611"/>
        <v>0</v>
      </c>
      <c r="J442" s="891">
        <f t="shared" si="611"/>
        <v>0</v>
      </c>
      <c r="K442" s="891">
        <f t="shared" si="611"/>
        <v>0</v>
      </c>
      <c r="L442" s="891">
        <f t="shared" si="611"/>
        <v>0</v>
      </c>
      <c r="M442" s="891">
        <f t="shared" si="611"/>
        <v>0</v>
      </c>
      <c r="N442" s="891">
        <f t="shared" si="611"/>
        <v>0</v>
      </c>
      <c r="O442" s="891">
        <f t="shared" si="611"/>
        <v>0</v>
      </c>
      <c r="P442" s="891">
        <f t="shared" si="611"/>
        <v>0</v>
      </c>
      <c r="Q442" s="891">
        <f t="shared" si="611"/>
        <v>0</v>
      </c>
      <c r="R442" s="891">
        <f t="shared" si="611"/>
        <v>0</v>
      </c>
      <c r="S442" s="891">
        <f t="shared" si="611"/>
        <v>0</v>
      </c>
      <c r="T442" s="891">
        <f t="shared" si="611"/>
        <v>0</v>
      </c>
      <c r="U442" s="891">
        <f t="shared" si="611"/>
        <v>0</v>
      </c>
      <c r="V442" s="891">
        <f t="shared" si="611"/>
        <v>0</v>
      </c>
      <c r="W442" s="891">
        <f t="shared" si="611"/>
        <v>0</v>
      </c>
      <c r="X442" s="891">
        <f t="shared" si="611"/>
        <v>0</v>
      </c>
      <c r="Y442" s="891">
        <f t="shared" si="611"/>
        <v>0</v>
      </c>
      <c r="Z442" s="891">
        <f t="shared" si="611"/>
        <v>0</v>
      </c>
      <c r="AA442" s="891">
        <f t="shared" si="611"/>
        <v>0</v>
      </c>
      <c r="AB442" s="891">
        <f t="shared" ref="AB442:AW442" si="612">+AB30-AB356</f>
        <v>0</v>
      </c>
      <c r="AC442" s="891">
        <f t="shared" si="612"/>
        <v>0</v>
      </c>
      <c r="AD442" s="891">
        <f t="shared" si="612"/>
        <v>0</v>
      </c>
      <c r="AE442" s="891">
        <f t="shared" si="612"/>
        <v>0</v>
      </c>
      <c r="AF442" s="891">
        <f t="shared" si="612"/>
        <v>0</v>
      </c>
      <c r="AG442" s="891">
        <f t="shared" si="612"/>
        <v>0</v>
      </c>
      <c r="AH442" s="891">
        <f t="shared" si="612"/>
        <v>0</v>
      </c>
      <c r="AI442" s="891">
        <f t="shared" si="612"/>
        <v>0</v>
      </c>
      <c r="AJ442" s="891">
        <f t="shared" si="612"/>
        <v>0</v>
      </c>
      <c r="AK442" s="891">
        <f t="shared" si="612"/>
        <v>0</v>
      </c>
      <c r="AL442" s="891">
        <f t="shared" si="612"/>
        <v>0</v>
      </c>
      <c r="AM442" s="891">
        <f t="shared" si="612"/>
        <v>0</v>
      </c>
      <c r="AN442" s="891">
        <f t="shared" si="612"/>
        <v>0</v>
      </c>
      <c r="AO442" s="891">
        <f t="shared" si="612"/>
        <v>0</v>
      </c>
      <c r="AP442" s="891">
        <f t="shared" si="612"/>
        <v>0</v>
      </c>
      <c r="AR442" s="891">
        <f t="shared" si="612"/>
        <v>0</v>
      </c>
      <c r="AS442" s="891">
        <f t="shared" si="612"/>
        <v>0</v>
      </c>
      <c r="AT442" s="891">
        <f t="shared" si="612"/>
        <v>0</v>
      </c>
      <c r="AU442" s="891">
        <f t="shared" si="612"/>
        <v>0</v>
      </c>
      <c r="AV442" s="891">
        <f t="shared" si="612"/>
        <v>0</v>
      </c>
      <c r="AW442" s="891">
        <f t="shared" si="612"/>
        <v>0</v>
      </c>
      <c r="AX442" s="891">
        <f t="shared" si="611"/>
        <v>0</v>
      </c>
      <c r="AY442" s="891">
        <f t="shared" si="611"/>
        <v>0</v>
      </c>
      <c r="AZ442" s="891">
        <f t="shared" si="611"/>
        <v>0</v>
      </c>
      <c r="BA442" s="891">
        <f t="shared" si="611"/>
        <v>0</v>
      </c>
      <c r="BB442" s="891">
        <f t="shared" si="611"/>
        <v>0</v>
      </c>
      <c r="BC442" s="891">
        <f t="shared" si="611"/>
        <v>0</v>
      </c>
      <c r="BD442" s="891">
        <f t="shared" si="611"/>
        <v>0</v>
      </c>
      <c r="BE442" s="891">
        <f t="shared" si="611"/>
        <v>0</v>
      </c>
      <c r="BF442" s="891">
        <f t="shared" si="611"/>
        <v>0</v>
      </c>
      <c r="BG442" s="891">
        <f t="shared" si="611"/>
        <v>0</v>
      </c>
      <c r="BH442" s="891">
        <f t="shared" si="611"/>
        <v>0</v>
      </c>
      <c r="BI442" s="891">
        <f t="shared" si="611"/>
        <v>0</v>
      </c>
      <c r="BJ442" s="891">
        <f t="shared" si="611"/>
        <v>0</v>
      </c>
      <c r="BK442" s="891">
        <f t="shared" si="611"/>
        <v>0</v>
      </c>
      <c r="BL442" s="891">
        <f t="shared" si="611"/>
        <v>0</v>
      </c>
      <c r="BM442" s="891">
        <f t="shared" si="611"/>
        <v>0</v>
      </c>
      <c r="BN442" s="891">
        <f t="shared" si="611"/>
        <v>0</v>
      </c>
      <c r="BO442" s="891">
        <f t="shared" si="611"/>
        <v>0</v>
      </c>
      <c r="BP442" s="891">
        <f t="shared" si="611"/>
        <v>0</v>
      </c>
      <c r="BQ442" s="891">
        <f t="shared" si="611"/>
        <v>0</v>
      </c>
      <c r="BR442" s="891">
        <f t="shared" si="611"/>
        <v>0</v>
      </c>
      <c r="BS442" s="891">
        <f t="shared" ref="BS442:CC442" si="613">+BS30-BS356</f>
        <v>0</v>
      </c>
      <c r="BT442" s="891">
        <f t="shared" si="613"/>
        <v>0</v>
      </c>
      <c r="BU442" s="891">
        <f t="shared" si="613"/>
        <v>0</v>
      </c>
      <c r="BV442" s="891">
        <f t="shared" si="613"/>
        <v>0</v>
      </c>
      <c r="BW442" s="891">
        <f t="shared" si="613"/>
        <v>0</v>
      </c>
      <c r="BX442" s="891">
        <f t="shared" si="613"/>
        <v>0</v>
      </c>
      <c r="BY442" s="891">
        <f t="shared" si="613"/>
        <v>0</v>
      </c>
      <c r="BZ442" s="891">
        <f t="shared" si="613"/>
        <v>0</v>
      </c>
      <c r="CA442" s="891">
        <f t="shared" si="613"/>
        <v>0</v>
      </c>
      <c r="CB442" s="891">
        <f t="shared" si="613"/>
        <v>0</v>
      </c>
      <c r="CC442" s="891">
        <f t="shared" si="613"/>
        <v>0</v>
      </c>
      <c r="CD442" s="891">
        <f t="shared" ref="CD442:CI442" si="614">+CD30-CD356</f>
        <v>0</v>
      </c>
      <c r="CE442" s="891">
        <f t="shared" si="614"/>
        <v>0</v>
      </c>
      <c r="CF442" s="891">
        <f t="shared" si="614"/>
        <v>0</v>
      </c>
      <c r="CG442" s="891">
        <f t="shared" si="614"/>
        <v>0</v>
      </c>
      <c r="CH442" s="891">
        <f t="shared" si="614"/>
        <v>0</v>
      </c>
      <c r="CI442" s="891">
        <f t="shared" si="614"/>
        <v>0</v>
      </c>
    </row>
    <row r="443" spans="1:87" s="891" customFormat="1" x14ac:dyDescent="0.2">
      <c r="A443" s="890" t="s">
        <v>1191</v>
      </c>
      <c r="B443" s="891">
        <f t="shared" si="577"/>
        <v>-1862</v>
      </c>
      <c r="C443" s="891">
        <f t="shared" ref="C443:BR443" si="615">+C31-C357</f>
        <v>0</v>
      </c>
      <c r="D443" s="891">
        <f t="shared" si="615"/>
        <v>0</v>
      </c>
      <c r="E443" s="891">
        <f t="shared" si="615"/>
        <v>0</v>
      </c>
      <c r="F443" s="891">
        <f t="shared" si="615"/>
        <v>0</v>
      </c>
      <c r="G443" s="891">
        <f t="shared" si="615"/>
        <v>0</v>
      </c>
      <c r="H443" s="891">
        <f t="shared" si="615"/>
        <v>0</v>
      </c>
      <c r="I443" s="891">
        <f t="shared" si="615"/>
        <v>0</v>
      </c>
      <c r="J443" s="891">
        <f t="shared" si="615"/>
        <v>0</v>
      </c>
      <c r="K443" s="891">
        <f t="shared" si="615"/>
        <v>0</v>
      </c>
      <c r="L443" s="891">
        <f t="shared" si="615"/>
        <v>0</v>
      </c>
      <c r="M443" s="891">
        <f t="shared" si="615"/>
        <v>0</v>
      </c>
      <c r="N443" s="891">
        <f t="shared" si="615"/>
        <v>0</v>
      </c>
      <c r="O443" s="891">
        <f t="shared" si="615"/>
        <v>0</v>
      </c>
      <c r="P443" s="891">
        <f t="shared" si="615"/>
        <v>0</v>
      </c>
      <c r="Q443" s="891">
        <f t="shared" si="615"/>
        <v>0</v>
      </c>
      <c r="R443" s="891">
        <f t="shared" si="615"/>
        <v>0</v>
      </c>
      <c r="S443" s="891">
        <f t="shared" si="615"/>
        <v>0</v>
      </c>
      <c r="T443" s="891">
        <f t="shared" si="615"/>
        <v>0</v>
      </c>
      <c r="U443" s="891">
        <f t="shared" si="615"/>
        <v>0</v>
      </c>
      <c r="V443" s="891">
        <f t="shared" si="615"/>
        <v>0</v>
      </c>
      <c r="W443" s="891">
        <f t="shared" si="615"/>
        <v>0</v>
      </c>
      <c r="X443" s="891">
        <f t="shared" si="615"/>
        <v>0</v>
      </c>
      <c r="Y443" s="891">
        <f t="shared" si="615"/>
        <v>0</v>
      </c>
      <c r="Z443" s="891">
        <f t="shared" si="615"/>
        <v>0</v>
      </c>
      <c r="AA443" s="891">
        <f t="shared" si="615"/>
        <v>0</v>
      </c>
      <c r="AB443" s="891">
        <f t="shared" ref="AB443:AW443" si="616">+AB31-AB357</f>
        <v>0</v>
      </c>
      <c r="AC443" s="891">
        <f t="shared" si="616"/>
        <v>0</v>
      </c>
      <c r="AD443" s="891">
        <f t="shared" si="616"/>
        <v>0</v>
      </c>
      <c r="AE443" s="891">
        <f t="shared" si="616"/>
        <v>0</v>
      </c>
      <c r="AF443" s="891">
        <f t="shared" si="616"/>
        <v>0</v>
      </c>
      <c r="AG443" s="891">
        <f t="shared" si="616"/>
        <v>0</v>
      </c>
      <c r="AH443" s="891">
        <f t="shared" si="616"/>
        <v>0</v>
      </c>
      <c r="AI443" s="891">
        <f t="shared" si="616"/>
        <v>0</v>
      </c>
      <c r="AJ443" s="891">
        <f t="shared" si="616"/>
        <v>0</v>
      </c>
      <c r="AK443" s="891">
        <f t="shared" si="616"/>
        <v>0</v>
      </c>
      <c r="AL443" s="891">
        <f t="shared" si="616"/>
        <v>0</v>
      </c>
      <c r="AM443" s="891">
        <f t="shared" si="616"/>
        <v>0</v>
      </c>
      <c r="AN443" s="891">
        <f t="shared" si="616"/>
        <v>0</v>
      </c>
      <c r="AO443" s="891">
        <f t="shared" si="616"/>
        <v>0</v>
      </c>
      <c r="AP443" s="891">
        <f t="shared" si="616"/>
        <v>0</v>
      </c>
      <c r="AR443" s="891">
        <f t="shared" si="616"/>
        <v>0</v>
      </c>
      <c r="AS443" s="891">
        <f t="shared" si="616"/>
        <v>0</v>
      </c>
      <c r="AT443" s="891">
        <f t="shared" si="616"/>
        <v>0</v>
      </c>
      <c r="AU443" s="891">
        <f t="shared" si="616"/>
        <v>0</v>
      </c>
      <c r="AV443" s="891">
        <f t="shared" si="616"/>
        <v>0</v>
      </c>
      <c r="AW443" s="891">
        <f t="shared" si="616"/>
        <v>0</v>
      </c>
      <c r="AX443" s="891">
        <f t="shared" si="615"/>
        <v>0</v>
      </c>
      <c r="AY443" s="891">
        <f t="shared" si="615"/>
        <v>0</v>
      </c>
      <c r="AZ443" s="891">
        <f t="shared" si="615"/>
        <v>0</v>
      </c>
      <c r="BA443" s="891">
        <f t="shared" si="615"/>
        <v>0</v>
      </c>
      <c r="BB443" s="891">
        <f t="shared" si="615"/>
        <v>0</v>
      </c>
      <c r="BC443" s="891">
        <f t="shared" si="615"/>
        <v>0</v>
      </c>
      <c r="BD443" s="891">
        <f t="shared" si="615"/>
        <v>0</v>
      </c>
      <c r="BE443" s="891">
        <f t="shared" si="615"/>
        <v>0</v>
      </c>
      <c r="BF443" s="891">
        <f t="shared" si="615"/>
        <v>0</v>
      </c>
      <c r="BG443" s="891">
        <f t="shared" si="615"/>
        <v>0</v>
      </c>
      <c r="BH443" s="891">
        <f t="shared" si="615"/>
        <v>0</v>
      </c>
      <c r="BI443" s="891">
        <f t="shared" si="615"/>
        <v>0</v>
      </c>
      <c r="BJ443" s="891">
        <f t="shared" si="615"/>
        <v>0</v>
      </c>
      <c r="BK443" s="891">
        <f t="shared" si="615"/>
        <v>0</v>
      </c>
      <c r="BL443" s="891">
        <f t="shared" si="615"/>
        <v>0</v>
      </c>
      <c r="BM443" s="891">
        <f t="shared" si="615"/>
        <v>0</v>
      </c>
      <c r="BN443" s="891">
        <f t="shared" si="615"/>
        <v>0</v>
      </c>
      <c r="BO443" s="891">
        <f t="shared" si="615"/>
        <v>0</v>
      </c>
      <c r="BP443" s="891">
        <f t="shared" si="615"/>
        <v>0</v>
      </c>
      <c r="BQ443" s="891">
        <f t="shared" si="615"/>
        <v>-1862</v>
      </c>
      <c r="BR443" s="891">
        <f t="shared" si="615"/>
        <v>0</v>
      </c>
      <c r="BS443" s="891">
        <f t="shared" ref="BS443:CC443" si="617">+BS31-BS357</f>
        <v>0</v>
      </c>
      <c r="BT443" s="891">
        <f t="shared" si="617"/>
        <v>0</v>
      </c>
      <c r="BU443" s="891">
        <f t="shared" si="617"/>
        <v>0</v>
      </c>
      <c r="BV443" s="891">
        <f t="shared" si="617"/>
        <v>0</v>
      </c>
      <c r="BW443" s="891">
        <f t="shared" si="617"/>
        <v>0</v>
      </c>
      <c r="BX443" s="891">
        <f t="shared" si="617"/>
        <v>0</v>
      </c>
      <c r="BY443" s="891">
        <f t="shared" si="617"/>
        <v>0</v>
      </c>
      <c r="BZ443" s="891">
        <f t="shared" si="617"/>
        <v>0</v>
      </c>
      <c r="CA443" s="891">
        <f t="shared" si="617"/>
        <v>0</v>
      </c>
      <c r="CB443" s="891">
        <f t="shared" si="617"/>
        <v>0</v>
      </c>
      <c r="CC443" s="891">
        <f t="shared" si="617"/>
        <v>0</v>
      </c>
      <c r="CD443" s="891">
        <f t="shared" ref="CD443:CI443" si="618">+CD31-CD357</f>
        <v>0</v>
      </c>
      <c r="CE443" s="891">
        <f t="shared" si="618"/>
        <v>0</v>
      </c>
      <c r="CF443" s="891">
        <f t="shared" si="618"/>
        <v>0</v>
      </c>
      <c r="CG443" s="891">
        <f t="shared" si="618"/>
        <v>0</v>
      </c>
      <c r="CH443" s="891">
        <f t="shared" si="618"/>
        <v>0</v>
      </c>
      <c r="CI443" s="891">
        <f t="shared" si="618"/>
        <v>0</v>
      </c>
    </row>
    <row r="444" spans="1:87" s="891" customFormat="1" x14ac:dyDescent="0.2">
      <c r="A444" s="890" t="s">
        <v>1052</v>
      </c>
      <c r="B444" s="891">
        <f t="shared" si="577"/>
        <v>960</v>
      </c>
      <c r="C444" s="891">
        <f t="shared" ref="C444:BR444" si="619">+C32-C358</f>
        <v>0</v>
      </c>
      <c r="D444" s="891">
        <f t="shared" si="619"/>
        <v>0</v>
      </c>
      <c r="E444" s="891">
        <f t="shared" si="619"/>
        <v>0</v>
      </c>
      <c r="F444" s="891">
        <f t="shared" si="619"/>
        <v>0</v>
      </c>
      <c r="G444" s="891">
        <f t="shared" si="619"/>
        <v>0</v>
      </c>
      <c r="H444" s="891">
        <f t="shared" si="619"/>
        <v>0</v>
      </c>
      <c r="I444" s="891">
        <f t="shared" si="619"/>
        <v>0</v>
      </c>
      <c r="J444" s="891">
        <f t="shared" si="619"/>
        <v>0</v>
      </c>
      <c r="K444" s="891">
        <f t="shared" si="619"/>
        <v>0</v>
      </c>
      <c r="L444" s="891">
        <f t="shared" si="619"/>
        <v>0</v>
      </c>
      <c r="M444" s="891">
        <f t="shared" si="619"/>
        <v>0</v>
      </c>
      <c r="N444" s="891">
        <f t="shared" si="619"/>
        <v>0</v>
      </c>
      <c r="O444" s="891">
        <f t="shared" si="619"/>
        <v>0</v>
      </c>
      <c r="P444" s="891">
        <f t="shared" si="619"/>
        <v>0</v>
      </c>
      <c r="Q444" s="891">
        <f t="shared" si="619"/>
        <v>0</v>
      </c>
      <c r="R444" s="891">
        <f t="shared" si="619"/>
        <v>0</v>
      </c>
      <c r="S444" s="891">
        <f t="shared" si="619"/>
        <v>0</v>
      </c>
      <c r="T444" s="891">
        <f t="shared" si="619"/>
        <v>0</v>
      </c>
      <c r="U444" s="891">
        <f t="shared" si="619"/>
        <v>0</v>
      </c>
      <c r="V444" s="891">
        <f t="shared" si="619"/>
        <v>0</v>
      </c>
      <c r="W444" s="891">
        <f t="shared" si="619"/>
        <v>0</v>
      </c>
      <c r="X444" s="891">
        <f t="shared" si="619"/>
        <v>0</v>
      </c>
      <c r="Y444" s="891">
        <f t="shared" si="619"/>
        <v>0</v>
      </c>
      <c r="Z444" s="891">
        <f t="shared" si="619"/>
        <v>0</v>
      </c>
      <c r="AA444" s="891">
        <f t="shared" si="619"/>
        <v>0</v>
      </c>
      <c r="AB444" s="891">
        <f t="shared" ref="AB444:AW444" si="620">+AB32-AB358</f>
        <v>0</v>
      </c>
      <c r="AC444" s="891">
        <f t="shared" si="620"/>
        <v>0</v>
      </c>
      <c r="AD444" s="891">
        <f t="shared" si="620"/>
        <v>0</v>
      </c>
      <c r="AE444" s="891">
        <f t="shared" si="620"/>
        <v>0</v>
      </c>
      <c r="AF444" s="891">
        <f t="shared" si="620"/>
        <v>0</v>
      </c>
      <c r="AG444" s="891">
        <f t="shared" si="620"/>
        <v>0</v>
      </c>
      <c r="AH444" s="891">
        <f t="shared" si="620"/>
        <v>0</v>
      </c>
      <c r="AI444" s="891">
        <f t="shared" si="620"/>
        <v>0</v>
      </c>
      <c r="AJ444" s="891">
        <f t="shared" si="620"/>
        <v>0</v>
      </c>
      <c r="AK444" s="891">
        <f t="shared" si="620"/>
        <v>0</v>
      </c>
      <c r="AL444" s="891">
        <f t="shared" si="620"/>
        <v>0</v>
      </c>
      <c r="AM444" s="891">
        <f t="shared" si="620"/>
        <v>0</v>
      </c>
      <c r="AN444" s="891">
        <f t="shared" si="620"/>
        <v>0</v>
      </c>
      <c r="AO444" s="891">
        <f t="shared" si="620"/>
        <v>0</v>
      </c>
      <c r="AP444" s="891">
        <f t="shared" si="620"/>
        <v>0</v>
      </c>
      <c r="AR444" s="891">
        <f t="shared" si="620"/>
        <v>0</v>
      </c>
      <c r="AS444" s="891">
        <f t="shared" si="620"/>
        <v>0</v>
      </c>
      <c r="AT444" s="891">
        <f t="shared" si="620"/>
        <v>0</v>
      </c>
      <c r="AU444" s="891">
        <f t="shared" si="620"/>
        <v>0</v>
      </c>
      <c r="AV444" s="891">
        <f t="shared" si="620"/>
        <v>0</v>
      </c>
      <c r="AW444" s="891">
        <f t="shared" si="620"/>
        <v>0</v>
      </c>
      <c r="AX444" s="891">
        <f t="shared" si="619"/>
        <v>0</v>
      </c>
      <c r="AY444" s="891">
        <f t="shared" si="619"/>
        <v>0</v>
      </c>
      <c r="AZ444" s="891">
        <f t="shared" si="619"/>
        <v>0</v>
      </c>
      <c r="BA444" s="891">
        <f t="shared" si="619"/>
        <v>0</v>
      </c>
      <c r="BB444" s="891">
        <f t="shared" si="619"/>
        <v>0</v>
      </c>
      <c r="BC444" s="891">
        <f t="shared" si="619"/>
        <v>0</v>
      </c>
      <c r="BD444" s="891">
        <f t="shared" si="619"/>
        <v>-195</v>
      </c>
      <c r="BE444" s="891">
        <f t="shared" si="619"/>
        <v>20</v>
      </c>
      <c r="BF444" s="891">
        <f t="shared" si="619"/>
        <v>0</v>
      </c>
      <c r="BG444" s="891">
        <f t="shared" si="619"/>
        <v>0</v>
      </c>
      <c r="BH444" s="891">
        <f t="shared" si="619"/>
        <v>0</v>
      </c>
      <c r="BI444" s="891">
        <f t="shared" si="619"/>
        <v>0</v>
      </c>
      <c r="BJ444" s="891">
        <f t="shared" si="619"/>
        <v>0</v>
      </c>
      <c r="BK444" s="891">
        <f t="shared" si="619"/>
        <v>0</v>
      </c>
      <c r="BL444" s="891">
        <f t="shared" si="619"/>
        <v>0</v>
      </c>
      <c r="BM444" s="891">
        <f t="shared" si="619"/>
        <v>0</v>
      </c>
      <c r="BN444" s="891">
        <f t="shared" si="619"/>
        <v>0</v>
      </c>
      <c r="BO444" s="891">
        <f t="shared" si="619"/>
        <v>0</v>
      </c>
      <c r="BP444" s="891">
        <f t="shared" si="619"/>
        <v>1135</v>
      </c>
      <c r="BQ444" s="891">
        <f t="shared" si="619"/>
        <v>0</v>
      </c>
      <c r="BR444" s="891">
        <f t="shared" si="619"/>
        <v>0</v>
      </c>
      <c r="BS444" s="891">
        <f t="shared" ref="BS444:CC444" si="621">+BS32-BS358</f>
        <v>0</v>
      </c>
      <c r="BT444" s="891">
        <f t="shared" si="621"/>
        <v>0</v>
      </c>
      <c r="BU444" s="891">
        <f t="shared" si="621"/>
        <v>0</v>
      </c>
      <c r="BV444" s="891">
        <f t="shared" si="621"/>
        <v>0</v>
      </c>
      <c r="BW444" s="891">
        <f t="shared" si="621"/>
        <v>0</v>
      </c>
      <c r="BX444" s="891">
        <f t="shared" si="621"/>
        <v>0</v>
      </c>
      <c r="BY444" s="891">
        <f t="shared" si="621"/>
        <v>0</v>
      </c>
      <c r="BZ444" s="891">
        <f t="shared" si="621"/>
        <v>0</v>
      </c>
      <c r="CA444" s="891">
        <f t="shared" si="621"/>
        <v>0</v>
      </c>
      <c r="CB444" s="891">
        <f t="shared" si="621"/>
        <v>0</v>
      </c>
      <c r="CC444" s="891">
        <f t="shared" si="621"/>
        <v>0</v>
      </c>
      <c r="CD444" s="891">
        <f t="shared" ref="CD444:CI444" si="622">+CD32-CD358</f>
        <v>0</v>
      </c>
      <c r="CE444" s="891">
        <f t="shared" si="622"/>
        <v>0</v>
      </c>
      <c r="CF444" s="891">
        <f t="shared" si="622"/>
        <v>0</v>
      </c>
      <c r="CG444" s="891">
        <f t="shared" si="622"/>
        <v>0</v>
      </c>
      <c r="CH444" s="891">
        <f t="shared" si="622"/>
        <v>0</v>
      </c>
      <c r="CI444" s="891">
        <f t="shared" si="622"/>
        <v>0</v>
      </c>
    </row>
    <row r="445" spans="1:87" s="891" customFormat="1" x14ac:dyDescent="0.2">
      <c r="A445" s="890" t="s">
        <v>1414</v>
      </c>
      <c r="B445" s="891">
        <f t="shared" si="577"/>
        <v>451</v>
      </c>
      <c r="C445" s="891">
        <f t="shared" ref="C445:BR445" si="623">+C33-C359</f>
        <v>0</v>
      </c>
      <c r="D445" s="891">
        <f t="shared" si="623"/>
        <v>0</v>
      </c>
      <c r="E445" s="891">
        <f t="shared" si="623"/>
        <v>0</v>
      </c>
      <c r="F445" s="891">
        <f t="shared" si="623"/>
        <v>0</v>
      </c>
      <c r="G445" s="891">
        <f t="shared" si="623"/>
        <v>0</v>
      </c>
      <c r="H445" s="891">
        <f t="shared" si="623"/>
        <v>0</v>
      </c>
      <c r="I445" s="891">
        <f t="shared" si="623"/>
        <v>0</v>
      </c>
      <c r="J445" s="891">
        <f t="shared" si="623"/>
        <v>0</v>
      </c>
      <c r="K445" s="891">
        <f t="shared" si="623"/>
        <v>0</v>
      </c>
      <c r="L445" s="891">
        <f t="shared" si="623"/>
        <v>0</v>
      </c>
      <c r="M445" s="891">
        <f t="shared" si="623"/>
        <v>0</v>
      </c>
      <c r="N445" s="891">
        <f t="shared" si="623"/>
        <v>0</v>
      </c>
      <c r="O445" s="891">
        <f t="shared" si="623"/>
        <v>469</v>
      </c>
      <c r="P445" s="891">
        <f t="shared" si="623"/>
        <v>0</v>
      </c>
      <c r="Q445" s="891">
        <f t="shared" si="623"/>
        <v>0</v>
      </c>
      <c r="R445" s="891">
        <f t="shared" si="623"/>
        <v>0</v>
      </c>
      <c r="S445" s="891">
        <f t="shared" si="623"/>
        <v>0</v>
      </c>
      <c r="T445" s="891">
        <f t="shared" si="623"/>
        <v>0</v>
      </c>
      <c r="U445" s="891">
        <f t="shared" si="623"/>
        <v>0</v>
      </c>
      <c r="V445" s="891">
        <f t="shared" si="623"/>
        <v>0</v>
      </c>
      <c r="W445" s="891">
        <f t="shared" si="623"/>
        <v>0</v>
      </c>
      <c r="X445" s="891">
        <f t="shared" si="623"/>
        <v>0</v>
      </c>
      <c r="Y445" s="891">
        <f t="shared" si="623"/>
        <v>0</v>
      </c>
      <c r="Z445" s="891">
        <f t="shared" si="623"/>
        <v>0</v>
      </c>
      <c r="AA445" s="891">
        <f t="shared" si="623"/>
        <v>0</v>
      </c>
      <c r="AB445" s="891">
        <f t="shared" ref="AB445:AW445" si="624">+AB33-AB359</f>
        <v>0</v>
      </c>
      <c r="AC445" s="891">
        <f t="shared" si="624"/>
        <v>0</v>
      </c>
      <c r="AD445" s="891">
        <f t="shared" si="624"/>
        <v>0</v>
      </c>
      <c r="AE445" s="891">
        <f t="shared" si="624"/>
        <v>0</v>
      </c>
      <c r="AF445" s="891">
        <f t="shared" si="624"/>
        <v>0</v>
      </c>
      <c r="AG445" s="891">
        <f t="shared" si="624"/>
        <v>0</v>
      </c>
      <c r="AH445" s="891">
        <f t="shared" si="624"/>
        <v>0</v>
      </c>
      <c r="AI445" s="891">
        <f t="shared" si="624"/>
        <v>0</v>
      </c>
      <c r="AJ445" s="891">
        <f t="shared" si="624"/>
        <v>0</v>
      </c>
      <c r="AK445" s="891">
        <f t="shared" si="624"/>
        <v>0</v>
      </c>
      <c r="AL445" s="891">
        <f t="shared" si="624"/>
        <v>0</v>
      </c>
      <c r="AM445" s="891">
        <f t="shared" si="624"/>
        <v>0</v>
      </c>
      <c r="AN445" s="891">
        <f t="shared" si="624"/>
        <v>0</v>
      </c>
      <c r="AO445" s="891">
        <f t="shared" si="624"/>
        <v>0</v>
      </c>
      <c r="AP445" s="891">
        <f t="shared" si="624"/>
        <v>0</v>
      </c>
      <c r="AR445" s="891">
        <f t="shared" si="624"/>
        <v>0</v>
      </c>
      <c r="AS445" s="891">
        <f t="shared" si="624"/>
        <v>0</v>
      </c>
      <c r="AT445" s="891">
        <f t="shared" si="624"/>
        <v>0</v>
      </c>
      <c r="AU445" s="891">
        <f t="shared" si="624"/>
        <v>0</v>
      </c>
      <c r="AV445" s="891">
        <f t="shared" si="624"/>
        <v>0</v>
      </c>
      <c r="AW445" s="891">
        <f t="shared" si="624"/>
        <v>0</v>
      </c>
      <c r="AX445" s="891">
        <f t="shared" si="623"/>
        <v>0</v>
      </c>
      <c r="AY445" s="891">
        <f t="shared" si="623"/>
        <v>0</v>
      </c>
      <c r="AZ445" s="891">
        <f t="shared" si="623"/>
        <v>0</v>
      </c>
      <c r="BA445" s="891">
        <f t="shared" si="623"/>
        <v>0</v>
      </c>
      <c r="BB445" s="891">
        <f t="shared" si="623"/>
        <v>0</v>
      </c>
      <c r="BC445" s="891">
        <f t="shared" si="623"/>
        <v>-18</v>
      </c>
      <c r="BD445" s="891">
        <f t="shared" si="623"/>
        <v>0</v>
      </c>
      <c r="BE445" s="891">
        <f t="shared" si="623"/>
        <v>0</v>
      </c>
      <c r="BF445" s="891">
        <f t="shared" si="623"/>
        <v>0</v>
      </c>
      <c r="BG445" s="891">
        <f t="shared" si="623"/>
        <v>0</v>
      </c>
      <c r="BH445" s="891">
        <f t="shared" si="623"/>
        <v>0</v>
      </c>
      <c r="BI445" s="891">
        <f t="shared" si="623"/>
        <v>0</v>
      </c>
      <c r="BJ445" s="891">
        <f t="shared" si="623"/>
        <v>0</v>
      </c>
      <c r="BK445" s="891">
        <f t="shared" si="623"/>
        <v>0</v>
      </c>
      <c r="BL445" s="891">
        <f t="shared" si="623"/>
        <v>0</v>
      </c>
      <c r="BM445" s="891">
        <f t="shared" si="623"/>
        <v>0</v>
      </c>
      <c r="BN445" s="891">
        <f t="shared" si="623"/>
        <v>0</v>
      </c>
      <c r="BO445" s="891">
        <f t="shared" si="623"/>
        <v>0</v>
      </c>
      <c r="BP445" s="891">
        <f t="shared" si="623"/>
        <v>0</v>
      </c>
      <c r="BQ445" s="891">
        <f t="shared" si="623"/>
        <v>0</v>
      </c>
      <c r="BR445" s="891">
        <f t="shared" si="623"/>
        <v>0</v>
      </c>
      <c r="BS445" s="891">
        <f t="shared" ref="BS445:CC445" si="625">+BS33-BS359</f>
        <v>0</v>
      </c>
      <c r="BT445" s="891">
        <f t="shared" si="625"/>
        <v>0</v>
      </c>
      <c r="BU445" s="891">
        <f t="shared" si="625"/>
        <v>0</v>
      </c>
      <c r="BV445" s="891">
        <f t="shared" si="625"/>
        <v>0</v>
      </c>
      <c r="BW445" s="891">
        <f t="shared" si="625"/>
        <v>0</v>
      </c>
      <c r="BX445" s="891">
        <f t="shared" si="625"/>
        <v>0</v>
      </c>
      <c r="BY445" s="891">
        <f t="shared" si="625"/>
        <v>0</v>
      </c>
      <c r="BZ445" s="891">
        <f t="shared" si="625"/>
        <v>0</v>
      </c>
      <c r="CA445" s="891">
        <f t="shared" si="625"/>
        <v>0</v>
      </c>
      <c r="CB445" s="891">
        <f t="shared" si="625"/>
        <v>0</v>
      </c>
      <c r="CC445" s="891">
        <f t="shared" si="625"/>
        <v>0</v>
      </c>
    </row>
    <row r="446" spans="1:87" s="895" customFormat="1" x14ac:dyDescent="0.2">
      <c r="A446" s="892" t="s">
        <v>926</v>
      </c>
      <c r="B446" s="893">
        <f>SUM(B434:B445)</f>
        <v>-13008</v>
      </c>
      <c r="C446" s="893">
        <f t="shared" ref="C446:BR446" si="626">SUM(C434:C445)</f>
        <v>-4050</v>
      </c>
      <c r="D446" s="893">
        <f t="shared" si="626"/>
        <v>0</v>
      </c>
      <c r="E446" s="893">
        <f t="shared" si="626"/>
        <v>0</v>
      </c>
      <c r="F446" s="893">
        <f t="shared" si="626"/>
        <v>0</v>
      </c>
      <c r="G446" s="893">
        <f t="shared" si="626"/>
        <v>0</v>
      </c>
      <c r="H446" s="893">
        <f t="shared" si="626"/>
        <v>0</v>
      </c>
      <c r="I446" s="893">
        <f t="shared" si="626"/>
        <v>0</v>
      </c>
      <c r="J446" s="893">
        <f t="shared" si="626"/>
        <v>0</v>
      </c>
      <c r="K446" s="893">
        <f t="shared" si="626"/>
        <v>0</v>
      </c>
      <c r="L446" s="893">
        <f t="shared" si="626"/>
        <v>0</v>
      </c>
      <c r="M446" s="893">
        <f t="shared" si="626"/>
        <v>0</v>
      </c>
      <c r="N446" s="893">
        <f t="shared" si="626"/>
        <v>-5941</v>
      </c>
      <c r="O446" s="893">
        <f t="shared" si="626"/>
        <v>-3052</v>
      </c>
      <c r="P446" s="893">
        <f t="shared" si="626"/>
        <v>0</v>
      </c>
      <c r="Q446" s="893">
        <f t="shared" si="626"/>
        <v>0</v>
      </c>
      <c r="R446" s="893">
        <f t="shared" si="626"/>
        <v>0</v>
      </c>
      <c r="S446" s="893">
        <f t="shared" si="626"/>
        <v>0</v>
      </c>
      <c r="T446" s="893">
        <f t="shared" si="626"/>
        <v>-6</v>
      </c>
      <c r="U446" s="893">
        <f t="shared" si="626"/>
        <v>-109</v>
      </c>
      <c r="V446" s="893">
        <f t="shared" si="626"/>
        <v>0</v>
      </c>
      <c r="W446" s="893">
        <f t="shared" si="626"/>
        <v>243</v>
      </c>
      <c r="X446" s="893">
        <f t="shared" si="626"/>
        <v>0</v>
      </c>
      <c r="Y446" s="893">
        <f t="shared" si="626"/>
        <v>0</v>
      </c>
      <c r="Z446" s="893">
        <f t="shared" si="626"/>
        <v>0</v>
      </c>
      <c r="AA446" s="893">
        <f t="shared" si="626"/>
        <v>0</v>
      </c>
      <c r="AB446" s="893">
        <f t="shared" ref="AB446:AW446" si="627">SUM(AB434:AB445)</f>
        <v>0</v>
      </c>
      <c r="AC446" s="893">
        <f t="shared" si="627"/>
        <v>0</v>
      </c>
      <c r="AD446" s="893">
        <f t="shared" si="627"/>
        <v>0</v>
      </c>
      <c r="AE446" s="893">
        <f t="shared" si="627"/>
        <v>0</v>
      </c>
      <c r="AF446" s="893">
        <f t="shared" si="627"/>
        <v>0</v>
      </c>
      <c r="AG446" s="893">
        <f t="shared" si="627"/>
        <v>0</v>
      </c>
      <c r="AH446" s="893">
        <f t="shared" si="627"/>
        <v>0</v>
      </c>
      <c r="AI446" s="893">
        <f t="shared" si="627"/>
        <v>0</v>
      </c>
      <c r="AJ446" s="893">
        <f t="shared" si="627"/>
        <v>0</v>
      </c>
      <c r="AK446" s="893">
        <f t="shared" si="627"/>
        <v>0</v>
      </c>
      <c r="AL446" s="893">
        <f t="shared" si="627"/>
        <v>0</v>
      </c>
      <c r="AM446" s="893">
        <f t="shared" si="627"/>
        <v>0</v>
      </c>
      <c r="AN446" s="893">
        <f t="shared" si="627"/>
        <v>0</v>
      </c>
      <c r="AO446" s="893">
        <f t="shared" si="627"/>
        <v>0</v>
      </c>
      <c r="AP446" s="893">
        <f t="shared" si="627"/>
        <v>0</v>
      </c>
      <c r="AQ446" s="893"/>
      <c r="AR446" s="893">
        <f t="shared" si="627"/>
        <v>0</v>
      </c>
      <c r="AS446" s="893">
        <f t="shared" si="627"/>
        <v>0</v>
      </c>
      <c r="AT446" s="893">
        <f t="shared" si="627"/>
        <v>0</v>
      </c>
      <c r="AU446" s="893">
        <f t="shared" si="627"/>
        <v>0</v>
      </c>
      <c r="AV446" s="893">
        <f t="shared" si="627"/>
        <v>0</v>
      </c>
      <c r="AW446" s="893">
        <f t="shared" si="627"/>
        <v>0</v>
      </c>
      <c r="AX446" s="893">
        <f t="shared" si="626"/>
        <v>0</v>
      </c>
      <c r="AY446" s="893">
        <f t="shared" si="626"/>
        <v>0</v>
      </c>
      <c r="AZ446" s="893">
        <f t="shared" si="626"/>
        <v>-38</v>
      </c>
      <c r="BA446" s="893">
        <f t="shared" si="626"/>
        <v>0</v>
      </c>
      <c r="BB446" s="893">
        <f t="shared" si="626"/>
        <v>0</v>
      </c>
      <c r="BC446" s="893">
        <f t="shared" si="626"/>
        <v>-18</v>
      </c>
      <c r="BD446" s="893">
        <f t="shared" si="626"/>
        <v>-195</v>
      </c>
      <c r="BE446" s="893">
        <f t="shared" si="626"/>
        <v>20</v>
      </c>
      <c r="BF446" s="893">
        <f t="shared" si="626"/>
        <v>0</v>
      </c>
      <c r="BG446" s="893">
        <f t="shared" si="626"/>
        <v>0</v>
      </c>
      <c r="BH446" s="893">
        <f t="shared" si="626"/>
        <v>0</v>
      </c>
      <c r="BI446" s="893">
        <f t="shared" si="626"/>
        <v>0</v>
      </c>
      <c r="BJ446" s="893">
        <f t="shared" si="626"/>
        <v>865</v>
      </c>
      <c r="BK446" s="893">
        <f t="shared" si="626"/>
        <v>0</v>
      </c>
      <c r="BL446" s="893">
        <f t="shared" si="626"/>
        <v>0</v>
      </c>
      <c r="BM446" s="893">
        <f t="shared" si="626"/>
        <v>0</v>
      </c>
      <c r="BN446" s="893">
        <f t="shared" si="626"/>
        <v>0</v>
      </c>
      <c r="BO446" s="893">
        <f t="shared" si="626"/>
        <v>0</v>
      </c>
      <c r="BP446" s="893">
        <f t="shared" si="626"/>
        <v>1135</v>
      </c>
      <c r="BQ446" s="893">
        <f t="shared" si="626"/>
        <v>-1862</v>
      </c>
      <c r="BR446" s="893">
        <f t="shared" si="626"/>
        <v>0</v>
      </c>
      <c r="BS446" s="893">
        <f t="shared" ref="BS446:CB446" si="628">SUM(BS434:BS445)</f>
        <v>0</v>
      </c>
      <c r="BT446" s="893">
        <f t="shared" si="628"/>
        <v>0</v>
      </c>
      <c r="BU446" s="893">
        <f t="shared" si="628"/>
        <v>0</v>
      </c>
      <c r="BV446" s="893">
        <f t="shared" si="628"/>
        <v>0</v>
      </c>
      <c r="BW446" s="893">
        <f t="shared" si="628"/>
        <v>0</v>
      </c>
      <c r="BX446" s="893">
        <f t="shared" si="628"/>
        <v>0</v>
      </c>
      <c r="BY446" s="893">
        <f t="shared" si="628"/>
        <v>0</v>
      </c>
      <c r="BZ446" s="893">
        <f t="shared" si="628"/>
        <v>0</v>
      </c>
      <c r="CA446" s="893">
        <f t="shared" si="628"/>
        <v>0</v>
      </c>
      <c r="CB446" s="893">
        <f t="shared" si="628"/>
        <v>0</v>
      </c>
      <c r="CC446" s="894"/>
      <c r="CD446" s="893">
        <f t="shared" ref="CD446:CI446" si="629">SUM(CD434:CD444)</f>
        <v>0</v>
      </c>
      <c r="CE446" s="893">
        <f t="shared" si="629"/>
        <v>0</v>
      </c>
      <c r="CF446" s="893">
        <f t="shared" si="629"/>
        <v>0</v>
      </c>
      <c r="CG446" s="893">
        <f t="shared" si="629"/>
        <v>0</v>
      </c>
      <c r="CH446" s="893">
        <f t="shared" si="629"/>
        <v>0</v>
      </c>
      <c r="CI446" s="893">
        <f t="shared" si="629"/>
        <v>0</v>
      </c>
    </row>
    <row r="447" spans="1:87" s="891" customFormat="1" x14ac:dyDescent="0.2">
      <c r="A447" s="896"/>
      <c r="B447" s="897"/>
      <c r="C447" s="897"/>
      <c r="D447" s="897"/>
      <c r="E447" s="897"/>
      <c r="F447" s="897"/>
      <c r="G447" s="897"/>
      <c r="H447" s="897"/>
      <c r="I447" s="897"/>
      <c r="J447" s="897"/>
      <c r="K447" s="897"/>
      <c r="L447" s="897"/>
      <c r="M447" s="897"/>
      <c r="N447" s="897"/>
      <c r="O447" s="897"/>
      <c r="P447" s="897"/>
      <c r="Q447" s="897"/>
      <c r="R447" s="897"/>
      <c r="S447" s="897"/>
      <c r="T447" s="897"/>
      <c r="U447" s="897"/>
      <c r="V447" s="897"/>
      <c r="W447" s="897"/>
      <c r="X447" s="897"/>
      <c r="Y447" s="897"/>
      <c r="Z447" s="897"/>
      <c r="AA447" s="897"/>
      <c r="AB447" s="897"/>
      <c r="AC447" s="897"/>
      <c r="AD447" s="897"/>
      <c r="AE447" s="897"/>
      <c r="AF447" s="897"/>
      <c r="AG447" s="897"/>
      <c r="AH447" s="897"/>
      <c r="AI447" s="897"/>
      <c r="AJ447" s="897"/>
      <c r="AK447" s="897"/>
      <c r="AL447" s="897"/>
      <c r="AM447" s="897"/>
      <c r="AN447" s="897"/>
      <c r="AO447" s="897"/>
      <c r="AP447" s="897"/>
      <c r="AQ447" s="897"/>
      <c r="AR447" s="897"/>
      <c r="AS447" s="897"/>
      <c r="AT447" s="897"/>
      <c r="AU447" s="897"/>
      <c r="AV447" s="897"/>
      <c r="AW447" s="897"/>
      <c r="AX447" s="897"/>
      <c r="AY447" s="897"/>
      <c r="AZ447" s="897"/>
      <c r="BA447" s="897"/>
      <c r="BB447" s="897"/>
      <c r="BC447" s="897"/>
      <c r="BD447" s="897"/>
      <c r="BE447" s="897"/>
      <c r="BF447" s="897"/>
      <c r="BG447" s="897"/>
      <c r="BH447" s="897"/>
      <c r="BI447" s="897"/>
      <c r="BJ447" s="897"/>
      <c r="BK447" s="897"/>
      <c r="BL447" s="897"/>
      <c r="BM447" s="897"/>
      <c r="BN447" s="897"/>
      <c r="BO447" s="897"/>
      <c r="BP447" s="897"/>
      <c r="BQ447" s="897"/>
      <c r="BR447" s="897"/>
      <c r="BS447" s="897"/>
      <c r="BT447" s="897"/>
      <c r="BU447" s="897"/>
      <c r="BV447" s="897"/>
      <c r="BW447" s="897"/>
      <c r="BX447" s="897"/>
      <c r="BY447" s="897"/>
      <c r="BZ447" s="897"/>
      <c r="CA447" s="897"/>
      <c r="CB447" s="897"/>
      <c r="CC447" s="897"/>
      <c r="CD447" s="897"/>
      <c r="CE447" s="897"/>
      <c r="CF447" s="897"/>
      <c r="CG447" s="897"/>
      <c r="CH447" s="897"/>
      <c r="CI447" s="897"/>
    </row>
    <row r="448" spans="1:87" s="900" customFormat="1" x14ac:dyDescent="0.2">
      <c r="A448" s="898" t="s">
        <v>927</v>
      </c>
      <c r="B448" s="899"/>
      <c r="C448" s="899"/>
      <c r="D448" s="899"/>
      <c r="E448" s="899"/>
      <c r="F448" s="899"/>
      <c r="G448" s="899"/>
      <c r="H448" s="899"/>
      <c r="I448" s="899"/>
      <c r="J448" s="899"/>
      <c r="K448" s="899"/>
      <c r="L448" s="899"/>
      <c r="M448" s="899"/>
      <c r="N448" s="899"/>
      <c r="O448" s="899"/>
      <c r="P448" s="899"/>
      <c r="Q448" s="899"/>
      <c r="R448" s="899"/>
      <c r="S448" s="899"/>
      <c r="T448" s="899"/>
      <c r="U448" s="899"/>
      <c r="V448" s="899"/>
      <c r="W448" s="899"/>
      <c r="X448" s="899"/>
      <c r="Y448" s="899"/>
      <c r="Z448" s="899"/>
      <c r="AA448" s="899"/>
      <c r="AB448" s="899"/>
      <c r="AC448" s="899"/>
      <c r="AD448" s="899"/>
      <c r="AE448" s="899"/>
      <c r="AF448" s="899"/>
      <c r="AG448" s="899"/>
      <c r="AH448" s="899"/>
      <c r="AI448" s="899"/>
      <c r="AJ448" s="899"/>
      <c r="AK448" s="899"/>
      <c r="AL448" s="899"/>
      <c r="AM448" s="899"/>
      <c r="AN448" s="899"/>
      <c r="AO448" s="899"/>
      <c r="AP448" s="899"/>
      <c r="AQ448" s="899"/>
      <c r="AR448" s="899"/>
      <c r="AS448" s="899"/>
      <c r="AT448" s="899"/>
      <c r="AU448" s="899"/>
      <c r="AV448" s="899"/>
      <c r="AW448" s="899"/>
      <c r="AX448" s="899"/>
      <c r="AY448" s="899"/>
      <c r="AZ448" s="899"/>
      <c r="BA448" s="899"/>
      <c r="BB448" s="899"/>
      <c r="BC448" s="899"/>
      <c r="BD448" s="899"/>
      <c r="BE448" s="899"/>
      <c r="BF448" s="899"/>
      <c r="BG448" s="899"/>
      <c r="BH448" s="899"/>
      <c r="BI448" s="899"/>
      <c r="BJ448" s="899"/>
      <c r="BK448" s="899"/>
      <c r="BL448" s="899"/>
      <c r="BM448" s="899"/>
      <c r="BN448" s="899"/>
      <c r="BO448" s="899"/>
      <c r="BP448" s="899"/>
      <c r="BQ448" s="899"/>
      <c r="BR448" s="899"/>
      <c r="BS448" s="899"/>
      <c r="BT448" s="899"/>
      <c r="BU448" s="899"/>
      <c r="BV448" s="899"/>
      <c r="BW448" s="899"/>
      <c r="BX448" s="899"/>
      <c r="BY448" s="899"/>
      <c r="BZ448" s="899"/>
      <c r="CA448" s="899"/>
      <c r="CB448" s="899"/>
      <c r="CC448" s="901"/>
      <c r="CD448" s="899"/>
      <c r="CE448" s="899"/>
      <c r="CF448" s="899"/>
      <c r="CG448" s="899"/>
      <c r="CH448" s="899"/>
      <c r="CI448" s="899"/>
    </row>
    <row r="449" spans="1:87" s="891" customFormat="1" x14ac:dyDescent="0.2">
      <c r="A449" s="890" t="s">
        <v>953</v>
      </c>
      <c r="B449" s="891">
        <f t="shared" ref="B449:B460" si="630">SUM(C449:CB449)</f>
        <v>3386</v>
      </c>
      <c r="C449" s="891">
        <f t="shared" ref="C449" si="631">+C37-C363</f>
        <v>-501</v>
      </c>
      <c r="D449" s="891">
        <f t="shared" ref="D449:AA449" si="632">+D37-D363</f>
        <v>0</v>
      </c>
      <c r="E449" s="891">
        <f t="shared" si="632"/>
        <v>7275</v>
      </c>
      <c r="F449" s="891">
        <f t="shared" si="632"/>
        <v>-880</v>
      </c>
      <c r="G449" s="891">
        <f t="shared" si="632"/>
        <v>0</v>
      </c>
      <c r="H449" s="891">
        <f t="shared" si="632"/>
        <v>0</v>
      </c>
      <c r="I449" s="891">
        <f t="shared" si="632"/>
        <v>0</v>
      </c>
      <c r="J449" s="891">
        <f t="shared" si="632"/>
        <v>0</v>
      </c>
      <c r="K449" s="891">
        <f t="shared" si="632"/>
        <v>0</v>
      </c>
      <c r="L449" s="891">
        <f t="shared" si="632"/>
        <v>0</v>
      </c>
      <c r="M449" s="891">
        <f t="shared" si="632"/>
        <v>0</v>
      </c>
      <c r="N449" s="891">
        <f t="shared" si="632"/>
        <v>0</v>
      </c>
      <c r="O449" s="891">
        <f t="shared" si="632"/>
        <v>102</v>
      </c>
      <c r="P449" s="891">
        <f t="shared" si="632"/>
        <v>0</v>
      </c>
      <c r="Q449" s="891">
        <f t="shared" si="632"/>
        <v>0</v>
      </c>
      <c r="R449" s="891">
        <f t="shared" si="632"/>
        <v>0</v>
      </c>
      <c r="S449" s="891">
        <f t="shared" si="632"/>
        <v>0</v>
      </c>
      <c r="T449" s="891">
        <f t="shared" si="632"/>
        <v>0</v>
      </c>
      <c r="U449" s="891">
        <f t="shared" si="632"/>
        <v>0</v>
      </c>
      <c r="V449" s="891">
        <f t="shared" si="632"/>
        <v>0</v>
      </c>
      <c r="W449" s="891">
        <f t="shared" si="632"/>
        <v>0</v>
      </c>
      <c r="X449" s="891">
        <f t="shared" si="632"/>
        <v>0</v>
      </c>
      <c r="Y449" s="891">
        <f t="shared" si="632"/>
        <v>0</v>
      </c>
      <c r="Z449" s="891">
        <f t="shared" si="632"/>
        <v>0</v>
      </c>
      <c r="AA449" s="891">
        <f t="shared" si="632"/>
        <v>0</v>
      </c>
      <c r="AB449" s="891">
        <f t="shared" ref="AB449:AW449" si="633">+AB37-AB363</f>
        <v>0</v>
      </c>
      <c r="AC449" s="891">
        <f t="shared" si="633"/>
        <v>0</v>
      </c>
      <c r="AD449" s="891">
        <f t="shared" si="633"/>
        <v>0</v>
      </c>
      <c r="AE449" s="891">
        <f t="shared" si="633"/>
        <v>0</v>
      </c>
      <c r="AF449" s="891">
        <f t="shared" si="633"/>
        <v>0</v>
      </c>
      <c r="AG449" s="891">
        <f t="shared" si="633"/>
        <v>0</v>
      </c>
      <c r="AH449" s="891">
        <f t="shared" si="633"/>
        <v>0</v>
      </c>
      <c r="AI449" s="891">
        <f t="shared" si="633"/>
        <v>0</v>
      </c>
      <c r="AJ449" s="891">
        <f t="shared" si="633"/>
        <v>0</v>
      </c>
      <c r="AK449" s="891">
        <f t="shared" si="633"/>
        <v>0</v>
      </c>
      <c r="AL449" s="891">
        <f t="shared" si="633"/>
        <v>0</v>
      </c>
      <c r="AM449" s="891">
        <f t="shared" si="633"/>
        <v>0</v>
      </c>
      <c r="AN449" s="891">
        <f t="shared" si="633"/>
        <v>0</v>
      </c>
      <c r="AO449" s="891">
        <f t="shared" si="633"/>
        <v>0</v>
      </c>
      <c r="AP449" s="891">
        <f t="shared" si="633"/>
        <v>0</v>
      </c>
      <c r="AR449" s="891">
        <f t="shared" si="633"/>
        <v>0</v>
      </c>
      <c r="AS449" s="891">
        <f t="shared" si="633"/>
        <v>0</v>
      </c>
      <c r="AT449" s="891">
        <f t="shared" si="633"/>
        <v>0</v>
      </c>
      <c r="AU449" s="891">
        <f t="shared" si="633"/>
        <v>0</v>
      </c>
      <c r="AV449" s="891">
        <f t="shared" si="633"/>
        <v>0</v>
      </c>
      <c r="AW449" s="891">
        <f t="shared" si="633"/>
        <v>0</v>
      </c>
      <c r="AX449" s="891">
        <f t="shared" ref="AX449:CC449" si="634">+AX37-AX363</f>
        <v>0</v>
      </c>
      <c r="AY449" s="891">
        <f t="shared" si="634"/>
        <v>0</v>
      </c>
      <c r="AZ449" s="891">
        <f t="shared" si="634"/>
        <v>0</v>
      </c>
      <c r="BA449" s="891">
        <f t="shared" si="634"/>
        <v>0</v>
      </c>
      <c r="BB449" s="891">
        <f t="shared" si="634"/>
        <v>0</v>
      </c>
      <c r="BC449" s="891">
        <f t="shared" si="634"/>
        <v>0</v>
      </c>
      <c r="BD449" s="891">
        <f t="shared" si="634"/>
        <v>0</v>
      </c>
      <c r="BE449" s="891">
        <f t="shared" si="634"/>
        <v>0</v>
      </c>
      <c r="BF449" s="891">
        <f t="shared" si="634"/>
        <v>0</v>
      </c>
      <c r="BG449" s="891">
        <f t="shared" si="634"/>
        <v>0</v>
      </c>
      <c r="BH449" s="891">
        <f t="shared" si="634"/>
        <v>0</v>
      </c>
      <c r="BI449" s="891">
        <f t="shared" si="634"/>
        <v>0</v>
      </c>
      <c r="BJ449" s="891">
        <f t="shared" si="634"/>
        <v>0</v>
      </c>
      <c r="BK449" s="891">
        <f t="shared" si="634"/>
        <v>0</v>
      </c>
      <c r="BL449" s="891">
        <f t="shared" si="634"/>
        <v>0</v>
      </c>
      <c r="BM449" s="891">
        <f t="shared" si="634"/>
        <v>0</v>
      </c>
      <c r="BN449" s="891">
        <f t="shared" si="634"/>
        <v>0</v>
      </c>
      <c r="BO449" s="891">
        <f t="shared" si="634"/>
        <v>0</v>
      </c>
      <c r="BP449" s="891">
        <f t="shared" si="634"/>
        <v>-2610</v>
      </c>
      <c r="BQ449" s="891">
        <f t="shared" si="634"/>
        <v>0</v>
      </c>
      <c r="BR449" s="891">
        <f t="shared" si="634"/>
        <v>0</v>
      </c>
      <c r="BS449" s="891">
        <f t="shared" si="634"/>
        <v>0</v>
      </c>
      <c r="BT449" s="891">
        <f t="shared" si="634"/>
        <v>0</v>
      </c>
      <c r="BU449" s="891">
        <f t="shared" si="634"/>
        <v>0</v>
      </c>
      <c r="BV449" s="891">
        <f t="shared" si="634"/>
        <v>0</v>
      </c>
      <c r="BW449" s="891">
        <f t="shared" si="634"/>
        <v>0</v>
      </c>
      <c r="BX449" s="891">
        <f t="shared" si="634"/>
        <v>0</v>
      </c>
      <c r="BY449" s="891">
        <f t="shared" si="634"/>
        <v>0</v>
      </c>
      <c r="BZ449" s="891">
        <f t="shared" si="634"/>
        <v>0</v>
      </c>
      <c r="CA449" s="891">
        <f t="shared" si="634"/>
        <v>0</v>
      </c>
      <c r="CB449" s="891">
        <f t="shared" si="634"/>
        <v>0</v>
      </c>
      <c r="CC449" s="891">
        <f t="shared" si="634"/>
        <v>0</v>
      </c>
      <c r="CD449" s="891">
        <f t="shared" ref="CD449:CI449" si="635">+CD37-CD363</f>
        <v>0</v>
      </c>
      <c r="CE449" s="891">
        <f t="shared" si="635"/>
        <v>0</v>
      </c>
      <c r="CF449" s="891">
        <f t="shared" si="635"/>
        <v>0</v>
      </c>
      <c r="CG449" s="891">
        <f t="shared" si="635"/>
        <v>0</v>
      </c>
      <c r="CH449" s="891">
        <f t="shared" si="635"/>
        <v>0</v>
      </c>
      <c r="CI449" s="891">
        <f t="shared" si="635"/>
        <v>0</v>
      </c>
    </row>
    <row r="450" spans="1:87" s="891" customFormat="1" x14ac:dyDescent="0.2">
      <c r="A450" s="890" t="s">
        <v>954</v>
      </c>
      <c r="B450" s="891">
        <f t="shared" si="630"/>
        <v>87585</v>
      </c>
      <c r="C450" s="891">
        <f t="shared" ref="C450:BR450" si="636">+C38-C364</f>
        <v>88832</v>
      </c>
      <c r="D450" s="891">
        <f t="shared" si="636"/>
        <v>0</v>
      </c>
      <c r="E450" s="891">
        <f t="shared" si="636"/>
        <v>-3491</v>
      </c>
      <c r="F450" s="891">
        <f t="shared" si="636"/>
        <v>2695</v>
      </c>
      <c r="G450" s="891">
        <f t="shared" si="636"/>
        <v>0</v>
      </c>
      <c r="H450" s="891">
        <f t="shared" si="636"/>
        <v>-157</v>
      </c>
      <c r="I450" s="891">
        <f t="shared" si="636"/>
        <v>0</v>
      </c>
      <c r="J450" s="891">
        <f t="shared" si="636"/>
        <v>0</v>
      </c>
      <c r="K450" s="891">
        <f t="shared" si="636"/>
        <v>0</v>
      </c>
      <c r="L450" s="891">
        <f t="shared" si="636"/>
        <v>0</v>
      </c>
      <c r="M450" s="891">
        <f t="shared" si="636"/>
        <v>0</v>
      </c>
      <c r="N450" s="891">
        <f t="shared" si="636"/>
        <v>0</v>
      </c>
      <c r="O450" s="891">
        <f t="shared" si="636"/>
        <v>-294</v>
      </c>
      <c r="P450" s="891">
        <f t="shared" si="636"/>
        <v>0</v>
      </c>
      <c r="Q450" s="891">
        <f t="shared" si="636"/>
        <v>0</v>
      </c>
      <c r="R450" s="891">
        <f t="shared" si="636"/>
        <v>0</v>
      </c>
      <c r="S450" s="891">
        <f t="shared" si="636"/>
        <v>0</v>
      </c>
      <c r="T450" s="891">
        <f t="shared" si="636"/>
        <v>0</v>
      </c>
      <c r="U450" s="891">
        <f t="shared" si="636"/>
        <v>0</v>
      </c>
      <c r="V450" s="891">
        <f t="shared" si="636"/>
        <v>0</v>
      </c>
      <c r="W450" s="891">
        <f t="shared" si="636"/>
        <v>0</v>
      </c>
      <c r="X450" s="891">
        <f t="shared" si="636"/>
        <v>0</v>
      </c>
      <c r="Y450" s="891">
        <f t="shared" si="636"/>
        <v>0</v>
      </c>
      <c r="Z450" s="891">
        <f t="shared" si="636"/>
        <v>0</v>
      </c>
      <c r="AA450" s="891">
        <f t="shared" si="636"/>
        <v>0</v>
      </c>
      <c r="AB450" s="891">
        <f t="shared" ref="AB450:AW450" si="637">+AB38-AB364</f>
        <v>0</v>
      </c>
      <c r="AC450" s="891">
        <f t="shared" si="637"/>
        <v>0</v>
      </c>
      <c r="AD450" s="891">
        <f t="shared" si="637"/>
        <v>0</v>
      </c>
      <c r="AE450" s="891">
        <f t="shared" si="637"/>
        <v>0</v>
      </c>
      <c r="AF450" s="891">
        <f t="shared" si="637"/>
        <v>0</v>
      </c>
      <c r="AG450" s="891">
        <f t="shared" si="637"/>
        <v>0</v>
      </c>
      <c r="AH450" s="891">
        <f t="shared" si="637"/>
        <v>0</v>
      </c>
      <c r="AI450" s="891">
        <f t="shared" si="637"/>
        <v>0</v>
      </c>
      <c r="AJ450" s="891">
        <f t="shared" si="637"/>
        <v>0</v>
      </c>
      <c r="AK450" s="891">
        <f t="shared" si="637"/>
        <v>0</v>
      </c>
      <c r="AL450" s="891">
        <f t="shared" si="637"/>
        <v>0</v>
      </c>
      <c r="AM450" s="891">
        <f t="shared" si="637"/>
        <v>0</v>
      </c>
      <c r="AN450" s="891">
        <f t="shared" si="637"/>
        <v>0</v>
      </c>
      <c r="AO450" s="891">
        <f t="shared" si="637"/>
        <v>0</v>
      </c>
      <c r="AP450" s="891">
        <f t="shared" si="637"/>
        <v>0</v>
      </c>
      <c r="AR450" s="891">
        <f t="shared" si="637"/>
        <v>0</v>
      </c>
      <c r="AS450" s="891">
        <f t="shared" si="637"/>
        <v>0</v>
      </c>
      <c r="AT450" s="891">
        <f t="shared" si="637"/>
        <v>0</v>
      </c>
      <c r="AU450" s="891">
        <f t="shared" si="637"/>
        <v>0</v>
      </c>
      <c r="AV450" s="891">
        <f t="shared" si="637"/>
        <v>0</v>
      </c>
      <c r="AW450" s="891">
        <f t="shared" si="637"/>
        <v>0</v>
      </c>
      <c r="AX450" s="891">
        <f t="shared" si="636"/>
        <v>0</v>
      </c>
      <c r="AY450" s="891">
        <f t="shared" si="636"/>
        <v>0</v>
      </c>
      <c r="AZ450" s="891">
        <f t="shared" si="636"/>
        <v>0</v>
      </c>
      <c r="BA450" s="891">
        <f t="shared" si="636"/>
        <v>0</v>
      </c>
      <c r="BB450" s="891">
        <f t="shared" si="636"/>
        <v>0</v>
      </c>
      <c r="BC450" s="891">
        <f t="shared" si="636"/>
        <v>0</v>
      </c>
      <c r="BD450" s="891">
        <f t="shared" si="636"/>
        <v>0</v>
      </c>
      <c r="BE450" s="891">
        <f t="shared" si="636"/>
        <v>0</v>
      </c>
      <c r="BF450" s="891">
        <f t="shared" si="636"/>
        <v>0</v>
      </c>
      <c r="BG450" s="891">
        <f t="shared" si="636"/>
        <v>0</v>
      </c>
      <c r="BH450" s="891">
        <f t="shared" si="636"/>
        <v>0</v>
      </c>
      <c r="BI450" s="891">
        <f t="shared" si="636"/>
        <v>0</v>
      </c>
      <c r="BJ450" s="891">
        <f t="shared" si="636"/>
        <v>0</v>
      </c>
      <c r="BK450" s="891">
        <f t="shared" si="636"/>
        <v>0</v>
      </c>
      <c r="BL450" s="891">
        <f t="shared" si="636"/>
        <v>0</v>
      </c>
      <c r="BM450" s="891">
        <f t="shared" si="636"/>
        <v>0</v>
      </c>
      <c r="BN450" s="891">
        <f t="shared" si="636"/>
        <v>0</v>
      </c>
      <c r="BO450" s="891">
        <f t="shared" si="636"/>
        <v>0</v>
      </c>
      <c r="BP450" s="891">
        <f t="shared" si="636"/>
        <v>0</v>
      </c>
      <c r="BQ450" s="891">
        <f t="shared" si="636"/>
        <v>0</v>
      </c>
      <c r="BR450" s="891">
        <f t="shared" si="636"/>
        <v>0</v>
      </c>
      <c r="BS450" s="891">
        <f t="shared" ref="BS450:CC450" si="638">+BS38-BS364</f>
        <v>0</v>
      </c>
      <c r="BT450" s="891">
        <f t="shared" si="638"/>
        <v>0</v>
      </c>
      <c r="BU450" s="891">
        <f t="shared" si="638"/>
        <v>0</v>
      </c>
      <c r="BV450" s="891">
        <f t="shared" si="638"/>
        <v>0</v>
      </c>
      <c r="BW450" s="891">
        <f t="shared" si="638"/>
        <v>0</v>
      </c>
      <c r="BX450" s="891">
        <f t="shared" si="638"/>
        <v>0</v>
      </c>
      <c r="BY450" s="891">
        <f t="shared" si="638"/>
        <v>0</v>
      </c>
      <c r="BZ450" s="891">
        <f t="shared" si="638"/>
        <v>0</v>
      </c>
      <c r="CA450" s="891">
        <f t="shared" si="638"/>
        <v>0</v>
      </c>
      <c r="CB450" s="891">
        <f t="shared" si="638"/>
        <v>0</v>
      </c>
      <c r="CC450" s="891">
        <f t="shared" si="638"/>
        <v>0</v>
      </c>
      <c r="CD450" s="891">
        <f t="shared" ref="CD450:CI450" si="639">+CD38-CD364</f>
        <v>0</v>
      </c>
      <c r="CE450" s="891">
        <f t="shared" si="639"/>
        <v>0</v>
      </c>
      <c r="CF450" s="891">
        <f t="shared" si="639"/>
        <v>0</v>
      </c>
      <c r="CG450" s="891">
        <f t="shared" si="639"/>
        <v>0</v>
      </c>
      <c r="CH450" s="891">
        <f t="shared" si="639"/>
        <v>0</v>
      </c>
      <c r="CI450" s="891">
        <f t="shared" si="639"/>
        <v>0</v>
      </c>
    </row>
    <row r="451" spans="1:87" s="891" customFormat="1" x14ac:dyDescent="0.2">
      <c r="A451" s="890" t="s">
        <v>955</v>
      </c>
      <c r="B451" s="891">
        <f t="shared" si="630"/>
        <v>6904</v>
      </c>
      <c r="C451" s="891">
        <f t="shared" ref="C451:BR451" si="640">+C39-C365</f>
        <v>-5098</v>
      </c>
      <c r="D451" s="891">
        <f t="shared" si="640"/>
        <v>0</v>
      </c>
      <c r="E451" s="891">
        <f t="shared" si="640"/>
        <v>12002</v>
      </c>
      <c r="F451" s="891">
        <f t="shared" si="640"/>
        <v>0</v>
      </c>
      <c r="G451" s="891">
        <f t="shared" si="640"/>
        <v>0</v>
      </c>
      <c r="H451" s="891">
        <f t="shared" si="640"/>
        <v>0</v>
      </c>
      <c r="I451" s="891">
        <f t="shared" si="640"/>
        <v>0</v>
      </c>
      <c r="J451" s="891">
        <f t="shared" si="640"/>
        <v>0</v>
      </c>
      <c r="K451" s="891">
        <f t="shared" si="640"/>
        <v>0</v>
      </c>
      <c r="L451" s="891">
        <f t="shared" si="640"/>
        <v>0</v>
      </c>
      <c r="M451" s="891">
        <f t="shared" si="640"/>
        <v>0</v>
      </c>
      <c r="N451" s="891">
        <f t="shared" si="640"/>
        <v>0</v>
      </c>
      <c r="O451" s="891">
        <f t="shared" si="640"/>
        <v>0</v>
      </c>
      <c r="P451" s="891">
        <f t="shared" si="640"/>
        <v>0</v>
      </c>
      <c r="Q451" s="891">
        <f t="shared" si="640"/>
        <v>0</v>
      </c>
      <c r="R451" s="891">
        <f t="shared" si="640"/>
        <v>0</v>
      </c>
      <c r="S451" s="891">
        <f t="shared" si="640"/>
        <v>0</v>
      </c>
      <c r="T451" s="891">
        <f t="shared" si="640"/>
        <v>0</v>
      </c>
      <c r="U451" s="891">
        <f t="shared" si="640"/>
        <v>0</v>
      </c>
      <c r="V451" s="891">
        <f t="shared" si="640"/>
        <v>0</v>
      </c>
      <c r="W451" s="891">
        <f t="shared" si="640"/>
        <v>0</v>
      </c>
      <c r="X451" s="891">
        <f t="shared" si="640"/>
        <v>0</v>
      </c>
      <c r="Y451" s="891">
        <f t="shared" si="640"/>
        <v>0</v>
      </c>
      <c r="Z451" s="891">
        <f t="shared" si="640"/>
        <v>0</v>
      </c>
      <c r="AA451" s="891">
        <f t="shared" si="640"/>
        <v>0</v>
      </c>
      <c r="AB451" s="891">
        <f t="shared" ref="AB451:AW451" si="641">+AB39-AB365</f>
        <v>0</v>
      </c>
      <c r="AC451" s="891">
        <f t="shared" si="641"/>
        <v>0</v>
      </c>
      <c r="AD451" s="891">
        <f t="shared" si="641"/>
        <v>0</v>
      </c>
      <c r="AE451" s="891">
        <f t="shared" si="641"/>
        <v>0</v>
      </c>
      <c r="AF451" s="891">
        <f t="shared" si="641"/>
        <v>0</v>
      </c>
      <c r="AG451" s="891">
        <f t="shared" si="641"/>
        <v>0</v>
      </c>
      <c r="AH451" s="891">
        <f t="shared" si="641"/>
        <v>0</v>
      </c>
      <c r="AI451" s="891">
        <f t="shared" si="641"/>
        <v>0</v>
      </c>
      <c r="AJ451" s="891">
        <f t="shared" si="641"/>
        <v>0</v>
      </c>
      <c r="AK451" s="891">
        <f t="shared" si="641"/>
        <v>0</v>
      </c>
      <c r="AL451" s="891">
        <f t="shared" si="641"/>
        <v>0</v>
      </c>
      <c r="AM451" s="891">
        <f t="shared" si="641"/>
        <v>0</v>
      </c>
      <c r="AN451" s="891">
        <f t="shared" si="641"/>
        <v>0</v>
      </c>
      <c r="AO451" s="891">
        <f t="shared" si="641"/>
        <v>0</v>
      </c>
      <c r="AP451" s="891">
        <f t="shared" si="641"/>
        <v>0</v>
      </c>
      <c r="AR451" s="891">
        <f t="shared" si="641"/>
        <v>0</v>
      </c>
      <c r="AS451" s="891">
        <f t="shared" si="641"/>
        <v>0</v>
      </c>
      <c r="AT451" s="891">
        <f t="shared" si="641"/>
        <v>0</v>
      </c>
      <c r="AU451" s="891">
        <f t="shared" si="641"/>
        <v>0</v>
      </c>
      <c r="AV451" s="891">
        <f t="shared" si="641"/>
        <v>0</v>
      </c>
      <c r="AW451" s="891">
        <f t="shared" si="641"/>
        <v>0</v>
      </c>
      <c r="AX451" s="891">
        <f t="shared" si="640"/>
        <v>0</v>
      </c>
      <c r="AY451" s="891">
        <f t="shared" si="640"/>
        <v>0</v>
      </c>
      <c r="AZ451" s="891">
        <f t="shared" si="640"/>
        <v>0</v>
      </c>
      <c r="BA451" s="891">
        <f t="shared" si="640"/>
        <v>0</v>
      </c>
      <c r="BB451" s="891">
        <f t="shared" si="640"/>
        <v>0</v>
      </c>
      <c r="BC451" s="891">
        <f t="shared" si="640"/>
        <v>0</v>
      </c>
      <c r="BD451" s="891">
        <f t="shared" si="640"/>
        <v>0</v>
      </c>
      <c r="BE451" s="891">
        <f t="shared" si="640"/>
        <v>0</v>
      </c>
      <c r="BF451" s="891">
        <f t="shared" si="640"/>
        <v>0</v>
      </c>
      <c r="BG451" s="891">
        <f t="shared" si="640"/>
        <v>0</v>
      </c>
      <c r="BH451" s="891">
        <f t="shared" si="640"/>
        <v>0</v>
      </c>
      <c r="BI451" s="891">
        <f t="shared" si="640"/>
        <v>0</v>
      </c>
      <c r="BJ451" s="891">
        <f t="shared" si="640"/>
        <v>0</v>
      </c>
      <c r="BK451" s="891">
        <f t="shared" si="640"/>
        <v>0</v>
      </c>
      <c r="BL451" s="891">
        <f t="shared" si="640"/>
        <v>0</v>
      </c>
      <c r="BM451" s="891">
        <f t="shared" si="640"/>
        <v>0</v>
      </c>
      <c r="BN451" s="891">
        <f t="shared" si="640"/>
        <v>0</v>
      </c>
      <c r="BO451" s="891">
        <f t="shared" si="640"/>
        <v>0</v>
      </c>
      <c r="BP451" s="891">
        <f t="shared" si="640"/>
        <v>0</v>
      </c>
      <c r="BQ451" s="891">
        <f t="shared" si="640"/>
        <v>0</v>
      </c>
      <c r="BR451" s="891">
        <f t="shared" si="640"/>
        <v>0</v>
      </c>
      <c r="BS451" s="891">
        <f t="shared" ref="BS451:CC451" si="642">+BS39-BS365</f>
        <v>0</v>
      </c>
      <c r="BT451" s="891">
        <f t="shared" si="642"/>
        <v>0</v>
      </c>
      <c r="BU451" s="891">
        <f t="shared" si="642"/>
        <v>0</v>
      </c>
      <c r="BV451" s="891">
        <f t="shared" si="642"/>
        <v>0</v>
      </c>
      <c r="BW451" s="891">
        <f t="shared" si="642"/>
        <v>0</v>
      </c>
      <c r="BX451" s="891">
        <f t="shared" si="642"/>
        <v>0</v>
      </c>
      <c r="BY451" s="891">
        <f t="shared" si="642"/>
        <v>0</v>
      </c>
      <c r="BZ451" s="891">
        <f t="shared" si="642"/>
        <v>0</v>
      </c>
      <c r="CA451" s="891">
        <f t="shared" si="642"/>
        <v>0</v>
      </c>
      <c r="CB451" s="891">
        <f t="shared" si="642"/>
        <v>0</v>
      </c>
      <c r="CC451" s="891">
        <f t="shared" si="642"/>
        <v>0</v>
      </c>
      <c r="CD451" s="891">
        <f t="shared" ref="CD451:CI451" si="643">+CD39-CD365</f>
        <v>0</v>
      </c>
      <c r="CE451" s="891">
        <f t="shared" si="643"/>
        <v>0</v>
      </c>
      <c r="CF451" s="891">
        <f t="shared" si="643"/>
        <v>0</v>
      </c>
      <c r="CG451" s="891">
        <f t="shared" si="643"/>
        <v>0</v>
      </c>
      <c r="CH451" s="891">
        <f t="shared" si="643"/>
        <v>0</v>
      </c>
      <c r="CI451" s="891">
        <f t="shared" si="643"/>
        <v>0</v>
      </c>
    </row>
    <row r="452" spans="1:87" s="891" customFormat="1" x14ac:dyDescent="0.2">
      <c r="A452" s="890" t="s">
        <v>958</v>
      </c>
      <c r="B452" s="891">
        <f t="shared" si="630"/>
        <v>23</v>
      </c>
      <c r="C452" s="891">
        <f t="shared" ref="C452:BR452" si="644">+C40-C366</f>
        <v>0</v>
      </c>
      <c r="D452" s="891">
        <f t="shared" si="644"/>
        <v>0</v>
      </c>
      <c r="E452" s="891">
        <f t="shared" si="644"/>
        <v>0</v>
      </c>
      <c r="F452" s="891">
        <f t="shared" si="644"/>
        <v>23</v>
      </c>
      <c r="G452" s="891">
        <f t="shared" si="644"/>
        <v>0</v>
      </c>
      <c r="H452" s="891">
        <f t="shared" si="644"/>
        <v>0</v>
      </c>
      <c r="I452" s="891">
        <f t="shared" si="644"/>
        <v>0</v>
      </c>
      <c r="J452" s="891">
        <f t="shared" si="644"/>
        <v>0</v>
      </c>
      <c r="K452" s="891">
        <f t="shared" si="644"/>
        <v>0</v>
      </c>
      <c r="L452" s="891">
        <f t="shared" si="644"/>
        <v>0</v>
      </c>
      <c r="M452" s="891">
        <f t="shared" si="644"/>
        <v>0</v>
      </c>
      <c r="N452" s="891">
        <f t="shared" si="644"/>
        <v>0</v>
      </c>
      <c r="O452" s="891">
        <f t="shared" si="644"/>
        <v>0</v>
      </c>
      <c r="P452" s="891">
        <f t="shared" si="644"/>
        <v>0</v>
      </c>
      <c r="Q452" s="891">
        <f t="shared" si="644"/>
        <v>0</v>
      </c>
      <c r="R452" s="891">
        <f t="shared" si="644"/>
        <v>0</v>
      </c>
      <c r="S452" s="891">
        <f t="shared" si="644"/>
        <v>0</v>
      </c>
      <c r="T452" s="891">
        <f t="shared" si="644"/>
        <v>0</v>
      </c>
      <c r="U452" s="891">
        <f t="shared" si="644"/>
        <v>0</v>
      </c>
      <c r="V452" s="891">
        <f t="shared" si="644"/>
        <v>0</v>
      </c>
      <c r="W452" s="891">
        <f t="shared" si="644"/>
        <v>0</v>
      </c>
      <c r="X452" s="891">
        <f t="shared" si="644"/>
        <v>0</v>
      </c>
      <c r="Y452" s="891">
        <f t="shared" si="644"/>
        <v>0</v>
      </c>
      <c r="Z452" s="891">
        <f t="shared" si="644"/>
        <v>0</v>
      </c>
      <c r="AA452" s="891">
        <f t="shared" si="644"/>
        <v>0</v>
      </c>
      <c r="AB452" s="891">
        <f t="shared" ref="AB452:AW452" si="645">+AB40-AB366</f>
        <v>0</v>
      </c>
      <c r="AC452" s="891">
        <f t="shared" si="645"/>
        <v>0</v>
      </c>
      <c r="AD452" s="891">
        <f t="shared" si="645"/>
        <v>0</v>
      </c>
      <c r="AE452" s="891">
        <f t="shared" si="645"/>
        <v>0</v>
      </c>
      <c r="AF452" s="891">
        <f t="shared" si="645"/>
        <v>0</v>
      </c>
      <c r="AG452" s="891">
        <f t="shared" si="645"/>
        <v>0</v>
      </c>
      <c r="AH452" s="891">
        <f t="shared" si="645"/>
        <v>0</v>
      </c>
      <c r="AI452" s="891">
        <f t="shared" si="645"/>
        <v>0</v>
      </c>
      <c r="AJ452" s="891">
        <f t="shared" si="645"/>
        <v>0</v>
      </c>
      <c r="AK452" s="891">
        <f t="shared" si="645"/>
        <v>0</v>
      </c>
      <c r="AL452" s="891">
        <f t="shared" si="645"/>
        <v>0</v>
      </c>
      <c r="AM452" s="891">
        <f t="shared" si="645"/>
        <v>0</v>
      </c>
      <c r="AN452" s="891">
        <f t="shared" si="645"/>
        <v>0</v>
      </c>
      <c r="AO452" s="891">
        <f t="shared" si="645"/>
        <v>0</v>
      </c>
      <c r="AP452" s="891">
        <f t="shared" si="645"/>
        <v>0</v>
      </c>
      <c r="AR452" s="891">
        <f t="shared" si="645"/>
        <v>0</v>
      </c>
      <c r="AS452" s="891">
        <f t="shared" si="645"/>
        <v>0</v>
      </c>
      <c r="AT452" s="891">
        <f t="shared" si="645"/>
        <v>0</v>
      </c>
      <c r="AU452" s="891">
        <f t="shared" si="645"/>
        <v>0</v>
      </c>
      <c r="AV452" s="891">
        <f t="shared" si="645"/>
        <v>0</v>
      </c>
      <c r="AW452" s="891">
        <f t="shared" si="645"/>
        <v>0</v>
      </c>
      <c r="AX452" s="891">
        <f t="shared" si="644"/>
        <v>0</v>
      </c>
      <c r="AY452" s="891">
        <f t="shared" si="644"/>
        <v>0</v>
      </c>
      <c r="AZ452" s="891">
        <f t="shared" si="644"/>
        <v>0</v>
      </c>
      <c r="BA452" s="891">
        <f t="shared" si="644"/>
        <v>0</v>
      </c>
      <c r="BB452" s="891">
        <f t="shared" si="644"/>
        <v>0</v>
      </c>
      <c r="BC452" s="891">
        <f t="shared" si="644"/>
        <v>0</v>
      </c>
      <c r="BD452" s="891">
        <f t="shared" si="644"/>
        <v>0</v>
      </c>
      <c r="BE452" s="891">
        <f t="shared" si="644"/>
        <v>0</v>
      </c>
      <c r="BF452" s="891">
        <f t="shared" si="644"/>
        <v>0</v>
      </c>
      <c r="BG452" s="891">
        <f t="shared" si="644"/>
        <v>0</v>
      </c>
      <c r="BH452" s="891">
        <f t="shared" si="644"/>
        <v>0</v>
      </c>
      <c r="BI452" s="891">
        <f t="shared" si="644"/>
        <v>0</v>
      </c>
      <c r="BJ452" s="891">
        <f t="shared" si="644"/>
        <v>0</v>
      </c>
      <c r="BK452" s="891">
        <f t="shared" si="644"/>
        <v>0</v>
      </c>
      <c r="BL452" s="891">
        <f t="shared" si="644"/>
        <v>0</v>
      </c>
      <c r="BM452" s="891">
        <f t="shared" si="644"/>
        <v>0</v>
      </c>
      <c r="BN452" s="891">
        <f t="shared" si="644"/>
        <v>0</v>
      </c>
      <c r="BO452" s="891">
        <f t="shared" si="644"/>
        <v>0</v>
      </c>
      <c r="BP452" s="891">
        <f t="shared" si="644"/>
        <v>0</v>
      </c>
      <c r="BQ452" s="891">
        <f t="shared" si="644"/>
        <v>0</v>
      </c>
      <c r="BR452" s="891">
        <f t="shared" si="644"/>
        <v>0</v>
      </c>
      <c r="BS452" s="891">
        <f t="shared" ref="BS452:CC452" si="646">+BS40-BS366</f>
        <v>0</v>
      </c>
      <c r="BT452" s="891">
        <f t="shared" si="646"/>
        <v>0</v>
      </c>
      <c r="BU452" s="891">
        <f t="shared" si="646"/>
        <v>0</v>
      </c>
      <c r="BV452" s="891">
        <f t="shared" si="646"/>
        <v>0</v>
      </c>
      <c r="BW452" s="891">
        <f t="shared" si="646"/>
        <v>0</v>
      </c>
      <c r="BX452" s="891">
        <f t="shared" si="646"/>
        <v>0</v>
      </c>
      <c r="BY452" s="891">
        <f t="shared" si="646"/>
        <v>0</v>
      </c>
      <c r="BZ452" s="891">
        <f t="shared" si="646"/>
        <v>0</v>
      </c>
      <c r="CA452" s="891">
        <f t="shared" si="646"/>
        <v>0</v>
      </c>
      <c r="CB452" s="891">
        <f t="shared" si="646"/>
        <v>0</v>
      </c>
      <c r="CC452" s="891">
        <f t="shared" si="646"/>
        <v>0</v>
      </c>
      <c r="CD452" s="891">
        <f t="shared" ref="CD452:CI452" si="647">+CD40-CD366</f>
        <v>0</v>
      </c>
      <c r="CE452" s="891">
        <f t="shared" si="647"/>
        <v>0</v>
      </c>
      <c r="CF452" s="891">
        <f t="shared" si="647"/>
        <v>0</v>
      </c>
      <c r="CG452" s="891">
        <f t="shared" si="647"/>
        <v>0</v>
      </c>
      <c r="CH452" s="891">
        <f t="shared" si="647"/>
        <v>0</v>
      </c>
      <c r="CI452" s="891">
        <f t="shared" si="647"/>
        <v>0</v>
      </c>
    </row>
    <row r="453" spans="1:87" s="891" customFormat="1" x14ac:dyDescent="0.2">
      <c r="A453" s="890" t="s">
        <v>956</v>
      </c>
      <c r="B453" s="891">
        <f t="shared" si="630"/>
        <v>3922</v>
      </c>
      <c r="C453" s="891">
        <f t="shared" ref="C453:BR453" si="648">+C41-C367</f>
        <v>-5106</v>
      </c>
      <c r="D453" s="891">
        <f t="shared" si="648"/>
        <v>0</v>
      </c>
      <c r="E453" s="891">
        <f t="shared" si="648"/>
        <v>9364</v>
      </c>
      <c r="F453" s="891">
        <f t="shared" si="648"/>
        <v>-364</v>
      </c>
      <c r="G453" s="891">
        <f t="shared" si="648"/>
        <v>0</v>
      </c>
      <c r="H453" s="891">
        <f t="shared" si="648"/>
        <v>0</v>
      </c>
      <c r="I453" s="891">
        <f t="shared" si="648"/>
        <v>0</v>
      </c>
      <c r="J453" s="891">
        <f t="shared" si="648"/>
        <v>0</v>
      </c>
      <c r="K453" s="891">
        <f t="shared" si="648"/>
        <v>0</v>
      </c>
      <c r="L453" s="891">
        <f t="shared" si="648"/>
        <v>0</v>
      </c>
      <c r="M453" s="891">
        <f t="shared" si="648"/>
        <v>0</v>
      </c>
      <c r="N453" s="891">
        <f t="shared" si="648"/>
        <v>0</v>
      </c>
      <c r="O453" s="891">
        <f t="shared" si="648"/>
        <v>28</v>
      </c>
      <c r="P453" s="891">
        <f t="shared" si="648"/>
        <v>0</v>
      </c>
      <c r="Q453" s="891">
        <f t="shared" si="648"/>
        <v>0</v>
      </c>
      <c r="R453" s="891">
        <f t="shared" si="648"/>
        <v>0</v>
      </c>
      <c r="S453" s="891">
        <f t="shared" si="648"/>
        <v>0</v>
      </c>
      <c r="T453" s="891">
        <f t="shared" si="648"/>
        <v>0</v>
      </c>
      <c r="U453" s="891">
        <f t="shared" si="648"/>
        <v>0</v>
      </c>
      <c r="V453" s="891">
        <f t="shared" si="648"/>
        <v>0</v>
      </c>
      <c r="W453" s="891">
        <f t="shared" si="648"/>
        <v>0</v>
      </c>
      <c r="X453" s="891">
        <f t="shared" si="648"/>
        <v>0</v>
      </c>
      <c r="Y453" s="891">
        <f t="shared" si="648"/>
        <v>0</v>
      </c>
      <c r="Z453" s="891">
        <f t="shared" si="648"/>
        <v>0</v>
      </c>
      <c r="AA453" s="891">
        <f t="shared" si="648"/>
        <v>0</v>
      </c>
      <c r="AB453" s="891">
        <f t="shared" ref="AB453:AW453" si="649">+AB41-AB367</f>
        <v>0</v>
      </c>
      <c r="AC453" s="891">
        <f t="shared" si="649"/>
        <v>0</v>
      </c>
      <c r="AD453" s="891">
        <f t="shared" si="649"/>
        <v>0</v>
      </c>
      <c r="AE453" s="891">
        <f t="shared" si="649"/>
        <v>0</v>
      </c>
      <c r="AF453" s="891">
        <f t="shared" si="649"/>
        <v>0</v>
      </c>
      <c r="AG453" s="891">
        <f t="shared" si="649"/>
        <v>0</v>
      </c>
      <c r="AH453" s="891">
        <f t="shared" si="649"/>
        <v>0</v>
      </c>
      <c r="AI453" s="891">
        <f t="shared" si="649"/>
        <v>0</v>
      </c>
      <c r="AJ453" s="891">
        <f t="shared" si="649"/>
        <v>0</v>
      </c>
      <c r="AK453" s="891">
        <f t="shared" si="649"/>
        <v>0</v>
      </c>
      <c r="AL453" s="891">
        <f t="shared" si="649"/>
        <v>0</v>
      </c>
      <c r="AM453" s="891">
        <f t="shared" si="649"/>
        <v>0</v>
      </c>
      <c r="AN453" s="891">
        <f t="shared" si="649"/>
        <v>0</v>
      </c>
      <c r="AO453" s="891">
        <f t="shared" si="649"/>
        <v>0</v>
      </c>
      <c r="AP453" s="891">
        <f t="shared" si="649"/>
        <v>0</v>
      </c>
      <c r="AR453" s="891">
        <f t="shared" si="649"/>
        <v>0</v>
      </c>
      <c r="AS453" s="891">
        <f t="shared" si="649"/>
        <v>0</v>
      </c>
      <c r="AT453" s="891">
        <f t="shared" si="649"/>
        <v>0</v>
      </c>
      <c r="AU453" s="891">
        <f t="shared" si="649"/>
        <v>0</v>
      </c>
      <c r="AV453" s="891">
        <f t="shared" si="649"/>
        <v>0</v>
      </c>
      <c r="AW453" s="891">
        <f t="shared" si="649"/>
        <v>0</v>
      </c>
      <c r="AX453" s="891">
        <f t="shared" si="648"/>
        <v>0</v>
      </c>
      <c r="AY453" s="891">
        <f t="shared" si="648"/>
        <v>0</v>
      </c>
      <c r="AZ453" s="891">
        <f t="shared" si="648"/>
        <v>0</v>
      </c>
      <c r="BA453" s="891">
        <f t="shared" si="648"/>
        <v>0</v>
      </c>
      <c r="BB453" s="891">
        <f t="shared" si="648"/>
        <v>0</v>
      </c>
      <c r="BC453" s="891">
        <f t="shared" si="648"/>
        <v>0</v>
      </c>
      <c r="BD453" s="891">
        <f t="shared" si="648"/>
        <v>0</v>
      </c>
      <c r="BE453" s="891">
        <f t="shared" si="648"/>
        <v>0</v>
      </c>
      <c r="BF453" s="891">
        <f t="shared" si="648"/>
        <v>0</v>
      </c>
      <c r="BG453" s="891">
        <f t="shared" si="648"/>
        <v>0</v>
      </c>
      <c r="BH453" s="891">
        <f t="shared" si="648"/>
        <v>0</v>
      </c>
      <c r="BI453" s="891">
        <f t="shared" si="648"/>
        <v>0</v>
      </c>
      <c r="BJ453" s="891">
        <f t="shared" si="648"/>
        <v>0</v>
      </c>
      <c r="BK453" s="891">
        <f t="shared" si="648"/>
        <v>0</v>
      </c>
      <c r="BL453" s="891">
        <f t="shared" si="648"/>
        <v>0</v>
      </c>
      <c r="BM453" s="891">
        <f t="shared" si="648"/>
        <v>0</v>
      </c>
      <c r="BN453" s="891">
        <f t="shared" si="648"/>
        <v>0</v>
      </c>
      <c r="BO453" s="891">
        <f t="shared" si="648"/>
        <v>0</v>
      </c>
      <c r="BP453" s="891">
        <f t="shared" si="648"/>
        <v>0</v>
      </c>
      <c r="BQ453" s="891">
        <f t="shared" si="648"/>
        <v>0</v>
      </c>
      <c r="BR453" s="891">
        <f t="shared" si="648"/>
        <v>0</v>
      </c>
      <c r="BS453" s="891">
        <f t="shared" ref="BS453:CC453" si="650">+BS41-BS367</f>
        <v>0</v>
      </c>
      <c r="BT453" s="891">
        <f t="shared" si="650"/>
        <v>0</v>
      </c>
      <c r="BU453" s="891">
        <f t="shared" si="650"/>
        <v>0</v>
      </c>
      <c r="BV453" s="891">
        <f t="shared" si="650"/>
        <v>0</v>
      </c>
      <c r="BW453" s="891">
        <f t="shared" si="650"/>
        <v>0</v>
      </c>
      <c r="BX453" s="891">
        <f t="shared" si="650"/>
        <v>0</v>
      </c>
      <c r="BY453" s="891">
        <f t="shared" si="650"/>
        <v>0</v>
      </c>
      <c r="BZ453" s="891">
        <f t="shared" si="650"/>
        <v>0</v>
      </c>
      <c r="CA453" s="891">
        <f t="shared" si="650"/>
        <v>0</v>
      </c>
      <c r="CB453" s="891">
        <f t="shared" si="650"/>
        <v>0</v>
      </c>
      <c r="CC453" s="891">
        <f t="shared" si="650"/>
        <v>0</v>
      </c>
      <c r="CD453" s="891">
        <f t="shared" ref="CD453:CI453" si="651">+CD41-CD367</f>
        <v>0</v>
      </c>
      <c r="CE453" s="891">
        <f t="shared" si="651"/>
        <v>0</v>
      </c>
      <c r="CF453" s="891">
        <f t="shared" si="651"/>
        <v>0</v>
      </c>
      <c r="CG453" s="891">
        <f t="shared" si="651"/>
        <v>0</v>
      </c>
      <c r="CH453" s="891">
        <f t="shared" si="651"/>
        <v>0</v>
      </c>
      <c r="CI453" s="891">
        <f t="shared" si="651"/>
        <v>0</v>
      </c>
    </row>
    <row r="454" spans="1:87" s="891" customFormat="1" x14ac:dyDescent="0.2">
      <c r="A454" s="890" t="s">
        <v>961</v>
      </c>
      <c r="B454" s="891">
        <f t="shared" si="630"/>
        <v>-3736</v>
      </c>
      <c r="C454" s="891">
        <f t="shared" ref="C454:BR454" si="652">+C42-C368</f>
        <v>0</v>
      </c>
      <c r="D454" s="891">
        <f t="shared" si="652"/>
        <v>0</v>
      </c>
      <c r="E454" s="891">
        <f t="shared" si="652"/>
        <v>-3412</v>
      </c>
      <c r="F454" s="891">
        <f t="shared" si="652"/>
        <v>-273</v>
      </c>
      <c r="G454" s="891">
        <f t="shared" si="652"/>
        <v>30</v>
      </c>
      <c r="H454" s="891">
        <f t="shared" si="652"/>
        <v>0</v>
      </c>
      <c r="I454" s="891">
        <f t="shared" si="652"/>
        <v>0</v>
      </c>
      <c r="J454" s="891">
        <f t="shared" si="652"/>
        <v>0</v>
      </c>
      <c r="K454" s="891">
        <f t="shared" si="652"/>
        <v>0</v>
      </c>
      <c r="L454" s="891">
        <f t="shared" si="652"/>
        <v>0</v>
      </c>
      <c r="M454" s="891">
        <f t="shared" si="652"/>
        <v>0</v>
      </c>
      <c r="N454" s="891">
        <f t="shared" si="652"/>
        <v>0</v>
      </c>
      <c r="O454" s="891">
        <f t="shared" si="652"/>
        <v>-81</v>
      </c>
      <c r="P454" s="891">
        <f t="shared" si="652"/>
        <v>0</v>
      </c>
      <c r="Q454" s="891">
        <f t="shared" si="652"/>
        <v>0</v>
      </c>
      <c r="R454" s="891">
        <f t="shared" si="652"/>
        <v>0</v>
      </c>
      <c r="S454" s="891">
        <f t="shared" si="652"/>
        <v>0</v>
      </c>
      <c r="T454" s="891">
        <f t="shared" si="652"/>
        <v>0</v>
      </c>
      <c r="U454" s="891">
        <f t="shared" si="652"/>
        <v>0</v>
      </c>
      <c r="V454" s="891">
        <f t="shared" si="652"/>
        <v>0</v>
      </c>
      <c r="W454" s="891">
        <f t="shared" si="652"/>
        <v>0</v>
      </c>
      <c r="X454" s="891">
        <f t="shared" si="652"/>
        <v>0</v>
      </c>
      <c r="Y454" s="891">
        <f t="shared" si="652"/>
        <v>0</v>
      </c>
      <c r="Z454" s="891">
        <f t="shared" si="652"/>
        <v>0</v>
      </c>
      <c r="AA454" s="891">
        <f t="shared" si="652"/>
        <v>0</v>
      </c>
      <c r="AB454" s="891">
        <f t="shared" ref="AB454:AW454" si="653">+AB42-AB368</f>
        <v>0</v>
      </c>
      <c r="AC454" s="891">
        <f t="shared" si="653"/>
        <v>0</v>
      </c>
      <c r="AD454" s="891">
        <f t="shared" si="653"/>
        <v>0</v>
      </c>
      <c r="AE454" s="891">
        <f t="shared" si="653"/>
        <v>0</v>
      </c>
      <c r="AF454" s="891">
        <f t="shared" si="653"/>
        <v>0</v>
      </c>
      <c r="AG454" s="891">
        <f t="shared" si="653"/>
        <v>0</v>
      </c>
      <c r="AH454" s="891">
        <f t="shared" si="653"/>
        <v>0</v>
      </c>
      <c r="AI454" s="891">
        <f t="shared" si="653"/>
        <v>0</v>
      </c>
      <c r="AJ454" s="891">
        <f t="shared" si="653"/>
        <v>0</v>
      </c>
      <c r="AK454" s="891">
        <f t="shared" si="653"/>
        <v>0</v>
      </c>
      <c r="AL454" s="891">
        <f t="shared" si="653"/>
        <v>0</v>
      </c>
      <c r="AM454" s="891">
        <f t="shared" si="653"/>
        <v>0</v>
      </c>
      <c r="AN454" s="891">
        <f t="shared" si="653"/>
        <v>0</v>
      </c>
      <c r="AO454" s="891">
        <f t="shared" si="653"/>
        <v>0</v>
      </c>
      <c r="AP454" s="891">
        <f t="shared" si="653"/>
        <v>0</v>
      </c>
      <c r="AR454" s="891">
        <f t="shared" si="653"/>
        <v>0</v>
      </c>
      <c r="AS454" s="891">
        <f t="shared" si="653"/>
        <v>0</v>
      </c>
      <c r="AT454" s="891">
        <f t="shared" si="653"/>
        <v>0</v>
      </c>
      <c r="AU454" s="891">
        <f t="shared" si="653"/>
        <v>0</v>
      </c>
      <c r="AV454" s="891">
        <f t="shared" si="653"/>
        <v>0</v>
      </c>
      <c r="AW454" s="891">
        <f t="shared" si="653"/>
        <v>0</v>
      </c>
      <c r="AX454" s="891">
        <f t="shared" si="652"/>
        <v>0</v>
      </c>
      <c r="AY454" s="891">
        <f t="shared" si="652"/>
        <v>0</v>
      </c>
      <c r="AZ454" s="891">
        <f t="shared" si="652"/>
        <v>0</v>
      </c>
      <c r="BA454" s="891">
        <f t="shared" si="652"/>
        <v>0</v>
      </c>
      <c r="BB454" s="891">
        <f t="shared" si="652"/>
        <v>0</v>
      </c>
      <c r="BC454" s="891">
        <f t="shared" si="652"/>
        <v>0</v>
      </c>
      <c r="BD454" s="891">
        <f t="shared" si="652"/>
        <v>0</v>
      </c>
      <c r="BE454" s="891">
        <f t="shared" si="652"/>
        <v>0</v>
      </c>
      <c r="BF454" s="891">
        <f t="shared" si="652"/>
        <v>0</v>
      </c>
      <c r="BG454" s="891">
        <f t="shared" si="652"/>
        <v>0</v>
      </c>
      <c r="BH454" s="891">
        <f t="shared" si="652"/>
        <v>0</v>
      </c>
      <c r="BI454" s="891">
        <f t="shared" si="652"/>
        <v>0</v>
      </c>
      <c r="BJ454" s="891">
        <f t="shared" si="652"/>
        <v>0</v>
      </c>
      <c r="BK454" s="891">
        <f t="shared" si="652"/>
        <v>0</v>
      </c>
      <c r="BL454" s="891">
        <f t="shared" si="652"/>
        <v>0</v>
      </c>
      <c r="BM454" s="891">
        <f t="shared" si="652"/>
        <v>0</v>
      </c>
      <c r="BN454" s="891">
        <f t="shared" si="652"/>
        <v>0</v>
      </c>
      <c r="BO454" s="891">
        <f t="shared" si="652"/>
        <v>0</v>
      </c>
      <c r="BP454" s="891">
        <f t="shared" si="652"/>
        <v>0</v>
      </c>
      <c r="BQ454" s="891">
        <f t="shared" si="652"/>
        <v>0</v>
      </c>
      <c r="BR454" s="891">
        <f t="shared" si="652"/>
        <v>0</v>
      </c>
      <c r="BS454" s="891">
        <f t="shared" ref="BS454:CC454" si="654">+BS42-BS368</f>
        <v>0</v>
      </c>
      <c r="BT454" s="891">
        <f t="shared" si="654"/>
        <v>0</v>
      </c>
      <c r="BU454" s="891">
        <f t="shared" si="654"/>
        <v>0</v>
      </c>
      <c r="BV454" s="891">
        <f t="shared" si="654"/>
        <v>0</v>
      </c>
      <c r="BW454" s="891">
        <f t="shared" si="654"/>
        <v>0</v>
      </c>
      <c r="BX454" s="891">
        <f t="shared" si="654"/>
        <v>0</v>
      </c>
      <c r="BY454" s="891">
        <f t="shared" si="654"/>
        <v>0</v>
      </c>
      <c r="BZ454" s="891">
        <f t="shared" si="654"/>
        <v>0</v>
      </c>
      <c r="CA454" s="891">
        <f t="shared" si="654"/>
        <v>0</v>
      </c>
      <c r="CB454" s="891">
        <f t="shared" si="654"/>
        <v>0</v>
      </c>
      <c r="CC454" s="891">
        <f t="shared" si="654"/>
        <v>0</v>
      </c>
      <c r="CD454" s="891">
        <f t="shared" ref="CD454:CI454" si="655">+CD42-CD368</f>
        <v>0</v>
      </c>
      <c r="CE454" s="891">
        <f t="shared" si="655"/>
        <v>0</v>
      </c>
      <c r="CF454" s="891">
        <f t="shared" si="655"/>
        <v>0</v>
      </c>
      <c r="CG454" s="891">
        <f t="shared" si="655"/>
        <v>0</v>
      </c>
      <c r="CH454" s="891">
        <f t="shared" si="655"/>
        <v>0</v>
      </c>
      <c r="CI454" s="891">
        <f t="shared" si="655"/>
        <v>0</v>
      </c>
    </row>
    <row r="455" spans="1:87" s="891" customFormat="1" x14ac:dyDescent="0.2">
      <c r="A455" s="890" t="s">
        <v>960</v>
      </c>
      <c r="B455" s="891">
        <f t="shared" si="630"/>
        <v>-7960</v>
      </c>
      <c r="C455" s="891">
        <f t="shared" ref="C455:BR455" si="656">+C43-C369</f>
        <v>0</v>
      </c>
      <c r="D455" s="891">
        <f t="shared" si="656"/>
        <v>0</v>
      </c>
      <c r="E455" s="891">
        <f t="shared" si="656"/>
        <v>0</v>
      </c>
      <c r="F455" s="891">
        <f t="shared" si="656"/>
        <v>-2</v>
      </c>
      <c r="G455" s="891">
        <f t="shared" si="656"/>
        <v>0</v>
      </c>
      <c r="H455" s="891">
        <f t="shared" si="656"/>
        <v>0</v>
      </c>
      <c r="I455" s="891">
        <f t="shared" si="656"/>
        <v>0</v>
      </c>
      <c r="J455" s="891">
        <f t="shared" si="656"/>
        <v>0</v>
      </c>
      <c r="K455" s="891">
        <f t="shared" si="656"/>
        <v>0</v>
      </c>
      <c r="L455" s="891">
        <f t="shared" si="656"/>
        <v>0</v>
      </c>
      <c r="M455" s="891">
        <f t="shared" si="656"/>
        <v>0</v>
      </c>
      <c r="N455" s="891">
        <f t="shared" si="656"/>
        <v>-7958</v>
      </c>
      <c r="O455" s="891">
        <f t="shared" si="656"/>
        <v>0</v>
      </c>
      <c r="P455" s="891">
        <f t="shared" si="656"/>
        <v>0</v>
      </c>
      <c r="Q455" s="891">
        <f t="shared" si="656"/>
        <v>0</v>
      </c>
      <c r="R455" s="891">
        <f t="shared" si="656"/>
        <v>0</v>
      </c>
      <c r="S455" s="891">
        <f t="shared" si="656"/>
        <v>0</v>
      </c>
      <c r="T455" s="891">
        <f t="shared" si="656"/>
        <v>0</v>
      </c>
      <c r="U455" s="891">
        <f t="shared" si="656"/>
        <v>0</v>
      </c>
      <c r="V455" s="891">
        <f t="shared" si="656"/>
        <v>0</v>
      </c>
      <c r="W455" s="891">
        <f t="shared" si="656"/>
        <v>0</v>
      </c>
      <c r="X455" s="891">
        <f t="shared" si="656"/>
        <v>0</v>
      </c>
      <c r="Y455" s="891">
        <f t="shared" si="656"/>
        <v>0</v>
      </c>
      <c r="Z455" s="891">
        <f t="shared" si="656"/>
        <v>0</v>
      </c>
      <c r="AA455" s="891">
        <f t="shared" si="656"/>
        <v>0</v>
      </c>
      <c r="AB455" s="891">
        <f t="shared" ref="AB455:AW455" si="657">+AB43-AB369</f>
        <v>0</v>
      </c>
      <c r="AC455" s="891">
        <f t="shared" si="657"/>
        <v>0</v>
      </c>
      <c r="AD455" s="891">
        <f t="shared" si="657"/>
        <v>0</v>
      </c>
      <c r="AE455" s="891">
        <f t="shared" si="657"/>
        <v>0</v>
      </c>
      <c r="AF455" s="891">
        <f t="shared" si="657"/>
        <v>0</v>
      </c>
      <c r="AG455" s="891">
        <f t="shared" si="657"/>
        <v>0</v>
      </c>
      <c r="AH455" s="891">
        <f t="shared" si="657"/>
        <v>0</v>
      </c>
      <c r="AI455" s="891">
        <f t="shared" si="657"/>
        <v>0</v>
      </c>
      <c r="AJ455" s="891">
        <f t="shared" si="657"/>
        <v>0</v>
      </c>
      <c r="AK455" s="891">
        <f t="shared" si="657"/>
        <v>0</v>
      </c>
      <c r="AL455" s="891">
        <f t="shared" si="657"/>
        <v>0</v>
      </c>
      <c r="AM455" s="891">
        <f t="shared" si="657"/>
        <v>0</v>
      </c>
      <c r="AN455" s="891">
        <f t="shared" si="657"/>
        <v>0</v>
      </c>
      <c r="AO455" s="891">
        <f t="shared" si="657"/>
        <v>0</v>
      </c>
      <c r="AP455" s="891">
        <f t="shared" si="657"/>
        <v>0</v>
      </c>
      <c r="AR455" s="891">
        <f t="shared" si="657"/>
        <v>0</v>
      </c>
      <c r="AS455" s="891">
        <f t="shared" si="657"/>
        <v>0</v>
      </c>
      <c r="AT455" s="891">
        <f t="shared" si="657"/>
        <v>0</v>
      </c>
      <c r="AU455" s="891">
        <f t="shared" si="657"/>
        <v>0</v>
      </c>
      <c r="AV455" s="891">
        <f t="shared" si="657"/>
        <v>0</v>
      </c>
      <c r="AW455" s="891">
        <f t="shared" si="657"/>
        <v>0</v>
      </c>
      <c r="AX455" s="891">
        <f t="shared" si="656"/>
        <v>0</v>
      </c>
      <c r="AY455" s="891">
        <f t="shared" si="656"/>
        <v>0</v>
      </c>
      <c r="AZ455" s="891">
        <f t="shared" si="656"/>
        <v>0</v>
      </c>
      <c r="BA455" s="891">
        <f t="shared" si="656"/>
        <v>0</v>
      </c>
      <c r="BB455" s="891">
        <f t="shared" si="656"/>
        <v>0</v>
      </c>
      <c r="BC455" s="891">
        <f t="shared" si="656"/>
        <v>0</v>
      </c>
      <c r="BD455" s="891">
        <f t="shared" si="656"/>
        <v>0</v>
      </c>
      <c r="BE455" s="891">
        <f t="shared" si="656"/>
        <v>0</v>
      </c>
      <c r="BF455" s="891">
        <f t="shared" si="656"/>
        <v>0</v>
      </c>
      <c r="BG455" s="891">
        <f t="shared" si="656"/>
        <v>0</v>
      </c>
      <c r="BH455" s="891">
        <f t="shared" si="656"/>
        <v>0</v>
      </c>
      <c r="BI455" s="891">
        <f t="shared" si="656"/>
        <v>0</v>
      </c>
      <c r="BJ455" s="891">
        <f t="shared" si="656"/>
        <v>0</v>
      </c>
      <c r="BK455" s="891">
        <f t="shared" si="656"/>
        <v>0</v>
      </c>
      <c r="BL455" s="891">
        <f t="shared" si="656"/>
        <v>0</v>
      </c>
      <c r="BM455" s="891">
        <f t="shared" si="656"/>
        <v>0</v>
      </c>
      <c r="BN455" s="891">
        <f t="shared" si="656"/>
        <v>0</v>
      </c>
      <c r="BO455" s="891">
        <f t="shared" si="656"/>
        <v>0</v>
      </c>
      <c r="BP455" s="891">
        <f t="shared" si="656"/>
        <v>0</v>
      </c>
      <c r="BQ455" s="891">
        <f t="shared" si="656"/>
        <v>0</v>
      </c>
      <c r="BR455" s="891">
        <f t="shared" si="656"/>
        <v>0</v>
      </c>
      <c r="BS455" s="891">
        <f t="shared" ref="BS455:CC455" si="658">+BS43-BS369</f>
        <v>0</v>
      </c>
      <c r="BT455" s="891">
        <f t="shared" si="658"/>
        <v>0</v>
      </c>
      <c r="BU455" s="891">
        <f t="shared" si="658"/>
        <v>0</v>
      </c>
      <c r="BV455" s="891">
        <f t="shared" si="658"/>
        <v>0</v>
      </c>
      <c r="BW455" s="891">
        <f t="shared" si="658"/>
        <v>0</v>
      </c>
      <c r="BX455" s="891">
        <f t="shared" si="658"/>
        <v>0</v>
      </c>
      <c r="BY455" s="891">
        <f t="shared" si="658"/>
        <v>0</v>
      </c>
      <c r="BZ455" s="891">
        <f t="shared" si="658"/>
        <v>0</v>
      </c>
      <c r="CA455" s="891">
        <f t="shared" si="658"/>
        <v>0</v>
      </c>
      <c r="CB455" s="891">
        <f t="shared" si="658"/>
        <v>0</v>
      </c>
      <c r="CC455" s="891">
        <f t="shared" si="658"/>
        <v>0</v>
      </c>
      <c r="CD455" s="891">
        <f t="shared" ref="CD455:CI455" si="659">+CD43-CD369</f>
        <v>0</v>
      </c>
      <c r="CE455" s="891">
        <f t="shared" si="659"/>
        <v>0</v>
      </c>
      <c r="CF455" s="891">
        <f t="shared" si="659"/>
        <v>0</v>
      </c>
      <c r="CG455" s="891">
        <f t="shared" si="659"/>
        <v>0</v>
      </c>
      <c r="CH455" s="891">
        <f t="shared" si="659"/>
        <v>0</v>
      </c>
      <c r="CI455" s="891">
        <f t="shared" si="659"/>
        <v>0</v>
      </c>
    </row>
    <row r="456" spans="1:87" s="891" customFormat="1" x14ac:dyDescent="0.2">
      <c r="A456" s="890" t="s">
        <v>963</v>
      </c>
      <c r="B456" s="891">
        <f t="shared" si="630"/>
        <v>7413</v>
      </c>
      <c r="C456" s="891">
        <f t="shared" ref="C456:BR456" si="660">+C44-C370</f>
        <v>-2243</v>
      </c>
      <c r="D456" s="891">
        <f t="shared" si="660"/>
        <v>0</v>
      </c>
      <c r="E456" s="891">
        <f t="shared" si="660"/>
        <v>3354</v>
      </c>
      <c r="F456" s="891">
        <f t="shared" si="660"/>
        <v>2184</v>
      </c>
      <c r="G456" s="891">
        <f t="shared" si="660"/>
        <v>-1470</v>
      </c>
      <c r="H456" s="891">
        <f t="shared" si="660"/>
        <v>0</v>
      </c>
      <c r="I456" s="891">
        <f t="shared" si="660"/>
        <v>6776</v>
      </c>
      <c r="J456" s="891">
        <f t="shared" si="660"/>
        <v>0</v>
      </c>
      <c r="K456" s="891">
        <f t="shared" si="660"/>
        <v>0</v>
      </c>
      <c r="L456" s="891">
        <f t="shared" si="660"/>
        <v>0</v>
      </c>
      <c r="M456" s="891">
        <f t="shared" si="660"/>
        <v>0</v>
      </c>
      <c r="N456" s="891">
        <f t="shared" si="660"/>
        <v>0</v>
      </c>
      <c r="O456" s="891">
        <f t="shared" si="660"/>
        <v>-36</v>
      </c>
      <c r="P456" s="891">
        <f t="shared" si="660"/>
        <v>0</v>
      </c>
      <c r="Q456" s="891">
        <f t="shared" si="660"/>
        <v>0</v>
      </c>
      <c r="R456" s="891">
        <f t="shared" si="660"/>
        <v>0</v>
      </c>
      <c r="S456" s="891">
        <f t="shared" si="660"/>
        <v>0</v>
      </c>
      <c r="T456" s="891">
        <f t="shared" si="660"/>
        <v>0</v>
      </c>
      <c r="U456" s="891">
        <f t="shared" si="660"/>
        <v>0</v>
      </c>
      <c r="V456" s="891">
        <f t="shared" si="660"/>
        <v>0</v>
      </c>
      <c r="W456" s="891">
        <f t="shared" si="660"/>
        <v>0</v>
      </c>
      <c r="X456" s="891">
        <f t="shared" si="660"/>
        <v>0</v>
      </c>
      <c r="Y456" s="891">
        <f t="shared" si="660"/>
        <v>0</v>
      </c>
      <c r="Z456" s="891">
        <f t="shared" si="660"/>
        <v>0</v>
      </c>
      <c r="AA456" s="891">
        <f t="shared" si="660"/>
        <v>0</v>
      </c>
      <c r="AB456" s="891">
        <f t="shared" ref="AB456:AW456" si="661">+AB44-AB370</f>
        <v>0</v>
      </c>
      <c r="AC456" s="891">
        <f t="shared" si="661"/>
        <v>0</v>
      </c>
      <c r="AD456" s="891">
        <f t="shared" si="661"/>
        <v>0</v>
      </c>
      <c r="AE456" s="891">
        <f t="shared" si="661"/>
        <v>0</v>
      </c>
      <c r="AF456" s="891">
        <f t="shared" si="661"/>
        <v>0</v>
      </c>
      <c r="AG456" s="891">
        <f t="shared" si="661"/>
        <v>0</v>
      </c>
      <c r="AH456" s="891">
        <f t="shared" si="661"/>
        <v>0</v>
      </c>
      <c r="AI456" s="891">
        <f t="shared" si="661"/>
        <v>0</v>
      </c>
      <c r="AJ456" s="891">
        <f t="shared" si="661"/>
        <v>0</v>
      </c>
      <c r="AK456" s="891">
        <f t="shared" si="661"/>
        <v>0</v>
      </c>
      <c r="AL456" s="891">
        <f t="shared" si="661"/>
        <v>0</v>
      </c>
      <c r="AM456" s="891">
        <f t="shared" si="661"/>
        <v>0</v>
      </c>
      <c r="AN456" s="891">
        <f t="shared" si="661"/>
        <v>0</v>
      </c>
      <c r="AO456" s="891">
        <f t="shared" si="661"/>
        <v>0</v>
      </c>
      <c r="AP456" s="891">
        <f t="shared" si="661"/>
        <v>0</v>
      </c>
      <c r="AR456" s="891">
        <f t="shared" si="661"/>
        <v>0</v>
      </c>
      <c r="AS456" s="891">
        <f t="shared" si="661"/>
        <v>0</v>
      </c>
      <c r="AT456" s="891">
        <f t="shared" si="661"/>
        <v>0</v>
      </c>
      <c r="AU456" s="891">
        <f t="shared" si="661"/>
        <v>0</v>
      </c>
      <c r="AV456" s="891">
        <f t="shared" si="661"/>
        <v>0</v>
      </c>
      <c r="AW456" s="891">
        <f t="shared" si="661"/>
        <v>0</v>
      </c>
      <c r="AX456" s="891">
        <f t="shared" si="660"/>
        <v>0</v>
      </c>
      <c r="AY456" s="891">
        <f t="shared" si="660"/>
        <v>0</v>
      </c>
      <c r="AZ456" s="891">
        <f t="shared" si="660"/>
        <v>0</v>
      </c>
      <c r="BA456" s="891">
        <f t="shared" si="660"/>
        <v>0</v>
      </c>
      <c r="BB456" s="891">
        <f t="shared" si="660"/>
        <v>0</v>
      </c>
      <c r="BC456" s="891">
        <f t="shared" si="660"/>
        <v>0</v>
      </c>
      <c r="BD456" s="891">
        <f t="shared" si="660"/>
        <v>0</v>
      </c>
      <c r="BE456" s="891">
        <f t="shared" si="660"/>
        <v>0</v>
      </c>
      <c r="BF456" s="891">
        <f t="shared" si="660"/>
        <v>0</v>
      </c>
      <c r="BG456" s="891">
        <f t="shared" si="660"/>
        <v>0</v>
      </c>
      <c r="BH456" s="891">
        <f t="shared" si="660"/>
        <v>0</v>
      </c>
      <c r="BI456" s="891">
        <f t="shared" si="660"/>
        <v>0</v>
      </c>
      <c r="BJ456" s="891">
        <f t="shared" si="660"/>
        <v>0</v>
      </c>
      <c r="BK456" s="891">
        <f t="shared" si="660"/>
        <v>0</v>
      </c>
      <c r="BL456" s="891">
        <f t="shared" si="660"/>
        <v>0</v>
      </c>
      <c r="BM456" s="891">
        <f t="shared" si="660"/>
        <v>0</v>
      </c>
      <c r="BN456" s="891">
        <f t="shared" si="660"/>
        <v>0</v>
      </c>
      <c r="BO456" s="891">
        <f t="shared" si="660"/>
        <v>0</v>
      </c>
      <c r="BP456" s="891">
        <f t="shared" si="660"/>
        <v>0</v>
      </c>
      <c r="BQ456" s="891">
        <f t="shared" si="660"/>
        <v>0</v>
      </c>
      <c r="BR456" s="891">
        <f t="shared" si="660"/>
        <v>0</v>
      </c>
      <c r="BS456" s="891">
        <f t="shared" ref="BS456:CC456" si="662">+BS44-BS370</f>
        <v>-1152</v>
      </c>
      <c r="BT456" s="891">
        <f t="shared" si="662"/>
        <v>0</v>
      </c>
      <c r="BU456" s="891">
        <f t="shared" si="662"/>
        <v>0</v>
      </c>
      <c r="BV456" s="891">
        <f t="shared" si="662"/>
        <v>0</v>
      </c>
      <c r="BW456" s="891">
        <f t="shared" si="662"/>
        <v>0</v>
      </c>
      <c r="BX456" s="891">
        <f t="shared" si="662"/>
        <v>0</v>
      </c>
      <c r="BY456" s="891">
        <f t="shared" si="662"/>
        <v>0</v>
      </c>
      <c r="BZ456" s="891">
        <f t="shared" si="662"/>
        <v>0</v>
      </c>
      <c r="CA456" s="891">
        <f t="shared" si="662"/>
        <v>0</v>
      </c>
      <c r="CB456" s="891">
        <f t="shared" si="662"/>
        <v>0</v>
      </c>
      <c r="CC456" s="891">
        <f t="shared" si="662"/>
        <v>0</v>
      </c>
      <c r="CD456" s="891">
        <f t="shared" ref="CD456:CI456" si="663">+CD44-CD370</f>
        <v>0</v>
      </c>
      <c r="CE456" s="891">
        <f t="shared" si="663"/>
        <v>0</v>
      </c>
      <c r="CF456" s="891">
        <f t="shared" si="663"/>
        <v>0</v>
      </c>
      <c r="CG456" s="891">
        <f t="shared" si="663"/>
        <v>0</v>
      </c>
      <c r="CH456" s="891">
        <f t="shared" si="663"/>
        <v>0</v>
      </c>
      <c r="CI456" s="891">
        <f t="shared" si="663"/>
        <v>0</v>
      </c>
    </row>
    <row r="457" spans="1:87" s="891" customFormat="1" x14ac:dyDescent="0.2">
      <c r="A457" s="890" t="s">
        <v>959</v>
      </c>
      <c r="B457" s="891">
        <f t="shared" si="630"/>
        <v>23951</v>
      </c>
      <c r="C457" s="891">
        <f t="shared" ref="C457:BR457" si="664">+C45-C371</f>
        <v>-850</v>
      </c>
      <c r="D457" s="891">
        <f t="shared" si="664"/>
        <v>0</v>
      </c>
      <c r="E457" s="891">
        <f t="shared" si="664"/>
        <v>-5403</v>
      </c>
      <c r="F457" s="891">
        <f t="shared" si="664"/>
        <v>30662</v>
      </c>
      <c r="G457" s="891">
        <f t="shared" si="664"/>
        <v>-502</v>
      </c>
      <c r="H457" s="891">
        <f t="shared" si="664"/>
        <v>0</v>
      </c>
      <c r="I457" s="891">
        <f t="shared" si="664"/>
        <v>0</v>
      </c>
      <c r="J457" s="891">
        <f t="shared" si="664"/>
        <v>0</v>
      </c>
      <c r="K457" s="891">
        <f t="shared" si="664"/>
        <v>0</v>
      </c>
      <c r="L457" s="891">
        <f t="shared" si="664"/>
        <v>0</v>
      </c>
      <c r="M457" s="891">
        <f t="shared" si="664"/>
        <v>0</v>
      </c>
      <c r="N457" s="891">
        <f t="shared" si="664"/>
        <v>0</v>
      </c>
      <c r="O457" s="891">
        <f t="shared" si="664"/>
        <v>44</v>
      </c>
      <c r="P457" s="891">
        <f t="shared" si="664"/>
        <v>0</v>
      </c>
      <c r="Q457" s="891">
        <f t="shared" si="664"/>
        <v>0</v>
      </c>
      <c r="R457" s="891">
        <f t="shared" si="664"/>
        <v>0</v>
      </c>
      <c r="S457" s="891">
        <f t="shared" si="664"/>
        <v>0</v>
      </c>
      <c r="T457" s="891">
        <f t="shared" si="664"/>
        <v>0</v>
      </c>
      <c r="U457" s="891">
        <f t="shared" si="664"/>
        <v>0</v>
      </c>
      <c r="V457" s="891">
        <f t="shared" si="664"/>
        <v>0</v>
      </c>
      <c r="W457" s="891">
        <f t="shared" si="664"/>
        <v>0</v>
      </c>
      <c r="X457" s="891">
        <f t="shared" si="664"/>
        <v>0</v>
      </c>
      <c r="Y457" s="891">
        <f t="shared" si="664"/>
        <v>0</v>
      </c>
      <c r="Z457" s="891">
        <f t="shared" si="664"/>
        <v>0</v>
      </c>
      <c r="AA457" s="891">
        <f t="shared" si="664"/>
        <v>0</v>
      </c>
      <c r="AB457" s="891">
        <f t="shared" ref="AB457:AW457" si="665">+AB45-AB371</f>
        <v>0</v>
      </c>
      <c r="AC457" s="891">
        <f t="shared" si="665"/>
        <v>0</v>
      </c>
      <c r="AD457" s="891">
        <f t="shared" si="665"/>
        <v>0</v>
      </c>
      <c r="AE457" s="891">
        <f t="shared" si="665"/>
        <v>0</v>
      </c>
      <c r="AF457" s="891">
        <f t="shared" si="665"/>
        <v>0</v>
      </c>
      <c r="AG457" s="891">
        <f t="shared" si="665"/>
        <v>0</v>
      </c>
      <c r="AH457" s="891">
        <f t="shared" si="665"/>
        <v>0</v>
      </c>
      <c r="AI457" s="891">
        <f t="shared" si="665"/>
        <v>0</v>
      </c>
      <c r="AJ457" s="891">
        <f t="shared" si="665"/>
        <v>0</v>
      </c>
      <c r="AK457" s="891">
        <f t="shared" si="665"/>
        <v>0</v>
      </c>
      <c r="AL457" s="891">
        <f t="shared" si="665"/>
        <v>0</v>
      </c>
      <c r="AM457" s="891">
        <f t="shared" si="665"/>
        <v>0</v>
      </c>
      <c r="AN457" s="891">
        <f t="shared" si="665"/>
        <v>0</v>
      </c>
      <c r="AO457" s="891">
        <f t="shared" si="665"/>
        <v>0</v>
      </c>
      <c r="AP457" s="891">
        <f t="shared" si="665"/>
        <v>0</v>
      </c>
      <c r="AR457" s="891">
        <f t="shared" si="665"/>
        <v>0</v>
      </c>
      <c r="AS457" s="891">
        <f t="shared" si="665"/>
        <v>0</v>
      </c>
      <c r="AT457" s="891">
        <f t="shared" si="665"/>
        <v>0</v>
      </c>
      <c r="AU457" s="891">
        <f t="shared" si="665"/>
        <v>0</v>
      </c>
      <c r="AV457" s="891">
        <f t="shared" si="665"/>
        <v>0</v>
      </c>
      <c r="AW457" s="891">
        <f t="shared" si="665"/>
        <v>0</v>
      </c>
      <c r="AX457" s="891">
        <f t="shared" si="664"/>
        <v>0</v>
      </c>
      <c r="AY457" s="891">
        <f t="shared" si="664"/>
        <v>0</v>
      </c>
      <c r="AZ457" s="891">
        <f t="shared" si="664"/>
        <v>0</v>
      </c>
      <c r="BA457" s="891">
        <f t="shared" si="664"/>
        <v>0</v>
      </c>
      <c r="BB457" s="891">
        <f t="shared" si="664"/>
        <v>0</v>
      </c>
      <c r="BC457" s="891">
        <f t="shared" si="664"/>
        <v>0</v>
      </c>
      <c r="BD457" s="891">
        <f t="shared" si="664"/>
        <v>0</v>
      </c>
      <c r="BE457" s="891">
        <f t="shared" si="664"/>
        <v>0</v>
      </c>
      <c r="BF457" s="891">
        <f t="shared" si="664"/>
        <v>0</v>
      </c>
      <c r="BG457" s="891">
        <f t="shared" si="664"/>
        <v>0</v>
      </c>
      <c r="BH457" s="891">
        <f t="shared" si="664"/>
        <v>0</v>
      </c>
      <c r="BI457" s="891">
        <f t="shared" si="664"/>
        <v>0</v>
      </c>
      <c r="BJ457" s="891">
        <f t="shared" si="664"/>
        <v>0</v>
      </c>
      <c r="BK457" s="891">
        <f t="shared" si="664"/>
        <v>0</v>
      </c>
      <c r="BL457" s="891">
        <f t="shared" si="664"/>
        <v>0</v>
      </c>
      <c r="BM457" s="891">
        <f t="shared" si="664"/>
        <v>0</v>
      </c>
      <c r="BN457" s="891">
        <f t="shared" si="664"/>
        <v>0</v>
      </c>
      <c r="BO457" s="891">
        <f t="shared" si="664"/>
        <v>0</v>
      </c>
      <c r="BP457" s="891">
        <f t="shared" si="664"/>
        <v>0</v>
      </c>
      <c r="BQ457" s="891">
        <f t="shared" si="664"/>
        <v>0</v>
      </c>
      <c r="BR457" s="891">
        <f t="shared" si="664"/>
        <v>0</v>
      </c>
      <c r="BS457" s="891">
        <f t="shared" ref="BS457:CC457" si="666">+BS45-BS371</f>
        <v>0</v>
      </c>
      <c r="BT457" s="891">
        <f t="shared" si="666"/>
        <v>0</v>
      </c>
      <c r="BU457" s="891">
        <f t="shared" si="666"/>
        <v>0</v>
      </c>
      <c r="BV457" s="891">
        <f t="shared" si="666"/>
        <v>0</v>
      </c>
      <c r="BW457" s="891">
        <f t="shared" si="666"/>
        <v>0</v>
      </c>
      <c r="BX457" s="891">
        <f t="shared" si="666"/>
        <v>0</v>
      </c>
      <c r="BY457" s="891">
        <f t="shared" si="666"/>
        <v>0</v>
      </c>
      <c r="BZ457" s="891">
        <f t="shared" si="666"/>
        <v>0</v>
      </c>
      <c r="CA457" s="891">
        <f t="shared" si="666"/>
        <v>0</v>
      </c>
      <c r="CB457" s="891">
        <f t="shared" si="666"/>
        <v>0</v>
      </c>
      <c r="CC457" s="891">
        <f t="shared" si="666"/>
        <v>0</v>
      </c>
      <c r="CD457" s="891">
        <f t="shared" ref="CD457:CI457" si="667">+CD45-CD371</f>
        <v>0</v>
      </c>
      <c r="CE457" s="891">
        <f t="shared" si="667"/>
        <v>0</v>
      </c>
      <c r="CF457" s="891">
        <f t="shared" si="667"/>
        <v>0</v>
      </c>
      <c r="CG457" s="891">
        <f t="shared" si="667"/>
        <v>0</v>
      </c>
      <c r="CH457" s="891">
        <f t="shared" si="667"/>
        <v>0</v>
      </c>
      <c r="CI457" s="891">
        <f t="shared" si="667"/>
        <v>0</v>
      </c>
    </row>
    <row r="458" spans="1:87" s="891" customFormat="1" x14ac:dyDescent="0.2">
      <c r="A458" s="890" t="s">
        <v>1191</v>
      </c>
      <c r="B458" s="891">
        <f t="shared" si="630"/>
        <v>-1532</v>
      </c>
      <c r="C458" s="891">
        <f t="shared" ref="C458:BR458" si="668">+C46-C372</f>
        <v>0</v>
      </c>
      <c r="D458" s="891">
        <f t="shared" si="668"/>
        <v>0</v>
      </c>
      <c r="E458" s="891">
        <f t="shared" si="668"/>
        <v>341</v>
      </c>
      <c r="F458" s="891">
        <f t="shared" si="668"/>
        <v>550</v>
      </c>
      <c r="G458" s="891">
        <f t="shared" si="668"/>
        <v>0</v>
      </c>
      <c r="H458" s="891">
        <f t="shared" si="668"/>
        <v>0</v>
      </c>
      <c r="I458" s="891">
        <f t="shared" si="668"/>
        <v>0</v>
      </c>
      <c r="J458" s="891">
        <f t="shared" si="668"/>
        <v>0</v>
      </c>
      <c r="K458" s="891">
        <f t="shared" si="668"/>
        <v>0</v>
      </c>
      <c r="L458" s="891">
        <f t="shared" si="668"/>
        <v>0</v>
      </c>
      <c r="M458" s="891">
        <f t="shared" si="668"/>
        <v>0</v>
      </c>
      <c r="N458" s="891">
        <f t="shared" si="668"/>
        <v>0</v>
      </c>
      <c r="O458" s="891">
        <f t="shared" si="668"/>
        <v>-222</v>
      </c>
      <c r="P458" s="891">
        <f t="shared" si="668"/>
        <v>0</v>
      </c>
      <c r="Q458" s="891">
        <f t="shared" si="668"/>
        <v>0</v>
      </c>
      <c r="R458" s="891">
        <f t="shared" si="668"/>
        <v>0</v>
      </c>
      <c r="S458" s="891">
        <f t="shared" si="668"/>
        <v>0</v>
      </c>
      <c r="T458" s="891">
        <f t="shared" si="668"/>
        <v>0</v>
      </c>
      <c r="U458" s="891">
        <f t="shared" si="668"/>
        <v>0</v>
      </c>
      <c r="V458" s="891">
        <f t="shared" si="668"/>
        <v>0</v>
      </c>
      <c r="W458" s="891">
        <f t="shared" si="668"/>
        <v>0</v>
      </c>
      <c r="X458" s="891">
        <f t="shared" si="668"/>
        <v>0</v>
      </c>
      <c r="Y458" s="891">
        <f t="shared" si="668"/>
        <v>0</v>
      </c>
      <c r="Z458" s="891">
        <f t="shared" si="668"/>
        <v>0</v>
      </c>
      <c r="AA458" s="891">
        <f t="shared" si="668"/>
        <v>0</v>
      </c>
      <c r="AB458" s="891">
        <f t="shared" ref="AB458:AW458" si="669">+AB46-AB372</f>
        <v>0</v>
      </c>
      <c r="AC458" s="891">
        <f t="shared" si="669"/>
        <v>0</v>
      </c>
      <c r="AD458" s="891">
        <f t="shared" si="669"/>
        <v>0</v>
      </c>
      <c r="AE458" s="891">
        <f t="shared" si="669"/>
        <v>0</v>
      </c>
      <c r="AF458" s="891">
        <f t="shared" si="669"/>
        <v>0</v>
      </c>
      <c r="AG458" s="891">
        <f t="shared" si="669"/>
        <v>0</v>
      </c>
      <c r="AH458" s="891">
        <f t="shared" si="669"/>
        <v>0</v>
      </c>
      <c r="AI458" s="891">
        <f t="shared" si="669"/>
        <v>0</v>
      </c>
      <c r="AJ458" s="891">
        <f t="shared" si="669"/>
        <v>0</v>
      </c>
      <c r="AK458" s="891">
        <f t="shared" si="669"/>
        <v>0</v>
      </c>
      <c r="AL458" s="891">
        <f t="shared" si="669"/>
        <v>0</v>
      </c>
      <c r="AM458" s="891">
        <f t="shared" si="669"/>
        <v>0</v>
      </c>
      <c r="AN458" s="891">
        <f t="shared" si="669"/>
        <v>0</v>
      </c>
      <c r="AO458" s="891">
        <f t="shared" si="669"/>
        <v>0</v>
      </c>
      <c r="AP458" s="891">
        <f t="shared" si="669"/>
        <v>0</v>
      </c>
      <c r="AR458" s="891">
        <f t="shared" si="669"/>
        <v>0</v>
      </c>
      <c r="AS458" s="891">
        <f t="shared" si="669"/>
        <v>0</v>
      </c>
      <c r="AT458" s="891">
        <f t="shared" si="669"/>
        <v>0</v>
      </c>
      <c r="AU458" s="891">
        <f t="shared" si="669"/>
        <v>0</v>
      </c>
      <c r="AV458" s="891">
        <f t="shared" si="669"/>
        <v>0</v>
      </c>
      <c r="AW458" s="891">
        <f t="shared" si="669"/>
        <v>0</v>
      </c>
      <c r="AX458" s="891">
        <f t="shared" si="668"/>
        <v>0</v>
      </c>
      <c r="AY458" s="891">
        <f t="shared" si="668"/>
        <v>0</v>
      </c>
      <c r="AZ458" s="891">
        <f t="shared" si="668"/>
        <v>0</v>
      </c>
      <c r="BA458" s="891">
        <f t="shared" si="668"/>
        <v>0</v>
      </c>
      <c r="BB458" s="891">
        <f t="shared" si="668"/>
        <v>0</v>
      </c>
      <c r="BC458" s="891">
        <f t="shared" si="668"/>
        <v>0</v>
      </c>
      <c r="BD458" s="891">
        <f t="shared" si="668"/>
        <v>0</v>
      </c>
      <c r="BE458" s="891">
        <f t="shared" si="668"/>
        <v>0</v>
      </c>
      <c r="BF458" s="891">
        <f t="shared" si="668"/>
        <v>0</v>
      </c>
      <c r="BG458" s="891">
        <f t="shared" si="668"/>
        <v>0</v>
      </c>
      <c r="BH458" s="891">
        <f t="shared" si="668"/>
        <v>0</v>
      </c>
      <c r="BI458" s="891">
        <f t="shared" si="668"/>
        <v>0</v>
      </c>
      <c r="BJ458" s="891">
        <f t="shared" si="668"/>
        <v>0</v>
      </c>
      <c r="BK458" s="891">
        <f t="shared" si="668"/>
        <v>0</v>
      </c>
      <c r="BL458" s="891">
        <f t="shared" si="668"/>
        <v>0</v>
      </c>
      <c r="BM458" s="891">
        <f t="shared" si="668"/>
        <v>0</v>
      </c>
      <c r="BN458" s="891">
        <f t="shared" si="668"/>
        <v>0</v>
      </c>
      <c r="BO458" s="891">
        <f t="shared" si="668"/>
        <v>0</v>
      </c>
      <c r="BP458" s="891">
        <f t="shared" si="668"/>
        <v>0</v>
      </c>
      <c r="BQ458" s="891">
        <f t="shared" si="668"/>
        <v>-2201</v>
      </c>
      <c r="BR458" s="891">
        <f t="shared" si="668"/>
        <v>0</v>
      </c>
      <c r="BS458" s="891">
        <f t="shared" ref="BS458:CC458" si="670">+BS46-BS372</f>
        <v>0</v>
      </c>
      <c r="BT458" s="891">
        <f t="shared" si="670"/>
        <v>0</v>
      </c>
      <c r="BU458" s="891">
        <f t="shared" si="670"/>
        <v>0</v>
      </c>
      <c r="BV458" s="891">
        <f t="shared" si="670"/>
        <v>0</v>
      </c>
      <c r="BW458" s="891">
        <f t="shared" si="670"/>
        <v>0</v>
      </c>
      <c r="BX458" s="891">
        <f t="shared" si="670"/>
        <v>0</v>
      </c>
      <c r="BY458" s="891">
        <f t="shared" si="670"/>
        <v>0</v>
      </c>
      <c r="BZ458" s="891">
        <f t="shared" si="670"/>
        <v>0</v>
      </c>
      <c r="CA458" s="891">
        <f t="shared" si="670"/>
        <v>0</v>
      </c>
      <c r="CB458" s="891">
        <f t="shared" si="670"/>
        <v>0</v>
      </c>
      <c r="CC458" s="891">
        <f t="shared" si="670"/>
        <v>0</v>
      </c>
      <c r="CD458" s="891">
        <f t="shared" ref="CD458:CI458" si="671">+CD46-CD372</f>
        <v>0</v>
      </c>
      <c r="CE458" s="891">
        <f t="shared" si="671"/>
        <v>0</v>
      </c>
      <c r="CF458" s="891">
        <f t="shared" si="671"/>
        <v>0</v>
      </c>
      <c r="CG458" s="891">
        <f t="shared" si="671"/>
        <v>0</v>
      </c>
      <c r="CH458" s="891">
        <f t="shared" si="671"/>
        <v>0</v>
      </c>
      <c r="CI458" s="891">
        <f t="shared" si="671"/>
        <v>0</v>
      </c>
    </row>
    <row r="459" spans="1:87" s="891" customFormat="1" x14ac:dyDescent="0.2">
      <c r="A459" s="890" t="s">
        <v>1052</v>
      </c>
      <c r="B459" s="891">
        <f t="shared" si="630"/>
        <v>-1165</v>
      </c>
      <c r="C459" s="891">
        <f t="shared" ref="C459:BR459" si="672">+C47-C373</f>
        <v>0</v>
      </c>
      <c r="D459" s="891">
        <f t="shared" si="672"/>
        <v>0</v>
      </c>
      <c r="E459" s="891">
        <f t="shared" si="672"/>
        <v>-2981</v>
      </c>
      <c r="F459" s="891">
        <f t="shared" si="672"/>
        <v>0</v>
      </c>
      <c r="G459" s="891">
        <f t="shared" si="672"/>
        <v>0</v>
      </c>
      <c r="H459" s="891">
        <f t="shared" si="672"/>
        <v>0</v>
      </c>
      <c r="I459" s="891">
        <f t="shared" si="672"/>
        <v>0</v>
      </c>
      <c r="J459" s="891">
        <f t="shared" si="672"/>
        <v>0</v>
      </c>
      <c r="K459" s="891">
        <f t="shared" si="672"/>
        <v>0</v>
      </c>
      <c r="L459" s="891">
        <f t="shared" si="672"/>
        <v>0</v>
      </c>
      <c r="M459" s="891">
        <f t="shared" si="672"/>
        <v>0</v>
      </c>
      <c r="N459" s="891">
        <f t="shared" si="672"/>
        <v>0</v>
      </c>
      <c r="O459" s="891">
        <f t="shared" si="672"/>
        <v>0</v>
      </c>
      <c r="P459" s="891">
        <f t="shared" si="672"/>
        <v>0</v>
      </c>
      <c r="Q459" s="891">
        <f t="shared" si="672"/>
        <v>0</v>
      </c>
      <c r="R459" s="891">
        <f t="shared" si="672"/>
        <v>0</v>
      </c>
      <c r="S459" s="891">
        <f t="shared" si="672"/>
        <v>0</v>
      </c>
      <c r="T459" s="891">
        <f t="shared" si="672"/>
        <v>0</v>
      </c>
      <c r="U459" s="891">
        <f t="shared" si="672"/>
        <v>0</v>
      </c>
      <c r="V459" s="891">
        <f t="shared" si="672"/>
        <v>0</v>
      </c>
      <c r="W459" s="891">
        <f t="shared" si="672"/>
        <v>0</v>
      </c>
      <c r="X459" s="891">
        <f t="shared" si="672"/>
        <v>0</v>
      </c>
      <c r="Y459" s="891">
        <f t="shared" si="672"/>
        <v>0</v>
      </c>
      <c r="Z459" s="891">
        <f t="shared" si="672"/>
        <v>0</v>
      </c>
      <c r="AA459" s="891">
        <f t="shared" si="672"/>
        <v>0</v>
      </c>
      <c r="AB459" s="891">
        <f t="shared" ref="AB459:AW459" si="673">+AB47-AB373</f>
        <v>0</v>
      </c>
      <c r="AC459" s="891">
        <f t="shared" si="673"/>
        <v>0</v>
      </c>
      <c r="AD459" s="891">
        <f t="shared" si="673"/>
        <v>0</v>
      </c>
      <c r="AE459" s="891">
        <f t="shared" si="673"/>
        <v>0</v>
      </c>
      <c r="AF459" s="891">
        <f t="shared" si="673"/>
        <v>0</v>
      </c>
      <c r="AG459" s="891">
        <f t="shared" si="673"/>
        <v>0</v>
      </c>
      <c r="AH459" s="891">
        <f t="shared" si="673"/>
        <v>0</v>
      </c>
      <c r="AI459" s="891">
        <f t="shared" si="673"/>
        <v>0</v>
      </c>
      <c r="AJ459" s="891">
        <f t="shared" si="673"/>
        <v>0</v>
      </c>
      <c r="AK459" s="891">
        <f t="shared" si="673"/>
        <v>0</v>
      </c>
      <c r="AL459" s="891">
        <f t="shared" si="673"/>
        <v>0</v>
      </c>
      <c r="AM459" s="891">
        <f t="shared" si="673"/>
        <v>0</v>
      </c>
      <c r="AN459" s="891">
        <f t="shared" si="673"/>
        <v>0</v>
      </c>
      <c r="AO459" s="891">
        <f t="shared" si="673"/>
        <v>0</v>
      </c>
      <c r="AP459" s="891">
        <f t="shared" si="673"/>
        <v>0</v>
      </c>
      <c r="AR459" s="891">
        <f t="shared" si="673"/>
        <v>0</v>
      </c>
      <c r="AS459" s="891">
        <f t="shared" si="673"/>
        <v>0</v>
      </c>
      <c r="AT459" s="891">
        <f t="shared" si="673"/>
        <v>0</v>
      </c>
      <c r="AU459" s="891">
        <f t="shared" si="673"/>
        <v>0</v>
      </c>
      <c r="AV459" s="891">
        <f t="shared" si="673"/>
        <v>0</v>
      </c>
      <c r="AW459" s="891">
        <f t="shared" si="673"/>
        <v>0</v>
      </c>
      <c r="AX459" s="891">
        <f t="shared" si="672"/>
        <v>0</v>
      </c>
      <c r="AY459" s="891">
        <f t="shared" si="672"/>
        <v>0</v>
      </c>
      <c r="AZ459" s="891">
        <f t="shared" si="672"/>
        <v>0</v>
      </c>
      <c r="BA459" s="891">
        <f t="shared" si="672"/>
        <v>0</v>
      </c>
      <c r="BB459" s="891">
        <f t="shared" si="672"/>
        <v>0</v>
      </c>
      <c r="BC459" s="891">
        <f t="shared" si="672"/>
        <v>0</v>
      </c>
      <c r="BD459" s="891">
        <f t="shared" si="672"/>
        <v>0</v>
      </c>
      <c r="BE459" s="891">
        <f t="shared" si="672"/>
        <v>0</v>
      </c>
      <c r="BF459" s="891">
        <f t="shared" si="672"/>
        <v>0</v>
      </c>
      <c r="BG459" s="891">
        <f t="shared" si="672"/>
        <v>0</v>
      </c>
      <c r="BH459" s="891">
        <f t="shared" si="672"/>
        <v>0</v>
      </c>
      <c r="BI459" s="891">
        <f t="shared" si="672"/>
        <v>0</v>
      </c>
      <c r="BJ459" s="891">
        <f t="shared" si="672"/>
        <v>0</v>
      </c>
      <c r="BK459" s="891">
        <f t="shared" si="672"/>
        <v>0</v>
      </c>
      <c r="BL459" s="891">
        <f t="shared" si="672"/>
        <v>0</v>
      </c>
      <c r="BM459" s="891">
        <f t="shared" si="672"/>
        <v>0</v>
      </c>
      <c r="BN459" s="891">
        <f t="shared" si="672"/>
        <v>0</v>
      </c>
      <c r="BO459" s="891">
        <f t="shared" si="672"/>
        <v>0</v>
      </c>
      <c r="BP459" s="891">
        <f t="shared" si="672"/>
        <v>1816</v>
      </c>
      <c r="BQ459" s="891">
        <f t="shared" si="672"/>
        <v>0</v>
      </c>
      <c r="BR459" s="891">
        <f t="shared" si="672"/>
        <v>0</v>
      </c>
      <c r="BS459" s="891">
        <f t="shared" ref="BS459:CC459" si="674">+BS47-BS373</f>
        <v>0</v>
      </c>
      <c r="BT459" s="891">
        <f t="shared" si="674"/>
        <v>0</v>
      </c>
      <c r="BU459" s="891">
        <f t="shared" si="674"/>
        <v>0</v>
      </c>
      <c r="BV459" s="891">
        <f t="shared" si="674"/>
        <v>0</v>
      </c>
      <c r="BW459" s="891">
        <f t="shared" si="674"/>
        <v>0</v>
      </c>
      <c r="BX459" s="891">
        <f t="shared" si="674"/>
        <v>0</v>
      </c>
      <c r="BY459" s="891">
        <f t="shared" si="674"/>
        <v>0</v>
      </c>
      <c r="BZ459" s="891">
        <f t="shared" si="674"/>
        <v>0</v>
      </c>
      <c r="CA459" s="891">
        <f t="shared" si="674"/>
        <v>0</v>
      </c>
      <c r="CB459" s="891">
        <f t="shared" si="674"/>
        <v>0</v>
      </c>
      <c r="CC459" s="891">
        <f t="shared" si="674"/>
        <v>0</v>
      </c>
      <c r="CD459" s="891">
        <f t="shared" ref="CD459:CI459" si="675">+CD47-CD373</f>
        <v>0</v>
      </c>
      <c r="CE459" s="891">
        <f t="shared" si="675"/>
        <v>0</v>
      </c>
      <c r="CF459" s="891">
        <f t="shared" si="675"/>
        <v>0</v>
      </c>
      <c r="CG459" s="891">
        <f t="shared" si="675"/>
        <v>0</v>
      </c>
      <c r="CH459" s="891">
        <f t="shared" si="675"/>
        <v>0</v>
      </c>
      <c r="CI459" s="891">
        <f t="shared" si="675"/>
        <v>0</v>
      </c>
    </row>
    <row r="460" spans="1:87" s="891" customFormat="1" x14ac:dyDescent="0.2">
      <c r="A460" s="890" t="s">
        <v>1414</v>
      </c>
      <c r="B460" s="891">
        <f t="shared" si="630"/>
        <v>-128</v>
      </c>
      <c r="C460" s="891">
        <f t="shared" ref="C460:BR460" si="676">+C48-C374</f>
        <v>0</v>
      </c>
      <c r="D460" s="891">
        <f t="shared" si="676"/>
        <v>0</v>
      </c>
      <c r="E460" s="891">
        <f t="shared" si="676"/>
        <v>0</v>
      </c>
      <c r="F460" s="891">
        <f t="shared" si="676"/>
        <v>273</v>
      </c>
      <c r="G460" s="891">
        <f t="shared" si="676"/>
        <v>0</v>
      </c>
      <c r="H460" s="891">
        <f t="shared" si="676"/>
        <v>0</v>
      </c>
      <c r="I460" s="891">
        <f t="shared" si="676"/>
        <v>0</v>
      </c>
      <c r="J460" s="891">
        <f t="shared" si="676"/>
        <v>0</v>
      </c>
      <c r="K460" s="891">
        <f t="shared" si="676"/>
        <v>0</v>
      </c>
      <c r="L460" s="891">
        <f t="shared" si="676"/>
        <v>0</v>
      </c>
      <c r="M460" s="891">
        <f t="shared" si="676"/>
        <v>0</v>
      </c>
      <c r="N460" s="891">
        <f t="shared" si="676"/>
        <v>0</v>
      </c>
      <c r="O460" s="891">
        <f t="shared" si="676"/>
        <v>0</v>
      </c>
      <c r="P460" s="891">
        <f t="shared" si="676"/>
        <v>0</v>
      </c>
      <c r="Q460" s="891">
        <f t="shared" si="676"/>
        <v>0</v>
      </c>
      <c r="R460" s="891">
        <f t="shared" si="676"/>
        <v>0</v>
      </c>
      <c r="S460" s="891">
        <f t="shared" si="676"/>
        <v>0</v>
      </c>
      <c r="T460" s="891">
        <f t="shared" si="676"/>
        <v>0</v>
      </c>
      <c r="U460" s="891">
        <f t="shared" si="676"/>
        <v>0</v>
      </c>
      <c r="V460" s="891">
        <f t="shared" si="676"/>
        <v>0</v>
      </c>
      <c r="W460" s="891">
        <f t="shared" si="676"/>
        <v>0</v>
      </c>
      <c r="X460" s="891">
        <f t="shared" si="676"/>
        <v>0</v>
      </c>
      <c r="Y460" s="891">
        <f t="shared" si="676"/>
        <v>0</v>
      </c>
      <c r="Z460" s="891">
        <f t="shared" si="676"/>
        <v>0</v>
      </c>
      <c r="AA460" s="891">
        <f t="shared" si="676"/>
        <v>0</v>
      </c>
      <c r="AB460" s="891">
        <f t="shared" ref="AB460:AW460" si="677">+AB48-AB374</f>
        <v>0</v>
      </c>
      <c r="AC460" s="891">
        <f t="shared" si="677"/>
        <v>0</v>
      </c>
      <c r="AD460" s="891">
        <f t="shared" si="677"/>
        <v>0</v>
      </c>
      <c r="AE460" s="891">
        <f t="shared" si="677"/>
        <v>0</v>
      </c>
      <c r="AF460" s="891">
        <f t="shared" si="677"/>
        <v>0</v>
      </c>
      <c r="AG460" s="891">
        <f t="shared" si="677"/>
        <v>0</v>
      </c>
      <c r="AH460" s="891">
        <f t="shared" si="677"/>
        <v>0</v>
      </c>
      <c r="AI460" s="891">
        <f t="shared" si="677"/>
        <v>0</v>
      </c>
      <c r="AJ460" s="891">
        <f t="shared" si="677"/>
        <v>0</v>
      </c>
      <c r="AK460" s="891">
        <f t="shared" si="677"/>
        <v>0</v>
      </c>
      <c r="AL460" s="891">
        <f t="shared" si="677"/>
        <v>0</v>
      </c>
      <c r="AM460" s="891">
        <f t="shared" si="677"/>
        <v>0</v>
      </c>
      <c r="AN460" s="891">
        <f t="shared" si="677"/>
        <v>0</v>
      </c>
      <c r="AO460" s="891">
        <f t="shared" si="677"/>
        <v>0</v>
      </c>
      <c r="AP460" s="891">
        <f t="shared" si="677"/>
        <v>0</v>
      </c>
      <c r="AR460" s="891">
        <f t="shared" si="677"/>
        <v>0</v>
      </c>
      <c r="AS460" s="891">
        <f t="shared" si="677"/>
        <v>0</v>
      </c>
      <c r="AT460" s="891">
        <f t="shared" si="677"/>
        <v>0</v>
      </c>
      <c r="AU460" s="891">
        <f t="shared" si="677"/>
        <v>0</v>
      </c>
      <c r="AV460" s="891">
        <f t="shared" si="677"/>
        <v>0</v>
      </c>
      <c r="AW460" s="891">
        <f t="shared" si="677"/>
        <v>0</v>
      </c>
      <c r="AX460" s="891">
        <f t="shared" si="676"/>
        <v>0</v>
      </c>
      <c r="AY460" s="891">
        <f t="shared" si="676"/>
        <v>0</v>
      </c>
      <c r="AZ460" s="891">
        <f t="shared" si="676"/>
        <v>0</v>
      </c>
      <c r="BA460" s="891">
        <f t="shared" si="676"/>
        <v>0</v>
      </c>
      <c r="BB460" s="891">
        <f t="shared" si="676"/>
        <v>0</v>
      </c>
      <c r="BC460" s="891">
        <f t="shared" si="676"/>
        <v>-401</v>
      </c>
      <c r="BD460" s="891">
        <f t="shared" si="676"/>
        <v>0</v>
      </c>
      <c r="BE460" s="891">
        <f t="shared" si="676"/>
        <v>0</v>
      </c>
      <c r="BF460" s="891">
        <f t="shared" si="676"/>
        <v>0</v>
      </c>
      <c r="BG460" s="891">
        <f t="shared" si="676"/>
        <v>0</v>
      </c>
      <c r="BH460" s="891">
        <f t="shared" si="676"/>
        <v>0</v>
      </c>
      <c r="BI460" s="891">
        <f t="shared" si="676"/>
        <v>0</v>
      </c>
      <c r="BJ460" s="891">
        <f t="shared" si="676"/>
        <v>0</v>
      </c>
      <c r="BK460" s="891">
        <f t="shared" si="676"/>
        <v>0</v>
      </c>
      <c r="BL460" s="891">
        <f t="shared" si="676"/>
        <v>0</v>
      </c>
      <c r="BM460" s="891">
        <f t="shared" si="676"/>
        <v>0</v>
      </c>
      <c r="BN460" s="891">
        <f t="shared" si="676"/>
        <v>0</v>
      </c>
      <c r="BO460" s="891">
        <f t="shared" si="676"/>
        <v>0</v>
      </c>
      <c r="BP460" s="891">
        <f t="shared" si="676"/>
        <v>0</v>
      </c>
      <c r="BQ460" s="891">
        <f t="shared" si="676"/>
        <v>0</v>
      </c>
      <c r="BR460" s="891">
        <f t="shared" si="676"/>
        <v>0</v>
      </c>
      <c r="BS460" s="891">
        <f t="shared" ref="BS460:CC460" si="678">+BS48-BS374</f>
        <v>0</v>
      </c>
      <c r="BT460" s="891">
        <f t="shared" si="678"/>
        <v>0</v>
      </c>
      <c r="BU460" s="891">
        <f t="shared" si="678"/>
        <v>0</v>
      </c>
      <c r="BV460" s="891">
        <f t="shared" si="678"/>
        <v>0</v>
      </c>
      <c r="BW460" s="891">
        <f t="shared" si="678"/>
        <v>0</v>
      </c>
      <c r="BX460" s="891">
        <f t="shared" si="678"/>
        <v>0</v>
      </c>
      <c r="BY460" s="891">
        <f t="shared" si="678"/>
        <v>0</v>
      </c>
      <c r="BZ460" s="891">
        <f t="shared" si="678"/>
        <v>0</v>
      </c>
      <c r="CA460" s="891">
        <f t="shared" si="678"/>
        <v>0</v>
      </c>
      <c r="CB460" s="891">
        <f t="shared" si="678"/>
        <v>0</v>
      </c>
      <c r="CC460" s="891">
        <f t="shared" si="678"/>
        <v>0</v>
      </c>
    </row>
    <row r="461" spans="1:87" s="895" customFormat="1" x14ac:dyDescent="0.2">
      <c r="A461" s="892" t="s">
        <v>928</v>
      </c>
      <c r="B461" s="893">
        <f t="shared" ref="B461:AA461" si="679">SUM(B449:B460)</f>
        <v>118663</v>
      </c>
      <c r="C461" s="893">
        <f t="shared" si="679"/>
        <v>75034</v>
      </c>
      <c r="D461" s="893">
        <f t="shared" si="679"/>
        <v>0</v>
      </c>
      <c r="E461" s="893">
        <f t="shared" si="679"/>
        <v>17049</v>
      </c>
      <c r="F461" s="893">
        <f t="shared" si="679"/>
        <v>34868</v>
      </c>
      <c r="G461" s="893">
        <f t="shared" si="679"/>
        <v>-1942</v>
      </c>
      <c r="H461" s="893">
        <f t="shared" si="679"/>
        <v>-157</v>
      </c>
      <c r="I461" s="893">
        <f t="shared" si="679"/>
        <v>6776</v>
      </c>
      <c r="J461" s="893">
        <f t="shared" si="679"/>
        <v>0</v>
      </c>
      <c r="K461" s="893">
        <f t="shared" si="679"/>
        <v>0</v>
      </c>
      <c r="L461" s="893">
        <f t="shared" si="679"/>
        <v>0</v>
      </c>
      <c r="M461" s="893">
        <f t="shared" si="679"/>
        <v>0</v>
      </c>
      <c r="N461" s="893">
        <f t="shared" si="679"/>
        <v>-7958</v>
      </c>
      <c r="O461" s="893">
        <f t="shared" si="679"/>
        <v>-459</v>
      </c>
      <c r="P461" s="893">
        <f t="shared" si="679"/>
        <v>0</v>
      </c>
      <c r="Q461" s="893">
        <f t="shared" si="679"/>
        <v>0</v>
      </c>
      <c r="R461" s="893">
        <f t="shared" si="679"/>
        <v>0</v>
      </c>
      <c r="S461" s="893">
        <f t="shared" si="679"/>
        <v>0</v>
      </c>
      <c r="T461" s="893">
        <f t="shared" si="679"/>
        <v>0</v>
      </c>
      <c r="U461" s="893">
        <f t="shared" si="679"/>
        <v>0</v>
      </c>
      <c r="V461" s="893">
        <f t="shared" si="679"/>
        <v>0</v>
      </c>
      <c r="W461" s="893">
        <f t="shared" si="679"/>
        <v>0</v>
      </c>
      <c r="X461" s="893">
        <f t="shared" si="679"/>
        <v>0</v>
      </c>
      <c r="Y461" s="893">
        <f t="shared" si="679"/>
        <v>0</v>
      </c>
      <c r="Z461" s="893">
        <f t="shared" si="679"/>
        <v>0</v>
      </c>
      <c r="AA461" s="893">
        <f t="shared" si="679"/>
        <v>0</v>
      </c>
      <c r="AB461" s="893">
        <f t="shared" ref="AB461:AW461" si="680">SUM(AB449:AB460)</f>
        <v>0</v>
      </c>
      <c r="AC461" s="893">
        <f t="shared" si="680"/>
        <v>0</v>
      </c>
      <c r="AD461" s="893">
        <f t="shared" si="680"/>
        <v>0</v>
      </c>
      <c r="AE461" s="893">
        <f t="shared" si="680"/>
        <v>0</v>
      </c>
      <c r="AF461" s="893">
        <f t="shared" si="680"/>
        <v>0</v>
      </c>
      <c r="AG461" s="893">
        <f t="shared" si="680"/>
        <v>0</v>
      </c>
      <c r="AH461" s="893">
        <f t="shared" si="680"/>
        <v>0</v>
      </c>
      <c r="AI461" s="893">
        <f t="shared" si="680"/>
        <v>0</v>
      </c>
      <c r="AJ461" s="893">
        <f t="shared" si="680"/>
        <v>0</v>
      </c>
      <c r="AK461" s="893">
        <f t="shared" si="680"/>
        <v>0</v>
      </c>
      <c r="AL461" s="893">
        <f t="shared" si="680"/>
        <v>0</v>
      </c>
      <c r="AM461" s="893">
        <f t="shared" si="680"/>
        <v>0</v>
      </c>
      <c r="AN461" s="893">
        <f t="shared" si="680"/>
        <v>0</v>
      </c>
      <c r="AO461" s="893">
        <f t="shared" si="680"/>
        <v>0</v>
      </c>
      <c r="AP461" s="893">
        <f t="shared" si="680"/>
        <v>0</v>
      </c>
      <c r="AQ461" s="893"/>
      <c r="AR461" s="893">
        <f t="shared" si="680"/>
        <v>0</v>
      </c>
      <c r="AS461" s="893">
        <f t="shared" si="680"/>
        <v>0</v>
      </c>
      <c r="AT461" s="893">
        <f t="shared" si="680"/>
        <v>0</v>
      </c>
      <c r="AU461" s="893">
        <f t="shared" si="680"/>
        <v>0</v>
      </c>
      <c r="AV461" s="893">
        <f t="shared" si="680"/>
        <v>0</v>
      </c>
      <c r="AW461" s="893">
        <f t="shared" si="680"/>
        <v>0</v>
      </c>
      <c r="AX461" s="893">
        <f t="shared" ref="AX461:BQ461" si="681">SUM(AX449:AX460)</f>
        <v>0</v>
      </c>
      <c r="AY461" s="893">
        <f t="shared" si="681"/>
        <v>0</v>
      </c>
      <c r="AZ461" s="893">
        <f t="shared" si="681"/>
        <v>0</v>
      </c>
      <c r="BA461" s="893">
        <f t="shared" si="681"/>
        <v>0</v>
      </c>
      <c r="BB461" s="893">
        <f t="shared" si="681"/>
        <v>0</v>
      </c>
      <c r="BC461" s="893">
        <f t="shared" si="681"/>
        <v>-401</v>
      </c>
      <c r="BD461" s="893">
        <f t="shared" si="681"/>
        <v>0</v>
      </c>
      <c r="BE461" s="893">
        <f t="shared" si="681"/>
        <v>0</v>
      </c>
      <c r="BF461" s="893">
        <f t="shared" si="681"/>
        <v>0</v>
      </c>
      <c r="BG461" s="893">
        <f t="shared" si="681"/>
        <v>0</v>
      </c>
      <c r="BH461" s="893">
        <f t="shared" si="681"/>
        <v>0</v>
      </c>
      <c r="BI461" s="893">
        <f t="shared" si="681"/>
        <v>0</v>
      </c>
      <c r="BJ461" s="893">
        <f t="shared" si="681"/>
        <v>0</v>
      </c>
      <c r="BK461" s="893">
        <f t="shared" si="681"/>
        <v>0</v>
      </c>
      <c r="BL461" s="893">
        <f t="shared" si="681"/>
        <v>0</v>
      </c>
      <c r="BM461" s="893">
        <f t="shared" si="681"/>
        <v>0</v>
      </c>
      <c r="BN461" s="893">
        <f t="shared" si="681"/>
        <v>0</v>
      </c>
      <c r="BO461" s="893">
        <f t="shared" si="681"/>
        <v>0</v>
      </c>
      <c r="BP461" s="893">
        <f t="shared" si="681"/>
        <v>-794</v>
      </c>
      <c r="BQ461" s="893">
        <f t="shared" si="681"/>
        <v>-2201</v>
      </c>
      <c r="BR461" s="893">
        <f t="shared" ref="BR461:CB461" si="682">SUM(BR449:BR460)</f>
        <v>0</v>
      </c>
      <c r="BS461" s="893">
        <f t="shared" si="682"/>
        <v>-1152</v>
      </c>
      <c r="BT461" s="893">
        <f t="shared" si="682"/>
        <v>0</v>
      </c>
      <c r="BU461" s="893">
        <f t="shared" si="682"/>
        <v>0</v>
      </c>
      <c r="BV461" s="893">
        <f t="shared" si="682"/>
        <v>0</v>
      </c>
      <c r="BW461" s="893">
        <f t="shared" si="682"/>
        <v>0</v>
      </c>
      <c r="BX461" s="893">
        <f t="shared" si="682"/>
        <v>0</v>
      </c>
      <c r="BY461" s="893">
        <f t="shared" si="682"/>
        <v>0</v>
      </c>
      <c r="BZ461" s="893">
        <f t="shared" si="682"/>
        <v>0</v>
      </c>
      <c r="CA461" s="893">
        <f t="shared" si="682"/>
        <v>0</v>
      </c>
      <c r="CB461" s="893">
        <f t="shared" si="682"/>
        <v>0</v>
      </c>
      <c r="CC461" s="894"/>
      <c r="CD461" s="893">
        <f t="shared" ref="CD461:CI461" si="683">SUM(CD449:CD459)</f>
        <v>0</v>
      </c>
      <c r="CE461" s="893">
        <f t="shared" si="683"/>
        <v>0</v>
      </c>
      <c r="CF461" s="893">
        <f t="shared" si="683"/>
        <v>0</v>
      </c>
      <c r="CG461" s="893">
        <f t="shared" si="683"/>
        <v>0</v>
      </c>
      <c r="CH461" s="893">
        <f t="shared" si="683"/>
        <v>0</v>
      </c>
      <c r="CI461" s="893">
        <f t="shared" si="683"/>
        <v>0</v>
      </c>
    </row>
    <row r="462" spans="1:87" s="891" customFormat="1" x14ac:dyDescent="0.2">
      <c r="A462" s="896"/>
      <c r="B462" s="897"/>
      <c r="C462" s="897"/>
      <c r="D462" s="897"/>
      <c r="E462" s="897"/>
      <c r="F462" s="897"/>
      <c r="G462" s="897"/>
      <c r="H462" s="897"/>
      <c r="I462" s="897"/>
      <c r="J462" s="897"/>
      <c r="K462" s="897"/>
      <c r="L462" s="897"/>
      <c r="M462" s="897"/>
      <c r="N462" s="897"/>
      <c r="O462" s="897"/>
      <c r="P462" s="897"/>
      <c r="Q462" s="897"/>
      <c r="R462" s="897"/>
      <c r="S462" s="897"/>
      <c r="T462" s="897"/>
      <c r="U462" s="897"/>
      <c r="V462" s="897"/>
      <c r="W462" s="897"/>
      <c r="X462" s="897"/>
      <c r="Y462" s="897"/>
      <c r="Z462" s="897"/>
      <c r="AA462" s="897"/>
      <c r="AB462" s="897"/>
      <c r="AC462" s="897"/>
      <c r="AD462" s="897"/>
      <c r="AE462" s="897"/>
      <c r="AF462" s="897"/>
      <c r="AG462" s="897"/>
      <c r="AH462" s="897"/>
      <c r="AI462" s="897"/>
      <c r="AJ462" s="897"/>
      <c r="AK462" s="897"/>
      <c r="AL462" s="897"/>
      <c r="AM462" s="897"/>
      <c r="AN462" s="897"/>
      <c r="AO462" s="897"/>
      <c r="AP462" s="897"/>
      <c r="AQ462" s="897"/>
      <c r="AR462" s="897"/>
      <c r="AS462" s="897"/>
      <c r="AT462" s="897"/>
      <c r="AU462" s="897"/>
      <c r="AV462" s="897"/>
      <c r="AW462" s="897"/>
      <c r="AX462" s="897"/>
      <c r="AY462" s="897"/>
      <c r="AZ462" s="897"/>
      <c r="BA462" s="897"/>
      <c r="BB462" s="897"/>
      <c r="BC462" s="897"/>
      <c r="BD462" s="897"/>
      <c r="BE462" s="897"/>
      <c r="BF462" s="897"/>
      <c r="BG462" s="897"/>
      <c r="BH462" s="897"/>
      <c r="BI462" s="897"/>
      <c r="BJ462" s="897"/>
      <c r="BK462" s="897"/>
      <c r="BL462" s="897"/>
      <c r="BM462" s="897"/>
      <c r="BN462" s="897"/>
      <c r="BO462" s="897"/>
      <c r="BP462" s="897"/>
      <c r="BQ462" s="897"/>
      <c r="BR462" s="897"/>
      <c r="BS462" s="897"/>
      <c r="BT462" s="897"/>
      <c r="BU462" s="897"/>
      <c r="BV462" s="897"/>
      <c r="BW462" s="897"/>
      <c r="BX462" s="897"/>
      <c r="BY462" s="897"/>
      <c r="BZ462" s="897"/>
      <c r="CA462" s="897"/>
      <c r="CB462" s="897"/>
      <c r="CC462" s="897"/>
      <c r="CD462" s="897"/>
      <c r="CE462" s="897"/>
      <c r="CF462" s="897"/>
      <c r="CG462" s="897"/>
      <c r="CH462" s="897"/>
      <c r="CI462" s="897"/>
    </row>
    <row r="463" spans="1:87" s="900" customFormat="1" x14ac:dyDescent="0.2">
      <c r="A463" s="898" t="s">
        <v>929</v>
      </c>
      <c r="B463" s="899"/>
      <c r="C463" s="899"/>
      <c r="D463" s="899"/>
      <c r="E463" s="899"/>
      <c r="F463" s="899"/>
      <c r="G463" s="899"/>
      <c r="H463" s="899"/>
      <c r="I463" s="899"/>
      <c r="J463" s="899"/>
      <c r="K463" s="899"/>
      <c r="L463" s="899"/>
      <c r="M463" s="899"/>
      <c r="N463" s="899"/>
      <c r="O463" s="899"/>
      <c r="P463" s="899"/>
      <c r="Q463" s="899"/>
      <c r="R463" s="899"/>
      <c r="S463" s="899"/>
      <c r="T463" s="899"/>
      <c r="U463" s="899"/>
      <c r="V463" s="899"/>
      <c r="W463" s="899"/>
      <c r="X463" s="899"/>
      <c r="Y463" s="899"/>
      <c r="Z463" s="899"/>
      <c r="AA463" s="899"/>
      <c r="AB463" s="899"/>
      <c r="AC463" s="899"/>
      <c r="AD463" s="899"/>
      <c r="AE463" s="899"/>
      <c r="AF463" s="899"/>
      <c r="AG463" s="899"/>
      <c r="AH463" s="899"/>
      <c r="AI463" s="899"/>
      <c r="AJ463" s="899"/>
      <c r="AK463" s="899"/>
      <c r="AL463" s="899"/>
      <c r="AM463" s="899"/>
      <c r="AN463" s="899"/>
      <c r="AO463" s="899"/>
      <c r="AP463" s="899"/>
      <c r="AQ463" s="899"/>
      <c r="AR463" s="899"/>
      <c r="AS463" s="899"/>
      <c r="AT463" s="899"/>
      <c r="AU463" s="899"/>
      <c r="AV463" s="899"/>
      <c r="AW463" s="899"/>
      <c r="AX463" s="899"/>
      <c r="AY463" s="899"/>
      <c r="AZ463" s="899"/>
      <c r="BA463" s="899"/>
      <c r="BB463" s="899"/>
      <c r="BC463" s="899"/>
      <c r="BD463" s="899"/>
      <c r="BE463" s="899"/>
      <c r="BF463" s="899"/>
      <c r="BG463" s="899"/>
      <c r="BH463" s="899"/>
      <c r="BI463" s="899"/>
      <c r="BJ463" s="899"/>
      <c r="BK463" s="899"/>
      <c r="BL463" s="899"/>
      <c r="BM463" s="899"/>
      <c r="BN463" s="899"/>
      <c r="BO463" s="899"/>
      <c r="BP463" s="899"/>
      <c r="BQ463" s="899"/>
      <c r="BR463" s="899"/>
      <c r="BS463" s="899"/>
      <c r="BT463" s="899"/>
      <c r="BU463" s="899"/>
      <c r="BV463" s="899"/>
      <c r="BW463" s="899"/>
      <c r="BX463" s="899"/>
      <c r="BY463" s="899"/>
      <c r="BZ463" s="899"/>
      <c r="CA463" s="899"/>
      <c r="CB463" s="899"/>
      <c r="CC463" s="901"/>
      <c r="CD463" s="899"/>
      <c r="CE463" s="899"/>
      <c r="CF463" s="899"/>
      <c r="CG463" s="899"/>
      <c r="CH463" s="899"/>
      <c r="CI463" s="899"/>
    </row>
    <row r="464" spans="1:87" s="891" customFormat="1" x14ac:dyDescent="0.2">
      <c r="A464" s="890" t="s">
        <v>953</v>
      </c>
      <c r="B464" s="891">
        <f t="shared" ref="B464:B475" si="684">SUM(C464:CB464)</f>
        <v>-4063</v>
      </c>
      <c r="C464" s="891">
        <f t="shared" ref="C464:AA464" si="685">+C52-C378</f>
        <v>0</v>
      </c>
      <c r="D464" s="891">
        <f t="shared" si="685"/>
        <v>0</v>
      </c>
      <c r="E464" s="891">
        <f t="shared" si="685"/>
        <v>0</v>
      </c>
      <c r="F464" s="891">
        <f t="shared" si="685"/>
        <v>0</v>
      </c>
      <c r="G464" s="891">
        <f t="shared" si="685"/>
        <v>0</v>
      </c>
      <c r="H464" s="891">
        <f t="shared" si="685"/>
        <v>0</v>
      </c>
      <c r="I464" s="891">
        <f t="shared" si="685"/>
        <v>0</v>
      </c>
      <c r="J464" s="891">
        <f t="shared" si="685"/>
        <v>0</v>
      </c>
      <c r="K464" s="891">
        <f t="shared" si="685"/>
        <v>0</v>
      </c>
      <c r="L464" s="891">
        <f t="shared" si="685"/>
        <v>0</v>
      </c>
      <c r="M464" s="891">
        <f t="shared" si="685"/>
        <v>0</v>
      </c>
      <c r="N464" s="891">
        <f t="shared" si="685"/>
        <v>0</v>
      </c>
      <c r="O464" s="891">
        <f t="shared" si="685"/>
        <v>0</v>
      </c>
      <c r="P464" s="891">
        <f t="shared" si="685"/>
        <v>0</v>
      </c>
      <c r="Q464" s="891">
        <f t="shared" si="685"/>
        <v>0</v>
      </c>
      <c r="R464" s="891">
        <f t="shared" si="685"/>
        <v>0</v>
      </c>
      <c r="S464" s="891">
        <f t="shared" si="685"/>
        <v>0</v>
      </c>
      <c r="T464" s="891">
        <f t="shared" si="685"/>
        <v>0</v>
      </c>
      <c r="U464" s="891">
        <f t="shared" si="685"/>
        <v>0</v>
      </c>
      <c r="V464" s="891">
        <f t="shared" si="685"/>
        <v>0</v>
      </c>
      <c r="W464" s="891">
        <f t="shared" si="685"/>
        <v>0</v>
      </c>
      <c r="X464" s="891">
        <f t="shared" si="685"/>
        <v>0</v>
      </c>
      <c r="Y464" s="891">
        <f t="shared" si="685"/>
        <v>0</v>
      </c>
      <c r="Z464" s="891">
        <f t="shared" si="685"/>
        <v>0</v>
      </c>
      <c r="AA464" s="891">
        <f t="shared" si="685"/>
        <v>0</v>
      </c>
      <c r="AB464" s="891">
        <f t="shared" ref="AB464:AW464" si="686">+AB52-AB378</f>
        <v>0</v>
      </c>
      <c r="AC464" s="891">
        <f t="shared" si="686"/>
        <v>0</v>
      </c>
      <c r="AD464" s="891">
        <f t="shared" si="686"/>
        <v>0</v>
      </c>
      <c r="AE464" s="891">
        <f t="shared" si="686"/>
        <v>0</v>
      </c>
      <c r="AF464" s="891">
        <f t="shared" si="686"/>
        <v>0</v>
      </c>
      <c r="AG464" s="891">
        <f t="shared" si="686"/>
        <v>0</v>
      </c>
      <c r="AH464" s="891">
        <f t="shared" si="686"/>
        <v>0</v>
      </c>
      <c r="AI464" s="891">
        <f t="shared" si="686"/>
        <v>0</v>
      </c>
      <c r="AJ464" s="891">
        <f t="shared" si="686"/>
        <v>0</v>
      </c>
      <c r="AK464" s="891">
        <f t="shared" si="686"/>
        <v>0</v>
      </c>
      <c r="AL464" s="891">
        <f t="shared" si="686"/>
        <v>0</v>
      </c>
      <c r="AM464" s="891">
        <f t="shared" si="686"/>
        <v>0</v>
      </c>
      <c r="AN464" s="891">
        <f t="shared" si="686"/>
        <v>0</v>
      </c>
      <c r="AO464" s="891">
        <f t="shared" si="686"/>
        <v>0</v>
      </c>
      <c r="AP464" s="891">
        <f t="shared" si="686"/>
        <v>0</v>
      </c>
      <c r="AR464" s="891">
        <f t="shared" si="686"/>
        <v>-4063</v>
      </c>
      <c r="AS464" s="891">
        <f t="shared" si="686"/>
        <v>0</v>
      </c>
      <c r="AT464" s="891">
        <f t="shared" si="686"/>
        <v>0</v>
      </c>
      <c r="AU464" s="891">
        <f t="shared" si="686"/>
        <v>0</v>
      </c>
      <c r="AV464" s="891">
        <f t="shared" si="686"/>
        <v>0</v>
      </c>
      <c r="AW464" s="891">
        <f t="shared" si="686"/>
        <v>0</v>
      </c>
      <c r="AX464" s="891">
        <f t="shared" ref="AX464:BR464" si="687">+AX52-AX378</f>
        <v>0</v>
      </c>
      <c r="AY464" s="891">
        <f t="shared" si="687"/>
        <v>0</v>
      </c>
      <c r="AZ464" s="891">
        <f t="shared" si="687"/>
        <v>0</v>
      </c>
      <c r="BA464" s="891">
        <f t="shared" si="687"/>
        <v>0</v>
      </c>
      <c r="BB464" s="891">
        <f t="shared" si="687"/>
        <v>0</v>
      </c>
      <c r="BC464" s="891">
        <f t="shared" si="687"/>
        <v>0</v>
      </c>
      <c r="BD464" s="891">
        <f t="shared" si="687"/>
        <v>0</v>
      </c>
      <c r="BE464" s="891">
        <f t="shared" si="687"/>
        <v>0</v>
      </c>
      <c r="BF464" s="891">
        <f t="shared" si="687"/>
        <v>0</v>
      </c>
      <c r="BG464" s="891">
        <f t="shared" si="687"/>
        <v>0</v>
      </c>
      <c r="BH464" s="891">
        <f t="shared" si="687"/>
        <v>0</v>
      </c>
      <c r="BI464" s="891">
        <f t="shared" si="687"/>
        <v>0</v>
      </c>
      <c r="BJ464" s="891">
        <f t="shared" si="687"/>
        <v>0</v>
      </c>
      <c r="BK464" s="891">
        <f t="shared" si="687"/>
        <v>0</v>
      </c>
      <c r="BL464" s="891">
        <f t="shared" si="687"/>
        <v>0</v>
      </c>
      <c r="BM464" s="891">
        <f t="shared" si="687"/>
        <v>0</v>
      </c>
      <c r="BN464" s="891">
        <f t="shared" si="687"/>
        <v>0</v>
      </c>
      <c r="BO464" s="891">
        <f t="shared" si="687"/>
        <v>0</v>
      </c>
      <c r="BP464" s="891">
        <f t="shared" si="687"/>
        <v>0</v>
      </c>
      <c r="BQ464" s="891">
        <f t="shared" si="687"/>
        <v>0</v>
      </c>
      <c r="BR464" s="891">
        <f t="shared" si="687"/>
        <v>0</v>
      </c>
      <c r="BS464" s="891">
        <f t="shared" ref="BS464:CI464" si="688">+BS52-BS378</f>
        <v>0</v>
      </c>
      <c r="BT464" s="891">
        <f t="shared" si="688"/>
        <v>0</v>
      </c>
      <c r="BU464" s="891">
        <f t="shared" si="688"/>
        <v>0</v>
      </c>
      <c r="BV464" s="891">
        <f t="shared" si="688"/>
        <v>0</v>
      </c>
      <c r="BW464" s="891">
        <f t="shared" si="688"/>
        <v>0</v>
      </c>
      <c r="BX464" s="891">
        <f t="shared" si="688"/>
        <v>0</v>
      </c>
      <c r="BY464" s="891">
        <f t="shared" si="688"/>
        <v>0</v>
      </c>
      <c r="BZ464" s="891">
        <f t="shared" si="688"/>
        <v>0</v>
      </c>
      <c r="CA464" s="891">
        <f t="shared" si="688"/>
        <v>0</v>
      </c>
      <c r="CB464" s="891">
        <f t="shared" si="688"/>
        <v>0</v>
      </c>
      <c r="CC464" s="891">
        <f t="shared" si="688"/>
        <v>0</v>
      </c>
      <c r="CD464" s="891">
        <f t="shared" si="688"/>
        <v>0</v>
      </c>
      <c r="CE464" s="891">
        <f t="shared" si="688"/>
        <v>0</v>
      </c>
      <c r="CF464" s="891">
        <f t="shared" si="688"/>
        <v>0</v>
      </c>
      <c r="CG464" s="891">
        <f t="shared" si="688"/>
        <v>0</v>
      </c>
      <c r="CH464" s="891">
        <f t="shared" si="688"/>
        <v>0</v>
      </c>
      <c r="CI464" s="891">
        <f t="shared" si="688"/>
        <v>0</v>
      </c>
    </row>
    <row r="465" spans="1:87" s="891" customFormat="1" x14ac:dyDescent="0.2">
      <c r="A465" s="890" t="s">
        <v>954</v>
      </c>
      <c r="B465" s="891">
        <f t="shared" si="684"/>
        <v>0</v>
      </c>
      <c r="C465" s="891">
        <f t="shared" ref="C465:AA465" si="689">+C53-C379</f>
        <v>0</v>
      </c>
      <c r="D465" s="891">
        <f t="shared" si="689"/>
        <v>0</v>
      </c>
      <c r="E465" s="891">
        <f t="shared" si="689"/>
        <v>0</v>
      </c>
      <c r="F465" s="891">
        <f t="shared" si="689"/>
        <v>0</v>
      </c>
      <c r="G465" s="891">
        <f t="shared" si="689"/>
        <v>0</v>
      </c>
      <c r="H465" s="891">
        <f t="shared" si="689"/>
        <v>0</v>
      </c>
      <c r="I465" s="891">
        <f t="shared" si="689"/>
        <v>0</v>
      </c>
      <c r="J465" s="891">
        <f t="shared" si="689"/>
        <v>0</v>
      </c>
      <c r="K465" s="891">
        <f t="shared" si="689"/>
        <v>0</v>
      </c>
      <c r="L465" s="891">
        <f t="shared" si="689"/>
        <v>0</v>
      </c>
      <c r="M465" s="891">
        <f t="shared" si="689"/>
        <v>0</v>
      </c>
      <c r="N465" s="891">
        <f t="shared" si="689"/>
        <v>0</v>
      </c>
      <c r="O465" s="891">
        <f t="shared" si="689"/>
        <v>0</v>
      </c>
      <c r="P465" s="891">
        <f t="shared" si="689"/>
        <v>0</v>
      </c>
      <c r="Q465" s="891">
        <f t="shared" si="689"/>
        <v>0</v>
      </c>
      <c r="R465" s="891">
        <f t="shared" si="689"/>
        <v>0</v>
      </c>
      <c r="S465" s="891">
        <f t="shared" si="689"/>
        <v>0</v>
      </c>
      <c r="T465" s="891">
        <f t="shared" si="689"/>
        <v>0</v>
      </c>
      <c r="U465" s="891">
        <f t="shared" si="689"/>
        <v>0</v>
      </c>
      <c r="V465" s="891">
        <f t="shared" si="689"/>
        <v>0</v>
      </c>
      <c r="W465" s="891">
        <f t="shared" si="689"/>
        <v>0</v>
      </c>
      <c r="X465" s="891">
        <f t="shared" si="689"/>
        <v>0</v>
      </c>
      <c r="Y465" s="891">
        <f t="shared" si="689"/>
        <v>0</v>
      </c>
      <c r="Z465" s="891">
        <f t="shared" si="689"/>
        <v>0</v>
      </c>
      <c r="AA465" s="891">
        <f t="shared" si="689"/>
        <v>0</v>
      </c>
      <c r="AB465" s="891">
        <f t="shared" ref="AB465:AW465" si="690">+AB53-AB379</f>
        <v>0</v>
      </c>
      <c r="AC465" s="891">
        <f t="shared" si="690"/>
        <v>0</v>
      </c>
      <c r="AD465" s="891">
        <f t="shared" si="690"/>
        <v>0</v>
      </c>
      <c r="AE465" s="891">
        <f t="shared" si="690"/>
        <v>0</v>
      </c>
      <c r="AF465" s="891">
        <f t="shared" si="690"/>
        <v>0</v>
      </c>
      <c r="AG465" s="891">
        <f t="shared" si="690"/>
        <v>0</v>
      </c>
      <c r="AH465" s="891">
        <f t="shared" si="690"/>
        <v>0</v>
      </c>
      <c r="AI465" s="891">
        <f t="shared" si="690"/>
        <v>0</v>
      </c>
      <c r="AJ465" s="891">
        <f t="shared" si="690"/>
        <v>0</v>
      </c>
      <c r="AK465" s="891">
        <f t="shared" si="690"/>
        <v>0</v>
      </c>
      <c r="AL465" s="891">
        <f t="shared" si="690"/>
        <v>0</v>
      </c>
      <c r="AM465" s="891">
        <f t="shared" si="690"/>
        <v>0</v>
      </c>
      <c r="AN465" s="891">
        <f t="shared" si="690"/>
        <v>0</v>
      </c>
      <c r="AO465" s="891">
        <f t="shared" si="690"/>
        <v>0</v>
      </c>
      <c r="AP465" s="891">
        <f t="shared" si="690"/>
        <v>0</v>
      </c>
      <c r="AR465" s="891">
        <f t="shared" si="690"/>
        <v>0</v>
      </c>
      <c r="AS465" s="891">
        <f t="shared" si="690"/>
        <v>0</v>
      </c>
      <c r="AT465" s="891">
        <f t="shared" si="690"/>
        <v>0</v>
      </c>
      <c r="AU465" s="891">
        <f t="shared" si="690"/>
        <v>0</v>
      </c>
      <c r="AV465" s="891">
        <f t="shared" si="690"/>
        <v>0</v>
      </c>
      <c r="AW465" s="891">
        <f t="shared" si="690"/>
        <v>0</v>
      </c>
      <c r="AX465" s="891">
        <f t="shared" ref="AX465:BR465" si="691">+AX53-AX379</f>
        <v>0</v>
      </c>
      <c r="AY465" s="891">
        <f t="shared" si="691"/>
        <v>0</v>
      </c>
      <c r="AZ465" s="891">
        <f t="shared" si="691"/>
        <v>0</v>
      </c>
      <c r="BA465" s="891">
        <f t="shared" si="691"/>
        <v>0</v>
      </c>
      <c r="BB465" s="891">
        <f t="shared" si="691"/>
        <v>0</v>
      </c>
      <c r="BC465" s="891">
        <f t="shared" si="691"/>
        <v>0</v>
      </c>
      <c r="BD465" s="891">
        <f t="shared" si="691"/>
        <v>0</v>
      </c>
      <c r="BE465" s="891">
        <f t="shared" si="691"/>
        <v>0</v>
      </c>
      <c r="BF465" s="891">
        <f t="shared" si="691"/>
        <v>0</v>
      </c>
      <c r="BG465" s="891">
        <f t="shared" si="691"/>
        <v>0</v>
      </c>
      <c r="BH465" s="891">
        <f t="shared" si="691"/>
        <v>0</v>
      </c>
      <c r="BI465" s="891">
        <f t="shared" si="691"/>
        <v>0</v>
      </c>
      <c r="BJ465" s="891">
        <f t="shared" si="691"/>
        <v>0</v>
      </c>
      <c r="BK465" s="891">
        <f t="shared" si="691"/>
        <v>0</v>
      </c>
      <c r="BL465" s="891">
        <f t="shared" si="691"/>
        <v>0</v>
      </c>
      <c r="BM465" s="891">
        <f t="shared" si="691"/>
        <v>0</v>
      </c>
      <c r="BN465" s="891">
        <f t="shared" si="691"/>
        <v>0</v>
      </c>
      <c r="BO465" s="891">
        <f t="shared" si="691"/>
        <v>0</v>
      </c>
      <c r="BP465" s="891">
        <f t="shared" si="691"/>
        <v>0</v>
      </c>
      <c r="BQ465" s="891">
        <f t="shared" si="691"/>
        <v>0</v>
      </c>
      <c r="BR465" s="891">
        <f t="shared" si="691"/>
        <v>0</v>
      </c>
      <c r="BS465" s="891">
        <f t="shared" ref="BS465:CI465" si="692">+BS53-BS379</f>
        <v>0</v>
      </c>
      <c r="BT465" s="891">
        <f t="shared" si="692"/>
        <v>0</v>
      </c>
      <c r="BU465" s="891">
        <f t="shared" si="692"/>
        <v>0</v>
      </c>
      <c r="BV465" s="891">
        <f t="shared" si="692"/>
        <v>0</v>
      </c>
      <c r="BW465" s="891">
        <f t="shared" si="692"/>
        <v>0</v>
      </c>
      <c r="BX465" s="891">
        <f t="shared" si="692"/>
        <v>0</v>
      </c>
      <c r="BY465" s="891">
        <f t="shared" si="692"/>
        <v>0</v>
      </c>
      <c r="BZ465" s="891">
        <f t="shared" si="692"/>
        <v>0</v>
      </c>
      <c r="CA465" s="891">
        <f t="shared" si="692"/>
        <v>0</v>
      </c>
      <c r="CB465" s="891">
        <f t="shared" si="692"/>
        <v>0</v>
      </c>
      <c r="CC465" s="891">
        <f t="shared" si="692"/>
        <v>0</v>
      </c>
      <c r="CD465" s="891">
        <f t="shared" si="692"/>
        <v>0</v>
      </c>
      <c r="CE465" s="891">
        <f t="shared" si="692"/>
        <v>0</v>
      </c>
      <c r="CF465" s="891">
        <f t="shared" si="692"/>
        <v>0</v>
      </c>
      <c r="CG465" s="891">
        <f t="shared" si="692"/>
        <v>0</v>
      </c>
      <c r="CH465" s="891">
        <f t="shared" si="692"/>
        <v>0</v>
      </c>
      <c r="CI465" s="891">
        <f t="shared" si="692"/>
        <v>0</v>
      </c>
    </row>
    <row r="466" spans="1:87" s="891" customFormat="1" x14ac:dyDescent="0.2">
      <c r="A466" s="890" t="s">
        <v>955</v>
      </c>
      <c r="B466" s="891">
        <f t="shared" si="684"/>
        <v>-4034</v>
      </c>
      <c r="C466" s="891">
        <f t="shared" ref="C466:AA466" si="693">+C54-C380</f>
        <v>0</v>
      </c>
      <c r="D466" s="891">
        <f t="shared" si="693"/>
        <v>0</v>
      </c>
      <c r="E466" s="891">
        <f t="shared" si="693"/>
        <v>0</v>
      </c>
      <c r="F466" s="891">
        <f t="shared" si="693"/>
        <v>-3493</v>
      </c>
      <c r="G466" s="891">
        <f t="shared" si="693"/>
        <v>0</v>
      </c>
      <c r="H466" s="891">
        <f t="shared" si="693"/>
        <v>0</v>
      </c>
      <c r="I466" s="891">
        <f t="shared" si="693"/>
        <v>0</v>
      </c>
      <c r="J466" s="891">
        <f t="shared" si="693"/>
        <v>0</v>
      </c>
      <c r="K466" s="891">
        <f t="shared" si="693"/>
        <v>0</v>
      </c>
      <c r="L466" s="891">
        <f t="shared" si="693"/>
        <v>0</v>
      </c>
      <c r="M466" s="891">
        <f t="shared" si="693"/>
        <v>0</v>
      </c>
      <c r="N466" s="891">
        <f t="shared" si="693"/>
        <v>0</v>
      </c>
      <c r="O466" s="891">
        <f t="shared" si="693"/>
        <v>0</v>
      </c>
      <c r="P466" s="891">
        <f t="shared" si="693"/>
        <v>0</v>
      </c>
      <c r="Q466" s="891">
        <f t="shared" si="693"/>
        <v>0</v>
      </c>
      <c r="R466" s="891">
        <f t="shared" si="693"/>
        <v>0</v>
      </c>
      <c r="S466" s="891">
        <f t="shared" si="693"/>
        <v>0</v>
      </c>
      <c r="T466" s="891">
        <f t="shared" si="693"/>
        <v>0</v>
      </c>
      <c r="U466" s="891">
        <f t="shared" si="693"/>
        <v>0</v>
      </c>
      <c r="V466" s="891">
        <f t="shared" si="693"/>
        <v>0</v>
      </c>
      <c r="W466" s="891">
        <f t="shared" si="693"/>
        <v>0</v>
      </c>
      <c r="X466" s="891">
        <f t="shared" si="693"/>
        <v>0</v>
      </c>
      <c r="Y466" s="891">
        <f t="shared" si="693"/>
        <v>0</v>
      </c>
      <c r="Z466" s="891">
        <f t="shared" si="693"/>
        <v>0</v>
      </c>
      <c r="AA466" s="891">
        <f t="shared" si="693"/>
        <v>0</v>
      </c>
      <c r="AB466" s="891">
        <f t="shared" ref="AB466:AW466" si="694">+AB54-AB380</f>
        <v>0</v>
      </c>
      <c r="AC466" s="891">
        <f t="shared" si="694"/>
        <v>0</v>
      </c>
      <c r="AD466" s="891">
        <f t="shared" si="694"/>
        <v>0</v>
      </c>
      <c r="AE466" s="891">
        <f t="shared" si="694"/>
        <v>0</v>
      </c>
      <c r="AF466" s="891">
        <f t="shared" si="694"/>
        <v>-1081</v>
      </c>
      <c r="AG466" s="891">
        <f t="shared" si="694"/>
        <v>0</v>
      </c>
      <c r="AH466" s="891">
        <f t="shared" si="694"/>
        <v>0</v>
      </c>
      <c r="AI466" s="891">
        <f t="shared" si="694"/>
        <v>0</v>
      </c>
      <c r="AJ466" s="891">
        <f t="shared" si="694"/>
        <v>0</v>
      </c>
      <c r="AK466" s="891">
        <f t="shared" si="694"/>
        <v>0</v>
      </c>
      <c r="AL466" s="891">
        <f t="shared" si="694"/>
        <v>0</v>
      </c>
      <c r="AM466" s="891">
        <f t="shared" si="694"/>
        <v>0</v>
      </c>
      <c r="AN466" s="891">
        <f t="shared" si="694"/>
        <v>0</v>
      </c>
      <c r="AO466" s="891">
        <f t="shared" si="694"/>
        <v>0</v>
      </c>
      <c r="AP466" s="891">
        <f t="shared" si="694"/>
        <v>0</v>
      </c>
      <c r="AR466" s="891">
        <f t="shared" si="694"/>
        <v>129</v>
      </c>
      <c r="AS466" s="891">
        <f t="shared" si="694"/>
        <v>0</v>
      </c>
      <c r="AT466" s="891">
        <f t="shared" si="694"/>
        <v>411</v>
      </c>
      <c r="AU466" s="891">
        <f t="shared" si="694"/>
        <v>0</v>
      </c>
      <c r="AV466" s="891">
        <f t="shared" si="694"/>
        <v>0</v>
      </c>
      <c r="AW466" s="891">
        <f t="shared" si="694"/>
        <v>0</v>
      </c>
      <c r="AX466" s="891">
        <f t="shared" ref="AX466:BR466" si="695">+AX54-AX380</f>
        <v>0</v>
      </c>
      <c r="AY466" s="891">
        <f t="shared" si="695"/>
        <v>0</v>
      </c>
      <c r="AZ466" s="891">
        <f t="shared" si="695"/>
        <v>0</v>
      </c>
      <c r="BA466" s="891">
        <f t="shared" si="695"/>
        <v>0</v>
      </c>
      <c r="BB466" s="891">
        <f t="shared" si="695"/>
        <v>0</v>
      </c>
      <c r="BC466" s="891">
        <f t="shared" si="695"/>
        <v>0</v>
      </c>
      <c r="BD466" s="891">
        <f t="shared" si="695"/>
        <v>0</v>
      </c>
      <c r="BE466" s="891">
        <f t="shared" si="695"/>
        <v>0</v>
      </c>
      <c r="BF466" s="891">
        <f t="shared" si="695"/>
        <v>0</v>
      </c>
      <c r="BG466" s="891">
        <f t="shared" si="695"/>
        <v>0</v>
      </c>
      <c r="BH466" s="891">
        <f t="shared" si="695"/>
        <v>0</v>
      </c>
      <c r="BI466" s="891">
        <f t="shared" si="695"/>
        <v>0</v>
      </c>
      <c r="BJ466" s="891">
        <f t="shared" si="695"/>
        <v>0</v>
      </c>
      <c r="BK466" s="891">
        <f t="shared" si="695"/>
        <v>0</v>
      </c>
      <c r="BL466" s="891">
        <f t="shared" si="695"/>
        <v>0</v>
      </c>
      <c r="BM466" s="891">
        <f t="shared" si="695"/>
        <v>0</v>
      </c>
      <c r="BN466" s="891">
        <f t="shared" si="695"/>
        <v>0</v>
      </c>
      <c r="BO466" s="891">
        <f t="shared" si="695"/>
        <v>0</v>
      </c>
      <c r="BP466" s="891">
        <f t="shared" si="695"/>
        <v>0</v>
      </c>
      <c r="BQ466" s="891">
        <f t="shared" si="695"/>
        <v>0</v>
      </c>
      <c r="BR466" s="891">
        <f t="shared" si="695"/>
        <v>0</v>
      </c>
      <c r="BS466" s="891">
        <f t="shared" ref="BS466:CI466" si="696">+BS54-BS380</f>
        <v>0</v>
      </c>
      <c r="BT466" s="891">
        <f t="shared" si="696"/>
        <v>0</v>
      </c>
      <c r="BU466" s="891">
        <f t="shared" si="696"/>
        <v>0</v>
      </c>
      <c r="BV466" s="891">
        <f t="shared" si="696"/>
        <v>0</v>
      </c>
      <c r="BW466" s="891">
        <f t="shared" si="696"/>
        <v>0</v>
      </c>
      <c r="BX466" s="891">
        <f t="shared" si="696"/>
        <v>0</v>
      </c>
      <c r="BY466" s="891">
        <f t="shared" si="696"/>
        <v>0</v>
      </c>
      <c r="BZ466" s="891">
        <f t="shared" si="696"/>
        <v>0</v>
      </c>
      <c r="CA466" s="891">
        <f t="shared" si="696"/>
        <v>0</v>
      </c>
      <c r="CB466" s="891">
        <f t="shared" si="696"/>
        <v>0</v>
      </c>
      <c r="CC466" s="891">
        <f t="shared" si="696"/>
        <v>0</v>
      </c>
      <c r="CD466" s="891">
        <f t="shared" si="696"/>
        <v>0</v>
      </c>
      <c r="CE466" s="891">
        <f t="shared" si="696"/>
        <v>0</v>
      </c>
      <c r="CF466" s="891">
        <f t="shared" si="696"/>
        <v>0</v>
      </c>
      <c r="CG466" s="891">
        <f t="shared" si="696"/>
        <v>0</v>
      </c>
      <c r="CH466" s="891">
        <f t="shared" si="696"/>
        <v>0</v>
      </c>
      <c r="CI466" s="891">
        <f t="shared" si="696"/>
        <v>0</v>
      </c>
    </row>
    <row r="467" spans="1:87" s="891" customFormat="1" x14ac:dyDescent="0.2">
      <c r="A467" s="890" t="s">
        <v>958</v>
      </c>
      <c r="B467" s="891">
        <f t="shared" si="684"/>
        <v>0</v>
      </c>
      <c r="C467" s="891">
        <f t="shared" ref="C467:AA467" si="697">+C55-C381</f>
        <v>0</v>
      </c>
      <c r="D467" s="891">
        <f t="shared" si="697"/>
        <v>0</v>
      </c>
      <c r="E467" s="891">
        <f t="shared" si="697"/>
        <v>0</v>
      </c>
      <c r="F467" s="891">
        <f t="shared" si="697"/>
        <v>0</v>
      </c>
      <c r="G467" s="891">
        <f t="shared" si="697"/>
        <v>0</v>
      </c>
      <c r="H467" s="891">
        <f t="shared" si="697"/>
        <v>0</v>
      </c>
      <c r="I467" s="891">
        <f t="shared" si="697"/>
        <v>0</v>
      </c>
      <c r="J467" s="891">
        <f t="shared" si="697"/>
        <v>0</v>
      </c>
      <c r="K467" s="891">
        <f t="shared" si="697"/>
        <v>0</v>
      </c>
      <c r="L467" s="891">
        <f t="shared" si="697"/>
        <v>0</v>
      </c>
      <c r="M467" s="891">
        <f t="shared" si="697"/>
        <v>0</v>
      </c>
      <c r="N467" s="891">
        <f t="shared" si="697"/>
        <v>0</v>
      </c>
      <c r="O467" s="891">
        <f t="shared" si="697"/>
        <v>0</v>
      </c>
      <c r="P467" s="891">
        <f t="shared" si="697"/>
        <v>0</v>
      </c>
      <c r="Q467" s="891">
        <f t="shared" si="697"/>
        <v>0</v>
      </c>
      <c r="R467" s="891">
        <f t="shared" si="697"/>
        <v>0</v>
      </c>
      <c r="S467" s="891">
        <f t="shared" si="697"/>
        <v>0</v>
      </c>
      <c r="T467" s="891">
        <f t="shared" si="697"/>
        <v>0</v>
      </c>
      <c r="U467" s="891">
        <f t="shared" si="697"/>
        <v>0</v>
      </c>
      <c r="V467" s="891">
        <f t="shared" si="697"/>
        <v>0</v>
      </c>
      <c r="W467" s="891">
        <f t="shared" si="697"/>
        <v>0</v>
      </c>
      <c r="X467" s="891">
        <f t="shared" si="697"/>
        <v>0</v>
      </c>
      <c r="Y467" s="891">
        <f t="shared" si="697"/>
        <v>0</v>
      </c>
      <c r="Z467" s="891">
        <f t="shared" si="697"/>
        <v>0</v>
      </c>
      <c r="AA467" s="891">
        <f t="shared" si="697"/>
        <v>0</v>
      </c>
      <c r="AB467" s="891">
        <f t="shared" ref="AB467:AW467" si="698">+AB55-AB381</f>
        <v>0</v>
      </c>
      <c r="AC467" s="891">
        <f t="shared" si="698"/>
        <v>0</v>
      </c>
      <c r="AD467" s="891">
        <f t="shared" si="698"/>
        <v>0</v>
      </c>
      <c r="AE467" s="891">
        <f t="shared" si="698"/>
        <v>0</v>
      </c>
      <c r="AF467" s="891">
        <f t="shared" si="698"/>
        <v>0</v>
      </c>
      <c r="AG467" s="891">
        <f t="shared" si="698"/>
        <v>0</v>
      </c>
      <c r="AH467" s="891">
        <f t="shared" si="698"/>
        <v>0</v>
      </c>
      <c r="AI467" s="891">
        <f t="shared" si="698"/>
        <v>0</v>
      </c>
      <c r="AJ467" s="891">
        <f t="shared" si="698"/>
        <v>0</v>
      </c>
      <c r="AK467" s="891">
        <f t="shared" si="698"/>
        <v>0</v>
      </c>
      <c r="AL467" s="891">
        <f t="shared" si="698"/>
        <v>0</v>
      </c>
      <c r="AM467" s="891">
        <f t="shared" si="698"/>
        <v>0</v>
      </c>
      <c r="AN467" s="891">
        <f t="shared" si="698"/>
        <v>0</v>
      </c>
      <c r="AO467" s="891">
        <f t="shared" si="698"/>
        <v>0</v>
      </c>
      <c r="AP467" s="891">
        <f t="shared" si="698"/>
        <v>0</v>
      </c>
      <c r="AR467" s="891">
        <f t="shared" si="698"/>
        <v>0</v>
      </c>
      <c r="AS467" s="891">
        <f t="shared" si="698"/>
        <v>0</v>
      </c>
      <c r="AT467" s="891">
        <f t="shared" si="698"/>
        <v>0</v>
      </c>
      <c r="AU467" s="891">
        <f t="shared" si="698"/>
        <v>0</v>
      </c>
      <c r="AV467" s="891">
        <f t="shared" si="698"/>
        <v>0</v>
      </c>
      <c r="AW467" s="891">
        <f t="shared" si="698"/>
        <v>0</v>
      </c>
      <c r="AX467" s="891">
        <f t="shared" ref="AX467:BR467" si="699">+AX55-AX381</f>
        <v>0</v>
      </c>
      <c r="AY467" s="891">
        <f t="shared" si="699"/>
        <v>0</v>
      </c>
      <c r="AZ467" s="891">
        <f t="shared" si="699"/>
        <v>0</v>
      </c>
      <c r="BA467" s="891">
        <f t="shared" si="699"/>
        <v>0</v>
      </c>
      <c r="BB467" s="891">
        <f t="shared" si="699"/>
        <v>0</v>
      </c>
      <c r="BC467" s="891">
        <f t="shared" si="699"/>
        <v>0</v>
      </c>
      <c r="BD467" s="891">
        <f t="shared" si="699"/>
        <v>0</v>
      </c>
      <c r="BE467" s="891">
        <f t="shared" si="699"/>
        <v>0</v>
      </c>
      <c r="BF467" s="891">
        <f t="shared" si="699"/>
        <v>0</v>
      </c>
      <c r="BG467" s="891">
        <f t="shared" si="699"/>
        <v>0</v>
      </c>
      <c r="BH467" s="891">
        <f t="shared" si="699"/>
        <v>0</v>
      </c>
      <c r="BI467" s="891">
        <f t="shared" si="699"/>
        <v>0</v>
      </c>
      <c r="BJ467" s="891">
        <f t="shared" si="699"/>
        <v>0</v>
      </c>
      <c r="BK467" s="891">
        <f t="shared" si="699"/>
        <v>0</v>
      </c>
      <c r="BL467" s="891">
        <f t="shared" si="699"/>
        <v>0</v>
      </c>
      <c r="BM467" s="891">
        <f t="shared" si="699"/>
        <v>0</v>
      </c>
      <c r="BN467" s="891">
        <f t="shared" si="699"/>
        <v>0</v>
      </c>
      <c r="BO467" s="891">
        <f t="shared" si="699"/>
        <v>0</v>
      </c>
      <c r="BP467" s="891">
        <f t="shared" si="699"/>
        <v>0</v>
      </c>
      <c r="BQ467" s="891">
        <f t="shared" si="699"/>
        <v>0</v>
      </c>
      <c r="BR467" s="891">
        <f t="shared" si="699"/>
        <v>0</v>
      </c>
      <c r="BS467" s="891">
        <f t="shared" ref="BS467:CI467" si="700">+BS55-BS381</f>
        <v>0</v>
      </c>
      <c r="BT467" s="891">
        <f t="shared" si="700"/>
        <v>0</v>
      </c>
      <c r="BU467" s="891">
        <f t="shared" si="700"/>
        <v>0</v>
      </c>
      <c r="BV467" s="891">
        <f t="shared" si="700"/>
        <v>0</v>
      </c>
      <c r="BW467" s="891">
        <f t="shared" si="700"/>
        <v>0</v>
      </c>
      <c r="BX467" s="891">
        <f t="shared" si="700"/>
        <v>0</v>
      </c>
      <c r="BY467" s="891">
        <f t="shared" si="700"/>
        <v>0</v>
      </c>
      <c r="BZ467" s="891">
        <f t="shared" si="700"/>
        <v>0</v>
      </c>
      <c r="CA467" s="891">
        <f t="shared" si="700"/>
        <v>0</v>
      </c>
      <c r="CB467" s="891">
        <f t="shared" si="700"/>
        <v>0</v>
      </c>
      <c r="CC467" s="891">
        <f t="shared" si="700"/>
        <v>0</v>
      </c>
      <c r="CD467" s="891">
        <f t="shared" si="700"/>
        <v>0</v>
      </c>
      <c r="CE467" s="891">
        <f t="shared" si="700"/>
        <v>0</v>
      </c>
      <c r="CF467" s="891">
        <f t="shared" si="700"/>
        <v>0</v>
      </c>
      <c r="CG467" s="891">
        <f t="shared" si="700"/>
        <v>0</v>
      </c>
      <c r="CH467" s="891">
        <f t="shared" si="700"/>
        <v>0</v>
      </c>
      <c r="CI467" s="891">
        <f t="shared" si="700"/>
        <v>0</v>
      </c>
    </row>
    <row r="468" spans="1:87" s="891" customFormat="1" x14ac:dyDescent="0.2">
      <c r="A468" s="890" t="s">
        <v>956</v>
      </c>
      <c r="B468" s="891">
        <f t="shared" si="684"/>
        <v>-966</v>
      </c>
      <c r="C468" s="891">
        <f t="shared" ref="C468:AA468" si="701">+C56-C382</f>
        <v>0</v>
      </c>
      <c r="D468" s="891">
        <f t="shared" si="701"/>
        <v>0</v>
      </c>
      <c r="E468" s="891">
        <f t="shared" si="701"/>
        <v>0</v>
      </c>
      <c r="F468" s="891">
        <f t="shared" si="701"/>
        <v>-966</v>
      </c>
      <c r="G468" s="891">
        <f t="shared" si="701"/>
        <v>0</v>
      </c>
      <c r="H468" s="891">
        <f t="shared" si="701"/>
        <v>0</v>
      </c>
      <c r="I468" s="891">
        <f t="shared" si="701"/>
        <v>0</v>
      </c>
      <c r="J468" s="891">
        <f t="shared" si="701"/>
        <v>0</v>
      </c>
      <c r="K468" s="891">
        <f t="shared" si="701"/>
        <v>0</v>
      </c>
      <c r="L468" s="891">
        <f t="shared" si="701"/>
        <v>0</v>
      </c>
      <c r="M468" s="891">
        <f t="shared" si="701"/>
        <v>0</v>
      </c>
      <c r="N468" s="891">
        <f t="shared" si="701"/>
        <v>0</v>
      </c>
      <c r="O468" s="891">
        <f t="shared" si="701"/>
        <v>0</v>
      </c>
      <c r="P468" s="891">
        <f t="shared" si="701"/>
        <v>0</v>
      </c>
      <c r="Q468" s="891">
        <f t="shared" si="701"/>
        <v>0</v>
      </c>
      <c r="R468" s="891">
        <f t="shared" si="701"/>
        <v>0</v>
      </c>
      <c r="S468" s="891">
        <f t="shared" si="701"/>
        <v>0</v>
      </c>
      <c r="T468" s="891">
        <f t="shared" si="701"/>
        <v>0</v>
      </c>
      <c r="U468" s="891">
        <f t="shared" si="701"/>
        <v>0</v>
      </c>
      <c r="V468" s="891">
        <f t="shared" si="701"/>
        <v>0</v>
      </c>
      <c r="W468" s="891">
        <f t="shared" si="701"/>
        <v>0</v>
      </c>
      <c r="X468" s="891">
        <f t="shared" si="701"/>
        <v>0</v>
      </c>
      <c r="Y468" s="891">
        <f t="shared" si="701"/>
        <v>0</v>
      </c>
      <c r="Z468" s="891">
        <f t="shared" si="701"/>
        <v>0</v>
      </c>
      <c r="AA468" s="891">
        <f t="shared" si="701"/>
        <v>0</v>
      </c>
      <c r="AB468" s="891">
        <f t="shared" ref="AB468:AW468" si="702">+AB56-AB382</f>
        <v>0</v>
      </c>
      <c r="AC468" s="891">
        <f t="shared" si="702"/>
        <v>0</v>
      </c>
      <c r="AD468" s="891">
        <f t="shared" si="702"/>
        <v>0</v>
      </c>
      <c r="AE468" s="891">
        <f t="shared" si="702"/>
        <v>0</v>
      </c>
      <c r="AF468" s="891">
        <f t="shared" si="702"/>
        <v>0</v>
      </c>
      <c r="AG468" s="891">
        <f t="shared" si="702"/>
        <v>0</v>
      </c>
      <c r="AH468" s="891">
        <f t="shared" si="702"/>
        <v>0</v>
      </c>
      <c r="AI468" s="891">
        <f t="shared" si="702"/>
        <v>0</v>
      </c>
      <c r="AJ468" s="891">
        <f t="shared" si="702"/>
        <v>0</v>
      </c>
      <c r="AK468" s="891">
        <f t="shared" si="702"/>
        <v>0</v>
      </c>
      <c r="AL468" s="891">
        <f t="shared" si="702"/>
        <v>0</v>
      </c>
      <c r="AM468" s="891">
        <f t="shared" si="702"/>
        <v>0</v>
      </c>
      <c r="AN468" s="891">
        <f t="shared" si="702"/>
        <v>0</v>
      </c>
      <c r="AO468" s="891">
        <f t="shared" si="702"/>
        <v>0</v>
      </c>
      <c r="AP468" s="891">
        <f t="shared" si="702"/>
        <v>0</v>
      </c>
      <c r="AR468" s="891">
        <f t="shared" si="702"/>
        <v>0</v>
      </c>
      <c r="AS468" s="891">
        <f t="shared" si="702"/>
        <v>0</v>
      </c>
      <c r="AT468" s="891">
        <f t="shared" si="702"/>
        <v>0</v>
      </c>
      <c r="AU468" s="891">
        <f t="shared" si="702"/>
        <v>0</v>
      </c>
      <c r="AV468" s="891">
        <f t="shared" si="702"/>
        <v>0</v>
      </c>
      <c r="AW468" s="891">
        <f t="shared" si="702"/>
        <v>0</v>
      </c>
      <c r="AX468" s="891">
        <f t="shared" ref="AX468:BR468" si="703">+AX56-AX382</f>
        <v>0</v>
      </c>
      <c r="AY468" s="891">
        <f t="shared" si="703"/>
        <v>0</v>
      </c>
      <c r="AZ468" s="891">
        <f t="shared" si="703"/>
        <v>0</v>
      </c>
      <c r="BA468" s="891">
        <f t="shared" si="703"/>
        <v>0</v>
      </c>
      <c r="BB468" s="891">
        <f t="shared" si="703"/>
        <v>0</v>
      </c>
      <c r="BC468" s="891">
        <f t="shared" si="703"/>
        <v>0</v>
      </c>
      <c r="BD468" s="891">
        <f t="shared" si="703"/>
        <v>0</v>
      </c>
      <c r="BE468" s="891">
        <f t="shared" si="703"/>
        <v>0</v>
      </c>
      <c r="BF468" s="891">
        <f t="shared" si="703"/>
        <v>0</v>
      </c>
      <c r="BG468" s="891">
        <f t="shared" si="703"/>
        <v>0</v>
      </c>
      <c r="BH468" s="891">
        <f t="shared" si="703"/>
        <v>0</v>
      </c>
      <c r="BI468" s="891">
        <f t="shared" si="703"/>
        <v>0</v>
      </c>
      <c r="BJ468" s="891">
        <f t="shared" si="703"/>
        <v>0</v>
      </c>
      <c r="BK468" s="891">
        <f t="shared" si="703"/>
        <v>0</v>
      </c>
      <c r="BL468" s="891">
        <f t="shared" si="703"/>
        <v>0</v>
      </c>
      <c r="BM468" s="891">
        <f t="shared" si="703"/>
        <v>0</v>
      </c>
      <c r="BN468" s="891">
        <f t="shared" si="703"/>
        <v>0</v>
      </c>
      <c r="BO468" s="891">
        <f t="shared" si="703"/>
        <v>0</v>
      </c>
      <c r="BP468" s="891">
        <f t="shared" si="703"/>
        <v>0</v>
      </c>
      <c r="BQ468" s="891">
        <f t="shared" si="703"/>
        <v>0</v>
      </c>
      <c r="BR468" s="891">
        <f t="shared" si="703"/>
        <v>0</v>
      </c>
      <c r="BS468" s="891">
        <f t="shared" ref="BS468:CI468" si="704">+BS56-BS382</f>
        <v>0</v>
      </c>
      <c r="BT468" s="891">
        <f t="shared" si="704"/>
        <v>0</v>
      </c>
      <c r="BU468" s="891">
        <f t="shared" si="704"/>
        <v>0</v>
      </c>
      <c r="BV468" s="891">
        <f t="shared" si="704"/>
        <v>0</v>
      </c>
      <c r="BW468" s="891">
        <f t="shared" si="704"/>
        <v>0</v>
      </c>
      <c r="BX468" s="891">
        <f t="shared" si="704"/>
        <v>0</v>
      </c>
      <c r="BY468" s="891">
        <f t="shared" si="704"/>
        <v>0</v>
      </c>
      <c r="BZ468" s="891">
        <f t="shared" si="704"/>
        <v>0</v>
      </c>
      <c r="CA468" s="891">
        <f t="shared" si="704"/>
        <v>0</v>
      </c>
      <c r="CB468" s="891">
        <f t="shared" si="704"/>
        <v>0</v>
      </c>
      <c r="CC468" s="891">
        <f t="shared" si="704"/>
        <v>0</v>
      </c>
      <c r="CD468" s="891">
        <f t="shared" si="704"/>
        <v>0</v>
      </c>
      <c r="CE468" s="891">
        <f t="shared" si="704"/>
        <v>0</v>
      </c>
      <c r="CF468" s="891">
        <f t="shared" si="704"/>
        <v>0</v>
      </c>
      <c r="CG468" s="891">
        <f t="shared" si="704"/>
        <v>0</v>
      </c>
      <c r="CH468" s="891">
        <f t="shared" si="704"/>
        <v>0</v>
      </c>
      <c r="CI468" s="891">
        <f t="shared" si="704"/>
        <v>0</v>
      </c>
    </row>
    <row r="469" spans="1:87" s="891" customFormat="1" x14ac:dyDescent="0.2">
      <c r="A469" s="890" t="s">
        <v>961</v>
      </c>
      <c r="B469" s="891">
        <f t="shared" si="684"/>
        <v>0</v>
      </c>
      <c r="C469" s="891">
        <f t="shared" ref="C469:AA469" si="705">+C57-C383</f>
        <v>0</v>
      </c>
      <c r="D469" s="891">
        <f t="shared" si="705"/>
        <v>0</v>
      </c>
      <c r="E469" s="891">
        <f t="shared" si="705"/>
        <v>0</v>
      </c>
      <c r="F469" s="891">
        <f t="shared" si="705"/>
        <v>0</v>
      </c>
      <c r="G469" s="891">
        <f t="shared" si="705"/>
        <v>0</v>
      </c>
      <c r="H469" s="891">
        <f t="shared" si="705"/>
        <v>0</v>
      </c>
      <c r="I469" s="891">
        <f t="shared" si="705"/>
        <v>0</v>
      </c>
      <c r="J469" s="891">
        <f t="shared" si="705"/>
        <v>0</v>
      </c>
      <c r="K469" s="891">
        <f t="shared" si="705"/>
        <v>0</v>
      </c>
      <c r="L469" s="891">
        <f t="shared" si="705"/>
        <v>0</v>
      </c>
      <c r="M469" s="891">
        <f t="shared" si="705"/>
        <v>0</v>
      </c>
      <c r="N469" s="891">
        <f t="shared" si="705"/>
        <v>0</v>
      </c>
      <c r="O469" s="891">
        <f t="shared" si="705"/>
        <v>0</v>
      </c>
      <c r="P469" s="891">
        <f t="shared" si="705"/>
        <v>0</v>
      </c>
      <c r="Q469" s="891">
        <f t="shared" si="705"/>
        <v>0</v>
      </c>
      <c r="R469" s="891">
        <f t="shared" si="705"/>
        <v>0</v>
      </c>
      <c r="S469" s="891">
        <f t="shared" si="705"/>
        <v>0</v>
      </c>
      <c r="T469" s="891">
        <f t="shared" si="705"/>
        <v>0</v>
      </c>
      <c r="U469" s="891">
        <f t="shared" si="705"/>
        <v>0</v>
      </c>
      <c r="V469" s="891">
        <f t="shared" si="705"/>
        <v>0</v>
      </c>
      <c r="W469" s="891">
        <f t="shared" si="705"/>
        <v>0</v>
      </c>
      <c r="X469" s="891">
        <f t="shared" si="705"/>
        <v>0</v>
      </c>
      <c r="Y469" s="891">
        <f t="shared" si="705"/>
        <v>0</v>
      </c>
      <c r="Z469" s="891">
        <f t="shared" si="705"/>
        <v>0</v>
      </c>
      <c r="AA469" s="891">
        <f t="shared" si="705"/>
        <v>0</v>
      </c>
      <c r="AB469" s="891">
        <f t="shared" ref="AB469:AW469" si="706">+AB57-AB383</f>
        <v>0</v>
      </c>
      <c r="AC469" s="891">
        <f t="shared" si="706"/>
        <v>0</v>
      </c>
      <c r="AD469" s="891">
        <f t="shared" si="706"/>
        <v>0</v>
      </c>
      <c r="AE469" s="891">
        <f t="shared" si="706"/>
        <v>0</v>
      </c>
      <c r="AF469" s="891">
        <f t="shared" si="706"/>
        <v>0</v>
      </c>
      <c r="AG469" s="891">
        <f t="shared" si="706"/>
        <v>0</v>
      </c>
      <c r="AH469" s="891">
        <f t="shared" si="706"/>
        <v>0</v>
      </c>
      <c r="AI469" s="891">
        <f t="shared" si="706"/>
        <v>0</v>
      </c>
      <c r="AJ469" s="891">
        <f t="shared" si="706"/>
        <v>0</v>
      </c>
      <c r="AK469" s="891">
        <f t="shared" si="706"/>
        <v>0</v>
      </c>
      <c r="AL469" s="891">
        <f t="shared" si="706"/>
        <v>0</v>
      </c>
      <c r="AM469" s="891">
        <f t="shared" si="706"/>
        <v>0</v>
      </c>
      <c r="AN469" s="891">
        <f t="shared" si="706"/>
        <v>0</v>
      </c>
      <c r="AO469" s="891">
        <f t="shared" si="706"/>
        <v>0</v>
      </c>
      <c r="AP469" s="891">
        <f t="shared" si="706"/>
        <v>0</v>
      </c>
      <c r="AR469" s="891">
        <f t="shared" si="706"/>
        <v>0</v>
      </c>
      <c r="AS469" s="891">
        <f t="shared" si="706"/>
        <v>0</v>
      </c>
      <c r="AT469" s="891">
        <f t="shared" si="706"/>
        <v>0</v>
      </c>
      <c r="AU469" s="891">
        <f t="shared" si="706"/>
        <v>0</v>
      </c>
      <c r="AV469" s="891">
        <f t="shared" si="706"/>
        <v>0</v>
      </c>
      <c r="AW469" s="891">
        <f t="shared" si="706"/>
        <v>0</v>
      </c>
      <c r="AX469" s="891">
        <f t="shared" ref="AX469:BR469" si="707">+AX57-AX383</f>
        <v>0</v>
      </c>
      <c r="AY469" s="891">
        <f t="shared" si="707"/>
        <v>0</v>
      </c>
      <c r="AZ469" s="891">
        <f t="shared" si="707"/>
        <v>0</v>
      </c>
      <c r="BA469" s="891">
        <f t="shared" si="707"/>
        <v>0</v>
      </c>
      <c r="BB469" s="891">
        <f t="shared" si="707"/>
        <v>0</v>
      </c>
      <c r="BC469" s="891">
        <f t="shared" si="707"/>
        <v>0</v>
      </c>
      <c r="BD469" s="891">
        <f t="shared" si="707"/>
        <v>0</v>
      </c>
      <c r="BE469" s="891">
        <f t="shared" si="707"/>
        <v>0</v>
      </c>
      <c r="BF469" s="891">
        <f t="shared" si="707"/>
        <v>0</v>
      </c>
      <c r="BG469" s="891">
        <f t="shared" si="707"/>
        <v>0</v>
      </c>
      <c r="BH469" s="891">
        <f t="shared" si="707"/>
        <v>0</v>
      </c>
      <c r="BI469" s="891">
        <f t="shared" si="707"/>
        <v>0</v>
      </c>
      <c r="BJ469" s="891">
        <f t="shared" si="707"/>
        <v>0</v>
      </c>
      <c r="BK469" s="891">
        <f t="shared" si="707"/>
        <v>0</v>
      </c>
      <c r="BL469" s="891">
        <f t="shared" si="707"/>
        <v>0</v>
      </c>
      <c r="BM469" s="891">
        <f t="shared" si="707"/>
        <v>0</v>
      </c>
      <c r="BN469" s="891">
        <f t="shared" si="707"/>
        <v>0</v>
      </c>
      <c r="BO469" s="891">
        <f t="shared" si="707"/>
        <v>0</v>
      </c>
      <c r="BP469" s="891">
        <f t="shared" si="707"/>
        <v>0</v>
      </c>
      <c r="BQ469" s="891">
        <f t="shared" si="707"/>
        <v>0</v>
      </c>
      <c r="BR469" s="891">
        <f t="shared" si="707"/>
        <v>0</v>
      </c>
      <c r="BS469" s="891">
        <f t="shared" ref="BS469:CI469" si="708">+BS57-BS383</f>
        <v>0</v>
      </c>
      <c r="BT469" s="891">
        <f t="shared" si="708"/>
        <v>0</v>
      </c>
      <c r="BU469" s="891">
        <f t="shared" si="708"/>
        <v>0</v>
      </c>
      <c r="BV469" s="891">
        <f t="shared" si="708"/>
        <v>0</v>
      </c>
      <c r="BW469" s="891">
        <f t="shared" si="708"/>
        <v>0</v>
      </c>
      <c r="BX469" s="891">
        <f t="shared" si="708"/>
        <v>0</v>
      </c>
      <c r="BY469" s="891">
        <f t="shared" si="708"/>
        <v>0</v>
      </c>
      <c r="BZ469" s="891">
        <f t="shared" si="708"/>
        <v>0</v>
      </c>
      <c r="CA469" s="891">
        <f t="shared" si="708"/>
        <v>0</v>
      </c>
      <c r="CB469" s="891">
        <f t="shared" si="708"/>
        <v>0</v>
      </c>
      <c r="CC469" s="891">
        <f t="shared" si="708"/>
        <v>0</v>
      </c>
      <c r="CD469" s="891">
        <f t="shared" si="708"/>
        <v>0</v>
      </c>
      <c r="CE469" s="891">
        <f t="shared" si="708"/>
        <v>0</v>
      </c>
      <c r="CF469" s="891">
        <f t="shared" si="708"/>
        <v>0</v>
      </c>
      <c r="CG469" s="891">
        <f t="shared" si="708"/>
        <v>0</v>
      </c>
      <c r="CH469" s="891">
        <f t="shared" si="708"/>
        <v>0</v>
      </c>
      <c r="CI469" s="891">
        <f t="shared" si="708"/>
        <v>0</v>
      </c>
    </row>
    <row r="470" spans="1:87" s="891" customFormat="1" x14ac:dyDescent="0.2">
      <c r="A470" s="890" t="s">
        <v>960</v>
      </c>
      <c r="B470" s="891">
        <f t="shared" si="684"/>
        <v>0</v>
      </c>
      <c r="C470" s="891">
        <f t="shared" ref="C470:AA470" si="709">+C58-C384</f>
        <v>0</v>
      </c>
      <c r="D470" s="891">
        <f t="shared" si="709"/>
        <v>0</v>
      </c>
      <c r="E470" s="891">
        <f t="shared" si="709"/>
        <v>0</v>
      </c>
      <c r="F470" s="891">
        <f t="shared" si="709"/>
        <v>0</v>
      </c>
      <c r="G470" s="891">
        <f t="shared" si="709"/>
        <v>0</v>
      </c>
      <c r="H470" s="891">
        <f t="shared" si="709"/>
        <v>0</v>
      </c>
      <c r="I470" s="891">
        <f t="shared" si="709"/>
        <v>0</v>
      </c>
      <c r="J470" s="891">
        <f t="shared" si="709"/>
        <v>0</v>
      </c>
      <c r="K470" s="891">
        <f t="shared" si="709"/>
        <v>0</v>
      </c>
      <c r="L470" s="891">
        <f t="shared" si="709"/>
        <v>0</v>
      </c>
      <c r="M470" s="891">
        <f t="shared" si="709"/>
        <v>0</v>
      </c>
      <c r="N470" s="891">
        <f t="shared" si="709"/>
        <v>0</v>
      </c>
      <c r="O470" s="891">
        <f t="shared" si="709"/>
        <v>0</v>
      </c>
      <c r="P470" s="891">
        <f t="shared" si="709"/>
        <v>0</v>
      </c>
      <c r="Q470" s="891">
        <f t="shared" si="709"/>
        <v>0</v>
      </c>
      <c r="R470" s="891">
        <f t="shared" si="709"/>
        <v>0</v>
      </c>
      <c r="S470" s="891">
        <f t="shared" si="709"/>
        <v>0</v>
      </c>
      <c r="T470" s="891">
        <f t="shared" si="709"/>
        <v>0</v>
      </c>
      <c r="U470" s="891">
        <f t="shared" si="709"/>
        <v>0</v>
      </c>
      <c r="V470" s="891">
        <f t="shared" si="709"/>
        <v>0</v>
      </c>
      <c r="W470" s="891">
        <f t="shared" si="709"/>
        <v>0</v>
      </c>
      <c r="X470" s="891">
        <f t="shared" si="709"/>
        <v>0</v>
      </c>
      <c r="Y470" s="891">
        <f t="shared" si="709"/>
        <v>0</v>
      </c>
      <c r="Z470" s="891">
        <f t="shared" si="709"/>
        <v>0</v>
      </c>
      <c r="AA470" s="891">
        <f t="shared" si="709"/>
        <v>0</v>
      </c>
      <c r="AB470" s="891">
        <f t="shared" ref="AB470:AW470" si="710">+AB58-AB384</f>
        <v>0</v>
      </c>
      <c r="AC470" s="891">
        <f t="shared" si="710"/>
        <v>0</v>
      </c>
      <c r="AD470" s="891">
        <f t="shared" si="710"/>
        <v>0</v>
      </c>
      <c r="AE470" s="891">
        <f t="shared" si="710"/>
        <v>0</v>
      </c>
      <c r="AF470" s="891">
        <f t="shared" si="710"/>
        <v>0</v>
      </c>
      <c r="AG470" s="891">
        <f t="shared" si="710"/>
        <v>0</v>
      </c>
      <c r="AH470" s="891">
        <f t="shared" si="710"/>
        <v>0</v>
      </c>
      <c r="AI470" s="891">
        <f t="shared" si="710"/>
        <v>0</v>
      </c>
      <c r="AJ470" s="891">
        <f t="shared" si="710"/>
        <v>0</v>
      </c>
      <c r="AK470" s="891">
        <f t="shared" si="710"/>
        <v>0</v>
      </c>
      <c r="AL470" s="891">
        <f t="shared" si="710"/>
        <v>0</v>
      </c>
      <c r="AM470" s="891">
        <f t="shared" si="710"/>
        <v>0</v>
      </c>
      <c r="AN470" s="891">
        <f t="shared" si="710"/>
        <v>0</v>
      </c>
      <c r="AO470" s="891">
        <f t="shared" si="710"/>
        <v>0</v>
      </c>
      <c r="AP470" s="891">
        <f t="shared" si="710"/>
        <v>0</v>
      </c>
      <c r="AR470" s="891">
        <f t="shared" si="710"/>
        <v>0</v>
      </c>
      <c r="AS470" s="891">
        <f t="shared" si="710"/>
        <v>0</v>
      </c>
      <c r="AT470" s="891">
        <f t="shared" si="710"/>
        <v>0</v>
      </c>
      <c r="AU470" s="891">
        <f t="shared" si="710"/>
        <v>0</v>
      </c>
      <c r="AV470" s="891">
        <f t="shared" si="710"/>
        <v>0</v>
      </c>
      <c r="AW470" s="891">
        <f t="shared" si="710"/>
        <v>0</v>
      </c>
      <c r="AX470" s="891">
        <f t="shared" ref="AX470:BR470" si="711">+AX58-AX384</f>
        <v>0</v>
      </c>
      <c r="AY470" s="891">
        <f t="shared" si="711"/>
        <v>0</v>
      </c>
      <c r="AZ470" s="891">
        <f t="shared" si="711"/>
        <v>0</v>
      </c>
      <c r="BA470" s="891">
        <f t="shared" si="711"/>
        <v>0</v>
      </c>
      <c r="BB470" s="891">
        <f t="shared" si="711"/>
        <v>0</v>
      </c>
      <c r="BC470" s="891">
        <f t="shared" si="711"/>
        <v>0</v>
      </c>
      <c r="BD470" s="891">
        <f t="shared" si="711"/>
        <v>0</v>
      </c>
      <c r="BE470" s="891">
        <f t="shared" si="711"/>
        <v>0</v>
      </c>
      <c r="BF470" s="891">
        <f t="shared" si="711"/>
        <v>0</v>
      </c>
      <c r="BG470" s="891">
        <f t="shared" si="711"/>
        <v>0</v>
      </c>
      <c r="BH470" s="891">
        <f t="shared" si="711"/>
        <v>0</v>
      </c>
      <c r="BI470" s="891">
        <f t="shared" si="711"/>
        <v>0</v>
      </c>
      <c r="BJ470" s="891">
        <f t="shared" si="711"/>
        <v>0</v>
      </c>
      <c r="BK470" s="891">
        <f t="shared" si="711"/>
        <v>0</v>
      </c>
      <c r="BL470" s="891">
        <f t="shared" si="711"/>
        <v>0</v>
      </c>
      <c r="BM470" s="891">
        <f t="shared" si="711"/>
        <v>0</v>
      </c>
      <c r="BN470" s="891">
        <f t="shared" si="711"/>
        <v>0</v>
      </c>
      <c r="BO470" s="891">
        <f t="shared" si="711"/>
        <v>0</v>
      </c>
      <c r="BP470" s="891">
        <f t="shared" si="711"/>
        <v>0</v>
      </c>
      <c r="BQ470" s="891">
        <f t="shared" si="711"/>
        <v>0</v>
      </c>
      <c r="BR470" s="891">
        <f t="shared" si="711"/>
        <v>0</v>
      </c>
      <c r="BS470" s="891">
        <f t="shared" ref="BS470:CI470" si="712">+BS58-BS384</f>
        <v>0</v>
      </c>
      <c r="BT470" s="891">
        <f t="shared" si="712"/>
        <v>0</v>
      </c>
      <c r="BU470" s="891">
        <f t="shared" si="712"/>
        <v>0</v>
      </c>
      <c r="BV470" s="891">
        <f t="shared" si="712"/>
        <v>0</v>
      </c>
      <c r="BW470" s="891">
        <f t="shared" si="712"/>
        <v>0</v>
      </c>
      <c r="BX470" s="891">
        <f t="shared" si="712"/>
        <v>0</v>
      </c>
      <c r="BY470" s="891">
        <f t="shared" si="712"/>
        <v>0</v>
      </c>
      <c r="BZ470" s="891">
        <f t="shared" si="712"/>
        <v>0</v>
      </c>
      <c r="CA470" s="891">
        <f t="shared" si="712"/>
        <v>0</v>
      </c>
      <c r="CB470" s="891">
        <f t="shared" si="712"/>
        <v>0</v>
      </c>
      <c r="CC470" s="891">
        <f t="shared" si="712"/>
        <v>0</v>
      </c>
      <c r="CD470" s="891">
        <f t="shared" si="712"/>
        <v>0</v>
      </c>
      <c r="CE470" s="891">
        <f t="shared" si="712"/>
        <v>0</v>
      </c>
      <c r="CF470" s="891">
        <f t="shared" si="712"/>
        <v>0</v>
      </c>
      <c r="CG470" s="891">
        <f t="shared" si="712"/>
        <v>0</v>
      </c>
      <c r="CH470" s="891">
        <f t="shared" si="712"/>
        <v>0</v>
      </c>
      <c r="CI470" s="891">
        <f t="shared" si="712"/>
        <v>0</v>
      </c>
    </row>
    <row r="471" spans="1:87" s="891" customFormat="1" x14ac:dyDescent="0.2">
      <c r="A471" s="890" t="s">
        <v>963</v>
      </c>
      <c r="B471" s="891">
        <f t="shared" si="684"/>
        <v>3025</v>
      </c>
      <c r="C471" s="891">
        <f t="shared" ref="C471:AA471" si="713">+C59-C385</f>
        <v>0</v>
      </c>
      <c r="D471" s="891">
        <f t="shared" si="713"/>
        <v>0</v>
      </c>
      <c r="E471" s="891">
        <f t="shared" si="713"/>
        <v>0</v>
      </c>
      <c r="F471" s="891">
        <f t="shared" si="713"/>
        <v>0</v>
      </c>
      <c r="G471" s="891">
        <f t="shared" si="713"/>
        <v>0</v>
      </c>
      <c r="H471" s="891">
        <f t="shared" si="713"/>
        <v>0</v>
      </c>
      <c r="I471" s="891">
        <f t="shared" si="713"/>
        <v>0</v>
      </c>
      <c r="J471" s="891">
        <f t="shared" si="713"/>
        <v>0</v>
      </c>
      <c r="K471" s="891">
        <f t="shared" si="713"/>
        <v>0</v>
      </c>
      <c r="L471" s="891">
        <f t="shared" si="713"/>
        <v>0</v>
      </c>
      <c r="M471" s="891">
        <f t="shared" si="713"/>
        <v>0</v>
      </c>
      <c r="N471" s="891">
        <f t="shared" si="713"/>
        <v>0</v>
      </c>
      <c r="O471" s="891">
        <f t="shared" si="713"/>
        <v>0</v>
      </c>
      <c r="P471" s="891">
        <f t="shared" si="713"/>
        <v>0</v>
      </c>
      <c r="Q471" s="891">
        <f t="shared" si="713"/>
        <v>0</v>
      </c>
      <c r="R471" s="891">
        <f t="shared" si="713"/>
        <v>0</v>
      </c>
      <c r="S471" s="891">
        <f t="shared" si="713"/>
        <v>0</v>
      </c>
      <c r="T471" s="891">
        <f t="shared" si="713"/>
        <v>0</v>
      </c>
      <c r="U471" s="891">
        <f t="shared" si="713"/>
        <v>0</v>
      </c>
      <c r="V471" s="891">
        <f t="shared" si="713"/>
        <v>0</v>
      </c>
      <c r="W471" s="891">
        <f t="shared" si="713"/>
        <v>0</v>
      </c>
      <c r="X471" s="891">
        <f t="shared" si="713"/>
        <v>0</v>
      </c>
      <c r="Y471" s="891">
        <f t="shared" si="713"/>
        <v>0</v>
      </c>
      <c r="Z471" s="891">
        <f t="shared" si="713"/>
        <v>0</v>
      </c>
      <c r="AA471" s="891">
        <f t="shared" si="713"/>
        <v>0</v>
      </c>
      <c r="AB471" s="891">
        <f t="shared" ref="AB471:AW471" si="714">+AB59-AB385</f>
        <v>0</v>
      </c>
      <c r="AC471" s="891">
        <f t="shared" si="714"/>
        <v>0</v>
      </c>
      <c r="AD471" s="891">
        <f t="shared" si="714"/>
        <v>0</v>
      </c>
      <c r="AE471" s="891">
        <f t="shared" si="714"/>
        <v>3025</v>
      </c>
      <c r="AF471" s="891">
        <f t="shared" si="714"/>
        <v>0</v>
      </c>
      <c r="AG471" s="891">
        <f t="shared" si="714"/>
        <v>0</v>
      </c>
      <c r="AH471" s="891">
        <f t="shared" si="714"/>
        <v>0</v>
      </c>
      <c r="AI471" s="891">
        <f t="shared" si="714"/>
        <v>0</v>
      </c>
      <c r="AJ471" s="891">
        <f t="shared" si="714"/>
        <v>0</v>
      </c>
      <c r="AK471" s="891">
        <f t="shared" si="714"/>
        <v>0</v>
      </c>
      <c r="AL471" s="891">
        <f t="shared" si="714"/>
        <v>0</v>
      </c>
      <c r="AM471" s="891">
        <f t="shared" si="714"/>
        <v>0</v>
      </c>
      <c r="AN471" s="891">
        <f t="shared" si="714"/>
        <v>0</v>
      </c>
      <c r="AO471" s="891">
        <f t="shared" si="714"/>
        <v>0</v>
      </c>
      <c r="AP471" s="891">
        <f t="shared" si="714"/>
        <v>0</v>
      </c>
      <c r="AR471" s="891">
        <f t="shared" si="714"/>
        <v>0</v>
      </c>
      <c r="AS471" s="891">
        <f t="shared" si="714"/>
        <v>0</v>
      </c>
      <c r="AT471" s="891">
        <f t="shared" si="714"/>
        <v>0</v>
      </c>
      <c r="AU471" s="891">
        <f t="shared" si="714"/>
        <v>0</v>
      </c>
      <c r="AV471" s="891">
        <f t="shared" si="714"/>
        <v>0</v>
      </c>
      <c r="AW471" s="891">
        <f t="shared" si="714"/>
        <v>0</v>
      </c>
      <c r="AX471" s="891">
        <f t="shared" ref="AX471:BR471" si="715">+AX59-AX385</f>
        <v>0</v>
      </c>
      <c r="AY471" s="891">
        <f t="shared" si="715"/>
        <v>0</v>
      </c>
      <c r="AZ471" s="891">
        <f t="shared" si="715"/>
        <v>0</v>
      </c>
      <c r="BA471" s="891">
        <f t="shared" si="715"/>
        <v>0</v>
      </c>
      <c r="BB471" s="891">
        <f t="shared" si="715"/>
        <v>0</v>
      </c>
      <c r="BC471" s="891">
        <f t="shared" si="715"/>
        <v>0</v>
      </c>
      <c r="BD471" s="891">
        <f t="shared" si="715"/>
        <v>0</v>
      </c>
      <c r="BE471" s="891">
        <f t="shared" si="715"/>
        <v>0</v>
      </c>
      <c r="BF471" s="891">
        <f t="shared" si="715"/>
        <v>0</v>
      </c>
      <c r="BG471" s="891">
        <f t="shared" si="715"/>
        <v>0</v>
      </c>
      <c r="BH471" s="891">
        <f t="shared" si="715"/>
        <v>0</v>
      </c>
      <c r="BI471" s="891">
        <f t="shared" si="715"/>
        <v>0</v>
      </c>
      <c r="BJ471" s="891">
        <f t="shared" si="715"/>
        <v>0</v>
      </c>
      <c r="BK471" s="891">
        <f t="shared" si="715"/>
        <v>0</v>
      </c>
      <c r="BL471" s="891">
        <f t="shared" si="715"/>
        <v>0</v>
      </c>
      <c r="BM471" s="891">
        <f t="shared" si="715"/>
        <v>0</v>
      </c>
      <c r="BN471" s="891">
        <f t="shared" si="715"/>
        <v>0</v>
      </c>
      <c r="BO471" s="891">
        <f t="shared" si="715"/>
        <v>0</v>
      </c>
      <c r="BP471" s="891">
        <f t="shared" si="715"/>
        <v>0</v>
      </c>
      <c r="BQ471" s="891">
        <f t="shared" si="715"/>
        <v>0</v>
      </c>
      <c r="BR471" s="891">
        <f t="shared" si="715"/>
        <v>0</v>
      </c>
      <c r="BS471" s="891">
        <f t="shared" ref="BS471:CI471" si="716">+BS59-BS385</f>
        <v>0</v>
      </c>
      <c r="BT471" s="891">
        <f t="shared" si="716"/>
        <v>0</v>
      </c>
      <c r="BU471" s="891">
        <f t="shared" si="716"/>
        <v>0</v>
      </c>
      <c r="BV471" s="891">
        <f t="shared" si="716"/>
        <v>0</v>
      </c>
      <c r="BW471" s="891">
        <f t="shared" si="716"/>
        <v>0</v>
      </c>
      <c r="BX471" s="891">
        <f t="shared" si="716"/>
        <v>0</v>
      </c>
      <c r="BY471" s="891">
        <f t="shared" si="716"/>
        <v>0</v>
      </c>
      <c r="BZ471" s="891">
        <f t="shared" si="716"/>
        <v>0</v>
      </c>
      <c r="CA471" s="891">
        <f t="shared" si="716"/>
        <v>0</v>
      </c>
      <c r="CB471" s="891">
        <f t="shared" si="716"/>
        <v>0</v>
      </c>
      <c r="CC471" s="891">
        <f t="shared" si="716"/>
        <v>0</v>
      </c>
      <c r="CD471" s="891">
        <f t="shared" si="716"/>
        <v>0</v>
      </c>
      <c r="CE471" s="891">
        <f t="shared" si="716"/>
        <v>0</v>
      </c>
      <c r="CF471" s="891">
        <f t="shared" si="716"/>
        <v>0</v>
      </c>
      <c r="CG471" s="891">
        <f t="shared" si="716"/>
        <v>0</v>
      </c>
      <c r="CH471" s="891">
        <f t="shared" si="716"/>
        <v>0</v>
      </c>
      <c r="CI471" s="891">
        <f t="shared" si="716"/>
        <v>0</v>
      </c>
    </row>
    <row r="472" spans="1:87" s="891" customFormat="1" x14ac:dyDescent="0.2">
      <c r="A472" s="890" t="s">
        <v>959</v>
      </c>
      <c r="B472" s="891">
        <f t="shared" si="684"/>
        <v>0</v>
      </c>
      <c r="C472" s="891">
        <f t="shared" ref="C472:AA472" si="717">+C60-C386</f>
        <v>0</v>
      </c>
      <c r="D472" s="891">
        <f t="shared" si="717"/>
        <v>0</v>
      </c>
      <c r="E472" s="891">
        <f t="shared" si="717"/>
        <v>0</v>
      </c>
      <c r="F472" s="891">
        <f t="shared" si="717"/>
        <v>0</v>
      </c>
      <c r="G472" s="891">
        <f t="shared" si="717"/>
        <v>0</v>
      </c>
      <c r="H472" s="891">
        <f t="shared" si="717"/>
        <v>0</v>
      </c>
      <c r="I472" s="891">
        <f t="shared" si="717"/>
        <v>0</v>
      </c>
      <c r="J472" s="891">
        <f t="shared" si="717"/>
        <v>0</v>
      </c>
      <c r="K472" s="891">
        <f t="shared" si="717"/>
        <v>0</v>
      </c>
      <c r="L472" s="891">
        <f t="shared" si="717"/>
        <v>0</v>
      </c>
      <c r="M472" s="891">
        <f t="shared" si="717"/>
        <v>0</v>
      </c>
      <c r="N472" s="891">
        <f t="shared" si="717"/>
        <v>0</v>
      </c>
      <c r="O472" s="891">
        <f t="shared" si="717"/>
        <v>0</v>
      </c>
      <c r="P472" s="891">
        <f t="shared" si="717"/>
        <v>0</v>
      </c>
      <c r="Q472" s="891">
        <f t="shared" si="717"/>
        <v>0</v>
      </c>
      <c r="R472" s="891">
        <f t="shared" si="717"/>
        <v>0</v>
      </c>
      <c r="S472" s="891">
        <f t="shared" si="717"/>
        <v>0</v>
      </c>
      <c r="T472" s="891">
        <f t="shared" si="717"/>
        <v>0</v>
      </c>
      <c r="U472" s="891">
        <f t="shared" si="717"/>
        <v>0</v>
      </c>
      <c r="V472" s="891">
        <f t="shared" si="717"/>
        <v>0</v>
      </c>
      <c r="W472" s="891">
        <f t="shared" si="717"/>
        <v>0</v>
      </c>
      <c r="X472" s="891">
        <f t="shared" si="717"/>
        <v>0</v>
      </c>
      <c r="Y472" s="891">
        <f t="shared" si="717"/>
        <v>0</v>
      </c>
      <c r="Z472" s="891">
        <f t="shared" si="717"/>
        <v>0</v>
      </c>
      <c r="AA472" s="891">
        <f t="shared" si="717"/>
        <v>0</v>
      </c>
      <c r="AB472" s="891">
        <f t="shared" ref="AB472:AW472" si="718">+AB60-AB386</f>
        <v>0</v>
      </c>
      <c r="AC472" s="891">
        <f t="shared" si="718"/>
        <v>0</v>
      </c>
      <c r="AD472" s="891">
        <f t="shared" si="718"/>
        <v>0</v>
      </c>
      <c r="AE472" s="891">
        <f t="shared" si="718"/>
        <v>0</v>
      </c>
      <c r="AF472" s="891">
        <f t="shared" si="718"/>
        <v>0</v>
      </c>
      <c r="AG472" s="891">
        <f t="shared" si="718"/>
        <v>0</v>
      </c>
      <c r="AH472" s="891">
        <f t="shared" si="718"/>
        <v>0</v>
      </c>
      <c r="AI472" s="891">
        <f t="shared" si="718"/>
        <v>0</v>
      </c>
      <c r="AJ472" s="891">
        <f t="shared" si="718"/>
        <v>0</v>
      </c>
      <c r="AK472" s="891">
        <f t="shared" si="718"/>
        <v>0</v>
      </c>
      <c r="AL472" s="891">
        <f t="shared" si="718"/>
        <v>0</v>
      </c>
      <c r="AM472" s="891">
        <f t="shared" si="718"/>
        <v>0</v>
      </c>
      <c r="AN472" s="891">
        <f t="shared" si="718"/>
        <v>0</v>
      </c>
      <c r="AO472" s="891">
        <f t="shared" si="718"/>
        <v>0</v>
      </c>
      <c r="AP472" s="891">
        <f t="shared" si="718"/>
        <v>0</v>
      </c>
      <c r="AR472" s="891">
        <f t="shared" si="718"/>
        <v>0</v>
      </c>
      <c r="AS472" s="891">
        <f t="shared" si="718"/>
        <v>0</v>
      </c>
      <c r="AT472" s="891">
        <f t="shared" si="718"/>
        <v>0</v>
      </c>
      <c r="AU472" s="891">
        <f t="shared" si="718"/>
        <v>0</v>
      </c>
      <c r="AV472" s="891">
        <f t="shared" si="718"/>
        <v>0</v>
      </c>
      <c r="AW472" s="891">
        <f t="shared" si="718"/>
        <v>0</v>
      </c>
      <c r="AX472" s="891">
        <f t="shared" ref="AX472:BR472" si="719">+AX60-AX386</f>
        <v>0</v>
      </c>
      <c r="AY472" s="891">
        <f t="shared" si="719"/>
        <v>0</v>
      </c>
      <c r="AZ472" s="891">
        <f t="shared" si="719"/>
        <v>0</v>
      </c>
      <c r="BA472" s="891">
        <f t="shared" si="719"/>
        <v>0</v>
      </c>
      <c r="BB472" s="891">
        <f t="shared" si="719"/>
        <v>0</v>
      </c>
      <c r="BC472" s="891">
        <f t="shared" si="719"/>
        <v>0</v>
      </c>
      <c r="BD472" s="891">
        <f t="shared" si="719"/>
        <v>0</v>
      </c>
      <c r="BE472" s="891">
        <f t="shared" si="719"/>
        <v>0</v>
      </c>
      <c r="BF472" s="891">
        <f t="shared" si="719"/>
        <v>0</v>
      </c>
      <c r="BG472" s="891">
        <f t="shared" si="719"/>
        <v>0</v>
      </c>
      <c r="BH472" s="891">
        <f t="shared" si="719"/>
        <v>0</v>
      </c>
      <c r="BI472" s="891">
        <f t="shared" si="719"/>
        <v>0</v>
      </c>
      <c r="BJ472" s="891">
        <f t="shared" si="719"/>
        <v>0</v>
      </c>
      <c r="BK472" s="891">
        <f t="shared" si="719"/>
        <v>0</v>
      </c>
      <c r="BL472" s="891">
        <f t="shared" si="719"/>
        <v>0</v>
      </c>
      <c r="BM472" s="891">
        <f t="shared" si="719"/>
        <v>0</v>
      </c>
      <c r="BN472" s="891">
        <f t="shared" si="719"/>
        <v>0</v>
      </c>
      <c r="BO472" s="891">
        <f t="shared" si="719"/>
        <v>0</v>
      </c>
      <c r="BP472" s="891">
        <f t="shared" si="719"/>
        <v>0</v>
      </c>
      <c r="BQ472" s="891">
        <f t="shared" si="719"/>
        <v>0</v>
      </c>
      <c r="BR472" s="891">
        <f t="shared" si="719"/>
        <v>0</v>
      </c>
      <c r="BS472" s="891">
        <f t="shared" ref="BS472:CI472" si="720">+BS60-BS386</f>
        <v>0</v>
      </c>
      <c r="BT472" s="891">
        <f t="shared" si="720"/>
        <v>0</v>
      </c>
      <c r="BU472" s="891">
        <f t="shared" si="720"/>
        <v>0</v>
      </c>
      <c r="BV472" s="891">
        <f t="shared" si="720"/>
        <v>0</v>
      </c>
      <c r="BW472" s="891">
        <f t="shared" si="720"/>
        <v>0</v>
      </c>
      <c r="BX472" s="891">
        <f t="shared" si="720"/>
        <v>0</v>
      </c>
      <c r="BY472" s="891">
        <f t="shared" si="720"/>
        <v>0</v>
      </c>
      <c r="BZ472" s="891">
        <f t="shared" si="720"/>
        <v>0</v>
      </c>
      <c r="CA472" s="891">
        <f t="shared" si="720"/>
        <v>0</v>
      </c>
      <c r="CB472" s="891">
        <f t="shared" si="720"/>
        <v>0</v>
      </c>
      <c r="CC472" s="891">
        <f t="shared" si="720"/>
        <v>0</v>
      </c>
      <c r="CD472" s="891">
        <f t="shared" si="720"/>
        <v>0</v>
      </c>
      <c r="CE472" s="891">
        <f t="shared" si="720"/>
        <v>0</v>
      </c>
      <c r="CF472" s="891">
        <f t="shared" si="720"/>
        <v>0</v>
      </c>
      <c r="CG472" s="891">
        <f t="shared" si="720"/>
        <v>0</v>
      </c>
      <c r="CH472" s="891">
        <f t="shared" si="720"/>
        <v>0</v>
      </c>
      <c r="CI472" s="891">
        <f t="shared" si="720"/>
        <v>0</v>
      </c>
    </row>
    <row r="473" spans="1:87" s="891" customFormat="1" x14ac:dyDescent="0.2">
      <c r="A473" s="890" t="s">
        <v>1191</v>
      </c>
      <c r="B473" s="891">
        <f t="shared" si="684"/>
        <v>780</v>
      </c>
      <c r="C473" s="891">
        <f t="shared" ref="C473:AA473" si="721">+C61-C387</f>
        <v>0</v>
      </c>
      <c r="D473" s="891">
        <f t="shared" si="721"/>
        <v>0</v>
      </c>
      <c r="E473" s="891">
        <f t="shared" si="721"/>
        <v>0</v>
      </c>
      <c r="F473" s="891">
        <f t="shared" si="721"/>
        <v>0</v>
      </c>
      <c r="G473" s="891">
        <f t="shared" si="721"/>
        <v>0</v>
      </c>
      <c r="H473" s="891">
        <f t="shared" si="721"/>
        <v>0</v>
      </c>
      <c r="I473" s="891">
        <f t="shared" si="721"/>
        <v>0</v>
      </c>
      <c r="J473" s="891">
        <f t="shared" si="721"/>
        <v>0</v>
      </c>
      <c r="K473" s="891">
        <f t="shared" si="721"/>
        <v>0</v>
      </c>
      <c r="L473" s="891">
        <f t="shared" si="721"/>
        <v>0</v>
      </c>
      <c r="M473" s="891">
        <f t="shared" si="721"/>
        <v>0</v>
      </c>
      <c r="N473" s="891">
        <f t="shared" si="721"/>
        <v>0</v>
      </c>
      <c r="O473" s="891">
        <f t="shared" si="721"/>
        <v>0</v>
      </c>
      <c r="P473" s="891">
        <f t="shared" si="721"/>
        <v>0</v>
      </c>
      <c r="Q473" s="891">
        <f t="shared" si="721"/>
        <v>0</v>
      </c>
      <c r="R473" s="891">
        <f t="shared" si="721"/>
        <v>0</v>
      </c>
      <c r="S473" s="891">
        <f t="shared" si="721"/>
        <v>0</v>
      </c>
      <c r="T473" s="891">
        <f t="shared" si="721"/>
        <v>0</v>
      </c>
      <c r="U473" s="891">
        <f t="shared" si="721"/>
        <v>0</v>
      </c>
      <c r="V473" s="891">
        <f t="shared" si="721"/>
        <v>0</v>
      </c>
      <c r="W473" s="891">
        <f t="shared" si="721"/>
        <v>0</v>
      </c>
      <c r="X473" s="891">
        <f t="shared" si="721"/>
        <v>0</v>
      </c>
      <c r="Y473" s="891">
        <f t="shared" si="721"/>
        <v>0</v>
      </c>
      <c r="Z473" s="891">
        <f t="shared" si="721"/>
        <v>0</v>
      </c>
      <c r="AA473" s="891">
        <f t="shared" si="721"/>
        <v>0</v>
      </c>
      <c r="AB473" s="891">
        <f t="shared" ref="AB473:AW473" si="722">+AB61-AB387</f>
        <v>0</v>
      </c>
      <c r="AC473" s="891">
        <f t="shared" si="722"/>
        <v>0</v>
      </c>
      <c r="AD473" s="891">
        <f t="shared" si="722"/>
        <v>0</v>
      </c>
      <c r="AE473" s="891">
        <f t="shared" si="722"/>
        <v>0</v>
      </c>
      <c r="AF473" s="891">
        <f t="shared" si="722"/>
        <v>0</v>
      </c>
      <c r="AG473" s="891">
        <f t="shared" si="722"/>
        <v>0</v>
      </c>
      <c r="AH473" s="891">
        <f t="shared" si="722"/>
        <v>0</v>
      </c>
      <c r="AI473" s="891">
        <f t="shared" si="722"/>
        <v>0</v>
      </c>
      <c r="AJ473" s="891">
        <f t="shared" si="722"/>
        <v>0</v>
      </c>
      <c r="AK473" s="891">
        <f t="shared" si="722"/>
        <v>0</v>
      </c>
      <c r="AL473" s="891">
        <f t="shared" si="722"/>
        <v>0</v>
      </c>
      <c r="AM473" s="891">
        <f t="shared" si="722"/>
        <v>0</v>
      </c>
      <c r="AN473" s="891">
        <f t="shared" si="722"/>
        <v>0</v>
      </c>
      <c r="AO473" s="891">
        <f t="shared" si="722"/>
        <v>0</v>
      </c>
      <c r="AP473" s="891">
        <f t="shared" si="722"/>
        <v>0</v>
      </c>
      <c r="AR473" s="891">
        <f t="shared" si="722"/>
        <v>0</v>
      </c>
      <c r="AS473" s="891">
        <f t="shared" si="722"/>
        <v>0</v>
      </c>
      <c r="AT473" s="891">
        <f t="shared" si="722"/>
        <v>0</v>
      </c>
      <c r="AU473" s="891">
        <f t="shared" si="722"/>
        <v>0</v>
      </c>
      <c r="AV473" s="891">
        <f t="shared" si="722"/>
        <v>0</v>
      </c>
      <c r="AW473" s="891">
        <f t="shared" si="722"/>
        <v>0</v>
      </c>
      <c r="AX473" s="891">
        <f t="shared" ref="AX473:BR473" si="723">+AX61-AX387</f>
        <v>0</v>
      </c>
      <c r="AY473" s="891">
        <f t="shared" si="723"/>
        <v>0</v>
      </c>
      <c r="AZ473" s="891">
        <f t="shared" si="723"/>
        <v>0</v>
      </c>
      <c r="BA473" s="891">
        <f t="shared" si="723"/>
        <v>0</v>
      </c>
      <c r="BB473" s="891">
        <f t="shared" si="723"/>
        <v>0</v>
      </c>
      <c r="BC473" s="891">
        <f t="shared" si="723"/>
        <v>0</v>
      </c>
      <c r="BD473" s="891">
        <f t="shared" si="723"/>
        <v>0</v>
      </c>
      <c r="BE473" s="891">
        <f t="shared" si="723"/>
        <v>0</v>
      </c>
      <c r="BF473" s="891">
        <f t="shared" si="723"/>
        <v>0</v>
      </c>
      <c r="BG473" s="891">
        <f t="shared" si="723"/>
        <v>0</v>
      </c>
      <c r="BH473" s="891">
        <f t="shared" si="723"/>
        <v>0</v>
      </c>
      <c r="BI473" s="891">
        <f t="shared" si="723"/>
        <v>0</v>
      </c>
      <c r="BJ473" s="891">
        <f t="shared" si="723"/>
        <v>0</v>
      </c>
      <c r="BK473" s="891">
        <f t="shared" si="723"/>
        <v>0</v>
      </c>
      <c r="BL473" s="891">
        <f t="shared" si="723"/>
        <v>0</v>
      </c>
      <c r="BM473" s="891">
        <f t="shared" si="723"/>
        <v>0</v>
      </c>
      <c r="BN473" s="891">
        <f t="shared" si="723"/>
        <v>0</v>
      </c>
      <c r="BO473" s="891">
        <f t="shared" si="723"/>
        <v>0</v>
      </c>
      <c r="BP473" s="891">
        <f t="shared" si="723"/>
        <v>0</v>
      </c>
      <c r="BQ473" s="891">
        <f t="shared" si="723"/>
        <v>780</v>
      </c>
      <c r="BR473" s="891">
        <f t="shared" si="723"/>
        <v>0</v>
      </c>
      <c r="BS473" s="891">
        <f t="shared" ref="BS473:CI473" si="724">+BS61-BS387</f>
        <v>0</v>
      </c>
      <c r="BT473" s="891">
        <f t="shared" si="724"/>
        <v>0</v>
      </c>
      <c r="BU473" s="891">
        <f t="shared" si="724"/>
        <v>0</v>
      </c>
      <c r="BV473" s="891">
        <f t="shared" si="724"/>
        <v>0</v>
      </c>
      <c r="BW473" s="891">
        <f t="shared" si="724"/>
        <v>0</v>
      </c>
      <c r="BX473" s="891">
        <f t="shared" si="724"/>
        <v>0</v>
      </c>
      <c r="BY473" s="891">
        <f t="shared" si="724"/>
        <v>0</v>
      </c>
      <c r="BZ473" s="891">
        <f t="shared" si="724"/>
        <v>0</v>
      </c>
      <c r="CA473" s="891">
        <f t="shared" si="724"/>
        <v>0</v>
      </c>
      <c r="CB473" s="891">
        <f t="shared" si="724"/>
        <v>0</v>
      </c>
      <c r="CC473" s="891">
        <f t="shared" si="724"/>
        <v>0</v>
      </c>
      <c r="CD473" s="891">
        <f t="shared" si="724"/>
        <v>0</v>
      </c>
      <c r="CE473" s="891">
        <f t="shared" si="724"/>
        <v>0</v>
      </c>
      <c r="CF473" s="891">
        <f t="shared" si="724"/>
        <v>0</v>
      </c>
      <c r="CG473" s="891">
        <f t="shared" si="724"/>
        <v>0</v>
      </c>
      <c r="CH473" s="891">
        <f t="shared" si="724"/>
        <v>0</v>
      </c>
      <c r="CI473" s="891">
        <f t="shared" si="724"/>
        <v>0</v>
      </c>
    </row>
    <row r="474" spans="1:87" s="891" customFormat="1" x14ac:dyDescent="0.2">
      <c r="A474" s="890" t="s">
        <v>1052</v>
      </c>
      <c r="B474" s="891">
        <f t="shared" si="684"/>
        <v>0</v>
      </c>
      <c r="C474" s="891">
        <f t="shared" ref="C474:AA474" si="725">+C62-C388</f>
        <v>0</v>
      </c>
      <c r="D474" s="891">
        <f t="shared" si="725"/>
        <v>0</v>
      </c>
      <c r="E474" s="891">
        <f t="shared" si="725"/>
        <v>0</v>
      </c>
      <c r="F474" s="891">
        <f t="shared" si="725"/>
        <v>0</v>
      </c>
      <c r="G474" s="891">
        <f t="shared" si="725"/>
        <v>0</v>
      </c>
      <c r="H474" s="891">
        <f t="shared" si="725"/>
        <v>0</v>
      </c>
      <c r="I474" s="891">
        <f t="shared" si="725"/>
        <v>0</v>
      </c>
      <c r="J474" s="891">
        <f t="shared" si="725"/>
        <v>0</v>
      </c>
      <c r="K474" s="891">
        <f t="shared" si="725"/>
        <v>0</v>
      </c>
      <c r="L474" s="891">
        <f t="shared" si="725"/>
        <v>0</v>
      </c>
      <c r="M474" s="891">
        <f t="shared" si="725"/>
        <v>0</v>
      </c>
      <c r="N474" s="891">
        <f t="shared" si="725"/>
        <v>0</v>
      </c>
      <c r="O474" s="891">
        <f t="shared" si="725"/>
        <v>0</v>
      </c>
      <c r="P474" s="891">
        <f t="shared" si="725"/>
        <v>0</v>
      </c>
      <c r="Q474" s="891">
        <f t="shared" si="725"/>
        <v>0</v>
      </c>
      <c r="R474" s="891">
        <f t="shared" si="725"/>
        <v>0</v>
      </c>
      <c r="S474" s="891">
        <f t="shared" si="725"/>
        <v>0</v>
      </c>
      <c r="T474" s="891">
        <f t="shared" si="725"/>
        <v>0</v>
      </c>
      <c r="U474" s="891">
        <f t="shared" si="725"/>
        <v>0</v>
      </c>
      <c r="V474" s="891">
        <f t="shared" si="725"/>
        <v>0</v>
      </c>
      <c r="W474" s="891">
        <f t="shared" si="725"/>
        <v>0</v>
      </c>
      <c r="X474" s="891">
        <f t="shared" si="725"/>
        <v>0</v>
      </c>
      <c r="Y474" s="891">
        <f t="shared" si="725"/>
        <v>0</v>
      </c>
      <c r="Z474" s="891">
        <f t="shared" si="725"/>
        <v>0</v>
      </c>
      <c r="AA474" s="891">
        <f t="shared" si="725"/>
        <v>0</v>
      </c>
      <c r="AB474" s="891">
        <f t="shared" ref="AB474:AW474" si="726">+AB62-AB388</f>
        <v>0</v>
      </c>
      <c r="AC474" s="891">
        <f t="shared" si="726"/>
        <v>0</v>
      </c>
      <c r="AD474" s="891">
        <f t="shared" si="726"/>
        <v>0</v>
      </c>
      <c r="AE474" s="891">
        <f t="shared" si="726"/>
        <v>0</v>
      </c>
      <c r="AF474" s="891">
        <f t="shared" si="726"/>
        <v>0</v>
      </c>
      <c r="AG474" s="891">
        <f t="shared" si="726"/>
        <v>0</v>
      </c>
      <c r="AH474" s="891">
        <f t="shared" si="726"/>
        <v>0</v>
      </c>
      <c r="AI474" s="891">
        <f t="shared" si="726"/>
        <v>0</v>
      </c>
      <c r="AJ474" s="891">
        <f t="shared" si="726"/>
        <v>0</v>
      </c>
      <c r="AK474" s="891">
        <f t="shared" si="726"/>
        <v>0</v>
      </c>
      <c r="AL474" s="891">
        <f t="shared" si="726"/>
        <v>0</v>
      </c>
      <c r="AM474" s="891">
        <f t="shared" si="726"/>
        <v>0</v>
      </c>
      <c r="AN474" s="891">
        <f t="shared" si="726"/>
        <v>0</v>
      </c>
      <c r="AO474" s="891">
        <f t="shared" si="726"/>
        <v>0</v>
      </c>
      <c r="AP474" s="891">
        <f t="shared" si="726"/>
        <v>0</v>
      </c>
      <c r="AR474" s="891">
        <f t="shared" si="726"/>
        <v>0</v>
      </c>
      <c r="AS474" s="891">
        <f t="shared" si="726"/>
        <v>0</v>
      </c>
      <c r="AT474" s="891">
        <f t="shared" si="726"/>
        <v>0</v>
      </c>
      <c r="AU474" s="891">
        <f t="shared" si="726"/>
        <v>0</v>
      </c>
      <c r="AV474" s="891">
        <f t="shared" si="726"/>
        <v>0</v>
      </c>
      <c r="AW474" s="891">
        <f t="shared" si="726"/>
        <v>0</v>
      </c>
      <c r="AX474" s="891">
        <f t="shared" ref="AX474:BR474" si="727">+AX62-AX388</f>
        <v>0</v>
      </c>
      <c r="AY474" s="891">
        <f t="shared" si="727"/>
        <v>0</v>
      </c>
      <c r="AZ474" s="891">
        <f t="shared" si="727"/>
        <v>0</v>
      </c>
      <c r="BA474" s="891">
        <f t="shared" si="727"/>
        <v>0</v>
      </c>
      <c r="BB474" s="891">
        <f t="shared" si="727"/>
        <v>0</v>
      </c>
      <c r="BC474" s="891">
        <f t="shared" si="727"/>
        <v>0</v>
      </c>
      <c r="BD474" s="891">
        <f t="shared" si="727"/>
        <v>0</v>
      </c>
      <c r="BE474" s="891">
        <f t="shared" si="727"/>
        <v>0</v>
      </c>
      <c r="BF474" s="891">
        <f t="shared" si="727"/>
        <v>0</v>
      </c>
      <c r="BG474" s="891">
        <f t="shared" si="727"/>
        <v>0</v>
      </c>
      <c r="BH474" s="891">
        <f t="shared" si="727"/>
        <v>0</v>
      </c>
      <c r="BI474" s="891">
        <f t="shared" si="727"/>
        <v>0</v>
      </c>
      <c r="BJ474" s="891">
        <f t="shared" si="727"/>
        <v>0</v>
      </c>
      <c r="BK474" s="891">
        <f t="shared" si="727"/>
        <v>0</v>
      </c>
      <c r="BL474" s="891">
        <f t="shared" si="727"/>
        <v>0</v>
      </c>
      <c r="BM474" s="891">
        <f t="shared" si="727"/>
        <v>0</v>
      </c>
      <c r="BN474" s="891">
        <f t="shared" si="727"/>
        <v>0</v>
      </c>
      <c r="BO474" s="891">
        <f t="shared" si="727"/>
        <v>0</v>
      </c>
      <c r="BP474" s="891">
        <f t="shared" si="727"/>
        <v>0</v>
      </c>
      <c r="BQ474" s="891">
        <f t="shared" si="727"/>
        <v>0</v>
      </c>
      <c r="BR474" s="891">
        <f t="shared" si="727"/>
        <v>0</v>
      </c>
      <c r="BS474" s="891">
        <f t="shared" ref="BS474:CI474" si="728">+BS62-BS388</f>
        <v>0</v>
      </c>
      <c r="BT474" s="891">
        <f t="shared" si="728"/>
        <v>0</v>
      </c>
      <c r="BU474" s="891">
        <f t="shared" si="728"/>
        <v>0</v>
      </c>
      <c r="BV474" s="891">
        <f t="shared" si="728"/>
        <v>0</v>
      </c>
      <c r="BW474" s="891">
        <f t="shared" si="728"/>
        <v>0</v>
      </c>
      <c r="BX474" s="891">
        <f t="shared" si="728"/>
        <v>0</v>
      </c>
      <c r="BY474" s="891">
        <f t="shared" si="728"/>
        <v>0</v>
      </c>
      <c r="BZ474" s="891">
        <f t="shared" si="728"/>
        <v>0</v>
      </c>
      <c r="CA474" s="891">
        <f t="shared" si="728"/>
        <v>0</v>
      </c>
      <c r="CB474" s="891">
        <f t="shared" si="728"/>
        <v>0</v>
      </c>
      <c r="CC474" s="891">
        <f t="shared" si="728"/>
        <v>0</v>
      </c>
      <c r="CD474" s="891">
        <f t="shared" si="728"/>
        <v>0</v>
      </c>
      <c r="CE474" s="891">
        <f t="shared" si="728"/>
        <v>0</v>
      </c>
      <c r="CF474" s="891">
        <f t="shared" si="728"/>
        <v>0</v>
      </c>
      <c r="CG474" s="891">
        <f t="shared" si="728"/>
        <v>0</v>
      </c>
      <c r="CH474" s="891">
        <f t="shared" si="728"/>
        <v>0</v>
      </c>
      <c r="CI474" s="891">
        <f t="shared" si="728"/>
        <v>0</v>
      </c>
    </row>
    <row r="475" spans="1:87" s="891" customFormat="1" x14ac:dyDescent="0.2">
      <c r="A475" s="890" t="s">
        <v>1414</v>
      </c>
      <c r="B475" s="891">
        <f t="shared" si="684"/>
        <v>0</v>
      </c>
      <c r="C475" s="891">
        <f t="shared" ref="C475:AA475" si="729">+C63-C389</f>
        <v>0</v>
      </c>
      <c r="D475" s="891">
        <f t="shared" si="729"/>
        <v>0</v>
      </c>
      <c r="E475" s="891">
        <f t="shared" si="729"/>
        <v>0</v>
      </c>
      <c r="F475" s="891">
        <f t="shared" si="729"/>
        <v>0</v>
      </c>
      <c r="G475" s="891">
        <f t="shared" si="729"/>
        <v>0</v>
      </c>
      <c r="H475" s="891">
        <f t="shared" si="729"/>
        <v>0</v>
      </c>
      <c r="I475" s="891">
        <f t="shared" si="729"/>
        <v>0</v>
      </c>
      <c r="J475" s="891">
        <f t="shared" si="729"/>
        <v>0</v>
      </c>
      <c r="K475" s="891">
        <f t="shared" si="729"/>
        <v>0</v>
      </c>
      <c r="L475" s="891">
        <f t="shared" si="729"/>
        <v>0</v>
      </c>
      <c r="M475" s="891">
        <f t="shared" si="729"/>
        <v>0</v>
      </c>
      <c r="N475" s="891">
        <f t="shared" si="729"/>
        <v>0</v>
      </c>
      <c r="O475" s="891">
        <f t="shared" si="729"/>
        <v>0</v>
      </c>
      <c r="P475" s="891">
        <f t="shared" si="729"/>
        <v>0</v>
      </c>
      <c r="Q475" s="891">
        <f t="shared" si="729"/>
        <v>0</v>
      </c>
      <c r="R475" s="891">
        <f t="shared" si="729"/>
        <v>0</v>
      </c>
      <c r="S475" s="891">
        <f t="shared" si="729"/>
        <v>0</v>
      </c>
      <c r="T475" s="891">
        <f t="shared" si="729"/>
        <v>0</v>
      </c>
      <c r="U475" s="891">
        <f t="shared" si="729"/>
        <v>0</v>
      </c>
      <c r="V475" s="891">
        <f t="shared" si="729"/>
        <v>0</v>
      </c>
      <c r="W475" s="891">
        <f t="shared" si="729"/>
        <v>0</v>
      </c>
      <c r="X475" s="891">
        <f t="shared" si="729"/>
        <v>0</v>
      </c>
      <c r="Y475" s="891">
        <f t="shared" si="729"/>
        <v>0</v>
      </c>
      <c r="Z475" s="891">
        <f t="shared" si="729"/>
        <v>0</v>
      </c>
      <c r="AA475" s="891">
        <f t="shared" si="729"/>
        <v>0</v>
      </c>
      <c r="AB475" s="891">
        <f t="shared" ref="AB475:AW475" si="730">+AB63-AB389</f>
        <v>0</v>
      </c>
      <c r="AC475" s="891">
        <f t="shared" si="730"/>
        <v>0</v>
      </c>
      <c r="AD475" s="891">
        <f t="shared" si="730"/>
        <v>0</v>
      </c>
      <c r="AE475" s="891">
        <f t="shared" si="730"/>
        <v>0</v>
      </c>
      <c r="AF475" s="891">
        <f t="shared" si="730"/>
        <v>0</v>
      </c>
      <c r="AG475" s="891">
        <f t="shared" si="730"/>
        <v>0</v>
      </c>
      <c r="AH475" s="891">
        <f t="shared" si="730"/>
        <v>0</v>
      </c>
      <c r="AI475" s="891">
        <f t="shared" si="730"/>
        <v>0</v>
      </c>
      <c r="AJ475" s="891">
        <f t="shared" si="730"/>
        <v>0</v>
      </c>
      <c r="AK475" s="891">
        <f t="shared" si="730"/>
        <v>0</v>
      </c>
      <c r="AL475" s="891">
        <f t="shared" si="730"/>
        <v>0</v>
      </c>
      <c r="AM475" s="891">
        <f t="shared" si="730"/>
        <v>0</v>
      </c>
      <c r="AN475" s="891">
        <f t="shared" si="730"/>
        <v>0</v>
      </c>
      <c r="AO475" s="891">
        <f t="shared" si="730"/>
        <v>0</v>
      </c>
      <c r="AP475" s="891">
        <f t="shared" si="730"/>
        <v>0</v>
      </c>
      <c r="AR475" s="891">
        <f t="shared" si="730"/>
        <v>0</v>
      </c>
      <c r="AS475" s="891">
        <f t="shared" si="730"/>
        <v>0</v>
      </c>
      <c r="AT475" s="891">
        <f t="shared" si="730"/>
        <v>0</v>
      </c>
      <c r="AU475" s="891">
        <f t="shared" si="730"/>
        <v>0</v>
      </c>
      <c r="AV475" s="891">
        <f t="shared" si="730"/>
        <v>0</v>
      </c>
      <c r="AW475" s="891">
        <f t="shared" si="730"/>
        <v>0</v>
      </c>
      <c r="AX475" s="891">
        <f t="shared" ref="AX475:BR475" si="731">+AX63-AX389</f>
        <v>0</v>
      </c>
      <c r="AY475" s="891">
        <f t="shared" si="731"/>
        <v>0</v>
      </c>
      <c r="AZ475" s="891">
        <f t="shared" si="731"/>
        <v>0</v>
      </c>
      <c r="BA475" s="891">
        <f t="shared" si="731"/>
        <v>0</v>
      </c>
      <c r="BB475" s="891">
        <f t="shared" si="731"/>
        <v>0</v>
      </c>
      <c r="BC475" s="891">
        <f t="shared" si="731"/>
        <v>0</v>
      </c>
      <c r="BD475" s="891">
        <f t="shared" si="731"/>
        <v>0</v>
      </c>
      <c r="BE475" s="891">
        <f t="shared" si="731"/>
        <v>0</v>
      </c>
      <c r="BF475" s="891">
        <f t="shared" si="731"/>
        <v>0</v>
      </c>
      <c r="BG475" s="891">
        <f t="shared" si="731"/>
        <v>0</v>
      </c>
      <c r="BH475" s="891">
        <f t="shared" si="731"/>
        <v>0</v>
      </c>
      <c r="BI475" s="891">
        <f t="shared" si="731"/>
        <v>0</v>
      </c>
      <c r="BJ475" s="891">
        <f t="shared" si="731"/>
        <v>0</v>
      </c>
      <c r="BK475" s="891">
        <f t="shared" si="731"/>
        <v>0</v>
      </c>
      <c r="BL475" s="891">
        <f t="shared" si="731"/>
        <v>0</v>
      </c>
      <c r="BM475" s="891">
        <f t="shared" si="731"/>
        <v>0</v>
      </c>
      <c r="BN475" s="891">
        <f t="shared" si="731"/>
        <v>0</v>
      </c>
      <c r="BO475" s="891">
        <f t="shared" si="731"/>
        <v>0</v>
      </c>
      <c r="BP475" s="891">
        <f t="shared" si="731"/>
        <v>0</v>
      </c>
      <c r="BQ475" s="891">
        <f t="shared" si="731"/>
        <v>0</v>
      </c>
      <c r="BR475" s="891">
        <f t="shared" si="731"/>
        <v>0</v>
      </c>
      <c r="BS475" s="891">
        <f t="shared" ref="BS475:CC475" si="732">+BS63-BS389</f>
        <v>0</v>
      </c>
      <c r="BT475" s="891">
        <f t="shared" si="732"/>
        <v>0</v>
      </c>
      <c r="BU475" s="891">
        <f t="shared" si="732"/>
        <v>0</v>
      </c>
      <c r="BV475" s="891">
        <f t="shared" si="732"/>
        <v>0</v>
      </c>
      <c r="BW475" s="891">
        <f t="shared" si="732"/>
        <v>0</v>
      </c>
      <c r="BX475" s="891">
        <f t="shared" si="732"/>
        <v>0</v>
      </c>
      <c r="BY475" s="891">
        <f t="shared" si="732"/>
        <v>0</v>
      </c>
      <c r="BZ475" s="891">
        <f t="shared" si="732"/>
        <v>0</v>
      </c>
      <c r="CA475" s="891">
        <f t="shared" si="732"/>
        <v>0</v>
      </c>
      <c r="CB475" s="891">
        <f t="shared" si="732"/>
        <v>0</v>
      </c>
      <c r="CC475" s="891">
        <f t="shared" si="732"/>
        <v>0</v>
      </c>
    </row>
    <row r="476" spans="1:87" s="895" customFormat="1" x14ac:dyDescent="0.2">
      <c r="A476" s="892" t="s">
        <v>930</v>
      </c>
      <c r="B476" s="893">
        <f>SUM(B464:B475)</f>
        <v>-5258</v>
      </c>
      <c r="C476" s="893">
        <f t="shared" ref="C476:BR476" si="733">SUM(C464:C475)</f>
        <v>0</v>
      </c>
      <c r="D476" s="893">
        <f t="shared" si="733"/>
        <v>0</v>
      </c>
      <c r="E476" s="893">
        <f t="shared" si="733"/>
        <v>0</v>
      </c>
      <c r="F476" s="893">
        <f t="shared" si="733"/>
        <v>-4459</v>
      </c>
      <c r="G476" s="893">
        <f t="shared" si="733"/>
        <v>0</v>
      </c>
      <c r="H476" s="893">
        <f t="shared" si="733"/>
        <v>0</v>
      </c>
      <c r="I476" s="893">
        <f t="shared" si="733"/>
        <v>0</v>
      </c>
      <c r="J476" s="893">
        <f t="shared" si="733"/>
        <v>0</v>
      </c>
      <c r="K476" s="893">
        <f t="shared" si="733"/>
        <v>0</v>
      </c>
      <c r="L476" s="893">
        <f t="shared" si="733"/>
        <v>0</v>
      </c>
      <c r="M476" s="893">
        <f t="shared" si="733"/>
        <v>0</v>
      </c>
      <c r="N476" s="893">
        <f t="shared" si="733"/>
        <v>0</v>
      </c>
      <c r="O476" s="893">
        <f t="shared" si="733"/>
        <v>0</v>
      </c>
      <c r="P476" s="893">
        <f t="shared" si="733"/>
        <v>0</v>
      </c>
      <c r="Q476" s="893">
        <f t="shared" si="733"/>
        <v>0</v>
      </c>
      <c r="R476" s="893">
        <f t="shared" si="733"/>
        <v>0</v>
      </c>
      <c r="S476" s="893">
        <f t="shared" si="733"/>
        <v>0</v>
      </c>
      <c r="T476" s="893">
        <f t="shared" si="733"/>
        <v>0</v>
      </c>
      <c r="U476" s="893">
        <f t="shared" si="733"/>
        <v>0</v>
      </c>
      <c r="V476" s="893">
        <f t="shared" si="733"/>
        <v>0</v>
      </c>
      <c r="W476" s="893">
        <f t="shared" si="733"/>
        <v>0</v>
      </c>
      <c r="X476" s="893">
        <f t="shared" si="733"/>
        <v>0</v>
      </c>
      <c r="Y476" s="893">
        <f t="shared" si="733"/>
        <v>0</v>
      </c>
      <c r="Z476" s="893">
        <f t="shared" si="733"/>
        <v>0</v>
      </c>
      <c r="AA476" s="893">
        <f t="shared" si="733"/>
        <v>0</v>
      </c>
      <c r="AB476" s="893">
        <f t="shared" ref="AB476:AW476" si="734">SUM(AB464:AB475)</f>
        <v>0</v>
      </c>
      <c r="AC476" s="893">
        <f t="shared" si="734"/>
        <v>0</v>
      </c>
      <c r="AD476" s="893">
        <f t="shared" si="734"/>
        <v>0</v>
      </c>
      <c r="AE476" s="893">
        <f t="shared" si="734"/>
        <v>3025</v>
      </c>
      <c r="AF476" s="893">
        <f t="shared" si="734"/>
        <v>-1081</v>
      </c>
      <c r="AG476" s="893">
        <f t="shared" si="734"/>
        <v>0</v>
      </c>
      <c r="AH476" s="893">
        <f t="shared" si="734"/>
        <v>0</v>
      </c>
      <c r="AI476" s="893">
        <f t="shared" si="734"/>
        <v>0</v>
      </c>
      <c r="AJ476" s="893">
        <f t="shared" si="734"/>
        <v>0</v>
      </c>
      <c r="AK476" s="893">
        <f t="shared" si="734"/>
        <v>0</v>
      </c>
      <c r="AL476" s="893">
        <f t="shared" si="734"/>
        <v>0</v>
      </c>
      <c r="AM476" s="893">
        <f t="shared" si="734"/>
        <v>0</v>
      </c>
      <c r="AN476" s="893">
        <f t="shared" si="734"/>
        <v>0</v>
      </c>
      <c r="AO476" s="893">
        <f t="shared" si="734"/>
        <v>0</v>
      </c>
      <c r="AP476" s="893">
        <f t="shared" si="734"/>
        <v>0</v>
      </c>
      <c r="AQ476" s="893"/>
      <c r="AR476" s="893">
        <f t="shared" si="734"/>
        <v>-3934</v>
      </c>
      <c r="AS476" s="893">
        <f t="shared" si="734"/>
        <v>0</v>
      </c>
      <c r="AT476" s="893">
        <f t="shared" si="734"/>
        <v>411</v>
      </c>
      <c r="AU476" s="893">
        <f t="shared" si="734"/>
        <v>0</v>
      </c>
      <c r="AV476" s="893">
        <f t="shared" si="734"/>
        <v>0</v>
      </c>
      <c r="AW476" s="893">
        <f t="shared" si="734"/>
        <v>0</v>
      </c>
      <c r="AX476" s="893">
        <f t="shared" si="733"/>
        <v>0</v>
      </c>
      <c r="AY476" s="893">
        <f t="shared" si="733"/>
        <v>0</v>
      </c>
      <c r="AZ476" s="893">
        <f t="shared" si="733"/>
        <v>0</v>
      </c>
      <c r="BA476" s="893">
        <f t="shared" si="733"/>
        <v>0</v>
      </c>
      <c r="BB476" s="893">
        <f t="shared" si="733"/>
        <v>0</v>
      </c>
      <c r="BC476" s="893">
        <f t="shared" si="733"/>
        <v>0</v>
      </c>
      <c r="BD476" s="893">
        <f t="shared" si="733"/>
        <v>0</v>
      </c>
      <c r="BE476" s="893">
        <f t="shared" si="733"/>
        <v>0</v>
      </c>
      <c r="BF476" s="893">
        <f t="shared" si="733"/>
        <v>0</v>
      </c>
      <c r="BG476" s="893">
        <f t="shared" si="733"/>
        <v>0</v>
      </c>
      <c r="BH476" s="893">
        <f t="shared" si="733"/>
        <v>0</v>
      </c>
      <c r="BI476" s="893">
        <f t="shared" si="733"/>
        <v>0</v>
      </c>
      <c r="BJ476" s="893">
        <f t="shared" si="733"/>
        <v>0</v>
      </c>
      <c r="BK476" s="893">
        <f t="shared" si="733"/>
        <v>0</v>
      </c>
      <c r="BL476" s="893">
        <f t="shared" si="733"/>
        <v>0</v>
      </c>
      <c r="BM476" s="893">
        <f t="shared" si="733"/>
        <v>0</v>
      </c>
      <c r="BN476" s="893">
        <f t="shared" si="733"/>
        <v>0</v>
      </c>
      <c r="BO476" s="893">
        <f t="shared" si="733"/>
        <v>0</v>
      </c>
      <c r="BP476" s="893">
        <f t="shared" si="733"/>
        <v>0</v>
      </c>
      <c r="BQ476" s="893">
        <f t="shared" si="733"/>
        <v>780</v>
      </c>
      <c r="BR476" s="893">
        <f t="shared" si="733"/>
        <v>0</v>
      </c>
      <c r="BS476" s="893">
        <f t="shared" ref="BS476:CB476" si="735">SUM(BS464:BS475)</f>
        <v>0</v>
      </c>
      <c r="BT476" s="893">
        <f t="shared" si="735"/>
        <v>0</v>
      </c>
      <c r="BU476" s="893">
        <f t="shared" si="735"/>
        <v>0</v>
      </c>
      <c r="BV476" s="893">
        <f t="shared" si="735"/>
        <v>0</v>
      </c>
      <c r="BW476" s="893">
        <f t="shared" si="735"/>
        <v>0</v>
      </c>
      <c r="BX476" s="893">
        <f t="shared" si="735"/>
        <v>0</v>
      </c>
      <c r="BY476" s="893">
        <f t="shared" si="735"/>
        <v>0</v>
      </c>
      <c r="BZ476" s="893">
        <f t="shared" si="735"/>
        <v>0</v>
      </c>
      <c r="CA476" s="893">
        <f t="shared" si="735"/>
        <v>0</v>
      </c>
      <c r="CB476" s="893">
        <f t="shared" si="735"/>
        <v>0</v>
      </c>
      <c r="CC476" s="894"/>
      <c r="CD476" s="893">
        <f t="shared" ref="CD476:CI476" si="736">SUM(CD464:CD474)</f>
        <v>0</v>
      </c>
      <c r="CE476" s="893">
        <f t="shared" si="736"/>
        <v>0</v>
      </c>
      <c r="CF476" s="893">
        <f t="shared" si="736"/>
        <v>0</v>
      </c>
      <c r="CG476" s="893">
        <f t="shared" si="736"/>
        <v>0</v>
      </c>
      <c r="CH476" s="893">
        <f t="shared" si="736"/>
        <v>0</v>
      </c>
      <c r="CI476" s="893">
        <f t="shared" si="736"/>
        <v>0</v>
      </c>
    </row>
    <row r="477" spans="1:87" s="891" customFormat="1" x14ac:dyDescent="0.2">
      <c r="A477" s="896"/>
      <c r="B477" s="897"/>
      <c r="C477" s="897"/>
      <c r="D477" s="897"/>
      <c r="E477" s="897"/>
      <c r="F477" s="897"/>
      <c r="G477" s="897"/>
      <c r="H477" s="897"/>
      <c r="I477" s="897"/>
      <c r="J477" s="897"/>
      <c r="K477" s="897"/>
      <c r="L477" s="897"/>
      <c r="M477" s="897"/>
      <c r="N477" s="897"/>
      <c r="O477" s="897"/>
      <c r="P477" s="897"/>
      <c r="Q477" s="897"/>
      <c r="R477" s="897"/>
      <c r="S477" s="897"/>
      <c r="T477" s="897"/>
      <c r="U477" s="897"/>
      <c r="V477" s="897"/>
      <c r="W477" s="897"/>
      <c r="X477" s="897"/>
      <c r="Y477" s="897"/>
      <c r="Z477" s="897"/>
      <c r="AA477" s="897"/>
      <c r="AB477" s="897"/>
      <c r="AC477" s="897"/>
      <c r="AD477" s="897"/>
      <c r="AE477" s="897"/>
      <c r="AF477" s="897"/>
      <c r="AG477" s="897"/>
      <c r="AH477" s="897"/>
      <c r="AI477" s="897"/>
      <c r="AJ477" s="897"/>
      <c r="AK477" s="897"/>
      <c r="AL477" s="897"/>
      <c r="AM477" s="897"/>
      <c r="AN477" s="897"/>
      <c r="AO477" s="897"/>
      <c r="AP477" s="897"/>
      <c r="AQ477" s="897"/>
      <c r="AR477" s="897"/>
      <c r="AS477" s="897"/>
      <c r="AT477" s="897"/>
      <c r="AU477" s="897"/>
      <c r="AV477" s="897"/>
      <c r="AW477" s="897"/>
      <c r="AX477" s="897"/>
      <c r="AY477" s="897"/>
      <c r="AZ477" s="897"/>
      <c r="BA477" s="897"/>
      <c r="BB477" s="897"/>
      <c r="BC477" s="897"/>
      <c r="BD477" s="897"/>
      <c r="BE477" s="897"/>
      <c r="BF477" s="897"/>
      <c r="BG477" s="897"/>
      <c r="BH477" s="897"/>
      <c r="BI477" s="897"/>
      <c r="BJ477" s="897"/>
      <c r="BK477" s="897"/>
      <c r="BL477" s="897"/>
      <c r="BM477" s="897"/>
      <c r="BN477" s="897"/>
      <c r="BO477" s="897"/>
      <c r="BP477" s="897"/>
      <c r="BQ477" s="897"/>
      <c r="BR477" s="897"/>
      <c r="BS477" s="897"/>
      <c r="BT477" s="897"/>
      <c r="BU477" s="897"/>
      <c r="BV477" s="897"/>
      <c r="BW477" s="897"/>
      <c r="BX477" s="897"/>
      <c r="BY477" s="897"/>
      <c r="BZ477" s="897"/>
      <c r="CA477" s="897"/>
      <c r="CB477" s="897"/>
      <c r="CC477" s="897"/>
      <c r="CD477" s="897"/>
      <c r="CE477" s="897"/>
      <c r="CF477" s="897"/>
      <c r="CG477" s="897"/>
      <c r="CH477" s="897"/>
      <c r="CI477" s="897"/>
    </row>
    <row r="478" spans="1:87" s="891" customFormat="1" x14ac:dyDescent="0.2">
      <c r="A478" s="898" t="s">
        <v>931</v>
      </c>
      <c r="CC478" s="897"/>
    </row>
    <row r="479" spans="1:87" s="891" customFormat="1" x14ac:dyDescent="0.2">
      <c r="A479" s="890" t="s">
        <v>869</v>
      </c>
      <c r="CC479" s="897"/>
      <c r="CD479" s="891">
        <f>SUM(CE479:CG479)</f>
        <v>0</v>
      </c>
    </row>
    <row r="480" spans="1:87" s="891" customFormat="1" x14ac:dyDescent="0.2">
      <c r="A480" s="902" t="s">
        <v>870</v>
      </c>
      <c r="B480" s="891">
        <f t="shared" ref="B480:B490" si="737">SUM(C480:CB480)</f>
        <v>44388</v>
      </c>
      <c r="C480" s="891">
        <f t="shared" ref="C480:AA480" si="738">+C68-C394</f>
        <v>26447</v>
      </c>
      <c r="D480" s="891">
        <f t="shared" si="738"/>
        <v>16403</v>
      </c>
      <c r="E480" s="891">
        <f t="shared" si="738"/>
        <v>0</v>
      </c>
      <c r="F480" s="891">
        <f t="shared" si="738"/>
        <v>0</v>
      </c>
      <c r="G480" s="891">
        <f t="shared" si="738"/>
        <v>0</v>
      </c>
      <c r="H480" s="891">
        <f t="shared" si="738"/>
        <v>0</v>
      </c>
      <c r="I480" s="891">
        <f t="shared" si="738"/>
        <v>0</v>
      </c>
      <c r="J480" s="891">
        <f t="shared" si="738"/>
        <v>0</v>
      </c>
      <c r="K480" s="891">
        <f t="shared" si="738"/>
        <v>0</v>
      </c>
      <c r="L480" s="891">
        <f t="shared" si="738"/>
        <v>0</v>
      </c>
      <c r="M480" s="891">
        <f t="shared" si="738"/>
        <v>0</v>
      </c>
      <c r="N480" s="891">
        <f t="shared" si="738"/>
        <v>0</v>
      </c>
      <c r="O480" s="891">
        <f t="shared" si="738"/>
        <v>719</v>
      </c>
      <c r="P480" s="891">
        <f t="shared" si="738"/>
        <v>0</v>
      </c>
      <c r="Q480" s="891">
        <f t="shared" si="738"/>
        <v>0</v>
      </c>
      <c r="R480" s="891">
        <f t="shared" si="738"/>
        <v>0</v>
      </c>
      <c r="S480" s="891">
        <f t="shared" si="738"/>
        <v>0</v>
      </c>
      <c r="T480" s="891">
        <f t="shared" si="738"/>
        <v>0</v>
      </c>
      <c r="U480" s="891">
        <f t="shared" si="738"/>
        <v>0</v>
      </c>
      <c r="V480" s="891">
        <f t="shared" si="738"/>
        <v>0</v>
      </c>
      <c r="W480" s="891">
        <f t="shared" si="738"/>
        <v>0</v>
      </c>
      <c r="X480" s="891">
        <f t="shared" si="738"/>
        <v>819</v>
      </c>
      <c r="Y480" s="891">
        <f t="shared" si="738"/>
        <v>0</v>
      </c>
      <c r="Z480" s="891">
        <f t="shared" si="738"/>
        <v>0</v>
      </c>
      <c r="AA480" s="891">
        <f t="shared" si="738"/>
        <v>0</v>
      </c>
      <c r="AB480" s="891">
        <f t="shared" ref="AB480:AW480" si="739">+AB68-AB394</f>
        <v>0</v>
      </c>
      <c r="AC480" s="891">
        <f t="shared" si="739"/>
        <v>0</v>
      </c>
      <c r="AD480" s="891">
        <f t="shared" si="739"/>
        <v>0</v>
      </c>
      <c r="AE480" s="891">
        <f t="shared" si="739"/>
        <v>0</v>
      </c>
      <c r="AF480" s="891">
        <f t="shared" si="739"/>
        <v>0</v>
      </c>
      <c r="AG480" s="891">
        <f t="shared" si="739"/>
        <v>0</v>
      </c>
      <c r="AH480" s="891">
        <f t="shared" si="739"/>
        <v>0</v>
      </c>
      <c r="AI480" s="891">
        <f t="shared" si="739"/>
        <v>0</v>
      </c>
      <c r="AJ480" s="891">
        <f t="shared" si="739"/>
        <v>0</v>
      </c>
      <c r="AK480" s="891">
        <f t="shared" si="739"/>
        <v>0</v>
      </c>
      <c r="AL480" s="891">
        <f t="shared" si="739"/>
        <v>0</v>
      </c>
      <c r="AM480" s="891">
        <f t="shared" si="739"/>
        <v>0</v>
      </c>
      <c r="AN480" s="891">
        <f t="shared" si="739"/>
        <v>0</v>
      </c>
      <c r="AO480" s="891">
        <f t="shared" si="739"/>
        <v>0</v>
      </c>
      <c r="AP480" s="891">
        <f t="shared" si="739"/>
        <v>0</v>
      </c>
      <c r="AR480" s="891">
        <f t="shared" si="739"/>
        <v>0</v>
      </c>
      <c r="AS480" s="891">
        <f t="shared" si="739"/>
        <v>0</v>
      </c>
      <c r="AT480" s="891">
        <f t="shared" si="739"/>
        <v>0</v>
      </c>
      <c r="AU480" s="891">
        <f t="shared" si="739"/>
        <v>0</v>
      </c>
      <c r="AV480" s="891">
        <f t="shared" si="739"/>
        <v>0</v>
      </c>
      <c r="AW480" s="891">
        <f t="shared" si="739"/>
        <v>0</v>
      </c>
      <c r="AX480" s="891">
        <f t="shared" ref="AX480:BR480" si="740">+AX68-AX394</f>
        <v>0</v>
      </c>
      <c r="AY480" s="891">
        <f t="shared" si="740"/>
        <v>0</v>
      </c>
      <c r="AZ480" s="891">
        <f t="shared" si="740"/>
        <v>0</v>
      </c>
      <c r="BA480" s="891">
        <f t="shared" si="740"/>
        <v>0</v>
      </c>
      <c r="BB480" s="891">
        <f t="shared" si="740"/>
        <v>0</v>
      </c>
      <c r="BC480" s="891">
        <f t="shared" si="740"/>
        <v>0</v>
      </c>
      <c r="BD480" s="891">
        <f t="shared" si="740"/>
        <v>0</v>
      </c>
      <c r="BE480" s="891">
        <f t="shared" si="740"/>
        <v>0</v>
      </c>
      <c r="BF480" s="891">
        <f t="shared" si="740"/>
        <v>0</v>
      </c>
      <c r="BG480" s="891">
        <f t="shared" si="740"/>
        <v>0</v>
      </c>
      <c r="BH480" s="891">
        <f t="shared" si="740"/>
        <v>0</v>
      </c>
      <c r="BI480" s="891">
        <f t="shared" si="740"/>
        <v>0</v>
      </c>
      <c r="BJ480" s="891">
        <f t="shared" si="740"/>
        <v>0</v>
      </c>
      <c r="BK480" s="891">
        <f t="shared" si="740"/>
        <v>0</v>
      </c>
      <c r="BL480" s="891">
        <f t="shared" si="740"/>
        <v>0</v>
      </c>
      <c r="BM480" s="891">
        <f t="shared" si="740"/>
        <v>0</v>
      </c>
      <c r="BN480" s="891">
        <f t="shared" si="740"/>
        <v>0</v>
      </c>
      <c r="BO480" s="891">
        <f t="shared" si="740"/>
        <v>0</v>
      </c>
      <c r="BP480" s="891">
        <f t="shared" si="740"/>
        <v>0</v>
      </c>
      <c r="BQ480" s="891">
        <f t="shared" si="740"/>
        <v>0</v>
      </c>
      <c r="BR480" s="891">
        <f t="shared" si="740"/>
        <v>0</v>
      </c>
      <c r="BS480" s="891">
        <f t="shared" ref="BS480:CI480" si="741">+BS68-BS394</f>
        <v>0</v>
      </c>
      <c r="BT480" s="891">
        <f t="shared" si="741"/>
        <v>0</v>
      </c>
      <c r="BU480" s="891">
        <f t="shared" si="741"/>
        <v>0</v>
      </c>
      <c r="BV480" s="891">
        <f t="shared" si="741"/>
        <v>0</v>
      </c>
      <c r="BW480" s="891">
        <f t="shared" si="741"/>
        <v>0</v>
      </c>
      <c r="BX480" s="891">
        <f t="shared" si="741"/>
        <v>0</v>
      </c>
      <c r="BY480" s="891">
        <f t="shared" si="741"/>
        <v>0</v>
      </c>
      <c r="BZ480" s="891">
        <f t="shared" si="741"/>
        <v>0</v>
      </c>
      <c r="CA480" s="891">
        <f t="shared" si="741"/>
        <v>0</v>
      </c>
      <c r="CB480" s="891">
        <f t="shared" si="741"/>
        <v>0</v>
      </c>
      <c r="CC480" s="891">
        <f t="shared" si="741"/>
        <v>0</v>
      </c>
      <c r="CD480" s="891">
        <f t="shared" si="741"/>
        <v>0</v>
      </c>
      <c r="CE480" s="891">
        <f t="shared" si="741"/>
        <v>0</v>
      </c>
      <c r="CF480" s="891">
        <f t="shared" si="741"/>
        <v>0</v>
      </c>
      <c r="CG480" s="891">
        <f t="shared" si="741"/>
        <v>0</v>
      </c>
      <c r="CH480" s="891">
        <f t="shared" si="741"/>
        <v>0</v>
      </c>
      <c r="CI480" s="891">
        <f t="shared" si="741"/>
        <v>0</v>
      </c>
    </row>
    <row r="481" spans="1:87" s="891" customFormat="1" x14ac:dyDescent="0.2">
      <c r="A481" s="902" t="s">
        <v>871</v>
      </c>
      <c r="B481" s="891">
        <f t="shared" si="737"/>
        <v>12286</v>
      </c>
      <c r="C481" s="891">
        <f t="shared" ref="C481:AA481" si="742">+C69-C395</f>
        <v>9786</v>
      </c>
      <c r="D481" s="891">
        <f t="shared" si="742"/>
        <v>0</v>
      </c>
      <c r="E481" s="891">
        <f t="shared" si="742"/>
        <v>0</v>
      </c>
      <c r="F481" s="891">
        <f t="shared" si="742"/>
        <v>0</v>
      </c>
      <c r="G481" s="891">
        <f t="shared" si="742"/>
        <v>0</v>
      </c>
      <c r="H481" s="891">
        <f t="shared" si="742"/>
        <v>0</v>
      </c>
      <c r="I481" s="891">
        <f t="shared" si="742"/>
        <v>0</v>
      </c>
      <c r="J481" s="891">
        <f t="shared" si="742"/>
        <v>0</v>
      </c>
      <c r="K481" s="891">
        <f t="shared" si="742"/>
        <v>342</v>
      </c>
      <c r="L481" s="891">
        <f t="shared" si="742"/>
        <v>0</v>
      </c>
      <c r="M481" s="891">
        <f t="shared" si="742"/>
        <v>0</v>
      </c>
      <c r="N481" s="891">
        <f t="shared" si="742"/>
        <v>0</v>
      </c>
      <c r="O481" s="891">
        <f t="shared" si="742"/>
        <v>0</v>
      </c>
      <c r="P481" s="891">
        <f t="shared" si="742"/>
        <v>0</v>
      </c>
      <c r="Q481" s="891">
        <f t="shared" si="742"/>
        <v>0</v>
      </c>
      <c r="R481" s="891">
        <f t="shared" si="742"/>
        <v>1079</v>
      </c>
      <c r="S481" s="891">
        <f t="shared" si="742"/>
        <v>1079</v>
      </c>
      <c r="T481" s="891">
        <f t="shared" si="742"/>
        <v>0</v>
      </c>
      <c r="U481" s="891">
        <f t="shared" si="742"/>
        <v>0</v>
      </c>
      <c r="V481" s="891">
        <f t="shared" si="742"/>
        <v>0</v>
      </c>
      <c r="W481" s="891">
        <f t="shared" si="742"/>
        <v>0</v>
      </c>
      <c r="X481" s="891">
        <f t="shared" si="742"/>
        <v>0</v>
      </c>
      <c r="Y481" s="891">
        <f t="shared" si="742"/>
        <v>0</v>
      </c>
      <c r="Z481" s="891">
        <f t="shared" si="742"/>
        <v>0</v>
      </c>
      <c r="AA481" s="891">
        <f t="shared" si="742"/>
        <v>0</v>
      </c>
      <c r="AB481" s="891">
        <f t="shared" ref="AB481:AW481" si="743">+AB69-AB395</f>
        <v>0</v>
      </c>
      <c r="AC481" s="891">
        <f t="shared" si="743"/>
        <v>0</v>
      </c>
      <c r="AD481" s="891">
        <f t="shared" si="743"/>
        <v>0</v>
      </c>
      <c r="AE481" s="891">
        <f t="shared" si="743"/>
        <v>0</v>
      </c>
      <c r="AF481" s="891">
        <f t="shared" si="743"/>
        <v>0</v>
      </c>
      <c r="AG481" s="891">
        <f t="shared" si="743"/>
        <v>0</v>
      </c>
      <c r="AH481" s="891">
        <f t="shared" si="743"/>
        <v>0</v>
      </c>
      <c r="AI481" s="891">
        <f t="shared" si="743"/>
        <v>0</v>
      </c>
      <c r="AJ481" s="891">
        <f t="shared" si="743"/>
        <v>0</v>
      </c>
      <c r="AK481" s="891">
        <f t="shared" si="743"/>
        <v>0</v>
      </c>
      <c r="AL481" s="891">
        <f t="shared" si="743"/>
        <v>0</v>
      </c>
      <c r="AM481" s="891">
        <f t="shared" si="743"/>
        <v>0</v>
      </c>
      <c r="AN481" s="891">
        <f t="shared" si="743"/>
        <v>0</v>
      </c>
      <c r="AO481" s="891">
        <f t="shared" si="743"/>
        <v>0</v>
      </c>
      <c r="AP481" s="891">
        <f t="shared" si="743"/>
        <v>0</v>
      </c>
      <c r="AR481" s="891">
        <f t="shared" si="743"/>
        <v>0</v>
      </c>
      <c r="AS481" s="891">
        <f t="shared" si="743"/>
        <v>0</v>
      </c>
      <c r="AT481" s="891">
        <f t="shared" si="743"/>
        <v>0</v>
      </c>
      <c r="AU481" s="891">
        <f t="shared" si="743"/>
        <v>0</v>
      </c>
      <c r="AV481" s="891">
        <f t="shared" si="743"/>
        <v>0</v>
      </c>
      <c r="AW481" s="891">
        <f t="shared" si="743"/>
        <v>0</v>
      </c>
      <c r="AX481" s="891">
        <f t="shared" ref="AX481:BR481" si="744">+AX69-AX395</f>
        <v>0</v>
      </c>
      <c r="AY481" s="891">
        <f t="shared" si="744"/>
        <v>0</v>
      </c>
      <c r="AZ481" s="891">
        <f t="shared" si="744"/>
        <v>0</v>
      </c>
      <c r="BA481" s="891">
        <f t="shared" si="744"/>
        <v>0</v>
      </c>
      <c r="BB481" s="891">
        <f t="shared" si="744"/>
        <v>0</v>
      </c>
      <c r="BC481" s="891">
        <f t="shared" si="744"/>
        <v>0</v>
      </c>
      <c r="BD481" s="891">
        <f t="shared" si="744"/>
        <v>0</v>
      </c>
      <c r="BE481" s="891">
        <f t="shared" si="744"/>
        <v>0</v>
      </c>
      <c r="BF481" s="891">
        <f t="shared" si="744"/>
        <v>0</v>
      </c>
      <c r="BG481" s="891">
        <f t="shared" si="744"/>
        <v>0</v>
      </c>
      <c r="BH481" s="891">
        <f t="shared" si="744"/>
        <v>0</v>
      </c>
      <c r="BI481" s="891">
        <f t="shared" si="744"/>
        <v>0</v>
      </c>
      <c r="BJ481" s="891">
        <f t="shared" si="744"/>
        <v>0</v>
      </c>
      <c r="BK481" s="891">
        <f t="shared" si="744"/>
        <v>0</v>
      </c>
      <c r="BL481" s="891">
        <f t="shared" si="744"/>
        <v>0</v>
      </c>
      <c r="BM481" s="891">
        <f t="shared" si="744"/>
        <v>0</v>
      </c>
      <c r="BN481" s="891">
        <f t="shared" si="744"/>
        <v>0</v>
      </c>
      <c r="BO481" s="891">
        <f t="shared" si="744"/>
        <v>0</v>
      </c>
      <c r="BP481" s="891">
        <f t="shared" si="744"/>
        <v>0</v>
      </c>
      <c r="BQ481" s="891">
        <f t="shared" si="744"/>
        <v>0</v>
      </c>
      <c r="BR481" s="891">
        <f t="shared" si="744"/>
        <v>0</v>
      </c>
      <c r="BS481" s="891">
        <f t="shared" ref="BS481:CI481" si="745">+BS69-BS395</f>
        <v>0</v>
      </c>
      <c r="BT481" s="891">
        <f t="shared" si="745"/>
        <v>0</v>
      </c>
      <c r="BU481" s="891">
        <f t="shared" si="745"/>
        <v>0</v>
      </c>
      <c r="BV481" s="891">
        <f t="shared" si="745"/>
        <v>0</v>
      </c>
      <c r="BW481" s="891">
        <f t="shared" si="745"/>
        <v>0</v>
      </c>
      <c r="BX481" s="891">
        <f t="shared" si="745"/>
        <v>0</v>
      </c>
      <c r="BY481" s="891">
        <f t="shared" si="745"/>
        <v>0</v>
      </c>
      <c r="BZ481" s="891">
        <f t="shared" si="745"/>
        <v>0</v>
      </c>
      <c r="CA481" s="891">
        <f t="shared" si="745"/>
        <v>0</v>
      </c>
      <c r="CB481" s="891">
        <f t="shared" si="745"/>
        <v>0</v>
      </c>
      <c r="CC481" s="891">
        <f t="shared" si="745"/>
        <v>0</v>
      </c>
      <c r="CD481" s="891">
        <f t="shared" si="745"/>
        <v>0</v>
      </c>
      <c r="CE481" s="891">
        <f t="shared" si="745"/>
        <v>0</v>
      </c>
      <c r="CF481" s="891">
        <f t="shared" si="745"/>
        <v>0</v>
      </c>
      <c r="CG481" s="891">
        <f t="shared" si="745"/>
        <v>0</v>
      </c>
      <c r="CH481" s="891">
        <f t="shared" si="745"/>
        <v>0</v>
      </c>
      <c r="CI481" s="891">
        <f t="shared" si="745"/>
        <v>0</v>
      </c>
    </row>
    <row r="482" spans="1:87" s="891" customFormat="1" x14ac:dyDescent="0.2">
      <c r="A482" s="902" t="s">
        <v>872</v>
      </c>
      <c r="B482" s="891">
        <f t="shared" si="737"/>
        <v>68</v>
      </c>
      <c r="C482" s="891">
        <f t="shared" ref="C482:AA482" si="746">+C70-C396</f>
        <v>68</v>
      </c>
      <c r="D482" s="891">
        <f t="shared" si="746"/>
        <v>0</v>
      </c>
      <c r="E482" s="891">
        <f t="shared" si="746"/>
        <v>0</v>
      </c>
      <c r="F482" s="891">
        <f t="shared" si="746"/>
        <v>0</v>
      </c>
      <c r="G482" s="891">
        <f t="shared" si="746"/>
        <v>0</v>
      </c>
      <c r="H482" s="891">
        <f t="shared" si="746"/>
        <v>0</v>
      </c>
      <c r="I482" s="891">
        <f t="shared" si="746"/>
        <v>0</v>
      </c>
      <c r="J482" s="891">
        <f t="shared" si="746"/>
        <v>0</v>
      </c>
      <c r="K482" s="891">
        <f t="shared" si="746"/>
        <v>0</v>
      </c>
      <c r="L482" s="891">
        <f t="shared" si="746"/>
        <v>0</v>
      </c>
      <c r="M482" s="891">
        <f t="shared" si="746"/>
        <v>0</v>
      </c>
      <c r="N482" s="891">
        <f t="shared" si="746"/>
        <v>0</v>
      </c>
      <c r="O482" s="891">
        <f t="shared" si="746"/>
        <v>0</v>
      </c>
      <c r="P482" s="891">
        <f t="shared" si="746"/>
        <v>0</v>
      </c>
      <c r="Q482" s="891">
        <f t="shared" si="746"/>
        <v>0</v>
      </c>
      <c r="R482" s="891">
        <f t="shared" si="746"/>
        <v>0</v>
      </c>
      <c r="S482" s="891">
        <f t="shared" si="746"/>
        <v>0</v>
      </c>
      <c r="T482" s="891">
        <f t="shared" si="746"/>
        <v>0</v>
      </c>
      <c r="U482" s="891">
        <f t="shared" si="746"/>
        <v>0</v>
      </c>
      <c r="V482" s="891">
        <f t="shared" si="746"/>
        <v>0</v>
      </c>
      <c r="W482" s="891">
        <f t="shared" si="746"/>
        <v>0</v>
      </c>
      <c r="X482" s="891">
        <f t="shared" si="746"/>
        <v>0</v>
      </c>
      <c r="Y482" s="891">
        <f t="shared" si="746"/>
        <v>0</v>
      </c>
      <c r="Z482" s="891">
        <f t="shared" si="746"/>
        <v>0</v>
      </c>
      <c r="AA482" s="891">
        <f t="shared" si="746"/>
        <v>0</v>
      </c>
      <c r="AB482" s="891">
        <f t="shared" ref="AB482:AW482" si="747">+AB70-AB396</f>
        <v>0</v>
      </c>
      <c r="AC482" s="891">
        <f t="shared" si="747"/>
        <v>0</v>
      </c>
      <c r="AD482" s="891">
        <f t="shared" si="747"/>
        <v>0</v>
      </c>
      <c r="AE482" s="891">
        <f t="shared" si="747"/>
        <v>0</v>
      </c>
      <c r="AF482" s="891">
        <f t="shared" si="747"/>
        <v>0</v>
      </c>
      <c r="AG482" s="891">
        <f t="shared" si="747"/>
        <v>0</v>
      </c>
      <c r="AH482" s="891">
        <f t="shared" si="747"/>
        <v>0</v>
      </c>
      <c r="AI482" s="891">
        <f t="shared" si="747"/>
        <v>0</v>
      </c>
      <c r="AJ482" s="891">
        <f t="shared" si="747"/>
        <v>0</v>
      </c>
      <c r="AK482" s="891">
        <f t="shared" si="747"/>
        <v>0</v>
      </c>
      <c r="AL482" s="891">
        <f t="shared" si="747"/>
        <v>0</v>
      </c>
      <c r="AM482" s="891">
        <f t="shared" si="747"/>
        <v>0</v>
      </c>
      <c r="AN482" s="891">
        <f t="shared" si="747"/>
        <v>0</v>
      </c>
      <c r="AO482" s="891">
        <f t="shared" si="747"/>
        <v>0</v>
      </c>
      <c r="AP482" s="891">
        <f t="shared" si="747"/>
        <v>0</v>
      </c>
      <c r="AR482" s="891">
        <f t="shared" si="747"/>
        <v>0</v>
      </c>
      <c r="AS482" s="891">
        <f t="shared" si="747"/>
        <v>0</v>
      </c>
      <c r="AT482" s="891">
        <f t="shared" si="747"/>
        <v>0</v>
      </c>
      <c r="AU482" s="891">
        <f t="shared" si="747"/>
        <v>0</v>
      </c>
      <c r="AV482" s="891">
        <f t="shared" si="747"/>
        <v>0</v>
      </c>
      <c r="AW482" s="891">
        <f t="shared" si="747"/>
        <v>0</v>
      </c>
      <c r="AX482" s="891">
        <f t="shared" ref="AX482:BR482" si="748">+AX70-AX396</f>
        <v>0</v>
      </c>
      <c r="AY482" s="891">
        <f t="shared" si="748"/>
        <v>0</v>
      </c>
      <c r="AZ482" s="891">
        <f t="shared" si="748"/>
        <v>0</v>
      </c>
      <c r="BA482" s="891">
        <f t="shared" si="748"/>
        <v>0</v>
      </c>
      <c r="BB482" s="891">
        <f t="shared" si="748"/>
        <v>0</v>
      </c>
      <c r="BC482" s="891">
        <f t="shared" si="748"/>
        <v>0</v>
      </c>
      <c r="BD482" s="891">
        <f t="shared" si="748"/>
        <v>0</v>
      </c>
      <c r="BE482" s="891">
        <f t="shared" si="748"/>
        <v>0</v>
      </c>
      <c r="BF482" s="891">
        <f t="shared" si="748"/>
        <v>0</v>
      </c>
      <c r="BG482" s="891">
        <f t="shared" si="748"/>
        <v>0</v>
      </c>
      <c r="BH482" s="891">
        <f t="shared" si="748"/>
        <v>0</v>
      </c>
      <c r="BI482" s="891">
        <f t="shared" si="748"/>
        <v>0</v>
      </c>
      <c r="BJ482" s="891">
        <f t="shared" si="748"/>
        <v>0</v>
      </c>
      <c r="BK482" s="891">
        <f t="shared" si="748"/>
        <v>0</v>
      </c>
      <c r="BL482" s="891">
        <f t="shared" si="748"/>
        <v>0</v>
      </c>
      <c r="BM482" s="891">
        <f t="shared" si="748"/>
        <v>0</v>
      </c>
      <c r="BN482" s="891">
        <f t="shared" si="748"/>
        <v>0</v>
      </c>
      <c r="BO482" s="891">
        <f t="shared" si="748"/>
        <v>0</v>
      </c>
      <c r="BP482" s="891">
        <f t="shared" si="748"/>
        <v>0</v>
      </c>
      <c r="BQ482" s="891">
        <f t="shared" si="748"/>
        <v>0</v>
      </c>
      <c r="BR482" s="891">
        <f t="shared" si="748"/>
        <v>0</v>
      </c>
      <c r="BS482" s="891">
        <f t="shared" ref="BS482:CI482" si="749">+BS70-BS396</f>
        <v>0</v>
      </c>
      <c r="BT482" s="891">
        <f t="shared" si="749"/>
        <v>0</v>
      </c>
      <c r="BU482" s="891">
        <f t="shared" si="749"/>
        <v>0</v>
      </c>
      <c r="BV482" s="891">
        <f t="shared" si="749"/>
        <v>0</v>
      </c>
      <c r="BW482" s="891">
        <f t="shared" si="749"/>
        <v>0</v>
      </c>
      <c r="BX482" s="891">
        <f t="shared" si="749"/>
        <v>0</v>
      </c>
      <c r="BY482" s="891">
        <f t="shared" si="749"/>
        <v>0</v>
      </c>
      <c r="BZ482" s="891">
        <f t="shared" si="749"/>
        <v>0</v>
      </c>
      <c r="CA482" s="891">
        <f t="shared" si="749"/>
        <v>0</v>
      </c>
      <c r="CB482" s="891">
        <f t="shared" si="749"/>
        <v>0</v>
      </c>
      <c r="CC482" s="891">
        <f t="shared" si="749"/>
        <v>0</v>
      </c>
      <c r="CD482" s="891">
        <f t="shared" si="749"/>
        <v>0</v>
      </c>
      <c r="CE482" s="891">
        <f t="shared" si="749"/>
        <v>0</v>
      </c>
      <c r="CF482" s="891">
        <f t="shared" si="749"/>
        <v>0</v>
      </c>
      <c r="CG482" s="891">
        <f t="shared" si="749"/>
        <v>0</v>
      </c>
      <c r="CH482" s="891">
        <f t="shared" si="749"/>
        <v>0</v>
      </c>
      <c r="CI482" s="891">
        <f t="shared" si="749"/>
        <v>0</v>
      </c>
    </row>
    <row r="483" spans="1:87" s="891" customFormat="1" x14ac:dyDescent="0.2">
      <c r="A483" s="902" t="s">
        <v>873</v>
      </c>
      <c r="B483" s="891">
        <f t="shared" si="737"/>
        <v>-2037</v>
      </c>
      <c r="C483" s="891">
        <f t="shared" ref="C483:AA483" si="750">+C71-C397</f>
        <v>-1761</v>
      </c>
      <c r="D483" s="891">
        <f t="shared" si="750"/>
        <v>0</v>
      </c>
      <c r="E483" s="891">
        <f t="shared" si="750"/>
        <v>0</v>
      </c>
      <c r="F483" s="891">
        <f t="shared" si="750"/>
        <v>0</v>
      </c>
      <c r="G483" s="891">
        <f t="shared" si="750"/>
        <v>0</v>
      </c>
      <c r="H483" s="891">
        <f t="shared" si="750"/>
        <v>0</v>
      </c>
      <c r="I483" s="891">
        <f t="shared" si="750"/>
        <v>0</v>
      </c>
      <c r="J483" s="891">
        <f t="shared" si="750"/>
        <v>0</v>
      </c>
      <c r="K483" s="891">
        <f t="shared" si="750"/>
        <v>0</v>
      </c>
      <c r="L483" s="891">
        <f t="shared" si="750"/>
        <v>0</v>
      </c>
      <c r="M483" s="891">
        <f t="shared" si="750"/>
        <v>0</v>
      </c>
      <c r="N483" s="891">
        <f t="shared" si="750"/>
        <v>0</v>
      </c>
      <c r="O483" s="891">
        <f t="shared" si="750"/>
        <v>-276</v>
      </c>
      <c r="P483" s="891">
        <f t="shared" si="750"/>
        <v>0</v>
      </c>
      <c r="Q483" s="891">
        <f t="shared" si="750"/>
        <v>0</v>
      </c>
      <c r="R483" s="891">
        <f t="shared" si="750"/>
        <v>0</v>
      </c>
      <c r="S483" s="891">
        <f t="shared" si="750"/>
        <v>0</v>
      </c>
      <c r="T483" s="891">
        <f t="shared" si="750"/>
        <v>0</v>
      </c>
      <c r="U483" s="891">
        <f t="shared" si="750"/>
        <v>0</v>
      </c>
      <c r="V483" s="891">
        <f t="shared" si="750"/>
        <v>0</v>
      </c>
      <c r="W483" s="891">
        <f t="shared" si="750"/>
        <v>0</v>
      </c>
      <c r="X483" s="891">
        <f t="shared" si="750"/>
        <v>0</v>
      </c>
      <c r="Y483" s="891">
        <f t="shared" si="750"/>
        <v>0</v>
      </c>
      <c r="Z483" s="891">
        <f t="shared" si="750"/>
        <v>0</v>
      </c>
      <c r="AA483" s="891">
        <f t="shared" si="750"/>
        <v>0</v>
      </c>
      <c r="AB483" s="891">
        <f t="shared" ref="AB483:AW483" si="751">+AB71-AB397</f>
        <v>0</v>
      </c>
      <c r="AC483" s="891">
        <f t="shared" si="751"/>
        <v>0</v>
      </c>
      <c r="AD483" s="891">
        <f t="shared" si="751"/>
        <v>0</v>
      </c>
      <c r="AE483" s="891">
        <f t="shared" si="751"/>
        <v>0</v>
      </c>
      <c r="AF483" s="891">
        <f t="shared" si="751"/>
        <v>0</v>
      </c>
      <c r="AG483" s="891">
        <f t="shared" si="751"/>
        <v>0</v>
      </c>
      <c r="AH483" s="891">
        <f t="shared" si="751"/>
        <v>0</v>
      </c>
      <c r="AI483" s="891">
        <f t="shared" si="751"/>
        <v>0</v>
      </c>
      <c r="AJ483" s="891">
        <f t="shared" si="751"/>
        <v>0</v>
      </c>
      <c r="AK483" s="891">
        <f t="shared" si="751"/>
        <v>0</v>
      </c>
      <c r="AL483" s="891">
        <f t="shared" si="751"/>
        <v>0</v>
      </c>
      <c r="AM483" s="891">
        <f t="shared" si="751"/>
        <v>0</v>
      </c>
      <c r="AN483" s="891">
        <f t="shared" si="751"/>
        <v>0</v>
      </c>
      <c r="AO483" s="891">
        <f t="shared" si="751"/>
        <v>0</v>
      </c>
      <c r="AP483" s="891">
        <f t="shared" si="751"/>
        <v>0</v>
      </c>
      <c r="AR483" s="891">
        <f t="shared" si="751"/>
        <v>0</v>
      </c>
      <c r="AS483" s="891">
        <f t="shared" si="751"/>
        <v>0</v>
      </c>
      <c r="AT483" s="891">
        <f t="shared" si="751"/>
        <v>0</v>
      </c>
      <c r="AU483" s="891">
        <f t="shared" si="751"/>
        <v>0</v>
      </c>
      <c r="AV483" s="891">
        <f t="shared" si="751"/>
        <v>0</v>
      </c>
      <c r="AW483" s="891">
        <f t="shared" si="751"/>
        <v>0</v>
      </c>
      <c r="AX483" s="891">
        <f t="shared" ref="AX483:BR483" si="752">+AX71-AX397</f>
        <v>0</v>
      </c>
      <c r="AY483" s="891">
        <f t="shared" si="752"/>
        <v>0</v>
      </c>
      <c r="AZ483" s="891">
        <f t="shared" si="752"/>
        <v>0</v>
      </c>
      <c r="BA483" s="891">
        <f t="shared" si="752"/>
        <v>0</v>
      </c>
      <c r="BB483" s="891">
        <f t="shared" si="752"/>
        <v>0</v>
      </c>
      <c r="BC483" s="891">
        <f t="shared" si="752"/>
        <v>0</v>
      </c>
      <c r="BD483" s="891">
        <f t="shared" si="752"/>
        <v>0</v>
      </c>
      <c r="BE483" s="891">
        <f t="shared" si="752"/>
        <v>0</v>
      </c>
      <c r="BF483" s="891">
        <f t="shared" si="752"/>
        <v>0</v>
      </c>
      <c r="BG483" s="891">
        <f t="shared" si="752"/>
        <v>0</v>
      </c>
      <c r="BH483" s="891">
        <f t="shared" si="752"/>
        <v>0</v>
      </c>
      <c r="BI483" s="891">
        <f t="shared" si="752"/>
        <v>0</v>
      </c>
      <c r="BJ483" s="891">
        <f t="shared" si="752"/>
        <v>0</v>
      </c>
      <c r="BK483" s="891">
        <f t="shared" si="752"/>
        <v>0</v>
      </c>
      <c r="BL483" s="891">
        <f t="shared" si="752"/>
        <v>0</v>
      </c>
      <c r="BM483" s="891">
        <f t="shared" si="752"/>
        <v>0</v>
      </c>
      <c r="BN483" s="891">
        <f t="shared" si="752"/>
        <v>0</v>
      </c>
      <c r="BO483" s="891">
        <f t="shared" si="752"/>
        <v>0</v>
      </c>
      <c r="BP483" s="891">
        <f t="shared" si="752"/>
        <v>0</v>
      </c>
      <c r="BQ483" s="891">
        <f t="shared" si="752"/>
        <v>0</v>
      </c>
      <c r="BR483" s="891">
        <f t="shared" si="752"/>
        <v>0</v>
      </c>
      <c r="BS483" s="891">
        <f t="shared" ref="BS483:CI483" si="753">+BS71-BS397</f>
        <v>0</v>
      </c>
      <c r="BT483" s="891">
        <f t="shared" si="753"/>
        <v>0</v>
      </c>
      <c r="BU483" s="891">
        <f t="shared" si="753"/>
        <v>0</v>
      </c>
      <c r="BV483" s="891">
        <f t="shared" si="753"/>
        <v>0</v>
      </c>
      <c r="BW483" s="891">
        <f t="shared" si="753"/>
        <v>0</v>
      </c>
      <c r="BX483" s="891">
        <f t="shared" si="753"/>
        <v>0</v>
      </c>
      <c r="BY483" s="891">
        <f t="shared" si="753"/>
        <v>0</v>
      </c>
      <c r="BZ483" s="891">
        <f t="shared" si="753"/>
        <v>0</v>
      </c>
      <c r="CA483" s="891">
        <f t="shared" si="753"/>
        <v>0</v>
      </c>
      <c r="CB483" s="891">
        <f t="shared" si="753"/>
        <v>0</v>
      </c>
      <c r="CC483" s="891">
        <f t="shared" si="753"/>
        <v>0</v>
      </c>
      <c r="CD483" s="891">
        <f t="shared" si="753"/>
        <v>0</v>
      </c>
      <c r="CE483" s="891">
        <f t="shared" si="753"/>
        <v>0</v>
      </c>
      <c r="CF483" s="891">
        <f t="shared" si="753"/>
        <v>0</v>
      </c>
      <c r="CG483" s="891">
        <f t="shared" si="753"/>
        <v>0</v>
      </c>
      <c r="CH483" s="891">
        <f t="shared" si="753"/>
        <v>0</v>
      </c>
      <c r="CI483" s="891">
        <f t="shared" si="753"/>
        <v>0</v>
      </c>
    </row>
    <row r="484" spans="1:87" s="891" customFormat="1" x14ac:dyDescent="0.2">
      <c r="A484" s="902" t="s">
        <v>874</v>
      </c>
      <c r="B484" s="891">
        <f t="shared" si="737"/>
        <v>3396</v>
      </c>
      <c r="C484" s="891">
        <f t="shared" ref="C484:AA484" si="754">+C72-C398</f>
        <v>0</v>
      </c>
      <c r="D484" s="891">
        <f t="shared" si="754"/>
        <v>0</v>
      </c>
      <c r="E484" s="891">
        <f t="shared" si="754"/>
        <v>0</v>
      </c>
      <c r="F484" s="891">
        <f t="shared" si="754"/>
        <v>0</v>
      </c>
      <c r="G484" s="891">
        <f t="shared" si="754"/>
        <v>0</v>
      </c>
      <c r="H484" s="891">
        <f t="shared" si="754"/>
        <v>0</v>
      </c>
      <c r="I484" s="891">
        <f t="shared" si="754"/>
        <v>0</v>
      </c>
      <c r="J484" s="891">
        <f t="shared" si="754"/>
        <v>0</v>
      </c>
      <c r="K484" s="891">
        <f t="shared" si="754"/>
        <v>0</v>
      </c>
      <c r="L484" s="891">
        <f t="shared" si="754"/>
        <v>0</v>
      </c>
      <c r="M484" s="891">
        <f t="shared" si="754"/>
        <v>0</v>
      </c>
      <c r="N484" s="891">
        <f t="shared" si="754"/>
        <v>2632</v>
      </c>
      <c r="O484" s="891">
        <f t="shared" si="754"/>
        <v>-29</v>
      </c>
      <c r="P484" s="891">
        <f t="shared" si="754"/>
        <v>793</v>
      </c>
      <c r="Q484" s="891">
        <f t="shared" si="754"/>
        <v>0</v>
      </c>
      <c r="R484" s="891">
        <f t="shared" si="754"/>
        <v>0</v>
      </c>
      <c r="S484" s="891">
        <f t="shared" si="754"/>
        <v>0</v>
      </c>
      <c r="T484" s="891">
        <f t="shared" si="754"/>
        <v>0</v>
      </c>
      <c r="U484" s="891">
        <f t="shared" si="754"/>
        <v>0</v>
      </c>
      <c r="V484" s="891">
        <f t="shared" si="754"/>
        <v>0</v>
      </c>
      <c r="W484" s="891">
        <f t="shared" si="754"/>
        <v>0</v>
      </c>
      <c r="X484" s="891">
        <f t="shared" si="754"/>
        <v>0</v>
      </c>
      <c r="Y484" s="891">
        <f t="shared" si="754"/>
        <v>0</v>
      </c>
      <c r="Z484" s="891">
        <f t="shared" si="754"/>
        <v>0</v>
      </c>
      <c r="AA484" s="891">
        <f t="shared" si="754"/>
        <v>0</v>
      </c>
      <c r="AB484" s="891">
        <f t="shared" ref="AB484:AW484" si="755">+AB72-AB398</f>
        <v>0</v>
      </c>
      <c r="AC484" s="891">
        <f t="shared" si="755"/>
        <v>0</v>
      </c>
      <c r="AD484" s="891">
        <f t="shared" si="755"/>
        <v>0</v>
      </c>
      <c r="AE484" s="891">
        <f t="shared" si="755"/>
        <v>0</v>
      </c>
      <c r="AF484" s="891">
        <f t="shared" si="755"/>
        <v>0</v>
      </c>
      <c r="AG484" s="891">
        <f t="shared" si="755"/>
        <v>0</v>
      </c>
      <c r="AH484" s="891">
        <f t="shared" si="755"/>
        <v>0</v>
      </c>
      <c r="AI484" s="891">
        <f t="shared" si="755"/>
        <v>0</v>
      </c>
      <c r="AJ484" s="891">
        <f t="shared" si="755"/>
        <v>0</v>
      </c>
      <c r="AK484" s="891">
        <f t="shared" si="755"/>
        <v>0</v>
      </c>
      <c r="AL484" s="891">
        <f t="shared" si="755"/>
        <v>0</v>
      </c>
      <c r="AM484" s="891">
        <f t="shared" si="755"/>
        <v>0</v>
      </c>
      <c r="AN484" s="891">
        <f t="shared" si="755"/>
        <v>0</v>
      </c>
      <c r="AO484" s="891">
        <f t="shared" si="755"/>
        <v>0</v>
      </c>
      <c r="AP484" s="891">
        <f t="shared" si="755"/>
        <v>0</v>
      </c>
      <c r="AR484" s="891">
        <f t="shared" si="755"/>
        <v>0</v>
      </c>
      <c r="AS484" s="891">
        <f t="shared" si="755"/>
        <v>0</v>
      </c>
      <c r="AT484" s="891">
        <f t="shared" si="755"/>
        <v>0</v>
      </c>
      <c r="AU484" s="891">
        <f t="shared" si="755"/>
        <v>0</v>
      </c>
      <c r="AV484" s="891">
        <f t="shared" si="755"/>
        <v>0</v>
      </c>
      <c r="AW484" s="891">
        <f t="shared" si="755"/>
        <v>0</v>
      </c>
      <c r="AX484" s="891">
        <f t="shared" ref="AX484:BR484" si="756">+AX72-AX398</f>
        <v>0</v>
      </c>
      <c r="AY484" s="891">
        <f t="shared" si="756"/>
        <v>0</v>
      </c>
      <c r="AZ484" s="891">
        <f t="shared" si="756"/>
        <v>0</v>
      </c>
      <c r="BA484" s="891">
        <f t="shared" si="756"/>
        <v>0</v>
      </c>
      <c r="BB484" s="891">
        <f t="shared" si="756"/>
        <v>0</v>
      </c>
      <c r="BC484" s="891">
        <f t="shared" si="756"/>
        <v>0</v>
      </c>
      <c r="BD484" s="891">
        <f t="shared" si="756"/>
        <v>0</v>
      </c>
      <c r="BE484" s="891">
        <f t="shared" si="756"/>
        <v>0</v>
      </c>
      <c r="BF484" s="891">
        <f t="shared" si="756"/>
        <v>0</v>
      </c>
      <c r="BG484" s="891">
        <f t="shared" si="756"/>
        <v>0</v>
      </c>
      <c r="BH484" s="891">
        <f t="shared" si="756"/>
        <v>0</v>
      </c>
      <c r="BI484" s="891">
        <f t="shared" si="756"/>
        <v>0</v>
      </c>
      <c r="BJ484" s="891">
        <f t="shared" si="756"/>
        <v>0</v>
      </c>
      <c r="BK484" s="891">
        <f t="shared" si="756"/>
        <v>0</v>
      </c>
      <c r="BL484" s="891">
        <f t="shared" si="756"/>
        <v>0</v>
      </c>
      <c r="BM484" s="891">
        <f t="shared" si="756"/>
        <v>0</v>
      </c>
      <c r="BN484" s="891">
        <f t="shared" si="756"/>
        <v>0</v>
      </c>
      <c r="BO484" s="891">
        <f t="shared" si="756"/>
        <v>0</v>
      </c>
      <c r="BP484" s="891">
        <f t="shared" si="756"/>
        <v>0</v>
      </c>
      <c r="BQ484" s="891">
        <f t="shared" si="756"/>
        <v>0</v>
      </c>
      <c r="BR484" s="891">
        <f t="shared" si="756"/>
        <v>0</v>
      </c>
      <c r="BS484" s="891">
        <f t="shared" ref="BS484:CI484" si="757">+BS72-BS398</f>
        <v>0</v>
      </c>
      <c r="BT484" s="891">
        <f t="shared" si="757"/>
        <v>0</v>
      </c>
      <c r="BU484" s="891">
        <f t="shared" si="757"/>
        <v>0</v>
      </c>
      <c r="BV484" s="891">
        <f t="shared" si="757"/>
        <v>0</v>
      </c>
      <c r="BW484" s="891">
        <f t="shared" si="757"/>
        <v>0</v>
      </c>
      <c r="BX484" s="891">
        <f t="shared" si="757"/>
        <v>0</v>
      </c>
      <c r="BY484" s="891">
        <f t="shared" si="757"/>
        <v>0</v>
      </c>
      <c r="BZ484" s="891">
        <f t="shared" si="757"/>
        <v>0</v>
      </c>
      <c r="CA484" s="891">
        <f t="shared" si="757"/>
        <v>0</v>
      </c>
      <c r="CB484" s="891">
        <f t="shared" si="757"/>
        <v>0</v>
      </c>
      <c r="CC484" s="891">
        <f t="shared" si="757"/>
        <v>0</v>
      </c>
      <c r="CD484" s="891">
        <f t="shared" si="757"/>
        <v>0</v>
      </c>
      <c r="CE484" s="891">
        <f t="shared" si="757"/>
        <v>0</v>
      </c>
      <c r="CF484" s="891">
        <f t="shared" si="757"/>
        <v>0</v>
      </c>
      <c r="CG484" s="891">
        <f t="shared" si="757"/>
        <v>0</v>
      </c>
      <c r="CH484" s="891">
        <f t="shared" si="757"/>
        <v>0</v>
      </c>
      <c r="CI484" s="891">
        <f t="shared" si="757"/>
        <v>0</v>
      </c>
    </row>
    <row r="485" spans="1:87" s="891" customFormat="1" x14ac:dyDescent="0.2">
      <c r="A485" s="890" t="s">
        <v>944</v>
      </c>
      <c r="B485" s="891">
        <f t="shared" si="737"/>
        <v>1700</v>
      </c>
      <c r="C485" s="891">
        <f t="shared" ref="C485:AA485" si="758">+C73-C399</f>
        <v>456</v>
      </c>
      <c r="D485" s="891">
        <f t="shared" si="758"/>
        <v>292</v>
      </c>
      <c r="E485" s="891">
        <f t="shared" si="758"/>
        <v>0</v>
      </c>
      <c r="F485" s="891">
        <f t="shared" si="758"/>
        <v>0</v>
      </c>
      <c r="G485" s="891">
        <f t="shared" si="758"/>
        <v>0</v>
      </c>
      <c r="H485" s="891">
        <f t="shared" si="758"/>
        <v>0</v>
      </c>
      <c r="I485" s="891">
        <f t="shared" si="758"/>
        <v>0</v>
      </c>
      <c r="J485" s="891">
        <f t="shared" si="758"/>
        <v>0</v>
      </c>
      <c r="K485" s="891">
        <f t="shared" si="758"/>
        <v>0</v>
      </c>
      <c r="L485" s="891">
        <f t="shared" si="758"/>
        <v>0</v>
      </c>
      <c r="M485" s="891">
        <f t="shared" si="758"/>
        <v>0</v>
      </c>
      <c r="N485" s="891">
        <f t="shared" si="758"/>
        <v>749</v>
      </c>
      <c r="O485" s="891">
        <f t="shared" si="758"/>
        <v>0</v>
      </c>
      <c r="P485" s="891">
        <f t="shared" si="758"/>
        <v>203</v>
      </c>
      <c r="Q485" s="891">
        <f t="shared" si="758"/>
        <v>0</v>
      </c>
      <c r="R485" s="891">
        <f t="shared" si="758"/>
        <v>0</v>
      </c>
      <c r="S485" s="891">
        <f t="shared" si="758"/>
        <v>0</v>
      </c>
      <c r="T485" s="891">
        <f t="shared" si="758"/>
        <v>0</v>
      </c>
      <c r="U485" s="891">
        <f t="shared" si="758"/>
        <v>0</v>
      </c>
      <c r="V485" s="891">
        <f t="shared" si="758"/>
        <v>0</v>
      </c>
      <c r="W485" s="891">
        <f t="shared" si="758"/>
        <v>0</v>
      </c>
      <c r="X485" s="891">
        <f t="shared" si="758"/>
        <v>0</v>
      </c>
      <c r="Y485" s="891">
        <f t="shared" si="758"/>
        <v>0</v>
      </c>
      <c r="Z485" s="891">
        <f t="shared" si="758"/>
        <v>0</v>
      </c>
      <c r="AA485" s="891">
        <f t="shared" si="758"/>
        <v>0</v>
      </c>
      <c r="AB485" s="891">
        <f t="shared" ref="AB485:AW485" si="759">+AB73-AB399</f>
        <v>0</v>
      </c>
      <c r="AC485" s="891">
        <f t="shared" si="759"/>
        <v>0</v>
      </c>
      <c r="AD485" s="891">
        <f t="shared" si="759"/>
        <v>0</v>
      </c>
      <c r="AE485" s="891">
        <f t="shared" si="759"/>
        <v>0</v>
      </c>
      <c r="AF485" s="891">
        <f t="shared" si="759"/>
        <v>0</v>
      </c>
      <c r="AG485" s="891">
        <f t="shared" si="759"/>
        <v>0</v>
      </c>
      <c r="AH485" s="891">
        <f t="shared" si="759"/>
        <v>0</v>
      </c>
      <c r="AI485" s="891">
        <f t="shared" si="759"/>
        <v>0</v>
      </c>
      <c r="AJ485" s="891">
        <f t="shared" si="759"/>
        <v>0</v>
      </c>
      <c r="AK485" s="891">
        <f t="shared" si="759"/>
        <v>0</v>
      </c>
      <c r="AL485" s="891">
        <f t="shared" si="759"/>
        <v>0</v>
      </c>
      <c r="AM485" s="891">
        <f t="shared" si="759"/>
        <v>0</v>
      </c>
      <c r="AN485" s="891">
        <f t="shared" si="759"/>
        <v>0</v>
      </c>
      <c r="AO485" s="891">
        <f t="shared" si="759"/>
        <v>0</v>
      </c>
      <c r="AP485" s="891">
        <f t="shared" si="759"/>
        <v>0</v>
      </c>
      <c r="AR485" s="891">
        <f t="shared" si="759"/>
        <v>0</v>
      </c>
      <c r="AS485" s="891">
        <f t="shared" si="759"/>
        <v>0</v>
      </c>
      <c r="AT485" s="891">
        <f t="shared" si="759"/>
        <v>0</v>
      </c>
      <c r="AU485" s="891">
        <f t="shared" si="759"/>
        <v>0</v>
      </c>
      <c r="AV485" s="891">
        <f t="shared" si="759"/>
        <v>0</v>
      </c>
      <c r="AW485" s="891">
        <f t="shared" si="759"/>
        <v>0</v>
      </c>
      <c r="AX485" s="891">
        <f t="shared" ref="AX485:BR485" si="760">+AX73-AX399</f>
        <v>0</v>
      </c>
      <c r="AY485" s="891">
        <f t="shared" si="760"/>
        <v>0</v>
      </c>
      <c r="AZ485" s="891">
        <f t="shared" si="760"/>
        <v>0</v>
      </c>
      <c r="BA485" s="891">
        <f t="shared" si="760"/>
        <v>0</v>
      </c>
      <c r="BB485" s="891">
        <f t="shared" si="760"/>
        <v>0</v>
      </c>
      <c r="BC485" s="891">
        <f t="shared" si="760"/>
        <v>0</v>
      </c>
      <c r="BD485" s="891">
        <f t="shared" si="760"/>
        <v>0</v>
      </c>
      <c r="BE485" s="891">
        <f t="shared" si="760"/>
        <v>0</v>
      </c>
      <c r="BF485" s="891">
        <f t="shared" si="760"/>
        <v>0</v>
      </c>
      <c r="BG485" s="891">
        <f t="shared" si="760"/>
        <v>0</v>
      </c>
      <c r="BH485" s="891">
        <f t="shared" si="760"/>
        <v>0</v>
      </c>
      <c r="BI485" s="891">
        <f t="shared" si="760"/>
        <v>0</v>
      </c>
      <c r="BJ485" s="891">
        <f t="shared" si="760"/>
        <v>0</v>
      </c>
      <c r="BK485" s="891">
        <f t="shared" si="760"/>
        <v>0</v>
      </c>
      <c r="BL485" s="891">
        <f t="shared" si="760"/>
        <v>0</v>
      </c>
      <c r="BM485" s="891">
        <f t="shared" si="760"/>
        <v>0</v>
      </c>
      <c r="BN485" s="891">
        <f t="shared" si="760"/>
        <v>0</v>
      </c>
      <c r="BO485" s="891">
        <f t="shared" si="760"/>
        <v>0</v>
      </c>
      <c r="BP485" s="891">
        <f t="shared" si="760"/>
        <v>0</v>
      </c>
      <c r="BQ485" s="891">
        <f t="shared" si="760"/>
        <v>0</v>
      </c>
      <c r="BR485" s="891">
        <f t="shared" si="760"/>
        <v>0</v>
      </c>
      <c r="BS485" s="891">
        <f t="shared" ref="BS485:CI485" si="761">+BS73-BS399</f>
        <v>0</v>
      </c>
      <c r="BT485" s="891">
        <f t="shared" si="761"/>
        <v>0</v>
      </c>
      <c r="BU485" s="891">
        <f t="shared" si="761"/>
        <v>0</v>
      </c>
      <c r="BV485" s="891">
        <f t="shared" si="761"/>
        <v>0</v>
      </c>
      <c r="BW485" s="891">
        <f t="shared" si="761"/>
        <v>0</v>
      </c>
      <c r="BX485" s="891">
        <f t="shared" si="761"/>
        <v>0</v>
      </c>
      <c r="BY485" s="891">
        <f t="shared" si="761"/>
        <v>0</v>
      </c>
      <c r="BZ485" s="891">
        <f t="shared" si="761"/>
        <v>0</v>
      </c>
      <c r="CA485" s="891">
        <f t="shared" si="761"/>
        <v>0</v>
      </c>
      <c r="CB485" s="891">
        <f t="shared" si="761"/>
        <v>0</v>
      </c>
      <c r="CC485" s="891">
        <f t="shared" si="761"/>
        <v>0</v>
      </c>
      <c r="CD485" s="891">
        <f t="shared" si="761"/>
        <v>0</v>
      </c>
      <c r="CE485" s="891">
        <f t="shared" si="761"/>
        <v>0</v>
      </c>
      <c r="CF485" s="891">
        <f t="shared" si="761"/>
        <v>0</v>
      </c>
      <c r="CG485" s="891">
        <f t="shared" si="761"/>
        <v>0</v>
      </c>
      <c r="CH485" s="891">
        <f t="shared" si="761"/>
        <v>0</v>
      </c>
      <c r="CI485" s="891">
        <f t="shared" si="761"/>
        <v>0</v>
      </c>
    </row>
    <row r="486" spans="1:87" s="891" customFormat="1" x14ac:dyDescent="0.2">
      <c r="A486" s="890" t="s">
        <v>947</v>
      </c>
      <c r="B486" s="891">
        <f t="shared" si="737"/>
        <v>12842</v>
      </c>
      <c r="C486" s="891">
        <f t="shared" ref="C486:AA486" si="762">+C74-C400</f>
        <v>12842</v>
      </c>
      <c r="D486" s="891">
        <f t="shared" si="762"/>
        <v>0</v>
      </c>
      <c r="E486" s="891">
        <f t="shared" si="762"/>
        <v>0</v>
      </c>
      <c r="F486" s="891">
        <f t="shared" si="762"/>
        <v>0</v>
      </c>
      <c r="G486" s="891">
        <f t="shared" si="762"/>
        <v>0</v>
      </c>
      <c r="H486" s="891">
        <f t="shared" si="762"/>
        <v>0</v>
      </c>
      <c r="I486" s="891">
        <f t="shared" si="762"/>
        <v>0</v>
      </c>
      <c r="J486" s="891">
        <f t="shared" si="762"/>
        <v>0</v>
      </c>
      <c r="K486" s="891">
        <f t="shared" si="762"/>
        <v>0</v>
      </c>
      <c r="L486" s="891">
        <f t="shared" si="762"/>
        <v>0</v>
      </c>
      <c r="M486" s="891">
        <f t="shared" si="762"/>
        <v>0</v>
      </c>
      <c r="N486" s="891">
        <f t="shared" si="762"/>
        <v>0</v>
      </c>
      <c r="O486" s="891">
        <f t="shared" si="762"/>
        <v>0</v>
      </c>
      <c r="P486" s="891">
        <f t="shared" si="762"/>
        <v>0</v>
      </c>
      <c r="Q486" s="891">
        <f t="shared" si="762"/>
        <v>0</v>
      </c>
      <c r="R486" s="891">
        <f t="shared" si="762"/>
        <v>0</v>
      </c>
      <c r="S486" s="891">
        <f t="shared" si="762"/>
        <v>0</v>
      </c>
      <c r="T486" s="891">
        <f t="shared" si="762"/>
        <v>0</v>
      </c>
      <c r="U486" s="891">
        <f t="shared" si="762"/>
        <v>0</v>
      </c>
      <c r="V486" s="891">
        <f t="shared" si="762"/>
        <v>0</v>
      </c>
      <c r="W486" s="891">
        <f t="shared" si="762"/>
        <v>0</v>
      </c>
      <c r="X486" s="891">
        <f t="shared" si="762"/>
        <v>0</v>
      </c>
      <c r="Y486" s="891">
        <f t="shared" si="762"/>
        <v>0</v>
      </c>
      <c r="Z486" s="891">
        <f t="shared" si="762"/>
        <v>0</v>
      </c>
      <c r="AA486" s="891">
        <f t="shared" si="762"/>
        <v>0</v>
      </c>
      <c r="AB486" s="891">
        <f t="shared" ref="AB486:AW486" si="763">+AB74-AB400</f>
        <v>0</v>
      </c>
      <c r="AC486" s="891">
        <f t="shared" si="763"/>
        <v>0</v>
      </c>
      <c r="AD486" s="891">
        <f t="shared" si="763"/>
        <v>0</v>
      </c>
      <c r="AE486" s="891">
        <f t="shared" si="763"/>
        <v>0</v>
      </c>
      <c r="AF486" s="891">
        <f t="shared" si="763"/>
        <v>0</v>
      </c>
      <c r="AG486" s="891">
        <f t="shared" si="763"/>
        <v>0</v>
      </c>
      <c r="AH486" s="891">
        <f t="shared" si="763"/>
        <v>0</v>
      </c>
      <c r="AI486" s="891">
        <f t="shared" si="763"/>
        <v>0</v>
      </c>
      <c r="AJ486" s="891">
        <f t="shared" si="763"/>
        <v>0</v>
      </c>
      <c r="AK486" s="891">
        <f t="shared" si="763"/>
        <v>0</v>
      </c>
      <c r="AL486" s="891">
        <f t="shared" si="763"/>
        <v>0</v>
      </c>
      <c r="AM486" s="891">
        <f t="shared" si="763"/>
        <v>0</v>
      </c>
      <c r="AN486" s="891">
        <f t="shared" si="763"/>
        <v>0</v>
      </c>
      <c r="AO486" s="891">
        <f t="shared" si="763"/>
        <v>0</v>
      </c>
      <c r="AP486" s="891">
        <f t="shared" si="763"/>
        <v>0</v>
      </c>
      <c r="AR486" s="891">
        <f t="shared" si="763"/>
        <v>0</v>
      </c>
      <c r="AS486" s="891">
        <f t="shared" si="763"/>
        <v>0</v>
      </c>
      <c r="AT486" s="891">
        <f t="shared" si="763"/>
        <v>0</v>
      </c>
      <c r="AU486" s="891">
        <f t="shared" si="763"/>
        <v>0</v>
      </c>
      <c r="AV486" s="891">
        <f t="shared" si="763"/>
        <v>0</v>
      </c>
      <c r="AW486" s="891">
        <f t="shared" si="763"/>
        <v>0</v>
      </c>
      <c r="AX486" s="891">
        <f t="shared" ref="AX486:BR486" si="764">+AX74-AX400</f>
        <v>0</v>
      </c>
      <c r="AY486" s="891">
        <f t="shared" si="764"/>
        <v>0</v>
      </c>
      <c r="AZ486" s="891">
        <f t="shared" si="764"/>
        <v>0</v>
      </c>
      <c r="BA486" s="891">
        <f t="shared" si="764"/>
        <v>0</v>
      </c>
      <c r="BB486" s="891">
        <f t="shared" si="764"/>
        <v>0</v>
      </c>
      <c r="BC486" s="891">
        <f t="shared" si="764"/>
        <v>0</v>
      </c>
      <c r="BD486" s="891">
        <f t="shared" si="764"/>
        <v>0</v>
      </c>
      <c r="BE486" s="891">
        <f t="shared" si="764"/>
        <v>0</v>
      </c>
      <c r="BF486" s="891">
        <f t="shared" si="764"/>
        <v>0</v>
      </c>
      <c r="BG486" s="891">
        <f t="shared" si="764"/>
        <v>0</v>
      </c>
      <c r="BH486" s="891">
        <f t="shared" si="764"/>
        <v>0</v>
      </c>
      <c r="BI486" s="891">
        <f t="shared" si="764"/>
        <v>0</v>
      </c>
      <c r="BJ486" s="891">
        <f t="shared" si="764"/>
        <v>0</v>
      </c>
      <c r="BK486" s="891">
        <f t="shared" si="764"/>
        <v>0</v>
      </c>
      <c r="BL486" s="891">
        <f t="shared" si="764"/>
        <v>0</v>
      </c>
      <c r="BM486" s="891">
        <f t="shared" si="764"/>
        <v>0</v>
      </c>
      <c r="BN486" s="891">
        <f t="shared" si="764"/>
        <v>0</v>
      </c>
      <c r="BO486" s="891">
        <f t="shared" si="764"/>
        <v>0</v>
      </c>
      <c r="BP486" s="891">
        <f t="shared" si="764"/>
        <v>0</v>
      </c>
      <c r="BQ486" s="891">
        <f t="shared" si="764"/>
        <v>0</v>
      </c>
      <c r="BR486" s="891">
        <f t="shared" si="764"/>
        <v>0</v>
      </c>
      <c r="BS486" s="891">
        <f t="shared" ref="BS486:CI486" si="765">+BS74-BS400</f>
        <v>0</v>
      </c>
      <c r="BT486" s="891">
        <f t="shared" si="765"/>
        <v>0</v>
      </c>
      <c r="BU486" s="891">
        <f t="shared" si="765"/>
        <v>0</v>
      </c>
      <c r="BV486" s="891">
        <f t="shared" si="765"/>
        <v>0</v>
      </c>
      <c r="BW486" s="891">
        <f t="shared" si="765"/>
        <v>0</v>
      </c>
      <c r="BX486" s="891">
        <f t="shared" si="765"/>
        <v>0</v>
      </c>
      <c r="BY486" s="891">
        <f t="shared" si="765"/>
        <v>0</v>
      </c>
      <c r="BZ486" s="891">
        <f t="shared" si="765"/>
        <v>0</v>
      </c>
      <c r="CA486" s="891">
        <f t="shared" si="765"/>
        <v>0</v>
      </c>
      <c r="CB486" s="891">
        <f t="shared" si="765"/>
        <v>0</v>
      </c>
      <c r="CC486" s="891">
        <f t="shared" si="765"/>
        <v>0</v>
      </c>
      <c r="CD486" s="891">
        <f t="shared" si="765"/>
        <v>0</v>
      </c>
      <c r="CE486" s="891">
        <f t="shared" si="765"/>
        <v>0</v>
      </c>
      <c r="CF486" s="891">
        <f t="shared" si="765"/>
        <v>0</v>
      </c>
      <c r="CG486" s="891">
        <f t="shared" si="765"/>
        <v>0</v>
      </c>
      <c r="CH486" s="891">
        <f t="shared" si="765"/>
        <v>0</v>
      </c>
      <c r="CI486" s="891">
        <f t="shared" si="765"/>
        <v>0</v>
      </c>
    </row>
    <row r="487" spans="1:87" s="891" customFormat="1" x14ac:dyDescent="0.2">
      <c r="A487" s="890" t="s">
        <v>774</v>
      </c>
      <c r="B487" s="891">
        <f t="shared" si="737"/>
        <v>56059</v>
      </c>
      <c r="C487" s="891">
        <f t="shared" ref="C487:AA487" si="766">+C75-C401</f>
        <v>18944</v>
      </c>
      <c r="D487" s="891">
        <f t="shared" si="766"/>
        <v>343</v>
      </c>
      <c r="E487" s="891">
        <f t="shared" si="766"/>
        <v>-265</v>
      </c>
      <c r="F487" s="891">
        <f t="shared" si="766"/>
        <v>56</v>
      </c>
      <c r="G487" s="891">
        <f t="shared" si="766"/>
        <v>42</v>
      </c>
      <c r="H487" s="891">
        <f t="shared" si="766"/>
        <v>138</v>
      </c>
      <c r="I487" s="891">
        <f t="shared" si="766"/>
        <v>244</v>
      </c>
      <c r="J487" s="891">
        <f t="shared" si="766"/>
        <v>0</v>
      </c>
      <c r="K487" s="891">
        <f t="shared" si="766"/>
        <v>219</v>
      </c>
      <c r="L487" s="891">
        <f t="shared" si="766"/>
        <v>0</v>
      </c>
      <c r="M487" s="891">
        <f t="shared" si="766"/>
        <v>0</v>
      </c>
      <c r="N487" s="891">
        <f t="shared" si="766"/>
        <v>4781</v>
      </c>
      <c r="O487" s="891">
        <f t="shared" si="766"/>
        <v>2963</v>
      </c>
      <c r="P487" s="891">
        <f t="shared" si="766"/>
        <v>-39</v>
      </c>
      <c r="Q487" s="891">
        <f t="shared" si="766"/>
        <v>119</v>
      </c>
      <c r="R487" s="891">
        <f t="shared" si="766"/>
        <v>61</v>
      </c>
      <c r="S487" s="891">
        <f t="shared" si="766"/>
        <v>69</v>
      </c>
      <c r="T487" s="891">
        <f t="shared" si="766"/>
        <v>-28</v>
      </c>
      <c r="U487" s="891">
        <f t="shared" si="766"/>
        <v>-29</v>
      </c>
      <c r="V487" s="891">
        <f t="shared" si="766"/>
        <v>463</v>
      </c>
      <c r="W487" s="891">
        <f t="shared" si="766"/>
        <v>1039</v>
      </c>
      <c r="X487" s="891">
        <f t="shared" si="766"/>
        <v>1503</v>
      </c>
      <c r="Y487" s="891">
        <f t="shared" si="766"/>
        <v>0</v>
      </c>
      <c r="Z487" s="891">
        <f t="shared" si="766"/>
        <v>0</v>
      </c>
      <c r="AA487" s="891">
        <f t="shared" si="766"/>
        <v>0</v>
      </c>
      <c r="AB487" s="891">
        <f t="shared" ref="AB487:AW487" si="767">+AB75-AB401</f>
        <v>47</v>
      </c>
      <c r="AC487" s="891">
        <f t="shared" si="767"/>
        <v>158</v>
      </c>
      <c r="AD487" s="891">
        <f t="shared" si="767"/>
        <v>1159</v>
      </c>
      <c r="AE487" s="891">
        <f t="shared" si="767"/>
        <v>10716</v>
      </c>
      <c r="AF487" s="891">
        <f t="shared" si="767"/>
        <v>0</v>
      </c>
      <c r="AG487" s="891">
        <f t="shared" si="767"/>
        <v>0</v>
      </c>
      <c r="AH487" s="891">
        <f t="shared" si="767"/>
        <v>0</v>
      </c>
      <c r="AI487" s="891">
        <f t="shared" si="767"/>
        <v>0</v>
      </c>
      <c r="AJ487" s="891">
        <f t="shared" si="767"/>
        <v>0</v>
      </c>
      <c r="AK487" s="891">
        <f t="shared" si="767"/>
        <v>384</v>
      </c>
      <c r="AL487" s="891">
        <f t="shared" si="767"/>
        <v>-107</v>
      </c>
      <c r="AM487" s="891">
        <f t="shared" si="767"/>
        <v>-65</v>
      </c>
      <c r="AN487" s="891">
        <f t="shared" si="767"/>
        <v>285</v>
      </c>
      <c r="AO487" s="891">
        <f t="shared" si="767"/>
        <v>689</v>
      </c>
      <c r="AP487" s="891">
        <f t="shared" si="767"/>
        <v>180</v>
      </c>
      <c r="AR487" s="891">
        <f t="shared" si="767"/>
        <v>0</v>
      </c>
      <c r="AS487" s="891">
        <f t="shared" si="767"/>
        <v>0</v>
      </c>
      <c r="AT487" s="891">
        <f t="shared" si="767"/>
        <v>0</v>
      </c>
      <c r="AU487" s="891">
        <f t="shared" si="767"/>
        <v>-19</v>
      </c>
      <c r="AV487" s="891">
        <f t="shared" si="767"/>
        <v>0</v>
      </c>
      <c r="AW487" s="891">
        <f t="shared" si="767"/>
        <v>1267</v>
      </c>
      <c r="AX487" s="891">
        <f t="shared" ref="AX487:BR487" si="768">+AX75-AX401</f>
        <v>0</v>
      </c>
      <c r="AY487" s="891">
        <f t="shared" si="768"/>
        <v>8</v>
      </c>
      <c r="AZ487" s="891">
        <f t="shared" si="768"/>
        <v>134</v>
      </c>
      <c r="BA487" s="891">
        <f t="shared" si="768"/>
        <v>8</v>
      </c>
      <c r="BB487" s="891">
        <f t="shared" si="768"/>
        <v>12</v>
      </c>
      <c r="BC487" s="891">
        <f t="shared" si="768"/>
        <v>32</v>
      </c>
      <c r="BD487" s="891">
        <f t="shared" si="768"/>
        <v>0</v>
      </c>
      <c r="BE487" s="891">
        <f t="shared" si="768"/>
        <v>-3</v>
      </c>
      <c r="BF487" s="891">
        <f t="shared" si="768"/>
        <v>0</v>
      </c>
      <c r="BG487" s="891">
        <f t="shared" si="768"/>
        <v>0</v>
      </c>
      <c r="BH487" s="891">
        <f t="shared" si="768"/>
        <v>0</v>
      </c>
      <c r="BI487" s="891">
        <f t="shared" si="768"/>
        <v>0</v>
      </c>
      <c r="BJ487" s="891">
        <f t="shared" si="768"/>
        <v>70</v>
      </c>
      <c r="BK487" s="891">
        <f t="shared" si="768"/>
        <v>565</v>
      </c>
      <c r="BL487" s="891">
        <f t="shared" si="768"/>
        <v>6</v>
      </c>
      <c r="BM487" s="891">
        <f t="shared" si="768"/>
        <v>-3</v>
      </c>
      <c r="BN487" s="891">
        <f t="shared" si="768"/>
        <v>0</v>
      </c>
      <c r="BO487" s="891">
        <f t="shared" si="768"/>
        <v>0</v>
      </c>
      <c r="BP487" s="891">
        <f t="shared" si="768"/>
        <v>52</v>
      </c>
      <c r="BQ487" s="891">
        <f t="shared" si="768"/>
        <v>2786</v>
      </c>
      <c r="BR487" s="891">
        <f t="shared" si="768"/>
        <v>316</v>
      </c>
      <c r="BS487" s="891">
        <f t="shared" ref="BS487:CI487" si="769">+BS75-BS401</f>
        <v>46</v>
      </c>
      <c r="BT487" s="891">
        <f t="shared" si="769"/>
        <v>890</v>
      </c>
      <c r="BU487" s="891">
        <f t="shared" si="769"/>
        <v>1068</v>
      </c>
      <c r="BV487" s="891">
        <f t="shared" si="769"/>
        <v>785</v>
      </c>
      <c r="BW487" s="891">
        <f t="shared" si="769"/>
        <v>95</v>
      </c>
      <c r="BX487" s="891">
        <f t="shared" si="769"/>
        <v>3874</v>
      </c>
      <c r="BY487" s="891">
        <f t="shared" si="769"/>
        <v>1</v>
      </c>
      <c r="BZ487" s="891">
        <f t="shared" si="769"/>
        <v>0</v>
      </c>
      <c r="CA487" s="891">
        <f t="shared" si="769"/>
        <v>0</v>
      </c>
      <c r="CB487" s="891">
        <f t="shared" si="769"/>
        <v>0</v>
      </c>
      <c r="CC487" s="891">
        <f t="shared" si="769"/>
        <v>0</v>
      </c>
      <c r="CD487" s="891">
        <f t="shared" si="769"/>
        <v>0</v>
      </c>
      <c r="CE487" s="891">
        <f t="shared" si="769"/>
        <v>0</v>
      </c>
      <c r="CF487" s="891">
        <f t="shared" si="769"/>
        <v>0</v>
      </c>
      <c r="CG487" s="891">
        <f t="shared" si="769"/>
        <v>0</v>
      </c>
      <c r="CH487" s="891">
        <f t="shared" si="769"/>
        <v>0</v>
      </c>
      <c r="CI487" s="891">
        <f t="shared" si="769"/>
        <v>0</v>
      </c>
    </row>
    <row r="488" spans="1:87" s="891" customFormat="1" x14ac:dyDescent="0.2">
      <c r="A488" s="890" t="s">
        <v>775</v>
      </c>
      <c r="B488" s="891">
        <f t="shared" si="737"/>
        <v>-10592</v>
      </c>
      <c r="C488" s="891">
        <f t="shared" ref="C488:AA488" si="770">+C76-C402</f>
        <v>-1205</v>
      </c>
      <c r="D488" s="891">
        <f t="shared" si="770"/>
        <v>358</v>
      </c>
      <c r="E488" s="891">
        <f t="shared" si="770"/>
        <v>-142</v>
      </c>
      <c r="F488" s="891">
        <f t="shared" si="770"/>
        <v>29</v>
      </c>
      <c r="G488" s="891">
        <f t="shared" si="770"/>
        <v>543</v>
      </c>
      <c r="H488" s="891">
        <f t="shared" si="770"/>
        <v>0</v>
      </c>
      <c r="I488" s="891">
        <f t="shared" si="770"/>
        <v>-1799</v>
      </c>
      <c r="J488" s="891">
        <f t="shared" si="770"/>
        <v>0</v>
      </c>
      <c r="K488" s="891">
        <f t="shared" si="770"/>
        <v>0</v>
      </c>
      <c r="L488" s="891">
        <f t="shared" si="770"/>
        <v>0</v>
      </c>
      <c r="M488" s="891">
        <f t="shared" si="770"/>
        <v>0</v>
      </c>
      <c r="N488" s="891">
        <f t="shared" si="770"/>
        <v>-490</v>
      </c>
      <c r="O488" s="891">
        <f t="shared" si="770"/>
        <v>-7990</v>
      </c>
      <c r="P488" s="891">
        <f t="shared" si="770"/>
        <v>12</v>
      </c>
      <c r="Q488" s="891">
        <f t="shared" si="770"/>
        <v>-138</v>
      </c>
      <c r="R488" s="891">
        <f t="shared" si="770"/>
        <v>3950</v>
      </c>
      <c r="S488" s="891">
        <f t="shared" si="770"/>
        <v>234</v>
      </c>
      <c r="T488" s="891">
        <f t="shared" si="770"/>
        <v>0</v>
      </c>
      <c r="U488" s="891">
        <f t="shared" si="770"/>
        <v>1</v>
      </c>
      <c r="V488" s="891">
        <f t="shared" si="770"/>
        <v>24</v>
      </c>
      <c r="W488" s="891">
        <f t="shared" si="770"/>
        <v>-247</v>
      </c>
      <c r="X488" s="891">
        <f t="shared" si="770"/>
        <v>0</v>
      </c>
      <c r="Y488" s="891">
        <f t="shared" si="770"/>
        <v>0</v>
      </c>
      <c r="Z488" s="891">
        <f t="shared" si="770"/>
        <v>0</v>
      </c>
      <c r="AA488" s="891">
        <f t="shared" si="770"/>
        <v>0</v>
      </c>
      <c r="AB488" s="891">
        <f t="shared" ref="AB488:AW488" si="771">+AB76-AB402</f>
        <v>0</v>
      </c>
      <c r="AC488" s="891">
        <f t="shared" si="771"/>
        <v>0</v>
      </c>
      <c r="AD488" s="891">
        <f t="shared" si="771"/>
        <v>42</v>
      </c>
      <c r="AE488" s="891">
        <f t="shared" si="771"/>
        <v>0</v>
      </c>
      <c r="AF488" s="891">
        <f t="shared" si="771"/>
        <v>-47</v>
      </c>
      <c r="AG488" s="891">
        <f t="shared" si="771"/>
        <v>0</v>
      </c>
      <c r="AH488" s="891">
        <f t="shared" si="771"/>
        <v>0</v>
      </c>
      <c r="AI488" s="891">
        <f t="shared" si="771"/>
        <v>0</v>
      </c>
      <c r="AJ488" s="891">
        <f t="shared" si="771"/>
        <v>0</v>
      </c>
      <c r="AK488" s="891">
        <f t="shared" si="771"/>
        <v>0</v>
      </c>
      <c r="AL488" s="891">
        <f t="shared" si="771"/>
        <v>0</v>
      </c>
      <c r="AM488" s="891">
        <f t="shared" si="771"/>
        <v>0</v>
      </c>
      <c r="AN488" s="891">
        <f t="shared" si="771"/>
        <v>0</v>
      </c>
      <c r="AO488" s="891">
        <f t="shared" si="771"/>
        <v>0</v>
      </c>
      <c r="AP488" s="891">
        <f t="shared" si="771"/>
        <v>0</v>
      </c>
      <c r="AR488" s="891">
        <f t="shared" si="771"/>
        <v>0</v>
      </c>
      <c r="AS488" s="891">
        <f t="shared" si="771"/>
        <v>0</v>
      </c>
      <c r="AT488" s="891">
        <f t="shared" si="771"/>
        <v>-7</v>
      </c>
      <c r="AU488" s="891">
        <f t="shared" si="771"/>
        <v>0</v>
      </c>
      <c r="AV488" s="891">
        <f t="shared" si="771"/>
        <v>0</v>
      </c>
      <c r="AW488" s="891">
        <f t="shared" si="771"/>
        <v>0</v>
      </c>
      <c r="AX488" s="891">
        <f t="shared" ref="AX488:BR488" si="772">+AX76-AX402</f>
        <v>0</v>
      </c>
      <c r="AY488" s="891">
        <f t="shared" si="772"/>
        <v>0</v>
      </c>
      <c r="AZ488" s="891">
        <f t="shared" si="772"/>
        <v>0</v>
      </c>
      <c r="BA488" s="891">
        <f t="shared" si="772"/>
        <v>0</v>
      </c>
      <c r="BB488" s="891">
        <f t="shared" si="772"/>
        <v>0</v>
      </c>
      <c r="BC488" s="891">
        <f t="shared" si="772"/>
        <v>0</v>
      </c>
      <c r="BD488" s="891">
        <f t="shared" si="772"/>
        <v>-194</v>
      </c>
      <c r="BE488" s="891">
        <f t="shared" si="772"/>
        <v>0</v>
      </c>
      <c r="BF488" s="891">
        <f t="shared" si="772"/>
        <v>12</v>
      </c>
      <c r="BG488" s="891">
        <f t="shared" si="772"/>
        <v>0</v>
      </c>
      <c r="BH488" s="891">
        <f t="shared" si="772"/>
        <v>-3724</v>
      </c>
      <c r="BI488" s="891">
        <f t="shared" si="772"/>
        <v>0</v>
      </c>
      <c r="BJ488" s="891">
        <f t="shared" si="772"/>
        <v>-4</v>
      </c>
      <c r="BK488" s="891">
        <f t="shared" si="772"/>
        <v>1</v>
      </c>
      <c r="BL488" s="891">
        <f t="shared" si="772"/>
        <v>0</v>
      </c>
      <c r="BM488" s="891">
        <f t="shared" si="772"/>
        <v>7</v>
      </c>
      <c r="BN488" s="891">
        <f t="shared" si="772"/>
        <v>0</v>
      </c>
      <c r="BO488" s="891">
        <f t="shared" si="772"/>
        <v>0</v>
      </c>
      <c r="BP488" s="891">
        <f t="shared" si="772"/>
        <v>62</v>
      </c>
      <c r="BQ488" s="891">
        <f t="shared" si="772"/>
        <v>-3541</v>
      </c>
      <c r="BR488" s="891">
        <f t="shared" si="772"/>
        <v>0</v>
      </c>
      <c r="BS488" s="891">
        <f t="shared" ref="BS488:CI488" si="773">+BS76-BS402</f>
        <v>0</v>
      </c>
      <c r="BT488" s="891">
        <f t="shared" si="773"/>
        <v>4766</v>
      </c>
      <c r="BU488" s="891">
        <f t="shared" si="773"/>
        <v>-133</v>
      </c>
      <c r="BV488" s="891">
        <f t="shared" si="773"/>
        <v>-41</v>
      </c>
      <c r="BW488" s="891">
        <f t="shared" si="773"/>
        <v>507</v>
      </c>
      <c r="BX488" s="891">
        <f t="shared" si="773"/>
        <v>-1421</v>
      </c>
      <c r="BY488" s="891">
        <f t="shared" si="773"/>
        <v>-17</v>
      </c>
      <c r="BZ488" s="891">
        <f t="shared" si="773"/>
        <v>0</v>
      </c>
      <c r="CA488" s="891">
        <f t="shared" si="773"/>
        <v>0</v>
      </c>
      <c r="CB488" s="891">
        <f t="shared" si="773"/>
        <v>0</v>
      </c>
      <c r="CC488" s="891">
        <f t="shared" si="773"/>
        <v>0</v>
      </c>
      <c r="CD488" s="891">
        <f t="shared" si="773"/>
        <v>0</v>
      </c>
      <c r="CE488" s="891">
        <f t="shared" si="773"/>
        <v>0</v>
      </c>
      <c r="CF488" s="891">
        <f t="shared" si="773"/>
        <v>0</v>
      </c>
      <c r="CG488" s="891">
        <f t="shared" si="773"/>
        <v>0</v>
      </c>
      <c r="CH488" s="891">
        <f t="shared" si="773"/>
        <v>0</v>
      </c>
      <c r="CI488" s="891">
        <f t="shared" si="773"/>
        <v>0</v>
      </c>
    </row>
    <row r="489" spans="1:87" s="891" customFormat="1" x14ac:dyDescent="0.2">
      <c r="A489" s="890" t="s">
        <v>776</v>
      </c>
      <c r="B489" s="891">
        <f t="shared" si="737"/>
        <v>-31135</v>
      </c>
      <c r="C489" s="891">
        <f t="shared" ref="C489:AA489" si="774">+C77-C403</f>
        <v>0</v>
      </c>
      <c r="D489" s="891">
        <f t="shared" si="774"/>
        <v>-28725</v>
      </c>
      <c r="E489" s="891">
        <f t="shared" si="774"/>
        <v>0</v>
      </c>
      <c r="F489" s="891">
        <f t="shared" si="774"/>
        <v>0</v>
      </c>
      <c r="G489" s="891">
        <f t="shared" si="774"/>
        <v>0</v>
      </c>
      <c r="H489" s="891">
        <f t="shared" si="774"/>
        <v>0</v>
      </c>
      <c r="I489" s="891">
        <f t="shared" si="774"/>
        <v>0</v>
      </c>
      <c r="J489" s="891">
        <f t="shared" si="774"/>
        <v>0</v>
      </c>
      <c r="K489" s="891">
        <f t="shared" si="774"/>
        <v>0</v>
      </c>
      <c r="L489" s="891">
        <f t="shared" si="774"/>
        <v>0</v>
      </c>
      <c r="M489" s="891">
        <f t="shared" si="774"/>
        <v>0</v>
      </c>
      <c r="N489" s="891">
        <f t="shared" si="774"/>
        <v>0</v>
      </c>
      <c r="O489" s="891">
        <f t="shared" si="774"/>
        <v>0</v>
      </c>
      <c r="P489" s="891">
        <f t="shared" si="774"/>
        <v>0</v>
      </c>
      <c r="Q489" s="891">
        <f t="shared" si="774"/>
        <v>0</v>
      </c>
      <c r="R489" s="891">
        <f t="shared" si="774"/>
        <v>0</v>
      </c>
      <c r="S489" s="891">
        <f t="shared" si="774"/>
        <v>0</v>
      </c>
      <c r="T489" s="891">
        <f t="shared" si="774"/>
        <v>0</v>
      </c>
      <c r="U489" s="891">
        <f t="shared" si="774"/>
        <v>0</v>
      </c>
      <c r="V489" s="891">
        <f t="shared" si="774"/>
        <v>0</v>
      </c>
      <c r="W489" s="891">
        <f t="shared" si="774"/>
        <v>0</v>
      </c>
      <c r="X489" s="891">
        <f t="shared" si="774"/>
        <v>0</v>
      </c>
      <c r="Y489" s="891">
        <f t="shared" si="774"/>
        <v>0</v>
      </c>
      <c r="Z489" s="891">
        <f t="shared" si="774"/>
        <v>0</v>
      </c>
      <c r="AA489" s="891">
        <f t="shared" si="774"/>
        <v>0</v>
      </c>
      <c r="AB489" s="891">
        <f t="shared" ref="AB489:AW489" si="775">+AB77-AB403</f>
        <v>0</v>
      </c>
      <c r="AC489" s="891">
        <f t="shared" si="775"/>
        <v>0</v>
      </c>
      <c r="AD489" s="891">
        <f t="shared" si="775"/>
        <v>0</v>
      </c>
      <c r="AE489" s="891">
        <f t="shared" si="775"/>
        <v>0</v>
      </c>
      <c r="AF489" s="891">
        <f t="shared" si="775"/>
        <v>0</v>
      </c>
      <c r="AG489" s="891">
        <f t="shared" si="775"/>
        <v>0</v>
      </c>
      <c r="AH489" s="891">
        <f t="shared" si="775"/>
        <v>0</v>
      </c>
      <c r="AI489" s="891">
        <f t="shared" si="775"/>
        <v>0</v>
      </c>
      <c r="AJ489" s="891">
        <f t="shared" si="775"/>
        <v>0</v>
      </c>
      <c r="AK489" s="891">
        <f t="shared" si="775"/>
        <v>-2410</v>
      </c>
      <c r="AL489" s="891">
        <f t="shared" si="775"/>
        <v>0</v>
      </c>
      <c r="AM489" s="891">
        <f t="shared" si="775"/>
        <v>0</v>
      </c>
      <c r="AN489" s="891">
        <f t="shared" si="775"/>
        <v>0</v>
      </c>
      <c r="AO489" s="891">
        <f t="shared" si="775"/>
        <v>0</v>
      </c>
      <c r="AP489" s="891">
        <f t="shared" si="775"/>
        <v>0</v>
      </c>
      <c r="AR489" s="891">
        <f t="shared" si="775"/>
        <v>0</v>
      </c>
      <c r="AS489" s="891">
        <f t="shared" si="775"/>
        <v>0</v>
      </c>
      <c r="AT489" s="891">
        <f t="shared" si="775"/>
        <v>0</v>
      </c>
      <c r="AU489" s="891">
        <f t="shared" si="775"/>
        <v>0</v>
      </c>
      <c r="AV489" s="891">
        <f t="shared" si="775"/>
        <v>0</v>
      </c>
      <c r="AW489" s="891">
        <f t="shared" si="775"/>
        <v>0</v>
      </c>
      <c r="AX489" s="891">
        <f t="shared" ref="AX489:BR489" si="776">+AX77-AX403</f>
        <v>0</v>
      </c>
      <c r="AY489" s="891">
        <f t="shared" si="776"/>
        <v>0</v>
      </c>
      <c r="AZ489" s="891">
        <f t="shared" si="776"/>
        <v>0</v>
      </c>
      <c r="BA489" s="891">
        <f t="shared" si="776"/>
        <v>0</v>
      </c>
      <c r="BB489" s="891">
        <f t="shared" si="776"/>
        <v>0</v>
      </c>
      <c r="BC489" s="891">
        <f t="shared" si="776"/>
        <v>0</v>
      </c>
      <c r="BD489" s="891">
        <f t="shared" si="776"/>
        <v>0</v>
      </c>
      <c r="BE489" s="891">
        <f t="shared" si="776"/>
        <v>0</v>
      </c>
      <c r="BF489" s="891">
        <f t="shared" si="776"/>
        <v>0</v>
      </c>
      <c r="BG489" s="891">
        <f t="shared" si="776"/>
        <v>0</v>
      </c>
      <c r="BH489" s="891">
        <f t="shared" si="776"/>
        <v>0</v>
      </c>
      <c r="BI489" s="891">
        <f t="shared" si="776"/>
        <v>0</v>
      </c>
      <c r="BJ489" s="891">
        <f t="shared" si="776"/>
        <v>0</v>
      </c>
      <c r="BK489" s="891">
        <f t="shared" si="776"/>
        <v>0</v>
      </c>
      <c r="BL489" s="891">
        <f t="shared" si="776"/>
        <v>0</v>
      </c>
      <c r="BM489" s="891">
        <f t="shared" si="776"/>
        <v>0</v>
      </c>
      <c r="BN489" s="891">
        <f t="shared" si="776"/>
        <v>0</v>
      </c>
      <c r="BO489" s="891">
        <f t="shared" si="776"/>
        <v>0</v>
      </c>
      <c r="BP489" s="891">
        <f t="shared" si="776"/>
        <v>0</v>
      </c>
      <c r="BQ489" s="891">
        <f t="shared" si="776"/>
        <v>0</v>
      </c>
      <c r="BR489" s="891">
        <f t="shared" si="776"/>
        <v>0</v>
      </c>
      <c r="BS489" s="891">
        <f t="shared" ref="BS489:CB489" si="777">+BS77-BS403</f>
        <v>0</v>
      </c>
      <c r="BT489" s="891">
        <f t="shared" si="777"/>
        <v>0</v>
      </c>
      <c r="BU489" s="891">
        <f t="shared" si="777"/>
        <v>0</v>
      </c>
      <c r="BV489" s="891">
        <f t="shared" si="777"/>
        <v>0</v>
      </c>
      <c r="BW489" s="891">
        <f t="shared" si="777"/>
        <v>0</v>
      </c>
      <c r="BX489" s="891">
        <f t="shared" si="777"/>
        <v>0</v>
      </c>
      <c r="BY489" s="891">
        <f t="shared" si="777"/>
        <v>0</v>
      </c>
      <c r="BZ489" s="891">
        <f t="shared" si="777"/>
        <v>0</v>
      </c>
      <c r="CA489" s="891">
        <f t="shared" si="777"/>
        <v>0</v>
      </c>
      <c r="CB489" s="891">
        <f t="shared" si="777"/>
        <v>0</v>
      </c>
    </row>
    <row r="490" spans="1:87" s="891" customFormat="1" x14ac:dyDescent="0.2">
      <c r="A490" s="890" t="s">
        <v>778</v>
      </c>
      <c r="B490" s="891">
        <f t="shared" si="737"/>
        <v>80049</v>
      </c>
      <c r="C490" s="891">
        <f t="shared" ref="C490:AA490" si="778">+C78-C404</f>
        <v>-85806</v>
      </c>
      <c r="D490" s="891">
        <f t="shared" si="778"/>
        <v>-3557</v>
      </c>
      <c r="E490" s="891">
        <f t="shared" si="778"/>
        <v>92700</v>
      </c>
      <c r="F490" s="891">
        <f t="shared" si="778"/>
        <v>5702</v>
      </c>
      <c r="G490" s="891">
        <f t="shared" si="778"/>
        <v>-1384</v>
      </c>
      <c r="H490" s="891">
        <f t="shared" si="778"/>
        <v>0</v>
      </c>
      <c r="I490" s="891">
        <f t="shared" si="778"/>
        <v>1</v>
      </c>
      <c r="J490" s="891">
        <f t="shared" si="778"/>
        <v>0</v>
      </c>
      <c r="K490" s="891">
        <f t="shared" si="778"/>
        <v>10359</v>
      </c>
      <c r="L490" s="891">
        <f t="shared" si="778"/>
        <v>0</v>
      </c>
      <c r="M490" s="891">
        <f t="shared" si="778"/>
        <v>0</v>
      </c>
      <c r="N490" s="891">
        <f t="shared" si="778"/>
        <v>1118</v>
      </c>
      <c r="O490" s="891">
        <f t="shared" si="778"/>
        <v>-14705</v>
      </c>
      <c r="P490" s="891">
        <f t="shared" si="778"/>
        <v>-52</v>
      </c>
      <c r="Q490" s="891">
        <f t="shared" si="778"/>
        <v>7598</v>
      </c>
      <c r="R490" s="891">
        <f t="shared" si="778"/>
        <v>-1168</v>
      </c>
      <c r="S490" s="891">
        <f t="shared" si="778"/>
        <v>-872</v>
      </c>
      <c r="T490" s="891">
        <f t="shared" si="778"/>
        <v>1058</v>
      </c>
      <c r="U490" s="891">
        <f t="shared" si="778"/>
        <v>6282</v>
      </c>
      <c r="V490" s="891">
        <f t="shared" si="778"/>
        <v>-233</v>
      </c>
      <c r="W490" s="891">
        <f t="shared" si="778"/>
        <v>1043</v>
      </c>
      <c r="X490" s="891">
        <f t="shared" si="778"/>
        <v>-7490</v>
      </c>
      <c r="Y490" s="891">
        <f t="shared" si="778"/>
        <v>0</v>
      </c>
      <c r="Z490" s="891">
        <f t="shared" si="778"/>
        <v>0</v>
      </c>
      <c r="AA490" s="891">
        <f t="shared" si="778"/>
        <v>0</v>
      </c>
      <c r="AB490" s="891">
        <f t="shared" ref="AB490:AW490" si="779">+AB78-AB404</f>
        <v>-388</v>
      </c>
      <c r="AC490" s="891">
        <f t="shared" si="779"/>
        <v>4832</v>
      </c>
      <c r="AD490" s="891">
        <f t="shared" si="779"/>
        <v>51947</v>
      </c>
      <c r="AE490" s="891">
        <f t="shared" si="779"/>
        <v>-92328</v>
      </c>
      <c r="AF490" s="891">
        <f t="shared" si="779"/>
        <v>53289</v>
      </c>
      <c r="AG490" s="891">
        <f t="shared" si="779"/>
        <v>0</v>
      </c>
      <c r="AH490" s="891">
        <f t="shared" si="779"/>
        <v>0</v>
      </c>
      <c r="AI490" s="891">
        <f t="shared" si="779"/>
        <v>0</v>
      </c>
      <c r="AJ490" s="891">
        <f t="shared" si="779"/>
        <v>0</v>
      </c>
      <c r="AK490" s="891">
        <f t="shared" si="779"/>
        <v>-3353</v>
      </c>
      <c r="AL490" s="891">
        <f t="shared" si="779"/>
        <v>1362</v>
      </c>
      <c r="AM490" s="891">
        <f t="shared" si="779"/>
        <v>-5624</v>
      </c>
      <c r="AN490" s="891">
        <f t="shared" si="779"/>
        <v>-9892</v>
      </c>
      <c r="AO490" s="891">
        <f t="shared" si="779"/>
        <v>1231</v>
      </c>
      <c r="AP490" s="891">
        <f t="shared" si="779"/>
        <v>39645</v>
      </c>
      <c r="AR490" s="891">
        <f t="shared" si="779"/>
        <v>25741</v>
      </c>
      <c r="AS490" s="891">
        <f t="shared" si="779"/>
        <v>0</v>
      </c>
      <c r="AT490" s="891">
        <f t="shared" si="779"/>
        <v>18356</v>
      </c>
      <c r="AU490" s="891">
        <f t="shared" si="779"/>
        <v>-153</v>
      </c>
      <c r="AV490" s="891">
        <f t="shared" si="779"/>
        <v>0</v>
      </c>
      <c r="AW490" s="891">
        <f t="shared" si="779"/>
        <v>-27583</v>
      </c>
      <c r="AX490" s="891">
        <f t="shared" ref="AX490:BR490" si="780">+AX78-AX404</f>
        <v>0</v>
      </c>
      <c r="AY490" s="891">
        <f t="shared" si="780"/>
        <v>0</v>
      </c>
      <c r="AZ490" s="891">
        <f t="shared" si="780"/>
        <v>0</v>
      </c>
      <c r="BA490" s="891">
        <f t="shared" si="780"/>
        <v>0</v>
      </c>
      <c r="BB490" s="891">
        <f t="shared" si="780"/>
        <v>0</v>
      </c>
      <c r="BC490" s="891">
        <f t="shared" si="780"/>
        <v>0</v>
      </c>
      <c r="BD490" s="891">
        <f t="shared" si="780"/>
        <v>-496</v>
      </c>
      <c r="BE490" s="891">
        <f t="shared" si="780"/>
        <v>0</v>
      </c>
      <c r="BF490" s="891">
        <f t="shared" si="780"/>
        <v>975</v>
      </c>
      <c r="BG490" s="891">
        <f t="shared" si="780"/>
        <v>0</v>
      </c>
      <c r="BH490" s="891">
        <f t="shared" si="780"/>
        <v>1660</v>
      </c>
      <c r="BI490" s="891">
        <f t="shared" si="780"/>
        <v>0</v>
      </c>
      <c r="BJ490" s="891">
        <f t="shared" si="780"/>
        <v>-4343</v>
      </c>
      <c r="BK490" s="891">
        <f t="shared" si="780"/>
        <v>-3371</v>
      </c>
      <c r="BL490" s="891">
        <f t="shared" si="780"/>
        <v>-57</v>
      </c>
      <c r="BM490" s="891">
        <f t="shared" si="780"/>
        <v>-200</v>
      </c>
      <c r="BN490" s="891">
        <f t="shared" si="780"/>
        <v>0</v>
      </c>
      <c r="BO490" s="891">
        <f t="shared" si="780"/>
        <v>0</v>
      </c>
      <c r="BP490" s="891">
        <f t="shared" si="780"/>
        <v>-103</v>
      </c>
      <c r="BQ490" s="891">
        <f t="shared" si="780"/>
        <v>1343</v>
      </c>
      <c r="BR490" s="891">
        <f t="shared" si="780"/>
        <v>207</v>
      </c>
      <c r="BS490" s="891">
        <f t="shared" ref="BS490:CB490" si="781">+BS78-BS404</f>
        <v>264</v>
      </c>
      <c r="BT490" s="891">
        <f t="shared" si="781"/>
        <v>86</v>
      </c>
      <c r="BU490" s="891">
        <f t="shared" si="781"/>
        <v>7005</v>
      </c>
      <c r="BV490" s="891">
        <f t="shared" si="781"/>
        <v>6173</v>
      </c>
      <c r="BW490" s="891">
        <f t="shared" si="781"/>
        <v>250</v>
      </c>
      <c r="BX490" s="891">
        <f t="shared" si="781"/>
        <v>3490</v>
      </c>
      <c r="BY490" s="891">
        <f t="shared" si="781"/>
        <v>-510</v>
      </c>
      <c r="BZ490" s="891">
        <f t="shared" si="781"/>
        <v>0</v>
      </c>
      <c r="CA490" s="891">
        <f t="shared" si="781"/>
        <v>0</v>
      </c>
      <c r="CB490" s="891">
        <f t="shared" si="781"/>
        <v>0</v>
      </c>
      <c r="CC490" s="891">
        <f t="shared" ref="CC490:CI490" si="782">+CC78-CC403</f>
        <v>0</v>
      </c>
      <c r="CD490" s="891">
        <f t="shared" si="782"/>
        <v>0</v>
      </c>
      <c r="CE490" s="891">
        <f t="shared" si="782"/>
        <v>0</v>
      </c>
      <c r="CF490" s="891">
        <f t="shared" si="782"/>
        <v>0</v>
      </c>
      <c r="CG490" s="891">
        <f t="shared" si="782"/>
        <v>0</v>
      </c>
      <c r="CH490" s="891">
        <f t="shared" si="782"/>
        <v>0</v>
      </c>
      <c r="CI490" s="891">
        <f t="shared" si="782"/>
        <v>0</v>
      </c>
    </row>
    <row r="491" spans="1:87" s="891" customFormat="1" x14ac:dyDescent="0.2">
      <c r="A491" s="892" t="s">
        <v>932</v>
      </c>
      <c r="B491" s="893">
        <f t="shared" ref="B491:AA491" si="783">SUM(B480:B490)</f>
        <v>167024</v>
      </c>
      <c r="C491" s="903">
        <f t="shared" si="783"/>
        <v>-20229</v>
      </c>
      <c r="D491" s="903">
        <f t="shared" si="783"/>
        <v>-14886</v>
      </c>
      <c r="E491" s="903">
        <f>SUM(E480:E490)</f>
        <v>92293</v>
      </c>
      <c r="F491" s="903">
        <f>SUM(F480:F490)</f>
        <v>5787</v>
      </c>
      <c r="G491" s="903">
        <f t="shared" si="783"/>
        <v>-799</v>
      </c>
      <c r="H491" s="903">
        <f t="shared" si="783"/>
        <v>138</v>
      </c>
      <c r="I491" s="903">
        <f t="shared" si="783"/>
        <v>-1554</v>
      </c>
      <c r="J491" s="903">
        <f t="shared" si="783"/>
        <v>0</v>
      </c>
      <c r="K491" s="903">
        <f t="shared" si="783"/>
        <v>10920</v>
      </c>
      <c r="L491" s="903">
        <f t="shared" si="783"/>
        <v>0</v>
      </c>
      <c r="M491" s="903">
        <f t="shared" si="783"/>
        <v>0</v>
      </c>
      <c r="N491" s="903">
        <f t="shared" si="783"/>
        <v>8790</v>
      </c>
      <c r="O491" s="903">
        <f t="shared" si="783"/>
        <v>-19318</v>
      </c>
      <c r="P491" s="903">
        <f t="shared" si="783"/>
        <v>917</v>
      </c>
      <c r="Q491" s="903">
        <f>SUM(Q480:Q490)</f>
        <v>7579</v>
      </c>
      <c r="R491" s="903">
        <f t="shared" si="783"/>
        <v>3922</v>
      </c>
      <c r="S491" s="903">
        <f>SUM(S480:S490)</f>
        <v>510</v>
      </c>
      <c r="T491" s="903">
        <f t="shared" si="783"/>
        <v>1030</v>
      </c>
      <c r="U491" s="903">
        <f>SUM(U480:U490)</f>
        <v>6254</v>
      </c>
      <c r="V491" s="903">
        <f>SUM(V480:V490)</f>
        <v>254</v>
      </c>
      <c r="W491" s="903">
        <f t="shared" si="783"/>
        <v>1835</v>
      </c>
      <c r="X491" s="903">
        <f>SUM(X480:X490)</f>
        <v>-5168</v>
      </c>
      <c r="Y491" s="903">
        <f t="shared" si="783"/>
        <v>0</v>
      </c>
      <c r="Z491" s="903">
        <f t="shared" si="783"/>
        <v>0</v>
      </c>
      <c r="AA491" s="903">
        <f t="shared" si="783"/>
        <v>0</v>
      </c>
      <c r="AB491" s="903">
        <f t="shared" ref="AB491:AW491" si="784">SUM(AB480:AB490)</f>
        <v>-341</v>
      </c>
      <c r="AC491" s="903">
        <f t="shared" si="784"/>
        <v>4990</v>
      </c>
      <c r="AD491" s="903">
        <f t="shared" si="784"/>
        <v>53148</v>
      </c>
      <c r="AE491" s="903">
        <f t="shared" si="784"/>
        <v>-81612</v>
      </c>
      <c r="AF491" s="903">
        <f t="shared" si="784"/>
        <v>53242</v>
      </c>
      <c r="AG491" s="903">
        <f t="shared" si="784"/>
        <v>0</v>
      </c>
      <c r="AH491" s="903">
        <f t="shared" si="784"/>
        <v>0</v>
      </c>
      <c r="AI491" s="903">
        <f t="shared" si="784"/>
        <v>0</v>
      </c>
      <c r="AJ491" s="903">
        <f t="shared" si="784"/>
        <v>0</v>
      </c>
      <c r="AK491" s="903">
        <f t="shared" si="784"/>
        <v>-5379</v>
      </c>
      <c r="AL491" s="903">
        <f t="shared" si="784"/>
        <v>1255</v>
      </c>
      <c r="AM491" s="903">
        <f t="shared" si="784"/>
        <v>-5689</v>
      </c>
      <c r="AN491" s="903">
        <f t="shared" si="784"/>
        <v>-9607</v>
      </c>
      <c r="AO491" s="903">
        <f t="shared" si="784"/>
        <v>1920</v>
      </c>
      <c r="AP491" s="903">
        <f t="shared" si="784"/>
        <v>39825</v>
      </c>
      <c r="AQ491" s="903"/>
      <c r="AR491" s="903">
        <f t="shared" si="784"/>
        <v>25741</v>
      </c>
      <c r="AS491" s="903">
        <f t="shared" si="784"/>
        <v>0</v>
      </c>
      <c r="AT491" s="903">
        <f t="shared" si="784"/>
        <v>18349</v>
      </c>
      <c r="AU491" s="903">
        <f t="shared" si="784"/>
        <v>-172</v>
      </c>
      <c r="AV491" s="903">
        <f t="shared" si="784"/>
        <v>0</v>
      </c>
      <c r="AW491" s="903">
        <f t="shared" si="784"/>
        <v>-26316</v>
      </c>
      <c r="AX491" s="903"/>
      <c r="AY491" s="903">
        <f t="shared" ref="AY491:CB491" si="785">SUM(AY480:AY490)</f>
        <v>8</v>
      </c>
      <c r="AZ491" s="903">
        <f t="shared" si="785"/>
        <v>134</v>
      </c>
      <c r="BA491" s="903">
        <f t="shared" si="785"/>
        <v>8</v>
      </c>
      <c r="BB491" s="903">
        <f t="shared" si="785"/>
        <v>12</v>
      </c>
      <c r="BC491" s="903"/>
      <c r="BD491" s="903">
        <f t="shared" si="785"/>
        <v>-690</v>
      </c>
      <c r="BE491" s="903">
        <f>SUM(BE480:BE490)</f>
        <v>-3</v>
      </c>
      <c r="BF491" s="903">
        <f>SUM(BF480:BF490)</f>
        <v>987</v>
      </c>
      <c r="BG491" s="903">
        <f>SUM(BG480:BG490)</f>
        <v>0</v>
      </c>
      <c r="BH491" s="903">
        <f t="shared" si="785"/>
        <v>-2064</v>
      </c>
      <c r="BI491" s="903">
        <f>SUM(BI480:BI490)</f>
        <v>0</v>
      </c>
      <c r="BJ491" s="903">
        <f t="shared" si="785"/>
        <v>-4277</v>
      </c>
      <c r="BK491" s="903">
        <f>SUM(BK480:BK490)</f>
        <v>-2805</v>
      </c>
      <c r="BL491" s="903">
        <f t="shared" si="785"/>
        <v>-51</v>
      </c>
      <c r="BM491" s="903">
        <f t="shared" si="785"/>
        <v>-196</v>
      </c>
      <c r="BN491" s="903"/>
      <c r="BO491" s="903">
        <f t="shared" si="785"/>
        <v>0</v>
      </c>
      <c r="BP491" s="903">
        <f>SUM(BP480:BP490)</f>
        <v>11</v>
      </c>
      <c r="BQ491" s="903"/>
      <c r="BR491" s="903"/>
      <c r="BS491" s="903"/>
      <c r="BT491" s="903">
        <f t="shared" si="785"/>
        <v>5742</v>
      </c>
      <c r="BU491" s="903">
        <f t="shared" si="785"/>
        <v>7940</v>
      </c>
      <c r="BV491" s="903">
        <f t="shared" si="785"/>
        <v>6917</v>
      </c>
      <c r="BW491" s="903">
        <f t="shared" si="785"/>
        <v>852</v>
      </c>
      <c r="BX491" s="903">
        <f t="shared" si="785"/>
        <v>5943</v>
      </c>
      <c r="BY491" s="903">
        <f t="shared" si="785"/>
        <v>-526</v>
      </c>
      <c r="BZ491" s="903">
        <f t="shared" si="785"/>
        <v>0</v>
      </c>
      <c r="CA491" s="903">
        <f t="shared" si="785"/>
        <v>0</v>
      </c>
      <c r="CB491" s="903">
        <f t="shared" si="785"/>
        <v>0</v>
      </c>
      <c r="CC491" s="897"/>
      <c r="CD491" s="903">
        <f t="shared" ref="CD491:CI491" si="786">SUM(CD480:CD490)</f>
        <v>0</v>
      </c>
      <c r="CE491" s="903">
        <f t="shared" si="786"/>
        <v>0</v>
      </c>
      <c r="CF491" s="903">
        <f t="shared" si="786"/>
        <v>0</v>
      </c>
      <c r="CG491" s="903">
        <f t="shared" si="786"/>
        <v>0</v>
      </c>
      <c r="CH491" s="903">
        <f t="shared" si="786"/>
        <v>0</v>
      </c>
      <c r="CI491" s="903">
        <f t="shared" si="786"/>
        <v>0</v>
      </c>
    </row>
    <row r="492" spans="1:87" s="891" customFormat="1" x14ac:dyDescent="0.2">
      <c r="A492" s="896"/>
      <c r="CC492" s="897"/>
    </row>
    <row r="493" spans="1:87" s="891" customFormat="1" x14ac:dyDescent="0.2">
      <c r="A493" s="898" t="s">
        <v>833</v>
      </c>
      <c r="B493" s="897">
        <f t="shared" ref="B493:AA493" si="787">-B431+B446+B461+B476+B491</f>
        <v>79154</v>
      </c>
      <c r="C493" s="897">
        <f t="shared" si="787"/>
        <v>-89165</v>
      </c>
      <c r="D493" s="897">
        <f t="shared" si="787"/>
        <v>-23152</v>
      </c>
      <c r="E493" s="897">
        <f t="shared" si="787"/>
        <v>112193</v>
      </c>
      <c r="F493" s="897">
        <f t="shared" si="787"/>
        <v>522</v>
      </c>
      <c r="G493" s="897">
        <f t="shared" si="787"/>
        <v>-187</v>
      </c>
      <c r="H493" s="897">
        <f t="shared" si="787"/>
        <v>-379</v>
      </c>
      <c r="I493" s="897">
        <f t="shared" si="787"/>
        <v>676</v>
      </c>
      <c r="J493" s="897">
        <f t="shared" si="787"/>
        <v>0</v>
      </c>
      <c r="K493" s="897">
        <f t="shared" si="787"/>
        <v>9916</v>
      </c>
      <c r="L493" s="897">
        <f t="shared" si="787"/>
        <v>0</v>
      </c>
      <c r="M493" s="897">
        <f t="shared" si="787"/>
        <v>0</v>
      </c>
      <c r="N493" s="897">
        <f t="shared" si="787"/>
        <v>-11244</v>
      </c>
      <c r="O493" s="897">
        <f t="shared" si="787"/>
        <v>-13972</v>
      </c>
      <c r="P493" s="897">
        <f t="shared" si="787"/>
        <v>940</v>
      </c>
      <c r="Q493" s="897">
        <f t="shared" si="787"/>
        <v>7597</v>
      </c>
      <c r="R493" s="897">
        <f t="shared" si="787"/>
        <v>0</v>
      </c>
      <c r="S493" s="897">
        <f t="shared" si="787"/>
        <v>0</v>
      </c>
      <c r="T493" s="897">
        <f t="shared" si="787"/>
        <v>1069</v>
      </c>
      <c r="U493" s="897">
        <f t="shared" si="787"/>
        <v>5617</v>
      </c>
      <c r="V493" s="897">
        <f t="shared" si="787"/>
        <v>-771</v>
      </c>
      <c r="W493" s="897">
        <f t="shared" si="787"/>
        <v>318</v>
      </c>
      <c r="X493" s="897">
        <f t="shared" si="787"/>
        <v>-5903</v>
      </c>
      <c r="Y493" s="897">
        <f t="shared" si="787"/>
        <v>0</v>
      </c>
      <c r="Z493" s="897">
        <f t="shared" si="787"/>
        <v>0</v>
      </c>
      <c r="AA493" s="897">
        <f t="shared" si="787"/>
        <v>0</v>
      </c>
      <c r="AB493" s="897">
        <f t="shared" ref="AB493:AW493" si="788">-AB431+AB446+AB461+AB476+AB491</f>
        <v>-341</v>
      </c>
      <c r="AC493" s="897">
        <f t="shared" si="788"/>
        <v>4755</v>
      </c>
      <c r="AD493" s="897">
        <f t="shared" si="788"/>
        <v>44239</v>
      </c>
      <c r="AE493" s="897">
        <f t="shared" si="788"/>
        <v>-79100</v>
      </c>
      <c r="AF493" s="897">
        <f t="shared" si="788"/>
        <v>-1208</v>
      </c>
      <c r="AG493" s="897">
        <f t="shared" si="788"/>
        <v>0</v>
      </c>
      <c r="AH493" s="897">
        <f t="shared" si="788"/>
        <v>0</v>
      </c>
      <c r="AI493" s="897">
        <f t="shared" si="788"/>
        <v>0</v>
      </c>
      <c r="AJ493" s="897">
        <f t="shared" si="788"/>
        <v>0</v>
      </c>
      <c r="AK493" s="897">
        <f t="shared" si="788"/>
        <v>-5281</v>
      </c>
      <c r="AL493" s="897">
        <f t="shared" si="788"/>
        <v>1228</v>
      </c>
      <c r="AM493" s="897">
        <f t="shared" si="788"/>
        <v>-5807</v>
      </c>
      <c r="AN493" s="897">
        <f t="shared" si="788"/>
        <v>-9918</v>
      </c>
      <c r="AO493" s="897">
        <f t="shared" si="788"/>
        <v>1289</v>
      </c>
      <c r="AP493" s="897">
        <f t="shared" si="788"/>
        <v>40037</v>
      </c>
      <c r="AQ493" s="897"/>
      <c r="AR493" s="897">
        <f t="shared" si="788"/>
        <v>-4215</v>
      </c>
      <c r="AS493" s="897">
        <f t="shared" si="788"/>
        <v>0</v>
      </c>
      <c r="AT493" s="897">
        <f t="shared" si="788"/>
        <v>-3144</v>
      </c>
      <c r="AU493" s="897">
        <f t="shared" si="788"/>
        <v>66</v>
      </c>
      <c r="AV493" s="897">
        <f t="shared" si="788"/>
        <v>0</v>
      </c>
      <c r="AW493" s="897">
        <f t="shared" si="788"/>
        <v>-27775</v>
      </c>
      <c r="AX493" s="897"/>
      <c r="AY493" s="897">
        <f>-AY431+AY446+AY461+AY476+AY491</f>
        <v>2</v>
      </c>
      <c r="AZ493" s="897">
        <f>-AZ431+AZ446+AZ461+AZ476+AZ491</f>
        <v>-144</v>
      </c>
      <c r="BA493" s="897">
        <f>-BA431+BA446+BA461+BA476+BA491</f>
        <v>0</v>
      </c>
      <c r="BB493" s="897">
        <f>-BB431+BB446+BB461+BB476+BB491</f>
        <v>-4</v>
      </c>
      <c r="BC493" s="897"/>
      <c r="BD493" s="897">
        <f>-BD431+BD446+BD461+BD476+BD491</f>
        <v>152</v>
      </c>
      <c r="BE493" s="897"/>
      <c r="BF493" s="897">
        <f t="shared" ref="BF493:BM493" si="789">-BF431+BF446+BF461+BF476+BF491</f>
        <v>37</v>
      </c>
      <c r="BG493" s="897">
        <f t="shared" si="789"/>
        <v>0</v>
      </c>
      <c r="BH493" s="897">
        <f t="shared" si="789"/>
        <v>-2002</v>
      </c>
      <c r="BI493" s="897">
        <f t="shared" si="789"/>
        <v>0</v>
      </c>
      <c r="BJ493" s="897">
        <f t="shared" si="789"/>
        <v>-5731</v>
      </c>
      <c r="BK493" s="897">
        <f t="shared" si="789"/>
        <v>-3502</v>
      </c>
      <c r="BL493" s="897">
        <f t="shared" si="789"/>
        <v>-19</v>
      </c>
      <c r="BM493" s="897">
        <f t="shared" si="789"/>
        <v>-260</v>
      </c>
      <c r="BN493" s="897"/>
      <c r="BO493" s="897">
        <f>-BO431+BO446+BO461+BO476+BO491</f>
        <v>0</v>
      </c>
      <c r="BP493" s="897">
        <f>-BP431+BP446+BP461+BP476+BP491</f>
        <v>-252</v>
      </c>
      <c r="BQ493" s="897"/>
      <c r="BR493" s="897"/>
      <c r="BS493" s="897"/>
      <c r="BT493" s="897">
        <f t="shared" ref="BT493:CB493" si="790">-BT431+BT446+BT461+BT476+BT491</f>
        <v>10268</v>
      </c>
      <c r="BU493" s="897">
        <f t="shared" si="790"/>
        <v>2846</v>
      </c>
      <c r="BV493" s="897">
        <f t="shared" si="790"/>
        <v>15187</v>
      </c>
      <c r="BW493" s="897">
        <f t="shared" si="790"/>
        <v>-3990</v>
      </c>
      <c r="BX493" s="897">
        <f t="shared" si="790"/>
        <v>3252</v>
      </c>
      <c r="BY493" s="897">
        <f t="shared" si="790"/>
        <v>2470</v>
      </c>
      <c r="BZ493" s="897">
        <f t="shared" si="790"/>
        <v>52668</v>
      </c>
      <c r="CA493" s="897">
        <f t="shared" si="790"/>
        <v>81573</v>
      </c>
      <c r="CB493" s="897">
        <f t="shared" si="790"/>
        <v>0</v>
      </c>
      <c r="CC493" s="897"/>
      <c r="CD493" s="897">
        <f t="shared" ref="CD493:CI493" si="791">-CD431+CD446+CD461+CD476+CD491</f>
        <v>0</v>
      </c>
      <c r="CE493" s="897">
        <f t="shared" si="791"/>
        <v>0</v>
      </c>
      <c r="CF493" s="897">
        <f t="shared" si="791"/>
        <v>0</v>
      </c>
      <c r="CG493" s="897">
        <f t="shared" si="791"/>
        <v>0</v>
      </c>
      <c r="CH493" s="897">
        <f t="shared" si="791"/>
        <v>0</v>
      </c>
      <c r="CI493" s="897">
        <f t="shared" si="791"/>
        <v>0</v>
      </c>
    </row>
    <row r="494" spans="1:87" s="891" customFormat="1" x14ac:dyDescent="0.2">
      <c r="A494" s="898"/>
      <c r="CC494" s="897"/>
    </row>
    <row r="495" spans="1:87" s="891" customFormat="1" x14ac:dyDescent="0.2">
      <c r="A495" s="898" t="s">
        <v>933</v>
      </c>
      <c r="B495" s="904">
        <f>SUM(C495:CB495)</f>
        <v>213568</v>
      </c>
      <c r="C495" s="904">
        <v>231205</v>
      </c>
      <c r="D495" s="904">
        <v>721113</v>
      </c>
      <c r="E495" s="904">
        <v>52249</v>
      </c>
      <c r="F495" s="904">
        <v>52249</v>
      </c>
      <c r="G495" s="904">
        <v>18301</v>
      </c>
      <c r="H495" s="904">
        <f>3888+176</f>
        <v>4064</v>
      </c>
      <c r="I495" s="904">
        <v>9</v>
      </c>
      <c r="J495" s="904">
        <v>-26446</v>
      </c>
      <c r="K495" s="904">
        <v>11706</v>
      </c>
      <c r="L495" s="904"/>
      <c r="M495" s="904">
        <v>4749</v>
      </c>
      <c r="N495" s="904">
        <f>26920+7-449</f>
        <v>26478</v>
      </c>
      <c r="O495" s="904">
        <v>55578</v>
      </c>
      <c r="P495" s="904">
        <v>18080</v>
      </c>
      <c r="Q495" s="904">
        <v>37122</v>
      </c>
      <c r="R495" s="904">
        <v>2036</v>
      </c>
      <c r="S495" s="904"/>
      <c r="T495" s="904">
        <v>-6986</v>
      </c>
      <c r="U495" s="904">
        <v>36886</v>
      </c>
      <c r="V495" s="904">
        <v>11617</v>
      </c>
      <c r="W495" s="904">
        <v>37226</v>
      </c>
      <c r="X495" s="904">
        <v>7077</v>
      </c>
      <c r="Y495" s="904">
        <v>19566</v>
      </c>
      <c r="Z495" s="904">
        <v>-55259</v>
      </c>
      <c r="AA495" s="904">
        <v>-84408</v>
      </c>
      <c r="AB495" s="904">
        <v>-84407</v>
      </c>
      <c r="AC495" s="904">
        <v>-84406</v>
      </c>
      <c r="AD495" s="904">
        <v>-84405</v>
      </c>
      <c r="AE495" s="904">
        <v>-84404</v>
      </c>
      <c r="AF495" s="904">
        <v>-84403</v>
      </c>
      <c r="AG495" s="904">
        <v>-84402</v>
      </c>
      <c r="AH495" s="904">
        <v>-84401</v>
      </c>
      <c r="AI495" s="904">
        <v>-84400</v>
      </c>
      <c r="AJ495" s="904">
        <v>-84399</v>
      </c>
      <c r="AK495" s="904">
        <v>-84398</v>
      </c>
      <c r="AL495" s="904">
        <v>-84397</v>
      </c>
      <c r="AM495" s="904">
        <v>-84396</v>
      </c>
      <c r="AN495" s="904">
        <v>-84395</v>
      </c>
      <c r="AO495" s="904">
        <v>-84394</v>
      </c>
      <c r="AP495" s="904">
        <v>-84393</v>
      </c>
      <c r="AQ495" s="904"/>
      <c r="AR495" s="904">
        <v>-84392</v>
      </c>
      <c r="AS495" s="904">
        <v>-84391</v>
      </c>
      <c r="AT495" s="904">
        <v>-84390</v>
      </c>
      <c r="AU495" s="904">
        <v>-84389</v>
      </c>
      <c r="AV495" s="904">
        <v>-84388</v>
      </c>
      <c r="AW495" s="904">
        <v>-84387</v>
      </c>
      <c r="AX495" s="904"/>
      <c r="AY495" s="904">
        <v>396</v>
      </c>
      <c r="AZ495" s="904">
        <v>2297</v>
      </c>
      <c r="BA495" s="904">
        <v>322</v>
      </c>
      <c r="BB495" s="904">
        <v>514</v>
      </c>
      <c r="BC495" s="904"/>
      <c r="BD495" s="904">
        <v>-179717</v>
      </c>
      <c r="BE495" s="904">
        <v>68</v>
      </c>
      <c r="BF495" s="904">
        <v>0</v>
      </c>
      <c r="BG495" s="904">
        <v>12</v>
      </c>
      <c r="BH495" s="904">
        <v>29</v>
      </c>
      <c r="BI495" s="904">
        <v>9</v>
      </c>
      <c r="BJ495" s="904">
        <v>3330</v>
      </c>
      <c r="BK495" s="904">
        <v>5124</v>
      </c>
      <c r="BL495" s="904">
        <v>-22684</v>
      </c>
      <c r="BM495" s="904">
        <v>0</v>
      </c>
      <c r="BN495" s="904"/>
      <c r="BO495" s="904">
        <v>0</v>
      </c>
      <c r="BP495" s="904">
        <v>0</v>
      </c>
      <c r="BQ495" s="904"/>
      <c r="BR495" s="904"/>
      <c r="BS495" s="904"/>
      <c r="BT495" s="904">
        <v>19125</v>
      </c>
      <c r="BU495" s="904">
        <v>6405</v>
      </c>
      <c r="BV495" s="904">
        <v>3276</v>
      </c>
      <c r="BW495" s="904">
        <v>3232</v>
      </c>
      <c r="BX495" s="904">
        <v>84197</v>
      </c>
      <c r="BY495" s="904">
        <v>96</v>
      </c>
      <c r="BZ495" s="904">
        <f>-1207950+3388</f>
        <v>-1204562</v>
      </c>
      <c r="CA495" s="904">
        <f>2092511-2853</f>
        <v>2089658</v>
      </c>
      <c r="CB495" s="904">
        <v>566</v>
      </c>
      <c r="CC495" s="897"/>
      <c r="CD495" s="904">
        <f>SUM(CE495:CI495)</f>
        <v>351983</v>
      </c>
      <c r="CE495" s="904">
        <v>315126</v>
      </c>
      <c r="CF495" s="904">
        <v>26046</v>
      </c>
      <c r="CG495" s="904">
        <v>10720</v>
      </c>
      <c r="CH495" s="904">
        <v>-3305</v>
      </c>
      <c r="CI495" s="904">
        <v>3396</v>
      </c>
    </row>
    <row r="496" spans="1:87" s="891" customFormat="1" x14ac:dyDescent="0.2">
      <c r="A496" s="898"/>
      <c r="CC496" s="897"/>
    </row>
    <row r="497" spans="1:87" s="891" customFormat="1" ht="13.5" thickBot="1" x14ac:dyDescent="0.25">
      <c r="A497" s="898" t="s">
        <v>834</v>
      </c>
      <c r="B497" s="905">
        <f t="shared" ref="B497:AA497" si="792">+B493+B495</f>
        <v>292722</v>
      </c>
      <c r="C497" s="905">
        <f t="shared" si="792"/>
        <v>142040</v>
      </c>
      <c r="D497" s="905">
        <f t="shared" si="792"/>
        <v>697961</v>
      </c>
      <c r="E497" s="905">
        <f>+E493+E495</f>
        <v>164442</v>
      </c>
      <c r="F497" s="905">
        <f>+F493+F495</f>
        <v>52771</v>
      </c>
      <c r="G497" s="905">
        <f t="shared" si="792"/>
        <v>18114</v>
      </c>
      <c r="H497" s="905">
        <f t="shared" si="792"/>
        <v>3685</v>
      </c>
      <c r="I497" s="905">
        <f t="shared" si="792"/>
        <v>685</v>
      </c>
      <c r="J497" s="905">
        <f t="shared" si="792"/>
        <v>-26446</v>
      </c>
      <c r="K497" s="905">
        <f t="shared" si="792"/>
        <v>21622</v>
      </c>
      <c r="L497" s="905">
        <f t="shared" si="792"/>
        <v>0</v>
      </c>
      <c r="M497" s="905">
        <f t="shared" si="792"/>
        <v>4749</v>
      </c>
      <c r="N497" s="905">
        <f t="shared" si="792"/>
        <v>15234</v>
      </c>
      <c r="O497" s="905">
        <f t="shared" si="792"/>
        <v>41606</v>
      </c>
      <c r="P497" s="905">
        <f t="shared" si="792"/>
        <v>19020</v>
      </c>
      <c r="Q497" s="905">
        <f>+Q493+Q495</f>
        <v>44719</v>
      </c>
      <c r="R497" s="905">
        <f t="shared" si="792"/>
        <v>2036</v>
      </c>
      <c r="S497" s="905">
        <f>+S493+S495</f>
        <v>0</v>
      </c>
      <c r="T497" s="905">
        <f t="shared" si="792"/>
        <v>-5917</v>
      </c>
      <c r="U497" s="905">
        <f>+U493+U495</f>
        <v>42503</v>
      </c>
      <c r="V497" s="905">
        <f>+V493+V495</f>
        <v>10846</v>
      </c>
      <c r="W497" s="905">
        <f t="shared" si="792"/>
        <v>37544</v>
      </c>
      <c r="X497" s="905">
        <f>+X493+X495</f>
        <v>1174</v>
      </c>
      <c r="Y497" s="905">
        <f t="shared" si="792"/>
        <v>19566</v>
      </c>
      <c r="Z497" s="905">
        <f t="shared" si="792"/>
        <v>-55259</v>
      </c>
      <c r="AA497" s="905">
        <f t="shared" si="792"/>
        <v>-84408</v>
      </c>
      <c r="AB497" s="905">
        <f t="shared" ref="AB497:AW497" si="793">+AB493+AB495</f>
        <v>-84748</v>
      </c>
      <c r="AC497" s="905">
        <f t="shared" si="793"/>
        <v>-79651</v>
      </c>
      <c r="AD497" s="905">
        <f t="shared" si="793"/>
        <v>-40166</v>
      </c>
      <c r="AE497" s="905">
        <f t="shared" si="793"/>
        <v>-163504</v>
      </c>
      <c r="AF497" s="905">
        <f t="shared" si="793"/>
        <v>-85611</v>
      </c>
      <c r="AG497" s="905">
        <f t="shared" si="793"/>
        <v>-84402</v>
      </c>
      <c r="AH497" s="905">
        <f t="shared" si="793"/>
        <v>-84401</v>
      </c>
      <c r="AI497" s="905">
        <f t="shared" si="793"/>
        <v>-84400</v>
      </c>
      <c r="AJ497" s="905">
        <f t="shared" si="793"/>
        <v>-84399</v>
      </c>
      <c r="AK497" s="905">
        <f t="shared" si="793"/>
        <v>-89679</v>
      </c>
      <c r="AL497" s="905">
        <f t="shared" si="793"/>
        <v>-83169</v>
      </c>
      <c r="AM497" s="905">
        <f t="shared" si="793"/>
        <v>-90203</v>
      </c>
      <c r="AN497" s="905">
        <f t="shared" si="793"/>
        <v>-94313</v>
      </c>
      <c r="AO497" s="905">
        <f t="shared" si="793"/>
        <v>-83105</v>
      </c>
      <c r="AP497" s="905">
        <f t="shared" si="793"/>
        <v>-44356</v>
      </c>
      <c r="AQ497" s="905"/>
      <c r="AR497" s="905">
        <f t="shared" si="793"/>
        <v>-88607</v>
      </c>
      <c r="AS497" s="905">
        <f t="shared" si="793"/>
        <v>-84391</v>
      </c>
      <c r="AT497" s="905">
        <f t="shared" si="793"/>
        <v>-87534</v>
      </c>
      <c r="AU497" s="905">
        <f t="shared" si="793"/>
        <v>-84323</v>
      </c>
      <c r="AV497" s="905">
        <f t="shared" si="793"/>
        <v>-84388</v>
      </c>
      <c r="AW497" s="905">
        <f t="shared" si="793"/>
        <v>-112162</v>
      </c>
      <c r="AX497" s="905">
        <f t="shared" ref="AX497:CB497" si="794">+AX493+AX495</f>
        <v>0</v>
      </c>
      <c r="AY497" s="905">
        <f t="shared" si="794"/>
        <v>398</v>
      </c>
      <c r="AZ497" s="905">
        <f t="shared" si="794"/>
        <v>2153</v>
      </c>
      <c r="BA497" s="905">
        <f t="shared" si="794"/>
        <v>322</v>
      </c>
      <c r="BB497" s="905">
        <f t="shared" si="794"/>
        <v>510</v>
      </c>
      <c r="BC497" s="905"/>
      <c r="BD497" s="905">
        <f t="shared" si="794"/>
        <v>-179565</v>
      </c>
      <c r="BE497" s="905">
        <f>+BE493+BE495</f>
        <v>68</v>
      </c>
      <c r="BF497" s="905">
        <f>+BF493+BF495</f>
        <v>37</v>
      </c>
      <c r="BG497" s="905">
        <f>+BG493+BG495</f>
        <v>12</v>
      </c>
      <c r="BH497" s="905">
        <f t="shared" si="794"/>
        <v>-1973</v>
      </c>
      <c r="BI497" s="905">
        <f>+BI493+BI495</f>
        <v>9</v>
      </c>
      <c r="BJ497" s="905">
        <f t="shared" si="794"/>
        <v>-2401</v>
      </c>
      <c r="BK497" s="905">
        <f>+BK493+BK495</f>
        <v>1622</v>
      </c>
      <c r="BL497" s="905">
        <f t="shared" si="794"/>
        <v>-22703</v>
      </c>
      <c r="BM497" s="905">
        <f t="shared" si="794"/>
        <v>-260</v>
      </c>
      <c r="BN497" s="905"/>
      <c r="BO497" s="905">
        <f t="shared" si="794"/>
        <v>0</v>
      </c>
      <c r="BP497" s="905">
        <f>+BP493+BP495</f>
        <v>-252</v>
      </c>
      <c r="BQ497" s="905"/>
      <c r="BR497" s="905"/>
      <c r="BS497" s="905"/>
      <c r="BT497" s="905">
        <f t="shared" si="794"/>
        <v>29393</v>
      </c>
      <c r="BU497" s="905">
        <f t="shared" si="794"/>
        <v>9251</v>
      </c>
      <c r="BV497" s="905">
        <f t="shared" si="794"/>
        <v>18463</v>
      </c>
      <c r="BW497" s="905">
        <f t="shared" si="794"/>
        <v>-758</v>
      </c>
      <c r="BX497" s="905">
        <f t="shared" si="794"/>
        <v>87449</v>
      </c>
      <c r="BY497" s="905">
        <f t="shared" si="794"/>
        <v>2566</v>
      </c>
      <c r="BZ497" s="905">
        <f t="shared" si="794"/>
        <v>-1151894</v>
      </c>
      <c r="CA497" s="905">
        <f t="shared" si="794"/>
        <v>2171231</v>
      </c>
      <c r="CB497" s="905">
        <f t="shared" si="794"/>
        <v>566</v>
      </c>
      <c r="CC497" s="897"/>
      <c r="CD497" s="905">
        <f t="shared" ref="CD497:CI497" si="795">+CD493+CD495</f>
        <v>351983</v>
      </c>
      <c r="CE497" s="905">
        <f t="shared" si="795"/>
        <v>315126</v>
      </c>
      <c r="CF497" s="905">
        <f t="shared" si="795"/>
        <v>26046</v>
      </c>
      <c r="CG497" s="905">
        <f t="shared" si="795"/>
        <v>10720</v>
      </c>
      <c r="CH497" s="905">
        <f t="shared" si="795"/>
        <v>-3305</v>
      </c>
      <c r="CI497" s="905">
        <f t="shared" si="795"/>
        <v>3396</v>
      </c>
    </row>
    <row r="498" spans="1:87" ht="13.5" thickTop="1" x14ac:dyDescent="0.2"/>
  </sheetData>
  <phoneticPr fontId="9" type="noConversion"/>
  <pageMargins left="0.5" right="0.5" top="0.5" bottom="0.5" header="0.5" footer="0.5"/>
  <pageSetup paperSize="17" scale="59" fitToWidth="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7" tint="0.39997558519241921"/>
    <pageSetUpPr fitToPage="1"/>
  </sheetPr>
  <dimension ref="A1:CJ78"/>
  <sheetViews>
    <sheetView zoomScaleNormal="100" zoomScaleSheetLayoutView="100" workbookViewId="0">
      <pane xSplit="2" ySplit="1" topLeftCell="C14" activePane="bottomRight" state="frozen"/>
      <selection activeCell="BT109" sqref="BT109:BV113"/>
      <selection pane="topRight" activeCell="BT109" sqref="BT109:BV113"/>
      <selection pane="bottomLeft" activeCell="BT109" sqref="BT109:BV113"/>
      <selection pane="bottomRight" activeCell="F43" sqref="F43"/>
    </sheetView>
  </sheetViews>
  <sheetFormatPr defaultColWidth="9.140625" defaultRowHeight="12.75" x14ac:dyDescent="0.2"/>
  <cols>
    <col min="1" max="1" width="37" style="211" customWidth="1"/>
    <col min="2" max="2" width="13.85546875" style="211" bestFit="1" customWidth="1"/>
    <col min="3" max="11" width="13.42578125" style="211" customWidth="1"/>
    <col min="12" max="13" width="13.42578125" style="211" hidden="1" customWidth="1"/>
    <col min="14" max="32" width="13.42578125" style="211" customWidth="1"/>
    <col min="33" max="36" width="13.42578125" style="211" hidden="1" customWidth="1"/>
    <col min="37" max="55" width="13.42578125" style="211" customWidth="1"/>
    <col min="56" max="56" width="13.85546875" style="211" bestFit="1" customWidth="1"/>
    <col min="57" max="71" width="13.42578125" style="211" customWidth="1"/>
    <col min="72" max="72" width="1.140625" style="197" customWidth="1"/>
    <col min="73" max="73" width="13.42578125" style="196" customWidth="1"/>
    <col min="74" max="16384" width="9.140625" style="211"/>
  </cols>
  <sheetData>
    <row r="1" spans="1:73" s="192" customFormat="1" ht="51.75" thickBot="1" x14ac:dyDescent="0.25">
      <c r="A1" s="1434" t="s">
        <v>1590</v>
      </c>
      <c r="B1" s="236" t="s">
        <v>141</v>
      </c>
      <c r="C1" s="236" t="s">
        <v>120</v>
      </c>
      <c r="D1" s="237" t="s">
        <v>876</v>
      </c>
      <c r="E1" s="238" t="s">
        <v>1609</v>
      </c>
      <c r="F1" s="238" t="s">
        <v>877</v>
      </c>
      <c r="G1" s="238" t="s">
        <v>879</v>
      </c>
      <c r="H1" s="238" t="s">
        <v>126</v>
      </c>
      <c r="I1" s="238" t="s">
        <v>127</v>
      </c>
      <c r="J1" s="238" t="s">
        <v>880</v>
      </c>
      <c r="K1" s="240" t="s">
        <v>132</v>
      </c>
      <c r="L1" s="240" t="s">
        <v>881</v>
      </c>
      <c r="M1" s="240" t="s">
        <v>125</v>
      </c>
      <c r="N1" s="240" t="s">
        <v>882</v>
      </c>
      <c r="O1" s="240" t="s">
        <v>883</v>
      </c>
      <c r="P1" s="240" t="s">
        <v>885</v>
      </c>
      <c r="Q1" s="240" t="s">
        <v>123</v>
      </c>
      <c r="R1" s="240" t="s">
        <v>1190</v>
      </c>
      <c r="S1" s="240" t="s">
        <v>1501</v>
      </c>
      <c r="T1" s="240" t="s">
        <v>1201</v>
      </c>
      <c r="U1" s="240" t="s">
        <v>1030</v>
      </c>
      <c r="V1" s="552" t="s">
        <v>914</v>
      </c>
      <c r="W1" s="240" t="s">
        <v>858</v>
      </c>
      <c r="X1" s="240" t="s">
        <v>134</v>
      </c>
      <c r="Y1" s="239" t="s">
        <v>905</v>
      </c>
      <c r="Z1" s="239" t="s">
        <v>906</v>
      </c>
      <c r="AA1" s="1209" t="s">
        <v>1323</v>
      </c>
      <c r="AB1" s="1209" t="s">
        <v>1625</v>
      </c>
      <c r="AC1" s="239" t="s">
        <v>1042</v>
      </c>
      <c r="AD1" s="239" t="s">
        <v>1312</v>
      </c>
      <c r="AE1" s="239" t="s">
        <v>1568</v>
      </c>
      <c r="AF1" s="239" t="s">
        <v>908</v>
      </c>
      <c r="AG1" s="1209" t="s">
        <v>1431</v>
      </c>
      <c r="AH1" s="1209" t="s">
        <v>1456</v>
      </c>
      <c r="AI1" s="239" t="s">
        <v>1572</v>
      </c>
      <c r="AJ1" s="1209" t="s">
        <v>1622</v>
      </c>
      <c r="AK1" s="1209" t="s">
        <v>1728</v>
      </c>
      <c r="AL1" s="239" t="s">
        <v>1432</v>
      </c>
      <c r="AM1" s="1209" t="s">
        <v>1457</v>
      </c>
      <c r="AN1" s="1209" t="s">
        <v>1499</v>
      </c>
      <c r="AO1" s="1209" t="s">
        <v>1565</v>
      </c>
      <c r="AP1" s="1209" t="s">
        <v>1619</v>
      </c>
      <c r="AQ1" s="1209" t="s">
        <v>1732</v>
      </c>
      <c r="AR1" s="239" t="s">
        <v>909</v>
      </c>
      <c r="AS1" s="239" t="s">
        <v>910</v>
      </c>
      <c r="AT1" s="239" t="s">
        <v>165</v>
      </c>
      <c r="AU1" s="239" t="s">
        <v>166</v>
      </c>
      <c r="AV1" s="239" t="s">
        <v>911</v>
      </c>
      <c r="AW1" s="239" t="s">
        <v>912</v>
      </c>
      <c r="AX1" s="239" t="s">
        <v>647</v>
      </c>
      <c r="AY1" s="241" t="s">
        <v>913</v>
      </c>
      <c r="AZ1" s="241" t="s">
        <v>1070</v>
      </c>
      <c r="BA1" s="241" t="s">
        <v>916</v>
      </c>
      <c r="BB1" s="241" t="s">
        <v>917</v>
      </c>
      <c r="BC1" s="241" t="s">
        <v>1412</v>
      </c>
      <c r="BD1" s="385" t="s">
        <v>1687</v>
      </c>
      <c r="BE1" s="385" t="s">
        <v>896</v>
      </c>
      <c r="BF1" s="385" t="s">
        <v>1537</v>
      </c>
      <c r="BG1" s="385" t="s">
        <v>895</v>
      </c>
      <c r="BH1" s="385" t="s">
        <v>1317</v>
      </c>
      <c r="BI1" s="385" t="s">
        <v>898</v>
      </c>
      <c r="BJ1" s="385" t="s">
        <v>1135</v>
      </c>
      <c r="BK1" s="385" t="s">
        <v>904</v>
      </c>
      <c r="BL1" s="386" t="s">
        <v>723</v>
      </c>
      <c r="BM1" s="385" t="s">
        <v>901</v>
      </c>
      <c r="BN1" s="385" t="s">
        <v>1136</v>
      </c>
      <c r="BO1" s="385" t="s">
        <v>902</v>
      </c>
      <c r="BP1" s="385" t="s">
        <v>1098</v>
      </c>
      <c r="BQ1" s="385" t="s">
        <v>1540</v>
      </c>
      <c r="BR1" s="385" t="s">
        <v>1177</v>
      </c>
      <c r="BS1" s="1046" t="s">
        <v>1137</v>
      </c>
      <c r="BT1" s="191"/>
      <c r="BU1" s="405" t="s">
        <v>1032</v>
      </c>
    </row>
    <row r="2" spans="1:73" x14ac:dyDescent="0.2">
      <c r="A2" s="216" t="s">
        <v>672</v>
      </c>
      <c r="B2" s="216"/>
      <c r="C2" s="216"/>
      <c r="D2" s="216"/>
      <c r="V2" s="1098"/>
    </row>
    <row r="3" spans="1:73" x14ac:dyDescent="0.2">
      <c r="A3" s="374" t="s">
        <v>673</v>
      </c>
      <c r="B3" s="230">
        <f t="shared" ref="B3:B11" si="0">SUM(C3:BS3)</f>
        <v>158299</v>
      </c>
      <c r="C3" s="231">
        <f>SONPws!C4</f>
        <v>104792</v>
      </c>
      <c r="D3" s="231">
        <f>SONPws!D4</f>
        <v>0</v>
      </c>
      <c r="E3" s="231">
        <f>SONPws!E4</f>
        <v>0</v>
      </c>
      <c r="F3" s="231">
        <f>SONPws!F4</f>
        <v>0</v>
      </c>
      <c r="G3" s="231">
        <f>SONPws!G4</f>
        <v>0</v>
      </c>
      <c r="H3" s="231">
        <f>SONPws!H4</f>
        <v>0</v>
      </c>
      <c r="I3" s="231">
        <f>SONPws!I4</f>
        <v>0</v>
      </c>
      <c r="J3" s="231">
        <f>SONPws!J4</f>
        <v>0</v>
      </c>
      <c r="K3" s="231">
        <f>SONPws!K4</f>
        <v>0</v>
      </c>
      <c r="L3" s="231">
        <f>SONPws!L4</f>
        <v>0</v>
      </c>
      <c r="M3" s="231">
        <f>SONPws!M4</f>
        <v>0</v>
      </c>
      <c r="N3" s="231">
        <f>SONPws!N4</f>
        <v>42452</v>
      </c>
      <c r="O3" s="231">
        <f>SONPws!O4</f>
        <v>0</v>
      </c>
      <c r="P3" s="231">
        <f>SONPws!P4</f>
        <v>0</v>
      </c>
      <c r="Q3" s="231">
        <f>SONPws!Q4</f>
        <v>0</v>
      </c>
      <c r="R3" s="231">
        <f>SONPws!R4</f>
        <v>0</v>
      </c>
      <c r="S3" s="231">
        <f>SONPws!S4</f>
        <v>0</v>
      </c>
      <c r="T3" s="231">
        <f>SONPws!T4</f>
        <v>0</v>
      </c>
      <c r="U3" s="231">
        <f>SONPws!U4</f>
        <v>0</v>
      </c>
      <c r="V3" s="231">
        <f>SONPws!V4</f>
        <v>0</v>
      </c>
      <c r="W3" s="231">
        <f>SONPws!W4</f>
        <v>0</v>
      </c>
      <c r="X3" s="231">
        <f>SONPws!X4</f>
        <v>0</v>
      </c>
      <c r="Y3" s="231">
        <f>SONPws!Y4</f>
        <v>0</v>
      </c>
      <c r="Z3" s="231">
        <f>SONPws!Z4</f>
        <v>0</v>
      </c>
      <c r="AA3" s="231">
        <f>SONPws!AA4</f>
        <v>0</v>
      </c>
      <c r="AB3" s="231">
        <f>SONPws!AB4</f>
        <v>0</v>
      </c>
      <c r="AC3" s="231">
        <f>SONPws!AC4</f>
        <v>0</v>
      </c>
      <c r="AD3" s="231">
        <f>SONPws!AD4</f>
        <v>0</v>
      </c>
      <c r="AE3" s="231">
        <f>SONPws!AE4</f>
        <v>0</v>
      </c>
      <c r="AF3" s="231">
        <f>SONPws!AF4</f>
        <v>0</v>
      </c>
      <c r="AG3" s="231">
        <f>SONPws!AG4</f>
        <v>0</v>
      </c>
      <c r="AH3" s="231">
        <f>SONPws!AH4</f>
        <v>0</v>
      </c>
      <c r="AI3" s="231">
        <f>SONPws!AI4</f>
        <v>0</v>
      </c>
      <c r="AJ3" s="231">
        <f>SONPws!AJ4</f>
        <v>0</v>
      </c>
      <c r="AK3" s="231">
        <f>SONPws!AK4</f>
        <v>0</v>
      </c>
      <c r="AL3" s="231"/>
      <c r="AM3" s="231"/>
      <c r="AN3" s="231"/>
      <c r="AO3" s="231"/>
      <c r="AP3" s="231"/>
      <c r="AQ3" s="231"/>
      <c r="AR3" s="231">
        <f>SONPws!AR4</f>
        <v>0</v>
      </c>
      <c r="AS3" s="231">
        <f>SONPws!AS4</f>
        <v>0</v>
      </c>
      <c r="AT3" s="231">
        <f>SONPws!AT4</f>
        <v>0</v>
      </c>
      <c r="AU3" s="231">
        <f>SONPws!AU4</f>
        <v>0</v>
      </c>
      <c r="AV3" s="231">
        <f>SONPws!AV4</f>
        <v>0</v>
      </c>
      <c r="AW3" s="231">
        <f>SONPws!AW4</f>
        <v>74</v>
      </c>
      <c r="AX3" s="231">
        <f>SONPws!AX4</f>
        <v>0</v>
      </c>
      <c r="AY3" s="231">
        <f>SONPws!AY4</f>
        <v>0</v>
      </c>
      <c r="AZ3" s="231">
        <f>SONPws!AZ4</f>
        <v>0</v>
      </c>
      <c r="BA3" s="231">
        <f>SONPws!BA4</f>
        <v>0</v>
      </c>
      <c r="BB3" s="231">
        <f>SONPws!BB4</f>
        <v>0</v>
      </c>
      <c r="BC3" s="231">
        <f>SONPws!BC4</f>
        <v>0</v>
      </c>
      <c r="BD3" s="231">
        <f>SONPws!BD4</f>
        <v>0</v>
      </c>
      <c r="BE3" s="231">
        <f>SONPws!BE4</f>
        <v>0</v>
      </c>
      <c r="BF3" s="231">
        <f>SONPws!BF4</f>
        <v>0</v>
      </c>
      <c r="BG3" s="231">
        <f>SONPws!BG4</f>
        <v>0</v>
      </c>
      <c r="BH3" s="231">
        <f>SONPws!BH4</f>
        <v>10981</v>
      </c>
      <c r="BI3" s="231">
        <f>SONPws!BI4</f>
        <v>0</v>
      </c>
      <c r="BJ3" s="231">
        <f>SONPws!BJ4</f>
        <v>0</v>
      </c>
      <c r="BK3" s="231">
        <f>SONPws!BK4</f>
        <v>0</v>
      </c>
      <c r="BL3" s="231">
        <f>SONPws!BL4</f>
        <v>0</v>
      </c>
      <c r="BM3" s="231">
        <f>SONPws!BM4</f>
        <v>0</v>
      </c>
      <c r="BN3" s="231">
        <f>SONPws!BN4</f>
        <v>0</v>
      </c>
      <c r="BO3" s="231">
        <f>SONPws!BO4</f>
        <v>0</v>
      </c>
      <c r="BP3" s="231">
        <f>SONPws!BP4</f>
        <v>0</v>
      </c>
      <c r="BQ3" s="231">
        <f>SONPws!BQ4</f>
        <v>0</v>
      </c>
      <c r="BR3" s="231">
        <f>SONPws!BR4</f>
        <v>0</v>
      </c>
      <c r="BS3" s="231">
        <f>SONPws!BS4</f>
        <v>0</v>
      </c>
      <c r="BT3" s="330"/>
      <c r="BU3" s="218">
        <f t="shared" ref="BU3:BU21" si="1">SUM(F3:BT3)</f>
        <v>53507</v>
      </c>
    </row>
    <row r="4" spans="1:73" x14ac:dyDescent="0.2">
      <c r="A4" s="374" t="s">
        <v>674</v>
      </c>
      <c r="B4" s="230">
        <f t="shared" si="0"/>
        <v>470339</v>
      </c>
      <c r="C4" s="231">
        <f>SONPws!C5</f>
        <v>351836</v>
      </c>
      <c r="D4" s="231">
        <f>SONPws!D5</f>
        <v>0</v>
      </c>
      <c r="E4" s="231">
        <f>SONPws!E5</f>
        <v>0</v>
      </c>
      <c r="F4" s="231">
        <f>SONPws!F5</f>
        <v>0</v>
      </c>
      <c r="G4" s="231">
        <f>SONPws!G5</f>
        <v>0</v>
      </c>
      <c r="H4" s="231">
        <f>SONPws!H5</f>
        <v>0</v>
      </c>
      <c r="I4" s="231">
        <f>SONPws!I5</f>
        <v>0</v>
      </c>
      <c r="J4" s="231">
        <f>SONPws!J5</f>
        <v>0</v>
      </c>
      <c r="K4" s="231">
        <f>SONPws!K5</f>
        <v>0</v>
      </c>
      <c r="L4" s="231">
        <f>SONPws!L5</f>
        <v>0</v>
      </c>
      <c r="M4" s="231">
        <f>SONPws!M5</f>
        <v>0</v>
      </c>
      <c r="N4" s="231">
        <f>SONPws!N5</f>
        <v>118252</v>
      </c>
      <c r="O4" s="231">
        <f>SONPws!O5</f>
        <v>0</v>
      </c>
      <c r="P4" s="231">
        <f>SONPws!P5</f>
        <v>0</v>
      </c>
      <c r="Q4" s="231">
        <f>SONPws!Q5</f>
        <v>0</v>
      </c>
      <c r="R4" s="231">
        <f>SONPws!R5</f>
        <v>0</v>
      </c>
      <c r="S4" s="231">
        <f>SONPws!S5</f>
        <v>0</v>
      </c>
      <c r="T4" s="231">
        <f>SONPws!T5</f>
        <v>0</v>
      </c>
      <c r="U4" s="231">
        <f>SONPws!U5</f>
        <v>0</v>
      </c>
      <c r="V4" s="231">
        <f>SONPws!V5</f>
        <v>0</v>
      </c>
      <c r="W4" s="231">
        <f>SONPws!W5</f>
        <v>0</v>
      </c>
      <c r="X4" s="231">
        <f>SONPws!X5</f>
        <v>0</v>
      </c>
      <c r="Y4" s="231">
        <f>SONPws!Y5</f>
        <v>0</v>
      </c>
      <c r="Z4" s="231">
        <f>SONPws!Z5</f>
        <v>0</v>
      </c>
      <c r="AA4" s="231">
        <f>SONPws!AA5</f>
        <v>0</v>
      </c>
      <c r="AB4" s="231">
        <f>SONPws!AB5</f>
        <v>0</v>
      </c>
      <c r="AC4" s="231">
        <f>SONPws!AC5</f>
        <v>0</v>
      </c>
      <c r="AD4" s="231">
        <f>SONPws!AD5</f>
        <v>0</v>
      </c>
      <c r="AE4" s="231">
        <f>SONPws!AE5</f>
        <v>0</v>
      </c>
      <c r="AF4" s="231">
        <f>SONPws!AF5</f>
        <v>0</v>
      </c>
      <c r="AG4" s="231">
        <f>SONPws!AG5</f>
        <v>0</v>
      </c>
      <c r="AH4" s="231">
        <f>SONPws!AH5</f>
        <v>0</v>
      </c>
      <c r="AI4" s="231">
        <f>SONPws!AI5</f>
        <v>0</v>
      </c>
      <c r="AJ4" s="231">
        <f>SONPws!AJ5</f>
        <v>0</v>
      </c>
      <c r="AK4" s="231">
        <f>SONPws!AK5</f>
        <v>0</v>
      </c>
      <c r="AL4" s="231"/>
      <c r="AM4" s="231"/>
      <c r="AN4" s="231"/>
      <c r="AO4" s="231"/>
      <c r="AP4" s="231"/>
      <c r="AQ4" s="231"/>
      <c r="AR4" s="231">
        <f>SONPws!AR5</f>
        <v>0</v>
      </c>
      <c r="AS4" s="231">
        <f>SONPws!AS5</f>
        <v>0</v>
      </c>
      <c r="AT4" s="231">
        <f>SONPws!AT5</f>
        <v>0</v>
      </c>
      <c r="AU4" s="231">
        <f>SONPws!AU5</f>
        <v>0</v>
      </c>
      <c r="AV4" s="231">
        <f>SONPws!AV5</f>
        <v>0</v>
      </c>
      <c r="AW4" s="231">
        <f>SONPws!AW5</f>
        <v>251</v>
      </c>
      <c r="AX4" s="231">
        <f>SONPws!AX5</f>
        <v>0</v>
      </c>
      <c r="AY4" s="231">
        <f>SONPws!AY5</f>
        <v>0</v>
      </c>
      <c r="AZ4" s="231">
        <f>SONPws!AZ5</f>
        <v>0</v>
      </c>
      <c r="BA4" s="231">
        <f>SONPws!BA5</f>
        <v>0</v>
      </c>
      <c r="BB4" s="231">
        <f>SONPws!BB5</f>
        <v>0</v>
      </c>
      <c r="BC4" s="231">
        <f>SONPws!BC5</f>
        <v>0</v>
      </c>
      <c r="BD4" s="231">
        <f>SONPws!BD5</f>
        <v>0</v>
      </c>
      <c r="BE4" s="231">
        <f>SONPws!BE5</f>
        <v>0</v>
      </c>
      <c r="BF4" s="231">
        <f>SONPws!BF5</f>
        <v>0</v>
      </c>
      <c r="BG4" s="231">
        <f>SONPws!BG5</f>
        <v>0</v>
      </c>
      <c r="BH4" s="231">
        <f>SONPws!BH5</f>
        <v>0</v>
      </c>
      <c r="BI4" s="231">
        <f>SONPws!BI5</f>
        <v>0</v>
      </c>
      <c r="BJ4" s="231">
        <f>SONPws!BJ5</f>
        <v>0</v>
      </c>
      <c r="BK4" s="231">
        <f>SONPws!BK5</f>
        <v>0</v>
      </c>
      <c r="BL4" s="231">
        <f>SONPws!BL5</f>
        <v>0</v>
      </c>
      <c r="BM4" s="231">
        <f>SONPws!BM5</f>
        <v>0</v>
      </c>
      <c r="BN4" s="231">
        <f>SONPws!BN5</f>
        <v>0</v>
      </c>
      <c r="BO4" s="231">
        <f>SONPws!BO5</f>
        <v>0</v>
      </c>
      <c r="BP4" s="231">
        <f>SONPws!BP5</f>
        <v>0</v>
      </c>
      <c r="BQ4" s="231">
        <f>SONPws!BQ5</f>
        <v>0</v>
      </c>
      <c r="BR4" s="231">
        <f>SONPws!BR5</f>
        <v>0</v>
      </c>
      <c r="BS4" s="231">
        <f>SONPws!BS5</f>
        <v>0</v>
      </c>
      <c r="BT4" s="330"/>
      <c r="BU4" s="218">
        <f t="shared" si="1"/>
        <v>118503</v>
      </c>
    </row>
    <row r="5" spans="1:73" s="378" customFormat="1" x14ac:dyDescent="0.2">
      <c r="A5" s="377" t="s">
        <v>675</v>
      </c>
      <c r="B5" s="378">
        <f t="shared" si="0"/>
        <v>195167</v>
      </c>
      <c r="C5" s="1096">
        <v>193842</v>
      </c>
      <c r="D5" s="380"/>
      <c r="E5" s="380"/>
      <c r="F5" s="380"/>
      <c r="G5" s="380"/>
      <c r="H5" s="380"/>
      <c r="I5" s="380"/>
      <c r="J5" s="380"/>
      <c r="K5" s="380"/>
      <c r="L5" s="380"/>
      <c r="M5" s="380"/>
      <c r="N5" s="380">
        <v>503</v>
      </c>
      <c r="O5" s="380"/>
      <c r="P5" s="380"/>
      <c r="Q5" s="380"/>
      <c r="R5" s="380"/>
      <c r="S5" s="380"/>
      <c r="T5" s="380"/>
      <c r="U5" s="380"/>
      <c r="V5" s="1148"/>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v>2</v>
      </c>
      <c r="AX5" s="380"/>
      <c r="AY5" s="380"/>
      <c r="AZ5" s="380"/>
      <c r="BA5" s="380"/>
      <c r="BB5" s="380"/>
      <c r="BC5" s="380"/>
      <c r="BD5" s="380"/>
      <c r="BE5" s="231">
        <f>SONPws!BE6</f>
        <v>0</v>
      </c>
      <c r="BF5" s="380"/>
      <c r="BG5" s="380"/>
      <c r="BH5" s="231">
        <f>SONPws!BH6</f>
        <v>820</v>
      </c>
      <c r="BI5" s="380"/>
      <c r="BJ5" s="380"/>
      <c r="BK5" s="380"/>
      <c r="BL5" s="380"/>
      <c r="BM5" s="380"/>
      <c r="BN5" s="380"/>
      <c r="BO5" s="380"/>
      <c r="BP5" s="231">
        <f>SONPws!BP6</f>
        <v>0</v>
      </c>
      <c r="BQ5" s="211"/>
      <c r="BR5" s="380"/>
      <c r="BS5" s="380">
        <f>SONPws!BS6</f>
        <v>0</v>
      </c>
      <c r="BT5" s="330"/>
      <c r="BU5" s="218">
        <f t="shared" si="1"/>
        <v>1325</v>
      </c>
    </row>
    <row r="6" spans="1:73" x14ac:dyDescent="0.2">
      <c r="A6" s="374" t="s">
        <v>763</v>
      </c>
      <c r="B6" s="230">
        <f t="shared" si="0"/>
        <v>10584</v>
      </c>
      <c r="C6" s="231">
        <f>SONPws!C7</f>
        <v>10190</v>
      </c>
      <c r="D6" s="231">
        <f>SONPws!D7</f>
        <v>0</v>
      </c>
      <c r="E6" s="231">
        <f>SONPws!E7</f>
        <v>0</v>
      </c>
      <c r="F6" s="231">
        <f>SONPws!F7</f>
        <v>0</v>
      </c>
      <c r="G6" s="231">
        <f>SONPws!G7</f>
        <v>0</v>
      </c>
      <c r="H6" s="231">
        <f>SONPws!H7</f>
        <v>0</v>
      </c>
      <c r="I6" s="231">
        <f>SONPws!I7</f>
        <v>0</v>
      </c>
      <c r="J6" s="231">
        <f>SONPws!J7</f>
        <v>0</v>
      </c>
      <c r="K6" s="231">
        <f>SONPws!K7</f>
        <v>0</v>
      </c>
      <c r="L6" s="231">
        <f>SONPws!L7</f>
        <v>0</v>
      </c>
      <c r="M6" s="231">
        <f>SONPws!M7</f>
        <v>0</v>
      </c>
      <c r="N6" s="231">
        <f>SONPws!N7</f>
        <v>0</v>
      </c>
      <c r="O6" s="231">
        <f>SONPws!O7</f>
        <v>0</v>
      </c>
      <c r="P6" s="231">
        <f>SONPws!P7</f>
        <v>0</v>
      </c>
      <c r="Q6" s="231">
        <f>SONPws!Q7</f>
        <v>0</v>
      </c>
      <c r="R6" s="231">
        <f>SONPws!R7</f>
        <v>0</v>
      </c>
      <c r="S6" s="231">
        <f>SONPws!S7</f>
        <v>0</v>
      </c>
      <c r="T6" s="231">
        <f>SONPws!T7</f>
        <v>0</v>
      </c>
      <c r="U6" s="231">
        <f>SONPws!U7</f>
        <v>0</v>
      </c>
      <c r="V6" s="1101">
        <v>0</v>
      </c>
      <c r="W6" s="231">
        <f>SONPws!W7</f>
        <v>0</v>
      </c>
      <c r="X6" s="231">
        <f>SONPws!X7</f>
        <v>0</v>
      </c>
      <c r="Y6" s="231">
        <f>SONPws!Y7</f>
        <v>0</v>
      </c>
      <c r="Z6" s="231">
        <f>SONPws!Z7</f>
        <v>0</v>
      </c>
      <c r="AA6" s="231">
        <f>SONPws!AA7</f>
        <v>0</v>
      </c>
      <c r="AB6" s="231">
        <f>SONPws!AB7</f>
        <v>0</v>
      </c>
      <c r="AC6" s="231">
        <f>SONPws!AC7</f>
        <v>0</v>
      </c>
      <c r="AD6" s="231">
        <f>SONPws!AD7</f>
        <v>0</v>
      </c>
      <c r="AE6" s="231">
        <f>SONPws!AE7</f>
        <v>0</v>
      </c>
      <c r="AF6" s="231">
        <f>SONPws!AF7</f>
        <v>0</v>
      </c>
      <c r="AG6" s="231">
        <f>SONPws!AG7</f>
        <v>0</v>
      </c>
      <c r="AH6" s="231">
        <f>SONPws!AH7</f>
        <v>0</v>
      </c>
      <c r="AI6" s="231">
        <f>SONPws!AI7</f>
        <v>0</v>
      </c>
      <c r="AJ6" s="231">
        <f>SONPws!AJ7</f>
        <v>0</v>
      </c>
      <c r="AK6" s="231">
        <f>SONPws!AK7</f>
        <v>0</v>
      </c>
      <c r="AL6" s="231">
        <f>SONPws!AL7</f>
        <v>0</v>
      </c>
      <c r="AM6" s="231">
        <f>SONPws!AM7</f>
        <v>0</v>
      </c>
      <c r="AN6" s="231"/>
      <c r="AO6" s="231"/>
      <c r="AP6" s="231"/>
      <c r="AQ6" s="231"/>
      <c r="AR6" s="231">
        <f>SONPws!AR7</f>
        <v>0</v>
      </c>
      <c r="AS6" s="231">
        <f>SONPws!AS7</f>
        <v>0</v>
      </c>
      <c r="AT6" s="231">
        <f>SONPws!AT7</f>
        <v>0</v>
      </c>
      <c r="AU6" s="231">
        <f>SONPws!AU7</f>
        <v>0</v>
      </c>
      <c r="AV6" s="231">
        <f>SONPws!AV7</f>
        <v>0</v>
      </c>
      <c r="AW6" s="231">
        <f>SONPws!AW7</f>
        <v>0</v>
      </c>
      <c r="AX6" s="231">
        <f>SONPws!AX7</f>
        <v>0</v>
      </c>
      <c r="AY6" s="231">
        <f>SONPws!AY7</f>
        <v>0</v>
      </c>
      <c r="AZ6" s="231">
        <f>SONPws!AZ7</f>
        <v>0</v>
      </c>
      <c r="BA6" s="231">
        <f>SONPws!BA7</f>
        <v>0</v>
      </c>
      <c r="BB6" s="231">
        <f>SONPws!BB7</f>
        <v>0</v>
      </c>
      <c r="BC6" s="231">
        <f>SONPws!BC7</f>
        <v>0</v>
      </c>
      <c r="BD6" s="231">
        <f>SONPws!BD7</f>
        <v>0</v>
      </c>
      <c r="BE6" s="231">
        <f>SONPws!BE7</f>
        <v>0</v>
      </c>
      <c r="BF6" s="231">
        <f>SONPws!BF7</f>
        <v>0</v>
      </c>
      <c r="BG6" s="231">
        <f>SONPws!BG7</f>
        <v>0</v>
      </c>
      <c r="BH6" s="231">
        <f>SONPws!BH7</f>
        <v>3</v>
      </c>
      <c r="BI6" s="231">
        <f>SONPws!BI7</f>
        <v>0</v>
      </c>
      <c r="BJ6" s="231">
        <f>SONPws!BJ7</f>
        <v>0</v>
      </c>
      <c r="BK6" s="231">
        <f>SONPws!BK7</f>
        <v>0</v>
      </c>
      <c r="BL6" s="231">
        <f>SONPws!BL7</f>
        <v>0</v>
      </c>
      <c r="BM6" s="231">
        <f>SONPws!BM7</f>
        <v>0</v>
      </c>
      <c r="BN6" s="231">
        <f>SONPws!BN7</f>
        <v>0</v>
      </c>
      <c r="BO6" s="231">
        <f>SONPws!BO7</f>
        <v>0</v>
      </c>
      <c r="BP6" s="231">
        <f>SONPws!BP7</f>
        <v>0</v>
      </c>
      <c r="BQ6" s="231">
        <f>SONPws!BQ7</f>
        <v>0</v>
      </c>
      <c r="BR6" s="231">
        <f>SONPws!BR7</f>
        <v>0</v>
      </c>
      <c r="BS6" s="231">
        <f>SONPws!BS7</f>
        <v>391</v>
      </c>
      <c r="BT6" s="231"/>
      <c r="BU6" s="218">
        <f t="shared" si="1"/>
        <v>394</v>
      </c>
    </row>
    <row r="7" spans="1:73" x14ac:dyDescent="0.2">
      <c r="A7" s="374" t="s">
        <v>683</v>
      </c>
      <c r="B7" s="230">
        <f t="shared" si="0"/>
        <v>0</v>
      </c>
      <c r="C7" s="231">
        <f>SONPws!C14</f>
        <v>0</v>
      </c>
      <c r="D7" s="231">
        <f>SONPws!D14</f>
        <v>0</v>
      </c>
      <c r="E7" s="231">
        <f>SONPws!E14</f>
        <v>0</v>
      </c>
      <c r="F7" s="231">
        <f>SONPws!F14</f>
        <v>0</v>
      </c>
      <c r="G7" s="231">
        <f>SONPws!G14</f>
        <v>0</v>
      </c>
      <c r="H7" s="231">
        <f>SONPws!H14</f>
        <v>0</v>
      </c>
      <c r="I7" s="231">
        <f>SONPws!I14</f>
        <v>0</v>
      </c>
      <c r="J7" s="231">
        <f>SONPws!J14</f>
        <v>0</v>
      </c>
      <c r="K7" s="231">
        <f>SONPws!K14</f>
        <v>0</v>
      </c>
      <c r="L7" s="231">
        <f>SONPws!L14</f>
        <v>0</v>
      </c>
      <c r="M7" s="231">
        <f>SONPws!M14</f>
        <v>0</v>
      </c>
      <c r="N7" s="231">
        <f>SONPws!N14</f>
        <v>0</v>
      </c>
      <c r="O7" s="231">
        <f>SONPws!O14</f>
        <v>0</v>
      </c>
      <c r="P7" s="231">
        <f>SONPws!P14</f>
        <v>0</v>
      </c>
      <c r="Q7" s="231">
        <f>SONPws!Q14</f>
        <v>0</v>
      </c>
      <c r="R7" s="231">
        <f>SONPws!R14</f>
        <v>0</v>
      </c>
      <c r="S7" s="231">
        <f>SONPws!S14</f>
        <v>0</v>
      </c>
      <c r="T7" s="231">
        <f>SONPws!T14</f>
        <v>0</v>
      </c>
      <c r="U7" s="231">
        <f>SONPws!U14</f>
        <v>0</v>
      </c>
      <c r="V7" s="1101">
        <v>0</v>
      </c>
      <c r="W7" s="231">
        <f>SONPws!W14</f>
        <v>0</v>
      </c>
      <c r="X7" s="231">
        <f>SONPws!X14</f>
        <v>0</v>
      </c>
      <c r="Y7" s="231">
        <f>SONPws!Y14</f>
        <v>0</v>
      </c>
      <c r="Z7" s="231">
        <f>SONPws!Z14</f>
        <v>0</v>
      </c>
      <c r="AA7" s="231">
        <f>SONPws!AA14</f>
        <v>0</v>
      </c>
      <c r="AB7" s="231">
        <f>SONPws!AB14</f>
        <v>0</v>
      </c>
      <c r="AC7" s="231">
        <f>SONPws!AC14</f>
        <v>0</v>
      </c>
      <c r="AD7" s="231">
        <f>SONPws!AD14</f>
        <v>0</v>
      </c>
      <c r="AE7" s="231">
        <f>SONPws!AE14</f>
        <v>0</v>
      </c>
      <c r="AF7" s="231">
        <f>SONPws!AF14</f>
        <v>0</v>
      </c>
      <c r="AG7" s="231">
        <f>SONPws!AG14</f>
        <v>0</v>
      </c>
      <c r="AH7" s="231">
        <f>SONPws!AH14</f>
        <v>0</v>
      </c>
      <c r="AI7" s="231">
        <f>SONPws!AI14</f>
        <v>0</v>
      </c>
      <c r="AJ7" s="231">
        <f>SONPws!AJ14</f>
        <v>0</v>
      </c>
      <c r="AK7" s="231">
        <f>SONPws!AK14</f>
        <v>0</v>
      </c>
      <c r="AL7" s="231">
        <f>SONPws!AL14</f>
        <v>0</v>
      </c>
      <c r="AM7" s="231">
        <f>SONPws!AM14</f>
        <v>0</v>
      </c>
      <c r="AN7" s="231"/>
      <c r="AO7" s="231"/>
      <c r="AP7" s="231"/>
      <c r="AQ7" s="231"/>
      <c r="AR7" s="231">
        <f>SONPws!AR14</f>
        <v>0</v>
      </c>
      <c r="AS7" s="231">
        <f>SONPws!AS14</f>
        <v>0</v>
      </c>
      <c r="AT7" s="231">
        <f>SONPws!AT14</f>
        <v>0</v>
      </c>
      <c r="AU7" s="231">
        <f>SONPws!AU14</f>
        <v>0</v>
      </c>
      <c r="AV7" s="231">
        <f>SONPws!AV14</f>
        <v>0</v>
      </c>
      <c r="AW7" s="231">
        <f>SONPws!AW14</f>
        <v>0</v>
      </c>
      <c r="AX7" s="231">
        <f>SONPws!AX14</f>
        <v>0</v>
      </c>
      <c r="AY7" s="231">
        <f>SONPws!AY14</f>
        <v>0</v>
      </c>
      <c r="AZ7" s="231">
        <f>SONPws!AZ14</f>
        <v>0</v>
      </c>
      <c r="BA7" s="231">
        <f>SONPws!BA14</f>
        <v>0</v>
      </c>
      <c r="BB7" s="231">
        <f>SONPws!BB14</f>
        <v>0</v>
      </c>
      <c r="BC7" s="231">
        <f>SONPws!BC14</f>
        <v>0</v>
      </c>
      <c r="BD7" s="231">
        <f>SONPws!BD14</f>
        <v>0</v>
      </c>
      <c r="BE7" s="231">
        <f>SONPws!BE14</f>
        <v>0</v>
      </c>
      <c r="BF7" s="231">
        <f>SONPws!BF14</f>
        <v>0</v>
      </c>
      <c r="BG7" s="231">
        <f>SONPws!BG14</f>
        <v>0</v>
      </c>
      <c r="BH7" s="231">
        <f>SONPws!BH14</f>
        <v>0</v>
      </c>
      <c r="BI7" s="231">
        <f>SONPws!BI14</f>
        <v>0</v>
      </c>
      <c r="BJ7" s="231">
        <f>SONPws!BJ14</f>
        <v>0</v>
      </c>
      <c r="BK7" s="231">
        <f>SONPws!BK14</f>
        <v>0</v>
      </c>
      <c r="BL7" s="231">
        <f>SONPws!BL14</f>
        <v>0</v>
      </c>
      <c r="BM7" s="231">
        <f>SONPws!BM14</f>
        <v>0</v>
      </c>
      <c r="BN7" s="231">
        <f>SONPws!BN14</f>
        <v>0</v>
      </c>
      <c r="BO7" s="231">
        <f>SONPws!BO14</f>
        <v>0</v>
      </c>
      <c r="BP7" s="231">
        <f>SONPws!BP14</f>
        <v>0</v>
      </c>
      <c r="BQ7" s="231">
        <f>SONPws!BQ14</f>
        <v>0</v>
      </c>
      <c r="BR7" s="231">
        <f>SONPws!BR14</f>
        <v>0</v>
      </c>
      <c r="BS7" s="231">
        <f>SONPws!BS14</f>
        <v>0</v>
      </c>
      <c r="BT7" s="231"/>
      <c r="BU7" s="218">
        <f t="shared" si="1"/>
        <v>0</v>
      </c>
    </row>
    <row r="8" spans="1:73" x14ac:dyDescent="0.2">
      <c r="A8" s="374" t="s">
        <v>840</v>
      </c>
      <c r="B8" s="230">
        <f t="shared" si="0"/>
        <v>2249</v>
      </c>
      <c r="C8" s="231">
        <f>SONPws!C12</f>
        <v>1581</v>
      </c>
      <c r="D8" s="231">
        <f>SONPws!D12</f>
        <v>0</v>
      </c>
      <c r="E8" s="231">
        <f>SONPws!E12</f>
        <v>0</v>
      </c>
      <c r="F8" s="231">
        <f>SONPws!F12</f>
        <v>0</v>
      </c>
      <c r="G8" s="231">
        <f>SONPws!G12</f>
        <v>0</v>
      </c>
      <c r="H8" s="231">
        <f>SONPws!H12</f>
        <v>0</v>
      </c>
      <c r="I8" s="231">
        <f>SONPws!I12</f>
        <v>0</v>
      </c>
      <c r="J8" s="231">
        <f>SONPws!J12</f>
        <v>0</v>
      </c>
      <c r="K8" s="231">
        <f>SONPws!K12</f>
        <v>0</v>
      </c>
      <c r="L8" s="231">
        <f>SONPws!L12</f>
        <v>0</v>
      </c>
      <c r="M8" s="231">
        <f>SONPws!M12</f>
        <v>0</v>
      </c>
      <c r="N8" s="231">
        <f>SONPws!N12</f>
        <v>0</v>
      </c>
      <c r="O8" s="231">
        <f>SONPws!O12</f>
        <v>0</v>
      </c>
      <c r="P8" s="231">
        <f>SONPws!P12</f>
        <v>0</v>
      </c>
      <c r="Q8" s="231">
        <f>SONPws!Q12</f>
        <v>0</v>
      </c>
      <c r="R8" s="231">
        <f>SONPws!R12</f>
        <v>0</v>
      </c>
      <c r="S8" s="231">
        <f>SONPws!S12</f>
        <v>0</v>
      </c>
      <c r="T8" s="231">
        <f>SONPws!T12</f>
        <v>0</v>
      </c>
      <c r="U8" s="231">
        <f>SONPws!U12</f>
        <v>0</v>
      </c>
      <c r="V8" s="1101">
        <v>0</v>
      </c>
      <c r="W8" s="231">
        <f>SONPws!W12</f>
        <v>0</v>
      </c>
      <c r="X8" s="231">
        <f>SONPws!X12</f>
        <v>0</v>
      </c>
      <c r="Y8" s="231">
        <f>SONPws!Y12</f>
        <v>0</v>
      </c>
      <c r="Z8" s="231">
        <f>SONPws!Z12</f>
        <v>0</v>
      </c>
      <c r="AA8" s="231">
        <f>SONPws!AA12</f>
        <v>0</v>
      </c>
      <c r="AB8" s="231">
        <f>SONPws!AB12</f>
        <v>0</v>
      </c>
      <c r="AC8" s="231">
        <f>SONPws!AC12</f>
        <v>0</v>
      </c>
      <c r="AD8" s="231">
        <f>SONPws!AD12</f>
        <v>0</v>
      </c>
      <c r="AE8" s="231">
        <f>SONPws!AE12</f>
        <v>0</v>
      </c>
      <c r="AF8" s="231">
        <f>SONPws!AF12</f>
        <v>0</v>
      </c>
      <c r="AG8" s="231">
        <f>SONPws!AG12</f>
        <v>0</v>
      </c>
      <c r="AH8" s="231">
        <f>SONPws!AH12</f>
        <v>0</v>
      </c>
      <c r="AI8" s="231">
        <f>SONPws!AI12</f>
        <v>0</v>
      </c>
      <c r="AJ8" s="231">
        <f>SONPws!AJ12</f>
        <v>0</v>
      </c>
      <c r="AK8" s="231">
        <f>SONPws!AK12</f>
        <v>0</v>
      </c>
      <c r="AL8" s="231">
        <f>SONPws!AL12</f>
        <v>0</v>
      </c>
      <c r="AM8" s="231">
        <f>SONPws!AM12</f>
        <v>0</v>
      </c>
      <c r="AN8" s="231"/>
      <c r="AO8" s="231"/>
      <c r="AP8" s="231"/>
      <c r="AQ8" s="231"/>
      <c r="AR8" s="231">
        <f>SONPws!AR12</f>
        <v>0</v>
      </c>
      <c r="AS8" s="231">
        <f>SONPws!AS12</f>
        <v>0</v>
      </c>
      <c r="AT8" s="231">
        <f>SONPws!AT12</f>
        <v>0</v>
      </c>
      <c r="AU8" s="231">
        <f>SONPws!AU12</f>
        <v>0</v>
      </c>
      <c r="AV8" s="231">
        <f>SONPws!AV12</f>
        <v>0</v>
      </c>
      <c r="AW8" s="231">
        <f>SONPws!AW12</f>
        <v>0</v>
      </c>
      <c r="AX8" s="231">
        <f>SONPws!AX12</f>
        <v>0</v>
      </c>
      <c r="AY8" s="231">
        <f>SONPws!AY12</f>
        <v>0</v>
      </c>
      <c r="AZ8" s="231">
        <f>SONPws!AZ12</f>
        <v>0</v>
      </c>
      <c r="BA8" s="231">
        <f>SONPws!BA12</f>
        <v>0</v>
      </c>
      <c r="BB8" s="231">
        <f>SONPws!BB12</f>
        <v>0</v>
      </c>
      <c r="BC8" s="231">
        <f>SONPws!BC12</f>
        <v>0</v>
      </c>
      <c r="BD8" s="231">
        <f>SONPws!BD12</f>
        <v>0</v>
      </c>
      <c r="BE8" s="231">
        <f>SONPws!BE12</f>
        <v>0</v>
      </c>
      <c r="BF8" s="231">
        <f>SONPws!BF12</f>
        <v>0</v>
      </c>
      <c r="BG8" s="231">
        <f>SONPws!BG12</f>
        <v>0</v>
      </c>
      <c r="BH8" s="231">
        <f>SONPws!BH12</f>
        <v>668</v>
      </c>
      <c r="BI8" s="231">
        <f>SONPws!BI12</f>
        <v>0</v>
      </c>
      <c r="BJ8" s="231">
        <f>SONPws!BJ12</f>
        <v>0</v>
      </c>
      <c r="BK8" s="231">
        <f>SONPws!BK12</f>
        <v>0</v>
      </c>
      <c r="BL8" s="231">
        <f>SONPws!BL12</f>
        <v>0</v>
      </c>
      <c r="BM8" s="231">
        <f>SONPws!BM12</f>
        <v>0</v>
      </c>
      <c r="BN8" s="231">
        <f>SONPws!BN12</f>
        <v>0</v>
      </c>
      <c r="BO8" s="231">
        <f>SONPws!BO12</f>
        <v>0</v>
      </c>
      <c r="BP8" s="231">
        <f>SONPws!BP12</f>
        <v>0</v>
      </c>
      <c r="BQ8" s="231">
        <f>SONPws!BQ12</f>
        <v>0</v>
      </c>
      <c r="BR8" s="231">
        <f>SONPws!BR12</f>
        <v>0</v>
      </c>
      <c r="BS8" s="231">
        <f>SONPws!BS12</f>
        <v>0</v>
      </c>
      <c r="BT8" s="231"/>
      <c r="BU8" s="218">
        <f t="shared" si="1"/>
        <v>668</v>
      </c>
    </row>
    <row r="9" spans="1:73" s="891" customFormat="1" x14ac:dyDescent="0.2">
      <c r="A9" s="1426" t="s">
        <v>1773</v>
      </c>
      <c r="B9" s="891">
        <f t="shared" si="0"/>
        <v>17360</v>
      </c>
      <c r="C9" s="1427">
        <v>9954</v>
      </c>
      <c r="D9" s="1427"/>
      <c r="E9" s="1427"/>
      <c r="F9" s="1427"/>
      <c r="G9" s="1427"/>
      <c r="H9" s="1427"/>
      <c r="I9" s="1427"/>
      <c r="J9" s="1427"/>
      <c r="K9" s="1427"/>
      <c r="L9" s="1427"/>
      <c r="M9" s="1427"/>
      <c r="N9" s="1427">
        <v>7406</v>
      </c>
      <c r="O9" s="1427"/>
      <c r="P9" s="1427"/>
      <c r="Q9" s="1427"/>
      <c r="R9" s="1427"/>
      <c r="S9" s="1427"/>
      <c r="T9" s="1427"/>
      <c r="U9" s="1427"/>
      <c r="V9" s="1148"/>
      <c r="W9" s="1427"/>
      <c r="X9" s="1427"/>
      <c r="Y9" s="1427"/>
      <c r="Z9" s="1427"/>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row>
    <row r="10" spans="1:73" x14ac:dyDescent="0.2">
      <c r="A10" s="374" t="s">
        <v>63</v>
      </c>
      <c r="B10" s="230">
        <f t="shared" si="0"/>
        <v>67561</v>
      </c>
      <c r="C10" s="231">
        <f>SONPws!C9</f>
        <v>65761</v>
      </c>
      <c r="D10" s="231">
        <f>SONPws!D9</f>
        <v>0</v>
      </c>
      <c r="E10" s="231">
        <f>SONPws!E9</f>
        <v>0</v>
      </c>
      <c r="F10" s="231">
        <f>SONPws!F9</f>
        <v>0</v>
      </c>
      <c r="G10" s="231">
        <f>SONPws!G9</f>
        <v>0</v>
      </c>
      <c r="H10" s="231">
        <f>SONPws!H9</f>
        <v>0</v>
      </c>
      <c r="I10" s="231">
        <f>SONPws!I9</f>
        <v>0</v>
      </c>
      <c r="J10" s="231">
        <f>SONPws!J9</f>
        <v>0</v>
      </c>
      <c r="K10" s="231">
        <f>SONPws!K9</f>
        <v>0</v>
      </c>
      <c r="L10" s="231">
        <f>SONPws!L9</f>
        <v>0</v>
      </c>
      <c r="M10" s="231">
        <f>SONPws!M9</f>
        <v>0</v>
      </c>
      <c r="N10" s="231">
        <f>SONPws!N9</f>
        <v>1800</v>
      </c>
      <c r="O10" s="231">
        <f>SONPws!O9</f>
        <v>0</v>
      </c>
      <c r="P10" s="231">
        <f>SONPws!P9</f>
        <v>0</v>
      </c>
      <c r="Q10" s="231">
        <f>SONPws!Q9</f>
        <v>0</v>
      </c>
      <c r="R10" s="231">
        <f>SONPws!R9</f>
        <v>0</v>
      </c>
      <c r="S10" s="231">
        <f>SONPws!S9</f>
        <v>0</v>
      </c>
      <c r="T10" s="231">
        <f>SONPws!T9</f>
        <v>0</v>
      </c>
      <c r="U10" s="231">
        <f>SONPws!U9</f>
        <v>0</v>
      </c>
      <c r="V10" s="231">
        <f>SONPws!V9</f>
        <v>0</v>
      </c>
      <c r="W10" s="231">
        <f>SONPws!W9</f>
        <v>0</v>
      </c>
      <c r="X10" s="231">
        <f>SONPws!X9</f>
        <v>0</v>
      </c>
      <c r="Y10" s="231">
        <f>SONPws!Y9</f>
        <v>0</v>
      </c>
      <c r="Z10" s="231">
        <f>SONPws!Z9</f>
        <v>0</v>
      </c>
      <c r="AA10" s="231">
        <f>SONPws!AA9</f>
        <v>0</v>
      </c>
      <c r="AB10" s="231">
        <f>SONPws!AB9</f>
        <v>0</v>
      </c>
      <c r="AC10" s="231">
        <f>SONPws!AC9</f>
        <v>0</v>
      </c>
      <c r="AD10" s="231">
        <f>SONPws!AD9</f>
        <v>0</v>
      </c>
      <c r="AE10" s="231">
        <f>SONPws!AE9</f>
        <v>0</v>
      </c>
      <c r="AF10" s="231">
        <f>SONPws!AF9</f>
        <v>0</v>
      </c>
      <c r="AG10" s="231">
        <f>SONPws!AG9</f>
        <v>0</v>
      </c>
      <c r="AH10" s="231">
        <f>SONPws!AH9</f>
        <v>0</v>
      </c>
      <c r="AI10" s="231">
        <f>SONPws!AI9</f>
        <v>0</v>
      </c>
      <c r="AJ10" s="231">
        <f>SONPws!AJ9</f>
        <v>0</v>
      </c>
      <c r="AK10" s="231">
        <f>SONPws!AK9</f>
        <v>0</v>
      </c>
      <c r="AL10" s="231">
        <f>SONPws!AL9</f>
        <v>0</v>
      </c>
      <c r="AM10" s="231">
        <f>SONPws!AM9</f>
        <v>0</v>
      </c>
      <c r="AN10" s="231"/>
      <c r="AO10" s="231"/>
      <c r="AP10" s="231"/>
      <c r="AQ10" s="231"/>
      <c r="AR10" s="231">
        <f>SONPws!AR9</f>
        <v>0</v>
      </c>
      <c r="AS10" s="231">
        <f>SONPws!AS9</f>
        <v>0</v>
      </c>
      <c r="AT10" s="231">
        <f>SONPws!AT9</f>
        <v>0</v>
      </c>
      <c r="AU10" s="231">
        <f>SONPws!AU9</f>
        <v>0</v>
      </c>
      <c r="AV10" s="231">
        <f>SONPws!AV9</f>
        <v>0</v>
      </c>
      <c r="AW10" s="231">
        <f>SONPws!AW9</f>
        <v>0</v>
      </c>
      <c r="AX10" s="231">
        <f>SONPws!AX9</f>
        <v>0</v>
      </c>
      <c r="AY10" s="231">
        <f>SONPws!AY9</f>
        <v>0</v>
      </c>
      <c r="AZ10" s="231">
        <f>SONPws!AZ9</f>
        <v>0</v>
      </c>
      <c r="BA10" s="231">
        <f>SONPws!BA9</f>
        <v>0</v>
      </c>
      <c r="BB10" s="231">
        <f>SONPws!BB9</f>
        <v>0</v>
      </c>
      <c r="BC10" s="231">
        <f>SONPws!BC9</f>
        <v>0</v>
      </c>
      <c r="BD10" s="231">
        <f>SONPws!BD9</f>
        <v>0</v>
      </c>
      <c r="BE10" s="231">
        <f>SONPws!BE9</f>
        <v>0</v>
      </c>
      <c r="BF10" s="231">
        <f>SONPws!BF9</f>
        <v>0</v>
      </c>
      <c r="BG10" s="231">
        <f>SONPws!BG9</f>
        <v>0</v>
      </c>
      <c r="BH10" s="231">
        <f>SONPws!BH9</f>
        <v>0</v>
      </c>
      <c r="BI10" s="231">
        <f>SONPws!BI9</f>
        <v>0</v>
      </c>
      <c r="BJ10" s="231">
        <f>SONPws!BJ9</f>
        <v>0</v>
      </c>
      <c r="BK10" s="231">
        <f>SONPws!BK9</f>
        <v>0</v>
      </c>
      <c r="BL10" s="231">
        <f>SONPws!BL9</f>
        <v>0</v>
      </c>
      <c r="BM10" s="231">
        <f>SONPws!BM9</f>
        <v>0</v>
      </c>
      <c r="BN10" s="231">
        <f>SONPws!BN9</f>
        <v>0</v>
      </c>
      <c r="BO10" s="231">
        <f>SONPws!BO9</f>
        <v>0</v>
      </c>
      <c r="BP10" s="231">
        <f>SONPws!BP9</f>
        <v>0</v>
      </c>
      <c r="BQ10" s="231">
        <f>SONPws!BQ9</f>
        <v>0</v>
      </c>
      <c r="BR10" s="231">
        <f>SONPws!BR9</f>
        <v>0</v>
      </c>
      <c r="BS10" s="231">
        <f>SONPws!BS9</f>
        <v>0</v>
      </c>
      <c r="BT10" s="231"/>
      <c r="BU10" s="218">
        <f t="shared" si="1"/>
        <v>1800</v>
      </c>
    </row>
    <row r="11" spans="1:73" x14ac:dyDescent="0.2">
      <c r="A11" s="374" t="s">
        <v>1216</v>
      </c>
      <c r="B11" s="230">
        <f t="shared" si="0"/>
        <v>3939</v>
      </c>
      <c r="C11" s="231">
        <f>SONPws!C11</f>
        <v>2484</v>
      </c>
      <c r="D11" s="231">
        <f>SONPws!D11</f>
        <v>0</v>
      </c>
      <c r="E11" s="231">
        <f>SONPws!E11</f>
        <v>0</v>
      </c>
      <c r="F11" s="231">
        <f>SONPws!F11</f>
        <v>0</v>
      </c>
      <c r="G11" s="231">
        <f>SONPws!G11</f>
        <v>0</v>
      </c>
      <c r="H11" s="231">
        <f>SONPws!H11</f>
        <v>0</v>
      </c>
      <c r="I11" s="231">
        <f>SONPws!I11</f>
        <v>0</v>
      </c>
      <c r="J11" s="231">
        <f>SONPws!J11</f>
        <v>0</v>
      </c>
      <c r="K11" s="231">
        <f>SONPws!K11</f>
        <v>0</v>
      </c>
      <c r="L11" s="231">
        <f>SONPws!L11</f>
        <v>0</v>
      </c>
      <c r="M11" s="231">
        <f>SONPws!M11</f>
        <v>0</v>
      </c>
      <c r="N11" s="231">
        <f>SONPws!N11</f>
        <v>1455</v>
      </c>
      <c r="O11" s="231">
        <f>SONPws!O11</f>
        <v>0</v>
      </c>
      <c r="P11" s="231">
        <f>SONPws!P11</f>
        <v>0</v>
      </c>
      <c r="Q11" s="231">
        <f>SONPws!Q11</f>
        <v>0</v>
      </c>
      <c r="R11" s="231">
        <f>SONPws!R11</f>
        <v>0</v>
      </c>
      <c r="S11" s="231">
        <f>SONPws!S11</f>
        <v>0</v>
      </c>
      <c r="T11" s="231">
        <f>SONPws!T11</f>
        <v>0</v>
      </c>
      <c r="U11" s="231">
        <f>SONPws!U11</f>
        <v>0</v>
      </c>
      <c r="V11" s="1101">
        <v>0</v>
      </c>
      <c r="W11" s="231">
        <f>SONPws!W11</f>
        <v>0</v>
      </c>
      <c r="X11" s="231">
        <f>SONPws!X11</f>
        <v>0</v>
      </c>
      <c r="Y11" s="231">
        <f>SONPws!Y11</f>
        <v>0</v>
      </c>
      <c r="Z11" s="231">
        <f>SONPws!Z11</f>
        <v>0</v>
      </c>
      <c r="AA11" s="231">
        <f>SONPws!AA11</f>
        <v>0</v>
      </c>
      <c r="AB11" s="231">
        <f>SONPws!AB11</f>
        <v>0</v>
      </c>
      <c r="AC11" s="231">
        <f>SONPws!AC11</f>
        <v>0</v>
      </c>
      <c r="AD11" s="231">
        <f>SONPws!AD11</f>
        <v>0</v>
      </c>
      <c r="AE11" s="231">
        <f>SONPws!AE11</f>
        <v>0</v>
      </c>
      <c r="AF11" s="231">
        <f>SONPws!AF11</f>
        <v>0</v>
      </c>
      <c r="AG11" s="231">
        <f>SONPws!AG11</f>
        <v>0</v>
      </c>
      <c r="AH11" s="231">
        <f>SONPws!AH11</f>
        <v>0</v>
      </c>
      <c r="AI11" s="231">
        <f>SONPws!AI11</f>
        <v>0</v>
      </c>
      <c r="AJ11" s="231">
        <f>SONPws!AJ11</f>
        <v>0</v>
      </c>
      <c r="AK11" s="231">
        <f>SONPws!AK11</f>
        <v>0</v>
      </c>
      <c r="AL11" s="231">
        <f>SONPws!AL11</f>
        <v>0</v>
      </c>
      <c r="AM11" s="231">
        <f>SONPws!AM11</f>
        <v>0</v>
      </c>
      <c r="AN11" s="231"/>
      <c r="AO11" s="231"/>
      <c r="AP11" s="231"/>
      <c r="AQ11" s="231"/>
      <c r="AR11" s="231">
        <f>SONPws!AR11</f>
        <v>0</v>
      </c>
      <c r="AS11" s="231">
        <f>SONPws!AS11</f>
        <v>0</v>
      </c>
      <c r="AT11" s="231">
        <f>SONPws!AT11</f>
        <v>0</v>
      </c>
      <c r="AU11" s="231">
        <f>SONPws!AU11</f>
        <v>0</v>
      </c>
      <c r="AV11" s="231">
        <f>SONPws!AV11</f>
        <v>0</v>
      </c>
      <c r="AW11" s="231">
        <f>SONPws!AW11</f>
        <v>0</v>
      </c>
      <c r="AX11" s="231">
        <f>SONPws!AX11</f>
        <v>0</v>
      </c>
      <c r="AY11" s="231">
        <f>SONPws!AY11</f>
        <v>0</v>
      </c>
      <c r="AZ11" s="231">
        <f>SONPws!AZ11</f>
        <v>0</v>
      </c>
      <c r="BA11" s="231">
        <f>SONPws!BA11</f>
        <v>0</v>
      </c>
      <c r="BB11" s="231">
        <f>SONPws!BB11</f>
        <v>0</v>
      </c>
      <c r="BC11" s="231">
        <f>SONPws!BC11</f>
        <v>0</v>
      </c>
      <c r="BD11" s="231">
        <f>SONPws!BD11</f>
        <v>0</v>
      </c>
      <c r="BE11" s="231">
        <f>SONPws!BE11</f>
        <v>0</v>
      </c>
      <c r="BF11" s="231">
        <f>SONPws!BF11</f>
        <v>0</v>
      </c>
      <c r="BG11" s="231">
        <f>SONPws!BG11</f>
        <v>0</v>
      </c>
      <c r="BH11" s="231">
        <f>SONPws!BH11</f>
        <v>0</v>
      </c>
      <c r="BI11" s="231">
        <f>SONPws!BI11</f>
        <v>0</v>
      </c>
      <c r="BJ11" s="231">
        <f>SONPws!BJ11</f>
        <v>0</v>
      </c>
      <c r="BK11" s="231">
        <f>SONPws!BK11</f>
        <v>0</v>
      </c>
      <c r="BL11" s="231">
        <f>SONPws!BL11</f>
        <v>0</v>
      </c>
      <c r="BM11" s="231">
        <f>SONPws!BM11</f>
        <v>0</v>
      </c>
      <c r="BN11" s="231">
        <f>SONPws!BN11</f>
        <v>0</v>
      </c>
      <c r="BO11" s="231">
        <f>SONPws!BO11</f>
        <v>0</v>
      </c>
      <c r="BP11" s="231">
        <f>SONPws!BP11</f>
        <v>0</v>
      </c>
      <c r="BQ11" s="231">
        <f>SONPws!BQ11</f>
        <v>0</v>
      </c>
      <c r="BR11" s="231">
        <f>SONPws!BR11</f>
        <v>0</v>
      </c>
      <c r="BS11" s="231">
        <f>SONPws!BS11</f>
        <v>0</v>
      </c>
      <c r="BT11" s="231"/>
      <c r="BU11" s="218">
        <f t="shared" si="1"/>
        <v>1455</v>
      </c>
    </row>
    <row r="12" spans="1:73" s="378" customFormat="1" x14ac:dyDescent="0.2">
      <c r="A12" s="377" t="s">
        <v>685</v>
      </c>
      <c r="C12" s="379"/>
      <c r="D12" s="379"/>
      <c r="E12" s="379"/>
      <c r="F12" s="379"/>
      <c r="G12" s="379"/>
      <c r="H12" s="379"/>
      <c r="I12" s="379"/>
      <c r="J12" s="379"/>
      <c r="K12" s="379"/>
      <c r="L12" s="379"/>
      <c r="M12" s="379"/>
      <c r="N12" s="379"/>
      <c r="O12" s="379"/>
      <c r="P12" s="379"/>
      <c r="Q12" s="379"/>
      <c r="R12" s="379"/>
      <c r="S12" s="379"/>
      <c r="T12" s="379"/>
      <c r="U12" s="379"/>
      <c r="V12" s="1149"/>
      <c r="W12" s="379"/>
      <c r="X12" s="379"/>
      <c r="Y12" s="379"/>
      <c r="Z12" s="37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87"/>
      <c r="BU12" s="218">
        <f t="shared" si="1"/>
        <v>0</v>
      </c>
    </row>
    <row r="13" spans="1:73" x14ac:dyDescent="0.2">
      <c r="A13" s="375" t="s">
        <v>673</v>
      </c>
      <c r="B13" s="230">
        <f t="shared" ref="B13:B21" si="2">SUM(C13:BS13)</f>
        <v>557273</v>
      </c>
      <c r="C13" s="231">
        <f>SONPws!C16</f>
        <v>0</v>
      </c>
      <c r="D13" s="231">
        <f>SONPws!D16</f>
        <v>41281</v>
      </c>
      <c r="E13" s="231">
        <f>SONPws!E16</f>
        <v>27846</v>
      </c>
      <c r="F13" s="231">
        <f>SONPws!F16</f>
        <v>2136</v>
      </c>
      <c r="G13" s="231">
        <f>SONPws!G16</f>
        <v>85</v>
      </c>
      <c r="H13" s="231">
        <f>SONPws!H16</f>
        <v>1121</v>
      </c>
      <c r="I13" s="231">
        <f>SONPws!I16</f>
        <v>1110</v>
      </c>
      <c r="J13" s="231">
        <f>SONPws!J16</f>
        <v>0</v>
      </c>
      <c r="K13" s="231">
        <f>SONPws!K16</f>
        <v>2748</v>
      </c>
      <c r="L13" s="231">
        <f>SONPws!L16</f>
        <v>0</v>
      </c>
      <c r="M13" s="231">
        <f>SONPws!M16</f>
        <v>0</v>
      </c>
      <c r="N13" s="231">
        <f>SONPws!N16</f>
        <v>897</v>
      </c>
      <c r="O13" s="231">
        <f>SONPws!O16</f>
        <v>20239</v>
      </c>
      <c r="P13" s="231">
        <f>SONPws!P16</f>
        <v>331</v>
      </c>
      <c r="Q13" s="231">
        <f>SONPws!Q16</f>
        <v>4523</v>
      </c>
      <c r="R13" s="231">
        <f>SONPws!R16</f>
        <v>14</v>
      </c>
      <c r="S13" s="231">
        <f>SONPws!S16</f>
        <v>55</v>
      </c>
      <c r="T13" s="231">
        <f>SONPws!T16</f>
        <v>6</v>
      </c>
      <c r="U13" s="231">
        <f>SONPws!U16</f>
        <v>657</v>
      </c>
      <c r="V13" s="231">
        <f>SONPws!V16</f>
        <v>299</v>
      </c>
      <c r="W13" s="231">
        <f>SONPws!W16</f>
        <v>8727</v>
      </c>
      <c r="X13" s="231">
        <f>SONPws!X16</f>
        <v>13421</v>
      </c>
      <c r="Y13" s="231">
        <f>SONPws!Y16</f>
        <v>0</v>
      </c>
      <c r="Z13" s="231">
        <f>SONPws!Z16</f>
        <v>0</v>
      </c>
      <c r="AA13" s="231">
        <f>SONPws!AA16</f>
        <v>0</v>
      </c>
      <c r="AB13" s="231">
        <f>SONPws!AB16</f>
        <v>1172</v>
      </c>
      <c r="AC13" s="231">
        <f>SONPws!AC16</f>
        <v>3781</v>
      </c>
      <c r="AD13" s="231">
        <f>SONPws!AD16</f>
        <v>34752</v>
      </c>
      <c r="AE13" s="231">
        <f>SONPws!AE16</f>
        <v>80121</v>
      </c>
      <c r="AF13" s="231">
        <f>SONPws!AF16</f>
        <v>28124</v>
      </c>
      <c r="AG13" s="231">
        <f>SONPws!AG16</f>
        <v>0</v>
      </c>
      <c r="AH13" s="231">
        <f>SONPws!AH16</f>
        <v>0</v>
      </c>
      <c r="AI13" s="231">
        <f>SONPws!AI16</f>
        <v>0</v>
      </c>
      <c r="AJ13" s="231">
        <f>SONPws!AJ16</f>
        <v>0</v>
      </c>
      <c r="AK13" s="231">
        <f>SONPws!AK16</f>
        <v>16005</v>
      </c>
      <c r="AL13" s="231">
        <f>SONPws!AL16</f>
        <v>241</v>
      </c>
      <c r="AM13" s="231">
        <f>SONPws!AM16</f>
        <v>416</v>
      </c>
      <c r="AN13" s="231">
        <f>SONPws!AN16</f>
        <v>2269</v>
      </c>
      <c r="AO13" s="231">
        <f>SONPws!AO16</f>
        <v>406</v>
      </c>
      <c r="AP13" s="231">
        <f>SONPws!AP16</f>
        <v>213</v>
      </c>
      <c r="AQ13" s="231">
        <f>SONPws!AQ16</f>
        <v>18875</v>
      </c>
      <c r="AR13" s="231">
        <f>SONPws!AR16</f>
        <v>3151</v>
      </c>
      <c r="AS13" s="231">
        <f>SONPws!AS16</f>
        <v>0</v>
      </c>
      <c r="AT13" s="231">
        <f>SONPws!AT16</f>
        <v>21995</v>
      </c>
      <c r="AU13" s="231">
        <f>SONPws!AU16</f>
        <v>25</v>
      </c>
      <c r="AV13" s="231">
        <f>SONPws!AV16</f>
        <v>0</v>
      </c>
      <c r="AW13" s="231">
        <f>SONPws!AW16</f>
        <v>10963</v>
      </c>
      <c r="AX13" s="231">
        <f>SONPws!AX16</f>
        <v>0</v>
      </c>
      <c r="AY13" s="231">
        <f>SONPws!AY16</f>
        <v>84</v>
      </c>
      <c r="AZ13" s="231">
        <f>SONPws!AZ16</f>
        <v>1185</v>
      </c>
      <c r="BA13" s="231">
        <f>SONPws!BA16</f>
        <v>75</v>
      </c>
      <c r="BB13" s="231">
        <f>SONPws!BB16</f>
        <v>123</v>
      </c>
      <c r="BC13" s="231">
        <f>SONPws!BC16</f>
        <v>309</v>
      </c>
      <c r="BD13" s="231">
        <f>SONPws!BD16</f>
        <v>0</v>
      </c>
      <c r="BE13" s="231">
        <f>SONPws!BE16</f>
        <v>293</v>
      </c>
      <c r="BF13" s="231">
        <f>SONPws!BF16</f>
        <v>326</v>
      </c>
      <c r="BG13" s="231">
        <f>SONPws!BG16</f>
        <v>0</v>
      </c>
      <c r="BH13" s="231">
        <f>SONPws!BH16</f>
        <v>0</v>
      </c>
      <c r="BI13" s="231">
        <f>SONPws!BI16</f>
        <v>29</v>
      </c>
      <c r="BJ13" s="231">
        <f>SONPws!BJ16</f>
        <v>3313</v>
      </c>
      <c r="BK13" s="231">
        <f>SONPws!BK16</f>
        <v>24125</v>
      </c>
      <c r="BL13" s="231">
        <f>SONPws!BL16</f>
        <v>290</v>
      </c>
      <c r="BM13" s="231">
        <f>SONPws!BM16</f>
        <v>1791</v>
      </c>
      <c r="BN13" s="231">
        <f>SONPws!BN16</f>
        <v>0</v>
      </c>
      <c r="BO13" s="231">
        <f>SONPws!BO16</f>
        <v>0</v>
      </c>
      <c r="BP13" s="231">
        <f>SONPws!BP16</f>
        <v>569</v>
      </c>
      <c r="BQ13" s="231">
        <f>SONPws!BQ16</f>
        <v>144453</v>
      </c>
      <c r="BR13" s="231">
        <f>SONPws!BR16</f>
        <v>31825</v>
      </c>
      <c r="BS13" s="231">
        <f>SONPws!BS16</f>
        <v>478</v>
      </c>
      <c r="BU13" s="218">
        <f t="shared" si="1"/>
        <v>488146</v>
      </c>
    </row>
    <row r="14" spans="1:73" x14ac:dyDescent="0.2">
      <c r="A14" s="375" t="s">
        <v>674</v>
      </c>
      <c r="B14" s="230">
        <f t="shared" si="2"/>
        <v>918435</v>
      </c>
      <c r="C14" s="231">
        <f>SONPws!C17</f>
        <v>0</v>
      </c>
      <c r="D14" s="231">
        <f>SONPws!D17</f>
        <v>2050</v>
      </c>
      <c r="E14" s="231">
        <f>SONPws!E17</f>
        <v>80038</v>
      </c>
      <c r="F14" s="231">
        <f>SONPws!F17</f>
        <v>421</v>
      </c>
      <c r="G14" s="231">
        <f>SONPws!G17</f>
        <v>0</v>
      </c>
      <c r="H14" s="231">
        <f>SONPws!H17</f>
        <v>3806</v>
      </c>
      <c r="I14" s="231">
        <f>SONPws!I17</f>
        <v>3805</v>
      </c>
      <c r="J14" s="231">
        <f>SONPws!J17</f>
        <v>0</v>
      </c>
      <c r="K14" s="231">
        <f>SONPws!K17</f>
        <v>9940</v>
      </c>
      <c r="L14" s="231">
        <f>SONPws!L17</f>
        <v>0</v>
      </c>
      <c r="M14" s="231">
        <f>SONPws!M17</f>
        <v>0</v>
      </c>
      <c r="N14" s="231">
        <f>SONPws!N17</f>
        <v>6114</v>
      </c>
      <c r="O14" s="231">
        <f>SONPws!O17</f>
        <v>85632</v>
      </c>
      <c r="P14" s="231">
        <f>SONPws!P17</f>
        <v>972</v>
      </c>
      <c r="Q14" s="231">
        <f>SONPws!Q17</f>
        <v>16754</v>
      </c>
      <c r="R14" s="231">
        <f>SONPws!R17</f>
        <v>1</v>
      </c>
      <c r="S14" s="231">
        <f>SONPws!S17</f>
        <v>19</v>
      </c>
      <c r="T14" s="231">
        <f>SONPws!T17</f>
        <v>12</v>
      </c>
      <c r="U14" s="231">
        <f>SONPws!U17</f>
        <v>2229</v>
      </c>
      <c r="V14" s="231">
        <f>SONPws!V17</f>
        <v>11361</v>
      </c>
      <c r="W14" s="231">
        <f>SONPws!W17</f>
        <v>36076</v>
      </c>
      <c r="X14" s="231">
        <f>SONPws!X17</f>
        <v>45438</v>
      </c>
      <c r="Y14" s="231">
        <f>SONPws!Y17</f>
        <v>0</v>
      </c>
      <c r="Z14" s="231">
        <f>SONPws!Z17</f>
        <v>0</v>
      </c>
      <c r="AA14" s="231">
        <f>SONPws!AA17</f>
        <v>0</v>
      </c>
      <c r="AB14" s="231">
        <f>SONPws!AB17</f>
        <v>3979</v>
      </c>
      <c r="AC14" s="231">
        <f>SONPws!AC17</f>
        <v>12836</v>
      </c>
      <c r="AD14" s="231">
        <f>SONPws!AD17</f>
        <v>120524</v>
      </c>
      <c r="AE14" s="231">
        <f>SONPws!AE17</f>
        <v>293952</v>
      </c>
      <c r="AF14" s="231">
        <f>SONPws!AF17</f>
        <v>0</v>
      </c>
      <c r="AG14" s="231">
        <f>SONPws!AG17</f>
        <v>0</v>
      </c>
      <c r="AH14" s="231">
        <f>SONPws!AH17</f>
        <v>0</v>
      </c>
      <c r="AI14" s="231">
        <f>SONPws!AI17</f>
        <v>0</v>
      </c>
      <c r="AJ14" s="231">
        <f>SONPws!AJ17</f>
        <v>0</v>
      </c>
      <c r="AK14" s="231">
        <f>SONPws!AK17</f>
        <v>21319</v>
      </c>
      <c r="AL14" s="231">
        <f>SONPws!AL17</f>
        <v>1073</v>
      </c>
      <c r="AM14" s="231">
        <f>SONPws!AM17</f>
        <v>1485</v>
      </c>
      <c r="AN14" s="231">
        <f>SONPws!AN17</f>
        <v>7701</v>
      </c>
      <c r="AO14" s="231">
        <f>SONPws!AO17</f>
        <v>17640</v>
      </c>
      <c r="AP14" s="231">
        <f>SONPws!AP17</f>
        <v>729</v>
      </c>
      <c r="AQ14" s="231">
        <f>SONPws!AQ17</f>
        <v>72131</v>
      </c>
      <c r="AR14" s="231">
        <f>SONPws!AR17</f>
        <v>0</v>
      </c>
      <c r="AS14" s="231">
        <f>SONPws!AS17</f>
        <v>0</v>
      </c>
      <c r="AT14" s="231">
        <f>SONPws!AT17</f>
        <v>0</v>
      </c>
      <c r="AU14" s="231">
        <f>SONPws!AU17</f>
        <v>84</v>
      </c>
      <c r="AV14" s="231">
        <f>SONPws!AV17</f>
        <v>0</v>
      </c>
      <c r="AW14" s="231">
        <f>SONPws!AW17</f>
        <v>45600</v>
      </c>
      <c r="AX14" s="231">
        <f>SONPws!AX17</f>
        <v>0</v>
      </c>
      <c r="AY14" s="231">
        <f>SONPws!AY17</f>
        <v>284</v>
      </c>
      <c r="AZ14" s="1101">
        <f>SONPws!AZ17</f>
        <v>4023</v>
      </c>
      <c r="BA14" s="231">
        <f>SONPws!BA17</f>
        <v>253</v>
      </c>
      <c r="BB14" s="231">
        <f>SONPws!BB17</f>
        <v>417</v>
      </c>
      <c r="BC14" s="231">
        <f>SONPws!BC17</f>
        <v>1048</v>
      </c>
      <c r="BD14" s="231">
        <f>SONPws!BD17</f>
        <v>0</v>
      </c>
      <c r="BE14" s="231">
        <f>SONPws!BE17</f>
        <v>0</v>
      </c>
      <c r="BF14" s="231">
        <f>SONPws!BF17</f>
        <v>592</v>
      </c>
      <c r="BG14" s="231">
        <f>SONPws!BG17</f>
        <v>0</v>
      </c>
      <c r="BH14" s="231">
        <f>SONPws!BH17</f>
        <v>0</v>
      </c>
      <c r="BI14" s="231">
        <f>SONPws!BI17</f>
        <v>0</v>
      </c>
      <c r="BJ14" s="231">
        <f>SONPws!BJ17</f>
        <v>2136</v>
      </c>
      <c r="BK14" s="231">
        <f>SONPws!BK17</f>
        <v>7</v>
      </c>
      <c r="BL14" s="231">
        <f>SONPws!BL17</f>
        <v>0</v>
      </c>
      <c r="BM14" s="231">
        <v>700</v>
      </c>
      <c r="BN14" s="231">
        <f>SONPws!BN17</f>
        <v>0</v>
      </c>
      <c r="BO14" s="231">
        <f>SONPws!BO17</f>
        <v>0</v>
      </c>
      <c r="BP14" s="231">
        <f>SONPws!BP17</f>
        <v>3631</v>
      </c>
      <c r="BQ14" s="231">
        <f>SONPws!BQ17</f>
        <v>0</v>
      </c>
      <c r="BR14" s="231">
        <f>SONPws!BR17</f>
        <v>0</v>
      </c>
      <c r="BS14" s="231">
        <f>SONPws!BS17</f>
        <v>1623</v>
      </c>
      <c r="BU14" s="218">
        <f t="shared" si="1"/>
        <v>836347</v>
      </c>
    </row>
    <row r="15" spans="1:73" x14ac:dyDescent="0.2">
      <c r="A15" s="375" t="s">
        <v>675</v>
      </c>
      <c r="B15" s="230">
        <f t="shared" si="2"/>
        <v>185155</v>
      </c>
      <c r="C15" s="231">
        <f>SONPws!C18+SONPws!C36</f>
        <v>33753</v>
      </c>
      <c r="D15" s="231">
        <f>SONPws!D18</f>
        <v>15949</v>
      </c>
      <c r="E15" s="231">
        <f>SONPws!E18</f>
        <v>495</v>
      </c>
      <c r="F15" s="231">
        <f>SONPws!F18</f>
        <v>1015</v>
      </c>
      <c r="G15" s="231">
        <v>10589</v>
      </c>
      <c r="H15" s="231">
        <f>SONPws!H18</f>
        <v>157</v>
      </c>
      <c r="I15" s="231">
        <v>30704</v>
      </c>
      <c r="J15" s="231">
        <f>SONPws!J18</f>
        <v>0</v>
      </c>
      <c r="K15" s="231">
        <f>SONPws!K18</f>
        <v>4150</v>
      </c>
      <c r="L15" s="231">
        <f>SONPws!L18</f>
        <v>0</v>
      </c>
      <c r="M15" s="231">
        <f>SONPws!M18</f>
        <v>0</v>
      </c>
      <c r="N15" s="231">
        <f>SONPws!N18</f>
        <v>12305</v>
      </c>
      <c r="O15" s="231">
        <v>36101</v>
      </c>
      <c r="P15" s="231">
        <f>SONPws!P18</f>
        <v>2771</v>
      </c>
      <c r="Q15" s="231">
        <f>SONPws!Q18</f>
        <v>104</v>
      </c>
      <c r="R15" s="231">
        <f>SONPws!R18</f>
        <v>8340</v>
      </c>
      <c r="S15" s="231">
        <f>SONPws!S18</f>
        <v>8340</v>
      </c>
      <c r="T15" s="231">
        <f>SONPws!T18</f>
        <v>911</v>
      </c>
      <c r="U15" s="231">
        <f>SONPws!U18</f>
        <v>791</v>
      </c>
      <c r="V15" s="231">
        <f>SONPws!V18</f>
        <v>616</v>
      </c>
      <c r="W15" s="231">
        <f>SONPws!W18</f>
        <v>4571</v>
      </c>
      <c r="X15" s="231">
        <f>SONPws!X18</f>
        <v>312</v>
      </c>
      <c r="Y15" s="231">
        <f>SONPws!Y18</f>
        <v>0</v>
      </c>
      <c r="Z15" s="231">
        <f>SONPws!Z18</f>
        <v>0</v>
      </c>
      <c r="AA15" s="231">
        <f>SONPws!AA18</f>
        <v>0</v>
      </c>
      <c r="AB15" s="231">
        <f>SONPws!AB18</f>
        <v>25</v>
      </c>
      <c r="AC15" s="231">
        <f>SONPws!AC18</f>
        <v>79</v>
      </c>
      <c r="AD15" s="231">
        <f>SONPws!AD18</f>
        <v>745</v>
      </c>
      <c r="AE15" s="231">
        <f>SONPws!AE18</f>
        <v>4843</v>
      </c>
      <c r="AF15" s="231">
        <f>SONPws!AF18</f>
        <v>4330</v>
      </c>
      <c r="AG15" s="231">
        <f>SONPws!AG18</f>
        <v>0</v>
      </c>
      <c r="AH15" s="231">
        <f>SONPws!AH18</f>
        <v>0</v>
      </c>
      <c r="AI15" s="231">
        <f>SONPws!AI18</f>
        <v>0</v>
      </c>
      <c r="AJ15" s="231">
        <f>SONPws!AJ18</f>
        <v>0</v>
      </c>
      <c r="AK15" s="231">
        <f>SONPws!AK18</f>
        <v>132</v>
      </c>
      <c r="AL15" s="231">
        <f>SONPws!AL18</f>
        <v>7</v>
      </c>
      <c r="AM15" s="231">
        <f>SONPws!AM18</f>
        <v>9</v>
      </c>
      <c r="AN15" s="231">
        <f>SONPws!AN18</f>
        <v>48</v>
      </c>
      <c r="AO15" s="231">
        <f>SONPws!AO18</f>
        <v>109</v>
      </c>
      <c r="AP15" s="231">
        <f>SONPws!AP18</f>
        <v>5</v>
      </c>
      <c r="AQ15" s="231">
        <f>SONPws!AQ18</f>
        <v>446</v>
      </c>
      <c r="AR15" s="231">
        <f>SONPws!AR18</f>
        <v>0</v>
      </c>
      <c r="AS15" s="231">
        <f>SONPws!AS18</f>
        <v>0</v>
      </c>
      <c r="AT15" s="231">
        <f>SONPws!AT18</f>
        <v>430</v>
      </c>
      <c r="AU15" s="231">
        <f>SONPws!AU18</f>
        <v>1</v>
      </c>
      <c r="AV15" s="231">
        <f>SONPws!AV18</f>
        <v>0</v>
      </c>
      <c r="AW15" s="231">
        <f>SONPws!AW18</f>
        <v>281</v>
      </c>
      <c r="AX15" s="231">
        <f>SONPws!AX18</f>
        <v>0</v>
      </c>
      <c r="AY15" s="231">
        <f>SONPws!AY18</f>
        <v>2</v>
      </c>
      <c r="AZ15" s="1101">
        <f>SONPws!AZ18</f>
        <v>208</v>
      </c>
      <c r="BA15" s="231">
        <f>SONPws!BA18</f>
        <v>1</v>
      </c>
      <c r="BB15" s="231">
        <f>SONPws!BB18</f>
        <v>3</v>
      </c>
      <c r="BC15" s="231">
        <f>SONPws!BC18</f>
        <v>10</v>
      </c>
      <c r="BD15" s="231">
        <f>SONPws!BD36</f>
        <v>0</v>
      </c>
      <c r="BE15" s="231">
        <f>SONPws!BE18</f>
        <v>0</v>
      </c>
      <c r="BF15" s="231">
        <f>SONPws!BF18</f>
        <v>4</v>
      </c>
      <c r="BG15" s="231">
        <f>SONPws!BG18</f>
        <v>7</v>
      </c>
      <c r="BH15" s="231">
        <f>SONPws!BH18</f>
        <v>0</v>
      </c>
      <c r="BI15" s="231">
        <f>SONPws!BI18</f>
        <v>0</v>
      </c>
      <c r="BJ15" s="231">
        <f>SONPws!BJ18</f>
        <v>95</v>
      </c>
      <c r="BK15" s="231">
        <f>SONPws!BK18</f>
        <v>96</v>
      </c>
      <c r="BL15" s="231">
        <f>SONPws!BL18</f>
        <v>1</v>
      </c>
      <c r="BM15" s="231">
        <v>134</v>
      </c>
      <c r="BN15" s="231">
        <f>SONPws!BN18</f>
        <v>0</v>
      </c>
      <c r="BO15" s="231">
        <f>SONPws!BO18</f>
        <v>0</v>
      </c>
      <c r="BP15" s="231">
        <f>SONPws!BP18</f>
        <v>79</v>
      </c>
      <c r="BQ15" s="231">
        <f>SONPws!BQ18</f>
        <v>885</v>
      </c>
      <c r="BR15" s="231">
        <f>SONPws!BR18</f>
        <v>156</v>
      </c>
      <c r="BS15" s="231">
        <f>SONPws!BS18</f>
        <v>10</v>
      </c>
      <c r="BU15" s="218">
        <f t="shared" si="1"/>
        <v>134958</v>
      </c>
    </row>
    <row r="16" spans="1:73" x14ac:dyDescent="0.2">
      <c r="A16" s="375" t="s">
        <v>763</v>
      </c>
      <c r="B16" s="230">
        <f t="shared" si="2"/>
        <v>1647</v>
      </c>
      <c r="C16" s="231">
        <f>SONPws!C19</f>
        <v>0</v>
      </c>
      <c r="D16" s="231">
        <f>SONPws!D19</f>
        <v>0</v>
      </c>
      <c r="E16" s="231">
        <f>SONPws!E19</f>
        <v>28</v>
      </c>
      <c r="F16" s="231">
        <f>SONPws!F19</f>
        <v>842</v>
      </c>
      <c r="G16" s="231">
        <f>SONPws!G19</f>
        <v>0</v>
      </c>
      <c r="H16" s="231">
        <f>SONPws!H19</f>
        <v>0</v>
      </c>
      <c r="I16" s="231">
        <f>SONPws!I19</f>
        <v>0</v>
      </c>
      <c r="J16" s="231">
        <f>SONPws!J19</f>
        <v>0</v>
      </c>
      <c r="K16" s="231">
        <f>SONPws!K19</f>
        <v>0</v>
      </c>
      <c r="L16" s="231">
        <f>SONPws!L19</f>
        <v>0</v>
      </c>
      <c r="M16" s="231">
        <f>SONPws!M19</f>
        <v>0</v>
      </c>
      <c r="N16" s="231">
        <f>SONPws!N19</f>
        <v>38</v>
      </c>
      <c r="O16" s="231">
        <f>SONPws!O19</f>
        <v>119</v>
      </c>
      <c r="P16" s="231">
        <f>SONPws!P19</f>
        <v>0</v>
      </c>
      <c r="Q16" s="231">
        <f>SONPws!Q19</f>
        <v>0</v>
      </c>
      <c r="R16" s="231">
        <f>SONPws!R19</f>
        <v>0</v>
      </c>
      <c r="S16" s="231">
        <f>SONPws!S19</f>
        <v>0</v>
      </c>
      <c r="T16" s="231">
        <f>SONPws!T19</f>
        <v>0</v>
      </c>
      <c r="U16" s="231">
        <f>SONPws!U19</f>
        <v>0</v>
      </c>
      <c r="V16" s="231">
        <f>SONPws!V19</f>
        <v>0</v>
      </c>
      <c r="W16" s="231">
        <f>SONPws!W19</f>
        <v>41</v>
      </c>
      <c r="X16" s="231"/>
      <c r="Y16" s="231">
        <f>SONPws!Y19</f>
        <v>0</v>
      </c>
      <c r="Z16" s="231">
        <f>SONPws!Z19</f>
        <v>0</v>
      </c>
      <c r="AA16" s="231">
        <f>SONPws!AA19</f>
        <v>0</v>
      </c>
      <c r="AB16" s="231">
        <f>SONPws!AB19</f>
        <v>0</v>
      </c>
      <c r="AC16" s="231">
        <f>SONPws!AC19</f>
        <v>0</v>
      </c>
      <c r="AD16" s="231">
        <f>SONPws!AD19</f>
        <v>0</v>
      </c>
      <c r="AE16" s="231">
        <f>SONPws!AE19</f>
        <v>0</v>
      </c>
      <c r="AF16" s="231">
        <f>SONPws!AF19</f>
        <v>0</v>
      </c>
      <c r="AG16" s="231">
        <f>SONPws!AG19</f>
        <v>0</v>
      </c>
      <c r="AH16" s="231">
        <f>SONPws!AH19</f>
        <v>0</v>
      </c>
      <c r="AI16" s="231">
        <f>SONPws!AI19</f>
        <v>0</v>
      </c>
      <c r="AJ16" s="231">
        <f>SONPws!AJ19</f>
        <v>0</v>
      </c>
      <c r="AK16" s="231">
        <f>SONPws!AK19</f>
        <v>0</v>
      </c>
      <c r="AL16" s="231">
        <f>SONPws!AL19</f>
        <v>0</v>
      </c>
      <c r="AM16" s="231">
        <f>SONPws!AM19</f>
        <v>0</v>
      </c>
      <c r="AN16" s="231">
        <f>SONPws!AN19</f>
        <v>0</v>
      </c>
      <c r="AO16" s="231">
        <f>SONPws!AO19</f>
        <v>0</v>
      </c>
      <c r="AP16" s="231">
        <f>SONPws!AP19</f>
        <v>0</v>
      </c>
      <c r="AQ16" s="231">
        <f>SONPws!AQ19</f>
        <v>0</v>
      </c>
      <c r="AR16" s="231">
        <f>SONPws!AR19</f>
        <v>0</v>
      </c>
      <c r="AS16" s="231">
        <f>SONPws!AS19</f>
        <v>0</v>
      </c>
      <c r="AT16" s="231">
        <f>SONPws!AT19</f>
        <v>0</v>
      </c>
      <c r="AU16" s="231">
        <f>SONPws!AU19</f>
        <v>0</v>
      </c>
      <c r="AV16" s="231">
        <f>SONPws!AV19</f>
        <v>0</v>
      </c>
      <c r="AW16" s="231">
        <f>SONPws!AW19</f>
        <v>0</v>
      </c>
      <c r="AX16" s="231">
        <f>SONPws!AX19</f>
        <v>0</v>
      </c>
      <c r="AY16" s="231">
        <f>SONPws!AY19</f>
        <v>0</v>
      </c>
      <c r="AZ16" s="1101">
        <v>0</v>
      </c>
      <c r="BA16" s="231">
        <f>SONPws!BA19</f>
        <v>0</v>
      </c>
      <c r="BB16" s="231">
        <f>SONPws!BB19</f>
        <v>0</v>
      </c>
      <c r="BC16" s="231">
        <f>SONPws!BC19</f>
        <v>0</v>
      </c>
      <c r="BD16" s="231">
        <f>SONPws!BD19</f>
        <v>0</v>
      </c>
      <c r="BE16" s="231">
        <f>SONPws!BE19</f>
        <v>0</v>
      </c>
      <c r="BF16" s="231">
        <f>SONPws!BF19</f>
        <v>0</v>
      </c>
      <c r="BG16" s="231">
        <f>SONPws!BG19</f>
        <v>0</v>
      </c>
      <c r="BH16" s="231">
        <f>SONPws!BH19</f>
        <v>0</v>
      </c>
      <c r="BI16" s="231">
        <f>SONPws!BI19</f>
        <v>0</v>
      </c>
      <c r="BJ16" s="231">
        <f>SONPws!BJ19</f>
        <v>425</v>
      </c>
      <c r="BK16" s="231">
        <f>SONPws!BK19</f>
        <v>0</v>
      </c>
      <c r="BL16" s="231">
        <f>SONPws!BL19</f>
        <v>0</v>
      </c>
      <c r="BM16" s="231">
        <f>SONPws!BM19</f>
        <v>0</v>
      </c>
      <c r="BN16" s="231">
        <f>SONPws!BN19</f>
        <v>0</v>
      </c>
      <c r="BO16" s="231">
        <f>SONPws!BO19</f>
        <v>0</v>
      </c>
      <c r="BP16" s="231">
        <f>SONPws!BP19</f>
        <v>0</v>
      </c>
      <c r="BQ16" s="231">
        <f>SONPws!BQ19</f>
        <v>0</v>
      </c>
      <c r="BR16" s="231">
        <f>SONPws!BR19</f>
        <v>0</v>
      </c>
      <c r="BS16" s="231">
        <f>SONPws!BS19</f>
        <v>154</v>
      </c>
      <c r="BU16" s="218">
        <f t="shared" si="1"/>
        <v>1619</v>
      </c>
    </row>
    <row r="17" spans="1:88" x14ac:dyDescent="0.2">
      <c r="A17" s="375" t="s">
        <v>683</v>
      </c>
      <c r="B17" s="230">
        <f t="shared" si="2"/>
        <v>15</v>
      </c>
      <c r="C17" s="231">
        <f>SONPws!C22</f>
        <v>0</v>
      </c>
      <c r="D17" s="231">
        <f>SONPws!D22</f>
        <v>0</v>
      </c>
      <c r="E17" s="231">
        <f>SONPws!E22</f>
        <v>0</v>
      </c>
      <c r="F17" s="231">
        <f>SONPws!F22</f>
        <v>0</v>
      </c>
      <c r="G17" s="231">
        <f>SONPws!G22</f>
        <v>0</v>
      </c>
      <c r="H17" s="231">
        <f>SONPws!H22</f>
        <v>0</v>
      </c>
      <c r="I17" s="231">
        <f>SONPws!I22</f>
        <v>0</v>
      </c>
      <c r="J17" s="231">
        <f>SONPws!J22</f>
        <v>0</v>
      </c>
      <c r="K17" s="231">
        <f>SONPws!K22</f>
        <v>0</v>
      </c>
      <c r="L17" s="231">
        <f>SONPws!L22</f>
        <v>0</v>
      </c>
      <c r="M17" s="231">
        <f>SONPws!M22</f>
        <v>0</v>
      </c>
      <c r="N17" s="231">
        <f>SONPws!N22</f>
        <v>0</v>
      </c>
      <c r="O17" s="231">
        <f>SONPws!O22</f>
        <v>15</v>
      </c>
      <c r="P17" s="231">
        <f>SONPws!P22</f>
        <v>0</v>
      </c>
      <c r="Q17" s="231">
        <f>SONPws!Q22</f>
        <v>0</v>
      </c>
      <c r="R17" s="231">
        <f>SONPws!R22</f>
        <v>0</v>
      </c>
      <c r="S17" s="231">
        <f>SONPws!S22</f>
        <v>0</v>
      </c>
      <c r="T17" s="231">
        <f>SONPws!T22</f>
        <v>0</v>
      </c>
      <c r="U17" s="231">
        <f>SONPws!U22</f>
        <v>0</v>
      </c>
      <c r="V17" s="231">
        <f>SONPws!V22</f>
        <v>0</v>
      </c>
      <c r="W17" s="231">
        <f>SONPws!W22</f>
        <v>0</v>
      </c>
      <c r="X17" s="231"/>
      <c r="Y17" s="231">
        <f>SONPws!Y22</f>
        <v>0</v>
      </c>
      <c r="Z17" s="231">
        <f>SONPws!Z22</f>
        <v>0</v>
      </c>
      <c r="AA17" s="231">
        <f>SONPws!AA22</f>
        <v>0</v>
      </c>
      <c r="AB17" s="231">
        <f>SONPws!AB22</f>
        <v>0</v>
      </c>
      <c r="AC17" s="231">
        <f>SONPws!AC22</f>
        <v>0</v>
      </c>
      <c r="AD17" s="231">
        <f>SONPws!AD22</f>
        <v>0</v>
      </c>
      <c r="AE17" s="231">
        <f>SONPws!AE22</f>
        <v>0</v>
      </c>
      <c r="AF17" s="231">
        <f>SONPws!AF22</f>
        <v>0</v>
      </c>
      <c r="AG17" s="231">
        <f>SONPws!AG22</f>
        <v>0</v>
      </c>
      <c r="AH17" s="231">
        <f>SONPws!AH22</f>
        <v>0</v>
      </c>
      <c r="AI17" s="231">
        <f>SONPws!AI22</f>
        <v>0</v>
      </c>
      <c r="AJ17" s="231">
        <f>SONPws!AJ22</f>
        <v>0</v>
      </c>
      <c r="AK17" s="231">
        <f>SONPws!AK22</f>
        <v>0</v>
      </c>
      <c r="AL17" s="231">
        <f>SONPws!AL22</f>
        <v>0</v>
      </c>
      <c r="AM17" s="231">
        <f>SONPws!AM22</f>
        <v>0</v>
      </c>
      <c r="AN17" s="231">
        <f>SONPws!AN22</f>
        <v>0</v>
      </c>
      <c r="AO17" s="231">
        <f>SONPws!AO22</f>
        <v>0</v>
      </c>
      <c r="AP17" s="231">
        <f>SONPws!AP22</f>
        <v>0</v>
      </c>
      <c r="AQ17" s="231">
        <f>SONPws!AQ22</f>
        <v>0</v>
      </c>
      <c r="AR17" s="231">
        <f>SONPws!AR22</f>
        <v>0</v>
      </c>
      <c r="AS17" s="231">
        <f>SONPws!AS22</f>
        <v>0</v>
      </c>
      <c r="AT17" s="231">
        <f>SONPws!AT22</f>
        <v>0</v>
      </c>
      <c r="AU17" s="231">
        <f>SONPws!AU22</f>
        <v>0</v>
      </c>
      <c r="AV17" s="231">
        <f>SONPws!AV22</f>
        <v>0</v>
      </c>
      <c r="AW17" s="231">
        <f>SONPws!AW22</f>
        <v>0</v>
      </c>
      <c r="AX17" s="231">
        <f>SONPws!AX22</f>
        <v>0</v>
      </c>
      <c r="AY17" s="231">
        <f>SONPws!AY22</f>
        <v>0</v>
      </c>
      <c r="AZ17" s="1101">
        <v>0</v>
      </c>
      <c r="BA17" s="231">
        <f>SONPws!BA22</f>
        <v>0</v>
      </c>
      <c r="BB17" s="231">
        <f>SONPws!BB22</f>
        <v>0</v>
      </c>
      <c r="BC17" s="231">
        <f>SONPws!BC22</f>
        <v>0</v>
      </c>
      <c r="BD17" s="231">
        <f>SONPws!BD22</f>
        <v>0</v>
      </c>
      <c r="BE17" s="231">
        <f>SONPws!BE22</f>
        <v>0</v>
      </c>
      <c r="BF17" s="231">
        <f>SONPws!BF22</f>
        <v>0</v>
      </c>
      <c r="BG17" s="231">
        <f>SONPws!BG22</f>
        <v>0</v>
      </c>
      <c r="BH17" s="231">
        <f>SONPws!BH22</f>
        <v>0</v>
      </c>
      <c r="BI17" s="231">
        <f>SONPws!BI22</f>
        <v>0</v>
      </c>
      <c r="BJ17" s="231">
        <f>SONPws!BJ22</f>
        <v>0</v>
      </c>
      <c r="BK17" s="231">
        <f>SONPws!BK22</f>
        <v>0</v>
      </c>
      <c r="BL17" s="231">
        <f>SONPws!BL22</f>
        <v>0</v>
      </c>
      <c r="BM17" s="231">
        <f>SONPws!BM22</f>
        <v>0</v>
      </c>
      <c r="BN17" s="231">
        <f>SONPws!BN22</f>
        <v>0</v>
      </c>
      <c r="BO17" s="231">
        <f>SONPws!BO22</f>
        <v>0</v>
      </c>
      <c r="BP17" s="231">
        <f>SONPws!BP22</f>
        <v>0</v>
      </c>
      <c r="BQ17" s="231">
        <f>SONPws!BQ22</f>
        <v>0</v>
      </c>
      <c r="BR17" s="231">
        <f>SONPws!BR22</f>
        <v>0</v>
      </c>
      <c r="BS17" s="231">
        <f>SONPws!BS22</f>
        <v>0</v>
      </c>
      <c r="BU17" s="218">
        <f t="shared" si="1"/>
        <v>15</v>
      </c>
    </row>
    <row r="18" spans="1:88" x14ac:dyDescent="0.2">
      <c r="A18" s="375" t="s">
        <v>840</v>
      </c>
      <c r="B18" s="230">
        <f t="shared" si="2"/>
        <v>9954</v>
      </c>
      <c r="C18" s="231">
        <f>SONPws!C20</f>
        <v>0</v>
      </c>
      <c r="D18" s="231">
        <f>SONPws!D20</f>
        <v>0</v>
      </c>
      <c r="E18" s="231">
        <f>SONPws!E20</f>
        <v>5506</v>
      </c>
      <c r="F18" s="231">
        <f>SONPws!F20</f>
        <v>22</v>
      </c>
      <c r="G18" s="231">
        <f>SONPws!G20</f>
        <v>0</v>
      </c>
      <c r="H18" s="231">
        <f>SONPws!H20</f>
        <v>0</v>
      </c>
      <c r="I18" s="231">
        <f>SONPws!I20</f>
        <v>0</v>
      </c>
      <c r="J18" s="231">
        <f>SONPws!J20</f>
        <v>0</v>
      </c>
      <c r="K18" s="231">
        <f>SONPws!K20</f>
        <v>0</v>
      </c>
      <c r="L18" s="231">
        <f>SONPws!L20</f>
        <v>0</v>
      </c>
      <c r="M18" s="231">
        <f>SONPws!M20</f>
        <v>0</v>
      </c>
      <c r="N18" s="231">
        <f>SONPws!N20</f>
        <v>0</v>
      </c>
      <c r="O18" s="231">
        <f>SONPws!O20</f>
        <v>2792</v>
      </c>
      <c r="P18" s="231">
        <f>SONPws!P20</f>
        <v>0</v>
      </c>
      <c r="Q18" s="231">
        <f>SONPws!Q20</f>
        <v>0</v>
      </c>
      <c r="R18" s="231">
        <f>SONPws!R20</f>
        <v>0</v>
      </c>
      <c r="S18" s="231">
        <f>SONPws!S20</f>
        <v>0</v>
      </c>
      <c r="T18" s="231">
        <f>SONPws!T20</f>
        <v>0</v>
      </c>
      <c r="U18" s="231">
        <f>SONPws!U20</f>
        <v>0</v>
      </c>
      <c r="V18" s="231">
        <f>SONPws!V20</f>
        <v>0</v>
      </c>
      <c r="W18" s="231">
        <f>SONPws!W20</f>
        <v>0</v>
      </c>
      <c r="X18" s="231"/>
      <c r="Y18" s="231">
        <f>SONPws!Y20</f>
        <v>0</v>
      </c>
      <c r="Z18" s="231">
        <f>SONPws!Z20</f>
        <v>0</v>
      </c>
      <c r="AA18" s="231">
        <f>SONPws!AA20</f>
        <v>0</v>
      </c>
      <c r="AB18" s="231">
        <f>SONPws!AB20</f>
        <v>0</v>
      </c>
      <c r="AC18" s="231">
        <f>SONPws!AC20</f>
        <v>0</v>
      </c>
      <c r="AD18" s="231">
        <f>SONPws!AD20</f>
        <v>0</v>
      </c>
      <c r="AE18" s="231">
        <f>SONPws!AE20</f>
        <v>0</v>
      </c>
      <c r="AF18" s="231">
        <f>SONPws!AF20</f>
        <v>0</v>
      </c>
      <c r="AG18" s="231">
        <f>SONPws!AG20</f>
        <v>0</v>
      </c>
      <c r="AH18" s="231">
        <f>SONPws!AH20</f>
        <v>0</v>
      </c>
      <c r="AI18" s="231">
        <f>SONPws!AI20</f>
        <v>0</v>
      </c>
      <c r="AJ18" s="231">
        <f>SONPws!AJ20</f>
        <v>0</v>
      </c>
      <c r="AK18" s="231">
        <f>SONPws!AK20</f>
        <v>0</v>
      </c>
      <c r="AL18" s="231">
        <f>SONPws!AL20</f>
        <v>0</v>
      </c>
      <c r="AM18" s="231">
        <f>SONPws!AM20</f>
        <v>0</v>
      </c>
      <c r="AN18" s="231">
        <f>SONPws!AN20</f>
        <v>0</v>
      </c>
      <c r="AO18" s="231">
        <f>SONPws!AO20</f>
        <v>0</v>
      </c>
      <c r="AP18" s="231">
        <f>SONPws!AP20</f>
        <v>0</v>
      </c>
      <c r="AQ18" s="231">
        <f>SONPws!AQ20</f>
        <v>0</v>
      </c>
      <c r="AR18" s="231">
        <f>SONPws!AR20</f>
        <v>0</v>
      </c>
      <c r="AS18" s="231">
        <f>SONPws!AS20</f>
        <v>0</v>
      </c>
      <c r="AT18" s="231">
        <f>SONPws!AT20</f>
        <v>0</v>
      </c>
      <c r="AU18" s="231">
        <f>SONPws!AU20</f>
        <v>0</v>
      </c>
      <c r="AV18" s="231">
        <f>SONPws!AV20</f>
        <v>0</v>
      </c>
      <c r="AW18" s="231">
        <f>SONPws!AW20</f>
        <v>0</v>
      </c>
      <c r="AX18" s="231">
        <f>SONPws!AX20</f>
        <v>0</v>
      </c>
      <c r="AY18" s="231">
        <f>SONPws!AY20</f>
        <v>0</v>
      </c>
      <c r="AZ18" s="1101">
        <v>0</v>
      </c>
      <c r="BA18" s="231">
        <f>SONPws!BA20</f>
        <v>0</v>
      </c>
      <c r="BB18" s="231">
        <f>SONPws!BB20</f>
        <v>0</v>
      </c>
      <c r="BC18" s="231">
        <f>SONPws!BC20</f>
        <v>0</v>
      </c>
      <c r="BD18" s="231">
        <f>SONPws!BD20</f>
        <v>0</v>
      </c>
      <c r="BE18" s="231">
        <f>SONPws!BE20</f>
        <v>0</v>
      </c>
      <c r="BF18" s="231">
        <f>SONPws!BF20</f>
        <v>0</v>
      </c>
      <c r="BG18" s="231">
        <f>SONPws!BG20</f>
        <v>0</v>
      </c>
      <c r="BH18" s="231">
        <f>SONPws!BH20</f>
        <v>0</v>
      </c>
      <c r="BI18" s="231">
        <f>SONPws!BI20</f>
        <v>0</v>
      </c>
      <c r="BJ18" s="231">
        <f>SONPws!BJ20</f>
        <v>44</v>
      </c>
      <c r="BK18" s="231">
        <f>SONPws!BK20</f>
        <v>0</v>
      </c>
      <c r="BL18" s="231">
        <f>SONPws!BL20</f>
        <v>3</v>
      </c>
      <c r="BM18" s="231">
        <f>SONPws!BM20</f>
        <v>0</v>
      </c>
      <c r="BN18" s="231">
        <f>SONPws!BN20</f>
        <v>0</v>
      </c>
      <c r="BO18" s="231">
        <f>SONPws!BO20</f>
        <v>0</v>
      </c>
      <c r="BP18" s="231">
        <f>SONPws!BP20</f>
        <v>22</v>
      </c>
      <c r="BQ18" s="231">
        <f>SONPws!BQ20</f>
        <v>1565</v>
      </c>
      <c r="BR18" s="231">
        <f>SONPws!BR20</f>
        <v>0</v>
      </c>
      <c r="BS18" s="231">
        <f>SONPws!BS20</f>
        <v>0</v>
      </c>
      <c r="BU18" s="218">
        <f t="shared" si="1"/>
        <v>4448</v>
      </c>
    </row>
    <row r="19" spans="1:88" s="891" customFormat="1" x14ac:dyDescent="0.2">
      <c r="A19" s="1428" t="s">
        <v>1773</v>
      </c>
      <c r="B19" s="891">
        <f t="shared" si="2"/>
        <v>38416</v>
      </c>
      <c r="C19" s="1427"/>
      <c r="D19" s="1427"/>
      <c r="E19" s="1427"/>
      <c r="F19" s="1427"/>
      <c r="G19" s="1427">
        <v>422</v>
      </c>
      <c r="H19" s="1427"/>
      <c r="I19" s="1427"/>
      <c r="J19" s="1427"/>
      <c r="K19" s="1427"/>
      <c r="L19" s="1427"/>
      <c r="M19" s="1427"/>
      <c r="N19" s="1427">
        <v>19176</v>
      </c>
      <c r="O19" s="218">
        <v>12843</v>
      </c>
      <c r="P19" s="1427"/>
      <c r="Q19" s="1427"/>
      <c r="R19" s="1427"/>
      <c r="S19" s="1427"/>
      <c r="T19" s="1427"/>
      <c r="U19" s="1427"/>
      <c r="V19" s="1427"/>
      <c r="W19" s="1427"/>
      <c r="X19" s="1427"/>
      <c r="Y19" s="1427"/>
      <c r="Z19" s="1427"/>
      <c r="AA19" s="1427"/>
      <c r="AB19" s="1427"/>
      <c r="AC19" s="1427"/>
      <c r="AD19" s="1427"/>
      <c r="AE19" s="1427"/>
      <c r="AF19" s="1427"/>
      <c r="AG19" s="1427"/>
      <c r="AH19" s="1427"/>
      <c r="AI19" s="1427"/>
      <c r="AJ19" s="1427"/>
      <c r="AK19" s="1427"/>
      <c r="AL19" s="1427"/>
      <c r="AM19" s="1427"/>
      <c r="AN19" s="1427"/>
      <c r="AO19" s="1427"/>
      <c r="AP19" s="1427"/>
      <c r="AQ19" s="1427"/>
      <c r="AR19" s="1427"/>
      <c r="AS19" s="1427"/>
      <c r="AT19" s="1427"/>
      <c r="AU19" s="1427"/>
      <c r="AV19" s="1427"/>
      <c r="AW19" s="1427"/>
      <c r="AX19" s="1427"/>
      <c r="AY19" s="1427"/>
      <c r="AZ19" s="1148"/>
      <c r="BA19" s="1427"/>
      <c r="BB19" s="1427"/>
      <c r="BC19" s="1427"/>
      <c r="BD19" s="1427"/>
      <c r="BE19" s="1427"/>
      <c r="BF19" s="1427"/>
      <c r="BG19" s="1427"/>
      <c r="BH19" s="1427"/>
      <c r="BI19" s="1427"/>
      <c r="BJ19" s="1427"/>
      <c r="BK19" s="1427"/>
      <c r="BL19" s="1427"/>
      <c r="BM19" s="1427"/>
      <c r="BN19" s="1427"/>
      <c r="BO19" s="1427"/>
      <c r="BP19" s="1427">
        <v>5975</v>
      </c>
      <c r="BQ19" s="1427"/>
      <c r="BR19" s="1427"/>
      <c r="BS19" s="1427"/>
      <c r="BT19" s="897"/>
      <c r="BU19" s="1427"/>
    </row>
    <row r="20" spans="1:88" x14ac:dyDescent="0.2">
      <c r="A20" s="375" t="s">
        <v>63</v>
      </c>
      <c r="B20" s="230">
        <f t="shared" si="2"/>
        <v>14841</v>
      </c>
      <c r="C20" s="231">
        <f>SONPws!C23</f>
        <v>0</v>
      </c>
      <c r="D20" s="231">
        <f>SONPws!D23</f>
        <v>435</v>
      </c>
      <c r="E20" s="231">
        <f>SONPws!E23</f>
        <v>5416</v>
      </c>
      <c r="F20" s="231">
        <f>SONPws!F23</f>
        <v>0</v>
      </c>
      <c r="G20" s="231">
        <f>SONPws!G23</f>
        <v>0</v>
      </c>
      <c r="H20" s="231">
        <f>SONPws!H23</f>
        <v>0</v>
      </c>
      <c r="I20" s="231">
        <f>SONPws!I23</f>
        <v>0</v>
      </c>
      <c r="J20" s="231">
        <f>SONPws!J23</f>
        <v>0</v>
      </c>
      <c r="K20" s="231">
        <f>SONPws!K23</f>
        <v>0</v>
      </c>
      <c r="L20" s="231">
        <f>SONPws!L23</f>
        <v>0</v>
      </c>
      <c r="M20" s="231">
        <f>SONPws!M23</f>
        <v>0</v>
      </c>
      <c r="N20" s="231">
        <f>SONPws!N23</f>
        <v>0</v>
      </c>
      <c r="O20" s="231">
        <f>SONPws!O23</f>
        <v>0</v>
      </c>
      <c r="P20" s="231">
        <f>SONPws!P23</f>
        <v>0</v>
      </c>
      <c r="Q20" s="231">
        <f>SONPws!Q23</f>
        <v>0</v>
      </c>
      <c r="R20" s="231">
        <f>SONPws!R23</f>
        <v>0</v>
      </c>
      <c r="S20" s="231">
        <f>SONPws!S23</f>
        <v>0</v>
      </c>
      <c r="T20" s="231">
        <f>SONPws!T23</f>
        <v>0</v>
      </c>
      <c r="U20" s="231">
        <f>SONPws!U23</f>
        <v>0</v>
      </c>
      <c r="V20" s="231">
        <f>SONPws!V23</f>
        <v>0</v>
      </c>
      <c r="W20" s="231">
        <f>SONPws!W23</f>
        <v>0</v>
      </c>
      <c r="X20" s="231">
        <f>SONPws!X23</f>
        <v>0</v>
      </c>
      <c r="Y20" s="231">
        <f>SONPws!Y23</f>
        <v>0</v>
      </c>
      <c r="Z20" s="231">
        <f>SONPws!Z23</f>
        <v>0</v>
      </c>
      <c r="AA20" s="231">
        <f>SONPws!AA23</f>
        <v>0</v>
      </c>
      <c r="AB20" s="231">
        <f>SONPws!AB23</f>
        <v>0</v>
      </c>
      <c r="AC20" s="231">
        <f>SONPws!AC23</f>
        <v>0</v>
      </c>
      <c r="AD20" s="231">
        <f>SONPws!AD23</f>
        <v>0</v>
      </c>
      <c r="AE20" s="231">
        <f>SONPws!AE23</f>
        <v>0</v>
      </c>
      <c r="AF20" s="231">
        <f>SONPws!AF23</f>
        <v>0</v>
      </c>
      <c r="AG20" s="231">
        <f>SONPws!AG23</f>
        <v>0</v>
      </c>
      <c r="AH20" s="231">
        <f>SONPws!AH23</f>
        <v>0</v>
      </c>
      <c r="AI20" s="231">
        <f>SONPws!AI23</f>
        <v>0</v>
      </c>
      <c r="AJ20" s="231">
        <f>SONPws!AJ23</f>
        <v>0</v>
      </c>
      <c r="AK20" s="231">
        <f>SONPws!AK23</f>
        <v>0</v>
      </c>
      <c r="AL20" s="231">
        <f>SONPws!AL23</f>
        <v>0</v>
      </c>
      <c r="AM20" s="231">
        <f>SONPws!AM23</f>
        <v>0</v>
      </c>
      <c r="AN20" s="231">
        <f>SONPws!AN23</f>
        <v>0</v>
      </c>
      <c r="AO20" s="231">
        <f>SONPws!AO23</f>
        <v>0</v>
      </c>
      <c r="AP20" s="231">
        <f>SONPws!AP23</f>
        <v>0</v>
      </c>
      <c r="AQ20" s="231">
        <f>SONPws!AQ23</f>
        <v>0</v>
      </c>
      <c r="AR20" s="231">
        <f>SONPws!AR23</f>
        <v>0</v>
      </c>
      <c r="AS20" s="231">
        <f>SONPws!AS23</f>
        <v>0</v>
      </c>
      <c r="AT20" s="231">
        <f>SONPws!AT23</f>
        <v>0</v>
      </c>
      <c r="AU20" s="231">
        <f>SONPws!AU23</f>
        <v>0</v>
      </c>
      <c r="AV20" s="231">
        <f>SONPws!AV23</f>
        <v>0</v>
      </c>
      <c r="AW20" s="231">
        <f>SONPws!AW23</f>
        <v>0</v>
      </c>
      <c r="AX20" s="231">
        <f>SONPws!AX23</f>
        <v>0</v>
      </c>
      <c r="AY20" s="231">
        <f>SONPws!AY23</f>
        <v>0</v>
      </c>
      <c r="AZ20" s="231">
        <f>SONPws!AZ23</f>
        <v>0</v>
      </c>
      <c r="BA20" s="231">
        <f>SONPws!BA23</f>
        <v>0</v>
      </c>
      <c r="BB20" s="231">
        <f>SONPws!BB23</f>
        <v>0</v>
      </c>
      <c r="BC20" s="231">
        <f>SONPws!BC23</f>
        <v>0</v>
      </c>
      <c r="BD20" s="231">
        <f>SONPws!BD23</f>
        <v>0</v>
      </c>
      <c r="BE20" s="231">
        <f>SONPws!BE23</f>
        <v>0</v>
      </c>
      <c r="BF20" s="231">
        <f>SONPws!BF23</f>
        <v>0</v>
      </c>
      <c r="BG20" s="231">
        <f>SONPws!BG23</f>
        <v>0</v>
      </c>
      <c r="BH20" s="231">
        <f>SONPws!BH23</f>
        <v>0</v>
      </c>
      <c r="BI20" s="231">
        <f>SONPws!BI23</f>
        <v>0</v>
      </c>
      <c r="BJ20" s="231">
        <f>SONPws!BJ23</f>
        <v>0</v>
      </c>
      <c r="BK20" s="231">
        <f>SONPws!BK23</f>
        <v>0</v>
      </c>
      <c r="BL20" s="231">
        <f>SONPws!BL23</f>
        <v>0</v>
      </c>
      <c r="BM20" s="231">
        <f>SONPws!BM23</f>
        <v>0</v>
      </c>
      <c r="BN20" s="231">
        <f>SONPws!BN23</f>
        <v>0</v>
      </c>
      <c r="BO20" s="231">
        <f>SONPws!BO23</f>
        <v>0</v>
      </c>
      <c r="BP20" s="231">
        <f>SONPws!BP23</f>
        <v>0</v>
      </c>
      <c r="BQ20" s="231">
        <f>SONPws!BQ23</f>
        <v>8990</v>
      </c>
      <c r="BR20" s="231">
        <f>SONPws!BR23</f>
        <v>0</v>
      </c>
      <c r="BS20" s="231">
        <f>SONPws!BS23</f>
        <v>0</v>
      </c>
      <c r="BU20" s="218">
        <f t="shared" si="1"/>
        <v>8990</v>
      </c>
    </row>
    <row r="21" spans="1:88" x14ac:dyDescent="0.2">
      <c r="A21" s="375" t="s">
        <v>1216</v>
      </c>
      <c r="B21" s="230">
        <f t="shared" si="2"/>
        <v>92556</v>
      </c>
      <c r="C21" s="231">
        <f>SONPws!C24</f>
        <v>1130</v>
      </c>
      <c r="D21" s="231">
        <f>SONPws!D24</f>
        <v>0</v>
      </c>
      <c r="E21" s="231">
        <f>SONPws!E24</f>
        <v>21831</v>
      </c>
      <c r="F21" s="231">
        <f>SONPws!F24</f>
        <v>59771</v>
      </c>
      <c r="G21" s="231">
        <f>SONPws!G24</f>
        <v>1225</v>
      </c>
      <c r="H21" s="231">
        <f>SONPws!H24</f>
        <v>0</v>
      </c>
      <c r="I21" s="231">
        <f>SONPws!I24</f>
        <v>422</v>
      </c>
      <c r="J21" s="231">
        <f>SONPws!J24</f>
        <v>0</v>
      </c>
      <c r="K21" s="231">
        <f>SONPws!K24</f>
        <v>0</v>
      </c>
      <c r="L21" s="231">
        <f>SONPws!L24</f>
        <v>0</v>
      </c>
      <c r="M21" s="231">
        <f>SONPws!M24</f>
        <v>0</v>
      </c>
      <c r="N21" s="231">
        <f>SONPws!N24</f>
        <v>18</v>
      </c>
      <c r="O21" s="231">
        <f>SONPws!O24</f>
        <v>1772</v>
      </c>
      <c r="P21" s="231">
        <f>SONPws!P24</f>
        <v>0</v>
      </c>
      <c r="Q21" s="231">
        <f>SONPws!Q24</f>
        <v>0</v>
      </c>
      <c r="R21" s="231">
        <f>SONPws!R24</f>
        <v>0</v>
      </c>
      <c r="S21" s="231">
        <f>SONPws!S24</f>
        <v>0</v>
      </c>
      <c r="T21" s="231">
        <f>SONPws!T24</f>
        <v>0</v>
      </c>
      <c r="U21" s="231">
        <f>SONPws!U24</f>
        <v>363</v>
      </c>
      <c r="V21" s="231">
        <f>SONPws!V24</f>
        <v>0</v>
      </c>
      <c r="W21" s="231">
        <f>SONPws!W24</f>
        <v>0</v>
      </c>
      <c r="X21" s="231">
        <f>SONPws!X24</f>
        <v>473</v>
      </c>
      <c r="Y21" s="231">
        <f>SONPws!Y24</f>
        <v>0</v>
      </c>
      <c r="Z21" s="231">
        <f>SONPws!Z24</f>
        <v>0</v>
      </c>
      <c r="AA21" s="231">
        <f>SONPws!AA24</f>
        <v>0</v>
      </c>
      <c r="AB21" s="231">
        <f>SONPws!AB24</f>
        <v>0</v>
      </c>
      <c r="AC21" s="231">
        <f>SONPws!AC24</f>
        <v>0</v>
      </c>
      <c r="AD21" s="231">
        <f>SONPws!AD24</f>
        <v>0</v>
      </c>
      <c r="AE21" s="231">
        <f>SONPws!AE24</f>
        <v>0</v>
      </c>
      <c r="AF21" s="231">
        <f>SONPws!AF24</f>
        <v>5476</v>
      </c>
      <c r="AG21" s="231">
        <f>SONPws!AG24</f>
        <v>0</v>
      </c>
      <c r="AH21" s="231">
        <f>SONPws!AH24</f>
        <v>0</v>
      </c>
      <c r="AI21" s="231">
        <f>SONPws!AI24</f>
        <v>0</v>
      </c>
      <c r="AJ21" s="231">
        <f>SONPws!AJ24</f>
        <v>0</v>
      </c>
      <c r="AK21" s="231">
        <f>SONPws!AK24</f>
        <v>0</v>
      </c>
      <c r="AL21" s="231">
        <f>SONPws!AL24</f>
        <v>0</v>
      </c>
      <c r="AM21" s="231">
        <f>SONPws!AM24</f>
        <v>0</v>
      </c>
      <c r="AN21" s="231">
        <f>SONPws!AN24</f>
        <v>0</v>
      </c>
      <c r="AO21" s="231">
        <f>SONPws!AO24</f>
        <v>0</v>
      </c>
      <c r="AP21" s="231">
        <f>SONPws!AP24</f>
        <v>0</v>
      </c>
      <c r="AQ21" s="231">
        <f>SONPws!AQ24</f>
        <v>0</v>
      </c>
      <c r="AR21" s="231">
        <f>SONPws!AR24</f>
        <v>0</v>
      </c>
      <c r="AS21" s="231">
        <f>SONPws!AS24</f>
        <v>0</v>
      </c>
      <c r="AT21" s="231">
        <f>SONPws!AT24</f>
        <v>75</v>
      </c>
      <c r="AU21" s="231">
        <f>SONPws!AU24</f>
        <v>0</v>
      </c>
      <c r="AV21" s="231">
        <f>SONPws!AV24</f>
        <v>0</v>
      </c>
      <c r="AW21" s="231">
        <f>SONPws!AW24</f>
        <v>0</v>
      </c>
      <c r="AX21" s="231">
        <f>SONPws!AX24</f>
        <v>0</v>
      </c>
      <c r="AY21" s="231">
        <f>SONPws!AY24</f>
        <v>0</v>
      </c>
      <c r="AZ21" s="1101">
        <v>0</v>
      </c>
      <c r="BA21" s="231">
        <f>SONPws!BA24</f>
        <v>0</v>
      </c>
      <c r="BB21" s="231">
        <f>SONPws!BB24</f>
        <v>0</v>
      </c>
      <c r="BC21" s="231">
        <f>SONPws!BC24</f>
        <v>0</v>
      </c>
      <c r="BD21" s="231">
        <f>SONPws!BD24</f>
        <v>0</v>
      </c>
      <c r="BE21" s="231">
        <f>SONPws!BE24</f>
        <v>0</v>
      </c>
      <c r="BF21" s="231">
        <f>SONPws!BF24</f>
        <v>0</v>
      </c>
      <c r="BG21" s="231">
        <f>SONPws!BG24</f>
        <v>0</v>
      </c>
      <c r="BH21" s="231">
        <f>SONPws!BH24</f>
        <v>0</v>
      </c>
      <c r="BI21" s="231">
        <f>SONPws!BI24</f>
        <v>0</v>
      </c>
      <c r="BJ21" s="231">
        <f>SONPws!BJ24</f>
        <v>0</v>
      </c>
      <c r="BK21" s="231">
        <f>SONPws!BK24</f>
        <v>0</v>
      </c>
      <c r="BL21" s="231">
        <f>SONPws!BL24</f>
        <v>0</v>
      </c>
      <c r="BM21" s="231">
        <f>SONPws!BM24</f>
        <v>0</v>
      </c>
      <c r="BN21" s="231">
        <f>SONPws!BN24</f>
        <v>0</v>
      </c>
      <c r="BO21" s="231">
        <f>SONPws!BO24</f>
        <v>0</v>
      </c>
      <c r="BP21" s="231">
        <f>SONPws!BP24</f>
        <v>0</v>
      </c>
      <c r="BQ21" s="231">
        <f>SONPws!BQ24</f>
        <v>0</v>
      </c>
      <c r="BR21" s="231">
        <f>SONPws!BR24</f>
        <v>0</v>
      </c>
      <c r="BS21" s="231">
        <f>SONPws!BS24</f>
        <v>0</v>
      </c>
      <c r="BU21" s="218">
        <f t="shared" si="1"/>
        <v>69595</v>
      </c>
    </row>
    <row r="22" spans="1:88" ht="13.5" thickBot="1" x14ac:dyDescent="0.25">
      <c r="A22" s="216" t="s">
        <v>687</v>
      </c>
      <c r="B22" s="372">
        <f t="shared" ref="B22:AI22" si="3">SUM(B3:B21)</f>
        <v>2743790</v>
      </c>
      <c r="C22" s="372">
        <f t="shared" si="3"/>
        <v>775323</v>
      </c>
      <c r="D22" s="372">
        <f t="shared" si="3"/>
        <v>59715</v>
      </c>
      <c r="E22" s="372">
        <f t="shared" ref="E22" si="4">SUM(E3:E21)</f>
        <v>141160</v>
      </c>
      <c r="F22" s="372">
        <f t="shared" ref="F22:I22" si="5">SUM(F3:F21)</f>
        <v>64207</v>
      </c>
      <c r="G22" s="372">
        <f t="shared" si="5"/>
        <v>12321</v>
      </c>
      <c r="H22" s="372">
        <f t="shared" si="5"/>
        <v>5084</v>
      </c>
      <c r="I22" s="372">
        <f t="shared" si="5"/>
        <v>36041</v>
      </c>
      <c r="J22" s="372">
        <f t="shared" si="3"/>
        <v>0</v>
      </c>
      <c r="K22" s="372">
        <f t="shared" si="3"/>
        <v>16838</v>
      </c>
      <c r="L22" s="372">
        <f t="shared" si="3"/>
        <v>0</v>
      </c>
      <c r="M22" s="372">
        <f t="shared" si="3"/>
        <v>0</v>
      </c>
      <c r="N22" s="372">
        <f t="shared" si="3"/>
        <v>210416</v>
      </c>
      <c r="O22" s="372">
        <f t="shared" si="3"/>
        <v>159513</v>
      </c>
      <c r="P22" s="372">
        <f t="shared" si="3"/>
        <v>4074</v>
      </c>
      <c r="Q22" s="372">
        <f t="shared" si="3"/>
        <v>21381</v>
      </c>
      <c r="R22" s="372">
        <f t="shared" si="3"/>
        <v>8355</v>
      </c>
      <c r="S22" s="372">
        <f>SUM(S3:S21)</f>
        <v>8414</v>
      </c>
      <c r="T22" s="372">
        <f t="shared" si="3"/>
        <v>929</v>
      </c>
      <c r="U22" s="372">
        <f t="shared" si="3"/>
        <v>4040</v>
      </c>
      <c r="V22" s="1150">
        <f t="shared" si="3"/>
        <v>12276</v>
      </c>
      <c r="W22" s="372">
        <f t="shared" si="3"/>
        <v>49415</v>
      </c>
      <c r="X22" s="372">
        <f t="shared" si="3"/>
        <v>59644</v>
      </c>
      <c r="Y22" s="372">
        <f t="shared" si="3"/>
        <v>0</v>
      </c>
      <c r="Z22" s="372">
        <f t="shared" si="3"/>
        <v>0</v>
      </c>
      <c r="AA22" s="372">
        <f t="shared" si="3"/>
        <v>0</v>
      </c>
      <c r="AB22" s="372">
        <f t="shared" si="3"/>
        <v>5176</v>
      </c>
      <c r="AC22" s="372">
        <f t="shared" si="3"/>
        <v>16696</v>
      </c>
      <c r="AD22" s="372">
        <f t="shared" si="3"/>
        <v>156021</v>
      </c>
      <c r="AE22" s="372">
        <f t="shared" ref="AE22" si="6">SUM(AE3:AE21)</f>
        <v>378916</v>
      </c>
      <c r="AF22" s="372">
        <f t="shared" si="3"/>
        <v>37930</v>
      </c>
      <c r="AG22" s="372">
        <f t="shared" si="3"/>
        <v>0</v>
      </c>
      <c r="AH22" s="372">
        <f t="shared" si="3"/>
        <v>0</v>
      </c>
      <c r="AI22" s="372">
        <f t="shared" si="3"/>
        <v>0</v>
      </c>
      <c r="AJ22" s="372">
        <f t="shared" ref="AJ22:BS22" si="7">SUM(AJ3:AJ21)</f>
        <v>0</v>
      </c>
      <c r="AK22" s="372">
        <f t="shared" si="7"/>
        <v>37456</v>
      </c>
      <c r="AL22" s="372">
        <f t="shared" si="7"/>
        <v>1321</v>
      </c>
      <c r="AM22" s="372">
        <f t="shared" si="7"/>
        <v>1910</v>
      </c>
      <c r="AN22" s="372">
        <f t="shared" ref="AN22:AO22" si="8">SUM(AN3:AN21)</f>
        <v>10018</v>
      </c>
      <c r="AO22" s="372">
        <f t="shared" si="8"/>
        <v>18155</v>
      </c>
      <c r="AP22" s="372">
        <f t="shared" ref="AP22:AQ22" si="9">SUM(AP3:AP21)</f>
        <v>947</v>
      </c>
      <c r="AQ22" s="372">
        <f t="shared" si="9"/>
        <v>91452</v>
      </c>
      <c r="AR22" s="372">
        <f t="shared" si="7"/>
        <v>3151</v>
      </c>
      <c r="AS22" s="372">
        <f t="shared" si="7"/>
        <v>0</v>
      </c>
      <c r="AT22" s="372">
        <f t="shared" si="7"/>
        <v>22500</v>
      </c>
      <c r="AU22" s="372">
        <f t="shared" si="7"/>
        <v>110</v>
      </c>
      <c r="AV22" s="372">
        <f t="shared" si="7"/>
        <v>0</v>
      </c>
      <c r="AW22" s="372">
        <f t="shared" si="7"/>
        <v>57171</v>
      </c>
      <c r="AX22" s="372">
        <f t="shared" si="7"/>
        <v>0</v>
      </c>
      <c r="AY22" s="372">
        <f t="shared" si="7"/>
        <v>370</v>
      </c>
      <c r="AZ22" s="1150">
        <f t="shared" si="7"/>
        <v>5416</v>
      </c>
      <c r="BA22" s="372">
        <f t="shared" si="7"/>
        <v>329</v>
      </c>
      <c r="BB22" s="372">
        <f t="shared" si="7"/>
        <v>543</v>
      </c>
      <c r="BC22" s="372">
        <f t="shared" si="7"/>
        <v>1367</v>
      </c>
      <c r="BD22" s="372">
        <f t="shared" si="7"/>
        <v>0</v>
      </c>
      <c r="BE22" s="372">
        <f t="shared" si="7"/>
        <v>293</v>
      </c>
      <c r="BF22" s="372">
        <f t="shared" si="7"/>
        <v>922</v>
      </c>
      <c r="BG22" s="372">
        <f t="shared" si="7"/>
        <v>7</v>
      </c>
      <c r="BH22" s="372">
        <f t="shared" si="7"/>
        <v>12472</v>
      </c>
      <c r="BI22" s="372">
        <f t="shared" si="7"/>
        <v>29</v>
      </c>
      <c r="BJ22" s="372">
        <f t="shared" si="7"/>
        <v>6013</v>
      </c>
      <c r="BK22" s="372">
        <f t="shared" si="7"/>
        <v>24228</v>
      </c>
      <c r="BL22" s="372">
        <f t="shared" si="7"/>
        <v>294</v>
      </c>
      <c r="BM22" s="372">
        <f t="shared" si="7"/>
        <v>2625</v>
      </c>
      <c r="BN22" s="372">
        <f t="shared" si="7"/>
        <v>0</v>
      </c>
      <c r="BO22" s="372">
        <f t="shared" si="7"/>
        <v>0</v>
      </c>
      <c r="BP22" s="372">
        <f t="shared" si="7"/>
        <v>10276</v>
      </c>
      <c r="BQ22" s="372">
        <f t="shared" si="7"/>
        <v>155893</v>
      </c>
      <c r="BR22" s="372">
        <f t="shared" si="7"/>
        <v>31981</v>
      </c>
      <c r="BS22" s="372">
        <f t="shared" si="7"/>
        <v>2656</v>
      </c>
      <c r="BT22" s="331"/>
      <c r="BU22" s="372">
        <f>SUM(BU3:BU21)</f>
        <v>1721770</v>
      </c>
    </row>
    <row r="23" spans="1:88" ht="13.5" thickTop="1" x14ac:dyDescent="0.2">
      <c r="A23" s="216"/>
      <c r="B23" s="331"/>
      <c r="C23" s="331"/>
      <c r="D23" s="331"/>
      <c r="E23" s="331"/>
      <c r="F23" s="331"/>
      <c r="G23" s="331"/>
      <c r="H23" s="331"/>
      <c r="I23" s="331"/>
      <c r="J23" s="331"/>
      <c r="K23" s="331"/>
      <c r="L23" s="331"/>
      <c r="M23" s="331"/>
      <c r="N23" s="331"/>
      <c r="O23" s="331"/>
      <c r="P23" s="331"/>
      <c r="Q23" s="331"/>
      <c r="R23" s="331"/>
      <c r="S23" s="331"/>
      <c r="T23" s="331"/>
      <c r="U23" s="331"/>
      <c r="V23" s="115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1151"/>
      <c r="BA23" s="331"/>
      <c r="BB23" s="331"/>
      <c r="BC23" s="331"/>
      <c r="BD23" s="331"/>
      <c r="BE23" s="331"/>
      <c r="BF23" s="331"/>
      <c r="BG23" s="331"/>
      <c r="BH23" s="331"/>
      <c r="BI23" s="331"/>
      <c r="BJ23" s="331"/>
      <c r="BK23" s="331"/>
      <c r="BL23" s="331"/>
      <c r="BM23" s="331"/>
      <c r="BN23" s="331"/>
      <c r="BO23" s="331"/>
      <c r="BP23" s="331"/>
      <c r="BQ23" s="331"/>
      <c r="BR23" s="331"/>
      <c r="BS23" s="331"/>
      <c r="BT23" s="331"/>
      <c r="BU23" s="331"/>
    </row>
    <row r="24" spans="1:88" s="760" customFormat="1" x14ac:dyDescent="0.2">
      <c r="A24" s="932" t="s">
        <v>1129</v>
      </c>
      <c r="B24" s="933">
        <f>SUM(C24:CC24)</f>
        <v>0</v>
      </c>
      <c r="C24" s="933"/>
      <c r="D24" s="933"/>
      <c r="E24" s="933"/>
      <c r="F24" s="933"/>
      <c r="G24" s="933"/>
      <c r="H24" s="933"/>
      <c r="I24" s="933"/>
      <c r="J24" s="933"/>
      <c r="K24" s="933"/>
      <c r="L24" s="933"/>
      <c r="M24" s="933"/>
      <c r="N24" s="933"/>
      <c r="O24" s="933"/>
      <c r="P24" s="933"/>
      <c r="Q24" s="933"/>
      <c r="R24" s="933"/>
      <c r="S24" s="933"/>
      <c r="T24" s="933"/>
      <c r="U24" s="933"/>
      <c r="V24" s="1144"/>
      <c r="W24" s="933"/>
      <c r="X24" s="933"/>
      <c r="Y24" s="933"/>
      <c r="Z24" s="933"/>
      <c r="AA24" s="933"/>
      <c r="AB24" s="933"/>
      <c r="AC24" s="933"/>
      <c r="AD24" s="933"/>
      <c r="AE24" s="933"/>
      <c r="AF24" s="933"/>
      <c r="AG24" s="933"/>
      <c r="AH24" s="933"/>
      <c r="AI24" s="933"/>
      <c r="AJ24" s="933"/>
      <c r="AK24" s="933"/>
      <c r="AL24" s="933"/>
      <c r="AM24" s="933"/>
      <c r="AN24" s="933"/>
      <c r="AO24" s="933"/>
      <c r="AP24" s="933"/>
      <c r="AQ24" s="933"/>
      <c r="AR24" s="933"/>
      <c r="AS24" s="933"/>
      <c r="AT24" s="933"/>
      <c r="AU24" s="933"/>
      <c r="AV24" s="933"/>
      <c r="AW24" s="933"/>
      <c r="AX24" s="933"/>
      <c r="AY24" s="933"/>
      <c r="AZ24" s="1144"/>
      <c r="BA24" s="933"/>
      <c r="BB24" s="933"/>
      <c r="BC24" s="933"/>
      <c r="BD24" s="933"/>
      <c r="BE24" s="933"/>
      <c r="BF24" s="933"/>
      <c r="BG24" s="933"/>
      <c r="BH24" s="933"/>
      <c r="BI24" s="933"/>
      <c r="BJ24" s="933"/>
      <c r="BK24" s="933"/>
      <c r="BL24" s="933"/>
      <c r="BM24" s="933"/>
      <c r="BN24" s="933"/>
      <c r="BO24" s="933"/>
      <c r="BP24" s="933"/>
      <c r="BQ24" s="933"/>
      <c r="BR24" s="933"/>
      <c r="BS24" s="933"/>
      <c r="BT24" s="933"/>
      <c r="BU24" s="933"/>
      <c r="BV24" s="330"/>
      <c r="BW24" s="330"/>
      <c r="BX24" s="330"/>
      <c r="BY24" s="330"/>
      <c r="BZ24" s="330"/>
      <c r="CA24" s="330"/>
      <c r="CB24" s="330"/>
      <c r="CC24" s="330"/>
      <c r="CD24" s="330"/>
      <c r="CE24" s="330"/>
      <c r="CF24" s="330"/>
      <c r="CG24" s="330"/>
      <c r="CH24" s="330"/>
      <c r="CI24" s="330"/>
      <c r="CJ24" s="330"/>
    </row>
    <row r="25" spans="1:88" x14ac:dyDescent="0.2">
      <c r="A25" s="331"/>
      <c r="C25" s="218"/>
      <c r="D25" s="218"/>
      <c r="V25" s="1098"/>
      <c r="AZ25" s="1098"/>
    </row>
    <row r="26" spans="1:88" x14ac:dyDescent="0.2">
      <c r="A26" s="216" t="s">
        <v>31</v>
      </c>
      <c r="C26" s="218"/>
      <c r="D26" s="218"/>
      <c r="V26" s="1098"/>
      <c r="AZ26" s="1098"/>
    </row>
    <row r="27" spans="1:88" x14ac:dyDescent="0.2">
      <c r="A27" s="373" t="s">
        <v>751</v>
      </c>
      <c r="C27" s="218"/>
      <c r="D27" s="218"/>
      <c r="V27" s="1097"/>
      <c r="AZ27" s="1098"/>
    </row>
    <row r="28" spans="1:88" x14ac:dyDescent="0.2">
      <c r="A28" s="220" t="s">
        <v>688</v>
      </c>
      <c r="B28" s="196">
        <f t="shared" ref="B28:B35" si="10">SUM(C28:BS28)</f>
        <v>21094</v>
      </c>
      <c r="C28" s="1096">
        <v>18737</v>
      </c>
      <c r="D28" s="218"/>
      <c r="E28" s="218"/>
      <c r="F28" s="218"/>
      <c r="G28" s="218"/>
      <c r="H28" s="218"/>
      <c r="I28" s="218"/>
      <c r="J28" s="218"/>
      <c r="K28" s="218"/>
      <c r="L28" s="218"/>
      <c r="M28" s="218"/>
      <c r="N28" s="927">
        <v>1389</v>
      </c>
      <c r="O28" s="218"/>
      <c r="P28" s="218"/>
      <c r="Q28" s="218"/>
      <c r="R28" s="927"/>
      <c r="S28" s="218"/>
      <c r="T28" s="218"/>
      <c r="U28" s="927"/>
      <c r="V28" s="1096"/>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1096"/>
      <c r="BA28" s="1096"/>
      <c r="BB28" s="218"/>
      <c r="BC28" s="218"/>
      <c r="BD28" s="218"/>
      <c r="BE28" s="218"/>
      <c r="BF28" s="218"/>
      <c r="BG28" s="218"/>
      <c r="BH28" s="1096">
        <v>953</v>
      </c>
      <c r="BI28" s="218"/>
      <c r="BJ28" s="218"/>
      <c r="BK28" s="218"/>
      <c r="BL28" s="218"/>
      <c r="BM28" s="218"/>
      <c r="BN28" s="218"/>
      <c r="BO28" s="218"/>
      <c r="BP28" s="218"/>
      <c r="BQ28" s="218"/>
      <c r="BR28" s="218"/>
      <c r="BS28" s="218">
        <v>15</v>
      </c>
      <c r="BT28" s="330"/>
      <c r="BU28" s="218">
        <f t="shared" ref="BU28:BU44" si="11">SUM(F28:BT28)</f>
        <v>2357</v>
      </c>
    </row>
    <row r="29" spans="1:88" x14ac:dyDescent="0.2">
      <c r="A29" s="220" t="s">
        <v>847</v>
      </c>
      <c r="B29" s="211">
        <f t="shared" si="10"/>
        <v>50585</v>
      </c>
      <c r="C29" s="1096">
        <v>41187</v>
      </c>
      <c r="D29" s="218"/>
      <c r="E29" s="218"/>
      <c r="F29" s="218"/>
      <c r="G29" s="218"/>
      <c r="H29" s="218"/>
      <c r="I29" s="218"/>
      <c r="J29" s="218"/>
      <c r="K29" s="218"/>
      <c r="L29" s="218"/>
      <c r="M29" s="218"/>
      <c r="N29" s="927">
        <v>8090</v>
      </c>
      <c r="O29" s="218"/>
      <c r="P29" s="218"/>
      <c r="Q29" s="218"/>
      <c r="R29" s="927"/>
      <c r="S29" s="218"/>
      <c r="T29" s="218"/>
      <c r="U29" s="927"/>
      <c r="V29" s="1096"/>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1096"/>
      <c r="BA29" s="1097"/>
      <c r="BB29" s="218"/>
      <c r="BC29" s="218"/>
      <c r="BD29" s="218"/>
      <c r="BE29" s="218"/>
      <c r="BF29" s="218"/>
      <c r="BG29" s="218"/>
      <c r="BH29" s="1096">
        <v>1308</v>
      </c>
      <c r="BI29" s="218"/>
      <c r="BJ29" s="218"/>
      <c r="BK29" s="218"/>
      <c r="BL29" s="218"/>
      <c r="BM29" s="218"/>
      <c r="BN29" s="218"/>
      <c r="BO29" s="218"/>
      <c r="BP29" s="218"/>
      <c r="BQ29" s="218"/>
      <c r="BR29" s="218"/>
      <c r="BS29" s="218"/>
      <c r="BT29" s="330"/>
      <c r="BU29" s="218">
        <f t="shared" si="11"/>
        <v>9398</v>
      </c>
    </row>
    <row r="30" spans="1:88" x14ac:dyDescent="0.2">
      <c r="A30" s="220" t="s">
        <v>690</v>
      </c>
      <c r="B30" s="211">
        <f t="shared" si="10"/>
        <v>13134</v>
      </c>
      <c r="C30" s="1096">
        <v>13001</v>
      </c>
      <c r="D30" s="218"/>
      <c r="E30" s="218"/>
      <c r="F30" s="218"/>
      <c r="G30" s="218"/>
      <c r="H30" s="218"/>
      <c r="I30" s="218"/>
      <c r="J30" s="218"/>
      <c r="K30" s="218"/>
      <c r="L30" s="218"/>
      <c r="M30" s="218"/>
      <c r="N30" s="927">
        <v>133</v>
      </c>
      <c r="O30" s="218"/>
      <c r="P30" s="218"/>
      <c r="Q30" s="218"/>
      <c r="R30" s="218"/>
      <c r="S30" s="218"/>
      <c r="T30" s="218"/>
      <c r="U30" s="927"/>
      <c r="V30" s="1096"/>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1096"/>
      <c r="BA30" s="1096"/>
      <c r="BB30" s="218"/>
      <c r="BC30" s="218"/>
      <c r="BD30" s="218"/>
      <c r="BE30" s="218"/>
      <c r="BF30" s="218"/>
      <c r="BG30" s="218"/>
      <c r="BH30" s="1096"/>
      <c r="BI30" s="218"/>
      <c r="BJ30" s="218"/>
      <c r="BK30" s="218"/>
      <c r="BL30" s="218"/>
      <c r="BM30" s="218"/>
      <c r="BN30" s="218"/>
      <c r="BO30" s="218"/>
      <c r="BP30" s="218"/>
      <c r="BQ30" s="218"/>
      <c r="BR30" s="218"/>
      <c r="BS30" s="218"/>
      <c r="BT30" s="330"/>
      <c r="BU30" s="218">
        <f t="shared" si="11"/>
        <v>133</v>
      </c>
    </row>
    <row r="31" spans="1:88" x14ac:dyDescent="0.2">
      <c r="A31" s="220" t="s">
        <v>691</v>
      </c>
      <c r="B31" s="211">
        <f t="shared" si="10"/>
        <v>8130</v>
      </c>
      <c r="C31" s="1096">
        <v>8130</v>
      </c>
      <c r="D31" s="218">
        <f>SONPws!D75</f>
        <v>0</v>
      </c>
      <c r="E31" s="218"/>
      <c r="F31" s="218"/>
      <c r="G31" s="218"/>
      <c r="H31" s="218"/>
      <c r="I31" s="218"/>
      <c r="J31" s="218">
        <f>SONPws!J75</f>
        <v>0</v>
      </c>
      <c r="L31" s="218">
        <f>SONPws!L75</f>
        <v>0</v>
      </c>
      <c r="M31" s="218">
        <f>SONPws!M75</f>
        <v>0</v>
      </c>
      <c r="N31" s="927"/>
      <c r="O31" s="218"/>
      <c r="P31" s="218">
        <f>SONPws!P75</f>
        <v>0</v>
      </c>
      <c r="Q31" s="218"/>
      <c r="R31" s="218"/>
      <c r="S31" s="218">
        <f>SONPws!S75</f>
        <v>0</v>
      </c>
      <c r="T31" s="218"/>
      <c r="U31" s="927"/>
      <c r="V31" s="1096">
        <v>0</v>
      </c>
      <c r="Y31" s="218"/>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f>SONPws!AX75</f>
        <v>0</v>
      </c>
      <c r="AY31" s="218">
        <f>SONPws!AY75</f>
        <v>0</v>
      </c>
      <c r="AZ31" s="1096">
        <v>0</v>
      </c>
      <c r="BA31" s="218"/>
      <c r="BB31" s="218">
        <f>SONPws!BB75</f>
        <v>0</v>
      </c>
      <c r="BC31" s="218"/>
      <c r="BD31" s="218">
        <f>SONPws!BD75</f>
        <v>0</v>
      </c>
      <c r="BE31" s="218">
        <f>SONPws!BE75</f>
        <v>0</v>
      </c>
      <c r="BF31" s="218"/>
      <c r="BG31" s="218">
        <f>SONPws!BG75</f>
        <v>0</v>
      </c>
      <c r="BH31" s="1096">
        <v>0</v>
      </c>
      <c r="BI31" s="218">
        <f>SONPws!BI75</f>
        <v>0</v>
      </c>
      <c r="BJ31" s="218">
        <f>SONPws!BJ75</f>
        <v>0</v>
      </c>
      <c r="BK31" s="218">
        <f>SONPws!BK75</f>
        <v>0</v>
      </c>
      <c r="BL31" s="218">
        <f>SONPws!BL75</f>
        <v>0</v>
      </c>
      <c r="BM31" s="218">
        <f>SONPws!BM75</f>
        <v>0</v>
      </c>
      <c r="BN31" s="218">
        <f>SONPws!BN75</f>
        <v>0</v>
      </c>
      <c r="BO31" s="218">
        <f>SONPws!BO75</f>
        <v>0</v>
      </c>
      <c r="BP31" s="218"/>
      <c r="BQ31" s="218">
        <f>SONPws!BQ75</f>
        <v>0</v>
      </c>
      <c r="BR31" s="218">
        <f>SONPws!BR75</f>
        <v>0</v>
      </c>
      <c r="BS31" s="218">
        <f>SONPws!BS75</f>
        <v>0</v>
      </c>
      <c r="BT31" s="330"/>
      <c r="BU31" s="218">
        <f t="shared" si="11"/>
        <v>0</v>
      </c>
    </row>
    <row r="32" spans="1:88" x14ac:dyDescent="0.2">
      <c r="A32" s="220" t="s">
        <v>692</v>
      </c>
      <c r="B32" s="211">
        <f t="shared" si="10"/>
        <v>4514</v>
      </c>
      <c r="C32" s="1096">
        <v>4247</v>
      </c>
      <c r="D32" s="218"/>
      <c r="E32" s="218"/>
      <c r="F32" s="218"/>
      <c r="G32" s="218"/>
      <c r="H32" s="218"/>
      <c r="I32" s="218"/>
      <c r="J32" s="218"/>
      <c r="K32" s="218"/>
      <c r="L32" s="218"/>
      <c r="M32" s="218"/>
      <c r="N32" s="927"/>
      <c r="O32" s="218"/>
      <c r="P32" s="218"/>
      <c r="Q32" s="218"/>
      <c r="R32" s="218"/>
      <c r="S32" s="218"/>
      <c r="T32" s="218"/>
      <c r="U32" s="218"/>
      <c r="V32" s="1096"/>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1096"/>
      <c r="BA32" s="218"/>
      <c r="BB32" s="218"/>
      <c r="BC32" s="218"/>
      <c r="BD32" s="218"/>
      <c r="BE32" s="218"/>
      <c r="BF32" s="218"/>
      <c r="BG32" s="218"/>
      <c r="BH32" s="1096">
        <v>267</v>
      </c>
      <c r="BI32" s="218"/>
      <c r="BJ32" s="218"/>
      <c r="BK32" s="218"/>
      <c r="BL32" s="218"/>
      <c r="BM32" s="218"/>
      <c r="BN32" s="218"/>
      <c r="BO32" s="218"/>
      <c r="BP32" s="218"/>
      <c r="BQ32" s="218"/>
      <c r="BR32" s="218"/>
      <c r="BS32" s="218"/>
      <c r="BT32" s="330"/>
      <c r="BU32" s="218">
        <f t="shared" si="11"/>
        <v>267</v>
      </c>
    </row>
    <row r="33" spans="1:88" x14ac:dyDescent="0.2">
      <c r="A33" s="220" t="s">
        <v>848</v>
      </c>
      <c r="B33" s="211">
        <f t="shared" si="10"/>
        <v>0</v>
      </c>
      <c r="C33" s="927"/>
      <c r="D33" s="218"/>
      <c r="E33" s="218"/>
      <c r="F33" s="218"/>
      <c r="G33" s="218"/>
      <c r="H33" s="218"/>
      <c r="I33" s="218"/>
      <c r="J33" s="218"/>
      <c r="K33" s="218"/>
      <c r="L33" s="218"/>
      <c r="M33" s="218"/>
      <c r="N33" s="218"/>
      <c r="O33" s="218"/>
      <c r="P33" s="218"/>
      <c r="Q33" s="218"/>
      <c r="R33" s="218"/>
      <c r="S33" s="218"/>
      <c r="T33" s="218"/>
      <c r="U33" s="218"/>
      <c r="V33" s="1096"/>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1096"/>
      <c r="BA33" s="218"/>
      <c r="BB33" s="218"/>
      <c r="BC33" s="218"/>
      <c r="BD33" s="218"/>
      <c r="BE33" s="218"/>
      <c r="BF33" s="218"/>
      <c r="BG33" s="218"/>
      <c r="BH33" s="218"/>
      <c r="BI33" s="218"/>
      <c r="BJ33" s="218"/>
      <c r="BK33" s="218"/>
      <c r="BL33" s="218"/>
      <c r="BM33" s="218"/>
      <c r="BN33" s="218"/>
      <c r="BO33" s="218"/>
      <c r="BP33" s="218"/>
      <c r="BQ33" s="218"/>
      <c r="BR33" s="218"/>
      <c r="BS33" s="218"/>
      <c r="BT33" s="330"/>
      <c r="BU33" s="218">
        <f t="shared" si="11"/>
        <v>0</v>
      </c>
    </row>
    <row r="34" spans="1:88" x14ac:dyDescent="0.2">
      <c r="A34" s="229" t="s">
        <v>604</v>
      </c>
      <c r="B34" s="230">
        <f t="shared" si="10"/>
        <v>5851</v>
      </c>
      <c r="C34" s="376">
        <f>SONPws!C53</f>
        <v>5851</v>
      </c>
      <c r="D34" s="376">
        <f>SONPws!D53</f>
        <v>0</v>
      </c>
      <c r="E34" s="376">
        <f>SONPws!E53</f>
        <v>0</v>
      </c>
      <c r="F34" s="376">
        <f>SONPws!F53</f>
        <v>0</v>
      </c>
      <c r="G34" s="376">
        <f>SONPws!G53</f>
        <v>0</v>
      </c>
      <c r="H34" s="376">
        <f>SONPws!H53</f>
        <v>0</v>
      </c>
      <c r="I34" s="376">
        <f>SONPws!I53</f>
        <v>0</v>
      </c>
      <c r="J34" s="376">
        <f>SONPws!J53</f>
        <v>0</v>
      </c>
      <c r="K34" s="376">
        <f>SONPws!K53</f>
        <v>0</v>
      </c>
      <c r="L34" s="376">
        <f>SONPws!L53</f>
        <v>0</v>
      </c>
      <c r="M34" s="376">
        <f>SONPws!M53</f>
        <v>0</v>
      </c>
      <c r="N34" s="376">
        <f>SONPws!N53</f>
        <v>0</v>
      </c>
      <c r="O34" s="376">
        <f>SONPws!O53</f>
        <v>0</v>
      </c>
      <c r="P34" s="376">
        <f>SONPws!P53</f>
        <v>0</v>
      </c>
      <c r="Q34" s="376">
        <f>SONPws!Q53</f>
        <v>0</v>
      </c>
      <c r="R34" s="376">
        <f>SONPws!R53</f>
        <v>0</v>
      </c>
      <c r="S34" s="376">
        <f>SONPws!S53</f>
        <v>0</v>
      </c>
      <c r="T34" s="376">
        <f>SONPws!T53</f>
        <v>0</v>
      </c>
      <c r="U34" s="376">
        <f>SONPws!U53</f>
        <v>0</v>
      </c>
      <c r="V34" s="376">
        <f>SONPws!V53</f>
        <v>0</v>
      </c>
      <c r="W34" s="376">
        <f>SONPws!W53</f>
        <v>0</v>
      </c>
      <c r="X34" s="376">
        <f>SONPws!X53</f>
        <v>0</v>
      </c>
      <c r="Y34" s="376">
        <f>SONPws!Y53</f>
        <v>0</v>
      </c>
      <c r="Z34" s="376">
        <f>SONPws!Z53</f>
        <v>0</v>
      </c>
      <c r="AA34" s="376">
        <f>SONPws!AA53</f>
        <v>0</v>
      </c>
      <c r="AB34" s="376">
        <f>SONPws!AB53</f>
        <v>0</v>
      </c>
      <c r="AC34" s="376">
        <f>SONPws!AC53</f>
        <v>0</v>
      </c>
      <c r="AD34" s="376">
        <f>SONPws!AD53</f>
        <v>0</v>
      </c>
      <c r="AE34" s="376">
        <f>SONPws!AE53</f>
        <v>0</v>
      </c>
      <c r="AF34" s="376">
        <f>SONPws!AF53</f>
        <v>0</v>
      </c>
      <c r="AG34" s="376">
        <f>SONPws!AG53</f>
        <v>0</v>
      </c>
      <c r="AH34" s="376">
        <f>SONPws!AH53</f>
        <v>0</v>
      </c>
      <c r="AI34" s="376">
        <f>SONPws!AI53</f>
        <v>0</v>
      </c>
      <c r="AJ34" s="376">
        <f>SONPws!AJ53</f>
        <v>0</v>
      </c>
      <c r="AK34" s="376">
        <f>SONPws!AK53</f>
        <v>0</v>
      </c>
      <c r="AL34" s="376">
        <f>SONPws!AL53</f>
        <v>0</v>
      </c>
      <c r="AM34" s="376">
        <f>SONPws!AM53</f>
        <v>0</v>
      </c>
      <c r="AN34" s="376">
        <f>SONPws!AN53</f>
        <v>0</v>
      </c>
      <c r="AO34" s="376">
        <f>SONPws!AO53</f>
        <v>0</v>
      </c>
      <c r="AP34" s="376">
        <f>SONPws!AP53</f>
        <v>0</v>
      </c>
      <c r="AQ34" s="376">
        <f>SONPws!AQ53</f>
        <v>0</v>
      </c>
      <c r="AR34" s="376">
        <f>SONPws!AR53</f>
        <v>0</v>
      </c>
      <c r="AS34" s="376">
        <f>SONPws!AS53</f>
        <v>0</v>
      </c>
      <c r="AT34" s="376">
        <f>SONPws!AT53</f>
        <v>0</v>
      </c>
      <c r="AU34" s="376">
        <f>SONPws!AU53</f>
        <v>0</v>
      </c>
      <c r="AV34" s="376">
        <f>SONPws!AV53</f>
        <v>0</v>
      </c>
      <c r="AW34" s="376">
        <f>SONPws!AW53</f>
        <v>0</v>
      </c>
      <c r="AX34" s="376">
        <f>SONPws!AX53</f>
        <v>0</v>
      </c>
      <c r="AY34" s="376">
        <f>SONPws!AY53</f>
        <v>0</v>
      </c>
      <c r="AZ34" s="376">
        <f>SONPws!AZ53</f>
        <v>0</v>
      </c>
      <c r="BA34" s="376">
        <f>SONPws!BA53</f>
        <v>0</v>
      </c>
      <c r="BB34" s="376">
        <f>SONPws!BB53</f>
        <v>0</v>
      </c>
      <c r="BC34" s="376">
        <f>SONPws!BC53</f>
        <v>0</v>
      </c>
      <c r="BD34" s="376">
        <f>SONPws!BD53</f>
        <v>0</v>
      </c>
      <c r="BE34" s="376">
        <f>SONPws!BE53</f>
        <v>0</v>
      </c>
      <c r="BF34" s="376">
        <f>SONPws!BF53</f>
        <v>0</v>
      </c>
      <c r="BG34" s="376">
        <f>SONPws!BG53</f>
        <v>0</v>
      </c>
      <c r="BH34" s="376">
        <f>SONPws!BH53</f>
        <v>0</v>
      </c>
      <c r="BI34" s="376">
        <f>SONPws!BI53</f>
        <v>0</v>
      </c>
      <c r="BJ34" s="376">
        <f>SONPws!BJ53</f>
        <v>0</v>
      </c>
      <c r="BK34" s="376">
        <f>SONPws!BK53</f>
        <v>0</v>
      </c>
      <c r="BL34" s="376">
        <f>SONPws!BL53</f>
        <v>0</v>
      </c>
      <c r="BM34" s="376">
        <f>SONPws!BM53</f>
        <v>0</v>
      </c>
      <c r="BN34" s="376">
        <f>SONPws!BN53</f>
        <v>0</v>
      </c>
      <c r="BO34" s="376">
        <f>SONPws!BO53</f>
        <v>0</v>
      </c>
      <c r="BP34" s="376">
        <f>SONPws!BP53</f>
        <v>0</v>
      </c>
      <c r="BQ34" s="376">
        <f>SONPws!BQ53</f>
        <v>0</v>
      </c>
      <c r="BR34" s="376">
        <f>SONPws!BR53</f>
        <v>0</v>
      </c>
      <c r="BS34" s="376">
        <f>SONPws!BS53</f>
        <v>0</v>
      </c>
      <c r="BT34" s="387"/>
      <c r="BU34" s="218">
        <f t="shared" si="11"/>
        <v>0</v>
      </c>
    </row>
    <row r="35" spans="1:88" x14ac:dyDescent="0.2">
      <c r="A35" s="229" t="s">
        <v>593</v>
      </c>
      <c r="B35" s="230">
        <f t="shared" si="10"/>
        <v>0</v>
      </c>
      <c r="C35" s="376">
        <f>SONPws!C54</f>
        <v>0</v>
      </c>
      <c r="D35" s="376">
        <f>SONPws!D54</f>
        <v>0</v>
      </c>
      <c r="E35" s="376">
        <f>SONPws!E54</f>
        <v>0</v>
      </c>
      <c r="F35" s="376">
        <f>SONPws!F54</f>
        <v>0</v>
      </c>
      <c r="G35" s="376">
        <f>SONPws!G54</f>
        <v>0</v>
      </c>
      <c r="H35" s="376">
        <f>SONPws!H54</f>
        <v>0</v>
      </c>
      <c r="I35" s="376">
        <f>SONPws!I54</f>
        <v>0</v>
      </c>
      <c r="J35" s="376">
        <f>SONPws!J54</f>
        <v>0</v>
      </c>
      <c r="K35" s="376">
        <f>SONPws!K54</f>
        <v>0</v>
      </c>
      <c r="L35" s="376">
        <f>SONPws!L54</f>
        <v>0</v>
      </c>
      <c r="M35" s="376">
        <f>SONPws!M54</f>
        <v>0</v>
      </c>
      <c r="N35" s="376">
        <f>SONPws!N54</f>
        <v>0</v>
      </c>
      <c r="O35" s="376"/>
      <c r="P35" s="376">
        <f>SONPws!P54</f>
        <v>0</v>
      </c>
      <c r="Q35" s="376">
        <f>SONPws!Q54</f>
        <v>0</v>
      </c>
      <c r="R35" s="376">
        <f>SONPws!R54</f>
        <v>0</v>
      </c>
      <c r="S35" s="376">
        <f>SONPws!S54</f>
        <v>0</v>
      </c>
      <c r="T35" s="376">
        <f>SONPws!T54</f>
        <v>0</v>
      </c>
      <c r="U35" s="376">
        <f>SONPws!U54</f>
        <v>0</v>
      </c>
      <c r="V35" s="1152">
        <v>0</v>
      </c>
      <c r="W35" s="376">
        <f>SONPws!W54</f>
        <v>0</v>
      </c>
      <c r="X35" s="376">
        <f>SONPws!X54</f>
        <v>0</v>
      </c>
      <c r="Y35" s="376">
        <f>SONPws!Y54</f>
        <v>0</v>
      </c>
      <c r="Z35" s="376">
        <f>SONPws!Z54</f>
        <v>0</v>
      </c>
      <c r="AA35" s="376">
        <f>SONPws!AA54</f>
        <v>0</v>
      </c>
      <c r="AB35" s="376">
        <f>SONPws!AB54</f>
        <v>0</v>
      </c>
      <c r="AC35" s="376">
        <f>SONPws!AC54</f>
        <v>0</v>
      </c>
      <c r="AD35" s="376">
        <f>SONPws!AD54</f>
        <v>0</v>
      </c>
      <c r="AE35" s="376">
        <f>SONPws!AE54</f>
        <v>0</v>
      </c>
      <c r="AF35" s="376">
        <f>SONPws!AF54</f>
        <v>0</v>
      </c>
      <c r="AG35" s="376">
        <f>SONPws!AG54</f>
        <v>0</v>
      </c>
      <c r="AH35" s="376">
        <f>SONPws!AH54</f>
        <v>0</v>
      </c>
      <c r="AI35" s="376">
        <f>SONPws!AI54</f>
        <v>0</v>
      </c>
      <c r="AJ35" s="376">
        <f>SONPws!AJ54</f>
        <v>0</v>
      </c>
      <c r="AK35" s="376">
        <f>SONPws!AK54</f>
        <v>0</v>
      </c>
      <c r="AL35" s="376">
        <f>SONPws!AL54</f>
        <v>0</v>
      </c>
      <c r="AM35" s="376">
        <f>SONPws!AM54</f>
        <v>0</v>
      </c>
      <c r="AN35" s="376">
        <f>SONPws!AN54</f>
        <v>0</v>
      </c>
      <c r="AO35" s="376">
        <f>SONPws!AO54</f>
        <v>0</v>
      </c>
      <c r="AP35" s="376">
        <f>SONPws!AP54</f>
        <v>0</v>
      </c>
      <c r="AQ35" s="376">
        <f>SONPws!AQ54</f>
        <v>0</v>
      </c>
      <c r="AR35" s="376">
        <f>SONPws!AR54</f>
        <v>0</v>
      </c>
      <c r="AS35" s="376">
        <f>SONPws!AS54</f>
        <v>0</v>
      </c>
      <c r="AT35" s="376">
        <f>SONPws!AT54</f>
        <v>0</v>
      </c>
      <c r="AU35" s="376">
        <f>SONPws!AU54</f>
        <v>0</v>
      </c>
      <c r="AV35" s="376">
        <f>SONPws!AV54</f>
        <v>0</v>
      </c>
      <c r="AW35" s="376">
        <f>SONPws!AW54</f>
        <v>0</v>
      </c>
      <c r="AX35" s="376">
        <f>SONPws!AX54</f>
        <v>0</v>
      </c>
      <c r="AY35" s="376">
        <f>SONPws!AY54</f>
        <v>0</v>
      </c>
      <c r="AZ35" s="1152">
        <v>0</v>
      </c>
      <c r="BA35" s="376">
        <f>SONPws!BA54</f>
        <v>0</v>
      </c>
      <c r="BB35" s="376">
        <f>SONPws!BB54</f>
        <v>0</v>
      </c>
      <c r="BC35" s="376">
        <f>SONPws!BC54</f>
        <v>0</v>
      </c>
      <c r="BD35" s="376">
        <f>SONPws!BD54</f>
        <v>0</v>
      </c>
      <c r="BE35" s="376">
        <f>SONPws!BE54</f>
        <v>0</v>
      </c>
      <c r="BF35" s="376">
        <f>SONPws!BF54</f>
        <v>0</v>
      </c>
      <c r="BG35" s="376">
        <f>SONPws!BG54</f>
        <v>0</v>
      </c>
      <c r="BH35" s="376">
        <f>SONPws!BH54</f>
        <v>0</v>
      </c>
      <c r="BI35" s="376">
        <f>SONPws!BI54</f>
        <v>0</v>
      </c>
      <c r="BJ35" s="376">
        <f>SONPws!BJ54</f>
        <v>0</v>
      </c>
      <c r="BK35" s="376">
        <f>SONPws!BK54</f>
        <v>0</v>
      </c>
      <c r="BL35" s="376">
        <f>SONPws!BL54</f>
        <v>0</v>
      </c>
      <c r="BM35" s="376">
        <f>SONPws!BM54</f>
        <v>0</v>
      </c>
      <c r="BN35" s="376">
        <f>SONPws!BN54</f>
        <v>0</v>
      </c>
      <c r="BO35" s="376">
        <f>SONPws!BO54</f>
        <v>0</v>
      </c>
      <c r="BP35" s="376">
        <f>SONPws!BP54</f>
        <v>0</v>
      </c>
      <c r="BQ35" s="376">
        <f>SONPws!BQ54</f>
        <v>0</v>
      </c>
      <c r="BR35" s="376">
        <f>SONPws!BR54</f>
        <v>0</v>
      </c>
      <c r="BS35" s="376">
        <f>SONPws!BS54</f>
        <v>0</v>
      </c>
      <c r="BT35" s="387"/>
      <c r="BU35" s="218">
        <f t="shared" si="11"/>
        <v>0</v>
      </c>
    </row>
    <row r="36" spans="1:88" x14ac:dyDescent="0.2">
      <c r="A36" s="217" t="s">
        <v>472</v>
      </c>
      <c r="C36" s="1096"/>
      <c r="D36" s="218"/>
      <c r="E36" s="218"/>
      <c r="F36" s="218"/>
      <c r="G36" s="218"/>
      <c r="H36" s="218"/>
      <c r="I36" s="218"/>
      <c r="J36" s="218"/>
      <c r="K36" s="218"/>
      <c r="L36" s="218"/>
      <c r="M36" s="218"/>
      <c r="N36" s="218"/>
      <c r="O36" s="218"/>
      <c r="P36" s="218"/>
      <c r="Q36" s="218"/>
      <c r="R36" s="218"/>
      <c r="S36" s="218"/>
      <c r="T36" s="218"/>
      <c r="U36" s="218"/>
      <c r="V36" s="1096"/>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1096"/>
      <c r="BA36" s="218"/>
      <c r="BB36" s="218"/>
      <c r="BC36" s="218"/>
      <c r="BD36" s="218"/>
      <c r="BE36" s="218"/>
      <c r="BF36" s="218"/>
      <c r="BG36" s="218"/>
      <c r="BH36" s="218"/>
      <c r="BI36" s="218"/>
      <c r="BJ36" s="218"/>
      <c r="BK36" s="218"/>
      <c r="BL36" s="218"/>
      <c r="BM36" s="218"/>
      <c r="BN36" s="218"/>
      <c r="BO36" s="218"/>
      <c r="BP36" s="218"/>
      <c r="BQ36" s="218"/>
      <c r="BR36" s="218"/>
      <c r="BS36" s="218"/>
      <c r="BT36" s="330"/>
      <c r="BU36" s="218">
        <f t="shared" si="11"/>
        <v>0</v>
      </c>
    </row>
    <row r="37" spans="1:88" x14ac:dyDescent="0.2">
      <c r="A37" s="220" t="s">
        <v>688</v>
      </c>
      <c r="B37" s="196">
        <f t="shared" ref="B37:B44" si="12">SUM(C37:BS37)</f>
        <v>77494</v>
      </c>
      <c r="C37" s="1096">
        <v>7</v>
      </c>
      <c r="D37" s="1096"/>
      <c r="E37" s="1393">
        <v>2758</v>
      </c>
      <c r="F37" s="1393">
        <v>7922</v>
      </c>
      <c r="G37" s="1393">
        <v>604</v>
      </c>
      <c r="H37" s="1393">
        <v>68</v>
      </c>
      <c r="I37" s="1393">
        <v>1228</v>
      </c>
      <c r="J37" s="1393"/>
      <c r="K37" s="927">
        <v>42</v>
      </c>
      <c r="L37" s="218"/>
      <c r="M37" s="218"/>
      <c r="N37" s="1096">
        <v>1764</v>
      </c>
      <c r="O37" s="1096">
        <v>2521</v>
      </c>
      <c r="P37" s="218"/>
      <c r="Q37" s="218"/>
      <c r="R37" s="1096"/>
      <c r="S37" s="1096"/>
      <c r="T37" s="1096">
        <v>180</v>
      </c>
      <c r="U37" s="927">
        <v>8</v>
      </c>
      <c r="V37" s="1096"/>
      <c r="W37" s="1096">
        <v>374</v>
      </c>
      <c r="X37" s="1096">
        <v>993</v>
      </c>
      <c r="Y37" s="1096">
        <v>0</v>
      </c>
      <c r="Z37" s="1096">
        <v>0</v>
      </c>
      <c r="AA37" s="1096">
        <v>0</v>
      </c>
      <c r="AB37" s="1096">
        <v>0</v>
      </c>
      <c r="AC37" s="1096">
        <v>0</v>
      </c>
      <c r="AD37" s="1096">
        <v>0</v>
      </c>
      <c r="AE37" s="1096">
        <v>0</v>
      </c>
      <c r="AF37" s="1096">
        <v>30289</v>
      </c>
      <c r="AG37" s="1096">
        <v>0</v>
      </c>
      <c r="AH37" s="1096">
        <v>0</v>
      </c>
      <c r="AI37" s="1096">
        <v>0</v>
      </c>
      <c r="AJ37" s="1096">
        <v>0</v>
      </c>
      <c r="AK37" s="1096">
        <v>0</v>
      </c>
      <c r="AL37" s="1096">
        <v>0</v>
      </c>
      <c r="AM37" s="1096">
        <v>0</v>
      </c>
      <c r="AN37" s="1096">
        <v>0</v>
      </c>
      <c r="AO37" s="1096">
        <v>0</v>
      </c>
      <c r="AP37" s="1096">
        <v>0</v>
      </c>
      <c r="AQ37" s="1096">
        <v>0</v>
      </c>
      <c r="AR37" s="1096">
        <v>3074</v>
      </c>
      <c r="AS37" s="1096">
        <v>0</v>
      </c>
      <c r="AT37" s="1096">
        <v>17544</v>
      </c>
      <c r="AU37" s="1096">
        <v>0</v>
      </c>
      <c r="AV37" s="1096">
        <v>0</v>
      </c>
      <c r="AW37" s="1096">
        <v>0</v>
      </c>
      <c r="AX37" s="1096"/>
      <c r="AY37" s="1096"/>
      <c r="AZ37" s="1096"/>
      <c r="BA37" s="1096">
        <v>0</v>
      </c>
      <c r="BB37" s="1096"/>
      <c r="BC37" s="1096"/>
      <c r="BD37" s="218"/>
      <c r="BE37" s="218"/>
      <c r="BF37" s="218">
        <v>0</v>
      </c>
      <c r="BG37" s="218"/>
      <c r="BH37" s="218"/>
      <c r="BI37" s="218"/>
      <c r="BJ37" s="218"/>
      <c r="BK37" s="218"/>
      <c r="BL37" s="218"/>
      <c r="BM37" s="218">
        <v>39</v>
      </c>
      <c r="BN37" s="218"/>
      <c r="BO37" s="218"/>
      <c r="BP37" s="218">
        <v>0</v>
      </c>
      <c r="BQ37" s="1096">
        <v>7890</v>
      </c>
      <c r="BR37" s="218"/>
      <c r="BS37" s="218">
        <v>189</v>
      </c>
      <c r="BT37" s="330"/>
      <c r="BU37" s="218">
        <f t="shared" si="11"/>
        <v>74729</v>
      </c>
    </row>
    <row r="38" spans="1:88" x14ac:dyDescent="0.2">
      <c r="A38" s="220" t="s">
        <v>847</v>
      </c>
      <c r="B38" s="196">
        <f t="shared" si="12"/>
        <v>70728</v>
      </c>
      <c r="C38" s="1098">
        <v>22</v>
      </c>
      <c r="D38" s="1097">
        <v>575</v>
      </c>
      <c r="E38" s="1393">
        <v>4307</v>
      </c>
      <c r="F38" s="1393">
        <v>8015</v>
      </c>
      <c r="G38" s="1393">
        <v>329</v>
      </c>
      <c r="H38" s="1393">
        <v>4</v>
      </c>
      <c r="I38" s="1393">
        <v>540</v>
      </c>
      <c r="J38" s="1389"/>
      <c r="K38" s="928">
        <v>54</v>
      </c>
      <c r="N38" s="1097">
        <v>11921</v>
      </c>
      <c r="O38" s="1097">
        <v>1781</v>
      </c>
      <c r="R38" s="1096">
        <v>324</v>
      </c>
      <c r="S38" s="1097">
        <v>137</v>
      </c>
      <c r="T38" s="1097">
        <v>108</v>
      </c>
      <c r="U38" s="1096">
        <v>29</v>
      </c>
      <c r="V38" s="1097"/>
      <c r="W38" s="1096">
        <v>299</v>
      </c>
      <c r="X38" s="1097">
        <v>49</v>
      </c>
      <c r="Y38" s="1097"/>
      <c r="Z38" s="1097"/>
      <c r="AA38" s="1096">
        <v>0</v>
      </c>
      <c r="AB38" s="1096">
        <v>0</v>
      </c>
      <c r="AC38" s="1096">
        <v>0</v>
      </c>
      <c r="AD38" s="1096">
        <v>2429</v>
      </c>
      <c r="AE38" s="1096">
        <v>0</v>
      </c>
      <c r="AF38" s="1096">
        <f>5713+3109</f>
        <v>8822</v>
      </c>
      <c r="AG38" s="1096">
        <v>0</v>
      </c>
      <c r="AH38" s="1096">
        <v>0</v>
      </c>
      <c r="AI38" s="1096">
        <v>0</v>
      </c>
      <c r="AJ38" s="1096">
        <v>0</v>
      </c>
      <c r="AK38" s="1096">
        <v>0</v>
      </c>
      <c r="AL38" s="1096">
        <v>258</v>
      </c>
      <c r="AM38" s="1096">
        <v>0</v>
      </c>
      <c r="AN38" s="1096">
        <v>0</v>
      </c>
      <c r="AO38" s="1096">
        <v>0</v>
      </c>
      <c r="AP38" s="1096">
        <v>0</v>
      </c>
      <c r="AQ38" s="1096">
        <v>0</v>
      </c>
      <c r="AR38" s="1096">
        <v>526</v>
      </c>
      <c r="AS38" s="1096">
        <v>0</v>
      </c>
      <c r="AT38" s="1096">
        <v>10681</v>
      </c>
      <c r="AU38" s="1096">
        <v>0</v>
      </c>
      <c r="AV38" s="1096">
        <v>0</v>
      </c>
      <c r="AW38" s="1096">
        <v>44</v>
      </c>
      <c r="AY38" s="1098"/>
      <c r="AZ38" s="1097">
        <v>1</v>
      </c>
      <c r="BA38" s="1098"/>
      <c r="BB38" s="1098"/>
      <c r="BC38" s="1098"/>
      <c r="BF38" s="211">
        <v>88</v>
      </c>
      <c r="BJ38" s="211">
        <v>1524</v>
      </c>
      <c r="BK38" s="211">
        <v>10</v>
      </c>
      <c r="BP38" s="1098">
        <v>91</v>
      </c>
      <c r="BQ38" s="1097">
        <v>17760</v>
      </c>
      <c r="BU38" s="218">
        <f t="shared" si="11"/>
        <v>65824</v>
      </c>
    </row>
    <row r="39" spans="1:88" x14ac:dyDescent="0.2">
      <c r="A39" s="220" t="s">
        <v>690</v>
      </c>
      <c r="B39" s="196">
        <f t="shared" si="12"/>
        <v>3645</v>
      </c>
      <c r="C39" s="1097">
        <v>25</v>
      </c>
      <c r="D39" s="1096"/>
      <c r="E39" s="1393">
        <v>196</v>
      </c>
      <c r="F39" s="1393">
        <v>805</v>
      </c>
      <c r="G39" s="1393">
        <v>60</v>
      </c>
      <c r="H39" s="1393">
        <v>6</v>
      </c>
      <c r="I39" s="1393">
        <v>11</v>
      </c>
      <c r="J39" s="1393"/>
      <c r="K39" s="927">
        <v>84</v>
      </c>
      <c r="L39" s="218"/>
      <c r="M39" s="218"/>
      <c r="N39" s="1096">
        <v>416</v>
      </c>
      <c r="O39" s="1096">
        <v>294</v>
      </c>
      <c r="P39" s="218"/>
      <c r="Q39" s="218"/>
      <c r="R39" s="1097">
        <v>732</v>
      </c>
      <c r="S39" s="1096">
        <v>35</v>
      </c>
      <c r="T39" s="1096">
        <v>144</v>
      </c>
      <c r="U39" s="927">
        <v>58</v>
      </c>
      <c r="V39" s="1096"/>
      <c r="W39" s="1096">
        <v>407</v>
      </c>
      <c r="X39" s="1096">
        <v>14</v>
      </c>
      <c r="Y39" s="1096"/>
      <c r="Z39" s="1096"/>
      <c r="AA39" s="1096">
        <v>0</v>
      </c>
      <c r="AB39" s="1096">
        <v>0</v>
      </c>
      <c r="AC39" s="1096">
        <v>0</v>
      </c>
      <c r="AD39" s="1096">
        <v>0</v>
      </c>
      <c r="AE39" s="1096">
        <v>0</v>
      </c>
      <c r="AF39" s="1096">
        <v>2</v>
      </c>
      <c r="AG39" s="1096">
        <v>0</v>
      </c>
      <c r="AH39" s="1096">
        <v>0</v>
      </c>
      <c r="AI39" s="1096">
        <v>0</v>
      </c>
      <c r="AJ39" s="1096">
        <v>0</v>
      </c>
      <c r="AK39" s="1096">
        <v>0</v>
      </c>
      <c r="AL39" s="1096">
        <v>0</v>
      </c>
      <c r="AM39" s="1096">
        <v>0</v>
      </c>
      <c r="AN39" s="1096">
        <v>0</v>
      </c>
      <c r="AO39" s="1096">
        <v>0</v>
      </c>
      <c r="AP39" s="1096">
        <v>0</v>
      </c>
      <c r="AQ39" s="1096">
        <v>0</v>
      </c>
      <c r="AR39" s="1096">
        <v>6</v>
      </c>
      <c r="AS39" s="1096">
        <v>0</v>
      </c>
      <c r="AT39" s="1096">
        <v>2</v>
      </c>
      <c r="AU39" s="1096">
        <v>0</v>
      </c>
      <c r="AV39" s="1096">
        <v>0</v>
      </c>
      <c r="AW39" s="1096">
        <v>0</v>
      </c>
      <c r="AX39" s="218"/>
      <c r="AY39" s="1096"/>
      <c r="AZ39" s="1096">
        <v>2</v>
      </c>
      <c r="BA39" s="1096"/>
      <c r="BB39" s="1096"/>
      <c r="BC39" s="1096"/>
      <c r="BD39" s="218"/>
      <c r="BE39" s="218"/>
      <c r="BF39" s="218">
        <v>187</v>
      </c>
      <c r="BG39" s="218"/>
      <c r="BH39" s="218"/>
      <c r="BI39" s="218"/>
      <c r="BJ39" s="218"/>
      <c r="BK39" s="218"/>
      <c r="BL39" s="218"/>
      <c r="BM39" s="218"/>
      <c r="BN39" s="218"/>
      <c r="BO39" s="218"/>
      <c r="BP39" s="1096">
        <v>159</v>
      </c>
      <c r="BQ39" s="218"/>
      <c r="BR39" s="218"/>
      <c r="BS39" s="218"/>
      <c r="BT39" s="330"/>
      <c r="BU39" s="218">
        <f t="shared" si="11"/>
        <v>3424</v>
      </c>
    </row>
    <row r="40" spans="1:88" x14ac:dyDescent="0.2">
      <c r="A40" s="220" t="s">
        <v>691</v>
      </c>
      <c r="B40" s="196">
        <f t="shared" si="12"/>
        <v>253</v>
      </c>
      <c r="C40" s="1097"/>
      <c r="E40" s="1393"/>
      <c r="F40" s="1393"/>
      <c r="G40" s="1393"/>
      <c r="H40" s="1393"/>
      <c r="I40" s="1393"/>
      <c r="J40" s="1389"/>
      <c r="K40" s="928"/>
      <c r="N40" s="1097">
        <v>0</v>
      </c>
      <c r="O40" s="1098">
        <v>2</v>
      </c>
      <c r="R40" s="1097"/>
      <c r="S40" s="1097"/>
      <c r="T40" s="1098"/>
      <c r="U40" s="1098"/>
      <c r="V40" s="1097"/>
      <c r="W40" s="1096"/>
      <c r="X40" s="196"/>
      <c r="Y40" s="1097"/>
      <c r="Z40" s="1097"/>
      <c r="AA40" s="1096"/>
      <c r="AB40" s="1096"/>
      <c r="AC40" s="1096"/>
      <c r="AD40" s="1096"/>
      <c r="AE40" s="1096"/>
      <c r="AF40" s="1096"/>
      <c r="AG40" s="1096"/>
      <c r="AH40" s="1096"/>
      <c r="AI40" s="1096"/>
      <c r="AJ40" s="1096"/>
      <c r="AK40" s="1096"/>
      <c r="AL40" s="1096"/>
      <c r="AM40" s="1096"/>
      <c r="AN40" s="1096"/>
      <c r="AO40" s="1096"/>
      <c r="AP40" s="1096"/>
      <c r="AQ40" s="1096"/>
      <c r="AR40" s="1096"/>
      <c r="AS40" s="1096"/>
      <c r="AT40" s="1096"/>
      <c r="AU40" s="1096"/>
      <c r="AV40" s="1096"/>
      <c r="AW40" s="1096"/>
      <c r="AY40" s="1098"/>
      <c r="AZ40" s="1097"/>
      <c r="BA40" s="1098"/>
      <c r="BB40" s="1098"/>
      <c r="BC40" s="1098"/>
      <c r="BF40" s="211">
        <v>251</v>
      </c>
      <c r="BP40" s="1098">
        <v>0</v>
      </c>
      <c r="BU40" s="218">
        <f t="shared" si="11"/>
        <v>253</v>
      </c>
    </row>
    <row r="41" spans="1:88" x14ac:dyDescent="0.2">
      <c r="A41" s="220" t="s">
        <v>692</v>
      </c>
      <c r="B41" s="196">
        <f t="shared" si="12"/>
        <v>15198</v>
      </c>
      <c r="C41" s="1097"/>
      <c r="E41" s="1396">
        <v>1025</v>
      </c>
      <c r="F41" s="1393">
        <v>3286</v>
      </c>
      <c r="G41" s="1393"/>
      <c r="H41" s="1393"/>
      <c r="I41" s="1396">
        <v>3667</v>
      </c>
      <c r="J41" s="1393"/>
      <c r="N41" s="1097">
        <v>125</v>
      </c>
      <c r="O41" s="1098">
        <v>196</v>
      </c>
      <c r="R41" s="1097">
        <v>1</v>
      </c>
      <c r="S41" s="1097">
        <v>1</v>
      </c>
      <c r="V41" s="1097"/>
      <c r="X41" s="196"/>
      <c r="Y41" s="1097"/>
      <c r="Z41" s="1097"/>
      <c r="AA41" s="1096">
        <v>0</v>
      </c>
      <c r="AB41" s="1096">
        <v>0</v>
      </c>
      <c r="AC41" s="1096">
        <v>0</v>
      </c>
      <c r="AD41" s="1096">
        <v>0</v>
      </c>
      <c r="AE41" s="1096">
        <v>0</v>
      </c>
      <c r="AF41" s="1096">
        <f>2758-145</f>
        <v>2613</v>
      </c>
      <c r="AG41" s="1096">
        <v>0</v>
      </c>
      <c r="AH41" s="1096">
        <v>0</v>
      </c>
      <c r="AI41" s="1096">
        <v>0</v>
      </c>
      <c r="AJ41" s="1096">
        <v>0</v>
      </c>
      <c r="AK41" s="1096">
        <v>0</v>
      </c>
      <c r="AL41" s="1096">
        <v>0</v>
      </c>
      <c r="AM41" s="1096">
        <v>0</v>
      </c>
      <c r="AN41" s="1096">
        <v>0</v>
      </c>
      <c r="AO41" s="1096">
        <v>0</v>
      </c>
      <c r="AP41" s="1096">
        <v>0</v>
      </c>
      <c r="AQ41" s="1096">
        <v>0</v>
      </c>
      <c r="AR41" s="1096">
        <v>52</v>
      </c>
      <c r="AS41" s="1096">
        <v>0</v>
      </c>
      <c r="AT41" s="1096">
        <v>4209</v>
      </c>
      <c r="AU41" s="1096">
        <v>0</v>
      </c>
      <c r="AV41" s="1096">
        <v>0</v>
      </c>
      <c r="AW41" s="1096">
        <v>0</v>
      </c>
      <c r="AY41" s="1098"/>
      <c r="AZ41" s="1097"/>
      <c r="BA41" s="1098"/>
      <c r="BB41" s="1098"/>
      <c r="BC41" s="1098"/>
      <c r="BP41" s="1097">
        <v>23</v>
      </c>
      <c r="BU41" s="218">
        <f t="shared" si="11"/>
        <v>14173</v>
      </c>
    </row>
    <row r="42" spans="1:88" x14ac:dyDescent="0.2">
      <c r="A42" s="220" t="s">
        <v>848</v>
      </c>
      <c r="B42" s="211">
        <f t="shared" si="12"/>
        <v>0</v>
      </c>
      <c r="C42" s="1098"/>
      <c r="E42" s="928"/>
      <c r="F42" s="928"/>
      <c r="G42" s="928"/>
      <c r="H42" s="928"/>
      <c r="I42" s="928"/>
      <c r="J42" s="928"/>
      <c r="N42" s="1098"/>
      <c r="O42" s="1098"/>
      <c r="V42" s="1097"/>
      <c r="X42" s="196"/>
      <c r="Y42" s="1098"/>
      <c r="Z42" s="1098"/>
      <c r="AA42" s="1098"/>
      <c r="AB42" s="1098"/>
      <c r="AC42" s="1098"/>
      <c r="AD42" s="1098"/>
      <c r="AE42" s="1098"/>
      <c r="AF42" s="1098"/>
      <c r="AG42" s="1098"/>
      <c r="AH42" s="1098"/>
      <c r="AI42" s="1098"/>
      <c r="AJ42" s="1098"/>
      <c r="AK42" s="1098"/>
      <c r="AL42" s="1098"/>
      <c r="AM42" s="1098"/>
      <c r="AN42" s="1098"/>
      <c r="AO42" s="1098"/>
      <c r="AP42" s="1098"/>
      <c r="AQ42" s="1098"/>
      <c r="AR42" s="1098"/>
      <c r="AS42" s="1098"/>
      <c r="AT42" s="1098"/>
      <c r="AU42" s="1098"/>
      <c r="AV42" s="1098"/>
      <c r="AW42" s="1098"/>
      <c r="AY42" s="1098"/>
      <c r="AZ42" s="1097"/>
      <c r="BA42" s="1098"/>
      <c r="BB42" s="1098"/>
      <c r="BC42" s="1098"/>
      <c r="BD42" s="1097"/>
      <c r="BU42" s="218">
        <f t="shared" si="11"/>
        <v>0</v>
      </c>
    </row>
    <row r="43" spans="1:88" x14ac:dyDescent="0.2">
      <c r="A43" s="375" t="s">
        <v>604</v>
      </c>
      <c r="B43" s="230">
        <f t="shared" si="12"/>
        <v>83140</v>
      </c>
      <c r="C43" s="231">
        <f>SONPws!C60</f>
        <v>0</v>
      </c>
      <c r="D43" s="231">
        <f>SONPws!D60</f>
        <v>100</v>
      </c>
      <c r="E43" s="231">
        <f>SONPws!E60</f>
        <v>20802</v>
      </c>
      <c r="F43" s="231">
        <f>SONPws!F60</f>
        <v>44168</v>
      </c>
      <c r="G43" s="231">
        <f>SONPws!G60</f>
        <v>90</v>
      </c>
      <c r="H43" s="231">
        <f>SONPws!H60</f>
        <v>0</v>
      </c>
      <c r="I43" s="231">
        <f>SONPws!I60</f>
        <v>0</v>
      </c>
      <c r="J43" s="231">
        <f>SONPws!J60</f>
        <v>0</v>
      </c>
      <c r="K43" s="231">
        <f>SONPws!K60</f>
        <v>0</v>
      </c>
      <c r="L43" s="231">
        <f>SONPws!L60</f>
        <v>0</v>
      </c>
      <c r="M43" s="231">
        <f>SONPws!M60</f>
        <v>0</v>
      </c>
      <c r="N43" s="231">
        <f>SONPws!N60</f>
        <v>0</v>
      </c>
      <c r="O43" s="231">
        <f>SONPws!O60</f>
        <v>0</v>
      </c>
      <c r="P43" s="231">
        <f>SONPws!P60</f>
        <v>1800</v>
      </c>
      <c r="Q43" s="231">
        <f>SONPws!Q60</f>
        <v>0</v>
      </c>
      <c r="R43" s="231">
        <f>SONPws!R60</f>
        <v>7298</v>
      </c>
      <c r="S43" s="231">
        <f>SONPws!S60</f>
        <v>8241</v>
      </c>
      <c r="T43" s="231">
        <f>SONPws!T60</f>
        <v>600</v>
      </c>
      <c r="U43" s="231">
        <f>SONPws!U60</f>
        <v>0</v>
      </c>
      <c r="V43" s="231">
        <f>SONPws!V60</f>
        <v>0</v>
      </c>
      <c r="W43" s="231">
        <f>SONPws!W60</f>
        <v>0</v>
      </c>
      <c r="X43" s="231">
        <f>SONPws!X60</f>
        <v>0</v>
      </c>
      <c r="Y43" s="1098"/>
      <c r="Z43" s="1098"/>
      <c r="AA43" s="1098"/>
      <c r="AB43" s="1098"/>
      <c r="AC43" s="1098"/>
      <c r="AD43" s="1098"/>
      <c r="AE43" s="1098"/>
      <c r="AF43" s="1098"/>
      <c r="AG43" s="1098"/>
      <c r="AH43" s="1098"/>
      <c r="AI43" s="1098"/>
      <c r="AJ43" s="1098"/>
      <c r="AK43" s="1098"/>
      <c r="AL43" s="1098"/>
      <c r="AM43" s="1098"/>
      <c r="AN43" s="1098"/>
      <c r="AO43" s="231">
        <f>SONPws!AO60</f>
        <v>0</v>
      </c>
      <c r="AP43" s="231">
        <f>SONPws!AP60</f>
        <v>0</v>
      </c>
      <c r="AQ43" s="231">
        <f>SONPws!AQ60</f>
        <v>0</v>
      </c>
      <c r="AR43" s="231">
        <f>SONPws!AR60</f>
        <v>0</v>
      </c>
      <c r="AS43" s="231">
        <f>SONPws!AS60</f>
        <v>0</v>
      </c>
      <c r="AT43" s="231">
        <f>SONPws!AT60</f>
        <v>41</v>
      </c>
      <c r="AU43" s="231">
        <f>SONPws!AU60</f>
        <v>0</v>
      </c>
      <c r="AV43" s="231">
        <f>SONPws!AV60</f>
        <v>0</v>
      </c>
      <c r="AW43" s="231">
        <f>SONPws!AW60</f>
        <v>0</v>
      </c>
      <c r="AX43" s="231">
        <f>SONPws!AX60</f>
        <v>0</v>
      </c>
      <c r="AY43" s="231">
        <f>SONPws!AY60</f>
        <v>0</v>
      </c>
      <c r="AZ43" s="231">
        <f>SONPws!AZ60</f>
        <v>0</v>
      </c>
      <c r="BA43" s="231">
        <f>SONPws!BA60</f>
        <v>0</v>
      </c>
      <c r="BB43" s="231">
        <f>SONPws!BB60</f>
        <v>0</v>
      </c>
      <c r="BC43" s="231">
        <f>SONPws!BC60</f>
        <v>0</v>
      </c>
      <c r="BD43" s="231">
        <f>SONPws!BD60</f>
        <v>0</v>
      </c>
      <c r="BE43" s="231">
        <f>SONPws!BE60</f>
        <v>0</v>
      </c>
      <c r="BF43" s="231">
        <f>SONPws!BF60</f>
        <v>0</v>
      </c>
      <c r="BG43" s="231">
        <f>SONPws!BG60</f>
        <v>0</v>
      </c>
      <c r="BH43" s="231">
        <f>SONPws!BH60</f>
        <v>0</v>
      </c>
      <c r="BI43" s="231">
        <f>SONPws!BI60</f>
        <v>0</v>
      </c>
      <c r="BJ43" s="231">
        <f>SONPws!BJ60</f>
        <v>0</v>
      </c>
      <c r="BK43" s="231">
        <f>SONPws!BK60</f>
        <v>0</v>
      </c>
      <c r="BL43" s="231">
        <f>SONPws!BL60</f>
        <v>0</v>
      </c>
      <c r="BM43" s="231">
        <f>SONPws!BM60</f>
        <v>0</v>
      </c>
      <c r="BN43" s="231">
        <f>SONPws!BN60</f>
        <v>0</v>
      </c>
      <c r="BO43" s="231">
        <f>SONPws!BO60</f>
        <v>0</v>
      </c>
      <c r="BP43" s="231">
        <f>SONPws!BP60</f>
        <v>0</v>
      </c>
      <c r="BQ43" s="231">
        <f>SONPws!BQ60</f>
        <v>0</v>
      </c>
      <c r="BR43" s="231">
        <f>SONPws!BR60</f>
        <v>0</v>
      </c>
      <c r="BS43" s="231">
        <f>SONPws!BS60</f>
        <v>0</v>
      </c>
      <c r="BT43" s="330"/>
      <c r="BU43" s="218">
        <f t="shared" si="11"/>
        <v>62238</v>
      </c>
    </row>
    <row r="44" spans="1:88" x14ac:dyDescent="0.2">
      <c r="A44" s="375" t="s">
        <v>451</v>
      </c>
      <c r="B44" s="230">
        <f t="shared" si="12"/>
        <v>11</v>
      </c>
      <c r="C44" s="231">
        <f>SONPws!C61</f>
        <v>0</v>
      </c>
      <c r="D44" s="231">
        <f>SONPws!D61</f>
        <v>0</v>
      </c>
      <c r="E44" s="231">
        <f>SONPws!E61</f>
        <v>0</v>
      </c>
      <c r="F44" s="231">
        <f>SONPws!F61</f>
        <v>11</v>
      </c>
      <c r="G44" s="231">
        <f>SONPws!G61</f>
        <v>0</v>
      </c>
      <c r="H44" s="231">
        <f>SONPws!H61</f>
        <v>0</v>
      </c>
      <c r="I44" s="231">
        <f>SONPws!I61</f>
        <v>0</v>
      </c>
      <c r="J44" s="231">
        <f>SONPws!J61</f>
        <v>0</v>
      </c>
      <c r="K44" s="231">
        <f>SONPws!K61</f>
        <v>0</v>
      </c>
      <c r="L44" s="231">
        <f>SONPws!L61</f>
        <v>0</v>
      </c>
      <c r="M44" s="231">
        <f>SONPws!M61</f>
        <v>0</v>
      </c>
      <c r="N44" s="231">
        <f>SONPws!N61</f>
        <v>0</v>
      </c>
      <c r="O44" s="231">
        <v>0</v>
      </c>
      <c r="P44" s="231">
        <f>SONPws!P61</f>
        <v>0</v>
      </c>
      <c r="Q44" s="231">
        <f>SONPws!Q61</f>
        <v>0</v>
      </c>
      <c r="R44" s="231">
        <f>SONPws!R61</f>
        <v>0</v>
      </c>
      <c r="S44" s="231">
        <f>SONPws!S61</f>
        <v>0</v>
      </c>
      <c r="T44" s="231">
        <f>SONPws!T61</f>
        <v>0</v>
      </c>
      <c r="U44" s="231">
        <f>SONPws!U61</f>
        <v>0</v>
      </c>
      <c r="V44" s="1101">
        <v>0</v>
      </c>
      <c r="W44" s="231">
        <f>[2]SONPws!W65</f>
        <v>0</v>
      </c>
      <c r="X44" s="231">
        <f>SONPws!X61</f>
        <v>0</v>
      </c>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f>SONPws!AX61</f>
        <v>0</v>
      </c>
      <c r="AY44" s="231">
        <v>0</v>
      </c>
      <c r="AZ44" s="1101">
        <v>0</v>
      </c>
      <c r="BA44" s="231">
        <v>0</v>
      </c>
      <c r="BB44" s="231"/>
      <c r="BC44" s="231"/>
      <c r="BD44" s="231">
        <f>SONPws!BD61</f>
        <v>0</v>
      </c>
      <c r="BE44" s="231">
        <f>SONPws!BE61</f>
        <v>0</v>
      </c>
      <c r="BF44" s="231">
        <f>SONPws!BF61</f>
        <v>0</v>
      </c>
      <c r="BG44" s="231">
        <f>SONPws!BG61</f>
        <v>0</v>
      </c>
      <c r="BH44" s="231">
        <f>SONPws!BH61</f>
        <v>0</v>
      </c>
      <c r="BI44" s="231">
        <f>SONPws!BI61</f>
        <v>0</v>
      </c>
      <c r="BJ44" s="231">
        <f>SONPws!BJ61</f>
        <v>0</v>
      </c>
      <c r="BK44" s="231">
        <f>SONPws!BK61</f>
        <v>0</v>
      </c>
      <c r="BL44" s="231">
        <f>SONPws!BL61</f>
        <v>0</v>
      </c>
      <c r="BM44" s="231">
        <f>SONPws!BM61</f>
        <v>0</v>
      </c>
      <c r="BN44" s="231">
        <f>SONPws!BN61</f>
        <v>0</v>
      </c>
      <c r="BO44" s="231">
        <f>SONPws!BO61</f>
        <v>0</v>
      </c>
      <c r="BP44" s="231">
        <f>SONPws!BP61</f>
        <v>0</v>
      </c>
      <c r="BQ44" s="231">
        <f>SONPws!BQ61</f>
        <v>0</v>
      </c>
      <c r="BR44" s="231">
        <f>SONPws!BR61</f>
        <v>0</v>
      </c>
      <c r="BS44" s="231">
        <f>SONPws!BS61</f>
        <v>0</v>
      </c>
      <c r="BT44" s="330"/>
      <c r="BU44" s="218">
        <f t="shared" si="11"/>
        <v>11</v>
      </c>
    </row>
    <row r="45" spans="1:88" x14ac:dyDescent="0.2">
      <c r="A45" s="225" t="s">
        <v>702</v>
      </c>
      <c r="B45" s="226">
        <f t="shared" ref="B45:AI45" si="13">SUM(B28:B44)</f>
        <v>353777</v>
      </c>
      <c r="C45" s="226">
        <f t="shared" si="13"/>
        <v>91207</v>
      </c>
      <c r="D45" s="226">
        <f t="shared" si="13"/>
        <v>675</v>
      </c>
      <c r="E45" s="226">
        <f t="shared" si="13"/>
        <v>29088</v>
      </c>
      <c r="F45" s="226">
        <f t="shared" si="13"/>
        <v>64207</v>
      </c>
      <c r="G45" s="226">
        <f>SUM(G28:G44)</f>
        <v>1083</v>
      </c>
      <c r="H45" s="226">
        <f t="shared" si="13"/>
        <v>78</v>
      </c>
      <c r="I45" s="226">
        <f t="shared" si="13"/>
        <v>5446</v>
      </c>
      <c r="J45" s="226">
        <f t="shared" si="13"/>
        <v>0</v>
      </c>
      <c r="K45" s="226">
        <f t="shared" si="13"/>
        <v>180</v>
      </c>
      <c r="L45" s="226">
        <f t="shared" si="13"/>
        <v>0</v>
      </c>
      <c r="M45" s="226">
        <f t="shared" si="13"/>
        <v>0</v>
      </c>
      <c r="N45" s="226">
        <f t="shared" si="13"/>
        <v>23838</v>
      </c>
      <c r="O45" s="226">
        <f t="shared" si="13"/>
        <v>4794</v>
      </c>
      <c r="P45" s="226">
        <f t="shared" si="13"/>
        <v>1800</v>
      </c>
      <c r="Q45" s="226">
        <f t="shared" si="13"/>
        <v>0</v>
      </c>
      <c r="R45" s="226">
        <f t="shared" si="13"/>
        <v>8355</v>
      </c>
      <c r="S45" s="226">
        <f>SUM(S28:S44)</f>
        <v>8414</v>
      </c>
      <c r="T45" s="226">
        <f t="shared" si="13"/>
        <v>1032</v>
      </c>
      <c r="U45" s="226">
        <f t="shared" si="13"/>
        <v>95</v>
      </c>
      <c r="V45" s="1153">
        <f t="shared" si="13"/>
        <v>0</v>
      </c>
      <c r="W45" s="226">
        <f t="shared" si="13"/>
        <v>1080</v>
      </c>
      <c r="X45" s="226">
        <f t="shared" si="13"/>
        <v>1056</v>
      </c>
      <c r="Y45" s="226">
        <f t="shared" si="13"/>
        <v>0</v>
      </c>
      <c r="Z45" s="226">
        <f t="shared" si="13"/>
        <v>0</v>
      </c>
      <c r="AA45" s="226">
        <f t="shared" si="13"/>
        <v>0</v>
      </c>
      <c r="AB45" s="226">
        <f t="shared" si="13"/>
        <v>0</v>
      </c>
      <c r="AC45" s="226">
        <f t="shared" si="13"/>
        <v>0</v>
      </c>
      <c r="AD45" s="226">
        <f t="shared" si="13"/>
        <v>2429</v>
      </c>
      <c r="AE45" s="226">
        <f t="shared" ref="AE45" si="14">SUM(AE28:AE44)</f>
        <v>0</v>
      </c>
      <c r="AF45" s="226">
        <f t="shared" si="13"/>
        <v>41726</v>
      </c>
      <c r="AG45" s="226">
        <f t="shared" si="13"/>
        <v>0</v>
      </c>
      <c r="AH45" s="226">
        <f t="shared" si="13"/>
        <v>0</v>
      </c>
      <c r="AI45" s="226">
        <f t="shared" si="13"/>
        <v>0</v>
      </c>
      <c r="AJ45" s="226">
        <f t="shared" ref="AJ45:BS45" si="15">SUM(AJ28:AJ44)</f>
        <v>0</v>
      </c>
      <c r="AK45" s="226">
        <f t="shared" si="15"/>
        <v>0</v>
      </c>
      <c r="AL45" s="226">
        <f t="shared" si="15"/>
        <v>258</v>
      </c>
      <c r="AM45" s="226">
        <f t="shared" si="15"/>
        <v>0</v>
      </c>
      <c r="AN45" s="226">
        <f t="shared" si="15"/>
        <v>0</v>
      </c>
      <c r="AO45" s="226">
        <f t="shared" si="15"/>
        <v>0</v>
      </c>
      <c r="AP45" s="226">
        <f t="shared" si="15"/>
        <v>0</v>
      </c>
      <c r="AQ45" s="226"/>
      <c r="AR45" s="226">
        <f t="shared" si="15"/>
        <v>3658</v>
      </c>
      <c r="AS45" s="226">
        <f t="shared" si="15"/>
        <v>0</v>
      </c>
      <c r="AT45" s="226">
        <f t="shared" si="15"/>
        <v>32477</v>
      </c>
      <c r="AU45" s="226">
        <f t="shared" si="15"/>
        <v>0</v>
      </c>
      <c r="AV45" s="226">
        <f t="shared" si="15"/>
        <v>0</v>
      </c>
      <c r="AW45" s="226">
        <f t="shared" si="15"/>
        <v>44</v>
      </c>
      <c r="AX45" s="226">
        <f t="shared" si="15"/>
        <v>0</v>
      </c>
      <c r="AY45" s="226">
        <f t="shared" si="15"/>
        <v>0</v>
      </c>
      <c r="AZ45" s="226">
        <f t="shared" si="15"/>
        <v>3</v>
      </c>
      <c r="BA45" s="226">
        <f t="shared" si="15"/>
        <v>0</v>
      </c>
      <c r="BB45" s="226">
        <f t="shared" si="15"/>
        <v>0</v>
      </c>
      <c r="BC45" s="226">
        <f t="shared" si="15"/>
        <v>0</v>
      </c>
      <c r="BD45" s="226">
        <f t="shared" si="15"/>
        <v>0</v>
      </c>
      <c r="BE45" s="226">
        <f t="shared" si="15"/>
        <v>0</v>
      </c>
      <c r="BF45" s="226">
        <f t="shared" si="15"/>
        <v>526</v>
      </c>
      <c r="BG45" s="226">
        <f t="shared" si="15"/>
        <v>0</v>
      </c>
      <c r="BH45" s="226">
        <f t="shared" si="15"/>
        <v>2528</v>
      </c>
      <c r="BI45" s="226">
        <f t="shared" si="15"/>
        <v>0</v>
      </c>
      <c r="BJ45" s="226">
        <f t="shared" si="15"/>
        <v>1524</v>
      </c>
      <c r="BK45" s="226">
        <f t="shared" si="15"/>
        <v>10</v>
      </c>
      <c r="BL45" s="226">
        <f t="shared" si="15"/>
        <v>0</v>
      </c>
      <c r="BM45" s="226">
        <f t="shared" si="15"/>
        <v>39</v>
      </c>
      <c r="BN45" s="226">
        <f t="shared" si="15"/>
        <v>0</v>
      </c>
      <c r="BO45" s="226">
        <f t="shared" si="15"/>
        <v>0</v>
      </c>
      <c r="BP45" s="226">
        <f t="shared" si="15"/>
        <v>273</v>
      </c>
      <c r="BQ45" s="226">
        <f t="shared" si="15"/>
        <v>25650</v>
      </c>
      <c r="BR45" s="226">
        <f t="shared" si="15"/>
        <v>0</v>
      </c>
      <c r="BS45" s="226">
        <f t="shared" si="15"/>
        <v>204</v>
      </c>
      <c r="BT45" s="331"/>
      <c r="BU45" s="226">
        <f>SUM(BU28:BU44)</f>
        <v>232807</v>
      </c>
    </row>
    <row r="46" spans="1:88" x14ac:dyDescent="0.2">
      <c r="A46" s="225"/>
      <c r="B46" s="331"/>
      <c r="C46" s="331"/>
      <c r="D46" s="331"/>
      <c r="E46" s="331"/>
      <c r="F46" s="331"/>
      <c r="G46" s="331"/>
      <c r="H46" s="331"/>
      <c r="I46" s="331"/>
      <c r="J46" s="331"/>
      <c r="K46" s="331"/>
      <c r="L46" s="331"/>
      <c r="M46" s="331"/>
      <c r="N46" s="331"/>
      <c r="O46" s="331"/>
      <c r="P46" s="331"/>
      <c r="Q46" s="331"/>
      <c r="R46" s="331"/>
      <c r="S46" s="331"/>
      <c r="T46" s="331"/>
      <c r="U46" s="331"/>
      <c r="V46" s="115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1151"/>
      <c r="BA46" s="331"/>
      <c r="BB46" s="331"/>
      <c r="BC46" s="331"/>
      <c r="BD46" s="331"/>
      <c r="BE46" s="331"/>
      <c r="BF46" s="331"/>
      <c r="BG46" s="331"/>
      <c r="BH46" s="331"/>
      <c r="BI46" s="331"/>
      <c r="BJ46" s="331"/>
      <c r="BK46" s="331"/>
      <c r="BL46" s="331"/>
      <c r="BM46" s="331"/>
      <c r="BN46" s="331"/>
      <c r="BO46" s="331"/>
      <c r="BP46" s="331"/>
      <c r="BQ46" s="331"/>
      <c r="BR46" s="331"/>
      <c r="BS46" s="331"/>
      <c r="BT46" s="331"/>
      <c r="BU46" s="331"/>
    </row>
    <row r="47" spans="1:88" s="760" customFormat="1" x14ac:dyDescent="0.2">
      <c r="A47" s="932" t="s">
        <v>1130</v>
      </c>
      <c r="B47" s="1076">
        <f>SUM(C47:BS47)</f>
        <v>300827</v>
      </c>
      <c r="C47" s="1077">
        <v>100716</v>
      </c>
      <c r="D47" s="1144">
        <v>15108</v>
      </c>
      <c r="E47" s="1416">
        <v>18699</v>
      </c>
      <c r="F47" s="1416">
        <v>33501</v>
      </c>
      <c r="G47" s="1416">
        <v>11085</v>
      </c>
      <c r="H47" s="1416"/>
      <c r="I47" s="1416">
        <v>30920</v>
      </c>
      <c r="J47" s="1144"/>
      <c r="K47" s="933"/>
      <c r="L47" s="933"/>
      <c r="M47" s="933"/>
      <c r="N47" s="1144">
        <v>29752</v>
      </c>
      <c r="O47" s="1144">
        <v>44277</v>
      </c>
      <c r="P47" s="933">
        <v>1009</v>
      </c>
      <c r="Q47" s="933"/>
      <c r="R47" s="933"/>
      <c r="S47" s="933"/>
      <c r="T47" s="933"/>
      <c r="U47" s="933"/>
      <c r="V47" s="1144">
        <v>502</v>
      </c>
      <c r="W47" s="933"/>
      <c r="X47" s="933">
        <v>0</v>
      </c>
      <c r="Y47" s="933"/>
      <c r="Z47" s="933"/>
      <c r="AA47" s="933">
        <v>0</v>
      </c>
      <c r="AB47" s="1144">
        <v>0</v>
      </c>
      <c r="AC47" s="1144">
        <v>0</v>
      </c>
      <c r="AD47" s="1144">
        <v>0</v>
      </c>
      <c r="AE47" s="1144">
        <v>3025</v>
      </c>
      <c r="AF47" s="1144">
        <v>5338</v>
      </c>
      <c r="AG47" s="1144">
        <v>0</v>
      </c>
      <c r="AH47" s="1144">
        <v>0</v>
      </c>
      <c r="AI47" s="1144">
        <v>0</v>
      </c>
      <c r="AJ47" s="1144">
        <v>0</v>
      </c>
      <c r="AK47" s="1144">
        <v>0</v>
      </c>
      <c r="AL47" s="1144"/>
      <c r="AM47" s="1144">
        <v>0</v>
      </c>
      <c r="AN47" s="1144">
        <v>0</v>
      </c>
      <c r="AO47" s="1144">
        <v>0</v>
      </c>
      <c r="AP47" s="1144">
        <v>0</v>
      </c>
      <c r="AQ47" s="1144">
        <v>0</v>
      </c>
      <c r="AR47" s="1144">
        <v>0</v>
      </c>
      <c r="AS47" s="1144">
        <v>0</v>
      </c>
      <c r="AT47" s="1144">
        <v>278</v>
      </c>
      <c r="AU47" s="1144">
        <v>0</v>
      </c>
      <c r="AV47" s="1144">
        <v>0</v>
      </c>
      <c r="AW47" s="1144">
        <v>0</v>
      </c>
      <c r="AX47" s="933"/>
      <c r="AY47" s="933"/>
      <c r="AZ47" s="1144"/>
      <c r="BA47" s="933"/>
      <c r="BB47" s="933"/>
      <c r="BC47" s="933"/>
      <c r="BD47" s="1144"/>
      <c r="BE47" s="933"/>
      <c r="BF47" s="933"/>
      <c r="BG47" s="933"/>
      <c r="BH47" s="933"/>
      <c r="BI47" s="933"/>
      <c r="BJ47" s="933"/>
      <c r="BK47" s="933"/>
      <c r="BL47" s="933"/>
      <c r="BM47" s="933">
        <v>825</v>
      </c>
      <c r="BN47" s="933"/>
      <c r="BO47" s="933"/>
      <c r="BP47" s="933">
        <v>5792</v>
      </c>
      <c r="BQ47" s="933"/>
      <c r="BR47" s="933"/>
      <c r="BS47" s="933"/>
      <c r="BT47" s="330"/>
      <c r="BU47" s="218">
        <f>SUM(F47:BT47)</f>
        <v>166304</v>
      </c>
      <c r="BV47" s="330"/>
      <c r="BW47" s="330"/>
      <c r="BX47" s="330"/>
      <c r="BY47" s="330"/>
      <c r="BZ47" s="330"/>
      <c r="CA47" s="330"/>
      <c r="CB47" s="330"/>
      <c r="CC47" s="330"/>
      <c r="CD47" s="330"/>
      <c r="CE47" s="330"/>
      <c r="CF47" s="330"/>
      <c r="CG47" s="330"/>
      <c r="CH47" s="330"/>
      <c r="CI47" s="330"/>
      <c r="CJ47" s="330"/>
    </row>
    <row r="48" spans="1:88" x14ac:dyDescent="0.2">
      <c r="A48" s="219"/>
      <c r="B48" s="217"/>
      <c r="C48" s="1096"/>
      <c r="D48" s="1096"/>
      <c r="E48" s="1389"/>
      <c r="F48" s="1389"/>
      <c r="G48" s="1389"/>
      <c r="N48" s="1098"/>
      <c r="O48" s="1098"/>
      <c r="V48" s="1098"/>
      <c r="AB48" s="1098"/>
      <c r="AC48" s="1098"/>
      <c r="AD48" s="1098"/>
      <c r="AE48" s="1098"/>
      <c r="AF48" s="1098"/>
      <c r="AG48" s="1098"/>
      <c r="AH48" s="1098"/>
      <c r="AI48" s="1098"/>
      <c r="AJ48" s="1098"/>
      <c r="AK48" s="1098"/>
      <c r="AL48" s="1098"/>
      <c r="AM48" s="1098"/>
      <c r="AN48" s="1098"/>
      <c r="AO48" s="1098"/>
      <c r="AP48" s="1098"/>
      <c r="AQ48" s="1098"/>
      <c r="AR48" s="1098"/>
      <c r="AS48" s="1098"/>
      <c r="AT48" s="1098"/>
      <c r="AU48" s="1098"/>
      <c r="AV48" s="1098"/>
      <c r="AW48" s="1098"/>
      <c r="AZ48" s="1098"/>
      <c r="BD48" s="1098"/>
      <c r="BU48" s="777"/>
    </row>
    <row r="49" spans="1:73" x14ac:dyDescent="0.2">
      <c r="A49" s="373" t="s">
        <v>849</v>
      </c>
      <c r="B49" s="217"/>
      <c r="C49" s="1096"/>
      <c r="D49" s="1096"/>
      <c r="E49" s="1389"/>
      <c r="F49" s="1389"/>
      <c r="G49" s="1389"/>
      <c r="N49" s="1098"/>
      <c r="O49" s="1098"/>
      <c r="V49" s="1098"/>
      <c r="AB49" s="1098"/>
      <c r="AC49" s="1098"/>
      <c r="AD49" s="1098"/>
      <c r="AE49" s="1098"/>
      <c r="AF49" s="1098"/>
      <c r="AG49" s="1098"/>
      <c r="AH49" s="1098"/>
      <c r="AI49" s="1098"/>
      <c r="AJ49" s="1098"/>
      <c r="AK49" s="1098"/>
      <c r="AL49" s="1098"/>
      <c r="AM49" s="1098"/>
      <c r="AN49" s="1098"/>
      <c r="AO49" s="1098"/>
      <c r="AP49" s="1098"/>
      <c r="AQ49" s="1098"/>
      <c r="AR49" s="1098"/>
      <c r="AS49" s="1098"/>
      <c r="AT49" s="1098"/>
      <c r="AU49" s="1098"/>
      <c r="AV49" s="1098"/>
      <c r="AW49" s="1098"/>
      <c r="AZ49" s="1098"/>
      <c r="BD49" s="1098"/>
    </row>
    <row r="50" spans="1:73" x14ac:dyDescent="0.2">
      <c r="A50" s="220" t="s">
        <v>392</v>
      </c>
      <c r="B50" s="196">
        <f>SUM(C50:BS50)</f>
        <v>31360</v>
      </c>
      <c r="C50" s="927">
        <v>11771</v>
      </c>
      <c r="D50" s="1096"/>
      <c r="E50" s="1389">
        <v>5534</v>
      </c>
      <c r="F50" s="1389">
        <v>864</v>
      </c>
      <c r="G50" s="1389"/>
      <c r="H50" s="1389"/>
      <c r="I50" s="1389"/>
      <c r="J50" s="1097"/>
      <c r="N50" s="928">
        <v>38</v>
      </c>
      <c r="O50" s="928">
        <v>2926</v>
      </c>
      <c r="P50" s="928"/>
      <c r="T50" s="1098"/>
      <c r="U50" s="1098"/>
      <c r="V50" s="1097"/>
      <c r="W50" s="1097">
        <v>41</v>
      </c>
      <c r="Y50" s="1097"/>
      <c r="Z50" s="1097"/>
      <c r="AA50" s="1097"/>
      <c r="AB50" s="1097"/>
      <c r="AC50" s="1097"/>
      <c r="AD50" s="1097"/>
      <c r="AE50" s="1097"/>
      <c r="AF50" s="1097"/>
      <c r="AG50" s="1097"/>
      <c r="AH50" s="1097"/>
      <c r="AI50" s="1097"/>
      <c r="AJ50" s="1097"/>
      <c r="AK50" s="1097"/>
      <c r="AL50" s="1097"/>
      <c r="AM50" s="1097"/>
      <c r="AN50" s="1097"/>
      <c r="AO50" s="1097"/>
      <c r="AP50" s="1097"/>
      <c r="AQ50" s="1097"/>
      <c r="AR50" s="1097">
        <v>0</v>
      </c>
      <c r="AS50" s="1097"/>
      <c r="AT50" s="1097">
        <v>0</v>
      </c>
      <c r="AU50" s="1097"/>
      <c r="AV50" s="1097"/>
      <c r="AW50" s="1097"/>
      <c r="AX50" s="1098"/>
      <c r="AY50" s="1097">
        <v>334</v>
      </c>
      <c r="AZ50" s="1097">
        <v>4646</v>
      </c>
      <c r="BA50" s="1097">
        <v>313</v>
      </c>
      <c r="BB50" s="1097">
        <v>514</v>
      </c>
      <c r="BC50" s="1097">
        <v>1104</v>
      </c>
      <c r="BD50" s="1098"/>
      <c r="BH50" s="1098">
        <v>671</v>
      </c>
      <c r="BJ50" s="211">
        <f>+BJ16+BJ18</f>
        <v>469</v>
      </c>
      <c r="BK50" s="1098"/>
      <c r="BL50" s="1098">
        <v>3</v>
      </c>
      <c r="BP50" s="1098">
        <v>22</v>
      </c>
      <c r="BQ50" s="1098">
        <v>1565</v>
      </c>
      <c r="BS50" s="211">
        <v>545</v>
      </c>
      <c r="BU50" s="218">
        <f>SUM(F50:BT50)</f>
        <v>14055</v>
      </c>
    </row>
    <row r="51" spans="1:73" x14ac:dyDescent="0.2">
      <c r="A51" s="220" t="s">
        <v>789</v>
      </c>
      <c r="B51" s="196">
        <f>SUM(C51:BS51)</f>
        <v>1227410</v>
      </c>
      <c r="C51" s="1097">
        <v>0</v>
      </c>
      <c r="D51" s="1097">
        <v>43932</v>
      </c>
      <c r="E51" s="1389"/>
      <c r="F51" s="1389"/>
      <c r="G51" s="1389">
        <f>650-497</f>
        <v>153</v>
      </c>
      <c r="H51" s="1389">
        <v>5006</v>
      </c>
      <c r="I51" s="1389"/>
      <c r="J51" s="1097"/>
      <c r="K51" s="1098">
        <v>16658</v>
      </c>
      <c r="N51" s="928">
        <v>1825</v>
      </c>
      <c r="O51" s="928">
        <v>65595</v>
      </c>
      <c r="P51" s="928">
        <v>1265</v>
      </c>
      <c r="Q51" s="1097">
        <v>21381</v>
      </c>
      <c r="T51" s="1098"/>
      <c r="U51" s="1098">
        <v>3945</v>
      </c>
      <c r="V51" s="1097"/>
      <c r="W51" s="1096">
        <v>48294</v>
      </c>
      <c r="X51" s="1097">
        <v>58588</v>
      </c>
      <c r="Y51" s="1097">
        <f t="shared" ref="Y51:Z51" si="16">Y22+Y24-Y45-Y47-Y52-Y53-Y54</f>
        <v>0</v>
      </c>
      <c r="Z51" s="1097">
        <f t="shared" si="16"/>
        <v>0</v>
      </c>
      <c r="AA51" s="1097">
        <v>0</v>
      </c>
      <c r="AB51" s="1097">
        <v>5176</v>
      </c>
      <c r="AC51" s="1097">
        <v>16696</v>
      </c>
      <c r="AD51" s="1097">
        <v>153592</v>
      </c>
      <c r="AE51" s="1097">
        <v>375891</v>
      </c>
      <c r="AF51" s="1097"/>
      <c r="AG51" s="1097">
        <v>0</v>
      </c>
      <c r="AH51" s="1097">
        <v>0</v>
      </c>
      <c r="AI51" s="1097">
        <v>0</v>
      </c>
      <c r="AJ51" s="1097">
        <v>0</v>
      </c>
      <c r="AK51" s="1097">
        <v>37456</v>
      </c>
      <c r="AL51" s="1097">
        <v>1063</v>
      </c>
      <c r="AM51" s="1097">
        <v>1910</v>
      </c>
      <c r="AN51" s="1097">
        <v>10018</v>
      </c>
      <c r="AO51" s="1097">
        <v>18155</v>
      </c>
      <c r="AP51" s="1097">
        <v>947</v>
      </c>
      <c r="AQ51" s="1097">
        <v>91452</v>
      </c>
      <c r="AR51" s="1097">
        <v>0</v>
      </c>
      <c r="AS51" s="1097">
        <v>0</v>
      </c>
      <c r="AT51" s="1097">
        <v>0</v>
      </c>
      <c r="AU51" s="1097">
        <v>110</v>
      </c>
      <c r="AV51" s="1097">
        <v>0</v>
      </c>
      <c r="AW51" s="1097">
        <v>56800</v>
      </c>
      <c r="AX51" s="1097"/>
      <c r="AY51" s="1097">
        <v>36</v>
      </c>
      <c r="AZ51" s="1097">
        <v>767</v>
      </c>
      <c r="BA51" s="1097">
        <v>16</v>
      </c>
      <c r="BB51" s="1097">
        <v>29</v>
      </c>
      <c r="BC51" s="1097">
        <v>263</v>
      </c>
      <c r="BD51" s="1097"/>
      <c r="BH51" s="1098"/>
      <c r="BK51" s="1098">
        <v>24218</v>
      </c>
      <c r="BL51" s="1098">
        <v>291</v>
      </c>
      <c r="BP51" s="1098">
        <v>3316</v>
      </c>
      <c r="BQ51" s="1098">
        <v>128678</v>
      </c>
      <c r="BR51" s="1097">
        <v>31981</v>
      </c>
      <c r="BS51" s="211">
        <v>1907</v>
      </c>
      <c r="BU51" s="218">
        <f>SUM(F51:BT51)</f>
        <v>1183478</v>
      </c>
    </row>
    <row r="52" spans="1:73" x14ac:dyDescent="0.2">
      <c r="A52" s="220" t="s">
        <v>393</v>
      </c>
      <c r="B52" s="196">
        <f>SUM(C52:BS52)</f>
        <v>526010</v>
      </c>
      <c r="C52" s="927">
        <v>202506</v>
      </c>
      <c r="D52" s="1096"/>
      <c r="E52" s="1389">
        <v>111181</v>
      </c>
      <c r="F52" s="1389"/>
      <c r="G52" s="1389"/>
      <c r="H52" s="1389"/>
      <c r="I52" s="1389"/>
      <c r="J52" s="1097"/>
      <c r="N52" s="928">
        <v>154963</v>
      </c>
      <c r="O52" s="928">
        <v>43498</v>
      </c>
      <c r="P52"/>
      <c r="T52" s="1098"/>
      <c r="U52" s="1098"/>
      <c r="V52" s="1097">
        <v>11774</v>
      </c>
      <c r="X52" s="1097"/>
      <c r="Y52" s="1097"/>
      <c r="Z52" s="1097"/>
      <c r="AA52" s="1097"/>
      <c r="AB52" s="1097"/>
      <c r="AC52" s="1097"/>
      <c r="AD52" s="1097"/>
      <c r="AE52" s="1097"/>
      <c r="AF52" s="1097"/>
      <c r="AG52" s="1097"/>
      <c r="AH52" s="1097"/>
      <c r="AI52" s="1097"/>
      <c r="AJ52" s="1097"/>
      <c r="AK52" s="1097"/>
      <c r="AL52" s="1097"/>
      <c r="AM52" s="1097"/>
      <c r="AN52" s="1097"/>
      <c r="AO52" s="1097"/>
      <c r="AP52" s="1097"/>
      <c r="AQ52" s="1097"/>
      <c r="AR52" s="1097"/>
      <c r="AS52" s="1097"/>
      <c r="AT52" s="1097"/>
      <c r="AU52" s="1097"/>
      <c r="AV52" s="1097"/>
      <c r="AW52" s="1097">
        <v>327</v>
      </c>
      <c r="AX52" s="1097"/>
      <c r="AY52" s="1097"/>
      <c r="AZ52" s="1097"/>
      <c r="BA52" s="1097"/>
      <c r="BB52" s="1097"/>
      <c r="BC52" s="1097"/>
      <c r="BH52" s="1098"/>
      <c r="BK52" s="1098"/>
      <c r="BL52" s="1098"/>
      <c r="BM52" s="211">
        <v>1761</v>
      </c>
      <c r="BP52" s="1098"/>
      <c r="BQ52" s="1098"/>
      <c r="BU52" s="218">
        <f>SUM(F52:BT52)</f>
        <v>212323</v>
      </c>
    </row>
    <row r="53" spans="1:73" x14ac:dyDescent="0.2">
      <c r="A53" s="220" t="s">
        <v>394</v>
      </c>
      <c r="B53" s="196">
        <f>SUM(C53:BS53)</f>
        <v>14895</v>
      </c>
      <c r="C53" s="927">
        <v>4</v>
      </c>
      <c r="D53" s="218"/>
      <c r="E53" s="1389"/>
      <c r="F53" s="1389"/>
      <c r="G53" s="1389"/>
      <c r="H53" s="1389"/>
      <c r="I53" s="1389"/>
      <c r="J53" s="1097"/>
      <c r="N53" s="928"/>
      <c r="O53" s="928"/>
      <c r="P53" s="928"/>
      <c r="T53" s="1098"/>
      <c r="U53" s="1098"/>
      <c r="V53" s="1097">
        <v>0</v>
      </c>
      <c r="X53" s="1097"/>
      <c r="Y53" s="1097"/>
      <c r="Z53" s="1097"/>
      <c r="AA53" s="1097"/>
      <c r="AB53" s="1097"/>
      <c r="AC53" s="1097"/>
      <c r="AD53" s="1097"/>
      <c r="AE53" s="1097"/>
      <c r="AF53" s="1097"/>
      <c r="AG53" s="1097"/>
      <c r="AH53" s="1097"/>
      <c r="AI53" s="1097"/>
      <c r="AJ53" s="1097"/>
      <c r="AK53" s="1097"/>
      <c r="AL53" s="1097"/>
      <c r="AM53" s="1097"/>
      <c r="AN53" s="1097"/>
      <c r="AO53" s="1097"/>
      <c r="AP53" s="1097"/>
      <c r="AQ53" s="1097"/>
      <c r="AR53" s="1097"/>
      <c r="AS53" s="1097"/>
      <c r="AT53" s="1097"/>
      <c r="AU53" s="1097"/>
      <c r="AV53" s="1097"/>
      <c r="AW53" s="1097"/>
      <c r="AX53" s="1097"/>
      <c r="AY53" s="1097"/>
      <c r="AZ53" s="1097">
        <v>0</v>
      </c>
      <c r="BA53" s="1097"/>
      <c r="BB53" s="1097"/>
      <c r="BC53" s="1097"/>
      <c r="BE53" s="211">
        <v>293</v>
      </c>
      <c r="BF53" s="211">
        <v>396</v>
      </c>
      <c r="BG53" s="211">
        <v>7</v>
      </c>
      <c r="BH53" s="1098">
        <v>9273</v>
      </c>
      <c r="BI53" s="211">
        <v>29</v>
      </c>
      <c r="BJ53" s="211">
        <v>4020</v>
      </c>
      <c r="BK53" s="1098"/>
      <c r="BL53" s="1098"/>
      <c r="BP53" s="1098">
        <v>873</v>
      </c>
      <c r="BQ53" s="1098"/>
      <c r="BU53" s="218">
        <f>SUM(F53:BT53)</f>
        <v>14891</v>
      </c>
    </row>
    <row r="54" spans="1:73" x14ac:dyDescent="0.2">
      <c r="A54" s="220" t="s">
        <v>395</v>
      </c>
      <c r="B54" s="196">
        <f>SUM(C54:BS54)</f>
        <v>289511</v>
      </c>
      <c r="C54" s="927">
        <v>369119</v>
      </c>
      <c r="D54" s="218"/>
      <c r="E54" s="1389">
        <v>-23342</v>
      </c>
      <c r="F54" s="1389">
        <v>-34365</v>
      </c>
      <c r="G54" s="1389"/>
      <c r="H54" s="1389"/>
      <c r="I54" s="1389">
        <v>-325</v>
      </c>
      <c r="J54" s="1097">
        <v>0</v>
      </c>
      <c r="N54" s="1098"/>
      <c r="O54" s="928">
        <v>-1577</v>
      </c>
      <c r="P54" s="928"/>
      <c r="T54" s="1098">
        <v>-103</v>
      </c>
      <c r="U54" s="1098"/>
      <c r="V54" s="1097"/>
      <c r="X54" s="1097"/>
      <c r="Y54" s="1097"/>
      <c r="Z54" s="1097"/>
      <c r="AA54" s="1097"/>
      <c r="AB54" s="1097"/>
      <c r="AC54" s="1097"/>
      <c r="AD54" s="1097"/>
      <c r="AE54" s="1097"/>
      <c r="AF54" s="1097">
        <v>-9134</v>
      </c>
      <c r="AG54" s="1097">
        <v>0</v>
      </c>
      <c r="AH54" s="1097"/>
      <c r="AI54" s="1097"/>
      <c r="AJ54" s="1097"/>
      <c r="AK54" s="1097"/>
      <c r="AL54" s="1097"/>
      <c r="AM54" s="1097"/>
      <c r="AN54" s="1097"/>
      <c r="AO54" s="1097"/>
      <c r="AP54" s="1097"/>
      <c r="AQ54" s="1097"/>
      <c r="AR54" s="1097">
        <v>-507</v>
      </c>
      <c r="AS54" s="1097">
        <v>0</v>
      </c>
      <c r="AT54" s="1097">
        <v>-10255</v>
      </c>
      <c r="AU54" s="1097"/>
      <c r="AV54" s="1097"/>
      <c r="AW54" s="1097"/>
      <c r="AX54" s="1097"/>
      <c r="AY54" s="1097"/>
      <c r="AZ54" s="1097"/>
      <c r="BA54" s="1097"/>
      <c r="BB54" s="1097"/>
      <c r="BC54" s="1097"/>
      <c r="BH54" s="1098"/>
      <c r="BK54" s="1098"/>
      <c r="BL54" s="1098"/>
      <c r="BP54" s="1098"/>
      <c r="BR54" s="211">
        <v>0</v>
      </c>
      <c r="BU54" s="218">
        <f>SUM(F54:BT54)</f>
        <v>-56266</v>
      </c>
    </row>
    <row r="55" spans="1:73" x14ac:dyDescent="0.2">
      <c r="A55" s="219" t="s">
        <v>855</v>
      </c>
      <c r="B55" s="223">
        <f t="shared" ref="B55:AG55" si="17">SUM(B50:B54)</f>
        <v>2089186</v>
      </c>
      <c r="C55" s="223">
        <f t="shared" si="17"/>
        <v>583400</v>
      </c>
      <c r="D55" s="223">
        <f t="shared" si="17"/>
        <v>43932</v>
      </c>
      <c r="E55" s="223">
        <f t="shared" si="17"/>
        <v>93373</v>
      </c>
      <c r="F55" s="223">
        <f t="shared" si="17"/>
        <v>-33501</v>
      </c>
      <c r="G55" s="223">
        <f t="shared" si="17"/>
        <v>153</v>
      </c>
      <c r="H55" s="223">
        <f t="shared" si="17"/>
        <v>5006</v>
      </c>
      <c r="I55" s="223">
        <f t="shared" si="17"/>
        <v>-325</v>
      </c>
      <c r="J55" s="223">
        <f t="shared" si="17"/>
        <v>0</v>
      </c>
      <c r="K55" s="223">
        <f t="shared" si="17"/>
        <v>16658</v>
      </c>
      <c r="L55" s="223">
        <f t="shared" si="17"/>
        <v>0</v>
      </c>
      <c r="M55" s="223">
        <f t="shared" si="17"/>
        <v>0</v>
      </c>
      <c r="N55" s="223">
        <f t="shared" si="17"/>
        <v>156826</v>
      </c>
      <c r="O55" s="223">
        <f t="shared" si="17"/>
        <v>110442</v>
      </c>
      <c r="P55" s="223">
        <f t="shared" si="17"/>
        <v>1265</v>
      </c>
      <c r="Q55" s="223">
        <f t="shared" si="17"/>
        <v>21381</v>
      </c>
      <c r="R55" s="223">
        <f t="shared" si="17"/>
        <v>0</v>
      </c>
      <c r="S55" s="223">
        <f>SUM(S50:S54)</f>
        <v>0</v>
      </c>
      <c r="T55" s="223">
        <f t="shared" si="17"/>
        <v>-103</v>
      </c>
      <c r="U55" s="223">
        <f t="shared" si="17"/>
        <v>3945</v>
      </c>
      <c r="V55" s="1154">
        <f t="shared" si="17"/>
        <v>11774</v>
      </c>
      <c r="W55" s="223">
        <f t="shared" si="17"/>
        <v>48335</v>
      </c>
      <c r="X55" s="223">
        <f t="shared" si="17"/>
        <v>58588</v>
      </c>
      <c r="Y55" s="223">
        <f t="shared" si="17"/>
        <v>0</v>
      </c>
      <c r="Z55" s="223">
        <f t="shared" si="17"/>
        <v>0</v>
      </c>
      <c r="AA55" s="223">
        <f t="shared" si="17"/>
        <v>0</v>
      </c>
      <c r="AB55" s="223">
        <f t="shared" si="17"/>
        <v>5176</v>
      </c>
      <c r="AC55" s="223">
        <f t="shared" si="17"/>
        <v>16696</v>
      </c>
      <c r="AD55" s="223">
        <f t="shared" si="17"/>
        <v>153592</v>
      </c>
      <c r="AE55" s="223">
        <f t="shared" ref="AE55" si="18">SUM(AE50:AE54)</f>
        <v>375891</v>
      </c>
      <c r="AF55" s="223">
        <f t="shared" si="17"/>
        <v>-9134</v>
      </c>
      <c r="AG55" s="223">
        <f t="shared" si="17"/>
        <v>0</v>
      </c>
      <c r="AH55" s="223">
        <f t="shared" ref="AH55:BS55" si="19">SUM(AH50:AH54)</f>
        <v>0</v>
      </c>
      <c r="AI55" s="223">
        <f t="shared" si="19"/>
        <v>0</v>
      </c>
      <c r="AJ55" s="223">
        <f t="shared" si="19"/>
        <v>0</v>
      </c>
      <c r="AK55" s="223">
        <f t="shared" si="19"/>
        <v>37456</v>
      </c>
      <c r="AL55" s="223">
        <f t="shared" ref="AL55:AQ55" si="20">SUM(AL50:AL54)</f>
        <v>1063</v>
      </c>
      <c r="AM55" s="223">
        <f t="shared" si="20"/>
        <v>1910</v>
      </c>
      <c r="AN55" s="223">
        <f t="shared" si="20"/>
        <v>10018</v>
      </c>
      <c r="AO55" s="223">
        <f t="shared" si="20"/>
        <v>18155</v>
      </c>
      <c r="AP55" s="223">
        <f t="shared" si="20"/>
        <v>947</v>
      </c>
      <c r="AQ55" s="223">
        <f t="shared" si="20"/>
        <v>91452</v>
      </c>
      <c r="AR55" s="223">
        <f t="shared" si="19"/>
        <v>-507</v>
      </c>
      <c r="AS55" s="223">
        <f t="shared" si="19"/>
        <v>0</v>
      </c>
      <c r="AT55" s="223">
        <f t="shared" si="19"/>
        <v>-10255</v>
      </c>
      <c r="AU55" s="223">
        <f t="shared" si="19"/>
        <v>110</v>
      </c>
      <c r="AV55" s="223">
        <f t="shared" si="19"/>
        <v>0</v>
      </c>
      <c r="AW55" s="223">
        <f t="shared" si="19"/>
        <v>57127</v>
      </c>
      <c r="AX55" s="223">
        <f t="shared" si="19"/>
        <v>0</v>
      </c>
      <c r="AY55" s="223">
        <f t="shared" si="19"/>
        <v>370</v>
      </c>
      <c r="AZ55" s="223">
        <f t="shared" si="19"/>
        <v>5413</v>
      </c>
      <c r="BA55" s="223">
        <f t="shared" si="19"/>
        <v>329</v>
      </c>
      <c r="BB55" s="223">
        <f t="shared" si="19"/>
        <v>543</v>
      </c>
      <c r="BC55" s="223">
        <f>SUM(BC50:BC54)</f>
        <v>1367</v>
      </c>
      <c r="BD55" s="223">
        <f t="shared" si="19"/>
        <v>0</v>
      </c>
      <c r="BE55" s="223">
        <f t="shared" si="19"/>
        <v>293</v>
      </c>
      <c r="BF55" s="223">
        <f t="shared" si="19"/>
        <v>396</v>
      </c>
      <c r="BG55" s="223">
        <f t="shared" si="19"/>
        <v>7</v>
      </c>
      <c r="BH55" s="223">
        <f t="shared" si="19"/>
        <v>9944</v>
      </c>
      <c r="BI55" s="223">
        <f t="shared" si="19"/>
        <v>29</v>
      </c>
      <c r="BJ55" s="223">
        <f t="shared" si="19"/>
        <v>4489</v>
      </c>
      <c r="BK55" s="223">
        <f t="shared" si="19"/>
        <v>24218</v>
      </c>
      <c r="BL55" s="223">
        <f t="shared" si="19"/>
        <v>294</v>
      </c>
      <c r="BM55" s="223">
        <f t="shared" si="19"/>
        <v>1761</v>
      </c>
      <c r="BN55" s="223">
        <f t="shared" si="19"/>
        <v>0</v>
      </c>
      <c r="BO55" s="223">
        <f t="shared" si="19"/>
        <v>0</v>
      </c>
      <c r="BP55" s="223">
        <f>SUM(BP50:BP54)</f>
        <v>4211</v>
      </c>
      <c r="BQ55" s="223">
        <f t="shared" si="19"/>
        <v>130243</v>
      </c>
      <c r="BR55" s="223">
        <f t="shared" si="19"/>
        <v>31981</v>
      </c>
      <c r="BS55" s="223">
        <f t="shared" si="19"/>
        <v>2452</v>
      </c>
      <c r="BT55" s="330"/>
      <c r="BU55" s="223">
        <f>SUM(BU50:BU54)</f>
        <v>1368481</v>
      </c>
    </row>
    <row r="56" spans="1:73" x14ac:dyDescent="0.2">
      <c r="A56" s="219"/>
      <c r="B56" s="218"/>
      <c r="C56" s="927"/>
      <c r="D56" s="218"/>
      <c r="E56" s="218"/>
      <c r="F56" s="218"/>
      <c r="G56" s="218"/>
      <c r="H56" s="218"/>
      <c r="I56" s="218"/>
      <c r="J56" s="218"/>
      <c r="K56" s="218"/>
      <c r="L56" s="218"/>
      <c r="M56" s="218"/>
      <c r="N56" s="218"/>
      <c r="O56" s="218"/>
      <c r="P56" s="218"/>
      <c r="Q56" s="218"/>
      <c r="R56" s="218"/>
      <c r="S56" s="218"/>
      <c r="T56" s="218"/>
      <c r="U56" s="218"/>
      <c r="V56" s="1096"/>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c r="BQ56" s="218"/>
      <c r="BR56" s="218"/>
      <c r="BS56" s="218"/>
      <c r="BT56" s="330"/>
      <c r="BU56" s="218"/>
    </row>
    <row r="57" spans="1:73" x14ac:dyDescent="0.2">
      <c r="A57" s="219" t="s">
        <v>1069</v>
      </c>
      <c r="B57" s="218">
        <f t="shared" ref="B57:U57" si="21">+B55+B45+B47</f>
        <v>2743790</v>
      </c>
      <c r="C57" s="218">
        <f t="shared" si="21"/>
        <v>775323</v>
      </c>
      <c r="D57" s="218">
        <f t="shared" si="21"/>
        <v>59715</v>
      </c>
      <c r="E57" s="218">
        <f t="shared" si="21"/>
        <v>141160</v>
      </c>
      <c r="F57" s="218">
        <f t="shared" si="21"/>
        <v>64207</v>
      </c>
      <c r="G57" s="218">
        <f t="shared" si="21"/>
        <v>12321</v>
      </c>
      <c r="H57" s="218">
        <f t="shared" si="21"/>
        <v>5084</v>
      </c>
      <c r="I57" s="218">
        <f>+I55+I45+I47</f>
        <v>36041</v>
      </c>
      <c r="J57" s="218">
        <f t="shared" si="21"/>
        <v>0</v>
      </c>
      <c r="K57" s="218">
        <f t="shared" si="21"/>
        <v>16838</v>
      </c>
      <c r="L57" s="218">
        <f t="shared" si="21"/>
        <v>0</v>
      </c>
      <c r="M57" s="218">
        <f t="shared" si="21"/>
        <v>0</v>
      </c>
      <c r="N57" s="218">
        <f t="shared" si="21"/>
        <v>210416</v>
      </c>
      <c r="O57" s="218">
        <f t="shared" si="21"/>
        <v>159513</v>
      </c>
      <c r="P57" s="218">
        <f t="shared" si="21"/>
        <v>4074</v>
      </c>
      <c r="Q57" s="218">
        <f t="shared" si="21"/>
        <v>21381</v>
      </c>
      <c r="R57" s="218">
        <f t="shared" si="21"/>
        <v>8355</v>
      </c>
      <c r="S57" s="218">
        <f>+S55+S45+S47</f>
        <v>8414</v>
      </c>
      <c r="T57" s="218">
        <f t="shared" si="21"/>
        <v>929</v>
      </c>
      <c r="U57" s="218">
        <f t="shared" si="21"/>
        <v>4040</v>
      </c>
      <c r="V57" s="1096">
        <f>+V45+V47+V55</f>
        <v>12276</v>
      </c>
      <c r="W57" s="218">
        <f t="shared" ref="W57:BS57" si="22">+W55+W45+W47</f>
        <v>49415</v>
      </c>
      <c r="X57" s="218">
        <f t="shared" si="22"/>
        <v>59644</v>
      </c>
      <c r="Y57" s="218">
        <f t="shared" si="22"/>
        <v>0</v>
      </c>
      <c r="Z57" s="218">
        <f t="shared" si="22"/>
        <v>0</v>
      </c>
      <c r="AA57" s="218">
        <f t="shared" si="22"/>
        <v>0</v>
      </c>
      <c r="AB57" s="218">
        <f t="shared" si="22"/>
        <v>5176</v>
      </c>
      <c r="AC57" s="218">
        <f t="shared" si="22"/>
        <v>16696</v>
      </c>
      <c r="AD57" s="218">
        <f t="shared" si="22"/>
        <v>156021</v>
      </c>
      <c r="AE57" s="218">
        <f t="shared" ref="AE57" si="23">+AE55+AE45+AE47</f>
        <v>378916</v>
      </c>
      <c r="AF57" s="218">
        <f t="shared" si="22"/>
        <v>37930</v>
      </c>
      <c r="AG57" s="218">
        <f t="shared" si="22"/>
        <v>0</v>
      </c>
      <c r="AH57" s="218">
        <f t="shared" si="22"/>
        <v>0</v>
      </c>
      <c r="AI57" s="218">
        <f t="shared" si="22"/>
        <v>0</v>
      </c>
      <c r="AJ57" s="218">
        <f t="shared" si="22"/>
        <v>0</v>
      </c>
      <c r="AK57" s="218">
        <f t="shared" si="22"/>
        <v>37456</v>
      </c>
      <c r="AL57" s="218">
        <f t="shared" ref="AL57:AQ57" si="24">+AL55+AL45+AL47</f>
        <v>1321</v>
      </c>
      <c r="AM57" s="218">
        <f t="shared" si="24"/>
        <v>1910</v>
      </c>
      <c r="AN57" s="218">
        <f t="shared" si="24"/>
        <v>10018</v>
      </c>
      <c r="AO57" s="218">
        <f t="shared" si="24"/>
        <v>18155</v>
      </c>
      <c r="AP57" s="218">
        <f t="shared" si="24"/>
        <v>947</v>
      </c>
      <c r="AQ57" s="218">
        <f t="shared" si="24"/>
        <v>91452</v>
      </c>
      <c r="AR57" s="218">
        <f t="shared" si="22"/>
        <v>3151</v>
      </c>
      <c r="AS57" s="218">
        <f t="shared" si="22"/>
        <v>0</v>
      </c>
      <c r="AT57" s="218">
        <f t="shared" si="22"/>
        <v>22500</v>
      </c>
      <c r="AU57" s="218">
        <f t="shared" si="22"/>
        <v>110</v>
      </c>
      <c r="AV57" s="218">
        <f t="shared" si="22"/>
        <v>0</v>
      </c>
      <c r="AW57" s="218">
        <f t="shared" si="22"/>
        <v>57171</v>
      </c>
      <c r="AX57" s="218">
        <f t="shared" si="22"/>
        <v>0</v>
      </c>
      <c r="AY57" s="218">
        <f t="shared" si="22"/>
        <v>370</v>
      </c>
      <c r="AZ57" s="218">
        <f t="shared" si="22"/>
        <v>5416</v>
      </c>
      <c r="BA57" s="218">
        <f t="shared" si="22"/>
        <v>329</v>
      </c>
      <c r="BB57" s="218">
        <f t="shared" si="22"/>
        <v>543</v>
      </c>
      <c r="BC57" s="218">
        <f>+BC55+BC45+BC47</f>
        <v>1367</v>
      </c>
      <c r="BD57" s="218">
        <f t="shared" si="22"/>
        <v>0</v>
      </c>
      <c r="BE57" s="218">
        <f t="shared" si="22"/>
        <v>293</v>
      </c>
      <c r="BF57" s="218">
        <f t="shared" si="22"/>
        <v>922</v>
      </c>
      <c r="BG57" s="218">
        <f t="shared" si="22"/>
        <v>7</v>
      </c>
      <c r="BH57" s="218">
        <f t="shared" si="22"/>
        <v>12472</v>
      </c>
      <c r="BI57" s="218">
        <f t="shared" si="22"/>
        <v>29</v>
      </c>
      <c r="BJ57" s="218">
        <f t="shared" si="22"/>
        <v>6013</v>
      </c>
      <c r="BK57" s="218">
        <f t="shared" si="22"/>
        <v>24228</v>
      </c>
      <c r="BL57" s="218">
        <f t="shared" si="22"/>
        <v>294</v>
      </c>
      <c r="BM57" s="218">
        <f t="shared" si="22"/>
        <v>2625</v>
      </c>
      <c r="BN57" s="218">
        <f t="shared" si="22"/>
        <v>0</v>
      </c>
      <c r="BO57" s="218">
        <f t="shared" si="22"/>
        <v>0</v>
      </c>
      <c r="BP57" s="218">
        <f t="shared" si="22"/>
        <v>10276</v>
      </c>
      <c r="BQ57" s="218">
        <f t="shared" si="22"/>
        <v>155893</v>
      </c>
      <c r="BR57" s="218">
        <f t="shared" si="22"/>
        <v>31981</v>
      </c>
      <c r="BS57" s="218">
        <f t="shared" si="22"/>
        <v>2656</v>
      </c>
      <c r="BT57" s="330"/>
      <c r="BU57" s="218">
        <f>+BU55+BU45</f>
        <v>1601288</v>
      </c>
    </row>
    <row r="58" spans="1:73" x14ac:dyDescent="0.2">
      <c r="A58" s="219"/>
      <c r="B58" s="218"/>
      <c r="C58" s="218"/>
      <c r="D58" s="218"/>
      <c r="E58" s="218"/>
      <c r="F58" s="218"/>
      <c r="G58" s="218"/>
      <c r="H58" s="218"/>
      <c r="I58" s="218"/>
      <c r="J58" s="218"/>
      <c r="K58" s="218"/>
      <c r="L58" s="218"/>
      <c r="M58" s="218"/>
      <c r="N58" s="218"/>
      <c r="O58" s="218"/>
      <c r="P58" s="218"/>
      <c r="Q58" s="218"/>
      <c r="R58" s="218"/>
      <c r="S58" s="218"/>
      <c r="T58" s="218"/>
      <c r="U58" s="218"/>
      <c r="V58" s="1096"/>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c r="BR58" s="218"/>
      <c r="BS58" s="218"/>
      <c r="BT58" s="330"/>
      <c r="BU58" s="218"/>
    </row>
    <row r="59" spans="1:73" x14ac:dyDescent="0.2">
      <c r="A59" s="219"/>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c r="BT59" s="330"/>
      <c r="BU59" s="218"/>
    </row>
    <row r="60" spans="1:73" s="384" customFormat="1" x14ac:dyDescent="0.2">
      <c r="A60" s="383" t="s">
        <v>661</v>
      </c>
      <c r="B60" s="384">
        <f t="shared" ref="B60:AI60" si="25">+B22-B45-B55-B47+B24</f>
        <v>0</v>
      </c>
      <c r="C60" s="384">
        <f t="shared" si="25"/>
        <v>0</v>
      </c>
      <c r="D60" s="384">
        <f t="shared" si="25"/>
        <v>0</v>
      </c>
      <c r="E60" s="384">
        <f t="shared" si="25"/>
        <v>0</v>
      </c>
      <c r="F60" s="384">
        <f t="shared" si="25"/>
        <v>0</v>
      </c>
      <c r="G60" s="384">
        <f>+G22-G45-G55-G47+G24</f>
        <v>0</v>
      </c>
      <c r="H60" s="384">
        <f>+H22-H45-H55-H47+H24</f>
        <v>0</v>
      </c>
      <c r="I60" s="384">
        <f t="shared" si="25"/>
        <v>0</v>
      </c>
      <c r="J60" s="384">
        <f t="shared" si="25"/>
        <v>0</v>
      </c>
      <c r="K60" s="384">
        <f t="shared" si="25"/>
        <v>0</v>
      </c>
      <c r="L60" s="384">
        <f t="shared" si="25"/>
        <v>0</v>
      </c>
      <c r="M60" s="384">
        <f t="shared" si="25"/>
        <v>0</v>
      </c>
      <c r="N60" s="384">
        <f t="shared" si="25"/>
        <v>0</v>
      </c>
      <c r="O60" s="384">
        <f t="shared" si="25"/>
        <v>0</v>
      </c>
      <c r="P60" s="384">
        <f t="shared" si="25"/>
        <v>0</v>
      </c>
      <c r="Q60" s="384">
        <f t="shared" si="25"/>
        <v>0</v>
      </c>
      <c r="R60" s="384">
        <f t="shared" si="25"/>
        <v>0</v>
      </c>
      <c r="S60" s="384">
        <f>+S22-S45-S55-S47+S24</f>
        <v>0</v>
      </c>
      <c r="T60" s="384">
        <f t="shared" si="25"/>
        <v>0</v>
      </c>
      <c r="U60" s="384">
        <f t="shared" si="25"/>
        <v>0</v>
      </c>
      <c r="V60" s="384">
        <f t="shared" si="25"/>
        <v>0</v>
      </c>
      <c r="W60" s="384">
        <f t="shared" si="25"/>
        <v>0</v>
      </c>
      <c r="X60" s="384">
        <f t="shared" si="25"/>
        <v>0</v>
      </c>
      <c r="Y60" s="384">
        <f t="shared" si="25"/>
        <v>0</v>
      </c>
      <c r="Z60" s="384">
        <f t="shared" si="25"/>
        <v>0</v>
      </c>
      <c r="AA60" s="384">
        <f t="shared" si="25"/>
        <v>0</v>
      </c>
      <c r="AB60" s="384">
        <f t="shared" si="25"/>
        <v>0</v>
      </c>
      <c r="AC60" s="384">
        <f t="shared" si="25"/>
        <v>0</v>
      </c>
      <c r="AD60" s="384">
        <f t="shared" si="25"/>
        <v>0</v>
      </c>
      <c r="AE60" s="384">
        <f t="shared" ref="AE60" si="26">+AE22-AE45-AE55-AE47+AE24</f>
        <v>0</v>
      </c>
      <c r="AF60" s="384">
        <f t="shared" si="25"/>
        <v>0</v>
      </c>
      <c r="AG60" s="384">
        <f t="shared" si="25"/>
        <v>0</v>
      </c>
      <c r="AH60" s="384">
        <f t="shared" si="25"/>
        <v>0</v>
      </c>
      <c r="AI60" s="384">
        <f t="shared" si="25"/>
        <v>0</v>
      </c>
      <c r="AJ60" s="384">
        <f t="shared" ref="AJ60:BS60" si="27">+AJ22-AJ45-AJ55-AJ47+AJ24</f>
        <v>0</v>
      </c>
      <c r="AK60" s="384">
        <f t="shared" si="27"/>
        <v>0</v>
      </c>
      <c r="AL60" s="384">
        <f t="shared" si="27"/>
        <v>0</v>
      </c>
      <c r="AM60" s="384">
        <f t="shared" ref="AM60:AN60" si="28">+AM22-AM45-AM55-AM47+AM24</f>
        <v>0</v>
      </c>
      <c r="AN60" s="384">
        <f t="shared" si="28"/>
        <v>0</v>
      </c>
      <c r="AO60" s="384">
        <f t="shared" ref="AO60:AQ60" si="29">+AO22-AO45-AO55-AO47+AO24</f>
        <v>0</v>
      </c>
      <c r="AP60" s="384">
        <f t="shared" si="29"/>
        <v>0</v>
      </c>
      <c r="AQ60" s="384">
        <f t="shared" si="29"/>
        <v>0</v>
      </c>
      <c r="AR60" s="384">
        <f t="shared" si="27"/>
        <v>0</v>
      </c>
      <c r="AS60" s="384">
        <f t="shared" si="27"/>
        <v>0</v>
      </c>
      <c r="AT60" s="384">
        <f t="shared" si="27"/>
        <v>0</v>
      </c>
      <c r="AU60" s="384">
        <f t="shared" si="27"/>
        <v>0</v>
      </c>
      <c r="AV60" s="384">
        <f t="shared" si="27"/>
        <v>0</v>
      </c>
      <c r="AW60" s="384">
        <f t="shared" si="27"/>
        <v>0</v>
      </c>
      <c r="AX60" s="384">
        <f t="shared" si="27"/>
        <v>0</v>
      </c>
      <c r="AY60" s="384">
        <f t="shared" si="27"/>
        <v>0</v>
      </c>
      <c r="AZ60" s="384">
        <f t="shared" si="27"/>
        <v>0</v>
      </c>
      <c r="BA60" s="384">
        <f t="shared" si="27"/>
        <v>0</v>
      </c>
      <c r="BB60" s="384">
        <f t="shared" si="27"/>
        <v>0</v>
      </c>
      <c r="BC60" s="384">
        <f t="shared" si="27"/>
        <v>0</v>
      </c>
      <c r="BD60" s="384">
        <f t="shared" si="27"/>
        <v>0</v>
      </c>
      <c r="BE60" s="384">
        <f t="shared" si="27"/>
        <v>0</v>
      </c>
      <c r="BF60" s="384">
        <f t="shared" si="27"/>
        <v>0</v>
      </c>
      <c r="BG60" s="384">
        <f t="shared" si="27"/>
        <v>0</v>
      </c>
      <c r="BH60" s="384">
        <f t="shared" si="27"/>
        <v>0</v>
      </c>
      <c r="BI60" s="384">
        <f t="shared" si="27"/>
        <v>0</v>
      </c>
      <c r="BJ60" s="384">
        <f t="shared" si="27"/>
        <v>0</v>
      </c>
      <c r="BK60" s="384">
        <f t="shared" si="27"/>
        <v>0</v>
      </c>
      <c r="BL60" s="384">
        <f t="shared" si="27"/>
        <v>0</v>
      </c>
      <c r="BM60" s="384">
        <f t="shared" si="27"/>
        <v>0</v>
      </c>
      <c r="BN60" s="384">
        <f t="shared" si="27"/>
        <v>0</v>
      </c>
      <c r="BO60" s="384">
        <f t="shared" si="27"/>
        <v>0</v>
      </c>
      <c r="BP60" s="384">
        <f t="shared" si="27"/>
        <v>0</v>
      </c>
      <c r="BQ60" s="384">
        <f t="shared" si="27"/>
        <v>0</v>
      </c>
      <c r="BR60" s="384">
        <f t="shared" si="27"/>
        <v>0</v>
      </c>
      <c r="BS60" s="384">
        <f t="shared" si="27"/>
        <v>0</v>
      </c>
      <c r="BU60" s="1066"/>
    </row>
    <row r="61" spans="1:73" x14ac:dyDescent="0.2">
      <c r="A61" s="219"/>
      <c r="C61" s="218"/>
      <c r="D61" s="218"/>
    </row>
    <row r="62" spans="1:73" ht="15" x14ac:dyDescent="0.2">
      <c r="A62" s="782" t="s">
        <v>1024</v>
      </c>
      <c r="B62" s="219"/>
      <c r="C62" s="218"/>
      <c r="D62" s="218"/>
    </row>
    <row r="63" spans="1:73" x14ac:dyDescent="0.2">
      <c r="A63" s="780" t="s">
        <v>440</v>
      </c>
      <c r="B63" s="219">
        <f t="shared" ref="B63:B69" si="30">SUM(C63:BR63)</f>
        <v>0</v>
      </c>
      <c r="C63" s="768">
        <f>+SONPws!C4-BSGFws!C3</f>
        <v>0</v>
      </c>
      <c r="D63" s="768">
        <f>+SONPws!D4-BSGFws!D3</f>
        <v>0</v>
      </c>
      <c r="E63" s="768">
        <f>+SONPws!E4-BSGFws!E3</f>
        <v>0</v>
      </c>
      <c r="F63" s="768">
        <f>+SONPws!F4-BSGFws!F3</f>
        <v>0</v>
      </c>
      <c r="G63" s="768">
        <f>+SONPws!G4-BSGFws!G3</f>
        <v>0</v>
      </c>
      <c r="H63" s="768">
        <f>+SONPws!H4-BSGFws!H3</f>
        <v>0</v>
      </c>
      <c r="I63" s="768">
        <f>+SONPws!I4-BSGFws!I3</f>
        <v>0</v>
      </c>
      <c r="J63" s="768">
        <f>+SONPws!J4-BSGFws!J3</f>
        <v>0</v>
      </c>
      <c r="K63" s="768">
        <f>+SONPws!K4-BSGFws!K3</f>
        <v>0</v>
      </c>
      <c r="L63" s="768">
        <f>+SONPws!L4-BSGFws!L3</f>
        <v>0</v>
      </c>
      <c r="M63" s="768">
        <f>+SONPws!M4-BSGFws!M3</f>
        <v>0</v>
      </c>
      <c r="N63" s="768">
        <f>+SONPws!N4-BSGFws!N3</f>
        <v>0</v>
      </c>
      <c r="O63" s="768">
        <f>+SONPws!O4-BSGFws!O3</f>
        <v>0</v>
      </c>
      <c r="P63" s="768">
        <f>+SONPws!P4-BSGFws!P3</f>
        <v>0</v>
      </c>
      <c r="Q63" s="768">
        <f>+SONPws!Q4-BSGFws!Q3</f>
        <v>0</v>
      </c>
      <c r="R63" s="768">
        <f>+SONPws!R4-BSGFws!R3</f>
        <v>0</v>
      </c>
      <c r="S63" s="768">
        <f>+SONPws!S4-BSGFws!S3</f>
        <v>0</v>
      </c>
      <c r="T63" s="768">
        <f>+SONPws!T4-BSGFws!T3</f>
        <v>0</v>
      </c>
      <c r="U63" s="768">
        <f>+SONPws!U4-BSGFws!U3</f>
        <v>0</v>
      </c>
      <c r="V63" s="768">
        <f>+SONPws!V4-BSGFws!V3</f>
        <v>0</v>
      </c>
      <c r="W63" s="768">
        <f>+SONPws!W4-BSGFws!W3</f>
        <v>0</v>
      </c>
      <c r="X63" s="768">
        <f>+SONPws!X4-BSGFws!X3</f>
        <v>0</v>
      </c>
      <c r="Y63" s="768">
        <f>+SONPws!Y4-BSGFws!Y3</f>
        <v>0</v>
      </c>
      <c r="Z63" s="768">
        <f>+SONPws!Z4-BSGFws!Z3</f>
        <v>0</v>
      </c>
      <c r="AA63" s="768">
        <f>+SONPws!AA4-BSGFws!AA3</f>
        <v>0</v>
      </c>
      <c r="AB63" s="768">
        <f>+SONPws!AB4-BSGFws!AB3</f>
        <v>0</v>
      </c>
      <c r="AC63" s="768"/>
      <c r="AD63" s="768"/>
      <c r="AE63" s="768"/>
      <c r="AF63" s="768">
        <f>+SONPws!AF4-BSGFws!AF3</f>
        <v>0</v>
      </c>
      <c r="AG63" s="768">
        <f>+SONPws!AG4-BSGFws!AG3</f>
        <v>0</v>
      </c>
      <c r="AH63" s="768">
        <f>+SONPws!AH4-BSGFws!AH3</f>
        <v>0</v>
      </c>
      <c r="AI63" s="768">
        <f>+SONPws!AI4-BSGFws!AI3</f>
        <v>0</v>
      </c>
      <c r="AJ63" s="768">
        <f>+SONPws!AJ4-BSGFws!AJ3</f>
        <v>0</v>
      </c>
      <c r="AK63" s="768">
        <f>+SONPws!AK4-BSGFws!AK3</f>
        <v>0</v>
      </c>
      <c r="AL63" s="768"/>
      <c r="AM63" s="768"/>
      <c r="AN63" s="768">
        <f>+SONPws!AN4-BSGFws!AN3</f>
        <v>0</v>
      </c>
      <c r="AO63" s="768">
        <f>+SONPws!AO4-BSGFws!AO3</f>
        <v>0</v>
      </c>
      <c r="AP63" s="768"/>
      <c r="AQ63" s="768"/>
      <c r="AR63" s="768">
        <f>+SONPws!AR4-BSGFws!AR3</f>
        <v>0</v>
      </c>
      <c r="AS63" s="768">
        <f>+SONPws!AS4-BSGFws!AS3</f>
        <v>0</v>
      </c>
      <c r="AT63" s="768">
        <f>+SONPws!AT4-BSGFws!AT3</f>
        <v>0</v>
      </c>
      <c r="AU63" s="768">
        <f>+SONPws!AU4-BSGFws!AU3</f>
        <v>0</v>
      </c>
      <c r="AV63" s="768">
        <f>+SONPws!AV4-BSGFws!AV3</f>
        <v>0</v>
      </c>
      <c r="AW63" s="768">
        <f>+SONPws!AW4-BSGFws!AW3</f>
        <v>0</v>
      </c>
      <c r="AX63" s="768">
        <f>+SONPws!AX4-BSGFws!AX3</f>
        <v>0</v>
      </c>
      <c r="AY63" s="768">
        <f>+SONPws!AY4-BSGFws!AY3</f>
        <v>0</v>
      </c>
      <c r="AZ63" s="768">
        <f>+SONPws!AZ4-BSGFws!AZ3</f>
        <v>0</v>
      </c>
      <c r="BA63" s="768">
        <f>+SONPws!BA4-BSGFws!BA3</f>
        <v>0</v>
      </c>
      <c r="BB63" s="768">
        <f>+SONPws!BB4-BSGFws!BB3</f>
        <v>0</v>
      </c>
      <c r="BC63" s="768">
        <f>+SONPws!BC4-BSGFws!BC3</f>
        <v>0</v>
      </c>
      <c r="BD63" s="768">
        <f>+SONPws!BD4-BSGFws!BD3</f>
        <v>0</v>
      </c>
      <c r="BE63" s="768">
        <f>+SONPws!BE4-BSGFws!BE3</f>
        <v>0</v>
      </c>
      <c r="BF63" s="768">
        <f>+SONPws!BF4-BSGFws!BF3</f>
        <v>0</v>
      </c>
      <c r="BG63" s="768">
        <f>+SONPws!BG4-BSGFws!BG3</f>
        <v>0</v>
      </c>
      <c r="BH63" s="768">
        <f>+SONPws!BH4-BSGFws!BH3</f>
        <v>0</v>
      </c>
      <c r="BI63" s="768">
        <f>+SONPws!BI4-BSGFws!BI3</f>
        <v>0</v>
      </c>
      <c r="BJ63" s="768">
        <f>+SONPws!BJ4-BSGFws!BJ3</f>
        <v>0</v>
      </c>
      <c r="BK63" s="768">
        <f>+SONPws!BK4-BSGFws!BK3</f>
        <v>0</v>
      </c>
      <c r="BL63" s="768">
        <f>+SONPws!BL4-BSGFws!BL3</f>
        <v>0</v>
      </c>
      <c r="BM63" s="768">
        <f>+SONPws!BM4-BSGFws!BM3</f>
        <v>0</v>
      </c>
      <c r="BN63" s="768">
        <f>+SONPws!BN4-BSGFws!BN3</f>
        <v>0</v>
      </c>
      <c r="BO63" s="768">
        <f>+SONPws!BO4-BSGFws!BO3</f>
        <v>0</v>
      </c>
      <c r="BP63" s="768">
        <f>+SONPws!BP4-BSGFws!BP3</f>
        <v>0</v>
      </c>
      <c r="BQ63" s="768">
        <f>+SONPws!BQ4-BSGFws!BQ3</f>
        <v>0</v>
      </c>
      <c r="BR63" s="768">
        <f>+SONPws!BR4-BSGFws!BR3</f>
        <v>0</v>
      </c>
      <c r="BS63" s="768">
        <f>+SONPws!BS4-BSGFws!BS3</f>
        <v>0</v>
      </c>
    </row>
    <row r="64" spans="1:73" x14ac:dyDescent="0.2">
      <c r="A64" s="780" t="s">
        <v>674</v>
      </c>
      <c r="B64" s="219">
        <f t="shared" si="30"/>
        <v>0</v>
      </c>
      <c r="C64" s="768">
        <f>+C4+C14-SONPws!C5-SONPws!C17</f>
        <v>0</v>
      </c>
      <c r="D64" s="768">
        <f>+D4+D14-SONPws!D5-SONPws!D17</f>
        <v>0</v>
      </c>
      <c r="E64" s="768">
        <f>+E4+E14-SONPws!E5-SONPws!E17</f>
        <v>0</v>
      </c>
      <c r="F64" s="768">
        <f>+F4+F14-SONPws!F5-SONPws!F17</f>
        <v>0</v>
      </c>
      <c r="G64" s="768">
        <f>+G4+G14-SONPws!G5-SONPws!G17</f>
        <v>0</v>
      </c>
      <c r="H64" s="768">
        <f>+H4+H14-SONPws!H5-SONPws!H17</f>
        <v>0</v>
      </c>
      <c r="I64" s="768">
        <f>+I4+I14-SONPws!I5-SONPws!I17</f>
        <v>0</v>
      </c>
      <c r="J64" s="768">
        <f>+J4+J14-SONPws!J5-SONPws!J17</f>
        <v>0</v>
      </c>
      <c r="K64" s="768">
        <f>+K4+K14-SONPws!K5-SONPws!K17</f>
        <v>0</v>
      </c>
      <c r="L64" s="768">
        <f>+L4+L14-SONPws!L5-SONPws!L17</f>
        <v>0</v>
      </c>
      <c r="M64" s="768">
        <f>+M4+M14-SONPws!M5-SONPws!M17</f>
        <v>0</v>
      </c>
      <c r="N64" s="768">
        <f>+N4+N14-SONPws!N5-SONPws!N17</f>
        <v>0</v>
      </c>
      <c r="O64" s="768">
        <f>+O4+O14-SONPws!O5-SONPws!O17</f>
        <v>0</v>
      </c>
      <c r="P64" s="768">
        <f>+P4+P14-SONPws!P5-SONPws!P17</f>
        <v>0</v>
      </c>
      <c r="Q64" s="768">
        <f>+Q4+Q14-SONPws!Q5-SONPws!Q17</f>
        <v>0</v>
      </c>
      <c r="R64" s="768">
        <f>+R4+R14-SONPws!R5-SONPws!R17</f>
        <v>0</v>
      </c>
      <c r="S64" s="768">
        <f>+S4+S14-SONPws!S5-SONPws!S17</f>
        <v>0</v>
      </c>
      <c r="T64" s="768">
        <f>+T4+T14-SONPws!T5-SONPws!T17</f>
        <v>0</v>
      </c>
      <c r="U64" s="768">
        <f>+U4+U14-SONPws!U5-SONPws!U17</f>
        <v>0</v>
      </c>
      <c r="V64" s="768">
        <f>+V4+V14-SONPws!V5-SONPws!V17</f>
        <v>0</v>
      </c>
      <c r="W64" s="768">
        <f>+W4+W14-SONPws!W5-SONPws!W17</f>
        <v>0</v>
      </c>
      <c r="X64" s="768">
        <f>+X4+X14-SONPws!X5-SONPws!X17</f>
        <v>0</v>
      </c>
      <c r="Y64" s="768">
        <f>+Y4+Y14-SONPws!Y5-SONPws!Y17</f>
        <v>0</v>
      </c>
      <c r="Z64" s="768">
        <f>+Z4+Z14-SONPws!Z5-SONPws!Z17</f>
        <v>0</v>
      </c>
      <c r="AA64" s="768">
        <f>+AA4+AA14-SONPws!AA5-SONPws!AA17</f>
        <v>0</v>
      </c>
      <c r="AB64" s="768">
        <f>+AB4+AB14-SONPws!AB5-SONPws!AB17</f>
        <v>0</v>
      </c>
      <c r="AC64" s="768">
        <f>+AC4+AC14-SONPws!AC5-SONPws!AC17</f>
        <v>0</v>
      </c>
      <c r="AD64" s="768">
        <f>+AD4+AD14-SONPws!AD5-SONPws!AD17</f>
        <v>0</v>
      </c>
      <c r="AE64" s="768">
        <f>+AE4+AE14-SONPws!AE5-SONPws!AE17</f>
        <v>0</v>
      </c>
      <c r="AF64" s="768">
        <f>+AF4+AF14-SONPws!AF5-SONPws!AF17</f>
        <v>0</v>
      </c>
      <c r="AG64" s="768">
        <f>+AG4+AG14-SONPws!AG5-SONPws!AG17</f>
        <v>0</v>
      </c>
      <c r="AH64" s="768">
        <f>+AH4+AH14-SONPws!AH5-SONPws!AH17</f>
        <v>0</v>
      </c>
      <c r="AI64" s="768">
        <f>+AI4+AI14-SONPws!AI5-SONPws!AI17</f>
        <v>0</v>
      </c>
      <c r="AJ64" s="768">
        <f>+AJ4+AJ14-SONPws!AJ5-SONPws!AJ17</f>
        <v>0</v>
      </c>
      <c r="AK64" s="768">
        <f>+AK4+AK14-SONPws!AK5-SONPws!AK17</f>
        <v>0</v>
      </c>
      <c r="AL64" s="768">
        <f>+AL4+AL14-SONPws!AL5-SONPws!AL17</f>
        <v>0</v>
      </c>
      <c r="AM64" s="768">
        <f>+AM4+AM14-SONPws!AM5-SONPws!AM17</f>
        <v>0</v>
      </c>
      <c r="AN64" s="768">
        <f>+AN4+AN14-SONPws!AN5-SONPws!AN17</f>
        <v>0</v>
      </c>
      <c r="AO64" s="768">
        <f>+AO4+AO14-SONPws!AO5-SONPws!AO17</f>
        <v>0</v>
      </c>
      <c r="AP64" s="768"/>
      <c r="AQ64" s="768"/>
      <c r="AR64" s="768">
        <f>+AR4+AR14-SONPws!AR5-SONPws!AR17</f>
        <v>0</v>
      </c>
      <c r="AS64" s="768">
        <f>+AS4+AS14-SONPws!AS5-SONPws!AS17</f>
        <v>0</v>
      </c>
      <c r="AT64" s="768">
        <f>+AT4+AT14-SONPws!AT5-SONPws!AT17</f>
        <v>0</v>
      </c>
      <c r="AU64" s="768">
        <f>+AU4+AU14-SONPws!AU5-SONPws!AU17</f>
        <v>0</v>
      </c>
      <c r="AV64" s="768">
        <f>+AV4+AV14-SONPws!AV5-SONPws!AV17</f>
        <v>0</v>
      </c>
      <c r="AW64" s="768">
        <f>+AW4+AW14-SONPws!AW5-SONPws!AW17</f>
        <v>0</v>
      </c>
      <c r="AX64" s="768">
        <f>+AX4+AX14-SONPws!AX5-SONPws!AX17</f>
        <v>0</v>
      </c>
      <c r="AY64" s="768">
        <f>+AY4+AY14-SONPws!AY5-SONPws!AY17</f>
        <v>0</v>
      </c>
      <c r="AZ64" s="768">
        <f>+AZ4+AZ14-SONPws!AZ5-SONPws!AZ17</f>
        <v>0</v>
      </c>
      <c r="BA64" s="768">
        <f>+BA4+BA14-SONPws!BA5-SONPws!BA17</f>
        <v>0</v>
      </c>
      <c r="BB64" s="768">
        <f>+BB4+BB14-SONPws!BB5-SONPws!BB17</f>
        <v>0</v>
      </c>
      <c r="BC64" s="768">
        <f>+BC4+BC14-SONPws!BC5-SONPws!BC17</f>
        <v>0</v>
      </c>
      <c r="BD64" s="768">
        <f>+BD4+BD14-SONPws!BD5-SONPws!BD17</f>
        <v>0</v>
      </c>
      <c r="BE64" s="768">
        <f>+BE4+BE14-SONPws!BE5-SONPws!BE17</f>
        <v>0</v>
      </c>
      <c r="BF64" s="768">
        <f>+BF4+BF14-SONPws!BF5-SONPws!BF17</f>
        <v>0</v>
      </c>
      <c r="BG64" s="768">
        <f>+BG4+BG14-SONPws!BG5-SONPws!BG17</f>
        <v>0</v>
      </c>
      <c r="BH64" s="768">
        <f>+BH4+BH14-SONPws!BH5-SONPws!BH17</f>
        <v>0</v>
      </c>
      <c r="BI64" s="768">
        <f>+BI4+BI14-SONPws!BI5-SONPws!BI17</f>
        <v>0</v>
      </c>
      <c r="BJ64" s="768">
        <f>+BJ4+BJ14-SONPws!BJ5-SONPws!BJ17</f>
        <v>0</v>
      </c>
      <c r="BK64" s="768">
        <f>+BK4+BK14-SONPws!BK5-SONPws!BK17</f>
        <v>0</v>
      </c>
      <c r="BL64" s="768">
        <f>+BL4+BL14-SONPws!BL5-SONPws!BL17</f>
        <v>0</v>
      </c>
      <c r="BM64" s="768">
        <f>+BM4+BM14-SONPws!BM5-SONPws!BM17-SONPws!BM35</f>
        <v>0</v>
      </c>
      <c r="BN64" s="768">
        <f>+BN4+BN14-SONPws!BN5-SONPws!BN17</f>
        <v>0</v>
      </c>
      <c r="BO64" s="768">
        <f>+BO4+BO14-SONPws!BO5-SONPws!BO17</f>
        <v>0</v>
      </c>
      <c r="BP64" s="768">
        <f>+BP4+BP14-SONPws!BP5-SONPws!BP17</f>
        <v>0</v>
      </c>
      <c r="BQ64" s="768">
        <f>+BQ4+BQ14-SONPws!BQ5-SONPws!BQ17</f>
        <v>0</v>
      </c>
      <c r="BR64" s="768">
        <f>+BR4+BR14-SONPws!BR5-SONPws!BR17</f>
        <v>0</v>
      </c>
      <c r="BS64" s="768">
        <f>+BS4+BS14-SONPws!BS5-SONPws!BS17</f>
        <v>0</v>
      </c>
    </row>
    <row r="65" spans="1:73" s="228" customFormat="1" x14ac:dyDescent="0.2">
      <c r="A65" s="780" t="s">
        <v>1067</v>
      </c>
      <c r="B65" s="219">
        <f t="shared" si="30"/>
        <v>0</v>
      </c>
      <c r="C65" s="768">
        <f>+C5-SONPws!C6+'recon-SONPws'!C34</f>
        <v>0</v>
      </c>
      <c r="D65" s="768">
        <f>+D5-SONPws!D6+'recon-SONPws'!D34</f>
        <v>0</v>
      </c>
      <c r="E65" s="768">
        <f>+E5-SONPws!E6+'recon-SONPws'!E34</f>
        <v>0</v>
      </c>
      <c r="F65" s="768">
        <f>+F5-SONPws!F6+'recon-SONPws'!F34</f>
        <v>0</v>
      </c>
      <c r="G65" s="768">
        <f>+G5-SONPws!G6+'recon-SONPws'!G34</f>
        <v>0</v>
      </c>
      <c r="H65" s="768">
        <f>+H5-SONPws!H6+'recon-SONPws'!H34</f>
        <v>0</v>
      </c>
      <c r="I65" s="768">
        <f>+I5-SONPws!I6+'recon-SONPws'!I34</f>
        <v>0</v>
      </c>
      <c r="J65" s="768">
        <f>+J5-SONPws!J6+'recon-SONPws'!J34</f>
        <v>0</v>
      </c>
      <c r="K65" s="768">
        <f>+K5-SONPws!K6+'recon-SONPws'!K34</f>
        <v>0</v>
      </c>
      <c r="L65" s="768">
        <f>+L5-SONPws!L6+'recon-SONPws'!L34</f>
        <v>0</v>
      </c>
      <c r="M65" s="768">
        <f>+M5-SONPws!M6+'recon-SONPws'!M34</f>
        <v>0</v>
      </c>
      <c r="N65" s="768">
        <f>+N5-SONPws!N6+'recon-SONPws'!N34</f>
        <v>0</v>
      </c>
      <c r="O65" s="768">
        <f>+O5-SONPws!O6+'recon-SONPws'!O34</f>
        <v>0</v>
      </c>
      <c r="P65" s="768">
        <f>+P5-SONPws!P6+'recon-SONPws'!P34</f>
        <v>0</v>
      </c>
      <c r="Q65" s="768">
        <f>+Q5-SONPws!Q6+'recon-SONPws'!Q34</f>
        <v>0</v>
      </c>
      <c r="R65" s="768">
        <f>+R5-SONPws!R6+'recon-SONPws'!R34</f>
        <v>0</v>
      </c>
      <c r="S65" s="768">
        <f>+S5-SONPws!S6+'recon-SONPws'!S34</f>
        <v>0</v>
      </c>
      <c r="T65" s="768">
        <f>+T5-SONPws!T6+'recon-SONPws'!T34</f>
        <v>0</v>
      </c>
      <c r="U65" s="768">
        <f>+U5-SONPws!U6+'recon-SONPws'!U34</f>
        <v>0</v>
      </c>
      <c r="V65" s="768">
        <f>+V5-SONPws!V6+'recon-SONPws'!V34</f>
        <v>0</v>
      </c>
      <c r="W65" s="768">
        <f>+W5-SONPws!W6+'recon-SONPws'!W34</f>
        <v>0</v>
      </c>
      <c r="X65" s="768">
        <f>+X5-SONPws!X6+'recon-SONPws'!X34</f>
        <v>0</v>
      </c>
      <c r="Y65" s="768">
        <f>+Y5-SONPws!Y6+'recon-SONPws'!Y34</f>
        <v>0</v>
      </c>
      <c r="Z65" s="768">
        <f>+Z5-SONPws!Z6+'recon-SONPws'!Z34</f>
        <v>0</v>
      </c>
      <c r="AA65" s="768">
        <f>+AA5-SONPws!AA6+'recon-SONPws'!AA34</f>
        <v>0</v>
      </c>
      <c r="AB65" s="768">
        <f>+AB5-SONPws!AB6+'recon-SONPws'!AB34</f>
        <v>0</v>
      </c>
      <c r="AC65" s="768"/>
      <c r="AD65" s="768"/>
      <c r="AE65" s="768"/>
      <c r="AF65" s="768">
        <f>+AF5-SONPws!AF6+'recon-SONPws'!AF34</f>
        <v>0</v>
      </c>
      <c r="AG65" s="768">
        <f>+AG5-SONPws!AG6+'recon-SONPws'!AG34</f>
        <v>0</v>
      </c>
      <c r="AH65" s="768">
        <f>+AH5-SONPws!AH6+'recon-SONPws'!AR34</f>
        <v>0</v>
      </c>
      <c r="AI65" s="768">
        <f>+AI5-SONPws!AI6+'recon-SONPws'!AS34</f>
        <v>0</v>
      </c>
      <c r="AJ65" s="768">
        <f>+AJ5-SONPws!AJ6+'recon-SONPws'!AS34</f>
        <v>0</v>
      </c>
      <c r="AK65" s="768">
        <f>+AK5-SONPws!AK6+'recon-SONPws'!AT34</f>
        <v>0</v>
      </c>
      <c r="AL65" s="768"/>
      <c r="AM65" s="768"/>
      <c r="AN65" s="768">
        <f>+AN5-SONPws!AN6+'recon-SONPws'!AN34</f>
        <v>0</v>
      </c>
      <c r="AO65" s="768">
        <f>+AO5-SONPws!AO6+'recon-SONPws'!AO34</f>
        <v>0</v>
      </c>
      <c r="AP65" s="768"/>
      <c r="AQ65" s="768"/>
      <c r="AR65" s="768">
        <f>+AR5-SONPws!AR6+'recon-SONPws'!AR34</f>
        <v>0</v>
      </c>
      <c r="AS65" s="768">
        <f>+AS5-SONPws!AS6+'recon-SONPws'!AS34</f>
        <v>0</v>
      </c>
      <c r="AT65" s="768">
        <f>+AT5-SONPws!AT6+'recon-SONPws'!AT34</f>
        <v>0</v>
      </c>
      <c r="AU65" s="768">
        <f>+AU5-SONPws!AU6+'recon-SONPws'!AU34</f>
        <v>0</v>
      </c>
      <c r="AV65" s="768">
        <f>+AV5-SONPws!AV6+'recon-SONPws'!AV34</f>
        <v>0</v>
      </c>
      <c r="AW65" s="768">
        <f>+AW5-SONPws!AW6+'recon-SONPws'!AW34</f>
        <v>0</v>
      </c>
      <c r="AX65" s="768">
        <f>+AX5-SONPws!AX6+'recon-SONPws'!AX34</f>
        <v>0</v>
      </c>
      <c r="AY65" s="768">
        <f>+AY5-SONPws!AY6+'recon-SONPws'!AY34</f>
        <v>0</v>
      </c>
      <c r="AZ65" s="768">
        <f>+AZ5-SONPws!AZ6+'recon-SONPws'!AZ34</f>
        <v>0</v>
      </c>
      <c r="BA65" s="768">
        <f>+BA5-SONPws!BA6+'recon-SONPws'!BA34</f>
        <v>0</v>
      </c>
      <c r="BB65" s="768">
        <f>+BB5-SONPws!BB6+'recon-SONPws'!BB34</f>
        <v>0</v>
      </c>
      <c r="BC65" s="768">
        <f>+BC5-SONPws!BC6+'recon-SONPws'!BC34</f>
        <v>0</v>
      </c>
      <c r="BD65" s="768">
        <f>+BD5-SONPws!BD6+'recon-SONPws'!BD34</f>
        <v>0</v>
      </c>
      <c r="BE65" s="768">
        <f>+BE5-SONPws!BE6+'recon-SONPws'!BE34</f>
        <v>0</v>
      </c>
      <c r="BF65" s="768">
        <f>+BF5-SONPws!BF6+'recon-SONPws'!BF34</f>
        <v>0</v>
      </c>
      <c r="BG65" s="768">
        <f>+BG5-SONPws!BG6+'recon-SONPws'!BG34</f>
        <v>0</v>
      </c>
      <c r="BH65" s="768">
        <f>+BH5-SONPws!BH6+'recon-SONPws'!BH34</f>
        <v>0</v>
      </c>
      <c r="BI65" s="768">
        <f>+BI5-SONPws!BI6+'recon-SONPws'!BI34</f>
        <v>0</v>
      </c>
      <c r="BJ65" s="768">
        <f>+BJ5-SONPws!BJ6+'recon-SONPws'!BJ34-SONPws!BJ40</f>
        <v>0</v>
      </c>
      <c r="BK65" s="768">
        <f>+BK5-SONPws!BK6+'recon-SONPws'!BK34</f>
        <v>0</v>
      </c>
      <c r="BL65" s="768">
        <f>+BL5-SONPws!BL6+'recon-SONPws'!BL34</f>
        <v>0</v>
      </c>
      <c r="BM65" s="768">
        <f>+BM5-SONPws!BM6+'recon-SONPws'!BM34</f>
        <v>0</v>
      </c>
      <c r="BN65" s="768">
        <f>+BN5-SONPws!BN6+'recon-SONPws'!BN34</f>
        <v>0</v>
      </c>
      <c r="BO65" s="768">
        <f>+BO5-SONPws!BO6+'recon-SONPws'!BO34</f>
        <v>0</v>
      </c>
      <c r="BP65" s="768">
        <f>+BP5-SONPws!BP6+'recon-SONPws'!BP34</f>
        <v>0</v>
      </c>
      <c r="BQ65" s="768">
        <f>+BQ5-SONPws!BQ6+'recon-SONPws'!BQ34</f>
        <v>0</v>
      </c>
      <c r="BR65" s="768">
        <f>+BR5-SONPws!BR6+'recon-SONPws'!BR34</f>
        <v>0</v>
      </c>
      <c r="BS65" s="768">
        <f>+BS5-SONPws!BS6+'recon-SONPws'!BS34</f>
        <v>0</v>
      </c>
      <c r="BT65" s="768"/>
      <c r="BU65" s="770"/>
    </row>
    <row r="66" spans="1:73" s="228" customFormat="1" x14ac:dyDescent="0.2">
      <c r="A66" s="780" t="s">
        <v>1041</v>
      </c>
      <c r="B66" s="219">
        <f t="shared" si="30"/>
        <v>0</v>
      </c>
      <c r="C66" s="768">
        <f>+C11+C21-SONPws!C11-SONPws!C24</f>
        <v>0</v>
      </c>
      <c r="D66" s="768">
        <f>+D11+D21-SONPws!D11-SONPws!D24</f>
        <v>0</v>
      </c>
      <c r="E66" s="768">
        <f>+E11+E21-SONPws!E11-SONPws!E24</f>
        <v>0</v>
      </c>
      <c r="F66" s="768">
        <f>+F11+F21-SONPws!F11-SONPws!F24</f>
        <v>0</v>
      </c>
      <c r="G66" s="768">
        <f>+G11+G21-SONPws!G11-SONPws!G24</f>
        <v>0</v>
      </c>
      <c r="H66" s="768">
        <f>+H11+H21-SONPws!H11-SONPws!H24</f>
        <v>0</v>
      </c>
      <c r="I66" s="768">
        <f>+I11+I21-SONPws!I11-SONPws!I24</f>
        <v>0</v>
      </c>
      <c r="J66" s="768">
        <f>+J11+J21-SONPws!J11-SONPws!J24</f>
        <v>0</v>
      </c>
      <c r="K66" s="768">
        <f>+K11+K21-SONPws!K11-SONPws!K24</f>
        <v>0</v>
      </c>
      <c r="L66" s="768">
        <f>+L11+L21-SONPws!L11-SONPws!L24</f>
        <v>0</v>
      </c>
      <c r="M66" s="768">
        <f>+M11+M21-SONPws!M11-SONPws!M24</f>
        <v>0</v>
      </c>
      <c r="N66" s="768">
        <f>+N11+N21-SONPws!N11-SONPws!N24</f>
        <v>0</v>
      </c>
      <c r="O66" s="768">
        <f>+O11+O21-SONPws!O11-SONPws!O24</f>
        <v>0</v>
      </c>
      <c r="P66" s="768">
        <f>+P11+P21-SONPws!P11-SONPws!P24</f>
        <v>0</v>
      </c>
      <c r="Q66" s="768">
        <f>+Q11+Q21-SONPws!Q11-SONPws!Q24</f>
        <v>0</v>
      </c>
      <c r="R66" s="768">
        <f>+R11+R21-SONPws!R11-SONPws!R24</f>
        <v>0</v>
      </c>
      <c r="S66" s="768">
        <f>+S11+S21-SONPws!S11-SONPws!S24</f>
        <v>0</v>
      </c>
      <c r="T66" s="768">
        <f>+T11+T21-SONPws!T11-SONPws!T24</f>
        <v>0</v>
      </c>
      <c r="U66" s="768">
        <f>+U11+U21-SONPws!U11-SONPws!U24</f>
        <v>0</v>
      </c>
      <c r="V66" s="768">
        <f>+V11+V21-SONPws!V11-SONPws!V24</f>
        <v>0</v>
      </c>
      <c r="W66" s="768">
        <f>+W11+W21-SONPws!W11-SONPws!W24</f>
        <v>0</v>
      </c>
      <c r="X66" s="768">
        <f>+X11+X21-SONPws!X11-SONPws!X24</f>
        <v>0</v>
      </c>
      <c r="Y66" s="768">
        <f>+Y11+Y21-SONPws!Y11-SONPws!Y24</f>
        <v>0</v>
      </c>
      <c r="Z66" s="768">
        <f>+Z11+Z21-SONPws!Z11-SONPws!Z24</f>
        <v>0</v>
      </c>
      <c r="AA66" s="768">
        <f>+AA11+AA21-SONPws!AA11-SONPws!AA24</f>
        <v>0</v>
      </c>
      <c r="AB66" s="768">
        <f>+AB11+AB21-SONPws!AB11-SONPws!AB24</f>
        <v>0</v>
      </c>
      <c r="AC66" s="768">
        <f>+AC11+AC21-SONPws!AC11-SONPws!AC24</f>
        <v>0</v>
      </c>
      <c r="AD66" s="768">
        <f>+AD11+AD21-SONPws!AD11-SONPws!AD24</f>
        <v>0</v>
      </c>
      <c r="AE66" s="768">
        <f>+AE11+AE21-SONPws!AE11-SONPws!AE24</f>
        <v>0</v>
      </c>
      <c r="AF66" s="768">
        <f>+AF11+AF21-SONPws!AF11-SONPws!AF24</f>
        <v>0</v>
      </c>
      <c r="AG66" s="768">
        <f>+AG11+AG21-SONPws!AG11-SONPws!AG24</f>
        <v>0</v>
      </c>
      <c r="AH66" s="768">
        <f>+AH11+AH21-SONPws!AH11-SONPws!AH24</f>
        <v>0</v>
      </c>
      <c r="AI66" s="768">
        <f>+AI11+AI21-SONPws!AI11-SONPws!AI24</f>
        <v>0</v>
      </c>
      <c r="AJ66" s="768">
        <f>+AJ11+AJ21-SONPws!AJ11-SONPws!AJ24</f>
        <v>0</v>
      </c>
      <c r="AK66" s="768">
        <f>+AK11+AK21-SONPws!AK11-SONPws!AK24</f>
        <v>0</v>
      </c>
      <c r="AL66" s="768"/>
      <c r="AM66" s="768"/>
      <c r="AN66" s="768">
        <f>+AN11+AN21-SONPws!AN11-SONPws!AN24</f>
        <v>0</v>
      </c>
      <c r="AO66" s="768">
        <f>+AO11+AO21-SONPws!AO11-SONPws!AO24</f>
        <v>0</v>
      </c>
      <c r="AP66" s="768"/>
      <c r="AQ66" s="768"/>
      <c r="AR66" s="768">
        <f>+AR11+AR21-SONPws!AR11-SONPws!AR24</f>
        <v>0</v>
      </c>
      <c r="AS66" s="768">
        <f>+AS11+AS21-SONPws!AS11-SONPws!AS24</f>
        <v>0</v>
      </c>
      <c r="AT66" s="768">
        <f>+AT11+AT21-SONPws!AT11-SONPws!AT24</f>
        <v>0</v>
      </c>
      <c r="AU66" s="768">
        <f>+AU11+AU21-SONPws!AU11-SONPws!AU24</f>
        <v>0</v>
      </c>
      <c r="AV66" s="768">
        <f>+AV11+AV21-SONPws!AV11-SONPws!AV24</f>
        <v>0</v>
      </c>
      <c r="AW66" s="768">
        <f>+AW11+AW21-SONPws!AW11-SONPws!AW24</f>
        <v>0</v>
      </c>
      <c r="AX66" s="768">
        <f>+AX11+AX21-SONPws!AX11-SONPws!AX24</f>
        <v>0</v>
      </c>
      <c r="AY66" s="768">
        <f>+AY11+AY21-SONPws!AY11-SONPws!AY24</f>
        <v>0</v>
      </c>
      <c r="AZ66" s="768">
        <f>+AZ11+AZ21-SONPws!AZ11-SONPws!AZ24</f>
        <v>0</v>
      </c>
      <c r="BA66" s="768">
        <f>+BA11+BA21-SONPws!BA11-SONPws!BA24</f>
        <v>0</v>
      </c>
      <c r="BB66" s="768">
        <f>+BB11+BB21-SONPws!BB11-SONPws!BB24</f>
        <v>0</v>
      </c>
      <c r="BC66" s="768">
        <f>+BC11+BC21-SONPws!BC11-SONPws!BC24</f>
        <v>0</v>
      </c>
      <c r="BD66" s="768">
        <f>+BD11+BD21-SONPws!BD11-SONPws!BD24</f>
        <v>0</v>
      </c>
      <c r="BE66" s="768">
        <f>+BE11+BE21-SONPws!BE11-SONPws!BE24</f>
        <v>0</v>
      </c>
      <c r="BF66" s="768">
        <f>+BF11+BF21-SONPws!BF11-SONPws!BF24</f>
        <v>0</v>
      </c>
      <c r="BG66" s="768">
        <f>+BG11+BG21-SONPws!BG11-SONPws!BG24</f>
        <v>0</v>
      </c>
      <c r="BH66" s="768">
        <f>+BH11+BH21-SONPws!BH11-SONPws!BH24</f>
        <v>0</v>
      </c>
      <c r="BI66" s="768">
        <f>+BI11+BI21-SONPws!BI11-SONPws!BI24</f>
        <v>0</v>
      </c>
      <c r="BJ66" s="768">
        <f>+BJ11+BJ21-SONPws!BJ11-SONPws!BJ24</f>
        <v>0</v>
      </c>
      <c r="BK66" s="768">
        <f>+BK11+BK21-SONPws!BK11-SONPws!BK24</f>
        <v>0</v>
      </c>
      <c r="BL66" s="768">
        <f>+BL11+BL21-SONPws!BL11-SONPws!BL24</f>
        <v>0</v>
      </c>
      <c r="BM66" s="768">
        <f>+BM11+BM21-SONPws!BM11-SONPws!BM24</f>
        <v>0</v>
      </c>
      <c r="BN66" s="768">
        <f>+BN11+BN21-SONPws!BN11-SONPws!BN24</f>
        <v>0</v>
      </c>
      <c r="BO66" s="768">
        <f>+BO11+BO21-SONPws!BO11-SONPws!BO24</f>
        <v>0</v>
      </c>
      <c r="BP66" s="768">
        <f>+BP11+BP21-SONPws!BP11-SONPws!BP24</f>
        <v>0</v>
      </c>
      <c r="BQ66" s="768">
        <f>+BQ11+BQ21-SONPws!BQ11-SONPws!BQ24</f>
        <v>0</v>
      </c>
      <c r="BR66" s="768">
        <f>+BR11+BR21-SONPws!BR11-SONPws!BR24</f>
        <v>0</v>
      </c>
      <c r="BS66" s="768">
        <f>+BS11+BS21-SONPws!BS11-SONPws!BS24</f>
        <v>0</v>
      </c>
      <c r="BT66" s="768"/>
      <c r="BU66" s="770"/>
    </row>
    <row r="67" spans="1:73" s="228" customFormat="1" x14ac:dyDescent="0.2">
      <c r="A67" s="781" t="s">
        <v>1022</v>
      </c>
      <c r="B67" s="219">
        <f t="shared" si="30"/>
        <v>0</v>
      </c>
      <c r="C67" s="228">
        <f>+C28+C29+C30-SONPws!C50</f>
        <v>0</v>
      </c>
      <c r="D67" s="228">
        <f>+D28+D29+D30-SONPws!D50</f>
        <v>0</v>
      </c>
      <c r="E67" s="228">
        <f>+E28+E29+E30-SONPws!E50</f>
        <v>0</v>
      </c>
      <c r="F67" s="228">
        <f>+F28+F29+F30-SONPws!F50</f>
        <v>0</v>
      </c>
      <c r="G67" s="228">
        <f>+G28+G29+G30-SONPws!G50</f>
        <v>0</v>
      </c>
      <c r="H67" s="228">
        <f>+H28+H29+H30-SONPws!H50</f>
        <v>0</v>
      </c>
      <c r="I67" s="228">
        <f>+I28+I29+I30-SONPws!I50</f>
        <v>0</v>
      </c>
      <c r="J67" s="228">
        <f>+J28+J29+J30-SONPws!J50</f>
        <v>0</v>
      </c>
      <c r="K67" s="228">
        <f>+K28+K29+K30-SONPws!K50</f>
        <v>0</v>
      </c>
      <c r="L67" s="228">
        <f>+L28+L29+L30-SONPws!L50</f>
        <v>0</v>
      </c>
      <c r="M67" s="228">
        <f>+M28+M29+M30-SONPws!M50</f>
        <v>0</v>
      </c>
      <c r="N67" s="228">
        <f>+N28+N29+N30-SONPws!N50</f>
        <v>0</v>
      </c>
      <c r="O67" s="228">
        <f>+O28+O29+O30-SONPws!O50</f>
        <v>0</v>
      </c>
      <c r="P67" s="228">
        <f>+P28+P29+P30-SONPws!P50</f>
        <v>0</v>
      </c>
      <c r="Q67" s="228">
        <f>+Q28+Q29+Q30-SONPws!Q50</f>
        <v>0</v>
      </c>
      <c r="R67" s="228">
        <f>+R28+R29+R30-SONPws!R50</f>
        <v>0</v>
      </c>
      <c r="S67" s="228">
        <f>+S28+S29+S30-SONPws!S50</f>
        <v>0</v>
      </c>
      <c r="T67" s="228">
        <f>+T28+T29+T30-SONPws!T50</f>
        <v>0</v>
      </c>
      <c r="U67" s="228">
        <f>+U28+U29+U30-SONPws!U50</f>
        <v>0</v>
      </c>
      <c r="V67" s="228">
        <f>+V28+V29+V30-SONPws!V50</f>
        <v>0</v>
      </c>
      <c r="W67" s="228">
        <f>+W28+W29+W30-SONPws!W50</f>
        <v>0</v>
      </c>
      <c r="X67" s="228">
        <f>+X28+X29+X30-SONPws!X50</f>
        <v>0</v>
      </c>
      <c r="Y67" s="228">
        <f>+Y28+Y29+Y30-SONPws!Y50</f>
        <v>0</v>
      </c>
      <c r="Z67" s="228">
        <f>+Z28+Z29+Z30-SONPws!Z50</f>
        <v>0</v>
      </c>
      <c r="AA67" s="228">
        <f>+AA28+AA29+AA30-SONPws!AA50</f>
        <v>0</v>
      </c>
      <c r="AB67" s="228">
        <f>+AB28+AB29+AB30-SONPws!AB50</f>
        <v>0</v>
      </c>
      <c r="AC67" s="228">
        <f>+AC28+AC29+AC30-SONPws!AC50</f>
        <v>0</v>
      </c>
      <c r="AD67" s="228">
        <f>+AD28+AD29+AD30-SONPws!AD50</f>
        <v>0</v>
      </c>
      <c r="AE67" s="228">
        <f>+AE28+AE29+AE30-SONPws!AE50</f>
        <v>0</v>
      </c>
      <c r="AF67" s="228">
        <f>+AF28+AF29+AF30-SONPws!AF50</f>
        <v>0</v>
      </c>
      <c r="AG67" s="228">
        <f>+AG28+AG29+AG30-SONPws!AG50</f>
        <v>0</v>
      </c>
      <c r="AH67" s="228">
        <f>+AH28+AH29+AH30-SONPws!AH50</f>
        <v>0</v>
      </c>
      <c r="AI67" s="228">
        <f>+AI28+AI29+AI30-SONPws!AI50</f>
        <v>0</v>
      </c>
      <c r="AJ67" s="228">
        <f>+AJ28+AJ29+AJ30-SONPws!AJ50</f>
        <v>0</v>
      </c>
      <c r="AK67" s="228">
        <f>+AK28+AK29+AK30-SONPws!AK50</f>
        <v>0</v>
      </c>
      <c r="AL67" s="228">
        <f>+AL28+AL29+AL30-SONPws!AL50</f>
        <v>0</v>
      </c>
      <c r="AM67" s="228">
        <f>+AM28+AM29+AM30-SONPws!AM50</f>
        <v>0</v>
      </c>
      <c r="AN67" s="228">
        <f>+AN28+AN29+AN30-SONPws!AN50</f>
        <v>0</v>
      </c>
      <c r="AO67" s="228">
        <f>+AO28+AO29+AO30-SONPws!AO50</f>
        <v>0</v>
      </c>
      <c r="AR67" s="228">
        <f>+AR28+AR29+AR30-SONPws!AR50</f>
        <v>0</v>
      </c>
      <c r="AS67" s="228">
        <f>+AS28+AS29+AS30-SONPws!AS50</f>
        <v>0</v>
      </c>
      <c r="AT67" s="228">
        <f>+AT28+AT29+AT30-SONPws!AT50</f>
        <v>0</v>
      </c>
      <c r="AU67" s="228">
        <f>+AU28+AU29+AU30-SONPws!AU50</f>
        <v>0</v>
      </c>
      <c r="AV67" s="228">
        <f>+AV28+AV29+AV30-SONPws!AV50</f>
        <v>0</v>
      </c>
      <c r="AW67" s="228">
        <f>+AW28+AW29+AW30-SONPws!AW50</f>
        <v>0</v>
      </c>
      <c r="AX67" s="228">
        <f>+AX28+AX29+AX30-SONPws!AX50</f>
        <v>0</v>
      </c>
      <c r="AY67" s="228">
        <f>+AY28+AY29+AY30-SONPws!AY50</f>
        <v>0</v>
      </c>
      <c r="AZ67" s="228">
        <f>+AZ28+AZ29+AZ30-SONPws!AZ50</f>
        <v>0</v>
      </c>
      <c r="BA67" s="228">
        <f>+BA28+BA29+BA30-SONPws!BA50</f>
        <v>0</v>
      </c>
      <c r="BB67" s="228">
        <f>+BB28+BB29+BB30-SONPws!BB50</f>
        <v>0</v>
      </c>
      <c r="BC67" s="228">
        <f>+BC28+BC29+BC30-SONPws!BC50</f>
        <v>0</v>
      </c>
      <c r="BD67" s="228">
        <f>+BD28+BD29+BD30-SONPws!BD50</f>
        <v>0</v>
      </c>
      <c r="BE67" s="228">
        <f>+BE28+BE29+BE30-SONPws!BE50</f>
        <v>0</v>
      </c>
      <c r="BF67" s="228">
        <f>+BF28+BF29+BF30-SONPws!BF50</f>
        <v>0</v>
      </c>
      <c r="BG67" s="228">
        <f>+BG28+BG29+BG30-SONPws!BG50</f>
        <v>0</v>
      </c>
      <c r="BH67" s="228">
        <f>+BH28+BH29+BH30-SONPws!BH50</f>
        <v>0</v>
      </c>
      <c r="BI67" s="228">
        <f>+BI28+BI29+BI30-SONPws!BI50</f>
        <v>0</v>
      </c>
      <c r="BJ67" s="228">
        <f>+BJ28+BJ29+BJ30-SONPws!BJ50</f>
        <v>0</v>
      </c>
      <c r="BK67" s="228">
        <f>+BK28+BK29+BK30-SONPws!BK50</f>
        <v>0</v>
      </c>
      <c r="BL67" s="228">
        <f>+BL28+BL29+BL30-SONPws!BL50</f>
        <v>0</v>
      </c>
      <c r="BM67" s="228">
        <f>+BM28+BM29+BM30-SONPws!BM50</f>
        <v>0</v>
      </c>
      <c r="BN67" s="228">
        <f>+BN28+BN29+BN30-SONPws!BN50</f>
        <v>0</v>
      </c>
      <c r="BO67" s="228">
        <f>+BO28+BO29+BO30-SONPws!BO50</f>
        <v>0</v>
      </c>
      <c r="BP67" s="228">
        <f>+BP28+BP29+BP30-SONPws!BP50</f>
        <v>0</v>
      </c>
      <c r="BQ67" s="228">
        <f>+BQ28+BQ29+BQ30-SONPws!BQ50</f>
        <v>0</v>
      </c>
      <c r="BR67" s="228">
        <f>+BR28+BR29+BR30-SONPws!BR50</f>
        <v>0</v>
      </c>
      <c r="BS67" s="228">
        <f>+BS28+BS29+BS30-SONPws!BS50</f>
        <v>0</v>
      </c>
      <c r="BT67" s="771"/>
      <c r="BU67" s="770"/>
    </row>
    <row r="68" spans="1:73" s="228" customFormat="1" x14ac:dyDescent="0.2">
      <c r="A68" s="781" t="s">
        <v>1023</v>
      </c>
      <c r="B68" s="219">
        <f t="shared" si="30"/>
        <v>3306</v>
      </c>
      <c r="C68" s="228">
        <f>+C37+C38+C39-SONPws!C56</f>
        <v>0</v>
      </c>
      <c r="D68" s="228">
        <f>+D37+D38+D39-SONPws!D56</f>
        <v>575</v>
      </c>
      <c r="E68" s="228">
        <f>+E37+E38+E39-SONPws!E56</f>
        <v>0</v>
      </c>
      <c r="F68" s="228">
        <f>+F37+F38+F39-SONPws!F56</f>
        <v>0</v>
      </c>
      <c r="G68" s="228">
        <f>+G37+G38+G39-SONPws!G56</f>
        <v>0</v>
      </c>
      <c r="H68" s="228">
        <f>+H37+H38+H39-SONPws!H56</f>
        <v>0</v>
      </c>
      <c r="I68" s="228">
        <f>+I37+I38+I39-SONPws!I56</f>
        <v>0</v>
      </c>
      <c r="J68" s="228">
        <f>+J37+J38+J39-SONPws!J56</f>
        <v>0</v>
      </c>
      <c r="K68" s="228">
        <f>+K37+K38+K39-SONPws!K56</f>
        <v>0</v>
      </c>
      <c r="L68" s="228">
        <f>+L37+L38+L39-SONPws!L56</f>
        <v>0</v>
      </c>
      <c r="M68" s="228">
        <f>+M37+M38+M39-SONPws!M56</f>
        <v>0</v>
      </c>
      <c r="N68" s="228">
        <f>+N37+N38+N39-SONPws!N56</f>
        <v>0</v>
      </c>
      <c r="O68" s="228">
        <f>+O37+O38+O39-SONPws!O56</f>
        <v>0</v>
      </c>
      <c r="P68" s="228">
        <f>+P37+P38+P39-SONPws!P56</f>
        <v>0</v>
      </c>
      <c r="Q68" s="228">
        <f>+Q37+Q38+Q39-SONPws!Q56</f>
        <v>0</v>
      </c>
      <c r="R68" s="228">
        <f>+R37+R38+R39-SONPws!R56</f>
        <v>0</v>
      </c>
      <c r="S68" s="228">
        <f>+S37+S38+S39-SONPws!S56</f>
        <v>0</v>
      </c>
      <c r="T68" s="228">
        <f>+T37+T38+T39-SONPws!T56</f>
        <v>0</v>
      </c>
      <c r="U68" s="228">
        <f>+U37+U38+U39-SONPws!U56</f>
        <v>0</v>
      </c>
      <c r="V68" s="228">
        <f>+V37+V38+V39-SONPws!V56</f>
        <v>0</v>
      </c>
      <c r="W68" s="228">
        <f>+W37+W38+W39-SONPws!W56</f>
        <v>0</v>
      </c>
      <c r="X68" s="228">
        <f>+X37+X38+X39-SONPws!X56</f>
        <v>0</v>
      </c>
      <c r="Y68" s="228">
        <f>+Y37+Y38+Y39-SONPws!Y56</f>
        <v>0</v>
      </c>
      <c r="Z68" s="228">
        <f>+Z37+Z38+Z39-SONPws!Z56</f>
        <v>0</v>
      </c>
      <c r="AA68" s="228">
        <f>+AA37+AA38+AA39-SONPws!AA56</f>
        <v>0</v>
      </c>
      <c r="AB68" s="228">
        <f>+AB37+AB38+AB39-SONPws!AB56</f>
        <v>0</v>
      </c>
      <c r="AC68" s="228">
        <f>+AC37+AC38+AC39-SONPws!AC56</f>
        <v>0</v>
      </c>
      <c r="AD68" s="228">
        <f>+AD37+AD38+AD39-SONPws!AD56</f>
        <v>2429</v>
      </c>
      <c r="AE68" s="228">
        <f>+AE37+AE38+AE39-SONPws!AE56</f>
        <v>0</v>
      </c>
      <c r="AF68" s="228">
        <f>+AF37+AF38+AF39-SONPws!AF56</f>
        <v>0</v>
      </c>
      <c r="AG68" s="228">
        <f>+AG37+AG38+AG39-SONPws!AG56</f>
        <v>0</v>
      </c>
      <c r="AH68" s="228">
        <f>+AH37+AH38+AH39-SONPws!AH56</f>
        <v>0</v>
      </c>
      <c r="AI68" s="228">
        <f>+AI37+AI38+AI39-SONPws!AI56</f>
        <v>0</v>
      </c>
      <c r="AJ68" s="228">
        <f>+AJ37+AJ38+AJ39-SONPws!AJ56</f>
        <v>0</v>
      </c>
      <c r="AK68" s="228">
        <f>+AK37+AK38+AK39-SONPws!AK56</f>
        <v>0</v>
      </c>
      <c r="AL68" s="228">
        <f>+AL37+AL38+AL39-SONPws!AL56</f>
        <v>258</v>
      </c>
      <c r="AM68" s="228">
        <f>+AM37+AM38+AM39-SONPws!AM56</f>
        <v>0</v>
      </c>
      <c r="AN68" s="228">
        <f>+AN37+AN38+AN39-SONPws!AN56</f>
        <v>0</v>
      </c>
      <c r="AO68" s="228">
        <f>+AO37+AO38+AO39-SONPws!AO56</f>
        <v>0</v>
      </c>
      <c r="AP68" s="228">
        <f>+AP37+AP38+AP39-SONPws!AP56</f>
        <v>0</v>
      </c>
      <c r="AQ68" s="228">
        <f>+AQ37+AQ38+AQ39-SONPws!AQ56</f>
        <v>0</v>
      </c>
      <c r="AR68" s="228">
        <f>+AR37+AR38+AR39-SONPws!AR56</f>
        <v>0</v>
      </c>
      <c r="AS68" s="228">
        <f>+AS37+AS38+AS39-SONPws!AS56</f>
        <v>0</v>
      </c>
      <c r="AT68" s="228">
        <f>+AT37+AT38+AT39-SONPws!AT56</f>
        <v>0</v>
      </c>
      <c r="AU68" s="228">
        <f>+AU37+AU38+AU39-SONPws!AU56</f>
        <v>0</v>
      </c>
      <c r="AV68" s="228">
        <f>+AV37+AV38+AV39-SONPws!AV56</f>
        <v>0</v>
      </c>
      <c r="AW68" s="228">
        <f>+AW37+AW38+AW39-SONPws!AW56</f>
        <v>44</v>
      </c>
      <c r="AX68" s="228">
        <f>+AX37+AX38+AX39-SONPws!AX56</f>
        <v>0</v>
      </c>
      <c r="AY68" s="228">
        <f>+AY37+AY38+AY39-SONPws!AY56</f>
        <v>0</v>
      </c>
      <c r="AZ68" s="228">
        <f>+AZ37+AZ38+AZ39-SONPws!AZ56</f>
        <v>0</v>
      </c>
      <c r="BA68" s="228">
        <f>+BA37+BA38+BA39-SONPws!BA56</f>
        <v>0</v>
      </c>
      <c r="BB68" s="228">
        <f>+BB37+BB38+BB39-SONPws!BB56</f>
        <v>0</v>
      </c>
      <c r="BC68" s="228">
        <f>+BC37+BC38+BC39-SONPws!BC56</f>
        <v>0</v>
      </c>
      <c r="BD68" s="228">
        <f>+BD37+BD38+BD39-SONPws!BD56</f>
        <v>0</v>
      </c>
      <c r="BE68" s="228">
        <f>+BE37+BE38+BE39-SONPws!BE56</f>
        <v>0</v>
      </c>
      <c r="BF68" s="228">
        <f>+BF37+BF38+BF39-SONPws!BF56</f>
        <v>0</v>
      </c>
      <c r="BG68" s="228">
        <f>+BG37+BG38+BG39-SONPws!BG56</f>
        <v>0</v>
      </c>
      <c r="BH68" s="228">
        <f>+BH37+BH38+BH39-SONPws!BH56</f>
        <v>0</v>
      </c>
      <c r="BI68" s="228">
        <f>+BI37+BI38+BI39-SONPws!BI56</f>
        <v>0</v>
      </c>
      <c r="BJ68" s="228">
        <f>+BJ37+BJ38+BJ39-SONPws!BJ56</f>
        <v>0</v>
      </c>
      <c r="BK68" s="228">
        <f>+BK37+BK38+BK39-SONPws!BK56</f>
        <v>0</v>
      </c>
      <c r="BL68" s="228">
        <f>+BL37+BL38+BL39-SONPws!BL56</f>
        <v>0</v>
      </c>
      <c r="BM68" s="228">
        <f>+BM37+BM38+BM39-SONPws!BM56</f>
        <v>0</v>
      </c>
      <c r="BN68" s="228">
        <f>+BN37+BN38+BN39-SONPws!BN56</f>
        <v>0</v>
      </c>
      <c r="BO68" s="228">
        <f>+BO37+BO38+BO39-SONPws!BO56</f>
        <v>0</v>
      </c>
      <c r="BP68" s="228">
        <f>+BP37+BP38+BP39-SONPws!BP56</f>
        <v>0</v>
      </c>
      <c r="BQ68" s="228">
        <f>+BQ37+BQ38+BQ39-SONPws!BQ56</f>
        <v>0</v>
      </c>
      <c r="BR68" s="228">
        <f>+BR37+BR38+BR39-SONPws!BR56</f>
        <v>0</v>
      </c>
      <c r="BS68" s="228">
        <f>+BS37+BS38+BS39-SONPws!BS56</f>
        <v>0</v>
      </c>
      <c r="BT68" s="771"/>
      <c r="BU68" s="770"/>
    </row>
    <row r="69" spans="1:73" x14ac:dyDescent="0.2">
      <c r="A69" s="781" t="s">
        <v>392</v>
      </c>
      <c r="B69" s="219">
        <f t="shared" si="30"/>
        <v>0</v>
      </c>
      <c r="C69" s="211">
        <f t="shared" ref="C69:AX69" si="31">+C6+C7+C8+C16+C17+C18-C50</f>
        <v>0</v>
      </c>
      <c r="D69" s="211">
        <f t="shared" si="31"/>
        <v>0</v>
      </c>
      <c r="E69" s="211">
        <f t="shared" si="31"/>
        <v>0</v>
      </c>
      <c r="F69" s="211">
        <f t="shared" si="31"/>
        <v>0</v>
      </c>
      <c r="G69" s="211">
        <f t="shared" si="31"/>
        <v>0</v>
      </c>
      <c r="H69" s="211">
        <f t="shared" si="31"/>
        <v>0</v>
      </c>
      <c r="I69" s="211">
        <f t="shared" si="31"/>
        <v>0</v>
      </c>
      <c r="J69" s="211">
        <f t="shared" si="31"/>
        <v>0</v>
      </c>
      <c r="K69" s="211">
        <f t="shared" si="31"/>
        <v>0</v>
      </c>
      <c r="L69" s="211">
        <f t="shared" si="31"/>
        <v>0</v>
      </c>
      <c r="M69" s="211">
        <f t="shared" si="31"/>
        <v>0</v>
      </c>
      <c r="N69" s="211">
        <f t="shared" si="31"/>
        <v>0</v>
      </c>
      <c r="O69" s="211">
        <f t="shared" si="31"/>
        <v>0</v>
      </c>
      <c r="P69" s="211">
        <f t="shared" si="31"/>
        <v>0</v>
      </c>
      <c r="Q69" s="211">
        <f t="shared" si="31"/>
        <v>0</v>
      </c>
      <c r="R69" s="211">
        <f t="shared" si="31"/>
        <v>0</v>
      </c>
      <c r="S69" s="211">
        <f>+S6+S7+S8+S16+S17+S18-S50</f>
        <v>0</v>
      </c>
      <c r="T69" s="211">
        <f t="shared" si="31"/>
        <v>0</v>
      </c>
      <c r="U69" s="211">
        <f t="shared" si="31"/>
        <v>0</v>
      </c>
      <c r="V69" s="211">
        <f t="shared" si="31"/>
        <v>0</v>
      </c>
      <c r="W69" s="211">
        <f t="shared" si="31"/>
        <v>0</v>
      </c>
      <c r="X69" s="211">
        <f t="shared" si="31"/>
        <v>0</v>
      </c>
      <c r="Y69" s="211">
        <f t="shared" si="31"/>
        <v>0</v>
      </c>
      <c r="Z69" s="211">
        <f t="shared" si="31"/>
        <v>0</v>
      </c>
      <c r="AA69" s="211">
        <f t="shared" si="31"/>
        <v>0</v>
      </c>
      <c r="AB69" s="211">
        <f t="shared" si="31"/>
        <v>0</v>
      </c>
      <c r="AC69" s="211">
        <f t="shared" si="31"/>
        <v>0</v>
      </c>
      <c r="AD69" s="211">
        <f t="shared" si="31"/>
        <v>0</v>
      </c>
      <c r="AE69" s="211">
        <f t="shared" ref="AE69" si="32">+AE6+AE7+AE8+AE16+AE17+AE18-AE50</f>
        <v>0</v>
      </c>
      <c r="AF69" s="211">
        <f t="shared" si="31"/>
        <v>0</v>
      </c>
      <c r="AG69" s="211">
        <f t="shared" si="31"/>
        <v>0</v>
      </c>
      <c r="AH69" s="211">
        <f t="shared" si="31"/>
        <v>0</v>
      </c>
      <c r="AI69" s="211">
        <f t="shared" si="31"/>
        <v>0</v>
      </c>
      <c r="AJ69" s="211">
        <f t="shared" si="31"/>
        <v>0</v>
      </c>
      <c r="AK69" s="211">
        <f t="shared" si="31"/>
        <v>0</v>
      </c>
      <c r="AN69" s="211">
        <f t="shared" ref="AN69:AO69" si="33">+AN6+AN7+AN8+AN16+AN17+AN18-AN50</f>
        <v>0</v>
      </c>
      <c r="AO69" s="211">
        <f t="shared" si="33"/>
        <v>0</v>
      </c>
      <c r="AR69" s="211">
        <f t="shared" si="31"/>
        <v>0</v>
      </c>
      <c r="AS69" s="211">
        <f t="shared" si="31"/>
        <v>0</v>
      </c>
      <c r="AT69" s="211">
        <f t="shared" si="31"/>
        <v>0</v>
      </c>
      <c r="AU69" s="211">
        <f t="shared" si="31"/>
        <v>0</v>
      </c>
      <c r="AV69" s="211">
        <f t="shared" si="31"/>
        <v>0</v>
      </c>
      <c r="AW69" s="211">
        <f t="shared" si="31"/>
        <v>0</v>
      </c>
      <c r="AX69" s="211">
        <f t="shared" si="31"/>
        <v>0</v>
      </c>
      <c r="BD69" s="211">
        <f t="shared" ref="BD69:BT69" si="34">+BD6+BD7+BD8+BD16+BD17+BD18-BD50</f>
        <v>0</v>
      </c>
      <c r="BE69" s="211">
        <f t="shared" si="34"/>
        <v>0</v>
      </c>
      <c r="BF69" s="211">
        <f t="shared" si="34"/>
        <v>0</v>
      </c>
      <c r="BG69" s="211">
        <f t="shared" si="34"/>
        <v>0</v>
      </c>
      <c r="BH69" s="211">
        <f t="shared" si="34"/>
        <v>0</v>
      </c>
      <c r="BI69" s="211">
        <f t="shared" si="34"/>
        <v>0</v>
      </c>
      <c r="BJ69" s="211">
        <f t="shared" si="34"/>
        <v>0</v>
      </c>
      <c r="BK69" s="211">
        <f t="shared" si="34"/>
        <v>0</v>
      </c>
      <c r="BL69" s="211">
        <f t="shared" si="34"/>
        <v>0</v>
      </c>
      <c r="BM69" s="211">
        <f t="shared" si="34"/>
        <v>0</v>
      </c>
      <c r="BN69" s="211">
        <f t="shared" si="34"/>
        <v>0</v>
      </c>
      <c r="BO69" s="211">
        <f t="shared" si="34"/>
        <v>0</v>
      </c>
      <c r="BP69" s="211">
        <f t="shared" si="34"/>
        <v>0</v>
      </c>
      <c r="BQ69" s="211">
        <f t="shared" si="34"/>
        <v>0</v>
      </c>
      <c r="BR69" s="211">
        <f t="shared" si="34"/>
        <v>0</v>
      </c>
      <c r="BS69" s="211">
        <f t="shared" si="34"/>
        <v>0</v>
      </c>
      <c r="BT69" s="211">
        <f t="shared" si="34"/>
        <v>0</v>
      </c>
    </row>
    <row r="70" spans="1:73" x14ac:dyDescent="0.2">
      <c r="A70" s="780" t="s">
        <v>1415</v>
      </c>
      <c r="C70" s="211">
        <f>+C44+C35-SONPws!C61-SONPws!C54</f>
        <v>0</v>
      </c>
      <c r="D70" s="211">
        <f>+D44+D35-SONPws!D61-SONPws!D54</f>
        <v>0</v>
      </c>
      <c r="E70" s="211">
        <f>+E44+E35-[3]SONPws!E61-[3]SONPws!E54</f>
        <v>0</v>
      </c>
      <c r="F70" s="211">
        <f>+F44+F35-[3]SONPws!F61-[3]SONPws!F54</f>
        <v>0</v>
      </c>
      <c r="G70" s="211">
        <f>+G44+G35-[3]SONPws!G61-[3]SONPws!G54</f>
        <v>0</v>
      </c>
      <c r="H70" s="211">
        <f>+H44+H35-[3]SONPws!H61-[3]SONPws!H54</f>
        <v>0</v>
      </c>
      <c r="I70" s="211">
        <f>+I44+I35-[3]SONPws!I61-[3]SONPws!I54</f>
        <v>0</v>
      </c>
      <c r="J70" s="211">
        <f>+J44+J35-SONPws!J61-SONPws!J54</f>
        <v>0</v>
      </c>
      <c r="K70" s="211">
        <f>+K44+K35-SONPws!K61-SONPws!K54</f>
        <v>0</v>
      </c>
      <c r="L70" s="211">
        <f>+L44+L35-SONPws!L61-SONPws!L54</f>
        <v>0</v>
      </c>
      <c r="M70" s="211">
        <f>+M44+M35-SONPws!M61-SONPws!M54</f>
        <v>0</v>
      </c>
      <c r="N70" s="211">
        <f>+N44+N35-SONPws!N61-SONPws!N54</f>
        <v>0</v>
      </c>
      <c r="O70" s="211">
        <f>+O44+O35-SONPws!O61-SONPws!O54</f>
        <v>0</v>
      </c>
      <c r="P70" s="211">
        <f>+P44+P35-SONPws!P61-SONPws!P54</f>
        <v>0</v>
      </c>
      <c r="Q70" s="211">
        <f>+Q44+Q35-SONPws!Q61-SONPws!Q54</f>
        <v>0</v>
      </c>
      <c r="R70" s="211">
        <f>+R44+R35-SONPws!R61-SONPws!R54</f>
        <v>0</v>
      </c>
      <c r="S70" s="211">
        <f>+S44+S35-SONPws!S61-SONPws!S54</f>
        <v>0</v>
      </c>
      <c r="T70" s="211">
        <f>+T44+T35-SONPws!T61-SONPws!T54</f>
        <v>0</v>
      </c>
      <c r="U70" s="211">
        <f>+U44+U35-SONPws!U61-SONPws!U54</f>
        <v>0</v>
      </c>
      <c r="V70" s="211">
        <f>+V44+V35-SONPws!V61-SONPws!V54</f>
        <v>0</v>
      </c>
      <c r="W70" s="211">
        <f>+W44+W35-SONPws!W61-SONPws!W54</f>
        <v>0</v>
      </c>
      <c r="X70" s="211">
        <f>+X44+X35-SONPws!X61-SONPws!X54</f>
        <v>0</v>
      </c>
      <c r="Y70" s="211">
        <f>+Y44+Y35-SONPws!Y61-SONPws!Y54</f>
        <v>0</v>
      </c>
      <c r="Z70" s="211">
        <f>+Z44+Z35-SONPws!Z61-SONPws!Z54</f>
        <v>0</v>
      </c>
      <c r="AA70" s="211">
        <f>+AA44+AA35-SONPws!AA61-SONPws!AA54</f>
        <v>0</v>
      </c>
      <c r="AB70" s="211">
        <f>+AB44+AB35-SONPws!AB61-SONPws!AB54</f>
        <v>0</v>
      </c>
      <c r="AC70" s="211">
        <f>+AC44+AC35-SONPws!AC61-SONPws!AC54</f>
        <v>0</v>
      </c>
      <c r="AD70" s="211">
        <f>+AD44+AD35-SONPws!AD61-SONPws!AD54</f>
        <v>0</v>
      </c>
      <c r="AE70" s="211">
        <f>+AE44+AE35-SONPws!AE61-SONPws!AE54</f>
        <v>0</v>
      </c>
      <c r="AF70" s="211">
        <f>+AF44+AF35-SONPws!AF61-SONPws!AF54</f>
        <v>0</v>
      </c>
      <c r="AG70" s="211">
        <f>+AG44+AG35-SONPws!AG61-SONPws!AG54</f>
        <v>0</v>
      </c>
      <c r="AH70" s="211">
        <f>+AH44+AH35-SONPws!AH61-SONPws!AH54</f>
        <v>0</v>
      </c>
      <c r="AI70" s="211">
        <f>+AI44+AI35-SONPws!AI61-SONPws!AI54</f>
        <v>0</v>
      </c>
      <c r="AJ70" s="211">
        <f>+AJ44+AJ35-SONPws!AJ61-SONPws!AJ54</f>
        <v>0</v>
      </c>
      <c r="AK70" s="211">
        <f>+AK44+AK35-SONPws!AK61-SONPws!AK54</f>
        <v>0</v>
      </c>
      <c r="AN70" s="211">
        <f>+AN44+AN35-SONPws!AN61-SONPws!AN54</f>
        <v>0</v>
      </c>
      <c r="AO70" s="211">
        <f>+AO44+AO35-SONPws!AO61-SONPws!AO54</f>
        <v>0</v>
      </c>
      <c r="AR70" s="211">
        <f>+AR44+AR35-SONPws!AR61-SONPws!AR54</f>
        <v>0</v>
      </c>
      <c r="AS70" s="211">
        <f>+AS44+AS35-SONPws!AS61-SONPws!AS54</f>
        <v>0</v>
      </c>
      <c r="AT70" s="211">
        <f>+AT44+AT35-SONPws!AT61-SONPws!AT54</f>
        <v>0</v>
      </c>
      <c r="AU70" s="211">
        <f>+AU44+AU35-SONPws!AU61-SONPws!AU54</f>
        <v>0</v>
      </c>
      <c r="AV70" s="211">
        <f>+AV44+AV35-SONPws!AV61-SONPws!AV54</f>
        <v>0</v>
      </c>
      <c r="AW70" s="211">
        <f>+AW44+AW35-SONPws!AW61-SONPws!AW54</f>
        <v>0</v>
      </c>
      <c r="AX70" s="211">
        <f>+AX44+AX35-SONPws!AX61-SONPws!AX54</f>
        <v>0</v>
      </c>
      <c r="AY70" s="211">
        <f>+AY44+AY35-SONPws!AY61-SONPws!AY54</f>
        <v>0</v>
      </c>
      <c r="AZ70" s="211">
        <f>+AZ44+AZ35-SONPws!AZ61-SONPws!AZ54</f>
        <v>0</v>
      </c>
      <c r="BA70" s="211">
        <f>+BA44+BA35-SONPws!BA61-SONPws!BA54</f>
        <v>0</v>
      </c>
      <c r="BB70" s="211">
        <f>+BB44+BB35-SONPws!BB61-SONPws!BB54</f>
        <v>0</v>
      </c>
      <c r="BC70" s="211">
        <f>+BC44+BC35-SONPws!BC61-SONPws!BC54</f>
        <v>0</v>
      </c>
      <c r="BD70" s="211">
        <f>+BD44+BD35-SONPws!BD61-SONPws!BD54</f>
        <v>0</v>
      </c>
      <c r="BE70" s="211">
        <f>+BE44+BE35-SONPws!BE61-SONPws!BE54</f>
        <v>0</v>
      </c>
      <c r="BF70" s="211">
        <f>+BF44+BF35-SONPws!BF61-SONPws!BF54</f>
        <v>0</v>
      </c>
      <c r="BG70" s="211">
        <f>+BG44+BG35-SONPws!BG61-SONPws!BG54</f>
        <v>0</v>
      </c>
      <c r="BH70" s="211">
        <f>+BH44+BH35-SONPws!BH61-SONPws!BH54</f>
        <v>0</v>
      </c>
      <c r="BI70" s="211">
        <f>+BI44+BI35-SONPws!BI61-SONPws!BI54</f>
        <v>0</v>
      </c>
      <c r="BJ70" s="211">
        <f>+BJ44+BJ35-SONPws!BJ61-SONPws!BJ54</f>
        <v>0</v>
      </c>
      <c r="BK70" s="211">
        <f>+BK44+BK35-SONPws!BK61-SONPws!BK54</f>
        <v>0</v>
      </c>
      <c r="BL70" s="211">
        <f>+BL44+BL35-SONPws!BL61-SONPws!BL54</f>
        <v>0</v>
      </c>
      <c r="BM70" s="211">
        <f>+BM44+BM35-SONPws!BM61-SONPws!BM54</f>
        <v>0</v>
      </c>
      <c r="BN70" s="211">
        <f>+BN44+BN35-SONPws!BN61-SONPws!BN54</f>
        <v>0</v>
      </c>
      <c r="BO70" s="211">
        <f>+BO44+BO35-SONPws!BO61-SONPws!BO54</f>
        <v>0</v>
      </c>
      <c r="BP70" s="211">
        <f>+BP44+BP35-SONPws!BP61-SONPws!BP54</f>
        <v>0</v>
      </c>
      <c r="BQ70" s="211">
        <f>+BQ44+BQ35-SONPws!BQ61-SONPws!BQ54</f>
        <v>0</v>
      </c>
      <c r="BR70" s="211">
        <f>+BR44+BR35-SONPws!BR61-SONPws!BR54</f>
        <v>0</v>
      </c>
      <c r="BS70" s="211">
        <f>+BS44+BS35-SONPws!BS61-SONPws!BS54</f>
        <v>0</v>
      </c>
      <c r="BT70" s="211">
        <f>+BT44+BT35-SONPws!BT61-SONPws!BT54</f>
        <v>0</v>
      </c>
    </row>
    <row r="71" spans="1:73" x14ac:dyDescent="0.2">
      <c r="A71" s="434"/>
    </row>
    <row r="72" spans="1:73" x14ac:dyDescent="0.2">
      <c r="A72" s="434"/>
    </row>
    <row r="73" spans="1:73" x14ac:dyDescent="0.2">
      <c r="A73" s="434"/>
    </row>
    <row r="74" spans="1:73" x14ac:dyDescent="0.2">
      <c r="A74" s="434">
        <v>6087</v>
      </c>
      <c r="B74" s="927">
        <v>6087</v>
      </c>
      <c r="BT74" s="211"/>
      <c r="BU74" s="211"/>
    </row>
    <row r="75" spans="1:73" x14ac:dyDescent="0.2">
      <c r="A75" s="434">
        <v>528</v>
      </c>
      <c r="B75" s="1098">
        <v>528</v>
      </c>
      <c r="BT75" s="211"/>
      <c r="BU75" s="211"/>
    </row>
    <row r="76" spans="1:73" x14ac:dyDescent="0.2">
      <c r="A76" s="221">
        <v>53175</v>
      </c>
      <c r="B76" s="927">
        <v>53175</v>
      </c>
      <c r="BT76" s="211"/>
      <c r="BU76" s="211"/>
    </row>
    <row r="77" spans="1:73" x14ac:dyDescent="0.2">
      <c r="A77" s="221">
        <v>10525</v>
      </c>
      <c r="B77" s="927">
        <v>10525</v>
      </c>
      <c r="BT77" s="211"/>
      <c r="BU77" s="211"/>
    </row>
    <row r="78" spans="1:73" x14ac:dyDescent="0.2">
      <c r="A78" s="219">
        <v>213835</v>
      </c>
      <c r="B78" s="927">
        <v>213834</v>
      </c>
      <c r="BT78" s="211"/>
      <c r="BU78" s="211"/>
    </row>
  </sheetData>
  <phoneticPr fontId="9" type="noConversion"/>
  <pageMargins left="0.5" right="0.5" top="0.5" bottom="0.25" header="0.5" footer="0.5"/>
  <pageSetup paperSize="17" scale="68" fitToWidth="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7" tint="0.39997558519241921"/>
    <pageSetUpPr fitToPage="1"/>
  </sheetPr>
  <dimension ref="A1:CE64"/>
  <sheetViews>
    <sheetView zoomScaleNormal="100" zoomScaleSheetLayoutView="100" workbookViewId="0">
      <pane xSplit="1" ySplit="1" topLeftCell="B20" activePane="bottomRight" state="frozen"/>
      <selection activeCell="BT109" sqref="BT109:BV113"/>
      <selection pane="topRight" activeCell="BT109" sqref="BT109:BV113"/>
      <selection pane="bottomLeft" activeCell="BT109" sqref="BT109:BV113"/>
      <selection pane="bottomRight" activeCell="C3" sqref="C3:CB3"/>
    </sheetView>
  </sheetViews>
  <sheetFormatPr defaultColWidth="9.140625" defaultRowHeight="12.75" x14ac:dyDescent="0.2"/>
  <cols>
    <col min="1" max="1" width="44.140625" style="211" customWidth="1"/>
    <col min="2" max="24" width="13.5703125" style="211" customWidth="1"/>
    <col min="25" max="26" width="13.5703125" style="211" hidden="1" customWidth="1"/>
    <col min="27" max="32" width="13.5703125" style="211" customWidth="1"/>
    <col min="33" max="36" width="13.5703125" style="211" hidden="1" customWidth="1"/>
    <col min="37" max="81" width="13.5703125" style="211" customWidth="1"/>
    <col min="82" max="16384" width="9.140625" style="211"/>
  </cols>
  <sheetData>
    <row r="1" spans="1:81" s="192" customFormat="1" ht="51.75" thickBot="1" x14ac:dyDescent="0.25">
      <c r="A1" s="562" t="s">
        <v>1445</v>
      </c>
      <c r="B1" s="236" t="s">
        <v>141</v>
      </c>
      <c r="C1" s="236" t="s">
        <v>120</v>
      </c>
      <c r="D1" s="237" t="s">
        <v>876</v>
      </c>
      <c r="E1" s="238" t="s">
        <v>1609</v>
      </c>
      <c r="F1" s="238" t="s">
        <v>877</v>
      </c>
      <c r="G1" s="238" t="s">
        <v>879</v>
      </c>
      <c r="H1" s="238" t="s">
        <v>126</v>
      </c>
      <c r="I1" s="238" t="s">
        <v>127</v>
      </c>
      <c r="J1" s="238" t="s">
        <v>880</v>
      </c>
      <c r="K1" s="240" t="s">
        <v>132</v>
      </c>
      <c r="L1" s="240" t="s">
        <v>881</v>
      </c>
      <c r="M1" s="240" t="s">
        <v>125</v>
      </c>
      <c r="N1" s="240" t="s">
        <v>882</v>
      </c>
      <c r="O1" s="240" t="s">
        <v>883</v>
      </c>
      <c r="P1" s="240" t="s">
        <v>885</v>
      </c>
      <c r="Q1" s="240" t="s">
        <v>123</v>
      </c>
      <c r="R1" s="240" t="s">
        <v>1190</v>
      </c>
      <c r="S1" s="240" t="s">
        <v>1501</v>
      </c>
      <c r="T1" s="240" t="s">
        <v>1201</v>
      </c>
      <c r="U1" s="240" t="s">
        <v>1030</v>
      </c>
      <c r="V1" s="552" t="s">
        <v>914</v>
      </c>
      <c r="W1" s="240" t="s">
        <v>858</v>
      </c>
      <c r="X1" s="240" t="s">
        <v>134</v>
      </c>
      <c r="Y1" s="239" t="s">
        <v>905</v>
      </c>
      <c r="Z1" s="239" t="s">
        <v>906</v>
      </c>
      <c r="AA1" s="1209" t="s">
        <v>1323</v>
      </c>
      <c r="AB1" s="1209" t="s">
        <v>1625</v>
      </c>
      <c r="AC1" s="239" t="s">
        <v>1042</v>
      </c>
      <c r="AD1" s="239" t="s">
        <v>1312</v>
      </c>
      <c r="AE1" s="239" t="s">
        <v>1568</v>
      </c>
      <c r="AF1" s="239" t="s">
        <v>908</v>
      </c>
      <c r="AG1" s="1209" t="s">
        <v>1431</v>
      </c>
      <c r="AH1" s="1209" t="s">
        <v>1456</v>
      </c>
      <c r="AI1" s="239" t="s">
        <v>1572</v>
      </c>
      <c r="AJ1" s="1209" t="s">
        <v>1622</v>
      </c>
      <c r="AK1" s="1209" t="s">
        <v>1728</v>
      </c>
      <c r="AL1" s="239" t="s">
        <v>1432</v>
      </c>
      <c r="AM1" s="1209" t="s">
        <v>1457</v>
      </c>
      <c r="AN1" s="1209" t="s">
        <v>1499</v>
      </c>
      <c r="AO1" s="1209" t="s">
        <v>1565</v>
      </c>
      <c r="AP1" s="1209" t="s">
        <v>1619</v>
      </c>
      <c r="AQ1" s="1209" t="s">
        <v>1732</v>
      </c>
      <c r="AR1" s="239" t="s">
        <v>909</v>
      </c>
      <c r="AS1" s="239" t="s">
        <v>910</v>
      </c>
      <c r="AT1" s="239" t="s">
        <v>165</v>
      </c>
      <c r="AU1" s="239" t="s">
        <v>166</v>
      </c>
      <c r="AV1" s="239" t="s">
        <v>911</v>
      </c>
      <c r="AW1" s="239" t="s">
        <v>912</v>
      </c>
      <c r="AX1" s="239" t="s">
        <v>647</v>
      </c>
      <c r="AY1" s="241" t="s">
        <v>913</v>
      </c>
      <c r="AZ1" s="241" t="s">
        <v>1070</v>
      </c>
      <c r="BA1" s="241" t="s">
        <v>916</v>
      </c>
      <c r="BB1" s="241" t="s">
        <v>917</v>
      </c>
      <c r="BC1" s="241" t="s">
        <v>1412</v>
      </c>
      <c r="BD1" s="385" t="s">
        <v>1687</v>
      </c>
      <c r="BE1" s="385" t="s">
        <v>896</v>
      </c>
      <c r="BF1" s="385" t="s">
        <v>1537</v>
      </c>
      <c r="BG1" s="385" t="s">
        <v>895</v>
      </c>
      <c r="BH1" s="385" t="s">
        <v>1317</v>
      </c>
      <c r="BI1" s="385" t="s">
        <v>898</v>
      </c>
      <c r="BJ1" s="385" t="s">
        <v>1135</v>
      </c>
      <c r="BK1" s="385" t="s">
        <v>904</v>
      </c>
      <c r="BL1" s="386" t="s">
        <v>723</v>
      </c>
      <c r="BM1" s="385" t="s">
        <v>901</v>
      </c>
      <c r="BN1" s="385" t="s">
        <v>1136</v>
      </c>
      <c r="BO1" s="385" t="s">
        <v>902</v>
      </c>
      <c r="BP1" s="385" t="s">
        <v>1098</v>
      </c>
      <c r="BQ1" s="385" t="s">
        <v>1540</v>
      </c>
      <c r="BR1" s="385" t="s">
        <v>1177</v>
      </c>
      <c r="BS1" s="385" t="s">
        <v>1137</v>
      </c>
      <c r="BT1" s="242" t="s">
        <v>918</v>
      </c>
      <c r="BU1" s="242" t="s">
        <v>919</v>
      </c>
      <c r="BV1" s="242" t="s">
        <v>920</v>
      </c>
      <c r="BW1" s="242" t="s">
        <v>921</v>
      </c>
      <c r="BX1" s="242" t="s">
        <v>922</v>
      </c>
      <c r="BY1" s="242" t="s">
        <v>881</v>
      </c>
      <c r="BZ1" s="236" t="s">
        <v>923</v>
      </c>
      <c r="CA1" s="236" t="s">
        <v>794</v>
      </c>
      <c r="CB1" s="236" t="s">
        <v>1011</v>
      </c>
      <c r="CC1" s="243" t="s">
        <v>924</v>
      </c>
    </row>
    <row r="3" spans="1:81" s="560" customFormat="1" x14ac:dyDescent="0.2">
      <c r="A3" s="561" t="s">
        <v>729</v>
      </c>
      <c r="B3" s="561">
        <f>SUM(C3:CC3)</f>
        <v>2089186</v>
      </c>
      <c r="C3" s="560">
        <f>+BSGFws!C55</f>
        <v>583400</v>
      </c>
      <c r="D3" s="560">
        <f>+BSGFws!D55</f>
        <v>43932</v>
      </c>
      <c r="E3" s="560">
        <f>+BSGFws!E55</f>
        <v>93373</v>
      </c>
      <c r="F3" s="560">
        <f>+BSGFws!F55</f>
        <v>-33501</v>
      </c>
      <c r="G3" s="560">
        <f>+BSGFws!G55</f>
        <v>153</v>
      </c>
      <c r="H3" s="560">
        <f>+BSGFws!H55</f>
        <v>5006</v>
      </c>
      <c r="I3" s="560">
        <f>+BSGFws!I55</f>
        <v>-325</v>
      </c>
      <c r="J3" s="560">
        <f>+BSGFws!J55</f>
        <v>0</v>
      </c>
      <c r="K3" s="560">
        <f>+BSGFws!K55</f>
        <v>16658</v>
      </c>
      <c r="L3" s="560">
        <f>+BSGFws!L55</f>
        <v>0</v>
      </c>
      <c r="M3" s="560">
        <f>+BSGFws!M55</f>
        <v>0</v>
      </c>
      <c r="N3" s="560">
        <f>+BSGFws!N55</f>
        <v>156826</v>
      </c>
      <c r="O3" s="560">
        <f>+BSGFws!O55</f>
        <v>110442</v>
      </c>
      <c r="P3" s="560">
        <f>+BSGFws!P55</f>
        <v>1265</v>
      </c>
      <c r="Q3" s="560">
        <f>+BSGFws!Q55</f>
        <v>21381</v>
      </c>
      <c r="R3" s="560">
        <f>+BSGFws!R55</f>
        <v>0</v>
      </c>
      <c r="S3" s="560">
        <f>+BSGFws!S55</f>
        <v>0</v>
      </c>
      <c r="T3" s="560">
        <f>+BSGFws!T55</f>
        <v>-103</v>
      </c>
      <c r="U3" s="560">
        <f>+BSGFws!U55</f>
        <v>3945</v>
      </c>
      <c r="V3" s="560">
        <f>+BSGFws!V55</f>
        <v>11774</v>
      </c>
      <c r="W3" s="560">
        <f>+BSGFws!W55</f>
        <v>48335</v>
      </c>
      <c r="X3" s="560">
        <f>+BSGFws!X55</f>
        <v>58588</v>
      </c>
      <c r="Y3" s="560">
        <f>+BSGFws!Y55</f>
        <v>0</v>
      </c>
      <c r="Z3" s="560">
        <f>+BSGFws!Z55</f>
        <v>0</v>
      </c>
      <c r="AA3" s="560">
        <f>+BSGFws!AA55</f>
        <v>0</v>
      </c>
      <c r="AB3" s="560">
        <f>+BSGFws!AB55</f>
        <v>5176</v>
      </c>
      <c r="AC3" s="560">
        <f>+BSGFws!AC55</f>
        <v>16696</v>
      </c>
      <c r="AD3" s="560">
        <f>+BSGFws!AD55</f>
        <v>153592</v>
      </c>
      <c r="AE3" s="560">
        <f>+BSGFws!AE55</f>
        <v>375891</v>
      </c>
      <c r="AF3" s="560">
        <f>+BSGFws!AF55</f>
        <v>-9134</v>
      </c>
      <c r="AG3" s="560">
        <f>+BSGFws!AG55</f>
        <v>0</v>
      </c>
      <c r="AH3" s="560">
        <f>+BSGFws!AH55</f>
        <v>0</v>
      </c>
      <c r="AI3" s="560">
        <f>+BSGFws!AI55</f>
        <v>0</v>
      </c>
      <c r="AJ3" s="560">
        <f>+BSGFws!AJ55</f>
        <v>0</v>
      </c>
      <c r="AK3" s="560">
        <f>+BSGFws!AK55</f>
        <v>37456</v>
      </c>
      <c r="AL3" s="560">
        <f>+BSGFws!AL55</f>
        <v>1063</v>
      </c>
      <c r="AM3" s="560">
        <f>+BSGFws!AM55</f>
        <v>1910</v>
      </c>
      <c r="AN3" s="560">
        <f>+BSGFws!AN55</f>
        <v>10018</v>
      </c>
      <c r="AO3" s="560">
        <f>+BSGFws!AO55</f>
        <v>18155</v>
      </c>
      <c r="AP3" s="560">
        <f>+BSGFws!AP55</f>
        <v>947</v>
      </c>
      <c r="AQ3" s="560">
        <f>+BSGFws!AQ55</f>
        <v>91452</v>
      </c>
      <c r="AR3" s="560">
        <f>+BSGFws!AR55</f>
        <v>-507</v>
      </c>
      <c r="AS3" s="560">
        <f>+BSGFws!AS55</f>
        <v>0</v>
      </c>
      <c r="AT3" s="560">
        <f>+BSGFws!AT55</f>
        <v>-10255</v>
      </c>
      <c r="AU3" s="560">
        <f>+BSGFws!AU55</f>
        <v>110</v>
      </c>
      <c r="AV3" s="560">
        <f>+BSGFws!AV55</f>
        <v>0</v>
      </c>
      <c r="AW3" s="560">
        <f>+BSGFws!AW55</f>
        <v>57127</v>
      </c>
      <c r="AX3" s="560">
        <f>+BSGFws!AX55</f>
        <v>0</v>
      </c>
      <c r="AY3" s="560">
        <f>+BSGFws!AY55</f>
        <v>370</v>
      </c>
      <c r="AZ3" s="560">
        <f>+BSGFws!AZ55</f>
        <v>5413</v>
      </c>
      <c r="BA3" s="560">
        <f>+BSGFws!BA55</f>
        <v>329</v>
      </c>
      <c r="BB3" s="560">
        <f>+BSGFws!BB55</f>
        <v>543</v>
      </c>
      <c r="BC3" s="560">
        <f>+BSGFws!BC55</f>
        <v>1367</v>
      </c>
      <c r="BD3" s="560">
        <f>+BSGFws!BD55</f>
        <v>0</v>
      </c>
      <c r="BE3" s="560">
        <f>+BSGFws!BE55</f>
        <v>293</v>
      </c>
      <c r="BF3" s="560">
        <f>+BSGFws!BF55</f>
        <v>396</v>
      </c>
      <c r="BG3" s="560">
        <f>+BSGFws!BG55</f>
        <v>7</v>
      </c>
      <c r="BH3" s="560">
        <f>+BSGFws!BH55</f>
        <v>9944</v>
      </c>
      <c r="BI3" s="560">
        <f>+BSGFws!BI55</f>
        <v>29</v>
      </c>
      <c r="BJ3" s="560">
        <f>+BSGFws!BJ55</f>
        <v>4489</v>
      </c>
      <c r="BK3" s="560">
        <f>+BSGFws!BK55</f>
        <v>24218</v>
      </c>
      <c r="BL3" s="560">
        <f>+BSGFws!BL55</f>
        <v>294</v>
      </c>
      <c r="BM3" s="560">
        <f>+BSGFws!BM55</f>
        <v>1761</v>
      </c>
      <c r="BN3" s="560">
        <f>+BSGFws!BN55</f>
        <v>0</v>
      </c>
      <c r="BO3" s="560">
        <f>+BSGFws!BO55</f>
        <v>0</v>
      </c>
      <c r="BP3" s="560">
        <f>+BSGFws!BP55</f>
        <v>4211</v>
      </c>
      <c r="BQ3" s="560">
        <f>+BSGFws!BQ55</f>
        <v>130243</v>
      </c>
      <c r="BR3" s="560">
        <f>+BSGFws!BR55</f>
        <v>31981</v>
      </c>
      <c r="BS3" s="560">
        <f>+BSGFws!BS55</f>
        <v>2452</v>
      </c>
    </row>
    <row r="5" spans="1:81" x14ac:dyDescent="0.2">
      <c r="A5" s="557" t="s">
        <v>196</v>
      </c>
      <c r="BK5" s="1098"/>
      <c r="BL5" s="1098"/>
    </row>
    <row r="6" spans="1:81" x14ac:dyDescent="0.2">
      <c r="A6" s="558" t="s">
        <v>77</v>
      </c>
      <c r="B6" s="211">
        <f t="shared" ref="B6:B16" si="0">SUM(C6:CC6)</f>
        <v>1452090</v>
      </c>
      <c r="D6" s="926"/>
      <c r="AA6" s="1098"/>
      <c r="AB6" s="1098"/>
      <c r="AC6" s="1098"/>
      <c r="AD6" s="1098"/>
      <c r="AE6" s="1098"/>
      <c r="AF6" s="1098"/>
      <c r="AG6" s="1098"/>
      <c r="AH6" s="1098"/>
      <c r="AI6" s="1098"/>
      <c r="AJ6" s="1098"/>
      <c r="AK6" s="1098"/>
      <c r="AL6" s="1098"/>
      <c r="AM6" s="1098"/>
      <c r="AN6" s="1098"/>
      <c r="AO6" s="1098"/>
      <c r="AP6" s="1098"/>
      <c r="AQ6" s="1098"/>
      <c r="AR6" s="1098"/>
      <c r="AS6" s="1098"/>
      <c r="AT6" s="1098"/>
      <c r="AU6" s="1098"/>
      <c r="AV6" s="1098"/>
      <c r="AW6" s="1098"/>
      <c r="AX6" s="926"/>
      <c r="BD6" s="1098"/>
      <c r="BK6" s="1098"/>
      <c r="BL6" s="1098"/>
      <c r="BQ6" s="211">
        <v>780</v>
      </c>
      <c r="CA6" s="211">
        <f>-SUM(C6:BZ6)</f>
        <v>-780</v>
      </c>
      <c r="CB6" s="1097">
        <v>1452090</v>
      </c>
    </row>
    <row r="7" spans="1:81" x14ac:dyDescent="0.2">
      <c r="A7" s="558" t="s">
        <v>1141</v>
      </c>
      <c r="B7" s="211">
        <f t="shared" si="0"/>
        <v>0</v>
      </c>
      <c r="D7" s="926"/>
      <c r="AA7" s="1098"/>
      <c r="AB7" s="1098"/>
      <c r="AC7" s="1098"/>
      <c r="AD7" s="1098"/>
      <c r="AE7" s="1098"/>
      <c r="AF7" s="1098"/>
      <c r="AG7" s="1098"/>
      <c r="AH7" s="1098"/>
      <c r="AI7" s="1098"/>
      <c r="AJ7" s="1098"/>
      <c r="AK7" s="1098"/>
      <c r="AL7" s="1098"/>
      <c r="AM7" s="1098"/>
      <c r="AN7" s="1098"/>
      <c r="AO7" s="1098"/>
      <c r="AP7" s="1098"/>
      <c r="AQ7" s="1098"/>
      <c r="AR7" s="1098"/>
      <c r="AS7" s="1098"/>
      <c r="AT7" s="1098"/>
      <c r="AU7" s="1098"/>
      <c r="AV7" s="1098"/>
      <c r="AW7" s="1098"/>
      <c r="AX7" s="926"/>
      <c r="BD7" s="1098"/>
      <c r="BK7" s="1098"/>
      <c r="BL7" s="1098"/>
      <c r="CA7" s="211">
        <f t="shared" ref="CA7:CA16" si="1">-SUM(C7:BZ7)</f>
        <v>0</v>
      </c>
      <c r="CB7" s="1097"/>
    </row>
    <row r="8" spans="1:81" x14ac:dyDescent="0.2">
      <c r="A8" s="558" t="s">
        <v>633</v>
      </c>
      <c r="B8" s="211">
        <f t="shared" si="0"/>
        <v>0</v>
      </c>
      <c r="D8" s="926"/>
      <c r="O8" s="926"/>
      <c r="AA8" s="1098"/>
      <c r="AB8" s="1098"/>
      <c r="AC8" s="1098"/>
      <c r="AD8" s="1098"/>
      <c r="AE8" s="1098"/>
      <c r="AF8" s="1098"/>
      <c r="AG8" s="1098"/>
      <c r="AH8" s="1098"/>
      <c r="AI8" s="1098"/>
      <c r="AJ8" s="1098"/>
      <c r="AK8" s="1098"/>
      <c r="AL8" s="1098"/>
      <c r="AM8" s="1098"/>
      <c r="AN8" s="1098"/>
      <c r="AO8" s="1098"/>
      <c r="AP8" s="1098"/>
      <c r="AQ8" s="1098"/>
      <c r="AR8" s="1098"/>
      <c r="AS8" s="1098"/>
      <c r="AT8" s="1098"/>
      <c r="AU8" s="1098"/>
      <c r="AV8" s="1098"/>
      <c r="AW8" s="1098"/>
      <c r="AX8" s="926"/>
      <c r="BD8" s="1098"/>
      <c r="BK8" s="1098"/>
      <c r="BL8" s="1098"/>
      <c r="CA8" s="211">
        <f t="shared" si="1"/>
        <v>0</v>
      </c>
      <c r="CB8" s="1097">
        <v>0</v>
      </c>
    </row>
    <row r="9" spans="1:81" x14ac:dyDescent="0.2">
      <c r="A9" s="558" t="s">
        <v>993</v>
      </c>
      <c r="B9" s="211">
        <f t="shared" si="0"/>
        <v>583775</v>
      </c>
      <c r="D9" s="926"/>
      <c r="O9" s="926"/>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926"/>
      <c r="AX9" s="926"/>
      <c r="BD9" s="1098"/>
      <c r="BJ9" s="196">
        <v>4934</v>
      </c>
      <c r="BK9" s="1098"/>
      <c r="BL9" s="1098"/>
      <c r="BP9" s="1097">
        <v>553</v>
      </c>
      <c r="CA9" s="211">
        <f t="shared" si="1"/>
        <v>-5487</v>
      </c>
      <c r="CB9" s="1097">
        <v>583775</v>
      </c>
    </row>
    <row r="10" spans="1:81" x14ac:dyDescent="0.2">
      <c r="A10" s="558" t="s">
        <v>576</v>
      </c>
      <c r="B10" s="211">
        <f t="shared" si="0"/>
        <v>270747</v>
      </c>
      <c r="D10" s="926"/>
      <c r="O10" s="926"/>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926"/>
      <c r="AX10" s="926"/>
      <c r="BD10" s="1098"/>
      <c r="BJ10" s="196">
        <v>145</v>
      </c>
      <c r="BK10" s="1098"/>
      <c r="BL10" s="1098"/>
      <c r="BP10" s="1097"/>
      <c r="CA10" s="211">
        <f t="shared" si="1"/>
        <v>-145</v>
      </c>
      <c r="CB10" s="1097">
        <v>270747</v>
      </c>
    </row>
    <row r="11" spans="1:81" x14ac:dyDescent="0.2">
      <c r="A11" s="558" t="s">
        <v>577</v>
      </c>
      <c r="B11" s="211">
        <f t="shared" si="0"/>
        <v>4091</v>
      </c>
      <c r="D11" s="926"/>
      <c r="O11" s="926"/>
      <c r="AA11" s="1098"/>
      <c r="AB11" s="1098"/>
      <c r="AC11" s="1098"/>
      <c r="AD11" s="1098"/>
      <c r="AE11" s="1098"/>
      <c r="AF11" s="1098"/>
      <c r="AG11" s="1098"/>
      <c r="AH11" s="1098"/>
      <c r="AI11" s="1098"/>
      <c r="AJ11" s="1098"/>
      <c r="AK11" s="1098"/>
      <c r="AL11" s="1098"/>
      <c r="AM11" s="1098"/>
      <c r="AN11" s="1098"/>
      <c r="AO11" s="1098"/>
      <c r="AP11" s="1098"/>
      <c r="AQ11" s="1098"/>
      <c r="AR11" s="1098"/>
      <c r="AS11" s="1098"/>
      <c r="AT11" s="1098"/>
      <c r="AU11" s="1098"/>
      <c r="AV11" s="1098"/>
      <c r="AW11" s="926"/>
      <c r="AX11" s="926"/>
      <c r="BD11" s="1098"/>
      <c r="BJ11" s="196"/>
      <c r="BK11" s="1098"/>
      <c r="BL11" s="1098"/>
      <c r="BP11" s="1097"/>
      <c r="CA11" s="211">
        <f t="shared" si="1"/>
        <v>0</v>
      </c>
      <c r="CB11" s="1097">
        <v>4091</v>
      </c>
    </row>
    <row r="12" spans="1:81" x14ac:dyDescent="0.2">
      <c r="A12" s="558" t="s">
        <v>994</v>
      </c>
      <c r="B12" s="211">
        <f t="shared" si="0"/>
        <v>1678665</v>
      </c>
      <c r="C12" s="926"/>
      <c r="D12" s="926"/>
      <c r="O12" s="926"/>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926"/>
      <c r="AX12" s="926"/>
      <c r="BD12" s="1098"/>
      <c r="BJ12" s="196"/>
      <c r="BK12" s="1098">
        <v>39270</v>
      </c>
      <c r="BL12" s="1098"/>
      <c r="BP12" s="1097"/>
      <c r="CA12" s="211">
        <f t="shared" si="1"/>
        <v>-39270</v>
      </c>
      <c r="CB12" s="1097">
        <v>1678665</v>
      </c>
    </row>
    <row r="13" spans="1:81" x14ac:dyDescent="0.2">
      <c r="A13" s="558" t="s">
        <v>713</v>
      </c>
      <c r="B13" s="211">
        <f t="shared" si="0"/>
        <v>1281005</v>
      </c>
      <c r="C13" s="926"/>
      <c r="D13" s="926"/>
      <c r="O13" s="926"/>
      <c r="AA13" s="1098"/>
      <c r="AB13" s="1098"/>
      <c r="AC13" s="1098"/>
      <c r="AD13" s="1098"/>
      <c r="AE13" s="1098"/>
      <c r="AF13" s="1098"/>
      <c r="AG13" s="1098"/>
      <c r="AH13" s="1098"/>
      <c r="AI13" s="1098"/>
      <c r="AJ13" s="1098"/>
      <c r="AK13" s="1098"/>
      <c r="AL13" s="1098"/>
      <c r="AM13" s="1098"/>
      <c r="AN13" s="1098"/>
      <c r="AO13" s="1098"/>
      <c r="AP13" s="1098"/>
      <c r="AQ13" s="1098"/>
      <c r="AR13" s="1098"/>
      <c r="AS13" s="1098"/>
      <c r="AT13" s="1098"/>
      <c r="AU13" s="1098"/>
      <c r="AV13" s="1098"/>
      <c r="AW13" s="926"/>
      <c r="AX13" s="926"/>
      <c r="BD13" s="1098"/>
      <c r="BH13" s="1097">
        <v>620</v>
      </c>
      <c r="BJ13" s="196">
        <v>32722</v>
      </c>
      <c r="BK13" s="1098"/>
      <c r="BL13" s="1098"/>
      <c r="BP13" s="1097">
        <v>2536</v>
      </c>
      <c r="CA13" s="211">
        <f t="shared" si="1"/>
        <v>-35878</v>
      </c>
      <c r="CB13" s="1097">
        <v>1281005</v>
      </c>
    </row>
    <row r="14" spans="1:81" x14ac:dyDescent="0.2">
      <c r="A14" s="558" t="s">
        <v>447</v>
      </c>
      <c r="B14" s="211">
        <f t="shared" si="0"/>
        <v>4392077</v>
      </c>
      <c r="C14" s="926"/>
      <c r="D14" s="926"/>
      <c r="O14" s="926"/>
      <c r="AA14" s="1098"/>
      <c r="AB14" s="1098"/>
      <c r="AC14" s="1098"/>
      <c r="AD14" s="1098"/>
      <c r="AE14" s="1098"/>
      <c r="AF14" s="1098"/>
      <c r="AG14" s="1098"/>
      <c r="AH14" s="1098"/>
      <c r="AI14" s="1098"/>
      <c r="AJ14" s="1098"/>
      <c r="AK14" s="1098"/>
      <c r="AL14" s="1098"/>
      <c r="AM14" s="1098"/>
      <c r="AN14" s="1098"/>
      <c r="AO14" s="1098"/>
      <c r="AP14" s="1098"/>
      <c r="AQ14" s="1098"/>
      <c r="AR14" s="1098"/>
      <c r="AS14" s="1098"/>
      <c r="AT14" s="1098"/>
      <c r="AU14" s="1098"/>
      <c r="AV14" s="1098"/>
      <c r="AW14" s="926"/>
      <c r="AX14" s="926"/>
      <c r="BD14" s="1098"/>
      <c r="BH14" s="1097"/>
      <c r="BJ14" s="196"/>
      <c r="BK14" s="1098"/>
      <c r="BL14" s="1098"/>
      <c r="BP14" s="1097"/>
      <c r="CA14" s="211">
        <f t="shared" si="1"/>
        <v>0</v>
      </c>
      <c r="CB14" s="1097">
        <v>4392077</v>
      </c>
    </row>
    <row r="15" spans="1:81" x14ac:dyDescent="0.2">
      <c r="A15" s="558" t="s">
        <v>730</v>
      </c>
      <c r="B15" s="211">
        <f t="shared" si="0"/>
        <v>511335</v>
      </c>
      <c r="C15" s="926"/>
      <c r="D15" s="926"/>
      <c r="O15" s="926"/>
      <c r="AA15" s="1098"/>
      <c r="AB15" s="1098"/>
      <c r="AC15" s="1098"/>
      <c r="AD15" s="1098"/>
      <c r="AE15" s="1098"/>
      <c r="AF15" s="1098"/>
      <c r="AG15" s="1098"/>
      <c r="AH15" s="1098"/>
      <c r="AI15" s="1098"/>
      <c r="AJ15" s="1098"/>
      <c r="AK15" s="1098"/>
      <c r="AL15" s="1098"/>
      <c r="AM15" s="1098"/>
      <c r="AN15" s="1098"/>
      <c r="AO15" s="1098"/>
      <c r="AP15" s="1098"/>
      <c r="AQ15" s="1098"/>
      <c r="AR15" s="1098"/>
      <c r="AS15" s="1098"/>
      <c r="AT15" s="1098"/>
      <c r="AU15" s="1098"/>
      <c r="AV15" s="1098"/>
      <c r="AW15" s="926"/>
      <c r="AX15" s="926"/>
      <c r="BD15" s="1098"/>
      <c r="BF15" s="1098"/>
      <c r="BH15" s="1097">
        <v>1252</v>
      </c>
      <c r="BJ15" s="196">
        <v>9003</v>
      </c>
      <c r="BK15" s="1098"/>
      <c r="BL15" s="1098"/>
      <c r="BP15" s="1097">
        <v>421</v>
      </c>
      <c r="CA15" s="211">
        <f t="shared" si="1"/>
        <v>-10676</v>
      </c>
      <c r="CB15" s="1097">
        <f>511355-20</f>
        <v>511335</v>
      </c>
    </row>
    <row r="16" spans="1:81" x14ac:dyDescent="0.2">
      <c r="A16" s="558" t="s">
        <v>996</v>
      </c>
      <c r="B16" s="211">
        <f t="shared" si="0"/>
        <v>-4432716</v>
      </c>
      <c r="C16" s="926"/>
      <c r="D16" s="926"/>
      <c r="O16" s="926"/>
      <c r="AA16" s="1098"/>
      <c r="AB16" s="1098"/>
      <c r="AC16" s="1098"/>
      <c r="AD16" s="1098"/>
      <c r="AE16" s="1098"/>
      <c r="AF16" s="1098"/>
      <c r="AG16" s="1098"/>
      <c r="AH16" s="1098"/>
      <c r="AI16" s="1098"/>
      <c r="AJ16" s="1098"/>
      <c r="AK16" s="1098"/>
      <c r="AL16" s="1098"/>
      <c r="AM16" s="1098"/>
      <c r="AN16" s="1098"/>
      <c r="AO16" s="1098"/>
      <c r="AP16" s="1098"/>
      <c r="AQ16" s="1098"/>
      <c r="AR16" s="1098"/>
      <c r="AS16" s="1098"/>
      <c r="AT16" s="1098"/>
      <c r="AU16" s="1098"/>
      <c r="AV16" s="1098"/>
      <c r="AW16" s="926"/>
      <c r="AX16" s="926"/>
      <c r="BD16" s="1098"/>
      <c r="BF16" s="1098"/>
      <c r="BH16" s="1097">
        <v>-665</v>
      </c>
      <c r="BJ16" s="196">
        <v>-17163</v>
      </c>
      <c r="BK16" s="1098"/>
      <c r="BL16" s="1098"/>
      <c r="BP16" s="1097">
        <v>-1153</v>
      </c>
      <c r="CA16" s="211">
        <f t="shared" si="1"/>
        <v>18981</v>
      </c>
      <c r="CB16" s="1097">
        <f>-4432734+18</f>
        <v>-4432716</v>
      </c>
    </row>
    <row r="17" spans="1:81" x14ac:dyDescent="0.2">
      <c r="A17" s="557" t="s">
        <v>198</v>
      </c>
      <c r="B17" s="564">
        <f t="shared" ref="B17" si="2">SUM(B6:B16)</f>
        <v>5741069</v>
      </c>
      <c r="C17" s="930">
        <f>SUM(C6:C16)</f>
        <v>0</v>
      </c>
      <c r="D17" s="930">
        <f t="shared" ref="D17:BO17" si="3">SUM(D6:D16)</f>
        <v>0</v>
      </c>
      <c r="E17" s="930">
        <f t="shared" si="3"/>
        <v>0</v>
      </c>
      <c r="F17" s="930">
        <f t="shared" si="3"/>
        <v>0</v>
      </c>
      <c r="G17" s="930">
        <f t="shared" si="3"/>
        <v>0</v>
      </c>
      <c r="H17" s="930">
        <f t="shared" si="3"/>
        <v>0</v>
      </c>
      <c r="I17" s="930">
        <f t="shared" si="3"/>
        <v>0</v>
      </c>
      <c r="J17" s="930">
        <f t="shared" si="3"/>
        <v>0</v>
      </c>
      <c r="K17" s="930">
        <f t="shared" si="3"/>
        <v>0</v>
      </c>
      <c r="L17" s="930">
        <f t="shared" si="3"/>
        <v>0</v>
      </c>
      <c r="M17" s="930">
        <f t="shared" si="3"/>
        <v>0</v>
      </c>
      <c r="N17" s="930">
        <f t="shared" si="3"/>
        <v>0</v>
      </c>
      <c r="O17" s="930">
        <f t="shared" si="3"/>
        <v>0</v>
      </c>
      <c r="P17" s="930">
        <f t="shared" si="3"/>
        <v>0</v>
      </c>
      <c r="Q17" s="930">
        <f t="shared" si="3"/>
        <v>0</v>
      </c>
      <c r="R17" s="930">
        <f t="shared" si="3"/>
        <v>0</v>
      </c>
      <c r="S17" s="930">
        <f t="shared" si="3"/>
        <v>0</v>
      </c>
      <c r="T17" s="930">
        <f t="shared" si="3"/>
        <v>0</v>
      </c>
      <c r="U17" s="930">
        <f t="shared" si="3"/>
        <v>0</v>
      </c>
      <c r="V17" s="930">
        <f t="shared" si="3"/>
        <v>0</v>
      </c>
      <c r="W17" s="930">
        <f t="shared" si="3"/>
        <v>0</v>
      </c>
      <c r="X17" s="930">
        <f t="shared" si="3"/>
        <v>0</v>
      </c>
      <c r="Y17" s="930">
        <f t="shared" si="3"/>
        <v>0</v>
      </c>
      <c r="Z17" s="930">
        <f t="shared" si="3"/>
        <v>0</v>
      </c>
      <c r="AA17" s="930">
        <f t="shared" si="3"/>
        <v>0</v>
      </c>
      <c r="AB17" s="930">
        <f t="shared" si="3"/>
        <v>0</v>
      </c>
      <c r="AC17" s="930">
        <f t="shared" si="3"/>
        <v>0</v>
      </c>
      <c r="AD17" s="930">
        <f t="shared" si="3"/>
        <v>0</v>
      </c>
      <c r="AE17" s="930">
        <f t="shared" si="3"/>
        <v>0</v>
      </c>
      <c r="AF17" s="930">
        <f t="shared" si="3"/>
        <v>0</v>
      </c>
      <c r="AG17" s="930">
        <f t="shared" si="3"/>
        <v>0</v>
      </c>
      <c r="AH17" s="930">
        <f t="shared" si="3"/>
        <v>0</v>
      </c>
      <c r="AI17" s="930">
        <f t="shared" si="3"/>
        <v>0</v>
      </c>
      <c r="AJ17" s="930">
        <f t="shared" si="3"/>
        <v>0</v>
      </c>
      <c r="AK17" s="930">
        <f t="shared" si="3"/>
        <v>0</v>
      </c>
      <c r="AL17" s="930">
        <f t="shared" si="3"/>
        <v>0</v>
      </c>
      <c r="AM17" s="930">
        <f t="shared" si="3"/>
        <v>0</v>
      </c>
      <c r="AN17" s="930">
        <f t="shared" si="3"/>
        <v>0</v>
      </c>
      <c r="AO17" s="930">
        <f t="shared" si="3"/>
        <v>0</v>
      </c>
      <c r="AP17" s="930">
        <f t="shared" si="3"/>
        <v>0</v>
      </c>
      <c r="AQ17" s="930">
        <f t="shared" si="3"/>
        <v>0</v>
      </c>
      <c r="AR17" s="930">
        <f t="shared" si="3"/>
        <v>0</v>
      </c>
      <c r="AS17" s="930">
        <f t="shared" si="3"/>
        <v>0</v>
      </c>
      <c r="AT17" s="930">
        <f t="shared" si="3"/>
        <v>0</v>
      </c>
      <c r="AU17" s="930">
        <f t="shared" si="3"/>
        <v>0</v>
      </c>
      <c r="AV17" s="930">
        <f t="shared" si="3"/>
        <v>0</v>
      </c>
      <c r="AW17" s="930">
        <f t="shared" si="3"/>
        <v>0</v>
      </c>
      <c r="AX17" s="930">
        <f t="shared" si="3"/>
        <v>0</v>
      </c>
      <c r="AY17" s="930">
        <f t="shared" si="3"/>
        <v>0</v>
      </c>
      <c r="AZ17" s="930">
        <f t="shared" si="3"/>
        <v>0</v>
      </c>
      <c r="BA17" s="930">
        <f t="shared" si="3"/>
        <v>0</v>
      </c>
      <c r="BB17" s="930">
        <f t="shared" si="3"/>
        <v>0</v>
      </c>
      <c r="BC17" s="930">
        <f t="shared" si="3"/>
        <v>0</v>
      </c>
      <c r="BD17" s="930">
        <f t="shared" si="3"/>
        <v>0</v>
      </c>
      <c r="BE17" s="930">
        <f t="shared" si="3"/>
        <v>0</v>
      </c>
      <c r="BF17" s="930">
        <f t="shared" si="3"/>
        <v>0</v>
      </c>
      <c r="BG17" s="930">
        <f t="shared" si="3"/>
        <v>0</v>
      </c>
      <c r="BH17" s="930">
        <f t="shared" si="3"/>
        <v>1207</v>
      </c>
      <c r="BI17" s="930">
        <f t="shared" si="3"/>
        <v>0</v>
      </c>
      <c r="BJ17" s="930">
        <f t="shared" ref="BJ17" si="4">SUM(BJ6:BJ16)</f>
        <v>29641</v>
      </c>
      <c r="BK17" s="930">
        <f t="shared" si="3"/>
        <v>39270</v>
      </c>
      <c r="BL17" s="930">
        <f t="shared" si="3"/>
        <v>0</v>
      </c>
      <c r="BM17" s="930">
        <f t="shared" si="3"/>
        <v>0</v>
      </c>
      <c r="BN17" s="930">
        <f t="shared" si="3"/>
        <v>0</v>
      </c>
      <c r="BO17" s="930">
        <f t="shared" si="3"/>
        <v>0</v>
      </c>
      <c r="BP17" s="930">
        <f t="shared" ref="BP17:CC17" si="5">SUM(BP6:BP16)</f>
        <v>2357</v>
      </c>
      <c r="BQ17" s="930">
        <f t="shared" si="5"/>
        <v>780</v>
      </c>
      <c r="BR17" s="930">
        <f t="shared" si="5"/>
        <v>0</v>
      </c>
      <c r="BS17" s="930">
        <f t="shared" si="5"/>
        <v>0</v>
      </c>
      <c r="BT17" s="930">
        <f t="shared" si="5"/>
        <v>0</v>
      </c>
      <c r="BU17" s="930">
        <f t="shared" si="5"/>
        <v>0</v>
      </c>
      <c r="BV17" s="930">
        <f t="shared" si="5"/>
        <v>0</v>
      </c>
      <c r="BW17" s="930">
        <f t="shared" si="5"/>
        <v>0</v>
      </c>
      <c r="BX17" s="930">
        <f t="shared" si="5"/>
        <v>0</v>
      </c>
      <c r="BY17" s="930">
        <f t="shared" si="5"/>
        <v>0</v>
      </c>
      <c r="BZ17" s="930">
        <f t="shared" si="5"/>
        <v>0</v>
      </c>
      <c r="CA17" s="930">
        <f t="shared" si="5"/>
        <v>-73255</v>
      </c>
      <c r="CB17" s="930">
        <f t="shared" si="5"/>
        <v>5741069</v>
      </c>
      <c r="CC17" s="930">
        <f t="shared" si="5"/>
        <v>0</v>
      </c>
    </row>
    <row r="18" spans="1:81" x14ac:dyDescent="0.2">
      <c r="A18" s="1429"/>
      <c r="B18" s="760"/>
      <c r="C18" s="1222"/>
      <c r="D18" s="1222"/>
      <c r="E18" s="760"/>
      <c r="F18" s="760"/>
      <c r="G18" s="760"/>
      <c r="H18" s="760"/>
      <c r="I18" s="760"/>
      <c r="J18" s="760"/>
      <c r="K18" s="760"/>
      <c r="L18" s="760"/>
      <c r="M18" s="760"/>
      <c r="N18" s="760"/>
      <c r="O18" s="760"/>
      <c r="P18" s="760"/>
      <c r="Q18" s="760"/>
      <c r="R18" s="760"/>
      <c r="S18" s="760"/>
      <c r="T18" s="760"/>
      <c r="U18" s="760"/>
      <c r="V18" s="760"/>
      <c r="W18" s="760"/>
      <c r="X18" s="760"/>
      <c r="Y18" s="760"/>
      <c r="Z18" s="760"/>
      <c r="AA18" s="1223"/>
      <c r="AB18" s="1223"/>
      <c r="AC18" s="1223"/>
      <c r="AD18" s="1223"/>
      <c r="AE18" s="1223"/>
      <c r="AF18" s="1223"/>
      <c r="AG18" s="1223"/>
      <c r="AH18" s="1223"/>
      <c r="AI18" s="1223"/>
      <c r="AJ18" s="1223"/>
      <c r="AK18" s="1223"/>
      <c r="AL18" s="1223"/>
      <c r="AM18" s="1223"/>
      <c r="AN18" s="1223"/>
      <c r="AO18" s="1223"/>
      <c r="AP18" s="1223"/>
      <c r="AQ18" s="1223"/>
      <c r="AR18" s="1223"/>
      <c r="AS18" s="1223"/>
      <c r="AT18" s="1223"/>
      <c r="AU18" s="1223"/>
      <c r="AV18" s="1223"/>
      <c r="AW18" s="1222"/>
      <c r="AX18" s="760"/>
      <c r="AY18" s="760"/>
      <c r="AZ18" s="760"/>
      <c r="BA18" s="760"/>
      <c r="BB18" s="760"/>
      <c r="BC18" s="760"/>
      <c r="BD18" s="760"/>
      <c r="BE18" s="760"/>
      <c r="BF18" s="1223"/>
      <c r="BG18" s="760"/>
      <c r="BH18" s="1139"/>
      <c r="BI18" s="760"/>
      <c r="BJ18" s="760"/>
      <c r="BK18" s="1223"/>
      <c r="BL18" s="1223"/>
      <c r="BM18" s="760"/>
      <c r="BN18" s="760"/>
      <c r="BO18" s="760"/>
      <c r="BP18" s="1139"/>
      <c r="BQ18" s="760"/>
      <c r="BR18" s="760"/>
      <c r="BS18" s="760"/>
      <c r="BT18" s="760"/>
      <c r="BU18" s="760"/>
      <c r="BV18" s="760"/>
      <c r="BW18" s="760"/>
      <c r="BX18" s="760"/>
      <c r="BY18" s="760"/>
      <c r="BZ18" s="760"/>
      <c r="CA18" s="760"/>
      <c r="CB18" s="760"/>
      <c r="CC18" s="760"/>
    </row>
    <row r="19" spans="1:81" x14ac:dyDescent="0.2">
      <c r="A19" s="558" t="s">
        <v>1577</v>
      </c>
      <c r="B19" s="211">
        <f t="shared" ref="B19:B20" si="6">SUM(C19:CC19)</f>
        <v>91565</v>
      </c>
      <c r="C19" s="1048">
        <v>21760</v>
      </c>
      <c r="D19" s="1222"/>
      <c r="E19" s="1399">
        <v>2417</v>
      </c>
      <c r="F19" s="1399">
        <v>19142</v>
      </c>
      <c r="G19" s="1399"/>
      <c r="H19" s="1389"/>
      <c r="I19" s="1399"/>
      <c r="J19" s="760"/>
      <c r="K19" s="760"/>
      <c r="L19" s="760"/>
      <c r="M19" s="760"/>
      <c r="N19" s="1139">
        <v>72</v>
      </c>
      <c r="O19" s="1139">
        <v>150</v>
      </c>
      <c r="P19" s="760"/>
      <c r="Q19" s="760"/>
      <c r="R19" s="760"/>
      <c r="S19" s="760"/>
      <c r="T19" s="760"/>
      <c r="U19" s="1223">
        <v>7</v>
      </c>
      <c r="V19" s="760"/>
      <c r="W19" s="1139">
        <v>26</v>
      </c>
      <c r="X19" s="760"/>
      <c r="Y19" s="760"/>
      <c r="Z19" s="760"/>
      <c r="AA19" s="1223"/>
      <c r="AB19" s="1223"/>
      <c r="AC19" s="1223"/>
      <c r="AD19" s="1223"/>
      <c r="AE19" s="1223"/>
      <c r="AF19" s="1223"/>
      <c r="AG19" s="1223"/>
      <c r="AH19" s="1223"/>
      <c r="AI19" s="1223"/>
      <c r="AJ19" s="1223"/>
      <c r="AK19" s="1223"/>
      <c r="AL19" s="1223"/>
      <c r="AM19" s="1223"/>
      <c r="AN19" s="1223"/>
      <c r="AO19" s="1223"/>
      <c r="AP19" s="1223"/>
      <c r="AQ19" s="1223"/>
      <c r="AR19" s="1223"/>
      <c r="AS19" s="1223"/>
      <c r="AT19" s="1223"/>
      <c r="AU19" s="1223"/>
      <c r="AV19" s="1223"/>
      <c r="AW19" s="1222"/>
      <c r="AX19" s="760"/>
      <c r="AY19" s="760"/>
      <c r="AZ19" s="760"/>
      <c r="BA19" s="760"/>
      <c r="BB19" s="760"/>
      <c r="BC19" s="760"/>
      <c r="BD19" s="760"/>
      <c r="BE19" s="760"/>
      <c r="BF19" s="1223"/>
      <c r="BG19" s="760"/>
      <c r="BH19" s="1139">
        <v>2046</v>
      </c>
      <c r="BI19" s="760"/>
      <c r="BJ19" s="760">
        <v>3452</v>
      </c>
      <c r="BK19" s="1223"/>
      <c r="BL19" s="1223"/>
      <c r="BM19" s="760"/>
      <c r="BN19" s="760"/>
      <c r="BO19" s="760"/>
      <c r="BP19" s="1139">
        <v>10616</v>
      </c>
      <c r="BQ19" s="1223">
        <v>31877</v>
      </c>
      <c r="BR19" s="760"/>
      <c r="BS19" s="760"/>
      <c r="BT19" s="760"/>
      <c r="BU19" s="760"/>
      <c r="BV19" s="760"/>
      <c r="BW19" s="760"/>
      <c r="BX19" s="760"/>
      <c r="BY19" s="760"/>
      <c r="BZ19" s="760"/>
      <c r="CA19" s="760"/>
      <c r="CB19" s="760"/>
      <c r="CC19" s="760"/>
    </row>
    <row r="20" spans="1:81" x14ac:dyDescent="0.2">
      <c r="A20" s="558" t="s">
        <v>1578</v>
      </c>
      <c r="B20" s="211">
        <f t="shared" si="6"/>
        <v>-24109</v>
      </c>
      <c r="C20" s="1048">
        <v>-6685</v>
      </c>
      <c r="D20" s="1222"/>
      <c r="E20" s="1451">
        <v>-2412</v>
      </c>
      <c r="F20" s="1451">
        <v>-5526</v>
      </c>
      <c r="G20" s="1451"/>
      <c r="H20" s="1452"/>
      <c r="I20" s="1451"/>
      <c r="J20" s="760"/>
      <c r="K20" s="760"/>
      <c r="L20" s="760"/>
      <c r="M20" s="760"/>
      <c r="N20" s="1139">
        <v>-30</v>
      </c>
      <c r="O20" s="1139">
        <v>-145</v>
      </c>
      <c r="P20" s="760"/>
      <c r="Q20" s="760"/>
      <c r="R20" s="760"/>
      <c r="S20" s="760"/>
      <c r="T20" s="760"/>
      <c r="U20" s="1223">
        <v>-4</v>
      </c>
      <c r="V20" s="760"/>
      <c r="W20" s="1139">
        <v>-13</v>
      </c>
      <c r="X20" s="760"/>
      <c r="Y20" s="760"/>
      <c r="Z20" s="760"/>
      <c r="AA20" s="1223"/>
      <c r="AB20" s="1223"/>
      <c r="AC20" s="1223"/>
      <c r="AD20" s="1223"/>
      <c r="AE20" s="1223"/>
      <c r="AF20" s="1223"/>
      <c r="AG20" s="1223"/>
      <c r="AH20" s="1223"/>
      <c r="AI20" s="1223"/>
      <c r="AJ20" s="1223"/>
      <c r="AK20" s="1223"/>
      <c r="AL20" s="1223"/>
      <c r="AM20" s="1223"/>
      <c r="AN20" s="1223"/>
      <c r="AO20" s="1223"/>
      <c r="AP20" s="1223"/>
      <c r="AQ20" s="1223"/>
      <c r="AR20" s="1223"/>
      <c r="AS20" s="1223"/>
      <c r="AT20" s="1223"/>
      <c r="AU20" s="1223"/>
      <c r="AV20" s="1223"/>
      <c r="AW20" s="1222"/>
      <c r="AX20" s="760"/>
      <c r="AY20" s="760"/>
      <c r="AZ20" s="760"/>
      <c r="BA20" s="760"/>
      <c r="BB20" s="760"/>
      <c r="BC20" s="760"/>
      <c r="BD20" s="760"/>
      <c r="BE20" s="760"/>
      <c r="BF20" s="1223"/>
      <c r="BG20" s="760"/>
      <c r="BH20" s="1139">
        <v>-969</v>
      </c>
      <c r="BI20" s="760"/>
      <c r="BJ20" s="760">
        <v>-414</v>
      </c>
      <c r="BK20" s="1223"/>
      <c r="BL20" s="1223"/>
      <c r="BM20" s="760"/>
      <c r="BN20" s="760"/>
      <c r="BO20" s="760"/>
      <c r="BP20" s="1139">
        <v>-1110</v>
      </c>
      <c r="BQ20" s="1223">
        <v>-6801</v>
      </c>
      <c r="BR20" s="760"/>
      <c r="BS20" s="760"/>
      <c r="BT20" s="760"/>
      <c r="BU20" s="760"/>
      <c r="BV20" s="760"/>
      <c r="BW20" s="760"/>
      <c r="BX20" s="760"/>
      <c r="BY20" s="760"/>
      <c r="BZ20" s="760"/>
      <c r="CA20" s="760"/>
      <c r="CB20" s="760"/>
      <c r="CC20" s="760"/>
    </row>
    <row r="21" spans="1:81" x14ac:dyDescent="0.2">
      <c r="A21" s="1430" t="s">
        <v>1579</v>
      </c>
      <c r="B21" s="388">
        <f>SUM(B19:B20)</f>
        <v>67456</v>
      </c>
      <c r="C21" s="1142">
        <f t="shared" ref="C21:BN21" si="7">SUM(C19:C20)</f>
        <v>15075</v>
      </c>
      <c r="D21" s="1142">
        <f t="shared" si="7"/>
        <v>0</v>
      </c>
      <c r="E21" s="1142">
        <f t="shared" si="7"/>
        <v>5</v>
      </c>
      <c r="F21" s="1142">
        <f t="shared" si="7"/>
        <v>13616</v>
      </c>
      <c r="G21" s="1142">
        <f t="shared" si="7"/>
        <v>0</v>
      </c>
      <c r="H21" s="1142">
        <f t="shared" si="7"/>
        <v>0</v>
      </c>
      <c r="I21" s="1142">
        <f t="shared" si="7"/>
        <v>0</v>
      </c>
      <c r="J21" s="1142">
        <f t="shared" si="7"/>
        <v>0</v>
      </c>
      <c r="K21" s="1142">
        <f t="shared" si="7"/>
        <v>0</v>
      </c>
      <c r="L21" s="1142">
        <f t="shared" si="7"/>
        <v>0</v>
      </c>
      <c r="M21" s="1142">
        <f t="shared" si="7"/>
        <v>0</v>
      </c>
      <c r="N21" s="1142">
        <f t="shared" ref="N21" si="8">SUM(N19:N20)</f>
        <v>42</v>
      </c>
      <c r="O21" s="1142">
        <f t="shared" si="7"/>
        <v>5</v>
      </c>
      <c r="P21" s="1142">
        <f t="shared" si="7"/>
        <v>0</v>
      </c>
      <c r="Q21" s="1142">
        <f t="shared" si="7"/>
        <v>0</v>
      </c>
      <c r="R21" s="1142">
        <f t="shared" si="7"/>
        <v>0</v>
      </c>
      <c r="S21" s="1142">
        <f t="shared" si="7"/>
        <v>0</v>
      </c>
      <c r="T21" s="1142">
        <f t="shared" si="7"/>
        <v>0</v>
      </c>
      <c r="U21" s="1142">
        <f t="shared" si="7"/>
        <v>3</v>
      </c>
      <c r="V21" s="1142">
        <f t="shared" si="7"/>
        <v>0</v>
      </c>
      <c r="W21" s="1142">
        <f t="shared" si="7"/>
        <v>13</v>
      </c>
      <c r="X21" s="1142">
        <f t="shared" si="7"/>
        <v>0</v>
      </c>
      <c r="Y21" s="1142">
        <f t="shared" si="7"/>
        <v>0</v>
      </c>
      <c r="Z21" s="1142">
        <f t="shared" si="7"/>
        <v>0</v>
      </c>
      <c r="AA21" s="1142">
        <f t="shared" si="7"/>
        <v>0</v>
      </c>
      <c r="AB21" s="1142">
        <f t="shared" si="7"/>
        <v>0</v>
      </c>
      <c r="AC21" s="1142">
        <f t="shared" si="7"/>
        <v>0</v>
      </c>
      <c r="AD21" s="1142">
        <f t="shared" si="7"/>
        <v>0</v>
      </c>
      <c r="AE21" s="1142">
        <f t="shared" si="7"/>
        <v>0</v>
      </c>
      <c r="AF21" s="1142">
        <f t="shared" si="7"/>
        <v>0</v>
      </c>
      <c r="AG21" s="1142">
        <f t="shared" si="7"/>
        <v>0</v>
      </c>
      <c r="AH21" s="1142">
        <f t="shared" si="7"/>
        <v>0</v>
      </c>
      <c r="AI21" s="1142">
        <f t="shared" si="7"/>
        <v>0</v>
      </c>
      <c r="AJ21" s="1142">
        <f t="shared" si="7"/>
        <v>0</v>
      </c>
      <c r="AK21" s="1142">
        <f t="shared" si="7"/>
        <v>0</v>
      </c>
      <c r="AL21" s="1142">
        <f t="shared" si="7"/>
        <v>0</v>
      </c>
      <c r="AM21" s="1142">
        <f t="shared" si="7"/>
        <v>0</v>
      </c>
      <c r="AN21" s="1142">
        <f t="shared" si="7"/>
        <v>0</v>
      </c>
      <c r="AO21" s="1142">
        <f t="shared" si="7"/>
        <v>0</v>
      </c>
      <c r="AP21" s="1142">
        <f t="shared" si="7"/>
        <v>0</v>
      </c>
      <c r="AQ21" s="1142">
        <f t="shared" si="7"/>
        <v>0</v>
      </c>
      <c r="AR21" s="1142">
        <f t="shared" si="7"/>
        <v>0</v>
      </c>
      <c r="AS21" s="1142">
        <f t="shared" si="7"/>
        <v>0</v>
      </c>
      <c r="AT21" s="1142">
        <f t="shared" si="7"/>
        <v>0</v>
      </c>
      <c r="AU21" s="1142">
        <f t="shared" si="7"/>
        <v>0</v>
      </c>
      <c r="AV21" s="1142">
        <f t="shared" si="7"/>
        <v>0</v>
      </c>
      <c r="AW21" s="1142">
        <f t="shared" si="7"/>
        <v>0</v>
      </c>
      <c r="AX21" s="1142">
        <f t="shared" si="7"/>
        <v>0</v>
      </c>
      <c r="AY21" s="1142">
        <f t="shared" si="7"/>
        <v>0</v>
      </c>
      <c r="AZ21" s="1142">
        <f t="shared" si="7"/>
        <v>0</v>
      </c>
      <c r="BA21" s="1142">
        <f t="shared" si="7"/>
        <v>0</v>
      </c>
      <c r="BB21" s="1142">
        <f t="shared" si="7"/>
        <v>0</v>
      </c>
      <c r="BC21" s="1142">
        <f t="shared" si="7"/>
        <v>0</v>
      </c>
      <c r="BD21" s="1142">
        <f t="shared" si="7"/>
        <v>0</v>
      </c>
      <c r="BE21" s="1142">
        <f t="shared" si="7"/>
        <v>0</v>
      </c>
      <c r="BF21" s="1142">
        <f t="shared" si="7"/>
        <v>0</v>
      </c>
      <c r="BG21" s="1142">
        <f t="shared" si="7"/>
        <v>0</v>
      </c>
      <c r="BH21" s="1142">
        <f t="shared" si="7"/>
        <v>1077</v>
      </c>
      <c r="BI21" s="1142">
        <f t="shared" si="7"/>
        <v>0</v>
      </c>
      <c r="BJ21" s="1142">
        <f t="shared" ref="BJ21" si="9">SUM(BJ19:BJ20)</f>
        <v>3038</v>
      </c>
      <c r="BK21" s="1142">
        <f t="shared" si="7"/>
        <v>0</v>
      </c>
      <c r="BL21" s="1142">
        <f t="shared" si="7"/>
        <v>0</v>
      </c>
      <c r="BM21" s="1142">
        <f t="shared" si="7"/>
        <v>0</v>
      </c>
      <c r="BN21" s="1142">
        <f t="shared" si="7"/>
        <v>0</v>
      </c>
      <c r="BO21" s="1142">
        <f t="shared" ref="BO21:CC21" si="10">SUM(BO19:BO20)</f>
        <v>0</v>
      </c>
      <c r="BP21" s="1142">
        <f t="shared" si="10"/>
        <v>9506</v>
      </c>
      <c r="BQ21" s="1142">
        <f t="shared" si="10"/>
        <v>25076</v>
      </c>
      <c r="BR21" s="1142">
        <f t="shared" si="10"/>
        <v>0</v>
      </c>
      <c r="BS21" s="1142">
        <f t="shared" si="10"/>
        <v>0</v>
      </c>
      <c r="BT21" s="1142">
        <f t="shared" si="10"/>
        <v>0</v>
      </c>
      <c r="BU21" s="1142">
        <f t="shared" si="10"/>
        <v>0</v>
      </c>
      <c r="BV21" s="1142">
        <f t="shared" si="10"/>
        <v>0</v>
      </c>
      <c r="BW21" s="1142">
        <f t="shared" si="10"/>
        <v>0</v>
      </c>
      <c r="BX21" s="1142">
        <f t="shared" si="10"/>
        <v>0</v>
      </c>
      <c r="BY21" s="1142">
        <f t="shared" si="10"/>
        <v>0</v>
      </c>
      <c r="BZ21" s="1142">
        <f t="shared" si="10"/>
        <v>0</v>
      </c>
      <c r="CA21" s="1142">
        <f t="shared" si="10"/>
        <v>0</v>
      </c>
      <c r="CB21" s="1142">
        <f t="shared" si="10"/>
        <v>0</v>
      </c>
      <c r="CC21" s="1142">
        <f t="shared" si="10"/>
        <v>0</v>
      </c>
    </row>
    <row r="22" spans="1:81" x14ac:dyDescent="0.2">
      <c r="A22" s="1430"/>
      <c r="B22" s="760"/>
      <c r="C22" s="1139"/>
      <c r="D22" s="760"/>
      <c r="E22" s="1399"/>
      <c r="F22" s="1399"/>
      <c r="G22" s="1399"/>
      <c r="H22" s="1399"/>
      <c r="I22" s="1399"/>
      <c r="J22" s="760"/>
      <c r="K22" s="760"/>
      <c r="L22" s="760"/>
      <c r="M22" s="760"/>
      <c r="N22" s="1139"/>
      <c r="O22" s="926"/>
      <c r="P22" s="760"/>
      <c r="Q22" s="760"/>
      <c r="R22" s="760"/>
      <c r="S22" s="760"/>
      <c r="T22" s="760"/>
      <c r="U22" s="1223"/>
      <c r="V22" s="760"/>
      <c r="W22" s="1223"/>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1139"/>
      <c r="BI22" s="760"/>
      <c r="BJ22" s="760"/>
      <c r="BK22" s="1223"/>
      <c r="BL22" s="1223"/>
      <c r="BM22" s="760"/>
      <c r="BN22" s="760"/>
      <c r="BO22" s="760"/>
      <c r="BP22" s="760"/>
      <c r="BQ22" s="1223"/>
      <c r="BR22" s="760"/>
      <c r="BS22" s="760"/>
      <c r="BT22" s="760"/>
      <c r="BU22" s="760"/>
      <c r="BV22" s="760"/>
      <c r="BW22" s="760"/>
      <c r="BX22" s="760"/>
      <c r="BY22" s="760"/>
      <c r="BZ22" s="760"/>
      <c r="CA22" s="760"/>
      <c r="CB22" s="760"/>
      <c r="CC22" s="760"/>
    </row>
    <row r="23" spans="1:81" x14ac:dyDescent="0.2">
      <c r="A23" s="941" t="s">
        <v>1638</v>
      </c>
      <c r="B23" s="211">
        <f t="shared" ref="B23:B24" si="11">SUM(C23:CC23)</f>
        <v>79705</v>
      </c>
      <c r="C23" s="1139">
        <v>76039</v>
      </c>
      <c r="D23" s="760"/>
      <c r="E23" s="1399"/>
      <c r="F23" s="1399">
        <v>102</v>
      </c>
      <c r="G23" s="1399"/>
      <c r="H23" s="1399">
        <v>201</v>
      </c>
      <c r="I23" s="1399"/>
      <c r="J23" s="760"/>
      <c r="K23" s="1223">
        <v>12</v>
      </c>
      <c r="L23" s="760"/>
      <c r="M23" s="760"/>
      <c r="N23" s="1139">
        <v>737</v>
      </c>
      <c r="O23" s="926">
        <v>314</v>
      </c>
      <c r="P23" s="760"/>
      <c r="Q23" s="760"/>
      <c r="R23" s="760"/>
      <c r="S23" s="760"/>
      <c r="T23" s="760"/>
      <c r="U23" s="1223">
        <v>0</v>
      </c>
      <c r="V23" s="760"/>
      <c r="W23" s="1223">
        <v>741</v>
      </c>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1139"/>
      <c r="BI23" s="760"/>
      <c r="BJ23" s="760"/>
      <c r="BK23" s="1223"/>
      <c r="BL23" s="1223"/>
      <c r="BM23" s="760"/>
      <c r="BN23" s="760"/>
      <c r="BO23" s="760"/>
      <c r="BP23" s="760"/>
      <c r="BQ23" s="1223">
        <v>1559</v>
      </c>
      <c r="BR23" s="760"/>
      <c r="BS23" s="760"/>
      <c r="BT23" s="760"/>
      <c r="BU23" s="760"/>
      <c r="BV23" s="760"/>
      <c r="BW23" s="760"/>
      <c r="BX23" s="760"/>
      <c r="BY23" s="760"/>
      <c r="BZ23" s="760"/>
      <c r="CA23" s="760"/>
      <c r="CB23" s="760"/>
      <c r="CC23" s="760"/>
    </row>
    <row r="24" spans="1:81" x14ac:dyDescent="0.2">
      <c r="A24" s="941" t="s">
        <v>1639</v>
      </c>
      <c r="B24" s="211">
        <f t="shared" si="11"/>
        <v>-13221</v>
      </c>
      <c r="C24" s="1139">
        <v>-11693</v>
      </c>
      <c r="D24" s="760"/>
      <c r="E24" s="1399"/>
      <c r="F24" s="1399">
        <v>-97</v>
      </c>
      <c r="G24" s="1399"/>
      <c r="H24" s="1399">
        <v>-121</v>
      </c>
      <c r="I24" s="1399"/>
      <c r="J24" s="760"/>
      <c r="K24" s="1223">
        <v>-4</v>
      </c>
      <c r="L24" s="760"/>
      <c r="M24" s="760"/>
      <c r="N24" s="1139">
        <v>-478</v>
      </c>
      <c r="O24" s="1502">
        <v>-278</v>
      </c>
      <c r="P24" s="760"/>
      <c r="Q24" s="760"/>
      <c r="R24" s="760"/>
      <c r="S24" s="760"/>
      <c r="T24" s="760"/>
      <c r="U24" s="1223">
        <v>0</v>
      </c>
      <c r="V24" s="760"/>
      <c r="W24" s="1223">
        <v>-272</v>
      </c>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1139"/>
      <c r="BI24" s="760"/>
      <c r="BJ24" s="760"/>
      <c r="BK24" s="1223"/>
      <c r="BL24" s="1223"/>
      <c r="BM24" s="760"/>
      <c r="BN24" s="760"/>
      <c r="BO24" s="760"/>
      <c r="BP24" s="760"/>
      <c r="BQ24" s="1223">
        <v>-278</v>
      </c>
      <c r="BR24" s="760"/>
      <c r="BS24" s="760"/>
      <c r="BT24" s="760"/>
      <c r="BU24" s="760"/>
      <c r="BV24" s="760"/>
      <c r="BW24" s="760"/>
      <c r="BX24" s="760"/>
      <c r="BY24" s="760"/>
      <c r="BZ24" s="760"/>
      <c r="CA24" s="760"/>
      <c r="CB24" s="760"/>
      <c r="CC24" s="760"/>
    </row>
    <row r="25" spans="1:81" x14ac:dyDescent="0.2">
      <c r="A25" s="1460" t="s">
        <v>1640</v>
      </c>
      <c r="B25" s="388">
        <f t="shared" ref="B25" si="12">SUM(B23:B24)</f>
        <v>66484</v>
      </c>
      <c r="C25" s="1103">
        <f t="shared" ref="C25:BN25" si="13">SUM(C23:C24)</f>
        <v>64346</v>
      </c>
      <c r="D25" s="1103">
        <f t="shared" si="13"/>
        <v>0</v>
      </c>
      <c r="E25" s="1103">
        <f t="shared" si="13"/>
        <v>0</v>
      </c>
      <c r="F25" s="1103">
        <f t="shared" si="13"/>
        <v>5</v>
      </c>
      <c r="G25" s="1103">
        <f t="shared" si="13"/>
        <v>0</v>
      </c>
      <c r="H25" s="1103">
        <f t="shared" si="13"/>
        <v>80</v>
      </c>
      <c r="I25" s="1103">
        <f t="shared" si="13"/>
        <v>0</v>
      </c>
      <c r="J25" s="1103">
        <f t="shared" si="13"/>
        <v>0</v>
      </c>
      <c r="K25" s="1103">
        <f t="shared" si="13"/>
        <v>8</v>
      </c>
      <c r="L25" s="1103">
        <f t="shared" si="13"/>
        <v>0</v>
      </c>
      <c r="M25" s="1103">
        <f t="shared" si="13"/>
        <v>0</v>
      </c>
      <c r="N25" s="1142">
        <f t="shared" ref="N25" si="14">SUM(N23:N24)</f>
        <v>259</v>
      </c>
      <c r="O25" s="1103">
        <f t="shared" si="13"/>
        <v>36</v>
      </c>
      <c r="P25" s="1103">
        <f t="shared" si="13"/>
        <v>0</v>
      </c>
      <c r="Q25" s="1103">
        <f t="shared" si="13"/>
        <v>0</v>
      </c>
      <c r="R25" s="1103">
        <f t="shared" si="13"/>
        <v>0</v>
      </c>
      <c r="S25" s="1103">
        <f t="shared" si="13"/>
        <v>0</v>
      </c>
      <c r="T25" s="1103">
        <f t="shared" si="13"/>
        <v>0</v>
      </c>
      <c r="U25" s="1103">
        <f t="shared" si="13"/>
        <v>0</v>
      </c>
      <c r="V25" s="1103">
        <f t="shared" si="13"/>
        <v>0</v>
      </c>
      <c r="W25" s="1103">
        <f t="shared" si="13"/>
        <v>469</v>
      </c>
      <c r="X25" s="1103">
        <f t="shared" si="13"/>
        <v>0</v>
      </c>
      <c r="Y25" s="1103">
        <f t="shared" si="13"/>
        <v>0</v>
      </c>
      <c r="Z25" s="1103">
        <f t="shared" si="13"/>
        <v>0</v>
      </c>
      <c r="AA25" s="1103">
        <f t="shared" si="13"/>
        <v>0</v>
      </c>
      <c r="AB25" s="1103">
        <f t="shared" si="13"/>
        <v>0</v>
      </c>
      <c r="AC25" s="1103">
        <f t="shared" si="13"/>
        <v>0</v>
      </c>
      <c r="AD25" s="1103">
        <f t="shared" si="13"/>
        <v>0</v>
      </c>
      <c r="AE25" s="1103">
        <f t="shared" si="13"/>
        <v>0</v>
      </c>
      <c r="AF25" s="1103">
        <f t="shared" si="13"/>
        <v>0</v>
      </c>
      <c r="AG25" s="1103">
        <f t="shared" si="13"/>
        <v>0</v>
      </c>
      <c r="AH25" s="1103">
        <f t="shared" si="13"/>
        <v>0</v>
      </c>
      <c r="AI25" s="1103">
        <f t="shared" si="13"/>
        <v>0</v>
      </c>
      <c r="AJ25" s="1103">
        <f t="shared" si="13"/>
        <v>0</v>
      </c>
      <c r="AK25" s="1103">
        <f t="shared" si="13"/>
        <v>0</v>
      </c>
      <c r="AL25" s="1103">
        <f t="shared" si="13"/>
        <v>0</v>
      </c>
      <c r="AM25" s="1103">
        <f t="shared" si="13"/>
        <v>0</v>
      </c>
      <c r="AN25" s="1103">
        <f t="shared" si="13"/>
        <v>0</v>
      </c>
      <c r="AO25" s="1103">
        <f t="shared" si="13"/>
        <v>0</v>
      </c>
      <c r="AP25" s="1103">
        <f t="shared" si="13"/>
        <v>0</v>
      </c>
      <c r="AQ25" s="1103">
        <f t="shared" si="13"/>
        <v>0</v>
      </c>
      <c r="AR25" s="1103">
        <f t="shared" si="13"/>
        <v>0</v>
      </c>
      <c r="AS25" s="1103">
        <f t="shared" si="13"/>
        <v>0</v>
      </c>
      <c r="AT25" s="1103">
        <f t="shared" si="13"/>
        <v>0</v>
      </c>
      <c r="AU25" s="1103">
        <f t="shared" si="13"/>
        <v>0</v>
      </c>
      <c r="AV25" s="1103">
        <f t="shared" si="13"/>
        <v>0</v>
      </c>
      <c r="AW25" s="1103">
        <f t="shared" si="13"/>
        <v>0</v>
      </c>
      <c r="AX25" s="1103">
        <f t="shared" si="13"/>
        <v>0</v>
      </c>
      <c r="AY25" s="1103">
        <f t="shared" si="13"/>
        <v>0</v>
      </c>
      <c r="AZ25" s="1103">
        <f t="shared" si="13"/>
        <v>0</v>
      </c>
      <c r="BA25" s="1103">
        <f t="shared" si="13"/>
        <v>0</v>
      </c>
      <c r="BB25" s="1103">
        <f t="shared" si="13"/>
        <v>0</v>
      </c>
      <c r="BC25" s="1103">
        <f t="shared" si="13"/>
        <v>0</v>
      </c>
      <c r="BD25" s="1103">
        <f t="shared" si="13"/>
        <v>0</v>
      </c>
      <c r="BE25" s="1103">
        <f t="shared" si="13"/>
        <v>0</v>
      </c>
      <c r="BF25" s="1103">
        <f t="shared" si="13"/>
        <v>0</v>
      </c>
      <c r="BG25" s="1103">
        <f t="shared" si="13"/>
        <v>0</v>
      </c>
      <c r="BH25" s="1103">
        <f t="shared" si="13"/>
        <v>0</v>
      </c>
      <c r="BI25" s="1103">
        <f t="shared" si="13"/>
        <v>0</v>
      </c>
      <c r="BJ25" s="1103">
        <f t="shared" ref="BJ25" si="15">SUM(BJ23:BJ24)</f>
        <v>0</v>
      </c>
      <c r="BK25" s="1103">
        <f t="shared" si="13"/>
        <v>0</v>
      </c>
      <c r="BL25" s="1103">
        <f t="shared" si="13"/>
        <v>0</v>
      </c>
      <c r="BM25" s="1103">
        <f t="shared" si="13"/>
        <v>0</v>
      </c>
      <c r="BN25" s="1103">
        <f t="shared" si="13"/>
        <v>0</v>
      </c>
      <c r="BO25" s="1103">
        <f t="shared" ref="BO25:CC25" si="16">SUM(BO23:BO24)</f>
        <v>0</v>
      </c>
      <c r="BP25" s="1103">
        <f t="shared" si="16"/>
        <v>0</v>
      </c>
      <c r="BQ25" s="1103">
        <f t="shared" si="16"/>
        <v>1281</v>
      </c>
      <c r="BR25" s="1103">
        <f t="shared" si="16"/>
        <v>0</v>
      </c>
      <c r="BS25" s="1103">
        <f t="shared" si="16"/>
        <v>0</v>
      </c>
      <c r="BT25" s="1103">
        <f t="shared" si="16"/>
        <v>0</v>
      </c>
      <c r="BU25" s="1103">
        <f t="shared" si="16"/>
        <v>0</v>
      </c>
      <c r="BV25" s="1103">
        <f t="shared" si="16"/>
        <v>0</v>
      </c>
      <c r="BW25" s="1103">
        <f t="shared" si="16"/>
        <v>0</v>
      </c>
      <c r="BX25" s="1103">
        <f t="shared" si="16"/>
        <v>0</v>
      </c>
      <c r="BY25" s="1103">
        <f t="shared" si="16"/>
        <v>0</v>
      </c>
      <c r="BZ25" s="1103">
        <f t="shared" si="16"/>
        <v>0</v>
      </c>
      <c r="CA25" s="1103">
        <f t="shared" si="16"/>
        <v>0</v>
      </c>
      <c r="CB25" s="1103">
        <f t="shared" si="16"/>
        <v>0</v>
      </c>
      <c r="CC25" s="1103">
        <f t="shared" si="16"/>
        <v>0</v>
      </c>
    </row>
    <row r="26" spans="1:81" x14ac:dyDescent="0.2">
      <c r="A26" s="1430"/>
      <c r="B26" s="760"/>
      <c r="C26" s="1139"/>
      <c r="D26" s="760"/>
      <c r="E26" s="1389"/>
      <c r="F26" s="1389"/>
      <c r="G26" s="1389"/>
      <c r="H26" s="1399"/>
      <c r="I26" s="1399"/>
      <c r="J26" s="760"/>
      <c r="K26" s="1223"/>
      <c r="L26" s="760"/>
      <c r="M26" s="760"/>
      <c r="N26" s="1139"/>
      <c r="O26" s="926"/>
      <c r="P26" s="760"/>
      <c r="Q26" s="760"/>
      <c r="R26" s="760"/>
      <c r="S26" s="760"/>
      <c r="T26" s="760"/>
      <c r="U26" s="1223"/>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1139"/>
      <c r="BI26" s="760"/>
      <c r="BJ26" s="760"/>
      <c r="BK26" s="1223"/>
      <c r="BL26" s="1223"/>
      <c r="BM26" s="760"/>
      <c r="BN26" s="760"/>
      <c r="BO26" s="760"/>
      <c r="BP26" s="760"/>
      <c r="BQ26" s="1223"/>
      <c r="BR26" s="760"/>
      <c r="BS26" s="760"/>
      <c r="BT26" s="760"/>
      <c r="BU26" s="760"/>
      <c r="BV26" s="760"/>
      <c r="BW26" s="760"/>
      <c r="BX26" s="760"/>
      <c r="BY26" s="760"/>
      <c r="BZ26" s="760"/>
      <c r="CA26" s="760"/>
      <c r="CB26" s="760"/>
      <c r="CC26" s="760"/>
    </row>
    <row r="27" spans="1:81" x14ac:dyDescent="0.2">
      <c r="A27" s="557" t="s">
        <v>868</v>
      </c>
      <c r="C27" s="928"/>
      <c r="D27" s="926"/>
      <c r="E27" s="1389"/>
      <c r="F27" s="1389"/>
      <c r="G27" s="1389"/>
      <c r="H27" s="1389"/>
      <c r="I27" s="1399"/>
      <c r="K27" s="1098"/>
      <c r="N27" s="1097"/>
      <c r="O27" s="926"/>
      <c r="U27" s="1098"/>
      <c r="AA27" s="1098"/>
      <c r="AB27" s="1098"/>
      <c r="AC27" s="1098"/>
      <c r="AD27" s="1098"/>
      <c r="AE27" s="1098"/>
      <c r="AF27" s="1098"/>
      <c r="AG27" s="1098"/>
      <c r="AH27" s="1098"/>
      <c r="AI27" s="1098"/>
      <c r="AJ27" s="1098"/>
      <c r="AK27" s="1098"/>
      <c r="AL27" s="1098"/>
      <c r="AM27" s="1098"/>
      <c r="AN27" s="1098"/>
      <c r="AO27" s="1098"/>
      <c r="AP27" s="1098"/>
      <c r="AQ27" s="1098"/>
      <c r="AR27" s="1098"/>
      <c r="AS27" s="1098"/>
      <c r="AT27" s="1098"/>
      <c r="AU27" s="1098"/>
      <c r="AV27" s="1098"/>
      <c r="AW27" s="926"/>
      <c r="BF27" s="1098"/>
      <c r="BH27" s="1097"/>
      <c r="BK27" s="1097"/>
      <c r="BL27" s="1098"/>
      <c r="BP27" s="1097"/>
      <c r="BQ27" s="1098"/>
    </row>
    <row r="28" spans="1:81" x14ac:dyDescent="0.2">
      <c r="A28" s="558" t="s">
        <v>1649</v>
      </c>
      <c r="B28" s="211">
        <f t="shared" ref="B28:B29" si="17">SUM(C28:CC28)</f>
        <v>220303</v>
      </c>
      <c r="C28" s="928">
        <v>64719</v>
      </c>
      <c r="D28" s="928">
        <v>15108</v>
      </c>
      <c r="E28" s="1389">
        <v>18699</v>
      </c>
      <c r="F28" s="1389">
        <v>33501</v>
      </c>
      <c r="G28" s="1389">
        <v>10687</v>
      </c>
      <c r="H28" s="1389"/>
      <c r="I28" s="1389">
        <v>30920</v>
      </c>
      <c r="J28" s="1098"/>
      <c r="K28" s="1098"/>
      <c r="N28" s="1097">
        <v>3531</v>
      </c>
      <c r="O28" s="926">
        <v>32161</v>
      </c>
      <c r="P28" s="211">
        <v>1009</v>
      </c>
      <c r="U28" s="1098"/>
      <c r="V28" s="211">
        <v>502</v>
      </c>
      <c r="Y28" s="211">
        <v>0</v>
      </c>
      <c r="Z28" s="211">
        <v>0</v>
      </c>
      <c r="AA28" s="1098">
        <v>0</v>
      </c>
      <c r="AB28" s="1098">
        <v>0</v>
      </c>
      <c r="AC28" s="1098">
        <v>0</v>
      </c>
      <c r="AD28" s="1098"/>
      <c r="AE28" s="1097">
        <v>3025</v>
      </c>
      <c r="AF28" s="1097">
        <v>5338</v>
      </c>
      <c r="AG28" s="1097"/>
      <c r="AH28" s="1097"/>
      <c r="AI28" s="1097"/>
      <c r="AJ28" s="1097"/>
      <c r="AK28" s="1097"/>
      <c r="AL28" s="1097"/>
      <c r="AM28" s="1097"/>
      <c r="AN28" s="1097"/>
      <c r="AO28" s="1097"/>
      <c r="AP28" s="1097"/>
      <c r="AQ28" s="1097"/>
      <c r="AR28" s="1097"/>
      <c r="AS28" s="1097"/>
      <c r="AT28" s="1097">
        <v>278</v>
      </c>
      <c r="AU28" s="1098"/>
      <c r="AV28" s="1098">
        <v>0</v>
      </c>
      <c r="AW28" s="1098">
        <v>0</v>
      </c>
      <c r="BD28" s="1098"/>
      <c r="BF28" s="1098"/>
      <c r="BH28" s="1097"/>
      <c r="BK28" s="1097"/>
      <c r="BL28" s="1098"/>
      <c r="BM28" s="211">
        <v>825</v>
      </c>
      <c r="BP28" s="1097"/>
      <c r="BQ28" s="1098"/>
      <c r="BZ28" s="196"/>
    </row>
    <row r="29" spans="1:81" x14ac:dyDescent="0.2">
      <c r="A29" s="558" t="s">
        <v>731</v>
      </c>
      <c r="B29" s="211">
        <f t="shared" si="17"/>
        <v>0</v>
      </c>
      <c r="C29" s="928"/>
      <c r="D29" s="928"/>
      <c r="E29" s="1389"/>
      <c r="F29" s="1389"/>
      <c r="G29" s="1389"/>
      <c r="H29" s="1389"/>
      <c r="I29" s="1399"/>
      <c r="K29" s="1098"/>
      <c r="N29" s="1097"/>
      <c r="O29" s="926"/>
      <c r="U29" s="1098"/>
      <c r="AA29" s="1098"/>
      <c r="AB29" s="1098"/>
      <c r="AC29" s="1098"/>
      <c r="AD29" s="1097"/>
      <c r="AE29" s="1097"/>
      <c r="AF29" s="1097"/>
      <c r="AG29" s="1097"/>
      <c r="AH29" s="1097"/>
      <c r="AI29" s="1097"/>
      <c r="AJ29" s="1097"/>
      <c r="AK29" s="1097"/>
      <c r="AL29" s="1097"/>
      <c r="AM29" s="1097"/>
      <c r="AN29" s="1097"/>
      <c r="AO29" s="1097"/>
      <c r="AP29" s="1097"/>
      <c r="AQ29" s="1097"/>
      <c r="AR29" s="1097"/>
      <c r="AS29" s="1097"/>
      <c r="AT29" s="1097"/>
      <c r="AU29" s="1098"/>
      <c r="AV29" s="1098"/>
      <c r="AW29" s="926"/>
      <c r="BD29" s="1098"/>
      <c r="BF29" s="1098"/>
      <c r="BH29" s="1097"/>
      <c r="BK29" s="1097">
        <v>0</v>
      </c>
      <c r="BL29" s="1098"/>
      <c r="BP29" s="1097"/>
      <c r="BQ29" s="1098"/>
      <c r="BZ29" s="196"/>
    </row>
    <row r="30" spans="1:81" x14ac:dyDescent="0.2">
      <c r="A30" s="557" t="s">
        <v>735</v>
      </c>
      <c r="B30" s="564">
        <f>SUM(B28:B29)</f>
        <v>220303</v>
      </c>
      <c r="C30" s="1503">
        <f>SUM(C28:C29)</f>
        <v>64719</v>
      </c>
      <c r="D30" s="1503">
        <f t="shared" ref="D30:BO30" si="18">SUM(D28:D29)</f>
        <v>15108</v>
      </c>
      <c r="E30" s="1503">
        <f t="shared" si="18"/>
        <v>18699</v>
      </c>
      <c r="F30" s="1503">
        <f t="shared" si="18"/>
        <v>33501</v>
      </c>
      <c r="G30" s="1503">
        <f t="shared" si="18"/>
        <v>10687</v>
      </c>
      <c r="H30" s="1503">
        <f t="shared" si="18"/>
        <v>0</v>
      </c>
      <c r="I30" s="1503">
        <f t="shared" si="18"/>
        <v>30920</v>
      </c>
      <c r="J30" s="1503">
        <f t="shared" si="18"/>
        <v>0</v>
      </c>
      <c r="K30" s="1503">
        <f t="shared" si="18"/>
        <v>0</v>
      </c>
      <c r="L30" s="1503">
        <f t="shared" si="18"/>
        <v>0</v>
      </c>
      <c r="M30" s="1503">
        <f t="shared" si="18"/>
        <v>0</v>
      </c>
      <c r="N30" s="1503">
        <f t="shared" ref="N30" si="19">SUM(N28:N29)</f>
        <v>3531</v>
      </c>
      <c r="O30" s="1503">
        <f t="shared" si="18"/>
        <v>32161</v>
      </c>
      <c r="P30" s="1503">
        <f t="shared" si="18"/>
        <v>1009</v>
      </c>
      <c r="Q30" s="1503">
        <f t="shared" si="18"/>
        <v>0</v>
      </c>
      <c r="R30" s="1503">
        <f t="shared" si="18"/>
        <v>0</v>
      </c>
      <c r="S30" s="1503">
        <f t="shared" si="18"/>
        <v>0</v>
      </c>
      <c r="T30" s="1503">
        <f t="shared" si="18"/>
        <v>0</v>
      </c>
      <c r="U30" s="1503">
        <f t="shared" si="18"/>
        <v>0</v>
      </c>
      <c r="V30" s="1503">
        <f t="shared" si="18"/>
        <v>502</v>
      </c>
      <c r="W30" s="1503">
        <f t="shared" si="18"/>
        <v>0</v>
      </c>
      <c r="X30" s="1503">
        <f t="shared" si="18"/>
        <v>0</v>
      </c>
      <c r="Y30" s="1503">
        <f t="shared" si="18"/>
        <v>0</v>
      </c>
      <c r="Z30" s="1503">
        <f t="shared" si="18"/>
        <v>0</v>
      </c>
      <c r="AA30" s="1503">
        <f t="shared" si="18"/>
        <v>0</v>
      </c>
      <c r="AB30" s="1503">
        <f t="shared" si="18"/>
        <v>0</v>
      </c>
      <c r="AC30" s="1503">
        <f t="shared" si="18"/>
        <v>0</v>
      </c>
      <c r="AD30" s="1503">
        <f t="shared" si="18"/>
        <v>0</v>
      </c>
      <c r="AE30" s="1503">
        <f t="shared" ref="AE30:AT30" si="20">SUM(AE28:AE29)</f>
        <v>3025</v>
      </c>
      <c r="AF30" s="1503">
        <f t="shared" si="20"/>
        <v>5338</v>
      </c>
      <c r="AG30" s="1503">
        <f t="shared" si="20"/>
        <v>0</v>
      </c>
      <c r="AH30" s="1503">
        <f t="shared" si="20"/>
        <v>0</v>
      </c>
      <c r="AI30" s="1503">
        <f t="shared" si="20"/>
        <v>0</v>
      </c>
      <c r="AJ30" s="1503">
        <f t="shared" si="20"/>
        <v>0</v>
      </c>
      <c r="AK30" s="1503">
        <f t="shared" si="20"/>
        <v>0</v>
      </c>
      <c r="AL30" s="1503">
        <f t="shared" si="20"/>
        <v>0</v>
      </c>
      <c r="AM30" s="1503">
        <f t="shared" si="20"/>
        <v>0</v>
      </c>
      <c r="AN30" s="1503">
        <f t="shared" si="20"/>
        <v>0</v>
      </c>
      <c r="AO30" s="1503">
        <f t="shared" si="20"/>
        <v>0</v>
      </c>
      <c r="AP30" s="1503">
        <f t="shared" si="20"/>
        <v>0</v>
      </c>
      <c r="AQ30" s="1503">
        <f t="shared" si="20"/>
        <v>0</v>
      </c>
      <c r="AR30" s="1503">
        <f t="shared" si="20"/>
        <v>0</v>
      </c>
      <c r="AS30" s="1503">
        <f t="shared" si="20"/>
        <v>0</v>
      </c>
      <c r="AT30" s="1503">
        <f t="shared" si="20"/>
        <v>278</v>
      </c>
      <c r="AU30" s="1503">
        <f t="shared" si="18"/>
        <v>0</v>
      </c>
      <c r="AV30" s="1503">
        <f t="shared" si="18"/>
        <v>0</v>
      </c>
      <c r="AW30" s="1503">
        <f t="shared" si="18"/>
        <v>0</v>
      </c>
      <c r="AX30" s="1503">
        <f t="shared" si="18"/>
        <v>0</v>
      </c>
      <c r="AY30" s="1503">
        <f t="shared" si="18"/>
        <v>0</v>
      </c>
      <c r="AZ30" s="1503">
        <f t="shared" si="18"/>
        <v>0</v>
      </c>
      <c r="BA30" s="1503">
        <f t="shared" si="18"/>
        <v>0</v>
      </c>
      <c r="BB30" s="1503">
        <f t="shared" si="18"/>
        <v>0</v>
      </c>
      <c r="BC30" s="1503">
        <f t="shared" si="18"/>
        <v>0</v>
      </c>
      <c r="BD30" s="1503">
        <f t="shared" si="18"/>
        <v>0</v>
      </c>
      <c r="BE30" s="1503">
        <f t="shared" si="18"/>
        <v>0</v>
      </c>
      <c r="BF30" s="1503">
        <f t="shared" si="18"/>
        <v>0</v>
      </c>
      <c r="BG30" s="1503">
        <f t="shared" si="18"/>
        <v>0</v>
      </c>
      <c r="BH30" s="1503">
        <f t="shared" si="18"/>
        <v>0</v>
      </c>
      <c r="BI30" s="1503">
        <f t="shared" si="18"/>
        <v>0</v>
      </c>
      <c r="BJ30" s="1503">
        <f t="shared" ref="BJ30" si="21">SUM(BJ28:BJ29)</f>
        <v>0</v>
      </c>
      <c r="BK30" s="1503">
        <f t="shared" si="18"/>
        <v>0</v>
      </c>
      <c r="BL30" s="1503">
        <f t="shared" si="18"/>
        <v>0</v>
      </c>
      <c r="BM30" s="1503">
        <f t="shared" si="18"/>
        <v>825</v>
      </c>
      <c r="BN30" s="1503">
        <f t="shared" si="18"/>
        <v>0</v>
      </c>
      <c r="BO30" s="1503">
        <f t="shared" si="18"/>
        <v>0</v>
      </c>
      <c r="BP30" s="1503">
        <f t="shared" ref="BP30:CC30" si="22">SUM(BP28:BP29)</f>
        <v>0</v>
      </c>
      <c r="BQ30" s="1503">
        <f t="shared" si="22"/>
        <v>0</v>
      </c>
      <c r="BR30" s="1503">
        <f t="shared" si="22"/>
        <v>0</v>
      </c>
      <c r="BS30" s="1503">
        <f t="shared" si="22"/>
        <v>0</v>
      </c>
      <c r="BT30" s="1503">
        <f t="shared" si="22"/>
        <v>0</v>
      </c>
      <c r="BU30" s="1503">
        <f t="shared" si="22"/>
        <v>0</v>
      </c>
      <c r="BV30" s="1503">
        <f t="shared" si="22"/>
        <v>0</v>
      </c>
      <c r="BW30" s="1503">
        <f t="shared" si="22"/>
        <v>0</v>
      </c>
      <c r="BX30" s="1503">
        <f t="shared" si="22"/>
        <v>0</v>
      </c>
      <c r="BY30" s="1503">
        <f t="shared" si="22"/>
        <v>0</v>
      </c>
      <c r="BZ30" s="1503">
        <f t="shared" si="22"/>
        <v>0</v>
      </c>
      <c r="CA30" s="1503">
        <f t="shared" si="22"/>
        <v>0</v>
      </c>
      <c r="CB30" s="1503">
        <f t="shared" si="22"/>
        <v>0</v>
      </c>
      <c r="CC30" s="1503">
        <f t="shared" si="22"/>
        <v>0</v>
      </c>
    </row>
    <row r="31" spans="1:81" x14ac:dyDescent="0.2">
      <c r="A31" s="557"/>
      <c r="B31" s="1221"/>
      <c r="C31" s="1504"/>
      <c r="D31" s="1048"/>
      <c r="E31" s="1389"/>
      <c r="F31" s="1389"/>
      <c r="G31" s="1389"/>
      <c r="H31" s="1399"/>
      <c r="I31" s="1399"/>
      <c r="J31" s="760"/>
      <c r="K31" s="1223"/>
      <c r="L31" s="760"/>
      <c r="M31" s="760"/>
      <c r="N31" s="1139"/>
      <c r="O31" s="1222"/>
      <c r="P31" s="760"/>
      <c r="Q31" s="760"/>
      <c r="R31" s="760"/>
      <c r="S31" s="760"/>
      <c r="T31" s="760"/>
      <c r="U31" s="1223"/>
      <c r="V31" s="760"/>
      <c r="W31" s="760"/>
      <c r="X31" s="760"/>
      <c r="Y31" s="760"/>
      <c r="Z31" s="760"/>
      <c r="AA31" s="1223"/>
      <c r="AB31" s="1223"/>
      <c r="AC31" s="1223"/>
      <c r="AD31" s="1139"/>
      <c r="AE31" s="1139"/>
      <c r="AF31" s="1139"/>
      <c r="AG31" s="1139"/>
      <c r="AH31" s="1139"/>
      <c r="AI31" s="1139"/>
      <c r="AJ31" s="1139"/>
      <c r="AK31" s="1139"/>
      <c r="AL31" s="1139"/>
      <c r="AM31" s="1139"/>
      <c r="AN31" s="1139"/>
      <c r="AO31" s="1139"/>
      <c r="AP31" s="1139"/>
      <c r="AQ31" s="1139"/>
      <c r="AR31" s="1139"/>
      <c r="AS31" s="1139"/>
      <c r="AT31" s="1139"/>
      <c r="AU31" s="1223"/>
      <c r="AV31" s="1223"/>
      <c r="AW31" s="1222"/>
      <c r="AX31" s="760"/>
      <c r="AY31" s="760"/>
      <c r="AZ31" s="760"/>
      <c r="BA31" s="760"/>
      <c r="BB31" s="760"/>
      <c r="BC31" s="760"/>
      <c r="BD31" s="1223"/>
      <c r="BE31" s="760"/>
      <c r="BF31" s="1223"/>
      <c r="BG31" s="760"/>
      <c r="BH31" s="1139"/>
      <c r="BI31" s="760"/>
      <c r="BJ31" s="760"/>
      <c r="BK31" s="1139"/>
      <c r="BL31" s="1223"/>
      <c r="BM31" s="760"/>
      <c r="BN31" s="760"/>
      <c r="BO31" s="760"/>
      <c r="BP31" s="1139"/>
      <c r="BQ31" s="1223"/>
      <c r="BR31" s="760"/>
      <c r="BS31" s="760"/>
      <c r="BT31" s="760"/>
      <c r="BU31" s="760"/>
      <c r="BV31" s="760"/>
      <c r="BW31" s="760"/>
      <c r="BX31" s="760"/>
      <c r="BY31" s="760"/>
      <c r="BZ31" s="197"/>
      <c r="CA31" s="760"/>
      <c r="CB31" s="760"/>
      <c r="CC31" s="760"/>
    </row>
    <row r="32" spans="1:81" x14ac:dyDescent="0.2">
      <c r="A32" s="557" t="s">
        <v>1427</v>
      </c>
      <c r="B32" s="211">
        <f t="shared" ref="B32" si="23">SUM(C32:CC32)</f>
        <v>0</v>
      </c>
      <c r="C32" s="1504"/>
      <c r="D32" s="1048"/>
      <c r="E32" s="1389"/>
      <c r="F32" s="1389"/>
      <c r="G32" s="1389"/>
      <c r="H32" s="1399"/>
      <c r="I32" s="1399"/>
      <c r="J32" s="760"/>
      <c r="K32" s="1223"/>
      <c r="L32" s="760"/>
      <c r="M32" s="760"/>
      <c r="N32" s="1139"/>
      <c r="O32" s="1222"/>
      <c r="P32" s="760"/>
      <c r="Q32" s="760"/>
      <c r="R32" s="760"/>
      <c r="S32" s="760"/>
      <c r="T32" s="760"/>
      <c r="U32" s="1223"/>
      <c r="V32" s="760"/>
      <c r="W32" s="760"/>
      <c r="X32" s="760"/>
      <c r="Y32" s="760"/>
      <c r="Z32" s="760"/>
      <c r="AA32" s="1223"/>
      <c r="AB32" s="1223"/>
      <c r="AC32" s="1223"/>
      <c r="AD32" s="1139"/>
      <c r="AE32" s="1139"/>
      <c r="AF32" s="1139"/>
      <c r="AG32" s="1139"/>
      <c r="AH32" s="1139"/>
      <c r="AI32" s="1139"/>
      <c r="AJ32" s="1139"/>
      <c r="AK32" s="1139"/>
      <c r="AL32" s="1139"/>
      <c r="AM32" s="1139"/>
      <c r="AN32" s="1139"/>
      <c r="AO32" s="1139"/>
      <c r="AP32" s="1139"/>
      <c r="AQ32" s="1139"/>
      <c r="AR32" s="1139"/>
      <c r="AS32" s="1139"/>
      <c r="AT32" s="1139"/>
      <c r="AU32" s="1223"/>
      <c r="AV32" s="1223"/>
      <c r="AW32" s="1222"/>
      <c r="AX32" s="760"/>
      <c r="AY32" s="760"/>
      <c r="AZ32" s="760"/>
      <c r="BA32" s="760"/>
      <c r="BB32" s="760"/>
      <c r="BC32" s="760"/>
      <c r="BD32" s="1223"/>
      <c r="BE32" s="760"/>
      <c r="BF32" s="1223"/>
      <c r="BG32" s="760"/>
      <c r="BH32" s="1139"/>
      <c r="BI32" s="760"/>
      <c r="BJ32" s="760"/>
      <c r="BK32" s="1139"/>
      <c r="BL32" s="1223"/>
      <c r="BM32" s="760"/>
      <c r="BN32" s="760"/>
      <c r="BO32" s="760"/>
      <c r="BP32" s="1139"/>
      <c r="BQ32" s="1223"/>
      <c r="BR32" s="760"/>
      <c r="BS32" s="760"/>
      <c r="BT32" s="760"/>
      <c r="BU32" s="760"/>
      <c r="BV32" s="760"/>
      <c r="BW32" s="760"/>
      <c r="BX32" s="760"/>
      <c r="BY32" s="760"/>
      <c r="BZ32" s="197"/>
      <c r="CA32" s="760"/>
      <c r="CB32" s="760"/>
      <c r="CC32" s="760"/>
    </row>
    <row r="33" spans="1:78" x14ac:dyDescent="0.2">
      <c r="C33" s="928"/>
      <c r="D33" s="928"/>
      <c r="E33" s="1389"/>
      <c r="F33" s="1389"/>
      <c r="G33" s="1389"/>
      <c r="H33" s="1399"/>
      <c r="I33" s="1399"/>
      <c r="K33" s="1098"/>
      <c r="N33" s="1097"/>
      <c r="O33" s="926"/>
      <c r="U33" s="1098"/>
      <c r="AA33" s="1098"/>
      <c r="AB33" s="1098"/>
      <c r="AC33" s="1098"/>
      <c r="AD33" s="1097"/>
      <c r="AE33" s="1097"/>
      <c r="AF33" s="1097"/>
      <c r="AG33" s="1097"/>
      <c r="AH33" s="1097"/>
      <c r="AI33" s="1097"/>
      <c r="AJ33" s="1097"/>
      <c r="AK33" s="1097"/>
      <c r="AL33" s="1097"/>
      <c r="AM33" s="1097"/>
      <c r="AN33" s="1097"/>
      <c r="AO33" s="1097"/>
      <c r="AP33" s="1097"/>
      <c r="AQ33" s="1097"/>
      <c r="AR33" s="1097"/>
      <c r="AS33" s="1097"/>
      <c r="AT33" s="1097"/>
      <c r="AU33" s="1098"/>
      <c r="AV33" s="1098"/>
      <c r="AW33" s="926"/>
      <c r="BD33" s="1098"/>
      <c r="BH33" s="1097"/>
      <c r="BK33" s="1097"/>
      <c r="BL33" s="1098"/>
      <c r="BP33" s="1097"/>
      <c r="BQ33" s="1098"/>
      <c r="BZ33" s="196"/>
    </row>
    <row r="34" spans="1:78" ht="25.5" x14ac:dyDescent="0.2">
      <c r="A34" s="563" t="s">
        <v>732</v>
      </c>
      <c r="B34" s="211">
        <f t="shared" ref="B34" si="24">SUM(C34:CC34)</f>
        <v>0</v>
      </c>
      <c r="C34" s="928"/>
      <c r="D34" s="928"/>
      <c r="E34" s="1389"/>
      <c r="F34" s="1389"/>
      <c r="G34" s="1389"/>
      <c r="H34" s="1399"/>
      <c r="I34" s="1399"/>
      <c r="K34" s="1098"/>
      <c r="N34" s="1097"/>
      <c r="O34" s="926"/>
      <c r="U34" s="1098"/>
      <c r="AA34" s="1098"/>
      <c r="AB34" s="1098"/>
      <c r="AC34" s="1098"/>
      <c r="AD34" s="1097"/>
      <c r="AE34" s="1097"/>
      <c r="AF34" s="1097"/>
      <c r="AG34" s="1097"/>
      <c r="AH34" s="1097"/>
      <c r="AI34" s="1097"/>
      <c r="AJ34" s="1097"/>
      <c r="AK34" s="1097"/>
      <c r="AL34" s="1097"/>
      <c r="AM34" s="1097"/>
      <c r="AN34" s="1097"/>
      <c r="AO34" s="1097"/>
      <c r="AP34" s="1097"/>
      <c r="AQ34" s="1097"/>
      <c r="AR34" s="1097"/>
      <c r="AS34" s="1097"/>
      <c r="AT34" s="1097"/>
      <c r="AU34" s="1098"/>
      <c r="AV34" s="1098"/>
      <c r="AW34" s="926"/>
      <c r="BD34" s="1098"/>
      <c r="BH34" s="1097"/>
      <c r="BJ34" s="211">
        <v>0</v>
      </c>
      <c r="BK34" s="1097"/>
      <c r="BL34" s="1098"/>
      <c r="BP34" s="1097"/>
      <c r="BQ34" s="1098"/>
      <c r="BZ34" s="196"/>
    </row>
    <row r="35" spans="1:78" x14ac:dyDescent="0.2">
      <c r="C35" s="928"/>
      <c r="D35" s="928"/>
      <c r="E35" s="1389"/>
      <c r="F35" s="1389"/>
      <c r="G35" s="1389"/>
      <c r="H35" s="1399"/>
      <c r="I35" s="1399"/>
      <c r="K35" s="1098"/>
      <c r="N35" s="1097"/>
      <c r="O35" s="926"/>
      <c r="U35" s="1098"/>
      <c r="AA35" s="1098"/>
      <c r="AB35" s="1098"/>
      <c r="AC35" s="1098"/>
      <c r="AD35" s="1097"/>
      <c r="AE35" s="1097"/>
      <c r="AF35" s="1097"/>
      <c r="AG35" s="1097"/>
      <c r="AH35" s="1097"/>
      <c r="AI35" s="1097"/>
      <c r="AJ35" s="1097"/>
      <c r="AK35" s="1097"/>
      <c r="AL35" s="1097"/>
      <c r="AM35" s="1097"/>
      <c r="AN35" s="1097"/>
      <c r="AO35" s="1097"/>
      <c r="AP35" s="1097"/>
      <c r="AQ35" s="1097"/>
      <c r="AR35" s="1097"/>
      <c r="AS35" s="1097"/>
      <c r="AT35" s="1097"/>
      <c r="AU35" s="1098"/>
      <c r="AV35" s="1098"/>
      <c r="AW35" s="926"/>
      <c r="BD35" s="1098"/>
      <c r="BH35" s="1097"/>
      <c r="BK35" s="1097"/>
      <c r="BL35" s="1098"/>
      <c r="BP35" s="1097"/>
      <c r="BQ35" s="1098"/>
      <c r="BZ35" s="196"/>
    </row>
    <row r="36" spans="1:78" x14ac:dyDescent="0.2">
      <c r="A36" s="557" t="s">
        <v>733</v>
      </c>
      <c r="B36" s="556">
        <f t="shared" ref="B36" si="25">SUM(C36:CC36)</f>
        <v>185758</v>
      </c>
      <c r="C36" s="928"/>
      <c r="D36" s="928"/>
      <c r="E36" s="1389"/>
      <c r="F36" s="1389"/>
      <c r="G36" s="1389"/>
      <c r="H36" s="1399"/>
      <c r="I36" s="1399"/>
      <c r="K36" s="1098"/>
      <c r="N36" s="1097"/>
      <c r="O36" s="926"/>
      <c r="U36" s="1098"/>
      <c r="AA36" s="1098"/>
      <c r="AB36" s="1098"/>
      <c r="AC36" s="1098"/>
      <c r="AD36" s="1097"/>
      <c r="AE36" s="1097"/>
      <c r="AF36" s="1097"/>
      <c r="AG36" s="1097"/>
      <c r="AH36" s="1097"/>
      <c r="AI36" s="1097"/>
      <c r="AJ36" s="1097"/>
      <c r="AK36" s="1097"/>
      <c r="AL36" s="1097"/>
      <c r="AM36" s="1097"/>
      <c r="AN36" s="1097"/>
      <c r="AO36" s="1097"/>
      <c r="AP36" s="1097"/>
      <c r="AQ36" s="1097"/>
      <c r="AR36" s="1097"/>
      <c r="AS36" s="1097"/>
      <c r="AT36" s="1097"/>
      <c r="AU36" s="1098"/>
      <c r="AV36" s="1098"/>
      <c r="AW36" s="926"/>
      <c r="BD36" s="1098"/>
      <c r="BH36" s="1097"/>
      <c r="BK36" s="1097"/>
      <c r="BL36" s="1098"/>
      <c r="BP36" s="1097"/>
      <c r="BQ36" s="1098"/>
      <c r="BT36" s="211">
        <f>SONPws!BT114</f>
        <v>23108</v>
      </c>
      <c r="BU36" s="211">
        <f>SONPws!BU114</f>
        <v>1347</v>
      </c>
      <c r="BV36" s="211">
        <f>SONPws!BV114</f>
        <v>2783</v>
      </c>
      <c r="BW36" s="211">
        <f>SONPws!BW114</f>
        <v>-28978</v>
      </c>
      <c r="BX36" s="211">
        <f>SONPws!BX114</f>
        <v>208504</v>
      </c>
      <c r="BY36" s="211">
        <f>SONPws!BY114</f>
        <v>-21006</v>
      </c>
      <c r="BZ36" s="196"/>
    </row>
    <row r="37" spans="1:78" x14ac:dyDescent="0.2">
      <c r="A37" s="557"/>
      <c r="B37" s="556"/>
      <c r="C37" s="928"/>
      <c r="D37" s="928"/>
      <c r="E37" s="1389"/>
      <c r="F37" s="1389"/>
      <c r="G37" s="1389"/>
      <c r="H37" s="1399"/>
      <c r="I37" s="1399"/>
      <c r="K37" s="1098"/>
      <c r="N37" s="1097"/>
      <c r="O37" s="926"/>
      <c r="U37" s="1098"/>
      <c r="AA37" s="1098"/>
      <c r="AB37" s="1098"/>
      <c r="AC37" s="1098"/>
      <c r="AD37" s="1097"/>
      <c r="AE37" s="1097"/>
      <c r="AF37" s="1097"/>
      <c r="AG37" s="1097"/>
      <c r="AH37" s="1097"/>
      <c r="AI37" s="1097"/>
      <c r="AJ37" s="1097"/>
      <c r="AK37" s="1097"/>
      <c r="AL37" s="1097"/>
      <c r="AM37" s="1097"/>
      <c r="AN37" s="1097"/>
      <c r="AO37" s="1097"/>
      <c r="AP37" s="1097"/>
      <c r="AQ37" s="1097"/>
      <c r="AR37" s="1097"/>
      <c r="AS37" s="1097"/>
      <c r="AT37" s="1097"/>
      <c r="AU37" s="1098"/>
      <c r="AV37" s="1098"/>
      <c r="AW37" s="926"/>
      <c r="BD37" s="1098"/>
      <c r="BH37" s="1097"/>
      <c r="BK37" s="1097"/>
      <c r="BL37" s="1098"/>
      <c r="BP37" s="1097"/>
      <c r="BQ37" s="1098"/>
      <c r="BY37" s="1080"/>
      <c r="BZ37" s="196"/>
    </row>
    <row r="38" spans="1:78" x14ac:dyDescent="0.2">
      <c r="A38" s="557" t="s">
        <v>1227</v>
      </c>
      <c r="B38" s="556">
        <f t="shared" ref="B38:B40" si="26">SUM(C38:CC38)</f>
        <v>823571</v>
      </c>
      <c r="C38" s="928"/>
      <c r="D38" s="928">
        <v>27091</v>
      </c>
      <c r="E38" s="1389"/>
      <c r="F38" s="1389"/>
      <c r="G38" s="1389"/>
      <c r="H38" s="1399"/>
      <c r="I38" s="1399"/>
      <c r="K38" s="1098"/>
      <c r="N38" s="1097"/>
      <c r="O38" s="926"/>
      <c r="U38" s="1098"/>
      <c r="AA38" s="1098"/>
      <c r="AB38" s="1098"/>
      <c r="AC38" s="1098"/>
      <c r="AD38" s="1097"/>
      <c r="AE38" s="1097"/>
      <c r="AF38" s="1097"/>
      <c r="AG38" s="1097"/>
      <c r="AH38" s="1097"/>
      <c r="AI38" s="1097"/>
      <c r="AJ38" s="1097"/>
      <c r="AK38" s="1097"/>
      <c r="AL38" s="1097"/>
      <c r="AM38" s="1097"/>
      <c r="AN38" s="1097"/>
      <c r="AO38" s="1097"/>
      <c r="AP38" s="1097"/>
      <c r="AQ38" s="1097"/>
      <c r="AR38" s="1097"/>
      <c r="AS38" s="1097"/>
      <c r="AT38" s="1097"/>
      <c r="AU38" s="1098"/>
      <c r="AV38" s="1098"/>
      <c r="AW38" s="926"/>
      <c r="BD38" s="928"/>
      <c r="BH38" s="1097"/>
      <c r="BK38" s="928">
        <v>0</v>
      </c>
      <c r="BL38" s="928">
        <v>394</v>
      </c>
      <c r="BP38" s="1097"/>
      <c r="BQ38" s="1098"/>
      <c r="BR38" s="1097">
        <v>7058</v>
      </c>
      <c r="BY38" s="1080"/>
      <c r="BZ38" s="1097">
        <v>789028</v>
      </c>
    </row>
    <row r="39" spans="1:78" x14ac:dyDescent="0.2">
      <c r="A39" s="557"/>
      <c r="B39" s="556"/>
      <c r="C39" s="928"/>
      <c r="D39" s="928"/>
      <c r="E39" s="1389"/>
      <c r="F39" s="1389"/>
      <c r="G39" s="1389"/>
      <c r="H39" s="1399"/>
      <c r="I39" s="1399"/>
      <c r="K39" s="1098"/>
      <c r="N39" s="1097"/>
      <c r="O39" s="926"/>
      <c r="U39" s="1098"/>
      <c r="AA39" s="1098"/>
      <c r="AB39" s="1098"/>
      <c r="AC39" s="1098"/>
      <c r="AD39" s="1097"/>
      <c r="AE39" s="1097"/>
      <c r="AF39" s="1097"/>
      <c r="AG39" s="1097"/>
      <c r="AH39" s="1097"/>
      <c r="AI39" s="1097"/>
      <c r="AJ39" s="1097"/>
      <c r="AK39" s="1097"/>
      <c r="AL39" s="1097"/>
      <c r="AM39" s="1097"/>
      <c r="AN39" s="1097"/>
      <c r="AO39" s="1097"/>
      <c r="AP39" s="1097"/>
      <c r="AQ39" s="1097"/>
      <c r="AR39" s="1097"/>
      <c r="AS39" s="1097"/>
      <c r="AT39" s="1097"/>
      <c r="AU39" s="1098"/>
      <c r="AV39" s="1098"/>
      <c r="AW39" s="926"/>
      <c r="BD39" s="928"/>
      <c r="BH39" s="1097"/>
      <c r="BK39" s="928"/>
      <c r="BL39" s="928"/>
      <c r="BP39" s="1097"/>
      <c r="BQ39" s="1098"/>
      <c r="BR39" s="1097"/>
      <c r="BY39" s="1080"/>
      <c r="BZ39" s="1097"/>
    </row>
    <row r="40" spans="1:78" x14ac:dyDescent="0.2">
      <c r="A40" s="557" t="s">
        <v>1271</v>
      </c>
      <c r="B40" s="556">
        <f t="shared" si="26"/>
        <v>-412402</v>
      </c>
      <c r="C40" s="928"/>
      <c r="D40" s="928"/>
      <c r="E40" s="1389"/>
      <c r="F40" s="1389"/>
      <c r="G40" s="1389"/>
      <c r="H40" s="1399"/>
      <c r="I40" s="1399"/>
      <c r="K40" s="1098"/>
      <c r="N40" s="1097"/>
      <c r="O40" s="926"/>
      <c r="U40" s="1098"/>
      <c r="AA40" s="1098"/>
      <c r="AB40" s="1098"/>
      <c r="AC40" s="1098"/>
      <c r="AD40" s="1097"/>
      <c r="AE40" s="1097"/>
      <c r="AF40" s="1097"/>
      <c r="AG40" s="1097"/>
      <c r="AH40" s="1097"/>
      <c r="AI40" s="1097"/>
      <c r="AJ40" s="1097"/>
      <c r="AK40" s="1097"/>
      <c r="AL40" s="1097"/>
      <c r="AM40" s="1097"/>
      <c r="AN40" s="1097"/>
      <c r="AO40" s="1097"/>
      <c r="AP40" s="1097"/>
      <c r="AQ40" s="1097"/>
      <c r="AR40" s="1097"/>
      <c r="AS40" s="1097"/>
      <c r="AT40" s="1097"/>
      <c r="AU40" s="1098"/>
      <c r="AV40" s="1098"/>
      <c r="AW40" s="926"/>
      <c r="BD40" s="928"/>
      <c r="BH40" s="1097"/>
      <c r="BK40" s="928"/>
      <c r="BL40" s="928"/>
      <c r="BP40" s="1097"/>
      <c r="BQ40" s="1098"/>
      <c r="BR40" s="1097"/>
      <c r="BY40" s="1080"/>
      <c r="BZ40" s="1097">
        <v>-412402</v>
      </c>
    </row>
    <row r="41" spans="1:78" x14ac:dyDescent="0.2">
      <c r="C41" s="928"/>
      <c r="D41" s="928"/>
      <c r="E41" s="1389"/>
      <c r="F41" s="1389"/>
      <c r="G41" s="1389"/>
      <c r="H41" s="1399"/>
      <c r="I41" s="1399"/>
      <c r="K41" s="1098"/>
      <c r="N41" s="1097"/>
      <c r="O41" s="926"/>
      <c r="U41" s="1098"/>
      <c r="AA41" s="1098"/>
      <c r="AB41" s="1098"/>
      <c r="AC41" s="1098"/>
      <c r="AD41" s="1097"/>
      <c r="AE41" s="1097"/>
      <c r="AF41" s="1097"/>
      <c r="AG41" s="1097"/>
      <c r="AH41" s="1097"/>
      <c r="AI41" s="1097"/>
      <c r="AJ41" s="1097"/>
      <c r="AK41" s="1097"/>
      <c r="AL41" s="1097"/>
      <c r="AM41" s="1097"/>
      <c r="AN41" s="1097"/>
      <c r="AO41" s="1097"/>
      <c r="AP41" s="1097"/>
      <c r="AQ41" s="1097"/>
      <c r="AR41" s="1097"/>
      <c r="AS41" s="1097"/>
      <c r="AT41" s="1097"/>
      <c r="AU41" s="1098"/>
      <c r="AV41" s="1098"/>
      <c r="AW41" s="926"/>
      <c r="BD41" s="1098"/>
      <c r="BH41" s="1097"/>
      <c r="BK41" s="1097"/>
      <c r="BL41" s="1097"/>
      <c r="BP41" s="1097"/>
      <c r="BQ41" s="1098"/>
      <c r="BR41" s="1097"/>
      <c r="BZ41" s="1097"/>
    </row>
    <row r="42" spans="1:78" x14ac:dyDescent="0.2">
      <c r="A42" s="557" t="s">
        <v>509</v>
      </c>
      <c r="C42" s="928"/>
      <c r="D42" s="928"/>
      <c r="E42" s="1389"/>
      <c r="F42" s="1389"/>
      <c r="G42" s="1389"/>
      <c r="H42" s="1399"/>
      <c r="I42" s="1399"/>
      <c r="K42" s="1098"/>
      <c r="N42" s="1097"/>
      <c r="O42" s="926"/>
      <c r="U42" s="1098"/>
      <c r="AA42" s="1098"/>
      <c r="AB42" s="1098"/>
      <c r="AC42" s="1098"/>
      <c r="AD42" s="1097"/>
      <c r="AE42" s="1097"/>
      <c r="AF42" s="1097"/>
      <c r="AG42" s="1097"/>
      <c r="AH42" s="1097"/>
      <c r="AI42" s="1097"/>
      <c r="AJ42" s="1097"/>
      <c r="AK42" s="1097"/>
      <c r="AL42" s="1097"/>
      <c r="AM42" s="1097"/>
      <c r="AN42" s="1097"/>
      <c r="AO42" s="1097"/>
      <c r="AP42" s="1097"/>
      <c r="AQ42" s="1097"/>
      <c r="AR42" s="1097"/>
      <c r="AS42" s="1097"/>
      <c r="AT42" s="1097"/>
      <c r="AU42" s="1098"/>
      <c r="AV42" s="1098"/>
      <c r="AW42" s="926"/>
      <c r="BD42" s="1098"/>
      <c r="BH42" s="1097"/>
      <c r="BK42" s="1097"/>
      <c r="BL42" s="1097"/>
      <c r="BP42" s="1097"/>
      <c r="BQ42" s="1098"/>
      <c r="BR42" s="1097"/>
      <c r="BZ42" s="1097"/>
    </row>
    <row r="43" spans="1:78" x14ac:dyDescent="0.2">
      <c r="A43" s="558" t="s">
        <v>696</v>
      </c>
      <c r="B43" s="211">
        <f t="shared" ref="B43:B57" si="27">SUM(C43:CC43)</f>
        <v>-3227809</v>
      </c>
      <c r="C43" s="928">
        <v>39360</v>
      </c>
      <c r="D43" s="928">
        <v>3181414</v>
      </c>
      <c r="E43" s="1389"/>
      <c r="F43" s="1389"/>
      <c r="G43" s="1389"/>
      <c r="H43" s="1399"/>
      <c r="I43" s="1399"/>
      <c r="J43" s="211">
        <v>-25692</v>
      </c>
      <c r="K43" s="1098"/>
      <c r="N43" s="1097"/>
      <c r="O43" s="926">
        <v>-15955</v>
      </c>
      <c r="U43" s="1098"/>
      <c r="Y43" s="1098">
        <v>0</v>
      </c>
      <c r="Z43" s="1098"/>
      <c r="AA43" s="1098"/>
      <c r="AB43" s="1098">
        <v>-679378</v>
      </c>
      <c r="AC43" s="1098">
        <v>-524252</v>
      </c>
      <c r="AD43" s="1098">
        <v>-731895</v>
      </c>
      <c r="AE43" s="1098">
        <v>-520860</v>
      </c>
      <c r="AF43" s="1098">
        <v>0</v>
      </c>
      <c r="AG43" s="1098">
        <v>0</v>
      </c>
      <c r="AH43" s="1098">
        <v>0</v>
      </c>
      <c r="AI43" s="1098">
        <v>0</v>
      </c>
      <c r="AJ43" s="1098">
        <v>0</v>
      </c>
      <c r="AK43" s="1098">
        <v>-1002885</v>
      </c>
      <c r="AL43" s="1098">
        <v>-30235</v>
      </c>
      <c r="AM43" s="1098">
        <v>-55940</v>
      </c>
      <c r="AN43" s="1098">
        <v>-64315</v>
      </c>
      <c r="AO43" s="1098">
        <v>-79830</v>
      </c>
      <c r="AP43" s="1098">
        <v>-46990</v>
      </c>
      <c r="AQ43" s="1098">
        <v>-156205</v>
      </c>
      <c r="AR43" s="1098">
        <v>0</v>
      </c>
      <c r="AS43" s="1098">
        <v>-25805</v>
      </c>
      <c r="AT43" s="1098">
        <v>-58105</v>
      </c>
      <c r="AU43" s="1098">
        <v>-105210</v>
      </c>
      <c r="AV43" s="1098">
        <v>0</v>
      </c>
      <c r="AW43" s="1098">
        <v>-591800</v>
      </c>
      <c r="AX43" s="1098">
        <v>-28800</v>
      </c>
      <c r="BD43" s="928"/>
      <c r="BH43" s="1097"/>
      <c r="BK43" s="928">
        <v>-143375</v>
      </c>
      <c r="BL43" s="928">
        <v>-12020</v>
      </c>
      <c r="BP43" s="1097"/>
      <c r="BQ43" s="1098"/>
      <c r="BR43" s="1097">
        <v>-542580</v>
      </c>
      <c r="BZ43" s="1097">
        <v>-1006456</v>
      </c>
    </row>
    <row r="44" spans="1:78" x14ac:dyDescent="0.2">
      <c r="A44" s="558" t="s">
        <v>5</v>
      </c>
      <c r="B44" s="211">
        <f t="shared" si="27"/>
        <v>0</v>
      </c>
      <c r="C44" s="928"/>
      <c r="D44" s="928"/>
      <c r="E44" s="1389"/>
      <c r="F44" s="1389"/>
      <c r="G44" s="1389"/>
      <c r="H44" s="1399"/>
      <c r="I44" s="1399"/>
      <c r="K44" s="1098"/>
      <c r="N44" s="1097"/>
      <c r="O44" s="926"/>
      <c r="U44" s="1098"/>
      <c r="Y44" s="1098"/>
      <c r="Z44" s="1098"/>
      <c r="AA44" s="1098"/>
      <c r="AB44" s="1098"/>
      <c r="AC44" s="1098"/>
      <c r="AD44" s="1098"/>
      <c r="AE44" s="1098"/>
      <c r="AF44" s="1098"/>
      <c r="AG44" s="1098"/>
      <c r="AH44" s="1098"/>
      <c r="AI44" s="1098"/>
      <c r="AJ44" s="1098"/>
      <c r="AK44" s="1098"/>
      <c r="AL44" s="1098"/>
      <c r="AM44" s="1098"/>
      <c r="AN44" s="1098"/>
      <c r="AO44" s="1098"/>
      <c r="AP44" s="1098"/>
      <c r="AQ44" s="1098"/>
      <c r="AR44" s="1098"/>
      <c r="AS44" s="1098"/>
      <c r="AT44" s="1098"/>
      <c r="AU44" s="1098"/>
      <c r="AV44" s="1098"/>
      <c r="AW44" s="1098"/>
      <c r="BD44" s="1098"/>
      <c r="BH44" s="1097"/>
      <c r="BK44" s="1097"/>
      <c r="BL44" s="928"/>
      <c r="BP44" s="1097"/>
      <c r="BQ44" s="1098"/>
      <c r="BR44" s="1097"/>
      <c r="BZ44" s="1097"/>
    </row>
    <row r="45" spans="1:78" x14ac:dyDescent="0.2">
      <c r="A45" s="558" t="s">
        <v>734</v>
      </c>
      <c r="B45" s="211">
        <f t="shared" si="27"/>
        <v>-189856</v>
      </c>
      <c r="C45" s="928"/>
      <c r="D45" s="928">
        <v>-16602</v>
      </c>
      <c r="E45" s="1389"/>
      <c r="F45" s="1389"/>
      <c r="G45" s="1389"/>
      <c r="H45" s="1399"/>
      <c r="I45" s="1399"/>
      <c r="K45" s="1098"/>
      <c r="N45" s="1097"/>
      <c r="O45" s="926"/>
      <c r="U45" s="1098"/>
      <c r="Y45" s="1098">
        <v>0</v>
      </c>
      <c r="Z45" s="1098">
        <v>0</v>
      </c>
      <c r="AA45" s="1098">
        <v>0</v>
      </c>
      <c r="AB45" s="1098">
        <v>0</v>
      </c>
      <c r="AC45" s="1098">
        <v>-7676</v>
      </c>
      <c r="AD45" s="1098">
        <v>-56457</v>
      </c>
      <c r="AE45" s="1098">
        <v>-27515</v>
      </c>
      <c r="AF45" s="1098">
        <v>0</v>
      </c>
      <c r="AG45" s="1098">
        <v>0</v>
      </c>
      <c r="AH45" s="1098">
        <v>0</v>
      </c>
      <c r="AI45" s="1098">
        <v>0</v>
      </c>
      <c r="AJ45" s="1098">
        <v>0</v>
      </c>
      <c r="AK45" s="1098">
        <v>-15123</v>
      </c>
      <c r="AL45" s="1098">
        <v>-2130</v>
      </c>
      <c r="AM45" s="1098">
        <v>-4374</v>
      </c>
      <c r="AN45" s="1098">
        <v>-4744</v>
      </c>
      <c r="AO45" s="1098">
        <v>-6451</v>
      </c>
      <c r="AP45" s="1098">
        <v>-2514</v>
      </c>
      <c r="AQ45" s="1098">
        <v>-9589</v>
      </c>
      <c r="AR45" s="1098">
        <v>0</v>
      </c>
      <c r="AS45" s="1098">
        <v>0</v>
      </c>
      <c r="AT45" s="1098">
        <v>0</v>
      </c>
      <c r="AU45" s="1098">
        <v>0</v>
      </c>
      <c r="AV45" s="1098">
        <v>0</v>
      </c>
      <c r="AW45" s="1098">
        <v>-1148</v>
      </c>
      <c r="BD45" s="1098"/>
      <c r="BH45" s="1097"/>
      <c r="BK45" s="1097">
        <v>-8859</v>
      </c>
      <c r="BL45" s="928">
        <v>-35</v>
      </c>
      <c r="BP45" s="1097"/>
      <c r="BQ45" s="1098"/>
      <c r="BR45" s="1097">
        <v>-26639</v>
      </c>
      <c r="BZ45" s="1097"/>
    </row>
    <row r="46" spans="1:78" x14ac:dyDescent="0.2">
      <c r="A46" s="558" t="s">
        <v>754</v>
      </c>
      <c r="B46" s="211">
        <f t="shared" si="27"/>
        <v>0</v>
      </c>
      <c r="C46" s="928"/>
      <c r="D46" s="928"/>
      <c r="E46" s="1389"/>
      <c r="F46" s="1389"/>
      <c r="G46" s="1389"/>
      <c r="H46" s="1399"/>
      <c r="I46" s="1399"/>
      <c r="K46" s="1098"/>
      <c r="N46" s="1097"/>
      <c r="O46" s="926"/>
      <c r="U46" s="1098"/>
      <c r="Y46" s="1098"/>
      <c r="Z46" s="1098"/>
      <c r="AA46" s="1098"/>
      <c r="AB46" s="1098"/>
      <c r="AC46" s="1098"/>
      <c r="AD46" s="1098"/>
      <c r="AE46" s="1098"/>
      <c r="AF46" s="1098"/>
      <c r="AG46" s="1098"/>
      <c r="AH46" s="1098"/>
      <c r="AI46" s="1098"/>
      <c r="AJ46" s="1098"/>
      <c r="AK46" s="1098"/>
      <c r="AL46" s="1098"/>
      <c r="AM46" s="1098"/>
      <c r="AN46" s="1098"/>
      <c r="AO46" s="1098"/>
      <c r="AP46" s="1098"/>
      <c r="AQ46" s="1098"/>
      <c r="AR46" s="1098"/>
      <c r="AS46" s="1098"/>
      <c r="AT46" s="1098"/>
      <c r="AU46" s="1098"/>
      <c r="AV46" s="1098"/>
      <c r="AW46" s="1098"/>
      <c r="BD46" s="1098"/>
      <c r="BH46" s="1097"/>
      <c r="BK46" s="1097"/>
      <c r="BL46" s="928"/>
      <c r="BP46" s="1097"/>
      <c r="BQ46" s="1098"/>
      <c r="BR46" s="1097"/>
      <c r="BZ46" s="1097"/>
    </row>
    <row r="47" spans="1:78" x14ac:dyDescent="0.2">
      <c r="A47" s="558" t="s">
        <v>1580</v>
      </c>
      <c r="B47" s="211">
        <f t="shared" si="27"/>
        <v>-54909</v>
      </c>
      <c r="C47" s="928">
        <v>-15564</v>
      </c>
      <c r="D47" s="928">
        <v>0</v>
      </c>
      <c r="E47" s="1399">
        <v>-5</v>
      </c>
      <c r="F47" s="1399">
        <v>-14087</v>
      </c>
      <c r="G47" s="1389"/>
      <c r="H47" s="1399"/>
      <c r="I47" s="1399">
        <v>0</v>
      </c>
      <c r="K47" s="1098"/>
      <c r="N47" s="1097">
        <v>-43</v>
      </c>
      <c r="O47" s="928">
        <v>-5</v>
      </c>
      <c r="U47" s="1098">
        <v>-4</v>
      </c>
      <c r="W47" s="211">
        <v>-13</v>
      </c>
      <c r="Y47" s="1098"/>
      <c r="Z47" s="1098"/>
      <c r="AA47" s="1098"/>
      <c r="AB47" s="1098"/>
      <c r="AC47" s="1098"/>
      <c r="AD47" s="1098"/>
      <c r="AE47" s="1098"/>
      <c r="AF47" s="1098"/>
      <c r="AG47" s="1098"/>
      <c r="AH47" s="1098"/>
      <c r="AI47" s="1098"/>
      <c r="AJ47" s="1098"/>
      <c r="AK47" s="1098"/>
      <c r="AL47" s="1098"/>
      <c r="AM47" s="1098"/>
      <c r="AN47" s="1098"/>
      <c r="AO47" s="1098"/>
      <c r="AP47" s="1098"/>
      <c r="AQ47" s="1098"/>
      <c r="AR47" s="1098"/>
      <c r="AS47" s="1098"/>
      <c r="AT47" s="1098"/>
      <c r="AU47" s="1098"/>
      <c r="AV47" s="1098"/>
      <c r="AW47" s="1098"/>
      <c r="BD47" s="928"/>
      <c r="BH47" s="1097">
        <v>-1077</v>
      </c>
      <c r="BJ47" s="211">
        <v>-3160</v>
      </c>
      <c r="BK47" s="1097"/>
      <c r="BL47" s="928"/>
      <c r="BP47" s="1097">
        <v>-10350</v>
      </c>
      <c r="BQ47" s="1098">
        <v>-10601</v>
      </c>
      <c r="BR47" s="1097"/>
      <c r="BZ47" s="1097"/>
    </row>
    <row r="48" spans="1:78" x14ac:dyDescent="0.2">
      <c r="A48" s="558" t="s">
        <v>1650</v>
      </c>
      <c r="B48" s="211">
        <f t="shared" si="27"/>
        <v>-67194</v>
      </c>
      <c r="C48" s="928">
        <v>-65793</v>
      </c>
      <c r="D48" s="928"/>
      <c r="E48" s="1389"/>
      <c r="F48" s="1389">
        <v>-6</v>
      </c>
      <c r="G48" s="1389"/>
      <c r="H48" s="1399">
        <v>-66</v>
      </c>
      <c r="I48" s="1399"/>
      <c r="K48" s="1098">
        <v>-6</v>
      </c>
      <c r="N48" s="1097">
        <v>-126</v>
      </c>
      <c r="O48" s="928"/>
      <c r="U48" s="1098"/>
      <c r="W48" s="211">
        <v>-510</v>
      </c>
      <c r="Y48" s="1098"/>
      <c r="Z48" s="1098"/>
      <c r="AA48" s="1098"/>
      <c r="AB48" s="1098"/>
      <c r="AC48" s="1098"/>
      <c r="AD48" s="1098"/>
      <c r="AE48" s="1098"/>
      <c r="AF48" s="1098"/>
      <c r="AG48" s="1098"/>
      <c r="AH48" s="1098"/>
      <c r="AI48" s="1098"/>
      <c r="AJ48" s="1098"/>
      <c r="AK48" s="1098"/>
      <c r="AL48" s="1098"/>
      <c r="AM48" s="1098"/>
      <c r="AN48" s="1098"/>
      <c r="AO48" s="1098"/>
      <c r="AP48" s="1098"/>
      <c r="AQ48" s="1098"/>
      <c r="AR48" s="1098"/>
      <c r="AS48" s="1098"/>
      <c r="AT48" s="1098"/>
      <c r="AU48" s="1098"/>
      <c r="AV48" s="1098"/>
      <c r="AW48" s="1098"/>
      <c r="BD48" s="928"/>
      <c r="BH48" s="1097"/>
      <c r="BK48" s="1097"/>
      <c r="BL48" s="928"/>
      <c r="BP48" s="1097"/>
      <c r="BQ48" s="1098">
        <v>-687</v>
      </c>
      <c r="BR48" s="1097"/>
      <c r="BZ48" s="1097"/>
    </row>
    <row r="49" spans="1:83" x14ac:dyDescent="0.2">
      <c r="A49" s="558" t="s">
        <v>1599</v>
      </c>
      <c r="B49" s="211">
        <f t="shared" si="27"/>
        <v>-5169</v>
      </c>
      <c r="C49" s="928"/>
      <c r="D49" s="928"/>
      <c r="E49" s="1389"/>
      <c r="F49" s="1389"/>
      <c r="G49" s="1389"/>
      <c r="H49" s="1399"/>
      <c r="I49" s="1399"/>
      <c r="K49" s="1098"/>
      <c r="N49" s="1097"/>
      <c r="O49" s="928"/>
      <c r="Y49" s="1098"/>
      <c r="Z49" s="1098"/>
      <c r="AA49" s="1098"/>
      <c r="AB49" s="1098"/>
      <c r="AC49" s="1098"/>
      <c r="AD49" s="1098"/>
      <c r="AE49" s="1098"/>
      <c r="AF49" s="1098"/>
      <c r="AG49" s="1098"/>
      <c r="AH49" s="1098"/>
      <c r="AI49" s="1098"/>
      <c r="AJ49" s="1098"/>
      <c r="AK49" s="1098"/>
      <c r="AL49" s="1098"/>
      <c r="AM49" s="1098"/>
      <c r="AN49" s="1098"/>
      <c r="AO49" s="1098"/>
      <c r="AP49" s="1098"/>
      <c r="AQ49" s="1098"/>
      <c r="AR49" s="1098"/>
      <c r="AS49" s="1098"/>
      <c r="AT49" s="1098"/>
      <c r="AU49" s="1098"/>
      <c r="AV49" s="1098"/>
      <c r="AW49" s="1098"/>
      <c r="BD49" s="928"/>
      <c r="BH49" s="1097">
        <v>-255</v>
      </c>
      <c r="BJ49" s="211">
        <v>-3589</v>
      </c>
      <c r="BK49" s="1097"/>
      <c r="BL49" s="928"/>
      <c r="BP49" s="1097"/>
      <c r="BQ49" s="1098"/>
      <c r="BR49" s="1097"/>
      <c r="BZ49" s="1097">
        <v>-1325</v>
      </c>
    </row>
    <row r="50" spans="1:83" x14ac:dyDescent="0.2">
      <c r="A50" s="558" t="s">
        <v>765</v>
      </c>
      <c r="B50" s="211">
        <f t="shared" si="27"/>
        <v>0</v>
      </c>
      <c r="C50" s="928"/>
      <c r="D50" s="928"/>
      <c r="E50" s="1399"/>
      <c r="F50" s="1399"/>
      <c r="G50" s="1399"/>
      <c r="H50" s="1399"/>
      <c r="I50" s="1399"/>
      <c r="J50" s="1098"/>
      <c r="K50" s="1098"/>
      <c r="N50" s="1097"/>
      <c r="O50" s="926"/>
      <c r="Y50" s="1098"/>
      <c r="Z50" s="1098"/>
      <c r="AA50" s="1098"/>
      <c r="AB50" s="1098"/>
      <c r="AC50" s="1098"/>
      <c r="AD50" s="1098"/>
      <c r="AE50" s="1098"/>
      <c r="AF50" s="1098"/>
      <c r="AG50" s="1098"/>
      <c r="AH50" s="1098"/>
      <c r="AI50" s="1098"/>
      <c r="AJ50" s="1098"/>
      <c r="AK50" s="1098"/>
      <c r="AL50" s="1098"/>
      <c r="AM50" s="1098"/>
      <c r="AN50" s="1098"/>
      <c r="AO50" s="1098"/>
      <c r="AP50" s="1098"/>
      <c r="AQ50" s="1098"/>
      <c r="AR50" s="1098"/>
      <c r="AS50" s="1098"/>
      <c r="AT50" s="1098"/>
      <c r="AU50" s="1098"/>
      <c r="AV50" s="1098"/>
      <c r="AW50" s="1098"/>
      <c r="BD50" s="1098"/>
      <c r="BH50" s="1097"/>
      <c r="BJ50" s="211">
        <v>0</v>
      </c>
      <c r="BK50" s="1097"/>
      <c r="BL50" s="928"/>
      <c r="BP50" s="1097"/>
      <c r="BQ50" s="1098"/>
      <c r="BR50" s="1097"/>
      <c r="BZ50" s="1097"/>
    </row>
    <row r="51" spans="1:83" x14ac:dyDescent="0.2">
      <c r="A51" s="558" t="s">
        <v>609</v>
      </c>
      <c r="B51" s="211">
        <f t="shared" si="27"/>
        <v>0</v>
      </c>
      <c r="C51" s="928"/>
      <c r="D51" s="928"/>
      <c r="E51" s="1399"/>
      <c r="F51" s="1399"/>
      <c r="G51" s="1399"/>
      <c r="H51" s="1399"/>
      <c r="I51" s="1399"/>
      <c r="J51" s="1098"/>
      <c r="N51" s="1097"/>
      <c r="O51" s="926"/>
      <c r="Y51" s="1098"/>
      <c r="Z51" s="1098"/>
      <c r="AA51" s="1098"/>
      <c r="AB51" s="1098"/>
      <c r="AC51" s="1098"/>
      <c r="AD51" s="1098"/>
      <c r="AE51" s="1098"/>
      <c r="AF51" s="1098"/>
      <c r="AG51" s="1098"/>
      <c r="AH51" s="1098"/>
      <c r="AI51" s="1098"/>
      <c r="AJ51" s="1098"/>
      <c r="AK51" s="1098"/>
      <c r="AL51" s="1098"/>
      <c r="AM51" s="1098"/>
      <c r="AN51" s="1098"/>
      <c r="AO51" s="1098"/>
      <c r="AP51" s="1098"/>
      <c r="AQ51" s="1098"/>
      <c r="AR51" s="1098"/>
      <c r="AS51" s="1098"/>
      <c r="AT51" s="1098"/>
      <c r="AU51" s="1098"/>
      <c r="AV51" s="1098"/>
      <c r="AW51" s="1098"/>
      <c r="BD51" s="1098"/>
      <c r="BH51" s="1097"/>
      <c r="BK51" s="1097"/>
      <c r="BL51" s="928"/>
      <c r="BP51" s="1097"/>
      <c r="BQ51" s="1098"/>
      <c r="BR51" s="1097"/>
      <c r="BZ51" s="1097"/>
    </row>
    <row r="52" spans="1:83" x14ac:dyDescent="0.2">
      <c r="A52" s="558" t="s">
        <v>607</v>
      </c>
      <c r="B52" s="211">
        <f t="shared" si="27"/>
        <v>-2041905</v>
      </c>
      <c r="C52" s="928">
        <v>0</v>
      </c>
      <c r="D52" s="928"/>
      <c r="E52" s="1399"/>
      <c r="F52" s="1399"/>
      <c r="G52" s="1399"/>
      <c r="H52" s="1399"/>
      <c r="I52" s="1399"/>
      <c r="J52" s="1098"/>
      <c r="N52" s="1097"/>
      <c r="O52" s="926"/>
      <c r="Y52" s="1098"/>
      <c r="Z52" s="1098"/>
      <c r="AA52" s="1098"/>
      <c r="AB52" s="1098"/>
      <c r="AC52" s="1098"/>
      <c r="AD52" s="1098"/>
      <c r="AE52" s="1098"/>
      <c r="AF52" s="1098"/>
      <c r="AG52" s="1098"/>
      <c r="AH52" s="1098"/>
      <c r="AI52" s="1098"/>
      <c r="AJ52" s="1098"/>
      <c r="AK52" s="1098"/>
      <c r="AL52" s="1098"/>
      <c r="AM52" s="1098"/>
      <c r="AN52" s="1098"/>
      <c r="AO52" s="1098"/>
      <c r="AP52" s="1098"/>
      <c r="AQ52" s="1098"/>
      <c r="AR52" s="1098"/>
      <c r="AS52" s="1098"/>
      <c r="AT52" s="1098"/>
      <c r="AU52" s="1098"/>
      <c r="AV52" s="1098"/>
      <c r="AW52" s="1098"/>
      <c r="BD52" s="1098"/>
      <c r="BH52" s="1097"/>
      <c r="BK52" s="1097"/>
      <c r="BL52" s="928"/>
      <c r="BP52" s="1097"/>
      <c r="BQ52" s="1098"/>
      <c r="BR52" s="1097"/>
      <c r="BZ52" s="1097">
        <v>-2041905</v>
      </c>
    </row>
    <row r="53" spans="1:83" x14ac:dyDescent="0.2">
      <c r="A53" s="558" t="s">
        <v>676</v>
      </c>
      <c r="B53" s="211">
        <f t="shared" si="27"/>
        <v>-17528</v>
      </c>
      <c r="C53" s="928"/>
      <c r="D53" s="1097">
        <v>-15782</v>
      </c>
      <c r="E53" s="1399"/>
      <c r="F53" s="1399"/>
      <c r="G53" s="1399"/>
      <c r="H53" s="1399"/>
      <c r="I53" s="1399"/>
      <c r="J53" s="1098">
        <v>0</v>
      </c>
      <c r="N53" s="1097"/>
      <c r="O53" s="926"/>
      <c r="Y53" s="1098"/>
      <c r="Z53" s="1098"/>
      <c r="AA53" s="1098"/>
      <c r="AB53" s="1098"/>
      <c r="AC53" s="1098"/>
      <c r="AD53" s="1098"/>
      <c r="AE53" s="1098"/>
      <c r="AF53" s="1098"/>
      <c r="AG53" s="1098"/>
      <c r="AH53" s="1098"/>
      <c r="AI53" s="1098"/>
      <c r="AJ53" s="1098"/>
      <c r="AK53" s="1098"/>
      <c r="AL53" s="1098"/>
      <c r="AM53" s="1098"/>
      <c r="AN53" s="1098"/>
      <c r="AO53" s="1098"/>
      <c r="AP53" s="1098"/>
      <c r="AQ53" s="1098"/>
      <c r="AR53" s="1098"/>
      <c r="AS53" s="1098"/>
      <c r="AT53" s="1098"/>
      <c r="AU53" s="1098"/>
      <c r="AV53" s="1098"/>
      <c r="AW53" s="1098"/>
      <c r="BD53" s="928"/>
      <c r="BH53" s="1097"/>
      <c r="BK53" s="928">
        <v>-662</v>
      </c>
      <c r="BL53" s="928">
        <v>-66</v>
      </c>
      <c r="BP53" s="1097"/>
      <c r="BQ53" s="1098"/>
      <c r="BR53" s="1097">
        <v>-1018</v>
      </c>
      <c r="BZ53" s="1097"/>
    </row>
    <row r="54" spans="1:83" x14ac:dyDescent="0.2">
      <c r="A54" s="558" t="s">
        <v>736</v>
      </c>
      <c r="B54" s="211">
        <f t="shared" si="27"/>
        <v>-12613</v>
      </c>
      <c r="C54" s="928"/>
      <c r="D54" s="928"/>
      <c r="E54" s="1399"/>
      <c r="F54" s="1399"/>
      <c r="G54" s="1399"/>
      <c r="H54" s="1399"/>
      <c r="I54" s="1399"/>
      <c r="J54" s="1098"/>
      <c r="N54" s="1097"/>
      <c r="O54" s="926"/>
      <c r="Y54" s="1098"/>
      <c r="Z54" s="1098"/>
      <c r="AA54" s="1098"/>
      <c r="AB54" s="1098"/>
      <c r="AC54" s="1098"/>
      <c r="AD54" s="1098">
        <v>-7203</v>
      </c>
      <c r="AE54" s="1098">
        <v>-2522</v>
      </c>
      <c r="AF54" s="1098"/>
      <c r="AG54" s="1098"/>
      <c r="AH54" s="1098"/>
      <c r="AI54" s="1098"/>
      <c r="AJ54" s="1098"/>
      <c r="AK54" s="1098"/>
      <c r="AL54" s="1098">
        <v>0</v>
      </c>
      <c r="AM54" s="1098">
        <v>-44</v>
      </c>
      <c r="AN54" s="1098">
        <v>-223</v>
      </c>
      <c r="AO54" s="1098">
        <v>-491</v>
      </c>
      <c r="AP54" s="1098">
        <v>-86</v>
      </c>
      <c r="AQ54" s="1098"/>
      <c r="AR54" s="1098"/>
      <c r="AS54" s="1098"/>
      <c r="AT54" s="1098"/>
      <c r="AU54" s="1098"/>
      <c r="AV54" s="1098"/>
      <c r="AW54" s="1098">
        <v>-852</v>
      </c>
      <c r="BD54" s="1098"/>
      <c r="BH54" s="1097"/>
      <c r="BK54" s="1097">
        <v>-203</v>
      </c>
      <c r="BL54" s="1098"/>
      <c r="BP54" s="1097"/>
      <c r="BQ54" s="1098"/>
      <c r="BR54" s="1098">
        <v>-989</v>
      </c>
      <c r="BZ54" s="1097"/>
    </row>
    <row r="55" spans="1:83" x14ac:dyDescent="0.2">
      <c r="A55" s="558" t="s">
        <v>331</v>
      </c>
      <c r="B55" s="211">
        <f t="shared" si="27"/>
        <v>-2052</v>
      </c>
      <c r="C55" s="928">
        <v>-78</v>
      </c>
      <c r="D55" s="928">
        <v>0</v>
      </c>
      <c r="E55" s="1399"/>
      <c r="F55" s="1399"/>
      <c r="G55" s="1399"/>
      <c r="H55" s="1399"/>
      <c r="I55" s="1399"/>
      <c r="J55" s="928">
        <v>0</v>
      </c>
      <c r="K55" s="928">
        <v>0</v>
      </c>
      <c r="L55" s="928">
        <v>0</v>
      </c>
      <c r="M55" s="928">
        <v>0</v>
      </c>
      <c r="N55" s="928">
        <v>-8</v>
      </c>
      <c r="O55" s="928"/>
      <c r="P55" s="928">
        <v>0</v>
      </c>
      <c r="Q55" s="928">
        <v>0</v>
      </c>
      <c r="R55" s="928">
        <v>0</v>
      </c>
      <c r="S55" s="928">
        <v>0</v>
      </c>
      <c r="T55" s="928">
        <v>0</v>
      </c>
      <c r="U55" s="928">
        <v>0</v>
      </c>
      <c r="V55" s="928">
        <v>0</v>
      </c>
      <c r="W55" s="928">
        <v>0</v>
      </c>
      <c r="X55" s="928">
        <v>0</v>
      </c>
      <c r="Y55" s="1098">
        <v>0</v>
      </c>
      <c r="Z55" s="1098">
        <v>0</v>
      </c>
      <c r="AA55" s="1097">
        <v>0</v>
      </c>
      <c r="AB55" s="1097">
        <v>0</v>
      </c>
      <c r="AC55" s="1097">
        <v>0</v>
      </c>
      <c r="AD55" s="1097">
        <v>0</v>
      </c>
      <c r="AE55" s="1097">
        <v>0</v>
      </c>
      <c r="AF55" s="1097">
        <v>-963</v>
      </c>
      <c r="AG55" s="1097">
        <v>0</v>
      </c>
      <c r="AH55" s="1097">
        <v>0</v>
      </c>
      <c r="AI55" s="1097">
        <v>0</v>
      </c>
      <c r="AJ55" s="1097">
        <v>0</v>
      </c>
      <c r="AK55" s="1097">
        <v>0</v>
      </c>
      <c r="AL55" s="1097">
        <v>0</v>
      </c>
      <c r="AM55" s="1097">
        <v>0</v>
      </c>
      <c r="AN55" s="1097">
        <v>0</v>
      </c>
      <c r="AO55" s="1097">
        <v>0</v>
      </c>
      <c r="AP55" s="1097"/>
      <c r="AQ55" s="1097"/>
      <c r="AR55" s="1097">
        <v>-489</v>
      </c>
      <c r="AS55" s="1097">
        <v>0</v>
      </c>
      <c r="AT55" s="1097">
        <v>-514</v>
      </c>
      <c r="AU55" s="1097">
        <v>0</v>
      </c>
      <c r="AV55" s="1097">
        <v>0</v>
      </c>
      <c r="AW55" s="1097">
        <v>0</v>
      </c>
      <c r="AX55" s="928">
        <v>0</v>
      </c>
      <c r="AY55" s="928">
        <v>0</v>
      </c>
      <c r="AZ55" s="928">
        <v>0</v>
      </c>
      <c r="BA55" s="928">
        <v>0</v>
      </c>
      <c r="BB55" s="928"/>
      <c r="BC55" s="928"/>
      <c r="BD55" s="928"/>
      <c r="BE55" s="928">
        <v>0</v>
      </c>
      <c r="BF55" s="928">
        <v>0</v>
      </c>
      <c r="BG55" s="928">
        <v>0</v>
      </c>
      <c r="BH55" s="928">
        <v>0</v>
      </c>
      <c r="BI55" s="928">
        <v>0</v>
      </c>
      <c r="BJ55" s="928">
        <v>0</v>
      </c>
      <c r="BK55" s="928">
        <v>0</v>
      </c>
      <c r="BL55" s="928">
        <v>0</v>
      </c>
      <c r="BM55" s="928">
        <v>0</v>
      </c>
      <c r="BN55" s="928">
        <v>0</v>
      </c>
      <c r="BO55" s="928">
        <v>0</v>
      </c>
      <c r="BP55" s="928">
        <v>0</v>
      </c>
      <c r="BQ55" s="928">
        <v>0</v>
      </c>
      <c r="BR55" s="928"/>
      <c r="BS55" s="928">
        <v>0</v>
      </c>
      <c r="BZ55" s="928"/>
      <c r="CE55" s="211" t="s">
        <v>1050</v>
      </c>
    </row>
    <row r="56" spans="1:83" x14ac:dyDescent="0.2">
      <c r="A56" s="558" t="s">
        <v>700</v>
      </c>
      <c r="B56" s="211">
        <f t="shared" si="27"/>
        <v>-248273</v>
      </c>
      <c r="C56" s="928"/>
      <c r="D56" s="928"/>
      <c r="E56" s="1396">
        <v>0</v>
      </c>
      <c r="F56" s="1396">
        <v>0</v>
      </c>
      <c r="G56" s="1396">
        <v>0</v>
      </c>
      <c r="H56" s="1396">
        <v>0</v>
      </c>
      <c r="I56" s="1396">
        <v>0</v>
      </c>
      <c r="J56" s="1098"/>
      <c r="N56" s="1097"/>
      <c r="O56" s="926"/>
      <c r="Y56" s="1098"/>
      <c r="Z56" s="1098"/>
      <c r="AA56" s="1098"/>
      <c r="AB56" s="1098"/>
      <c r="AC56" s="1098"/>
      <c r="AD56" s="1097"/>
      <c r="AE56" s="1097"/>
      <c r="AF56" s="1097"/>
      <c r="AG56" s="1097"/>
      <c r="AH56" s="1097"/>
      <c r="AI56" s="1097"/>
      <c r="AJ56" s="1097"/>
      <c r="AK56" s="1097"/>
      <c r="AL56" s="1097"/>
      <c r="AM56" s="1097"/>
      <c r="AN56" s="1097"/>
      <c r="AO56" s="1097"/>
      <c r="AP56" s="1097"/>
      <c r="AQ56" s="1097"/>
      <c r="AR56" s="1097"/>
      <c r="AS56" s="1097"/>
      <c r="AT56" s="1097"/>
      <c r="AU56" s="1098"/>
      <c r="AV56" s="1098"/>
      <c r="AW56" s="1098"/>
      <c r="BD56" s="1098"/>
      <c r="BF56" s="211">
        <v>-258</v>
      </c>
      <c r="BH56" s="1097"/>
      <c r="BK56" s="1097"/>
      <c r="BL56" s="1098"/>
      <c r="BP56" s="1097"/>
      <c r="BQ56" s="1098"/>
      <c r="BR56" s="1098"/>
      <c r="BZ56" s="1097">
        <v>-248015</v>
      </c>
    </row>
    <row r="57" spans="1:83" x14ac:dyDescent="0.2">
      <c r="A57" s="558" t="s">
        <v>1164</v>
      </c>
      <c r="B57" s="211">
        <f t="shared" si="27"/>
        <v>-30</v>
      </c>
      <c r="C57" s="928"/>
      <c r="D57" s="926"/>
      <c r="E57" s="1399"/>
      <c r="F57" s="1399"/>
      <c r="G57" s="1399"/>
      <c r="H57" s="1399"/>
      <c r="I57" s="1399"/>
      <c r="J57" s="1098"/>
      <c r="N57" s="1098"/>
      <c r="O57" s="926"/>
      <c r="Y57" s="1098"/>
      <c r="Z57" s="1098"/>
      <c r="AA57" s="1098"/>
      <c r="AB57" s="1098"/>
      <c r="AC57" s="1098"/>
      <c r="AD57" s="1098"/>
      <c r="AE57" s="1098"/>
      <c r="AF57" s="1098"/>
      <c r="AG57" s="1098"/>
      <c r="AH57" s="1098"/>
      <c r="AI57" s="1098"/>
      <c r="AJ57" s="1098"/>
      <c r="AK57" s="1098"/>
      <c r="AL57" s="1098"/>
      <c r="AM57" s="1098"/>
      <c r="AN57" s="1098"/>
      <c r="AO57" s="1098"/>
      <c r="AP57" s="1098"/>
      <c r="AQ57" s="1098"/>
      <c r="AR57" s="1098"/>
      <c r="AS57" s="1098"/>
      <c r="AT57" s="1098"/>
      <c r="AU57" s="1098"/>
      <c r="AV57" s="1098"/>
      <c r="AW57" s="1098"/>
      <c r="BD57" s="1098"/>
      <c r="BK57" s="1098"/>
      <c r="BL57" s="1098"/>
      <c r="BP57" s="1097">
        <v>-30</v>
      </c>
      <c r="BQ57" s="1098"/>
      <c r="BZ57" s="1098"/>
    </row>
    <row r="58" spans="1:83" x14ac:dyDescent="0.2">
      <c r="A58" s="558"/>
      <c r="B58" s="388">
        <f t="shared" ref="B58:BM58" si="28">SUM(B43:B57)</f>
        <v>-5867338</v>
      </c>
      <c r="C58" s="388">
        <f t="shared" si="28"/>
        <v>-42075</v>
      </c>
      <c r="D58" s="388">
        <f t="shared" si="28"/>
        <v>3149030</v>
      </c>
      <c r="E58" s="388">
        <f t="shared" si="28"/>
        <v>-5</v>
      </c>
      <c r="F58" s="388">
        <f t="shared" si="28"/>
        <v>-14093</v>
      </c>
      <c r="G58" s="388">
        <f t="shared" si="28"/>
        <v>0</v>
      </c>
      <c r="H58" s="388">
        <f t="shared" si="28"/>
        <v>-66</v>
      </c>
      <c r="I58" s="388">
        <f t="shared" si="28"/>
        <v>0</v>
      </c>
      <c r="J58" s="388">
        <f t="shared" si="28"/>
        <v>-25692</v>
      </c>
      <c r="K58" s="388">
        <f t="shared" si="28"/>
        <v>-6</v>
      </c>
      <c r="L58" s="388">
        <f t="shared" si="28"/>
        <v>0</v>
      </c>
      <c r="M58" s="388">
        <f t="shared" si="28"/>
        <v>0</v>
      </c>
      <c r="N58" s="388">
        <f t="shared" si="28"/>
        <v>-177</v>
      </c>
      <c r="O58" s="388">
        <f t="shared" si="28"/>
        <v>-15960</v>
      </c>
      <c r="P58" s="388">
        <f t="shared" si="28"/>
        <v>0</v>
      </c>
      <c r="Q58" s="388">
        <f t="shared" si="28"/>
        <v>0</v>
      </c>
      <c r="R58" s="388">
        <f t="shared" si="28"/>
        <v>0</v>
      </c>
      <c r="S58" s="388">
        <f t="shared" si="28"/>
        <v>0</v>
      </c>
      <c r="T58" s="388">
        <f t="shared" si="28"/>
        <v>0</v>
      </c>
      <c r="U58" s="388">
        <f t="shared" si="28"/>
        <v>-4</v>
      </c>
      <c r="V58" s="388">
        <f t="shared" si="28"/>
        <v>0</v>
      </c>
      <c r="W58" s="388">
        <f t="shared" si="28"/>
        <v>-523</v>
      </c>
      <c r="X58" s="388">
        <f t="shared" si="28"/>
        <v>0</v>
      </c>
      <c r="Y58" s="388">
        <f t="shared" si="28"/>
        <v>0</v>
      </c>
      <c r="Z58" s="388">
        <f t="shared" si="28"/>
        <v>0</v>
      </c>
      <c r="AA58" s="388">
        <f t="shared" si="28"/>
        <v>0</v>
      </c>
      <c r="AB58" s="388">
        <f t="shared" si="28"/>
        <v>-679378</v>
      </c>
      <c r="AC58" s="388">
        <f t="shared" si="28"/>
        <v>-531928</v>
      </c>
      <c r="AD58" s="388">
        <f t="shared" si="28"/>
        <v>-795555</v>
      </c>
      <c r="AE58" s="388">
        <f t="shared" si="28"/>
        <v>-550897</v>
      </c>
      <c r="AF58" s="388">
        <f t="shared" si="28"/>
        <v>-963</v>
      </c>
      <c r="AG58" s="388">
        <f t="shared" si="28"/>
        <v>0</v>
      </c>
      <c r="AH58" s="388">
        <f t="shared" si="28"/>
        <v>0</v>
      </c>
      <c r="AI58" s="388">
        <f t="shared" si="28"/>
        <v>0</v>
      </c>
      <c r="AJ58" s="388">
        <f t="shared" si="28"/>
        <v>0</v>
      </c>
      <c r="AK58" s="388">
        <f t="shared" si="28"/>
        <v>-1018008</v>
      </c>
      <c r="AL58" s="388">
        <f t="shared" si="28"/>
        <v>-32365</v>
      </c>
      <c r="AM58" s="388">
        <f t="shared" si="28"/>
        <v>-60358</v>
      </c>
      <c r="AN58" s="388">
        <f t="shared" si="28"/>
        <v>-69282</v>
      </c>
      <c r="AO58" s="388">
        <f t="shared" si="28"/>
        <v>-86772</v>
      </c>
      <c r="AP58" s="388">
        <f t="shared" si="28"/>
        <v>-49590</v>
      </c>
      <c r="AQ58" s="388">
        <f t="shared" si="28"/>
        <v>-165794</v>
      </c>
      <c r="AR58" s="388">
        <f t="shared" si="28"/>
        <v>-489</v>
      </c>
      <c r="AS58" s="388">
        <f t="shared" si="28"/>
        <v>-25805</v>
      </c>
      <c r="AT58" s="388">
        <f t="shared" si="28"/>
        <v>-58619</v>
      </c>
      <c r="AU58" s="388">
        <f t="shared" si="28"/>
        <v>-105210</v>
      </c>
      <c r="AV58" s="388">
        <f t="shared" si="28"/>
        <v>0</v>
      </c>
      <c r="AW58" s="388">
        <f t="shared" si="28"/>
        <v>-593800</v>
      </c>
      <c r="AX58" s="388">
        <f t="shared" si="28"/>
        <v>-28800</v>
      </c>
      <c r="AY58" s="388">
        <f t="shared" si="28"/>
        <v>0</v>
      </c>
      <c r="AZ58" s="388">
        <f t="shared" si="28"/>
        <v>0</v>
      </c>
      <c r="BA58" s="388">
        <f t="shared" si="28"/>
        <v>0</v>
      </c>
      <c r="BB58" s="388">
        <f t="shared" si="28"/>
        <v>0</v>
      </c>
      <c r="BC58" s="388">
        <f t="shared" si="28"/>
        <v>0</v>
      </c>
      <c r="BD58" s="388">
        <f t="shared" si="28"/>
        <v>0</v>
      </c>
      <c r="BE58" s="388">
        <f t="shared" si="28"/>
        <v>0</v>
      </c>
      <c r="BF58" s="388">
        <f t="shared" si="28"/>
        <v>-258</v>
      </c>
      <c r="BG58" s="388">
        <f t="shared" si="28"/>
        <v>0</v>
      </c>
      <c r="BH58" s="388">
        <f t="shared" si="28"/>
        <v>-1332</v>
      </c>
      <c r="BI58" s="388">
        <f t="shared" si="28"/>
        <v>0</v>
      </c>
      <c r="BJ58" s="388">
        <f t="shared" si="28"/>
        <v>-6749</v>
      </c>
      <c r="BK58" s="388">
        <f t="shared" si="28"/>
        <v>-153099</v>
      </c>
      <c r="BL58" s="388">
        <f t="shared" si="28"/>
        <v>-12121</v>
      </c>
      <c r="BM58" s="388">
        <f t="shared" si="28"/>
        <v>0</v>
      </c>
      <c r="BN58" s="388">
        <f t="shared" ref="BN58:CC58" si="29">SUM(BN43:BN57)</f>
        <v>0</v>
      </c>
      <c r="BO58" s="388">
        <f t="shared" si="29"/>
        <v>0</v>
      </c>
      <c r="BP58" s="388">
        <f t="shared" si="29"/>
        <v>-10380</v>
      </c>
      <c r="BQ58" s="388">
        <f t="shared" si="29"/>
        <v>-11288</v>
      </c>
      <c r="BR58" s="388">
        <f t="shared" si="29"/>
        <v>-571226</v>
      </c>
      <c r="BS58" s="388">
        <f t="shared" si="29"/>
        <v>0</v>
      </c>
      <c r="BT58" s="388">
        <f t="shared" si="29"/>
        <v>0</v>
      </c>
      <c r="BU58" s="388">
        <f t="shared" si="29"/>
        <v>0</v>
      </c>
      <c r="BV58" s="388">
        <f t="shared" si="29"/>
        <v>0</v>
      </c>
      <c r="BW58" s="388">
        <f t="shared" si="29"/>
        <v>0</v>
      </c>
      <c r="BX58" s="388">
        <f t="shared" si="29"/>
        <v>0</v>
      </c>
      <c r="BY58" s="388">
        <f t="shared" si="29"/>
        <v>0</v>
      </c>
      <c r="BZ58" s="388">
        <f t="shared" si="29"/>
        <v>-3297701</v>
      </c>
      <c r="CA58" s="388">
        <f t="shared" si="29"/>
        <v>0</v>
      </c>
      <c r="CB58" s="388">
        <f t="shared" si="29"/>
        <v>0</v>
      </c>
      <c r="CC58" s="388">
        <f t="shared" si="29"/>
        <v>0</v>
      </c>
    </row>
    <row r="60" spans="1:83" ht="13.5" thickBot="1" x14ac:dyDescent="0.25">
      <c r="A60" s="556" t="s">
        <v>213</v>
      </c>
      <c r="B60" s="783">
        <f>+B3+B17+B30+B36+B58+B34+B38+B40+B32+B21+B25</f>
        <v>2914087</v>
      </c>
      <c r="C60" s="783">
        <f t="shared" ref="C60:BN60" si="30">+C3+C17+C30+C36+C58+C34+C38+C40+C32+C21+C25</f>
        <v>685465</v>
      </c>
      <c r="D60" s="783">
        <f t="shared" si="30"/>
        <v>3235161</v>
      </c>
      <c r="E60" s="783">
        <f t="shared" si="30"/>
        <v>112072</v>
      </c>
      <c r="F60" s="783">
        <f t="shared" si="30"/>
        <v>-472</v>
      </c>
      <c r="G60" s="783">
        <f t="shared" si="30"/>
        <v>10840</v>
      </c>
      <c r="H60" s="783">
        <f t="shared" si="30"/>
        <v>5020</v>
      </c>
      <c r="I60" s="783">
        <f t="shared" si="30"/>
        <v>30595</v>
      </c>
      <c r="J60" s="783">
        <f t="shared" si="30"/>
        <v>-25692</v>
      </c>
      <c r="K60" s="783">
        <f t="shared" si="30"/>
        <v>16660</v>
      </c>
      <c r="L60" s="783">
        <f t="shared" si="30"/>
        <v>0</v>
      </c>
      <c r="M60" s="783">
        <f t="shared" si="30"/>
        <v>0</v>
      </c>
      <c r="N60" s="783">
        <f t="shared" si="30"/>
        <v>160481</v>
      </c>
      <c r="O60" s="783">
        <f t="shared" si="30"/>
        <v>126684</v>
      </c>
      <c r="P60" s="783">
        <f t="shared" si="30"/>
        <v>2274</v>
      </c>
      <c r="Q60" s="783">
        <f t="shared" si="30"/>
        <v>21381</v>
      </c>
      <c r="R60" s="783">
        <f t="shared" si="30"/>
        <v>0</v>
      </c>
      <c r="S60" s="783">
        <f t="shared" si="30"/>
        <v>0</v>
      </c>
      <c r="T60" s="783">
        <f t="shared" si="30"/>
        <v>-103</v>
      </c>
      <c r="U60" s="783">
        <f t="shared" si="30"/>
        <v>3944</v>
      </c>
      <c r="V60" s="783">
        <f t="shared" si="30"/>
        <v>12276</v>
      </c>
      <c r="W60" s="783">
        <f t="shared" si="30"/>
        <v>48294</v>
      </c>
      <c r="X60" s="783">
        <f t="shared" si="30"/>
        <v>58588</v>
      </c>
      <c r="Y60" s="783">
        <f t="shared" si="30"/>
        <v>0</v>
      </c>
      <c r="Z60" s="783">
        <f t="shared" si="30"/>
        <v>0</v>
      </c>
      <c r="AA60" s="783">
        <f t="shared" si="30"/>
        <v>0</v>
      </c>
      <c r="AB60" s="783">
        <f t="shared" si="30"/>
        <v>-674202</v>
      </c>
      <c r="AC60" s="783">
        <f t="shared" si="30"/>
        <v>-515232</v>
      </c>
      <c r="AD60" s="783">
        <f t="shared" si="30"/>
        <v>-641963</v>
      </c>
      <c r="AE60" s="783">
        <f t="shared" ref="AE60:AT60" si="31">+AE3+AE17+AE30+AE36+AE58+AE34+AE38+AE40+AE32+AE21+AE25</f>
        <v>-171981</v>
      </c>
      <c r="AF60" s="783">
        <f t="shared" si="31"/>
        <v>-4759</v>
      </c>
      <c r="AG60" s="783">
        <f t="shared" si="31"/>
        <v>0</v>
      </c>
      <c r="AH60" s="783">
        <f t="shared" si="31"/>
        <v>0</v>
      </c>
      <c r="AI60" s="783">
        <f t="shared" si="31"/>
        <v>0</v>
      </c>
      <c r="AJ60" s="783">
        <f t="shared" si="31"/>
        <v>0</v>
      </c>
      <c r="AK60" s="783">
        <f t="shared" si="31"/>
        <v>-980552</v>
      </c>
      <c r="AL60" s="783">
        <f t="shared" si="31"/>
        <v>-31302</v>
      </c>
      <c r="AM60" s="783">
        <f t="shared" si="31"/>
        <v>-58448</v>
      </c>
      <c r="AN60" s="783">
        <f t="shared" si="31"/>
        <v>-59264</v>
      </c>
      <c r="AO60" s="783">
        <f t="shared" si="31"/>
        <v>-68617</v>
      </c>
      <c r="AP60" s="783">
        <f t="shared" si="31"/>
        <v>-48643</v>
      </c>
      <c r="AQ60" s="783">
        <f t="shared" si="31"/>
        <v>-74342</v>
      </c>
      <c r="AR60" s="783">
        <f t="shared" si="31"/>
        <v>-996</v>
      </c>
      <c r="AS60" s="783">
        <f t="shared" si="31"/>
        <v>-25805</v>
      </c>
      <c r="AT60" s="783">
        <f t="shared" si="31"/>
        <v>-68596</v>
      </c>
      <c r="AU60" s="783">
        <f t="shared" si="30"/>
        <v>-105100</v>
      </c>
      <c r="AV60" s="783">
        <f t="shared" si="30"/>
        <v>0</v>
      </c>
      <c r="AW60" s="783">
        <f t="shared" si="30"/>
        <v>-536673</v>
      </c>
      <c r="AX60" s="783">
        <f t="shared" si="30"/>
        <v>-28800</v>
      </c>
      <c r="AY60" s="783">
        <f t="shared" si="30"/>
        <v>370</v>
      </c>
      <c r="AZ60" s="783">
        <f t="shared" si="30"/>
        <v>5413</v>
      </c>
      <c r="BA60" s="783">
        <f t="shared" si="30"/>
        <v>329</v>
      </c>
      <c r="BB60" s="783">
        <f t="shared" si="30"/>
        <v>543</v>
      </c>
      <c r="BC60" s="783">
        <f t="shared" si="30"/>
        <v>1367</v>
      </c>
      <c r="BD60" s="783">
        <f t="shared" si="30"/>
        <v>0</v>
      </c>
      <c r="BE60" s="783">
        <f t="shared" si="30"/>
        <v>293</v>
      </c>
      <c r="BF60" s="783">
        <f t="shared" si="30"/>
        <v>138</v>
      </c>
      <c r="BG60" s="783">
        <f t="shared" si="30"/>
        <v>7</v>
      </c>
      <c r="BH60" s="783">
        <f t="shared" si="30"/>
        <v>10896</v>
      </c>
      <c r="BI60" s="783">
        <f t="shared" si="30"/>
        <v>29</v>
      </c>
      <c r="BJ60" s="783">
        <f t="shared" si="30"/>
        <v>30419</v>
      </c>
      <c r="BK60" s="783">
        <f t="shared" si="30"/>
        <v>-89611</v>
      </c>
      <c r="BL60" s="783">
        <f t="shared" si="30"/>
        <v>-11433</v>
      </c>
      <c r="BM60" s="783">
        <f t="shared" si="30"/>
        <v>2586</v>
      </c>
      <c r="BN60" s="783">
        <f t="shared" si="30"/>
        <v>0</v>
      </c>
      <c r="BO60" s="783">
        <f t="shared" ref="BO60:CC60" si="32">+BO3+BO17+BO30+BO36+BO58+BO34+BO38+BO40+BO32+BO21+BO25</f>
        <v>0</v>
      </c>
      <c r="BP60" s="783">
        <f t="shared" si="32"/>
        <v>5694</v>
      </c>
      <c r="BQ60" s="783">
        <f t="shared" si="32"/>
        <v>146092</v>
      </c>
      <c r="BR60" s="783">
        <f t="shared" si="32"/>
        <v>-532187</v>
      </c>
      <c r="BS60" s="783">
        <f t="shared" si="32"/>
        <v>2452</v>
      </c>
      <c r="BT60" s="783">
        <f t="shared" si="32"/>
        <v>23108</v>
      </c>
      <c r="BU60" s="783">
        <f t="shared" si="32"/>
        <v>1347</v>
      </c>
      <c r="BV60" s="783">
        <f t="shared" si="32"/>
        <v>2783</v>
      </c>
      <c r="BW60" s="783">
        <f t="shared" si="32"/>
        <v>-28978</v>
      </c>
      <c r="BX60" s="783">
        <f t="shared" si="32"/>
        <v>208504</v>
      </c>
      <c r="BY60" s="783">
        <f t="shared" si="32"/>
        <v>-21006</v>
      </c>
      <c r="BZ60" s="783">
        <f t="shared" si="32"/>
        <v>-2921075</v>
      </c>
      <c r="CA60" s="783">
        <f t="shared" si="32"/>
        <v>-73255</v>
      </c>
      <c r="CB60" s="783">
        <f t="shared" si="32"/>
        <v>5741069</v>
      </c>
      <c r="CC60" s="783">
        <f t="shared" si="32"/>
        <v>0</v>
      </c>
    </row>
    <row r="61" spans="1:83" ht="13.5" thickTop="1" x14ac:dyDescent="0.2"/>
    <row r="62" spans="1:83" x14ac:dyDescent="0.2">
      <c r="B62" s="228">
        <f>+B60-reconSONP!G80</f>
        <v>0</v>
      </c>
      <c r="C62" s="228">
        <f>C60-SONPws!C114</f>
        <v>0</v>
      </c>
      <c r="D62" s="228">
        <f>D60-SONPws!D114</f>
        <v>0</v>
      </c>
      <c r="E62" s="228">
        <f>E60-SONPws!E114</f>
        <v>0</v>
      </c>
      <c r="F62" s="228">
        <f>F60-SONPws!F114</f>
        <v>0</v>
      </c>
      <c r="G62" s="228">
        <f>G60-SONPws!G114</f>
        <v>0</v>
      </c>
      <c r="H62" s="228">
        <f>H60-SONPws!H114</f>
        <v>0</v>
      </c>
      <c r="I62" s="228">
        <f>I60-SONPws!I114</f>
        <v>0</v>
      </c>
      <c r="J62" s="228">
        <f>J60-SONPws!J114</f>
        <v>0</v>
      </c>
      <c r="K62" s="228">
        <f>K60-SONPws!K114</f>
        <v>0</v>
      </c>
      <c r="L62" s="228">
        <f>L60-SONPws!L114</f>
        <v>0</v>
      </c>
      <c r="M62" s="228">
        <f>M60-SONPws!M114</f>
        <v>0</v>
      </c>
      <c r="N62" s="228">
        <f>N60-SONPws!N114</f>
        <v>0</v>
      </c>
      <c r="O62" s="228">
        <f>O60-SONPws!O114</f>
        <v>0</v>
      </c>
      <c r="P62" s="228">
        <f>P60-SONPws!P114</f>
        <v>0</v>
      </c>
      <c r="Q62" s="228">
        <f>Q60-SONPws!Q114</f>
        <v>0</v>
      </c>
      <c r="R62" s="228">
        <f>R60-SONPws!R114</f>
        <v>0</v>
      </c>
      <c r="S62" s="228">
        <f>S60-SONPws!S114</f>
        <v>0</v>
      </c>
      <c r="T62" s="228">
        <f>T60-SONPws!T114</f>
        <v>0</v>
      </c>
      <c r="U62" s="228">
        <f>U60-SONPws!U114</f>
        <v>0</v>
      </c>
      <c r="V62" s="228">
        <f>V60-SONPws!V114</f>
        <v>0</v>
      </c>
      <c r="W62" s="228">
        <f>W60-SONPws!W114</f>
        <v>0</v>
      </c>
      <c r="X62" s="228">
        <f>X60-SONPws!X114</f>
        <v>0</v>
      </c>
      <c r="Y62" s="228">
        <f>Y60-SONPws!Y114</f>
        <v>0</v>
      </c>
      <c r="Z62" s="228">
        <f>Z60-SONPws!Z114</f>
        <v>0</v>
      </c>
      <c r="AA62" s="228">
        <f>AA60-SONPws!AA114</f>
        <v>0</v>
      </c>
      <c r="AB62" s="228">
        <f>AB60-SONPws!AB114</f>
        <v>0</v>
      </c>
      <c r="AC62" s="228">
        <f>AC60-SONPws!AC114</f>
        <v>0</v>
      </c>
      <c r="AD62" s="228">
        <f>AD60-SONPws!AD114</f>
        <v>0</v>
      </c>
      <c r="AE62" s="228">
        <f>AE60-SONPws!AE114</f>
        <v>0</v>
      </c>
      <c r="AF62" s="228">
        <f>AF60-SONPws!AF114</f>
        <v>0</v>
      </c>
      <c r="AG62" s="228">
        <f>AG60-SONPws!AG114</f>
        <v>0</v>
      </c>
      <c r="AH62" s="228">
        <f>AH60-SONPws!AH114</f>
        <v>0</v>
      </c>
      <c r="AI62" s="228">
        <f>AI60-SONPws!AI114</f>
        <v>0</v>
      </c>
      <c r="AJ62" s="228">
        <f>AJ60-SONPws!AJ114</f>
        <v>0</v>
      </c>
      <c r="AK62" s="228">
        <f>AK60-SONPws!AK114</f>
        <v>0</v>
      </c>
      <c r="AL62" s="228">
        <f>AL60-SONPws!AL114</f>
        <v>0</v>
      </c>
      <c r="AM62" s="228">
        <f>AM60-SONPws!AM114</f>
        <v>0</v>
      </c>
      <c r="AN62" s="228">
        <f>AN60-SONPws!AN114</f>
        <v>0</v>
      </c>
      <c r="AO62" s="228">
        <f>AO60-SONPws!AO114</f>
        <v>0</v>
      </c>
      <c r="AP62" s="228">
        <f>AP60-SONPws!AP114</f>
        <v>0</v>
      </c>
      <c r="AQ62" s="228">
        <f>AQ60-SONPws!AQ114</f>
        <v>0</v>
      </c>
      <c r="AR62" s="228">
        <f>AR60-SONPws!AR114</f>
        <v>0</v>
      </c>
      <c r="AS62" s="228">
        <f>AS60-SONPws!AS114</f>
        <v>0</v>
      </c>
      <c r="AT62" s="228">
        <f>AT60-SONPws!AT114</f>
        <v>0</v>
      </c>
      <c r="AU62" s="228">
        <f>AU60-SONPws!AU114</f>
        <v>0</v>
      </c>
      <c r="AV62" s="228">
        <f>AV60-SONPws!AV114</f>
        <v>0</v>
      </c>
      <c r="AW62" s="228">
        <f>AW60-SONPws!AW114</f>
        <v>0</v>
      </c>
      <c r="AX62" s="228">
        <f>AX60-SONPws!AX114</f>
        <v>0</v>
      </c>
      <c r="AY62" s="228">
        <f>AY60-SONPws!AY114</f>
        <v>0</v>
      </c>
      <c r="AZ62" s="228">
        <f>AZ60-SONPws!AZ114</f>
        <v>0</v>
      </c>
      <c r="BA62" s="228">
        <f>BA60-SONPws!BA114</f>
        <v>0</v>
      </c>
      <c r="BB62" s="228">
        <f>BB60-SONPws!BB114</f>
        <v>0</v>
      </c>
      <c r="BC62" s="228">
        <f>BC60-SONPws!BC114</f>
        <v>0</v>
      </c>
      <c r="BD62" s="228">
        <f>BD60-SONPws!BD114</f>
        <v>0</v>
      </c>
      <c r="BE62" s="228">
        <f>BE60-SONPws!BE114</f>
        <v>0</v>
      </c>
      <c r="BF62" s="228">
        <f>BF60-SONPws!BF114</f>
        <v>0</v>
      </c>
      <c r="BG62" s="228">
        <f>BG60-SONPws!BG114</f>
        <v>0</v>
      </c>
      <c r="BH62" s="228">
        <f>BH60-SONPws!BH114</f>
        <v>0</v>
      </c>
      <c r="BI62" s="228">
        <f>BI60-SONPws!BI114</f>
        <v>0</v>
      </c>
      <c r="BJ62" s="228">
        <f>BJ60-SONPws!BJ114</f>
        <v>0</v>
      </c>
      <c r="BK62" s="228">
        <f>BK60-SONPws!BK114</f>
        <v>0</v>
      </c>
      <c r="BL62" s="228">
        <f>BL60-SONPws!BL114</f>
        <v>0</v>
      </c>
      <c r="BM62" s="228">
        <f>BM60-SONPws!BM114</f>
        <v>0</v>
      </c>
      <c r="BN62" s="228">
        <f>BN60-SONPws!BN114</f>
        <v>0</v>
      </c>
      <c r="BO62" s="228">
        <f>BO60-SONPws!BO114</f>
        <v>0</v>
      </c>
      <c r="BP62" s="228">
        <f>BP60-SONPws!BP114</f>
        <v>0</v>
      </c>
      <c r="BQ62" s="228">
        <f>BQ60-SONPws!BQ114</f>
        <v>0</v>
      </c>
      <c r="BR62" s="228">
        <f>BR60-SONPws!BR114</f>
        <v>0</v>
      </c>
      <c r="BS62" s="228">
        <f>BS60-SONPws!BS114</f>
        <v>0</v>
      </c>
      <c r="BT62" s="228">
        <f>BT60-SONPws!BT114</f>
        <v>0</v>
      </c>
      <c r="BU62" s="228">
        <f>BU60-SONPws!BU114</f>
        <v>0</v>
      </c>
      <c r="BV62" s="228">
        <f>BV60-SONPws!BV114</f>
        <v>0</v>
      </c>
      <c r="BW62" s="228">
        <f>BW60-SONPws!BW114</f>
        <v>0</v>
      </c>
      <c r="BX62" s="228">
        <f>BX60-SONPws!BX114</f>
        <v>0</v>
      </c>
      <c r="BY62" s="228">
        <f>BY60-SONPws!BY114</f>
        <v>0</v>
      </c>
      <c r="BZ62" s="228">
        <f>BZ60-SONPws!BZ114</f>
        <v>0</v>
      </c>
      <c r="CA62" s="228">
        <f>CA60-SONPws!CA114</f>
        <v>-5741069</v>
      </c>
      <c r="CB62" s="228">
        <f>CB60-SONPws!CB114</f>
        <v>5741069</v>
      </c>
      <c r="CC62" s="228">
        <f>CC60-SONPws!CC114</f>
        <v>0</v>
      </c>
    </row>
    <row r="64" spans="1:83" x14ac:dyDescent="0.2">
      <c r="C64" s="765">
        <f>C53+SONPws!C58</f>
        <v>0</v>
      </c>
      <c r="D64" s="765">
        <f>D53+SONPws!D58</f>
        <v>0</v>
      </c>
      <c r="E64" s="765">
        <f>E53+[3]SONPws!E58</f>
        <v>0</v>
      </c>
      <c r="F64" s="765">
        <f>F53+[3]SONPws!F58</f>
        <v>0</v>
      </c>
      <c r="CB64" s="211">
        <f>+CB62+CA62</f>
        <v>0</v>
      </c>
    </row>
  </sheetData>
  <phoneticPr fontId="9" type="noConversion"/>
  <pageMargins left="0.5" right="0.5" top="0.75" bottom="0.25" header="0.5" footer="0.5"/>
  <pageSetup scale="58"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71</vt:i4>
      </vt:variant>
    </vt:vector>
  </HeadingPairs>
  <TitlesOfParts>
    <vt:vector size="140" baseType="lpstr">
      <vt:lpstr>Sheet2</vt:lpstr>
      <vt:lpstr>ISF Allocation</vt:lpstr>
      <vt:lpstr>Cash&amp; Invest</vt:lpstr>
      <vt:lpstr>Analysis of Net Position</vt:lpstr>
      <vt:lpstr>Major Fund Calc</vt:lpstr>
      <vt:lpstr>SONPws</vt:lpstr>
      <vt:lpstr>SOAws</vt:lpstr>
      <vt:lpstr>BSGFws</vt:lpstr>
      <vt:lpstr>recon-SONPws</vt:lpstr>
      <vt:lpstr>SORECGFws</vt:lpstr>
      <vt:lpstr>recon-SOAws</vt:lpstr>
      <vt:lpstr>SONP</vt:lpstr>
      <vt:lpstr>SOActivities</vt:lpstr>
      <vt:lpstr>BSGF-major</vt:lpstr>
      <vt:lpstr>reconSONP</vt:lpstr>
      <vt:lpstr>SORECGF-major</vt:lpstr>
      <vt:lpstr>reconSOA</vt:lpstr>
      <vt:lpstr>SONPPF</vt:lpstr>
      <vt:lpstr>SORECPF</vt:lpstr>
      <vt:lpstr>SOCFPF</vt:lpstr>
      <vt:lpstr>SONPFF</vt:lpstr>
      <vt:lpstr>SOCFNAFF</vt:lpstr>
      <vt:lpstr>SONPCU</vt:lpstr>
      <vt:lpstr>SOACU</vt:lpstr>
      <vt:lpstr>Nonmajor BS</vt:lpstr>
      <vt:lpstr>Nonmajor SOREC</vt:lpstr>
      <vt:lpstr>SR Tie BS</vt:lpstr>
      <vt:lpstr>SR Tie SOREC</vt:lpstr>
      <vt:lpstr>Grants BS</vt:lpstr>
      <vt:lpstr>Grants SOREC</vt:lpstr>
      <vt:lpstr>Special BS</vt:lpstr>
      <vt:lpstr>Special SOREC</vt:lpstr>
      <vt:lpstr>Blended BS</vt:lpstr>
      <vt:lpstr>Blended SOREC</vt:lpstr>
      <vt:lpstr>Cap Tie BS</vt:lpstr>
      <vt:lpstr>Cap Tie SOREC</vt:lpstr>
      <vt:lpstr>GO BS</vt:lpstr>
      <vt:lpstr>GO SOREC</vt:lpstr>
      <vt:lpstr>CO BS</vt:lpstr>
      <vt:lpstr>CO SOREC</vt:lpstr>
      <vt:lpstr>Capital BS</vt:lpstr>
      <vt:lpstr>Capital SOREC</vt:lpstr>
      <vt:lpstr>BS Perm</vt:lpstr>
      <vt:lpstr>SORECGF Perm</vt:lpstr>
      <vt:lpstr>Nonmajor Ent BS</vt:lpstr>
      <vt:lpstr>Nonmajor Ent SOREC</vt:lpstr>
      <vt:lpstr>Nonmajor Ent CF</vt:lpstr>
      <vt:lpstr>ISF-SONP</vt:lpstr>
      <vt:lpstr>ISF-SOREC</vt:lpstr>
      <vt:lpstr>ISF-CASH FLOW</vt:lpstr>
      <vt:lpstr>SONPFF PensionHealth</vt:lpstr>
      <vt:lpstr>SOCFNAFF PensionHealth</vt:lpstr>
      <vt:lpstr>SONPCustodial</vt:lpstr>
      <vt:lpstr>SOCFNAFFCust</vt:lpstr>
      <vt:lpstr>Combining SONPCU</vt:lpstr>
      <vt:lpstr>Combining SOACU</vt:lpstr>
      <vt:lpstr>Stat Net Pos by Component</vt:lpstr>
      <vt:lpstr>Stat Changes in Net Pos</vt:lpstr>
      <vt:lpstr>Stat Fund Balances</vt:lpstr>
      <vt:lpstr>Stat Changes in Fund Bal</vt:lpstr>
      <vt:lpstr>Stat Tax Rev by Source</vt:lpstr>
      <vt:lpstr>MD&amp;A</vt:lpstr>
      <vt:lpstr>BS-agency </vt:lpstr>
      <vt:lpstr>Changes Assets-agency</vt:lpstr>
      <vt:lpstr>XCombining Operating Stmt (62M)</vt:lpstr>
      <vt:lpstr>XCombining BS Liability(62Mem)</vt:lpstr>
      <vt:lpstr>XCombining BS Assets (62-Memor)</vt:lpstr>
      <vt:lpstr>x-SONAFF PrivatePurpose</vt:lpstr>
      <vt:lpstr>x-Changes PrivatePurpose</vt:lpstr>
      <vt:lpstr>'Analysis of Net Position'!Print_Area</vt:lpstr>
      <vt:lpstr>'Blended BS'!Print_Area</vt:lpstr>
      <vt:lpstr>'Blended SOREC'!Print_Area</vt:lpstr>
      <vt:lpstr>'BS Perm'!Print_Area</vt:lpstr>
      <vt:lpstr>'BS-agency '!Print_Area</vt:lpstr>
      <vt:lpstr>'BSGF-major'!Print_Area</vt:lpstr>
      <vt:lpstr>BSGFws!Print_Area</vt:lpstr>
      <vt:lpstr>'Cap Tie BS'!Print_Area</vt:lpstr>
      <vt:lpstr>'Cap Tie SOREC'!Print_Area</vt:lpstr>
      <vt:lpstr>'Capital BS'!Print_Area</vt:lpstr>
      <vt:lpstr>'Capital SOREC'!Print_Area</vt:lpstr>
      <vt:lpstr>'Cash&amp; Invest'!Print_Area</vt:lpstr>
      <vt:lpstr>'Changes Assets-agency'!Print_Area</vt:lpstr>
      <vt:lpstr>'CO BS'!Print_Area</vt:lpstr>
      <vt:lpstr>'CO SOREC'!Print_Area</vt:lpstr>
      <vt:lpstr>'Combining SOACU'!Print_Area</vt:lpstr>
      <vt:lpstr>'Combining SONPCU'!Print_Area</vt:lpstr>
      <vt:lpstr>'GO BS'!Print_Area</vt:lpstr>
      <vt:lpstr>'GO SOREC'!Print_Area</vt:lpstr>
      <vt:lpstr>'Grants BS'!Print_Area</vt:lpstr>
      <vt:lpstr>'Grants SOREC'!Print_Area</vt:lpstr>
      <vt:lpstr>'ISF-CASH FLOW'!Print_Area</vt:lpstr>
      <vt:lpstr>'ISF-SONP'!Print_Area</vt:lpstr>
      <vt:lpstr>'ISF-SOREC'!Print_Area</vt:lpstr>
      <vt:lpstr>'Major Fund Calc'!Print_Area</vt:lpstr>
      <vt:lpstr>'Nonmajor BS'!Print_Area</vt:lpstr>
      <vt:lpstr>'Nonmajor Ent BS'!Print_Area</vt:lpstr>
      <vt:lpstr>'Nonmajor Ent CF'!Print_Area</vt:lpstr>
      <vt:lpstr>'Nonmajor Ent SOREC'!Print_Area</vt:lpstr>
      <vt:lpstr>'Nonmajor SOREC'!Print_Area</vt:lpstr>
      <vt:lpstr>reconSOA!Print_Area</vt:lpstr>
      <vt:lpstr>reconSONP!Print_Area</vt:lpstr>
      <vt:lpstr>SOActivities!Print_Area</vt:lpstr>
      <vt:lpstr>SOACU!Print_Area</vt:lpstr>
      <vt:lpstr>SOAws!Print_Area</vt:lpstr>
      <vt:lpstr>SOCFNAFF!Print_Area</vt:lpstr>
      <vt:lpstr>'SOCFNAFF PensionHealth'!Print_Area</vt:lpstr>
      <vt:lpstr>SOCFNAFFCust!Print_Area</vt:lpstr>
      <vt:lpstr>SOCFPF!Print_Area</vt:lpstr>
      <vt:lpstr>SONP!Print_Area</vt:lpstr>
      <vt:lpstr>SONPCU!Print_Area</vt:lpstr>
      <vt:lpstr>SONPCustodial!Print_Area</vt:lpstr>
      <vt:lpstr>SONPFF!Print_Area</vt:lpstr>
      <vt:lpstr>'SONPFF PensionHealth'!Print_Area</vt:lpstr>
      <vt:lpstr>SONPPF!Print_Area</vt:lpstr>
      <vt:lpstr>SONPws!Print_Area</vt:lpstr>
      <vt:lpstr>'SORECGF Perm'!Print_Area</vt:lpstr>
      <vt:lpstr>'SORECGF-major'!Print_Area</vt:lpstr>
      <vt:lpstr>SORECPF!Print_Area</vt:lpstr>
      <vt:lpstr>'Special BS'!Print_Area</vt:lpstr>
      <vt:lpstr>'Special SOREC'!Print_Area</vt:lpstr>
      <vt:lpstr>'SR Tie BS'!Print_Area</vt:lpstr>
      <vt:lpstr>'SR Tie SOREC'!Print_Area</vt:lpstr>
      <vt:lpstr>'Stat Changes in Fund Bal'!Print_Area</vt:lpstr>
      <vt:lpstr>'Stat Changes in Net Pos'!Print_Area</vt:lpstr>
      <vt:lpstr>'Stat Fund Balances'!Print_Area</vt:lpstr>
      <vt:lpstr>'Stat Net Pos by Component'!Print_Area</vt:lpstr>
      <vt:lpstr>'Stat Tax Rev by Source'!Print_Area</vt:lpstr>
      <vt:lpstr>'x-Changes PrivatePurpose'!Print_Area</vt:lpstr>
      <vt:lpstr>'XCombining BS Assets (62-Memor)'!Print_Area</vt:lpstr>
      <vt:lpstr>'XCombining BS Liability(62Mem)'!Print_Area</vt:lpstr>
      <vt:lpstr>'XCombining Operating Stmt (62M)'!Print_Area</vt:lpstr>
      <vt:lpstr>'x-SONAFF PrivatePurpose'!Print_Area</vt:lpstr>
      <vt:lpstr>BSGFws!Print_Titles</vt:lpstr>
      <vt:lpstr>'Changes Assets-agency'!Print_Titles</vt:lpstr>
      <vt:lpstr>'Major Fund Calc'!Print_Titles</vt:lpstr>
      <vt:lpstr>'recon-SOAws'!Print_Titles</vt:lpstr>
      <vt:lpstr>'recon-SONPws'!Print_Titles</vt:lpstr>
      <vt:lpstr>SOAws!Print_Titles</vt:lpstr>
      <vt:lpstr>SONPws!Print_Titles</vt:lpstr>
      <vt:lpstr>SORECGFws!Print_Titles</vt:lpstr>
    </vt:vector>
  </TitlesOfParts>
  <Company>COSA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as12934</dc:creator>
  <cp:lastModifiedBy>Jay Blackwell (Finance)</cp:lastModifiedBy>
  <cp:lastPrinted>2025-03-17T14:51:20Z</cp:lastPrinted>
  <dcterms:created xsi:type="dcterms:W3CDTF">2006-06-26T12:54:11Z</dcterms:created>
  <dcterms:modified xsi:type="dcterms:W3CDTF">2025-03-24T21:58:52Z</dcterms:modified>
</cp:coreProperties>
</file>